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4615" windowHeight="11955" firstSheet="1" activeTab="8"/>
  </bookViews>
  <sheets>
    <sheet name="SUMMARY" sheetId="1" r:id="rId1"/>
    <sheet name="METRO " sheetId="2" r:id="rId2"/>
    <sheet name="SUPV" sheetId="3" r:id="rId3"/>
    <sheet name="Ministerial" sheetId="4" r:id="rId4"/>
    <sheet name="Casualty" sheetId="5" r:id="rId5"/>
    <sheet name="Trip Shed" sheetId="6" r:id="rId6"/>
    <sheet name="Changement" sheetId="7" r:id="rId7"/>
    <sheet name="CONV" sheetId="8" r:id="rId8"/>
    <sheet name="North" sheetId="9" r:id="rId9"/>
    <sheet name="South" sheetId="10" r:id="rId10"/>
    <sheet name="KOAA" sheetId="11" r:id="rId11"/>
    <sheet name="DDJ" sheetId="12" r:id="rId12"/>
    <sheet name="RHA" sheetId="13" r:id="rId13"/>
    <sheet name="NH" sheetId="14" r:id="rId14"/>
    <sheet name="BT" sheetId="15" r:id="rId15"/>
    <sheet name="De-cat Staff(screening pending)" sheetId="16" r:id="rId16"/>
  </sheets>
  <definedNames>
    <definedName name="_xlnm._FilterDatabase" localSheetId="7" hidden="1">CONV!$A$1:$AC$384</definedName>
    <definedName name="_xlnm._FilterDatabase" localSheetId="10" hidden="1">KOAA!$A$1:$AB$69</definedName>
    <definedName name="_xlnm._FilterDatabase" localSheetId="1" hidden="1">'METRO '!$A$1:$L$88</definedName>
    <definedName name="_xlnm._FilterDatabase" localSheetId="3" hidden="1">Ministerial!$E$1:$Y$38</definedName>
    <definedName name="_xlnm._FilterDatabase" localSheetId="8" hidden="1">North!$A$1:$AB$323</definedName>
    <definedName name="_xlnm._FilterDatabase" localSheetId="5" hidden="1">'Trip Shed'!$A$1:$AM$983</definedName>
    <definedName name="Z_33EFB045_6F18_44EF_AF30_A70FBA4175CB_.wvu.FilterData" localSheetId="14" hidden="1">BT!$A$1:$U$53</definedName>
    <definedName name="Z_33EFB045_6F18_44EF_AF30_A70FBA4175CB_.wvu.FilterData" localSheetId="11" hidden="1">DDJ!$A$1:$V$5</definedName>
    <definedName name="Z_33EFB045_6F18_44EF_AF30_A70FBA4175CB_.wvu.FilterData" localSheetId="13" hidden="1">NH!$A$1:$W$797</definedName>
    <definedName name="Z_E35DC7DC_3457_48C8_A5BC_48210E8789BE_.wvu.FilterData" localSheetId="14" hidden="1">BT!$A$1:$U$53</definedName>
    <definedName name="Z_E35DC7DC_3457_48C8_A5BC_48210E8789BE_.wvu.FilterData" localSheetId="11" hidden="1">DDJ!$O$1:$O$727</definedName>
    <definedName name="Z_E35DC7DC_3457_48C8_A5BC_48210E8789BE_.wvu.FilterData" localSheetId="10" hidden="1">KOAA!$A$1:$AB$49</definedName>
    <definedName name="Z_E35DC7DC_3457_48C8_A5BC_48210E8789BE_.wvu.FilterData" localSheetId="13" hidden="1">NH!$O$1:$O$775</definedName>
    <definedName name="Z_E35DC7DC_3457_48C8_A5BC_48210E8789BE_.wvu.FilterData" localSheetId="8" hidden="1">North!$A$1:$AF$225</definedName>
    <definedName name="Z_E35DC7DC_3457_48C8_A5BC_48210E8789BE_.wvu.FilterData" localSheetId="9" hidden="1">South!$L$1:$L$934</definedName>
    <definedName name="Z_FBC3CD13_E3C0_4C21_A8EF_FC22F8388BF0_.wvu.FilterData" localSheetId="14" hidden="1">BT!$A$1:$U$53</definedName>
    <definedName name="Z_FBC3CD13_E3C0_4C21_A8EF_FC22F8388BF0_.wvu.FilterData" localSheetId="11" hidden="1">DDJ!$A$1:$X$2</definedName>
  </definedNames>
  <calcPr calcId="124519"/>
  <customWorkbookViews>
    <customWorkbookView name="Filter 1" guid="{E35DC7DC-3457-48C8-A5BC-48210E8789BE}" maximized="1" windowWidth="0" windowHeight="0" activeSheetId="0"/>
    <customWorkbookView name="Filter 3" guid="{FBC3CD13-E3C0-4C21-A8EF-FC22F8388BF0}" maximized="1" windowWidth="0" windowHeight="0" activeSheetId="0"/>
    <customWorkbookView name="Filter 2" guid="{33EFB045-6F18-44EF-AF30-A70FBA4175CB}" maximized="1" windowWidth="0" windowHeight="0" activeSheetId="0"/>
  </customWorkbookViews>
</workbook>
</file>

<file path=xl/calcChain.xml><?xml version="1.0" encoding="utf-8"?>
<calcChain xmlns="http://schemas.openxmlformats.org/spreadsheetml/2006/main">
  <c r="W68" i="15"/>
  <c r="W65"/>
  <c r="W64"/>
  <c r="W63"/>
  <c r="W62"/>
  <c r="W61"/>
  <c r="V61"/>
  <c r="W60"/>
  <c r="V60"/>
  <c r="X59"/>
  <c r="V59"/>
  <c r="V58"/>
  <c r="V57"/>
  <c r="V56"/>
  <c r="V55"/>
  <c r="V54"/>
  <c r="V53"/>
  <c r="V52"/>
  <c r="X51"/>
  <c r="V51"/>
  <c r="AB50"/>
  <c r="W50"/>
  <c r="V50"/>
  <c r="AB49"/>
  <c r="W49"/>
  <c r="V49"/>
  <c r="W48"/>
  <c r="V48"/>
  <c r="X47"/>
  <c r="V47"/>
  <c r="X46"/>
  <c r="V46"/>
  <c r="W45"/>
  <c r="V45"/>
  <c r="AB44"/>
  <c r="W44"/>
  <c r="V44"/>
  <c r="W43"/>
  <c r="V43"/>
  <c r="W42"/>
  <c r="W41"/>
  <c r="V41"/>
  <c r="W40"/>
  <c r="V40"/>
  <c r="AB39"/>
  <c r="V39"/>
  <c r="AB38"/>
  <c r="V38"/>
  <c r="W37"/>
  <c r="V37"/>
  <c r="AB36"/>
  <c r="V36"/>
  <c r="AB35"/>
  <c r="V35"/>
  <c r="AB34"/>
  <c r="V34"/>
  <c r="AB33"/>
  <c r="V33"/>
  <c r="AB32"/>
  <c r="W31"/>
  <c r="AA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V3"/>
  <c r="V2"/>
  <c r="N109" i="14"/>
  <c r="N108"/>
  <c r="N107"/>
  <c r="N105"/>
  <c r="N104"/>
  <c r="N103"/>
  <c r="N102"/>
  <c r="N101"/>
  <c r="N100"/>
  <c r="N99"/>
  <c r="N98"/>
  <c r="N97"/>
  <c r="N96"/>
  <c r="N95"/>
  <c r="N94"/>
  <c r="N93"/>
  <c r="N92"/>
  <c r="N91"/>
  <c r="N90"/>
  <c r="N89"/>
  <c r="X88"/>
  <c r="N87"/>
  <c r="N86"/>
  <c r="N85"/>
  <c r="N84"/>
  <c r="N83"/>
  <c r="AB81"/>
  <c r="AB80"/>
  <c r="V80"/>
  <c r="AB79"/>
  <c r="V79"/>
  <c r="X78"/>
  <c r="V78"/>
  <c r="AB77"/>
  <c r="V77"/>
  <c r="X76"/>
  <c r="V76"/>
  <c r="AB74"/>
  <c r="V74"/>
  <c r="AB73"/>
  <c r="AB72"/>
  <c r="V72"/>
  <c r="AB71"/>
  <c r="AB70"/>
  <c r="X69"/>
  <c r="V69"/>
  <c r="X68"/>
  <c r="X67"/>
  <c r="V67"/>
  <c r="X66"/>
  <c r="V66"/>
  <c r="X65"/>
  <c r="V65"/>
  <c r="X64"/>
  <c r="V64"/>
  <c r="X63"/>
  <c r="V63"/>
  <c r="X62"/>
  <c r="V62"/>
  <c r="X61"/>
  <c r="V61"/>
  <c r="X60"/>
  <c r="V60"/>
  <c r="X59"/>
  <c r="V59"/>
  <c r="W58"/>
  <c r="X57"/>
  <c r="V57"/>
  <c r="W56"/>
  <c r="V56"/>
  <c r="V55"/>
  <c r="AB54"/>
  <c r="X53"/>
  <c r="V53"/>
  <c r="X52"/>
  <c r="V52"/>
  <c r="X51"/>
  <c r="V51"/>
  <c r="X50"/>
  <c r="V50"/>
  <c r="X49"/>
  <c r="V49"/>
  <c r="X48"/>
  <c r="V48"/>
  <c r="X47"/>
  <c r="V47"/>
  <c r="X46"/>
  <c r="V46"/>
  <c r="AB45"/>
  <c r="X45"/>
  <c r="V45"/>
  <c r="X44"/>
  <c r="V44"/>
  <c r="X43"/>
  <c r="V43"/>
  <c r="X42"/>
  <c r="V42"/>
  <c r="X41"/>
  <c r="V41"/>
  <c r="X40"/>
  <c r="V40"/>
  <c r="V39"/>
  <c r="AB38"/>
  <c r="X38"/>
  <c r="V38"/>
  <c r="X37"/>
  <c r="V37"/>
  <c r="X36"/>
  <c r="V36"/>
  <c r="X35"/>
  <c r="V35"/>
  <c r="X34"/>
  <c r="V34"/>
  <c r="X33"/>
  <c r="V33"/>
  <c r="X32"/>
  <c r="V32"/>
  <c r="X31"/>
  <c r="V31"/>
  <c r="X30"/>
  <c r="V30"/>
  <c r="X29"/>
  <c r="V29"/>
  <c r="X28"/>
  <c r="V28"/>
  <c r="X27"/>
  <c r="V27"/>
  <c r="X26"/>
  <c r="V26"/>
  <c r="X25"/>
  <c r="V25"/>
  <c r="X24"/>
  <c r="V24"/>
  <c r="AB23"/>
  <c r="X23"/>
  <c r="V23"/>
  <c r="X22"/>
  <c r="V22"/>
  <c r="AB21"/>
  <c r="X21"/>
  <c r="V21"/>
  <c r="X20"/>
  <c r="V20"/>
  <c r="X19"/>
  <c r="V19"/>
  <c r="X18"/>
  <c r="V18"/>
  <c r="X17"/>
  <c r="V17"/>
  <c r="V16"/>
  <c r="V15"/>
  <c r="AB14"/>
  <c r="X14"/>
  <c r="V14"/>
  <c r="X13"/>
  <c r="V13"/>
  <c r="AB12"/>
  <c r="X12"/>
  <c r="V12"/>
  <c r="X11"/>
  <c r="V11"/>
  <c r="X10"/>
  <c r="V10"/>
  <c r="X9"/>
  <c r="V9"/>
  <c r="X8"/>
  <c r="V8"/>
  <c r="X7"/>
  <c r="V7"/>
  <c r="X6"/>
  <c r="V6"/>
  <c r="X5"/>
  <c r="V5"/>
  <c r="X4"/>
  <c r="V4"/>
  <c r="X3"/>
  <c r="V3"/>
  <c r="X2"/>
  <c r="V2"/>
  <c r="X287" i="13"/>
  <c r="X285"/>
  <c r="X283"/>
  <c r="X281"/>
  <c r="X280"/>
  <c r="X279"/>
  <c r="X278"/>
  <c r="X277"/>
  <c r="X276"/>
  <c r="X274"/>
  <c r="X272"/>
  <c r="X267"/>
  <c r="X266"/>
  <c r="X263"/>
  <c r="X257"/>
  <c r="X255"/>
  <c r="X253"/>
  <c r="X247"/>
  <c r="X244"/>
  <c r="X240"/>
  <c r="X239"/>
  <c r="X237"/>
  <c r="X236"/>
  <c r="X226"/>
  <c r="X224"/>
  <c r="X221"/>
  <c r="X220"/>
  <c r="X219"/>
  <c r="X218"/>
  <c r="X217"/>
  <c r="X216"/>
  <c r="X215"/>
  <c r="X214"/>
  <c r="X213"/>
  <c r="X212"/>
  <c r="X210"/>
  <c r="X209"/>
  <c r="X207"/>
  <c r="X206"/>
  <c r="X205"/>
  <c r="X202"/>
  <c r="X200"/>
  <c r="X199"/>
  <c r="X198"/>
  <c r="X196"/>
  <c r="X195"/>
  <c r="AB194"/>
  <c r="X192"/>
  <c r="X191"/>
  <c r="X190"/>
  <c r="X189"/>
  <c r="X187"/>
  <c r="X186"/>
  <c r="X185"/>
  <c r="X184"/>
  <c r="X182"/>
  <c r="X181"/>
  <c r="X180"/>
  <c r="X179"/>
  <c r="X178"/>
  <c r="X177"/>
  <c r="X176"/>
  <c r="X173"/>
  <c r="X172"/>
  <c r="X170"/>
  <c r="X169"/>
  <c r="X168"/>
  <c r="X167"/>
  <c r="X166"/>
  <c r="X165"/>
  <c r="X164"/>
  <c r="X163"/>
  <c r="AB162"/>
  <c r="AB161"/>
  <c r="AB160"/>
  <c r="AB159"/>
  <c r="X158"/>
  <c r="AB157"/>
  <c r="X156"/>
  <c r="X155"/>
  <c r="X154"/>
  <c r="X153"/>
  <c r="X152"/>
  <c r="AB151"/>
  <c r="AB150"/>
  <c r="X150"/>
  <c r="X149"/>
  <c r="AB148"/>
  <c r="X147"/>
  <c r="X146"/>
  <c r="X145"/>
  <c r="AB144"/>
  <c r="AB143"/>
  <c r="X143"/>
  <c r="AB142"/>
  <c r="AB141"/>
  <c r="AB140"/>
  <c r="AB139"/>
  <c r="X138"/>
  <c r="X137"/>
  <c r="AB136"/>
  <c r="AB135"/>
  <c r="AB134"/>
  <c r="X133"/>
  <c r="X132"/>
  <c r="AB130"/>
  <c r="X130"/>
  <c r="X129"/>
  <c r="X128"/>
  <c r="X127"/>
  <c r="X126"/>
  <c r="X125"/>
  <c r="X124"/>
  <c r="X123"/>
  <c r="AB121"/>
  <c r="AB120"/>
  <c r="X120"/>
  <c r="X119"/>
  <c r="X118"/>
  <c r="X117"/>
  <c r="X116"/>
  <c r="N116"/>
  <c r="N115"/>
  <c r="N114"/>
  <c r="X113"/>
  <c r="N113"/>
  <c r="N112"/>
  <c r="N111"/>
  <c r="N110"/>
  <c r="N109"/>
  <c r="X108"/>
  <c r="N108"/>
  <c r="N107"/>
  <c r="X106"/>
  <c r="N106"/>
  <c r="X105"/>
  <c r="N105"/>
  <c r="X102"/>
  <c r="AB98"/>
  <c r="AB96"/>
  <c r="AB95"/>
  <c r="AB94"/>
  <c r="X90"/>
  <c r="AB88"/>
  <c r="X88"/>
  <c r="V88"/>
  <c r="AB87"/>
  <c r="AB86"/>
  <c r="AB85"/>
  <c r="AB84"/>
  <c r="AB83"/>
  <c r="AB82"/>
  <c r="X81"/>
  <c r="V81"/>
  <c r="X80"/>
  <c r="V80"/>
  <c r="X79"/>
  <c r="V79"/>
  <c r="X78"/>
  <c r="V78"/>
  <c r="X77"/>
  <c r="V77"/>
  <c r="V76"/>
  <c r="X75"/>
  <c r="V75"/>
  <c r="AB74"/>
  <c r="X74"/>
  <c r="V74"/>
  <c r="W73"/>
  <c r="V73"/>
  <c r="W72"/>
  <c r="X70"/>
  <c r="V70"/>
  <c r="X69"/>
  <c r="V69"/>
  <c r="AB68"/>
  <c r="V67"/>
  <c r="X66"/>
  <c r="V66"/>
  <c r="X65"/>
  <c r="V65"/>
  <c r="X64"/>
  <c r="V64"/>
  <c r="X62"/>
  <c r="V62"/>
  <c r="X61"/>
  <c r="V61"/>
  <c r="X59"/>
  <c r="V59"/>
  <c r="X57"/>
  <c r="X56"/>
  <c r="X55"/>
  <c r="AB54"/>
  <c r="X54"/>
  <c r="V54"/>
  <c r="AB53"/>
  <c r="V53"/>
  <c r="X52"/>
  <c r="AB51"/>
  <c r="V51"/>
  <c r="X50"/>
  <c r="W47"/>
  <c r="V47"/>
  <c r="X46"/>
  <c r="V46"/>
  <c r="X45"/>
  <c r="V45"/>
  <c r="W44"/>
  <c r="V44"/>
  <c r="X43"/>
  <c r="V43"/>
  <c r="X42"/>
  <c r="V42"/>
  <c r="X41"/>
  <c r="V41"/>
  <c r="X40"/>
  <c r="V40"/>
  <c r="W39"/>
  <c r="V39"/>
  <c r="W38"/>
  <c r="V38"/>
  <c r="W37"/>
  <c r="V37"/>
  <c r="W36"/>
  <c r="V36"/>
  <c r="X35"/>
  <c r="V35"/>
  <c r="V34"/>
  <c r="X33"/>
  <c r="V33"/>
  <c r="X32"/>
  <c r="V32"/>
  <c r="V31"/>
  <c r="W30"/>
  <c r="V30"/>
  <c r="X29"/>
  <c r="V29"/>
  <c r="X28"/>
  <c r="V28"/>
  <c r="AB27"/>
  <c r="V27"/>
  <c r="X26"/>
  <c r="V26"/>
  <c r="V25"/>
  <c r="W24"/>
  <c r="V24"/>
  <c r="W23"/>
  <c r="V23"/>
  <c r="W22"/>
  <c r="V22"/>
  <c r="X21"/>
  <c r="V21"/>
  <c r="AB20"/>
  <c r="V20"/>
  <c r="W19"/>
  <c r="V19"/>
  <c r="AB18"/>
  <c r="V18"/>
  <c r="AB17"/>
  <c r="W17"/>
  <c r="V17"/>
  <c r="X16"/>
  <c r="W15"/>
  <c r="V15"/>
  <c r="AB14"/>
  <c r="V14"/>
  <c r="W13"/>
  <c r="V13"/>
  <c r="X12"/>
  <c r="V12"/>
  <c r="AB11"/>
  <c r="AB10"/>
  <c r="V10"/>
  <c r="AB9"/>
  <c r="V9"/>
  <c r="AB8"/>
  <c r="V8"/>
  <c r="V7"/>
  <c r="X6"/>
  <c r="V6"/>
  <c r="X5"/>
  <c r="V5"/>
  <c r="V4"/>
  <c r="V3"/>
  <c r="V2"/>
  <c r="N154" i="12"/>
  <c r="AB152"/>
  <c r="W152"/>
  <c r="V152"/>
  <c r="X150"/>
  <c r="V150"/>
  <c r="X149"/>
  <c r="V149"/>
  <c r="X148"/>
  <c r="W147"/>
  <c r="V147"/>
  <c r="W146"/>
  <c r="V146"/>
  <c r="W145"/>
  <c r="V145"/>
  <c r="W144"/>
  <c r="V144"/>
  <c r="AB143"/>
  <c r="X142"/>
  <c r="V142"/>
  <c r="AB141"/>
  <c r="AB140"/>
  <c r="V140"/>
  <c r="W139"/>
  <c r="V139"/>
  <c r="W138"/>
  <c r="V138"/>
  <c r="AB137"/>
  <c r="AB136"/>
  <c r="AB135"/>
  <c r="AB134"/>
  <c r="X133"/>
  <c r="V133"/>
  <c r="W132"/>
  <c r="V132"/>
  <c r="AB130"/>
  <c r="AB129"/>
  <c r="AB128"/>
  <c r="V128"/>
  <c r="AB127"/>
  <c r="V127"/>
  <c r="AB126"/>
  <c r="AB125"/>
  <c r="V125"/>
  <c r="AB124"/>
  <c r="V124"/>
  <c r="AB123"/>
  <c r="V123"/>
  <c r="AB122"/>
  <c r="AB121"/>
  <c r="X121"/>
  <c r="V121"/>
  <c r="AB120"/>
  <c r="AB119"/>
  <c r="AB118"/>
  <c r="AB117"/>
  <c r="AB116"/>
  <c r="AB115"/>
  <c r="AB114"/>
  <c r="AB113"/>
  <c r="AB112"/>
  <c r="V112"/>
  <c r="AB111"/>
  <c r="AA110"/>
  <c r="V109"/>
  <c r="AB108"/>
  <c r="V108"/>
  <c r="AA107"/>
  <c r="X106"/>
  <c r="AA105"/>
  <c r="AB104"/>
  <c r="V104"/>
  <c r="AB103"/>
  <c r="X103"/>
  <c r="V103"/>
  <c r="AB102"/>
  <c r="AB101"/>
  <c r="AB100"/>
  <c r="V100"/>
  <c r="AA99"/>
  <c r="AB98"/>
  <c r="V98"/>
  <c r="AB97"/>
  <c r="AB96"/>
  <c r="V96"/>
  <c r="W95"/>
  <c r="V95"/>
  <c r="AB94"/>
  <c r="V94"/>
  <c r="V93"/>
  <c r="AB92"/>
  <c r="V92"/>
  <c r="AB91"/>
  <c r="AB90"/>
  <c r="AB88"/>
  <c r="AB87"/>
  <c r="V87"/>
  <c r="AB85"/>
  <c r="W84"/>
  <c r="V84"/>
  <c r="W83"/>
  <c r="X82"/>
  <c r="AB81"/>
  <c r="V81"/>
  <c r="AB80"/>
  <c r="AB79"/>
  <c r="X78"/>
  <c r="X77"/>
  <c r="N73"/>
  <c r="N72"/>
  <c r="N71"/>
  <c r="N70"/>
  <c r="N69"/>
  <c r="N68"/>
  <c r="N67"/>
  <c r="N66"/>
  <c r="N65"/>
  <c r="N64"/>
  <c r="N63"/>
  <c r="N62"/>
  <c r="N61"/>
  <c r="N60"/>
  <c r="N59"/>
  <c r="N57"/>
  <c r="N56"/>
  <c r="N55"/>
  <c r="N54"/>
  <c r="N53"/>
  <c r="N52"/>
  <c r="N51"/>
  <c r="N50"/>
  <c r="N49"/>
  <c r="N48"/>
  <c r="N47"/>
  <c r="N46"/>
  <c r="N45"/>
  <c r="N44"/>
  <c r="AB40"/>
  <c r="V40"/>
  <c r="W39"/>
  <c r="W38"/>
  <c r="N31"/>
  <c r="N30"/>
  <c r="N29"/>
  <c r="N28"/>
  <c r="N27"/>
  <c r="N26"/>
  <c r="N25"/>
  <c r="N24"/>
  <c r="N23"/>
  <c r="N22"/>
  <c r="N21"/>
  <c r="N20"/>
  <c r="N19"/>
  <c r="N18"/>
  <c r="N16"/>
  <c r="N15"/>
  <c r="N14"/>
  <c r="N13"/>
  <c r="N12"/>
  <c r="N11"/>
  <c r="N10"/>
  <c r="N8"/>
  <c r="N5"/>
  <c r="N4"/>
  <c r="W69" i="11"/>
  <c r="V69"/>
  <c r="W68"/>
  <c r="V68"/>
  <c r="W67"/>
  <c r="V67"/>
  <c r="W66"/>
  <c r="V66"/>
  <c r="W65"/>
  <c r="V65"/>
  <c r="AB64"/>
  <c r="V64"/>
  <c r="W63"/>
  <c r="V63"/>
  <c r="W62"/>
  <c r="V62"/>
  <c r="W61"/>
  <c r="V61"/>
  <c r="W60"/>
  <c r="V60"/>
  <c r="W59"/>
  <c r="V59"/>
  <c r="X58"/>
  <c r="V58"/>
  <c r="W57"/>
  <c r="V57"/>
  <c r="AB56"/>
  <c r="V56"/>
  <c r="W55"/>
  <c r="V55"/>
  <c r="AB54"/>
  <c r="V54"/>
  <c r="AB53"/>
  <c r="V53"/>
  <c r="AB52"/>
  <c r="V52"/>
  <c r="AB51"/>
  <c r="V51"/>
  <c r="AB50"/>
  <c r="V50"/>
  <c r="V49"/>
  <c r="AB48"/>
  <c r="V48"/>
  <c r="W47"/>
  <c r="AB46"/>
  <c r="W45"/>
  <c r="V45"/>
  <c r="W44"/>
  <c r="V44"/>
  <c r="X43"/>
  <c r="V43"/>
  <c r="W42"/>
  <c r="V42"/>
  <c r="W41"/>
  <c r="V41"/>
  <c r="W40"/>
  <c r="V40"/>
  <c r="V39"/>
  <c r="W38"/>
  <c r="V38"/>
  <c r="W37"/>
  <c r="V37"/>
  <c r="W36"/>
  <c r="V36"/>
  <c r="AB35"/>
  <c r="V35"/>
  <c r="W34"/>
  <c r="V34"/>
  <c r="W33"/>
  <c r="V33"/>
  <c r="AB32"/>
  <c r="W31"/>
  <c r="V31"/>
  <c r="AB30"/>
  <c r="V30"/>
  <c r="AB29"/>
  <c r="AB28"/>
  <c r="V28"/>
  <c r="X27"/>
  <c r="V27"/>
  <c r="AB25"/>
  <c r="V25"/>
  <c r="AA24"/>
  <c r="W23"/>
  <c r="V23"/>
  <c r="V22"/>
  <c r="AB21"/>
  <c r="V21"/>
  <c r="W20"/>
  <c r="V20"/>
  <c r="W11"/>
  <c r="X8"/>
  <c r="X7"/>
  <c r="W162" i="10"/>
  <c r="W161"/>
  <c r="V161"/>
  <c r="W160"/>
  <c r="V160"/>
  <c r="AB159"/>
  <c r="W158"/>
  <c r="X157"/>
  <c r="V157"/>
  <c r="W156"/>
  <c r="V156"/>
  <c r="W155"/>
  <c r="V155"/>
  <c r="W154"/>
  <c r="W153"/>
  <c r="W152"/>
  <c r="AB151"/>
  <c r="V151"/>
  <c r="AB150"/>
  <c r="V150"/>
  <c r="AB149"/>
  <c r="W148"/>
  <c r="V148"/>
  <c r="W147"/>
  <c r="V147"/>
  <c r="W146"/>
  <c r="V146"/>
  <c r="W145"/>
  <c r="V145"/>
  <c r="W144"/>
  <c r="V144"/>
  <c r="W143"/>
  <c r="V143"/>
  <c r="W142"/>
  <c r="V142"/>
  <c r="W141"/>
  <c r="V141"/>
  <c r="W140"/>
  <c r="V140"/>
  <c r="W139"/>
  <c r="V139"/>
  <c r="W138"/>
  <c r="V138"/>
  <c r="W137"/>
  <c r="V137"/>
  <c r="W136"/>
  <c r="V136"/>
  <c r="W135"/>
  <c r="V135"/>
  <c r="X134"/>
  <c r="V134"/>
  <c r="X133"/>
  <c r="V133"/>
  <c r="AB132"/>
  <c r="V132"/>
  <c r="AB131"/>
  <c r="W131"/>
  <c r="V131"/>
  <c r="AB130"/>
  <c r="W130"/>
  <c r="V130"/>
  <c r="W129"/>
  <c r="V129"/>
  <c r="X128"/>
  <c r="V128"/>
  <c r="AB127"/>
  <c r="V127"/>
  <c r="V126"/>
  <c r="X125"/>
  <c r="V125"/>
  <c r="AB124"/>
  <c r="V124"/>
  <c r="AB123"/>
  <c r="V123"/>
  <c r="V122"/>
  <c r="W121"/>
  <c r="V121"/>
  <c r="X120"/>
  <c r="V120"/>
  <c r="AB119"/>
  <c r="V119"/>
  <c r="V118"/>
  <c r="V117"/>
  <c r="AB116"/>
  <c r="V116"/>
  <c r="W115"/>
  <c r="V115"/>
  <c r="AA114"/>
  <c r="V114"/>
  <c r="W113"/>
  <c r="V113"/>
  <c r="W112"/>
  <c r="V112"/>
  <c r="AB111"/>
  <c r="W111"/>
  <c r="V111"/>
  <c r="X110"/>
  <c r="V110"/>
  <c r="W109"/>
  <c r="V109"/>
  <c r="AB108"/>
  <c r="W108"/>
  <c r="V108"/>
  <c r="V107"/>
  <c r="AB106"/>
  <c r="W106"/>
  <c r="V106"/>
  <c r="W105"/>
  <c r="V105"/>
  <c r="AB104"/>
  <c r="W104"/>
  <c r="V104"/>
  <c r="W103"/>
  <c r="V103"/>
  <c r="X102"/>
  <c r="V102"/>
  <c r="W101"/>
  <c r="V101"/>
  <c r="W100"/>
  <c r="V100"/>
  <c r="AB99"/>
  <c r="W99"/>
  <c r="V99"/>
  <c r="X98"/>
  <c r="V98"/>
  <c r="AB97"/>
  <c r="W97"/>
  <c r="V97"/>
  <c r="X96"/>
  <c r="V96"/>
  <c r="W95"/>
  <c r="V95"/>
  <c r="AB94"/>
  <c r="W94"/>
  <c r="V94"/>
  <c r="AB93"/>
  <c r="W93"/>
  <c r="V93"/>
  <c r="X92"/>
  <c r="V92"/>
  <c r="AB91"/>
  <c r="W91"/>
  <c r="V91"/>
  <c r="AB90"/>
  <c r="X90"/>
  <c r="V90"/>
  <c r="AB89"/>
  <c r="W89"/>
  <c r="V89"/>
  <c r="W88"/>
  <c r="V88"/>
  <c r="X87"/>
  <c r="V87"/>
  <c r="W86"/>
  <c r="V86"/>
  <c r="W85"/>
  <c r="V85"/>
  <c r="X84"/>
  <c r="V84"/>
  <c r="W83"/>
  <c r="V83"/>
  <c r="W82"/>
  <c r="V82"/>
  <c r="W81"/>
  <c r="V81"/>
  <c r="W80"/>
  <c r="V80"/>
  <c r="W79"/>
  <c r="V79"/>
  <c r="W78"/>
  <c r="V78"/>
  <c r="W77"/>
  <c r="V77"/>
  <c r="W76"/>
  <c r="V76"/>
  <c r="W75"/>
  <c r="V75"/>
  <c r="W74"/>
  <c r="V74"/>
  <c r="W73"/>
  <c r="V73"/>
  <c r="W72"/>
  <c r="V72"/>
  <c r="W71"/>
  <c r="V71"/>
  <c r="X70"/>
  <c r="V70"/>
  <c r="W69"/>
  <c r="V69"/>
  <c r="W68"/>
  <c r="V68"/>
  <c r="W67"/>
  <c r="V67"/>
  <c r="W66"/>
  <c r="V66"/>
  <c r="W65"/>
  <c r="V65"/>
  <c r="W64"/>
  <c r="V64"/>
  <c r="W63"/>
  <c r="V63"/>
  <c r="W62"/>
  <c r="V62"/>
  <c r="W61"/>
  <c r="V61"/>
  <c r="W60"/>
  <c r="V60"/>
  <c r="W59"/>
  <c r="V59"/>
  <c r="W58"/>
  <c r="V58"/>
  <c r="W57"/>
  <c r="V57"/>
  <c r="W56"/>
  <c r="V56"/>
  <c r="W55"/>
  <c r="V55"/>
  <c r="W54"/>
  <c r="V54"/>
  <c r="W53"/>
  <c r="V53"/>
  <c r="W52"/>
  <c r="V52"/>
  <c r="W51"/>
  <c r="V51"/>
  <c r="W50"/>
  <c r="V50"/>
  <c r="W49"/>
  <c r="V49"/>
  <c r="W48"/>
  <c r="V48"/>
  <c r="W47"/>
  <c r="V47"/>
  <c r="W46"/>
  <c r="V46"/>
  <c r="W45"/>
  <c r="V45"/>
  <c r="W44"/>
  <c r="V44"/>
  <c r="W43"/>
  <c r="V43"/>
  <c r="W42"/>
  <c r="V42"/>
  <c r="W41"/>
  <c r="V41"/>
  <c r="W40"/>
  <c r="V40"/>
  <c r="X39"/>
  <c r="V39"/>
  <c r="W38"/>
  <c r="V38"/>
  <c r="W37"/>
  <c r="V37"/>
  <c r="W36"/>
  <c r="V36"/>
  <c r="W35"/>
  <c r="V35"/>
  <c r="W34"/>
  <c r="V34"/>
  <c r="W33"/>
  <c r="V33"/>
  <c r="W32"/>
  <c r="V32"/>
  <c r="W31"/>
  <c r="V31"/>
  <c r="W30"/>
  <c r="V30"/>
  <c r="W29"/>
  <c r="V29"/>
  <c r="W28"/>
  <c r="V28"/>
  <c r="W27"/>
  <c r="V27"/>
  <c r="W26"/>
  <c r="V26"/>
  <c r="W25"/>
  <c r="V25"/>
  <c r="W24"/>
  <c r="V24"/>
  <c r="W23"/>
  <c r="V23"/>
  <c r="W22"/>
  <c r="V22"/>
  <c r="W21"/>
  <c r="V21"/>
  <c r="W20"/>
  <c r="V20"/>
  <c r="W19"/>
  <c r="V19"/>
  <c r="W18"/>
  <c r="V18"/>
  <c r="W17"/>
  <c r="V17"/>
  <c r="W16"/>
  <c r="V16"/>
  <c r="AB15"/>
  <c r="W15"/>
  <c r="V15"/>
  <c r="W14"/>
  <c r="V14"/>
  <c r="W13"/>
  <c r="V13"/>
  <c r="W12"/>
  <c r="V12"/>
  <c r="W11"/>
  <c r="W10"/>
  <c r="V10"/>
  <c r="W9"/>
  <c r="V9"/>
  <c r="W8"/>
  <c r="V8"/>
  <c r="W7"/>
  <c r="V7"/>
  <c r="W6"/>
  <c r="V6"/>
  <c r="W5"/>
  <c r="V5"/>
  <c r="W4"/>
  <c r="V4"/>
  <c r="W3"/>
  <c r="V3"/>
  <c r="W2"/>
  <c r="V2"/>
  <c r="N2"/>
  <c r="X323" i="9"/>
  <c r="V323"/>
  <c r="AB322"/>
  <c r="X322"/>
  <c r="V322"/>
  <c r="AB321"/>
  <c r="X321"/>
  <c r="V321"/>
  <c r="X320"/>
  <c r="V320"/>
  <c r="X319"/>
  <c r="V319"/>
  <c r="X318"/>
  <c r="V318"/>
  <c r="X317"/>
  <c r="V317"/>
  <c r="X316"/>
  <c r="V316"/>
  <c r="X315"/>
  <c r="V315"/>
  <c r="X314"/>
  <c r="V314"/>
  <c r="AB313"/>
  <c r="V313"/>
  <c r="V312"/>
  <c r="AB311"/>
  <c r="W311"/>
  <c r="V311"/>
  <c r="V310"/>
  <c r="V309"/>
  <c r="X308"/>
  <c r="V308"/>
  <c r="W307"/>
  <c r="V307"/>
  <c r="V306"/>
  <c r="X305"/>
  <c r="V305"/>
  <c r="W304"/>
  <c r="V304"/>
  <c r="X303"/>
  <c r="V303"/>
  <c r="V302"/>
  <c r="X301"/>
  <c r="V301"/>
  <c r="AB300"/>
  <c r="W300"/>
  <c r="V300"/>
  <c r="X299"/>
  <c r="V299"/>
  <c r="X298"/>
  <c r="V298"/>
  <c r="V297"/>
  <c r="V296"/>
  <c r="AB295"/>
  <c r="V295"/>
  <c r="V294"/>
  <c r="V293"/>
  <c r="AB292"/>
  <c r="V292"/>
  <c r="AB291"/>
  <c r="X291"/>
  <c r="V291"/>
  <c r="V288"/>
  <c r="X287"/>
  <c r="V287"/>
  <c r="V286"/>
  <c r="W285"/>
  <c r="V285"/>
  <c r="W284"/>
  <c r="V284"/>
  <c r="W283"/>
  <c r="V283"/>
  <c r="AB281"/>
  <c r="X281"/>
  <c r="V281"/>
  <c r="AB279"/>
  <c r="V279"/>
  <c r="V278"/>
  <c r="AB277"/>
  <c r="V277"/>
  <c r="X276"/>
  <c r="V276"/>
  <c r="X275"/>
  <c r="V275"/>
  <c r="W274"/>
  <c r="V274"/>
  <c r="W273"/>
  <c r="V273"/>
  <c r="W272"/>
  <c r="V272"/>
  <c r="W271"/>
  <c r="V271"/>
  <c r="AB270"/>
  <c r="V270"/>
  <c r="AB269"/>
  <c r="V269"/>
  <c r="AB268"/>
  <c r="V268"/>
  <c r="AB267"/>
  <c r="V267"/>
  <c r="W266"/>
  <c r="V266"/>
  <c r="AB265"/>
  <c r="V265"/>
  <c r="X264"/>
  <c r="V264"/>
  <c r="AB263"/>
  <c r="V263"/>
  <c r="AB262"/>
  <c r="V262"/>
  <c r="X261"/>
  <c r="V261"/>
  <c r="X260"/>
  <c r="V260"/>
  <c r="AB259"/>
  <c r="V259"/>
  <c r="X258"/>
  <c r="V258"/>
  <c r="AB257"/>
  <c r="V257"/>
  <c r="X256"/>
  <c r="V256"/>
  <c r="V255"/>
  <c r="W254"/>
  <c r="V254"/>
  <c r="AB253"/>
  <c r="V253"/>
  <c r="W252"/>
  <c r="V252"/>
  <c r="X251"/>
  <c r="V251"/>
  <c r="AB250"/>
  <c r="V250"/>
  <c r="AB249"/>
  <c r="V249"/>
  <c r="X247"/>
  <c r="V247"/>
  <c r="X246"/>
  <c r="V246"/>
  <c r="AB245"/>
  <c r="V245"/>
  <c r="AB244"/>
  <c r="V244"/>
  <c r="AB243"/>
  <c r="V243"/>
  <c r="AB242"/>
  <c r="V242"/>
  <c r="AB241"/>
  <c r="V241"/>
  <c r="W240"/>
  <c r="V240"/>
  <c r="AB239"/>
  <c r="V239"/>
  <c r="X238"/>
  <c r="V238"/>
  <c r="W237"/>
  <c r="V237"/>
  <c r="AB236"/>
  <c r="V236"/>
  <c r="W235"/>
  <c r="V235"/>
  <c r="AB234"/>
  <c r="V234"/>
  <c r="AB233"/>
  <c r="V233"/>
  <c r="W232"/>
  <c r="V232"/>
  <c r="X231"/>
  <c r="V231"/>
  <c r="AB230"/>
  <c r="V230"/>
  <c r="W229"/>
  <c r="V229"/>
  <c r="W228"/>
  <c r="V228"/>
  <c r="AB227"/>
  <c r="V227"/>
  <c r="AB226"/>
  <c r="V226"/>
  <c r="X225"/>
  <c r="V225"/>
  <c r="X224"/>
  <c r="V224"/>
  <c r="AB223"/>
  <c r="V223"/>
  <c r="AB222"/>
  <c r="V222"/>
  <c r="X221"/>
  <c r="V221"/>
  <c r="W220"/>
  <c r="V220"/>
  <c r="X219"/>
  <c r="V219"/>
  <c r="AB218"/>
  <c r="V218"/>
  <c r="W217"/>
  <c r="V217"/>
  <c r="W216"/>
  <c r="V216"/>
  <c r="W215"/>
  <c r="V215"/>
  <c r="AB214"/>
  <c r="V214"/>
  <c r="AB213"/>
  <c r="V213"/>
  <c r="AB212"/>
  <c r="V212"/>
  <c r="AB211"/>
  <c r="V211"/>
  <c r="AB210"/>
  <c r="V210"/>
  <c r="W209"/>
  <c r="V209"/>
  <c r="X208"/>
  <c r="V208"/>
  <c r="W207"/>
  <c r="V207"/>
  <c r="AB206"/>
  <c r="V206"/>
  <c r="W205"/>
  <c r="V205"/>
  <c r="AB204"/>
  <c r="V204"/>
  <c r="AB203"/>
  <c r="V203"/>
  <c r="AB202"/>
  <c r="V202"/>
  <c r="W201"/>
  <c r="V201"/>
  <c r="W200"/>
  <c r="V200"/>
  <c r="AB199"/>
  <c r="X199"/>
  <c r="V199"/>
  <c r="AB198"/>
  <c r="V198"/>
  <c r="AB197"/>
  <c r="V197"/>
  <c r="X196"/>
  <c r="V196"/>
  <c r="AB195"/>
  <c r="V195"/>
  <c r="W194"/>
  <c r="V194"/>
  <c r="W193"/>
  <c r="V193"/>
  <c r="X192"/>
  <c r="V192"/>
  <c r="AB191"/>
  <c r="X191"/>
  <c r="V191"/>
  <c r="W190"/>
  <c r="V190"/>
  <c r="W189"/>
  <c r="V189"/>
  <c r="X188"/>
  <c r="V188"/>
  <c r="X187"/>
  <c r="V187"/>
  <c r="AB186"/>
  <c r="V186"/>
  <c r="X185"/>
  <c r="V185"/>
  <c r="W184"/>
  <c r="V184"/>
  <c r="AB183"/>
  <c r="V183"/>
  <c r="AB182"/>
  <c r="AB181"/>
  <c r="V181"/>
  <c r="AB180"/>
  <c r="V180"/>
  <c r="AB179"/>
  <c r="V179"/>
  <c r="AB178"/>
  <c r="V178"/>
  <c r="AB177"/>
  <c r="V177"/>
  <c r="AB176"/>
  <c r="W175"/>
  <c r="V175"/>
  <c r="AB174"/>
  <c r="W173"/>
  <c r="AB172"/>
  <c r="W171"/>
  <c r="W170"/>
  <c r="W169"/>
  <c r="X168"/>
  <c r="AB167"/>
  <c r="W166"/>
  <c r="X164"/>
  <c r="X163"/>
  <c r="W162"/>
  <c r="X161"/>
  <c r="X160"/>
  <c r="W159"/>
  <c r="V159"/>
  <c r="W158"/>
  <c r="V158"/>
  <c r="W157"/>
  <c r="V157"/>
  <c r="X156"/>
  <c r="V156"/>
  <c r="W155"/>
  <c r="W154"/>
  <c r="V154"/>
  <c r="W153"/>
  <c r="V153"/>
  <c r="X152"/>
  <c r="W151"/>
  <c r="W150"/>
  <c r="V150"/>
  <c r="AB149"/>
  <c r="V149"/>
  <c r="AB147"/>
  <c r="W146"/>
  <c r="X145"/>
  <c r="X144"/>
  <c r="AB143"/>
  <c r="AB142"/>
  <c r="X141"/>
  <c r="V141"/>
  <c r="W140"/>
  <c r="V140"/>
  <c r="W139"/>
  <c r="W138"/>
  <c r="X137"/>
  <c r="V137"/>
  <c r="X136"/>
  <c r="V136"/>
  <c r="AB135"/>
  <c r="X134"/>
  <c r="AB133"/>
  <c r="W132"/>
  <c r="X131"/>
  <c r="V131"/>
  <c r="W130"/>
  <c r="V130"/>
  <c r="W129"/>
  <c r="X128"/>
  <c r="W127"/>
  <c r="W126"/>
  <c r="X125"/>
  <c r="AB124"/>
  <c r="V124"/>
  <c r="X123"/>
  <c r="V123"/>
  <c r="W122"/>
  <c r="AB121"/>
  <c r="V121"/>
  <c r="W120"/>
  <c r="W119"/>
  <c r="W118"/>
  <c r="V118"/>
  <c r="AB117"/>
  <c r="W116"/>
  <c r="W115"/>
  <c r="X114"/>
  <c r="W113"/>
  <c r="AB112"/>
  <c r="AB111"/>
  <c r="W110"/>
  <c r="V110"/>
  <c r="W109"/>
  <c r="X108"/>
  <c r="V108"/>
  <c r="X107"/>
  <c r="AB106"/>
  <c r="V106"/>
  <c r="V105"/>
  <c r="V104"/>
  <c r="X103"/>
  <c r="V103"/>
  <c r="W102"/>
  <c r="V102"/>
  <c r="AB101"/>
  <c r="W101"/>
  <c r="V101"/>
  <c r="AB100"/>
  <c r="V100"/>
  <c r="X99"/>
  <c r="V99"/>
  <c r="X98"/>
  <c r="V98"/>
  <c r="W97"/>
  <c r="V97"/>
  <c r="AB96"/>
  <c r="W95"/>
  <c r="V95"/>
  <c r="W94"/>
  <c r="V94"/>
  <c r="W93"/>
  <c r="V93"/>
  <c r="W92"/>
  <c r="V92"/>
  <c r="AB91"/>
  <c r="V91"/>
  <c r="W90"/>
  <c r="V90"/>
  <c r="W89"/>
  <c r="V89"/>
  <c r="AB88"/>
  <c r="V88"/>
  <c r="AB87"/>
  <c r="AB86"/>
  <c r="V86"/>
  <c r="AB85"/>
  <c r="V85"/>
  <c r="AB84"/>
  <c r="V84"/>
  <c r="AB83"/>
  <c r="V83"/>
  <c r="X82"/>
  <c r="V82"/>
  <c r="AB81"/>
  <c r="V81"/>
  <c r="W80"/>
  <c r="V80"/>
  <c r="W79"/>
  <c r="V79"/>
  <c r="AB78"/>
  <c r="V78"/>
  <c r="AB77"/>
  <c r="AB75"/>
  <c r="V75"/>
  <c r="AB74"/>
  <c r="AB73"/>
  <c r="AB72"/>
  <c r="X25"/>
  <c r="W24"/>
  <c r="AB23"/>
  <c r="X22"/>
  <c r="V22"/>
  <c r="W20"/>
  <c r="W17"/>
  <c r="AB14"/>
  <c r="W11"/>
  <c r="W9"/>
  <c r="W8"/>
  <c r="N6"/>
  <c r="AB5"/>
  <c r="AB4"/>
  <c r="V4"/>
  <c r="AB2"/>
  <c r="X384" i="8"/>
  <c r="N382"/>
  <c r="X362"/>
  <c r="N359"/>
  <c r="N350"/>
  <c r="W330"/>
  <c r="W329"/>
  <c r="W328"/>
  <c r="AB327"/>
  <c r="AB316"/>
  <c r="W311"/>
  <c r="W310"/>
  <c r="W309"/>
  <c r="N308"/>
  <c r="N307"/>
  <c r="N306"/>
  <c r="N305"/>
  <c r="X304"/>
  <c r="X303"/>
  <c r="N303"/>
  <c r="X302"/>
  <c r="N302"/>
  <c r="X301"/>
  <c r="N301"/>
  <c r="N299"/>
  <c r="N298"/>
  <c r="N297"/>
  <c r="N296"/>
  <c r="N295"/>
  <c r="N294"/>
  <c r="N293"/>
  <c r="N292"/>
  <c r="N291"/>
  <c r="X290"/>
  <c r="N290"/>
  <c r="N289"/>
  <c r="X287"/>
  <c r="N287"/>
  <c r="N286"/>
  <c r="N285"/>
  <c r="N284"/>
  <c r="W283"/>
  <c r="X282"/>
  <c r="AB281"/>
  <c r="V281"/>
  <c r="W280"/>
  <c r="X232"/>
  <c r="W231"/>
  <c r="W230"/>
  <c r="W229"/>
  <c r="W228"/>
  <c r="W227"/>
  <c r="W226"/>
  <c r="W224"/>
  <c r="W223"/>
  <c r="X222"/>
  <c r="W221"/>
  <c r="X220"/>
  <c r="AB219"/>
  <c r="AB218"/>
  <c r="V218"/>
  <c r="N217"/>
  <c r="X216"/>
  <c r="W215"/>
  <c r="W214"/>
  <c r="X213"/>
  <c r="X212"/>
  <c r="V143"/>
  <c r="AB142"/>
  <c r="W141"/>
  <c r="AB140"/>
  <c r="V140"/>
  <c r="AB139"/>
  <c r="AB138"/>
  <c r="AB137"/>
  <c r="W136"/>
  <c r="AB135"/>
  <c r="Z135"/>
  <c r="X135"/>
  <c r="X134"/>
  <c r="AB133"/>
  <c r="X133"/>
  <c r="AB132"/>
  <c r="X132"/>
  <c r="Y49"/>
  <c r="AB40"/>
  <c r="Y40"/>
  <c r="W40"/>
  <c r="X39"/>
  <c r="V39"/>
  <c r="X38"/>
  <c r="V38"/>
  <c r="X37"/>
  <c r="V37"/>
  <c r="AC5"/>
  <c r="W5"/>
  <c r="AC4"/>
  <c r="W4"/>
  <c r="AC3"/>
  <c r="W3"/>
  <c r="AB749" i="7"/>
  <c r="V748"/>
  <c r="AB746"/>
  <c r="AB744"/>
  <c r="AB743"/>
  <c r="AB726"/>
  <c r="V726"/>
  <c r="W725"/>
  <c r="V725"/>
  <c r="W723"/>
  <c r="V723"/>
  <c r="V722"/>
  <c r="AB721"/>
  <c r="V721"/>
  <c r="AB708"/>
  <c r="V708"/>
  <c r="W707"/>
  <c r="V707"/>
  <c r="W706"/>
  <c r="V706"/>
  <c r="AB705"/>
  <c r="V705"/>
  <c r="AB691"/>
  <c r="V691"/>
  <c r="AB690"/>
  <c r="AC689"/>
  <c r="W689"/>
  <c r="AB687"/>
  <c r="W682"/>
  <c r="V682"/>
  <c r="V677"/>
  <c r="V676"/>
  <c r="V675"/>
  <c r="W673"/>
  <c r="V673"/>
  <c r="W672"/>
  <c r="V672"/>
  <c r="W658"/>
  <c r="V658"/>
  <c r="AB657"/>
  <c r="V657"/>
  <c r="AB651"/>
  <c r="W649"/>
  <c r="V649"/>
  <c r="W648"/>
  <c r="V648"/>
  <c r="W642"/>
  <c r="V642"/>
  <c r="W639"/>
  <c r="V639"/>
  <c r="W634"/>
  <c r="W625"/>
  <c r="AB621"/>
  <c r="V621"/>
  <c r="AB620"/>
  <c r="W619"/>
  <c r="V619"/>
  <c r="X615"/>
  <c r="V615"/>
  <c r="AB612"/>
  <c r="X612"/>
  <c r="V612"/>
  <c r="V607"/>
  <c r="V606"/>
  <c r="W605"/>
  <c r="V605"/>
  <c r="AC604"/>
  <c r="W604"/>
  <c r="AB592"/>
  <c r="V592"/>
  <c r="AC585"/>
  <c r="W585"/>
  <c r="W584"/>
  <c r="V584"/>
  <c r="V582"/>
  <c r="AB581"/>
  <c r="V581"/>
  <c r="V579"/>
  <c r="V578"/>
  <c r="X577"/>
  <c r="V577"/>
  <c r="W576"/>
  <c r="V576"/>
  <c r="W575"/>
  <c r="V575"/>
  <c r="W574"/>
  <c r="V574"/>
  <c r="AB573"/>
  <c r="V573"/>
  <c r="AB572"/>
  <c r="V572"/>
  <c r="AB571"/>
  <c r="V571"/>
  <c r="W565"/>
  <c r="V565"/>
  <c r="AB561"/>
  <c r="AB560"/>
  <c r="V560"/>
  <c r="X557"/>
  <c r="V557"/>
  <c r="W552"/>
  <c r="V552"/>
  <c r="AB546"/>
  <c r="V546"/>
  <c r="AB545"/>
  <c r="V545"/>
  <c r="AB544"/>
  <c r="V544"/>
  <c r="W534"/>
  <c r="V534"/>
  <c r="W533"/>
  <c r="V533"/>
  <c r="W532"/>
  <c r="V532"/>
  <c r="AB525"/>
  <c r="V525"/>
  <c r="AB524"/>
  <c r="V524"/>
  <c r="AB523"/>
  <c r="V523"/>
  <c r="W522"/>
  <c r="V522"/>
  <c r="X517"/>
  <c r="V517"/>
  <c r="X516"/>
  <c r="V516"/>
  <c r="AB515"/>
  <c r="V515"/>
  <c r="N515"/>
  <c r="W514"/>
  <c r="V514"/>
  <c r="AB513"/>
  <c r="V513"/>
  <c r="X507"/>
  <c r="V507"/>
  <c r="AB506"/>
  <c r="X506"/>
  <c r="V506"/>
  <c r="V498"/>
  <c r="AC496"/>
  <c r="W496"/>
  <c r="AB495"/>
  <c r="AB494"/>
  <c r="W493"/>
  <c r="V493"/>
  <c r="AB492"/>
  <c r="V492"/>
  <c r="AB491"/>
  <c r="AB490"/>
  <c r="V490"/>
  <c r="N490"/>
  <c r="X486"/>
  <c r="V486"/>
  <c r="AB482"/>
  <c r="V482"/>
  <c r="AB481"/>
  <c r="V481"/>
  <c r="V479"/>
  <c r="V478"/>
  <c r="AB474"/>
  <c r="V474"/>
  <c r="AB471"/>
  <c r="V471"/>
  <c r="X469"/>
  <c r="V469"/>
  <c r="AB468"/>
  <c r="X468"/>
  <c r="V468"/>
  <c r="W466"/>
  <c r="V466"/>
  <c r="AB465"/>
  <c r="AB464"/>
  <c r="V464"/>
  <c r="AB459"/>
  <c r="W459"/>
  <c r="V459"/>
  <c r="AB454"/>
  <c r="V454"/>
  <c r="X450"/>
  <c r="V450"/>
  <c r="AB442"/>
  <c r="V442"/>
  <c r="W441"/>
  <c r="V441"/>
  <c r="AB440"/>
  <c r="V440"/>
  <c r="AB439"/>
  <c r="V439"/>
  <c r="W435"/>
  <c r="V435"/>
  <c r="AB433"/>
  <c r="AB432"/>
  <c r="AB431"/>
  <c r="AB430"/>
  <c r="V430"/>
  <c r="V428"/>
  <c r="V427"/>
  <c r="V426"/>
  <c r="AB422"/>
  <c r="V422"/>
  <c r="W419"/>
  <c r="V419"/>
  <c r="V410"/>
  <c r="X409"/>
  <c r="V409"/>
  <c r="X408"/>
  <c r="V408"/>
  <c r="AB407"/>
  <c r="V407"/>
  <c r="V406"/>
  <c r="W405"/>
  <c r="V405"/>
  <c r="AB403"/>
  <c r="V403"/>
  <c r="AB402"/>
  <c r="V402"/>
  <c r="AB401"/>
  <c r="V401"/>
  <c r="AB400"/>
  <c r="AB399"/>
  <c r="V399"/>
  <c r="AB398"/>
  <c r="AB397"/>
  <c r="W392"/>
  <c r="V392"/>
  <c r="AB389"/>
  <c r="V389"/>
  <c r="AB388"/>
  <c r="V388"/>
  <c r="AB387"/>
  <c r="AB386"/>
  <c r="V386"/>
  <c r="AB383"/>
  <c r="V383"/>
  <c r="W378"/>
  <c r="V378"/>
  <c r="U376"/>
  <c r="AB375"/>
  <c r="V375"/>
  <c r="X374"/>
  <c r="V374"/>
  <c r="AB373"/>
  <c r="V373"/>
  <c r="AB372"/>
  <c r="V372"/>
  <c r="AB371"/>
  <c r="X365"/>
  <c r="V365"/>
  <c r="X364"/>
  <c r="V364"/>
  <c r="AB363"/>
  <c r="V363"/>
  <c r="W361"/>
  <c r="V361"/>
  <c r="W360"/>
  <c r="V360"/>
  <c r="AB359"/>
  <c r="AB358"/>
  <c r="V358"/>
  <c r="AB357"/>
  <c r="V357"/>
  <c r="AB353"/>
  <c r="V353"/>
  <c r="AB352"/>
  <c r="V352"/>
  <c r="AB351"/>
  <c r="V351"/>
  <c r="AB350"/>
  <c r="X349"/>
  <c r="V349"/>
  <c r="W347"/>
  <c r="V347"/>
  <c r="V344"/>
  <c r="X341"/>
  <c r="V341"/>
  <c r="W340"/>
  <c r="V340"/>
  <c r="W339"/>
  <c r="V339"/>
  <c r="AB338"/>
  <c r="AB337"/>
  <c r="V337"/>
  <c r="V332"/>
  <c r="AB331"/>
  <c r="AB330"/>
  <c r="AB329"/>
  <c r="V329"/>
  <c r="AB326"/>
  <c r="V325"/>
  <c r="V322"/>
  <c r="W321"/>
  <c r="V321"/>
  <c r="X313"/>
  <c r="V313"/>
  <c r="V312"/>
  <c r="W311"/>
  <c r="V311"/>
  <c r="W310"/>
  <c r="V310"/>
  <c r="W309"/>
  <c r="V309"/>
  <c r="AB308"/>
  <c r="AB307"/>
  <c r="V307"/>
  <c r="W303"/>
  <c r="V296"/>
  <c r="W295"/>
  <c r="V295"/>
  <c r="AB294"/>
  <c r="V294"/>
  <c r="W290"/>
  <c r="V290"/>
  <c r="X285"/>
  <c r="V285"/>
  <c r="AB284"/>
  <c r="V284"/>
  <c r="W283"/>
  <c r="V283"/>
  <c r="W282"/>
  <c r="V282"/>
  <c r="W281"/>
  <c r="V281"/>
  <c r="AB280"/>
  <c r="V280"/>
  <c r="AB279"/>
  <c r="V279"/>
  <c r="AB278"/>
  <c r="V278"/>
  <c r="AB277"/>
  <c r="V277"/>
  <c r="AB276"/>
  <c r="V276"/>
  <c r="AB275"/>
  <c r="V275"/>
  <c r="AB273"/>
  <c r="AB272"/>
  <c r="V272"/>
  <c r="X271"/>
  <c r="V271"/>
  <c r="AB270"/>
  <c r="V270"/>
  <c r="V269"/>
  <c r="W268"/>
  <c r="V268"/>
  <c r="W267"/>
  <c r="V267"/>
  <c r="AB266"/>
  <c r="V266"/>
  <c r="AB265"/>
  <c r="V261"/>
  <c r="AB254"/>
  <c r="AB251"/>
  <c r="V251"/>
  <c r="X249"/>
  <c r="V249"/>
  <c r="AB248"/>
  <c r="V248"/>
  <c r="AB247"/>
  <c r="V247"/>
  <c r="AB246"/>
  <c r="W244"/>
  <c r="W242"/>
  <c r="W240"/>
  <c r="W238"/>
  <c r="X233"/>
  <c r="V233"/>
  <c r="W232"/>
  <c r="V232"/>
  <c r="AB231"/>
  <c r="V231"/>
  <c r="AB230"/>
  <c r="V230"/>
  <c r="AB229"/>
  <c r="V229"/>
  <c r="W226"/>
  <c r="X225"/>
  <c r="V225"/>
  <c r="W224"/>
  <c r="V224"/>
  <c r="W223"/>
  <c r="W222"/>
  <c r="W221"/>
  <c r="W217"/>
  <c r="AB216"/>
  <c r="W214"/>
  <c r="W213"/>
  <c r="W212"/>
  <c r="V212"/>
  <c r="V211"/>
  <c r="AB210"/>
  <c r="V210"/>
  <c r="AB209"/>
  <c r="V209"/>
  <c r="AB208"/>
  <c r="W206"/>
  <c r="V206"/>
  <c r="AB205"/>
  <c r="V205"/>
  <c r="AB204"/>
  <c r="U203"/>
  <c r="W197"/>
  <c r="Y195"/>
  <c r="J195"/>
  <c r="Y194"/>
  <c r="J194"/>
  <c r="Y193"/>
  <c r="J193"/>
  <c r="Z192"/>
  <c r="J192"/>
  <c r="Y191"/>
  <c r="J191"/>
  <c r="Y190"/>
  <c r="J190"/>
  <c r="Y189"/>
  <c r="J189"/>
  <c r="Y188"/>
  <c r="J188"/>
  <c r="Y186"/>
  <c r="X186"/>
  <c r="Z185"/>
  <c r="X185"/>
  <c r="Y184"/>
  <c r="X184"/>
  <c r="Y183"/>
  <c r="X183"/>
  <c r="Y180"/>
  <c r="J180"/>
  <c r="Y179"/>
  <c r="J179"/>
  <c r="Y177"/>
  <c r="J177"/>
  <c r="AD172"/>
  <c r="X172"/>
  <c r="AD169"/>
  <c r="X169"/>
  <c r="J169"/>
  <c r="X162"/>
  <c r="V162"/>
  <c r="X161"/>
  <c r="V161"/>
  <c r="AB160"/>
  <c r="V160"/>
  <c r="W159"/>
  <c r="V159"/>
  <c r="W158"/>
  <c r="V158"/>
  <c r="W157"/>
  <c r="V157"/>
  <c r="W156"/>
  <c r="V156"/>
  <c r="AB155"/>
  <c r="V155"/>
  <c r="AB154"/>
  <c r="V154"/>
  <c r="AB153"/>
  <c r="V153"/>
  <c r="AB152"/>
  <c r="V152"/>
  <c r="AB151"/>
  <c r="V151"/>
  <c r="W148"/>
  <c r="W147"/>
  <c r="M142"/>
  <c r="AB141"/>
  <c r="V141"/>
  <c r="W140"/>
  <c r="V140"/>
  <c r="W139"/>
  <c r="V139"/>
  <c r="AB138"/>
  <c r="V138"/>
  <c r="AB137"/>
  <c r="V137"/>
  <c r="W135"/>
  <c r="AB130"/>
  <c r="V130"/>
  <c r="X129"/>
  <c r="X128"/>
  <c r="V128"/>
  <c r="W127"/>
  <c r="V127"/>
  <c r="W126"/>
  <c r="V126"/>
  <c r="AB125"/>
  <c r="V125"/>
  <c r="W123"/>
  <c r="V123"/>
  <c r="V120"/>
  <c r="U119"/>
  <c r="V118"/>
  <c r="U117"/>
  <c r="V116"/>
  <c r="AB115"/>
  <c r="V115"/>
  <c r="AB113"/>
  <c r="V113"/>
  <c r="W112"/>
  <c r="V112"/>
  <c r="AB110"/>
  <c r="V110"/>
  <c r="W109"/>
  <c r="V109"/>
  <c r="V108"/>
  <c r="U107"/>
  <c r="V104"/>
  <c r="U101"/>
  <c r="U97"/>
  <c r="U96"/>
  <c r="U95"/>
  <c r="U92"/>
  <c r="U91"/>
  <c r="U89"/>
  <c r="U88"/>
  <c r="U84"/>
  <c r="U83"/>
  <c r="U81"/>
  <c r="S76"/>
  <c r="S74"/>
  <c r="S73"/>
  <c r="S68"/>
  <c r="T67"/>
  <c r="S66"/>
  <c r="S65"/>
  <c r="S64"/>
  <c r="T63"/>
  <c r="S60"/>
  <c r="T58"/>
  <c r="S57"/>
  <c r="S56"/>
  <c r="S55"/>
  <c r="T54"/>
  <c r="S52"/>
  <c r="T51"/>
  <c r="S50"/>
  <c r="S49"/>
  <c r="S48"/>
  <c r="S47"/>
  <c r="S46"/>
  <c r="T43"/>
  <c r="R39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S8"/>
  <c r="S7"/>
  <c r="R3"/>
  <c r="W74" i="6"/>
  <c r="Y62"/>
  <c r="X62"/>
  <c r="U28" i="5"/>
  <c r="T28"/>
  <c r="S28"/>
  <c r="R28"/>
  <c r="Q28"/>
  <c r="V28" s="1"/>
  <c r="P28"/>
  <c r="M28"/>
  <c r="L28"/>
  <c r="K28"/>
  <c r="J28"/>
  <c r="I28"/>
  <c r="H28"/>
  <c r="G28"/>
  <c r="F28"/>
  <c r="E28"/>
  <c r="D28"/>
  <c r="C28"/>
  <c r="V27"/>
  <c r="N27"/>
  <c r="O27" s="1"/>
  <c r="W27" s="1"/>
  <c r="V26"/>
  <c r="N26"/>
  <c r="O26" s="1"/>
  <c r="W26" s="1"/>
  <c r="V25"/>
  <c r="N25"/>
  <c r="O25" s="1"/>
  <c r="W25" s="1"/>
  <c r="V24"/>
  <c r="O24"/>
  <c r="W24" s="1"/>
  <c r="N24"/>
  <c r="V23"/>
  <c r="W23" s="1"/>
  <c r="O23"/>
  <c r="N23"/>
  <c r="W22"/>
  <c r="W21"/>
  <c r="V21"/>
  <c r="O21"/>
  <c r="N21"/>
  <c r="V20"/>
  <c r="N20"/>
  <c r="O20" s="1"/>
  <c r="W20" s="1"/>
  <c r="V19"/>
  <c r="O19"/>
  <c r="W19" s="1"/>
  <c r="N19"/>
  <c r="V18"/>
  <c r="N18"/>
  <c r="O18" s="1"/>
  <c r="W18" s="1"/>
  <c r="V17"/>
  <c r="N17"/>
  <c r="O17" s="1"/>
  <c r="W17" s="1"/>
  <c r="W16"/>
  <c r="V16"/>
  <c r="O16"/>
  <c r="V15"/>
  <c r="N15"/>
  <c r="O15" s="1"/>
  <c r="W15" s="1"/>
  <c r="V14"/>
  <c r="N14"/>
  <c r="O14" s="1"/>
  <c r="W14" s="1"/>
  <c r="V13"/>
  <c r="O13"/>
  <c r="W13" s="1"/>
  <c r="N13"/>
  <c r="V12"/>
  <c r="W12" s="1"/>
  <c r="O12"/>
  <c r="N12"/>
  <c r="V11"/>
  <c r="W11" s="1"/>
  <c r="O11"/>
  <c r="V10"/>
  <c r="O10"/>
  <c r="W10" s="1"/>
  <c r="N10"/>
  <c r="V9"/>
  <c r="W9" s="1"/>
  <c r="O9"/>
  <c r="N9"/>
  <c r="V8"/>
  <c r="N8"/>
  <c r="O8" s="1"/>
  <c r="W8" s="1"/>
  <c r="V7"/>
  <c r="O7"/>
  <c r="W7" s="1"/>
  <c r="V6"/>
  <c r="N6"/>
  <c r="O6" s="1"/>
  <c r="W6" s="1"/>
  <c r="V5"/>
  <c r="W5" s="1"/>
  <c r="N5"/>
  <c r="V4"/>
  <c r="N4"/>
  <c r="O4" s="1"/>
  <c r="W4" s="1"/>
  <c r="V3"/>
  <c r="O3"/>
  <c r="W3" s="1"/>
  <c r="N3"/>
  <c r="V2"/>
  <c r="N2"/>
  <c r="O2" s="1"/>
  <c r="K38" i="4"/>
  <c r="X37"/>
  <c r="V37"/>
  <c r="Y36"/>
  <c r="W36"/>
  <c r="AB35"/>
  <c r="W35"/>
  <c r="V35"/>
  <c r="X34"/>
  <c r="V34"/>
  <c r="AA31"/>
  <c r="Y31"/>
  <c r="AE30"/>
  <c r="Y30"/>
  <c r="AC28"/>
  <c r="AC27"/>
  <c r="W24"/>
  <c r="W23"/>
  <c r="W22"/>
  <c r="W78" i="3"/>
  <c r="V78"/>
  <c r="AB75"/>
  <c r="V75"/>
  <c r="H75"/>
  <c r="AB73"/>
  <c r="W72"/>
  <c r="V72"/>
  <c r="V64"/>
  <c r="W62"/>
  <c r="V62"/>
  <c r="W61"/>
  <c r="V61"/>
  <c r="X60"/>
  <c r="V60"/>
  <c r="X58"/>
  <c r="V58"/>
  <c r="AB55"/>
  <c r="V55"/>
  <c r="AB53"/>
  <c r="V53"/>
  <c r="AB52"/>
  <c r="V52"/>
  <c r="AB51"/>
  <c r="V51"/>
  <c r="AB37"/>
  <c r="V37"/>
  <c r="W36"/>
  <c r="V36"/>
  <c r="W30"/>
  <c r="V30"/>
  <c r="X29"/>
  <c r="V29"/>
  <c r="W28"/>
  <c r="V28"/>
  <c r="W27"/>
  <c r="V27"/>
  <c r="W25"/>
  <c r="V25"/>
  <c r="X23"/>
  <c r="V23"/>
  <c r="AB21"/>
  <c r="X21"/>
  <c r="V21"/>
  <c r="X20"/>
  <c r="V20"/>
  <c r="W19"/>
  <c r="V19"/>
  <c r="W18"/>
  <c r="V18"/>
  <c r="X17"/>
  <c r="V17"/>
  <c r="W16"/>
  <c r="V16"/>
  <c r="X15"/>
  <c r="V15"/>
  <c r="V14"/>
  <c r="W13"/>
  <c r="V13"/>
  <c r="AB12"/>
  <c r="V12"/>
  <c r="W11"/>
  <c r="V11"/>
  <c r="U2"/>
  <c r="W85" i="2"/>
  <c r="W84"/>
  <c r="W79"/>
  <c r="W78"/>
  <c r="X74"/>
  <c r="AB73"/>
  <c r="V73"/>
  <c r="W72"/>
  <c r="W71"/>
  <c r="AB68"/>
  <c r="V68"/>
  <c r="AB67"/>
  <c r="AB66"/>
  <c r="AB65"/>
  <c r="AB64"/>
  <c r="W64"/>
  <c r="W63"/>
  <c r="AB62"/>
  <c r="W62"/>
  <c r="AB61"/>
  <c r="V61"/>
  <c r="AB60"/>
  <c r="V60"/>
  <c r="AC59"/>
  <c r="W59"/>
  <c r="W58"/>
  <c r="AC57"/>
  <c r="W57"/>
  <c r="AC56"/>
  <c r="W56"/>
  <c r="Y55"/>
  <c r="W55"/>
  <c r="W54"/>
  <c r="X52"/>
  <c r="W52"/>
  <c r="X51"/>
  <c r="W51"/>
  <c r="X50"/>
  <c r="W50"/>
  <c r="V49"/>
  <c r="AB48"/>
  <c r="V48"/>
  <c r="AC47"/>
  <c r="W45"/>
  <c r="V45"/>
  <c r="AB44"/>
  <c r="X43"/>
  <c r="V43"/>
  <c r="W42"/>
  <c r="V42"/>
  <c r="W41"/>
  <c r="V41"/>
  <c r="Y40"/>
  <c r="X40"/>
  <c r="J40"/>
  <c r="Y39"/>
  <c r="X39"/>
  <c r="Y38"/>
  <c r="X38"/>
  <c r="W168" i="1"/>
  <c r="V168"/>
  <c r="U168"/>
  <c r="T168"/>
  <c r="S168"/>
  <c r="R168"/>
  <c r="Q168"/>
  <c r="W167"/>
  <c r="V167"/>
  <c r="U167"/>
  <c r="T167"/>
  <c r="S167"/>
  <c r="R167"/>
  <c r="Q167"/>
  <c r="W166"/>
  <c r="V166"/>
  <c r="U166"/>
  <c r="T166"/>
  <c r="S166"/>
  <c r="R166"/>
  <c r="Q166"/>
  <c r="W165"/>
  <c r="V165"/>
  <c r="U165"/>
  <c r="T165"/>
  <c r="S165"/>
  <c r="R165"/>
  <c r="Q165"/>
  <c r="W164"/>
  <c r="V164"/>
  <c r="U164"/>
  <c r="T164"/>
  <c r="S164"/>
  <c r="R164"/>
  <c r="Q164"/>
  <c r="W163"/>
  <c r="V163"/>
  <c r="U163"/>
  <c r="T163"/>
  <c r="S163"/>
  <c r="R163"/>
  <c r="Q163"/>
  <c r="W162"/>
  <c r="V162"/>
  <c r="U162"/>
  <c r="T162"/>
  <c r="S162"/>
  <c r="R162"/>
  <c r="Q162"/>
  <c r="W161"/>
  <c r="V161"/>
  <c r="U161"/>
  <c r="T161"/>
  <c r="S161"/>
  <c r="R161"/>
  <c r="Q161"/>
  <c r="W160"/>
  <c r="V160"/>
  <c r="U160"/>
  <c r="T160"/>
  <c r="S160"/>
  <c r="R160"/>
  <c r="Q160"/>
  <c r="W159"/>
  <c r="V159"/>
  <c r="U159"/>
  <c r="T159"/>
  <c r="S159"/>
  <c r="R159"/>
  <c r="Q159"/>
  <c r="W158"/>
  <c r="V158"/>
  <c r="U158"/>
  <c r="T158"/>
  <c r="S158"/>
  <c r="R158"/>
  <c r="Q158"/>
  <c r="W157"/>
  <c r="V157"/>
  <c r="U157"/>
  <c r="T157"/>
  <c r="S157"/>
  <c r="R157"/>
  <c r="Q157"/>
  <c r="W156"/>
  <c r="V156"/>
  <c r="U156"/>
  <c r="T156"/>
  <c r="S156"/>
  <c r="R156"/>
  <c r="Q156"/>
  <c r="W155"/>
  <c r="V155"/>
  <c r="U155"/>
  <c r="T155"/>
  <c r="S155"/>
  <c r="R155"/>
  <c r="Q155"/>
  <c r="W154"/>
  <c r="V154"/>
  <c r="U154"/>
  <c r="T154"/>
  <c r="S154"/>
  <c r="R154"/>
  <c r="Q154"/>
  <c r="W153"/>
  <c r="V153"/>
  <c r="U153"/>
  <c r="T153"/>
  <c r="S153"/>
  <c r="R153"/>
  <c r="Q153"/>
  <c r="X153" s="1"/>
  <c r="W152"/>
  <c r="V152"/>
  <c r="U152"/>
  <c r="T152"/>
  <c r="S152"/>
  <c r="R152"/>
  <c r="Q152"/>
  <c r="W151"/>
  <c r="V151"/>
  <c r="U151"/>
  <c r="T151"/>
  <c r="S151"/>
  <c r="R151"/>
  <c r="Q151"/>
  <c r="W150"/>
  <c r="V150"/>
  <c r="U150"/>
  <c r="T150"/>
  <c r="S150"/>
  <c r="R150"/>
  <c r="Q150"/>
  <c r="W149"/>
  <c r="V149"/>
  <c r="U149"/>
  <c r="T149"/>
  <c r="S149"/>
  <c r="R149"/>
  <c r="Q149"/>
  <c r="W148"/>
  <c r="V148"/>
  <c r="U148"/>
  <c r="T148"/>
  <c r="S148"/>
  <c r="R148"/>
  <c r="Q148"/>
  <c r="W147"/>
  <c r="V147"/>
  <c r="U147"/>
  <c r="T147"/>
  <c r="S147"/>
  <c r="R147"/>
  <c r="Q147"/>
  <c r="W146"/>
  <c r="V146"/>
  <c r="U146"/>
  <c r="T146"/>
  <c r="S146"/>
  <c r="R146"/>
  <c r="Q146"/>
  <c r="W145"/>
  <c r="V145"/>
  <c r="U145"/>
  <c r="T145"/>
  <c r="S145"/>
  <c r="R145"/>
  <c r="Q145"/>
  <c r="W144"/>
  <c r="V144"/>
  <c r="U144"/>
  <c r="T144"/>
  <c r="S144"/>
  <c r="R144"/>
  <c r="Q144"/>
  <c r="W143"/>
  <c r="V143"/>
  <c r="U143"/>
  <c r="T143"/>
  <c r="S143"/>
  <c r="R143"/>
  <c r="Q143"/>
  <c r="W142"/>
  <c r="V142"/>
  <c r="U142"/>
  <c r="T142"/>
  <c r="S142"/>
  <c r="R142"/>
  <c r="Q142"/>
  <c r="W141"/>
  <c r="V141"/>
  <c r="U141"/>
  <c r="T141"/>
  <c r="S141"/>
  <c r="R141"/>
  <c r="Q141"/>
  <c r="W140"/>
  <c r="V140"/>
  <c r="U140"/>
  <c r="T140"/>
  <c r="S140"/>
  <c r="R140"/>
  <c r="Q140"/>
  <c r="X140" s="1"/>
  <c r="W139"/>
  <c r="V139"/>
  <c r="U139"/>
  <c r="T139"/>
  <c r="S139"/>
  <c r="R139"/>
  <c r="Q139"/>
  <c r="X139" s="1"/>
  <c r="W138"/>
  <c r="V138"/>
  <c r="U138"/>
  <c r="T138"/>
  <c r="S138"/>
  <c r="R138"/>
  <c r="Q138"/>
  <c r="W137"/>
  <c r="V137"/>
  <c r="U137"/>
  <c r="T137"/>
  <c r="S137"/>
  <c r="R137"/>
  <c r="Q137"/>
  <c r="X137" s="1"/>
  <c r="W136"/>
  <c r="V136"/>
  <c r="U136"/>
  <c r="T136"/>
  <c r="S136"/>
  <c r="R136"/>
  <c r="Q136"/>
  <c r="X136" s="1"/>
  <c r="W135"/>
  <c r="V135"/>
  <c r="U135"/>
  <c r="T135"/>
  <c r="S135"/>
  <c r="R135"/>
  <c r="Q135"/>
  <c r="W134"/>
  <c r="V134"/>
  <c r="U134"/>
  <c r="T134"/>
  <c r="S134"/>
  <c r="R134"/>
  <c r="Q134"/>
  <c r="W133"/>
  <c r="V133"/>
  <c r="U133"/>
  <c r="T133"/>
  <c r="S133"/>
  <c r="R133"/>
  <c r="Q133"/>
  <c r="X133" s="1"/>
  <c r="W132"/>
  <c r="V132"/>
  <c r="U132"/>
  <c r="T132"/>
  <c r="S132"/>
  <c r="R132"/>
  <c r="Q132"/>
  <c r="W131"/>
  <c r="V131"/>
  <c r="U131"/>
  <c r="T131"/>
  <c r="S131"/>
  <c r="R131"/>
  <c r="Q131"/>
  <c r="W130"/>
  <c r="V130"/>
  <c r="U130"/>
  <c r="T130"/>
  <c r="S130"/>
  <c r="R130"/>
  <c r="Q130"/>
  <c r="W129"/>
  <c r="V129"/>
  <c r="U129"/>
  <c r="T129"/>
  <c r="S129"/>
  <c r="R129"/>
  <c r="Q129"/>
  <c r="W128"/>
  <c r="V128"/>
  <c r="U128"/>
  <c r="T128"/>
  <c r="S128"/>
  <c r="R128"/>
  <c r="Q128"/>
  <c r="W127"/>
  <c r="V127"/>
  <c r="U127"/>
  <c r="T127"/>
  <c r="S127"/>
  <c r="R127"/>
  <c r="Q127"/>
  <c r="W126"/>
  <c r="V126"/>
  <c r="U126"/>
  <c r="T126"/>
  <c r="S126"/>
  <c r="R126"/>
  <c r="Q126"/>
  <c r="W125"/>
  <c r="V125"/>
  <c r="U125"/>
  <c r="T125"/>
  <c r="S125"/>
  <c r="R125"/>
  <c r="Q125"/>
  <c r="W124"/>
  <c r="V124"/>
  <c r="U124"/>
  <c r="T124"/>
  <c r="S124"/>
  <c r="R124"/>
  <c r="Q124"/>
  <c r="W123"/>
  <c r="V123"/>
  <c r="U123"/>
  <c r="T123"/>
  <c r="S123"/>
  <c r="R123"/>
  <c r="Q123"/>
  <c r="W122"/>
  <c r="V122"/>
  <c r="U122"/>
  <c r="T122"/>
  <c r="S122"/>
  <c r="R122"/>
  <c r="Q122"/>
  <c r="W121"/>
  <c r="V121"/>
  <c r="U121"/>
  <c r="T121"/>
  <c r="S121"/>
  <c r="R121"/>
  <c r="Q121"/>
  <c r="W120"/>
  <c r="V120"/>
  <c r="U120"/>
  <c r="T120"/>
  <c r="S120"/>
  <c r="R120"/>
  <c r="Q120"/>
  <c r="X120" s="1"/>
  <c r="W119"/>
  <c r="V119"/>
  <c r="U119"/>
  <c r="T119"/>
  <c r="S119"/>
  <c r="R119"/>
  <c r="Q119"/>
  <c r="X119" s="1"/>
  <c r="W118"/>
  <c r="V118"/>
  <c r="U118"/>
  <c r="T118"/>
  <c r="S118"/>
  <c r="R118"/>
  <c r="Q118"/>
  <c r="W117"/>
  <c r="V117"/>
  <c r="U117"/>
  <c r="T117"/>
  <c r="S117"/>
  <c r="R117"/>
  <c r="Q117"/>
  <c r="X117" s="1"/>
  <c r="C82"/>
  <c r="D82" s="1"/>
  <c r="B82"/>
  <c r="C80"/>
  <c r="B80"/>
  <c r="F75"/>
  <c r="Q74"/>
  <c r="P74"/>
  <c r="O74"/>
  <c r="I74"/>
  <c r="H74"/>
  <c r="L74" s="1"/>
  <c r="G74"/>
  <c r="E74"/>
  <c r="C74" s="1"/>
  <c r="D74"/>
  <c r="Q73"/>
  <c r="P73"/>
  <c r="O73"/>
  <c r="I73"/>
  <c r="H73"/>
  <c r="G73"/>
  <c r="J73" s="1"/>
  <c r="N73" s="1"/>
  <c r="E73"/>
  <c r="D73"/>
  <c r="C73" s="1"/>
  <c r="Q72"/>
  <c r="P72"/>
  <c r="O72"/>
  <c r="I72"/>
  <c r="H72"/>
  <c r="G72"/>
  <c r="E72"/>
  <c r="D72"/>
  <c r="C72" s="1"/>
  <c r="Q71"/>
  <c r="P71"/>
  <c r="O71"/>
  <c r="I71"/>
  <c r="M71" s="1"/>
  <c r="H71"/>
  <c r="G71"/>
  <c r="J71" s="1"/>
  <c r="N71" s="1"/>
  <c r="E71"/>
  <c r="D71"/>
  <c r="C71" s="1"/>
  <c r="Q70"/>
  <c r="P70"/>
  <c r="O70"/>
  <c r="R70" s="1"/>
  <c r="L70"/>
  <c r="I70"/>
  <c r="H70"/>
  <c r="G70"/>
  <c r="J70" s="1"/>
  <c r="N70" s="1"/>
  <c r="E70"/>
  <c r="C70" s="1"/>
  <c r="K70" s="1"/>
  <c r="D70"/>
  <c r="Q69"/>
  <c r="P69"/>
  <c r="O69"/>
  <c r="I69"/>
  <c r="M69" s="1"/>
  <c r="H69"/>
  <c r="G69"/>
  <c r="E69"/>
  <c r="D69"/>
  <c r="C69" s="1"/>
  <c r="Q68"/>
  <c r="P68"/>
  <c r="O68"/>
  <c r="R68" s="1"/>
  <c r="I68"/>
  <c r="H68"/>
  <c r="L68" s="1"/>
  <c r="G68"/>
  <c r="E68"/>
  <c r="D68"/>
  <c r="C68"/>
  <c r="Q67"/>
  <c r="P67"/>
  <c r="O67"/>
  <c r="R67" s="1"/>
  <c r="M67"/>
  <c r="K67"/>
  <c r="I67"/>
  <c r="H67"/>
  <c r="J67" s="1"/>
  <c r="N67" s="1"/>
  <c r="G67"/>
  <c r="E67"/>
  <c r="D67"/>
  <c r="L67" s="1"/>
  <c r="C67"/>
  <c r="T66"/>
  <c r="Q66"/>
  <c r="P66"/>
  <c r="O66"/>
  <c r="R66" s="1"/>
  <c r="L66"/>
  <c r="J66"/>
  <c r="N66" s="1"/>
  <c r="I66"/>
  <c r="H66"/>
  <c r="G66"/>
  <c r="E66"/>
  <c r="M66" s="1"/>
  <c r="U66" s="1"/>
  <c r="U67" s="1"/>
  <c r="D66"/>
  <c r="D75" s="1"/>
  <c r="C66"/>
  <c r="K66" s="1"/>
  <c r="S66" s="1"/>
  <c r="S67" s="1"/>
  <c r="D58"/>
  <c r="H55"/>
  <c r="V52"/>
  <c r="U52"/>
  <c r="T52"/>
  <c r="S52"/>
  <c r="R52"/>
  <c r="Q52"/>
  <c r="C52"/>
  <c r="E59" s="1"/>
  <c r="V51"/>
  <c r="U51"/>
  <c r="T51"/>
  <c r="S51"/>
  <c r="R51"/>
  <c r="Q51"/>
  <c r="V50"/>
  <c r="U50"/>
  <c r="T50"/>
  <c r="S50"/>
  <c r="R50"/>
  <c r="Q50"/>
  <c r="V49"/>
  <c r="U49"/>
  <c r="T49"/>
  <c r="S49"/>
  <c r="R49"/>
  <c r="Q49"/>
  <c r="L49"/>
  <c r="J49"/>
  <c r="I49"/>
  <c r="V48"/>
  <c r="U48"/>
  <c r="T48"/>
  <c r="S48"/>
  <c r="R48"/>
  <c r="Q48"/>
  <c r="K48"/>
  <c r="K50" s="1"/>
  <c r="J48"/>
  <c r="I48"/>
  <c r="H48"/>
  <c r="G48"/>
  <c r="F48"/>
  <c r="E48"/>
  <c r="D48"/>
  <c r="C48"/>
  <c r="L48" s="1"/>
  <c r="B48"/>
  <c r="V47"/>
  <c r="U47"/>
  <c r="T47"/>
  <c r="S47"/>
  <c r="R47"/>
  <c r="Q47"/>
  <c r="X47" s="1"/>
  <c r="H47"/>
  <c r="G47"/>
  <c r="F47"/>
  <c r="E47"/>
  <c r="L47" s="1"/>
  <c r="D47"/>
  <c r="C47"/>
  <c r="B47"/>
  <c r="V46"/>
  <c r="U46"/>
  <c r="T46"/>
  <c r="S46"/>
  <c r="R46"/>
  <c r="Q46"/>
  <c r="B46"/>
  <c r="L46" s="1"/>
  <c r="V45"/>
  <c r="U45"/>
  <c r="T45"/>
  <c r="S45"/>
  <c r="R45"/>
  <c r="Q45"/>
  <c r="X45" s="1"/>
  <c r="K45"/>
  <c r="J45"/>
  <c r="J50" s="1"/>
  <c r="I45"/>
  <c r="I50" s="1"/>
  <c r="V44"/>
  <c r="U44"/>
  <c r="T44"/>
  <c r="S44"/>
  <c r="R44"/>
  <c r="Q44"/>
  <c r="H44"/>
  <c r="G44"/>
  <c r="F44"/>
  <c r="E44"/>
  <c r="D44"/>
  <c r="C44"/>
  <c r="B44"/>
  <c r="L44" s="1"/>
  <c r="V43"/>
  <c r="U43"/>
  <c r="T43"/>
  <c r="S43"/>
  <c r="R43"/>
  <c r="Q43"/>
  <c r="H43"/>
  <c r="G43"/>
  <c r="F43"/>
  <c r="E43"/>
  <c r="D43"/>
  <c r="C43"/>
  <c r="B43"/>
  <c r="V42"/>
  <c r="U42"/>
  <c r="T42"/>
  <c r="S42"/>
  <c r="R42"/>
  <c r="Q42"/>
  <c r="H42"/>
  <c r="G42"/>
  <c r="F42"/>
  <c r="E42"/>
  <c r="D42"/>
  <c r="L42" s="1"/>
  <c r="C42"/>
  <c r="B42"/>
  <c r="V41"/>
  <c r="U41"/>
  <c r="T41"/>
  <c r="S41"/>
  <c r="R41"/>
  <c r="Q41"/>
  <c r="H41"/>
  <c r="G41"/>
  <c r="F41"/>
  <c r="E41"/>
  <c r="D41"/>
  <c r="C41"/>
  <c r="B41"/>
  <c r="L41" s="1"/>
  <c r="V40"/>
  <c r="U40"/>
  <c r="T40"/>
  <c r="S40"/>
  <c r="R40"/>
  <c r="Q40"/>
  <c r="H40"/>
  <c r="H45" s="1"/>
  <c r="H50" s="1"/>
  <c r="G40"/>
  <c r="F40"/>
  <c r="E40"/>
  <c r="D40"/>
  <c r="C40"/>
  <c r="B40"/>
  <c r="L40" s="1"/>
  <c r="V39"/>
  <c r="U39"/>
  <c r="T39"/>
  <c r="S39"/>
  <c r="R39"/>
  <c r="Q39"/>
  <c r="H39"/>
  <c r="G39"/>
  <c r="G45" s="1"/>
  <c r="G50" s="1"/>
  <c r="F39"/>
  <c r="F45" s="1"/>
  <c r="F50" s="1"/>
  <c r="E39"/>
  <c r="E45" s="1"/>
  <c r="E50" s="1"/>
  <c r="D39"/>
  <c r="D45" s="1"/>
  <c r="D50" s="1"/>
  <c r="C39"/>
  <c r="C45" s="1"/>
  <c r="C50" s="1"/>
  <c r="B39"/>
  <c r="V38"/>
  <c r="U38"/>
  <c r="T38"/>
  <c r="S38"/>
  <c r="R38"/>
  <c r="Q38"/>
  <c r="V37"/>
  <c r="U37"/>
  <c r="T37"/>
  <c r="S37"/>
  <c r="R37"/>
  <c r="Q37"/>
  <c r="V36"/>
  <c r="U36"/>
  <c r="T36"/>
  <c r="S36"/>
  <c r="R36"/>
  <c r="Q36"/>
  <c r="X36" s="1"/>
  <c r="V35"/>
  <c r="U35"/>
  <c r="T35"/>
  <c r="S35"/>
  <c r="R35"/>
  <c r="Q35"/>
  <c r="V34"/>
  <c r="U34"/>
  <c r="T34"/>
  <c r="S34"/>
  <c r="R34"/>
  <c r="Q34"/>
  <c r="Y34" s="1"/>
  <c r="H34"/>
  <c r="G34"/>
  <c r="I34" s="1"/>
  <c r="F34"/>
  <c r="E34"/>
  <c r="D34"/>
  <c r="C34"/>
  <c r="B34"/>
  <c r="V33"/>
  <c r="U33"/>
  <c r="T33"/>
  <c r="S33"/>
  <c r="R33"/>
  <c r="Q33"/>
  <c r="H33"/>
  <c r="G33"/>
  <c r="F33"/>
  <c r="E33"/>
  <c r="D33"/>
  <c r="C33"/>
  <c r="B33"/>
  <c r="I33" s="1"/>
  <c r="V32"/>
  <c r="U32"/>
  <c r="T32"/>
  <c r="S32"/>
  <c r="R32"/>
  <c r="Q32"/>
  <c r="H32"/>
  <c r="V7" s="1"/>
  <c r="G32"/>
  <c r="U7" s="1"/>
  <c r="F32"/>
  <c r="T7" s="1"/>
  <c r="E32"/>
  <c r="D32"/>
  <c r="C32"/>
  <c r="B32"/>
  <c r="I32" s="1"/>
  <c r="V31"/>
  <c r="U31"/>
  <c r="T31"/>
  <c r="S31"/>
  <c r="R31"/>
  <c r="Q31"/>
  <c r="H31"/>
  <c r="G31"/>
  <c r="F31"/>
  <c r="E31"/>
  <c r="D31"/>
  <c r="C31"/>
  <c r="Q6" s="1"/>
  <c r="B31"/>
  <c r="V30"/>
  <c r="U30"/>
  <c r="T30"/>
  <c r="S30"/>
  <c r="R30"/>
  <c r="Q30"/>
  <c r="H30"/>
  <c r="G30"/>
  <c r="F30"/>
  <c r="E30"/>
  <c r="E35" s="1"/>
  <c r="D30"/>
  <c r="C30"/>
  <c r="B30"/>
  <c r="I30" s="1"/>
  <c r="V29"/>
  <c r="V53" s="1"/>
  <c r="U29"/>
  <c r="T29"/>
  <c r="S29"/>
  <c r="R29"/>
  <c r="Q29"/>
  <c r="I29"/>
  <c r="H29"/>
  <c r="H35" s="1"/>
  <c r="G29"/>
  <c r="G35" s="1"/>
  <c r="F29"/>
  <c r="F35" s="1"/>
  <c r="E29"/>
  <c r="D29"/>
  <c r="D35" s="1"/>
  <c r="C29"/>
  <c r="C35" s="1"/>
  <c r="B29"/>
  <c r="B35" s="1"/>
  <c r="Z27"/>
  <c r="F25"/>
  <c r="E25"/>
  <c r="D25"/>
  <c r="I24"/>
  <c r="H24"/>
  <c r="G24"/>
  <c r="F24"/>
  <c r="E24"/>
  <c r="D24"/>
  <c r="C24"/>
  <c r="B24"/>
  <c r="H23"/>
  <c r="G23"/>
  <c r="U8" s="1"/>
  <c r="F23"/>
  <c r="E23"/>
  <c r="S8" s="1"/>
  <c r="D23"/>
  <c r="I23" s="1"/>
  <c r="C23"/>
  <c r="B23"/>
  <c r="U22"/>
  <c r="V22" s="1"/>
  <c r="T22"/>
  <c r="S22"/>
  <c r="R22"/>
  <c r="Q22"/>
  <c r="P22"/>
  <c r="H22"/>
  <c r="G22"/>
  <c r="F22"/>
  <c r="E22"/>
  <c r="D22"/>
  <c r="C22"/>
  <c r="Q7" s="1"/>
  <c r="B22"/>
  <c r="B25" s="1"/>
  <c r="U21"/>
  <c r="T21"/>
  <c r="S21"/>
  <c r="R21"/>
  <c r="Q21"/>
  <c r="P21"/>
  <c r="V21" s="1"/>
  <c r="H21"/>
  <c r="G21"/>
  <c r="F21"/>
  <c r="E21"/>
  <c r="D21"/>
  <c r="C21"/>
  <c r="B21"/>
  <c r="I21" s="1"/>
  <c r="U20"/>
  <c r="T20"/>
  <c r="S20"/>
  <c r="R20"/>
  <c r="Q20"/>
  <c r="P20"/>
  <c r="V20" s="1"/>
  <c r="I20"/>
  <c r="H20"/>
  <c r="G20"/>
  <c r="F20"/>
  <c r="E20"/>
  <c r="D20"/>
  <c r="C20"/>
  <c r="B20"/>
  <c r="U19"/>
  <c r="T19"/>
  <c r="S19"/>
  <c r="R19"/>
  <c r="V19" s="1"/>
  <c r="Q19"/>
  <c r="P19"/>
  <c r="H19"/>
  <c r="H25" s="1"/>
  <c r="G19"/>
  <c r="G25" s="1"/>
  <c r="F19"/>
  <c r="E19"/>
  <c r="D19"/>
  <c r="C19"/>
  <c r="C25" s="1"/>
  <c r="B19"/>
  <c r="U18"/>
  <c r="T18"/>
  <c r="S18"/>
  <c r="R18"/>
  <c r="Q18"/>
  <c r="P18"/>
  <c r="U17"/>
  <c r="T17"/>
  <c r="S17"/>
  <c r="R17"/>
  <c r="Q17"/>
  <c r="P17"/>
  <c r="V17" s="1"/>
  <c r="U16"/>
  <c r="U23" s="1"/>
  <c r="T16"/>
  <c r="S16"/>
  <c r="V16" s="1"/>
  <c r="R16"/>
  <c r="R23" s="1"/>
  <c r="Q16"/>
  <c r="Q23" s="1"/>
  <c r="P16"/>
  <c r="P23" s="1"/>
  <c r="L13"/>
  <c r="J13"/>
  <c r="I13"/>
  <c r="K12"/>
  <c r="J12"/>
  <c r="H12"/>
  <c r="G12"/>
  <c r="F12"/>
  <c r="L12" s="1"/>
  <c r="E12"/>
  <c r="D12"/>
  <c r="C12"/>
  <c r="B12"/>
  <c r="H11"/>
  <c r="G11"/>
  <c r="F11"/>
  <c r="E11"/>
  <c r="D11"/>
  <c r="C11"/>
  <c r="B11"/>
  <c r="L11" s="1"/>
  <c r="L10"/>
  <c r="B10"/>
  <c r="K9"/>
  <c r="K14" s="1"/>
  <c r="J9"/>
  <c r="J14" s="1"/>
  <c r="I9"/>
  <c r="I14" s="1"/>
  <c r="H8"/>
  <c r="V9" s="1"/>
  <c r="G8"/>
  <c r="U9" s="1"/>
  <c r="F8"/>
  <c r="T9" s="1"/>
  <c r="E8"/>
  <c r="S9" s="1"/>
  <c r="D8"/>
  <c r="R9" s="1"/>
  <c r="C8"/>
  <c r="Q9" s="1"/>
  <c r="B8"/>
  <c r="P9" s="1"/>
  <c r="S7"/>
  <c r="H7"/>
  <c r="V8" s="1"/>
  <c r="G7"/>
  <c r="F7"/>
  <c r="T8" s="1"/>
  <c r="E7"/>
  <c r="D7"/>
  <c r="R8" s="1"/>
  <c r="C7"/>
  <c r="Q8" s="1"/>
  <c r="B7"/>
  <c r="P8" s="1"/>
  <c r="U6"/>
  <c r="T6"/>
  <c r="S6"/>
  <c r="H6"/>
  <c r="G6"/>
  <c r="F6"/>
  <c r="E6"/>
  <c r="D6"/>
  <c r="R7" s="1"/>
  <c r="C6"/>
  <c r="B6"/>
  <c r="P7" s="1"/>
  <c r="U5"/>
  <c r="T5"/>
  <c r="S5"/>
  <c r="Q5"/>
  <c r="L5"/>
  <c r="H5"/>
  <c r="V6" s="1"/>
  <c r="G5"/>
  <c r="F5"/>
  <c r="E5"/>
  <c r="D5"/>
  <c r="C5"/>
  <c r="B5"/>
  <c r="T4"/>
  <c r="Q4"/>
  <c r="P4"/>
  <c r="L4"/>
  <c r="H4"/>
  <c r="H9" s="1"/>
  <c r="G4"/>
  <c r="G9" s="1"/>
  <c r="F4"/>
  <c r="F9" s="1"/>
  <c r="E4"/>
  <c r="E9" s="1"/>
  <c r="D4"/>
  <c r="C4"/>
  <c r="C9" s="1"/>
  <c r="B4"/>
  <c r="B9" s="1"/>
  <c r="H3"/>
  <c r="G3"/>
  <c r="U4" s="1"/>
  <c r="F3"/>
  <c r="E3"/>
  <c r="S4" s="1"/>
  <c r="D3"/>
  <c r="C3"/>
  <c r="B3"/>
  <c r="J186" i="7"/>
  <c r="J172"/>
  <c r="J183"/>
  <c r="W35" i="1"/>
  <c r="J184" i="7"/>
  <c r="W29" i="1"/>
  <c r="J185" i="7"/>
  <c r="H105" i="1"/>
  <c r="R69" l="1"/>
  <c r="X130"/>
  <c r="X150"/>
  <c r="X127"/>
  <c r="X147"/>
  <c r="T23"/>
  <c r="X124"/>
  <c r="X144"/>
  <c r="X121"/>
  <c r="X141"/>
  <c r="J69"/>
  <c r="N69" s="1"/>
  <c r="X118"/>
  <c r="X138"/>
  <c r="X42"/>
  <c r="X135"/>
  <c r="R4"/>
  <c r="X132"/>
  <c r="X152"/>
  <c r="R6"/>
  <c r="W6" s="1"/>
  <c r="V18"/>
  <c r="R73"/>
  <c r="X129"/>
  <c r="X149"/>
  <c r="X126"/>
  <c r="X146"/>
  <c r="X123"/>
  <c r="X143"/>
  <c r="L3"/>
  <c r="L39"/>
  <c r="J68"/>
  <c r="N68" s="1"/>
  <c r="X134"/>
  <c r="X131"/>
  <c r="X151"/>
  <c r="D9"/>
  <c r="X128"/>
  <c r="X148"/>
  <c r="X125"/>
  <c r="X145"/>
  <c r="X122"/>
  <c r="X142"/>
  <c r="Y30"/>
  <c r="Y48"/>
  <c r="H75"/>
  <c r="L75" s="1"/>
  <c r="J72"/>
  <c r="N72" s="1"/>
  <c r="L43"/>
  <c r="G75"/>
  <c r="K68"/>
  <c r="S68" s="1"/>
  <c r="M72"/>
  <c r="R74"/>
  <c r="X33"/>
  <c r="K72"/>
  <c r="Y38"/>
  <c r="X41"/>
  <c r="J74"/>
  <c r="N74" s="1"/>
  <c r="X31"/>
  <c r="X44"/>
  <c r="X50"/>
  <c r="R71"/>
  <c r="R75" s="1"/>
  <c r="K74"/>
  <c r="P5"/>
  <c r="X34"/>
  <c r="X37"/>
  <c r="X46"/>
  <c r="K69"/>
  <c r="S53"/>
  <c r="X39"/>
  <c r="U53"/>
  <c r="X49"/>
  <c r="K71"/>
  <c r="R53"/>
  <c r="X52"/>
  <c r="Q53"/>
  <c r="P6"/>
  <c r="X32"/>
  <c r="M73"/>
  <c r="T53"/>
  <c r="Q75"/>
  <c r="K73"/>
  <c r="Y45"/>
  <c r="P75"/>
  <c r="X40"/>
  <c r="R72"/>
  <c r="D80"/>
  <c r="Y43"/>
  <c r="X30"/>
  <c r="X51"/>
  <c r="I75"/>
  <c r="M68"/>
  <c r="U68" s="1"/>
  <c r="U69" s="1"/>
  <c r="W53"/>
  <c r="W2" i="5"/>
  <c r="O28"/>
  <c r="W28" s="1"/>
  <c r="P10" i="1"/>
  <c r="B14"/>
  <c r="I25"/>
  <c r="V23"/>
  <c r="V10"/>
  <c r="H14"/>
  <c r="G14"/>
  <c r="U10"/>
  <c r="W7"/>
  <c r="W8"/>
  <c r="T67"/>
  <c r="T68" s="1"/>
  <c r="T69" s="1"/>
  <c r="T70" s="1"/>
  <c r="V66"/>
  <c r="V67" s="1"/>
  <c r="V68" s="1"/>
  <c r="I35"/>
  <c r="W9"/>
  <c r="X35"/>
  <c r="F14"/>
  <c r="T10"/>
  <c r="S10"/>
  <c r="E14"/>
  <c r="D14"/>
  <c r="R10"/>
  <c r="C14"/>
  <c r="Q10"/>
  <c r="I19"/>
  <c r="V5"/>
  <c r="Y29"/>
  <c r="X38"/>
  <c r="X43"/>
  <c r="X48"/>
  <c r="D54"/>
  <c r="H56"/>
  <c r="D59"/>
  <c r="X29"/>
  <c r="Y51"/>
  <c r="C54"/>
  <c r="G56"/>
  <c r="C59"/>
  <c r="L69"/>
  <c r="M70"/>
  <c r="N28" i="5"/>
  <c r="N31" s="1"/>
  <c r="B45" i="1"/>
  <c r="B54"/>
  <c r="F56"/>
  <c r="B59"/>
  <c r="Y35"/>
  <c r="Y39"/>
  <c r="Y44"/>
  <c r="E56"/>
  <c r="L71"/>
  <c r="O75"/>
  <c r="R5"/>
  <c r="D56"/>
  <c r="H58"/>
  <c r="L72"/>
  <c r="C56"/>
  <c r="G58"/>
  <c r="L73"/>
  <c r="M74"/>
  <c r="B56"/>
  <c r="F58"/>
  <c r="Y37"/>
  <c r="Y40"/>
  <c r="E58"/>
  <c r="Y31"/>
  <c r="Y49"/>
  <c r="Y50"/>
  <c r="G55"/>
  <c r="C58"/>
  <c r="F55"/>
  <c r="B58"/>
  <c r="I58" s="1"/>
  <c r="L6"/>
  <c r="Y41"/>
  <c r="E55"/>
  <c r="Y32"/>
  <c r="Y52"/>
  <c r="D55"/>
  <c r="H57"/>
  <c r="C55"/>
  <c r="G57"/>
  <c r="E75"/>
  <c r="Y46"/>
  <c r="B55"/>
  <c r="F57"/>
  <c r="Y36"/>
  <c r="Y42"/>
  <c r="E57"/>
  <c r="C75"/>
  <c r="L7"/>
  <c r="Y33"/>
  <c r="H54"/>
  <c r="D57"/>
  <c r="H59"/>
  <c r="V4"/>
  <c r="W4" s="1"/>
  <c r="I22"/>
  <c r="I31"/>
  <c r="S23"/>
  <c r="G54"/>
  <c r="C57"/>
  <c r="G59"/>
  <c r="Y47"/>
  <c r="F54"/>
  <c r="B57"/>
  <c r="F59"/>
  <c r="L8"/>
  <c r="E54"/>
  <c r="V69" l="1"/>
  <c r="V70" s="1"/>
  <c r="V71" s="1"/>
  <c r="V72" s="1"/>
  <c r="V73" s="1"/>
  <c r="V74" s="1"/>
  <c r="S69"/>
  <c r="S70" s="1"/>
  <c r="S71" s="1"/>
  <c r="S72" s="1"/>
  <c r="S73" s="1"/>
  <c r="S74" s="1"/>
  <c r="K75"/>
  <c r="J75"/>
  <c r="N75" s="1"/>
  <c r="T71"/>
  <c r="T72" s="1"/>
  <c r="T73" s="1"/>
  <c r="T74" s="1"/>
  <c r="L9"/>
  <c r="L14" s="1"/>
  <c r="W5"/>
  <c r="U70"/>
  <c r="U71" s="1"/>
  <c r="U72" s="1"/>
  <c r="U73" s="1"/>
  <c r="U74" s="1"/>
  <c r="M75"/>
  <c r="I59"/>
  <c r="E60"/>
  <c r="I57"/>
  <c r="Y53"/>
  <c r="D60"/>
  <c r="H60"/>
  <c r="W10"/>
  <c r="X53"/>
  <c r="C60"/>
  <c r="I56"/>
  <c r="G60"/>
  <c r="L45"/>
  <c r="B50"/>
  <c r="L50" s="1"/>
  <c r="F60"/>
  <c r="I54"/>
  <c r="B60"/>
  <c r="I55"/>
  <c r="I60" l="1"/>
</calcChain>
</file>

<file path=xl/sharedStrings.xml><?xml version="1.0" encoding="utf-8"?>
<sst xmlns="http://schemas.openxmlformats.org/spreadsheetml/2006/main" count="21103" uniqueCount="8473">
  <si>
    <t>ELECT</t>
  </si>
  <si>
    <t>COMBINED LOBBYWISE RUNNING STAFF POSITION</t>
  </si>
  <si>
    <t>CATEGORY</t>
  </si>
  <si>
    <t>North</t>
  </si>
  <si>
    <t>South</t>
  </si>
  <si>
    <t>KOAA</t>
  </si>
  <si>
    <t>DDJ+MJT</t>
  </si>
  <si>
    <t>NH</t>
  </si>
  <si>
    <t>BT</t>
  </si>
  <si>
    <t>RHA</t>
  </si>
  <si>
    <t>CP</t>
  </si>
  <si>
    <t>NKG</t>
  </si>
  <si>
    <t>HQ</t>
  </si>
  <si>
    <t>TOTAL</t>
  </si>
  <si>
    <t>LPM</t>
  </si>
  <si>
    <t>Category</t>
  </si>
  <si>
    <t>DDJ+KRP</t>
  </si>
  <si>
    <t>Total</t>
  </si>
  <si>
    <t>Motorman</t>
  </si>
  <si>
    <t>LPP(Loco)</t>
  </si>
  <si>
    <t>LPG</t>
  </si>
  <si>
    <t>LPS</t>
  </si>
  <si>
    <t>ALP</t>
  </si>
  <si>
    <t>CLI</t>
  </si>
  <si>
    <t>DRAFTED &amp; De cat</t>
  </si>
  <si>
    <t>MINISTERIAL</t>
  </si>
  <si>
    <t>Technical</t>
  </si>
  <si>
    <t>GR TOTAL</t>
  </si>
  <si>
    <t>24 Nos ALP working at DSL wing included in MOR and 01 nos ALP promoted to LPS shown in ALP, Total=4 Nos MTM(01 no. MTM in MLDT Div &amp; 03 nos. MTM working as LPP/Loco) included in NORTH MOR.</t>
  </si>
  <si>
    <t>lobby</t>
  </si>
  <si>
    <t>LPP(L)</t>
  </si>
  <si>
    <t>MOTORMAN</t>
  </si>
  <si>
    <t>NORTH</t>
  </si>
  <si>
    <t>ON ROll</t>
  </si>
  <si>
    <t>CONV</t>
  </si>
  <si>
    <t>SOUTH</t>
  </si>
  <si>
    <t>DDJ</t>
  </si>
  <si>
    <t>DSL</t>
  </si>
  <si>
    <t xml:space="preserve">     Distribution of Running Staff under CLI</t>
  </si>
  <si>
    <t>DT</t>
  </si>
  <si>
    <t>SL</t>
  </si>
  <si>
    <t>TWD</t>
  </si>
  <si>
    <t>LP</t>
  </si>
  <si>
    <t>AMITAV TARAFDER</t>
  </si>
  <si>
    <t>SWAPAN KUMAR MONDAL</t>
  </si>
  <si>
    <t>Ruwel Murmu</t>
  </si>
  <si>
    <t>Rajeev Kumar Sabherwal</t>
  </si>
  <si>
    <t>Kalyan Das</t>
  </si>
  <si>
    <t>UTPAL HALDER</t>
  </si>
  <si>
    <t>S S Munda</t>
  </si>
  <si>
    <t>SANJAY KR GUPTA</t>
  </si>
  <si>
    <t>RETIREMENT</t>
  </si>
  <si>
    <t>SIDDHARTHA BISWAS</t>
  </si>
  <si>
    <t>Bibhas Sarkar</t>
  </si>
  <si>
    <t>TAPAS KR DE</t>
  </si>
  <si>
    <t>A T KHAN</t>
  </si>
  <si>
    <t>SUSOVAN KAR</t>
  </si>
  <si>
    <t>TAMOJIT NANDY</t>
  </si>
  <si>
    <t>SUMIT BHATTACHARJEE</t>
  </si>
  <si>
    <t>SUBRATA SAHA</t>
  </si>
  <si>
    <t>SOUBHAGYA SARDAR</t>
  </si>
  <si>
    <t>SUDIP ROY</t>
  </si>
  <si>
    <t>B M KALUNDIA</t>
  </si>
  <si>
    <t>MINISTERIAL &amp; RRB</t>
  </si>
  <si>
    <t>MAHADEO MANJHI</t>
  </si>
  <si>
    <t>SAMARESH MONDAL</t>
  </si>
  <si>
    <t>SHYAMAL PRADHAN</t>
  </si>
  <si>
    <t>NALINI KHAN</t>
  </si>
  <si>
    <t>DSL+conv</t>
  </si>
  <si>
    <t>SHIVA SANKAR MONDAL</t>
  </si>
  <si>
    <t>CATEGORYWISE MOR VS VACANCY</t>
  </si>
  <si>
    <t xml:space="preserve">                                     SANC</t>
  </si>
  <si>
    <t xml:space="preserve">                                             MOR</t>
  </si>
  <si>
    <t xml:space="preserve">                                          VAC</t>
  </si>
  <si>
    <t xml:space="preserve"> ASSESSMENT VAC UPTO</t>
  </si>
  <si>
    <t xml:space="preserve">                                                                      CHAIN VACANCY</t>
  </si>
  <si>
    <t>UR</t>
  </si>
  <si>
    <t>SC</t>
  </si>
  <si>
    <t>ST</t>
  </si>
  <si>
    <t>Drafted &amp; De-cat CCR/ACCR/PC</t>
  </si>
  <si>
    <t>LP for metro railway</t>
  </si>
  <si>
    <t>LPP(LOCO)</t>
  </si>
  <si>
    <t>SUMMARY OF PSYCHO TEST</t>
  </si>
  <si>
    <t>MOR</t>
  </si>
  <si>
    <t>SUITABLE</t>
  </si>
  <si>
    <t>NOT SUITABLE</t>
  </si>
  <si>
    <t xml:space="preserve"> </t>
  </si>
  <si>
    <t>Details</t>
  </si>
  <si>
    <t>https://docs.google.com/spreadsheets/d/1p53P7R4iR_RZM8DbmJhX9kd47T4xPR9ByN6rXBHMUvY/edit?usp=sharing</t>
  </si>
  <si>
    <t>Miscellaneous Crew</t>
  </si>
  <si>
    <t>https://docs.google.com/spreadsheets/d/14bLgpV-mLjdR8grF44xNiGQu_-TJh4EGNWIxttFd9_A/edit?usp=sharing</t>
  </si>
  <si>
    <t>DSL CLI DISTRIBUTION</t>
  </si>
  <si>
    <t xml:space="preserve">SOUTH </t>
  </si>
  <si>
    <t>A C JHA</t>
  </si>
  <si>
    <t>ANIMESH SARKAR</t>
  </si>
  <si>
    <t>BHABOTOSH BHOWMICK</t>
  </si>
  <si>
    <t>BHAIDAR SINGH</t>
  </si>
  <si>
    <t>DULAL DAS</t>
  </si>
  <si>
    <t>DEBABRATA DUTTA</t>
  </si>
  <si>
    <t>J S BASAK</t>
  </si>
  <si>
    <t>JAYANTA KUNDU</t>
  </si>
  <si>
    <t>PROVAT KUMAR GHOSH</t>
  </si>
  <si>
    <t>SUMANTA SEN</t>
  </si>
  <si>
    <t>SANKAR PRASAD BAISYA</t>
  </si>
  <si>
    <t>A K Bala</t>
  </si>
  <si>
    <t>Madan Kumar Saha</t>
  </si>
  <si>
    <t>Sibasis Roy</t>
  </si>
  <si>
    <t>Md. Atiar Rahaman</t>
  </si>
  <si>
    <t>SWADESH MUKHOPADHYAY</t>
  </si>
  <si>
    <t>SAMARESH MANDAL</t>
  </si>
  <si>
    <t>Prasanta Kumar Pal</t>
  </si>
  <si>
    <t>DIPANKAR RAY</t>
  </si>
  <si>
    <t>S C SARKAR</t>
  </si>
  <si>
    <t>S S DEY</t>
  </si>
  <si>
    <t>Debabrata Nandi</t>
  </si>
  <si>
    <t>SUBHASIS MAITY</t>
  </si>
  <si>
    <t>P K RAY</t>
  </si>
  <si>
    <t>S S SINGH</t>
  </si>
  <si>
    <t>KUNTAL GHOSH</t>
  </si>
  <si>
    <t>A M MALLICK</t>
  </si>
  <si>
    <t>SUBIR MONDAL</t>
  </si>
  <si>
    <t>MAHANANDA MONDAL</t>
  </si>
  <si>
    <t>S K CHAKRABORTY</t>
  </si>
  <si>
    <t>AMIT GANGULY</t>
  </si>
  <si>
    <t>T K DEII</t>
  </si>
  <si>
    <t>N a m e</t>
  </si>
  <si>
    <t>SC/ST</t>
  </si>
  <si>
    <t>Design.</t>
  </si>
  <si>
    <t>P.F.No.</t>
  </si>
  <si>
    <t>Date of Birth</t>
  </si>
  <si>
    <t>DOR</t>
  </si>
  <si>
    <t>Date of Apptt.</t>
  </si>
  <si>
    <t>Date of Prom. as LPG</t>
  </si>
  <si>
    <t>Apt Test</t>
  </si>
  <si>
    <t>Prom. Training</t>
  </si>
  <si>
    <t>Working at</t>
  </si>
  <si>
    <t>NABIN KR. SAHA</t>
  </si>
  <si>
    <t>LPP</t>
  </si>
  <si>
    <t>14.01.71</t>
  </si>
  <si>
    <t>19.07.99</t>
  </si>
  <si>
    <t>10.06.10</t>
  </si>
  <si>
    <t>06.09.12 (M/Man)</t>
  </si>
  <si>
    <t>As lien.</t>
  </si>
  <si>
    <t>DEBBRATA RAY</t>
  </si>
  <si>
    <t>25.04.66</t>
  </si>
  <si>
    <t>31.05.99</t>
  </si>
  <si>
    <t>18.09.19 (M/Man)</t>
  </si>
  <si>
    <t>SUBHAJIT BANERJEE</t>
  </si>
  <si>
    <t>17.02.67</t>
  </si>
  <si>
    <t>18.12.95</t>
  </si>
  <si>
    <t>16.03.12</t>
  </si>
  <si>
    <t>GADADHAR SARKAR</t>
  </si>
  <si>
    <t>17.09.67</t>
  </si>
  <si>
    <t>31.10.12</t>
  </si>
  <si>
    <t>BIPLAB KR. MALLICK</t>
  </si>
  <si>
    <t>05.04.72</t>
  </si>
  <si>
    <t>24.04.2000</t>
  </si>
  <si>
    <t>03.01.13</t>
  </si>
  <si>
    <t>SANAT KR. MAITY</t>
  </si>
  <si>
    <t>15.10.73</t>
  </si>
  <si>
    <t>05.06.01</t>
  </si>
  <si>
    <t>19.02.13</t>
  </si>
  <si>
    <t>BIJAY SAHA</t>
  </si>
  <si>
    <t>25.05.76</t>
  </si>
  <si>
    <t>09.08.02</t>
  </si>
  <si>
    <t>30.09.15</t>
  </si>
  <si>
    <t>MANAS DAS</t>
  </si>
  <si>
    <t>09.03.76</t>
  </si>
  <si>
    <t>01.08.02</t>
  </si>
  <si>
    <t>10.01.17</t>
  </si>
  <si>
    <t>Sanjay Kumar -II</t>
  </si>
  <si>
    <t>05.12.77</t>
  </si>
  <si>
    <t>25.02.03</t>
  </si>
  <si>
    <t>03.10.19</t>
  </si>
  <si>
    <t>10.07.18 (LPG)</t>
  </si>
  <si>
    <t>Promoted to M/Man by M/Railway.</t>
  </si>
  <si>
    <t>Abhijit Maitra</t>
  </si>
  <si>
    <t>24.12.69</t>
  </si>
  <si>
    <t>07.03.00</t>
  </si>
  <si>
    <t>Mithun Biswas</t>
  </si>
  <si>
    <t>15.01.86</t>
  </si>
  <si>
    <t>22.03.10</t>
  </si>
  <si>
    <t>18.09.19</t>
  </si>
  <si>
    <t>Koushik Mondal</t>
  </si>
  <si>
    <t>22.04.84</t>
  </si>
  <si>
    <t>03.08.09</t>
  </si>
  <si>
    <t>Avijit Kirtania</t>
  </si>
  <si>
    <t>12.01.82</t>
  </si>
  <si>
    <t>17.10.11</t>
  </si>
  <si>
    <t>27.07.18 (LPG)</t>
  </si>
  <si>
    <t>Mithun Debnath</t>
  </si>
  <si>
    <t>05.03.83</t>
  </si>
  <si>
    <t>23.12.09</t>
  </si>
  <si>
    <t>RABINDRA KUMAR</t>
  </si>
  <si>
    <t>04.02.87</t>
  </si>
  <si>
    <t>07.11.18 (LPG)</t>
  </si>
  <si>
    <t>RUDRAK DAS</t>
  </si>
  <si>
    <t>01.01.76</t>
  </si>
  <si>
    <t>10.05.06</t>
  </si>
  <si>
    <t>14.11.18 (LPG)</t>
  </si>
  <si>
    <t>PRABIR KUMAR SARDAR</t>
  </si>
  <si>
    <t>26.11.75</t>
  </si>
  <si>
    <t>05.03.07</t>
  </si>
  <si>
    <t>BARUN KUMAR MIDYA</t>
  </si>
  <si>
    <t>25.11.76</t>
  </si>
  <si>
    <t>09.05.06</t>
  </si>
  <si>
    <t>PARIMAL DAS</t>
  </si>
  <si>
    <t>15.09.71</t>
  </si>
  <si>
    <t>28.02.03</t>
  </si>
  <si>
    <t>03.08.20 (M/Man)</t>
  </si>
  <si>
    <t>BIKASH KAR</t>
  </si>
  <si>
    <t>21.01.74</t>
  </si>
  <si>
    <t>PALLAB PATRA</t>
  </si>
  <si>
    <t>22.01.77</t>
  </si>
  <si>
    <t>05.07.06</t>
  </si>
  <si>
    <t>SUDIP PAL</t>
  </si>
  <si>
    <t>21.01.81</t>
  </si>
  <si>
    <t>Varun Kumar</t>
  </si>
  <si>
    <t>19.10.09</t>
  </si>
  <si>
    <t>10.08.17</t>
  </si>
  <si>
    <t>Arup Kumar Mondal</t>
  </si>
  <si>
    <t>02.11.80</t>
  </si>
  <si>
    <t>Manish Kumar</t>
  </si>
  <si>
    <t>07.01.83</t>
  </si>
  <si>
    <t>Gourav Kumar</t>
  </si>
  <si>
    <t>01.02.87</t>
  </si>
  <si>
    <t>Suman Kumar Singh</t>
  </si>
  <si>
    <t>24.10.87</t>
  </si>
  <si>
    <t>21.12.09</t>
  </si>
  <si>
    <t>Sanjib Seal</t>
  </si>
  <si>
    <t>05.04.78</t>
  </si>
  <si>
    <t>31.08.17</t>
  </si>
  <si>
    <t>Joydip Ghosh-II</t>
  </si>
  <si>
    <t>11.04.78</t>
  </si>
  <si>
    <t>20.10.17</t>
  </si>
  <si>
    <t>Samiran Halder</t>
  </si>
  <si>
    <t>17.09.70</t>
  </si>
  <si>
    <t>Biswajit Paul</t>
  </si>
  <si>
    <t>04.01.74</t>
  </si>
  <si>
    <t>Goutam Roy</t>
  </si>
  <si>
    <t>06.06.78</t>
  </si>
  <si>
    <t>06.11.06</t>
  </si>
  <si>
    <t>MUKESH KUMAR</t>
  </si>
  <si>
    <t>11.12.85</t>
  </si>
  <si>
    <t>Md. Maqsood Alam</t>
  </si>
  <si>
    <t>16.04.79</t>
  </si>
  <si>
    <t>14.05.13</t>
  </si>
  <si>
    <t>Chandan Biswas</t>
  </si>
  <si>
    <t>20.07.75</t>
  </si>
  <si>
    <t>DEBASISH PAN</t>
  </si>
  <si>
    <t>22.02.75</t>
  </si>
  <si>
    <t>18.02.20</t>
  </si>
  <si>
    <t>SRIRUP KUNDU</t>
  </si>
  <si>
    <t>CC(R) NORTH</t>
  </si>
  <si>
    <t>https://drive.google.com/file/d/1foEPtOsuwxEnIkPtVsjRp0HZY15nlyLz/view?usp=sharing</t>
  </si>
  <si>
    <t>AVIK GHOSH</t>
  </si>
  <si>
    <t>KALYAN DAS</t>
  </si>
  <si>
    <t>https://drive.google.com/file/d/110E-fNjZwaGbS-NV-lKt1MdjeBpN5kzu/view?usp=sharing</t>
  </si>
  <si>
    <t>https://drive.google.com/file/d/1VNbafGCqICnnRmuGE96d806Wo_KTR-DE/view?usp=sharing</t>
  </si>
  <si>
    <t>Spared on 22.03.2022</t>
  </si>
  <si>
    <t>KAMAL HALDER</t>
  </si>
  <si>
    <t>CC(R) SOUTH</t>
  </si>
  <si>
    <t>https://drive.google.com/file/d/1m4yS_qgVy-hZdfRCSMXsHUr_0NqkP-Fr/view?usp=sharing</t>
  </si>
  <si>
    <t>https://drive.google.com/file/d/127titRODuaORqzkO3ghZwDKMUPSYEhuI/view?usp=sharing</t>
  </si>
  <si>
    <t>AJAY KUMAR SAW</t>
  </si>
  <si>
    <t>502NP202970</t>
  </si>
  <si>
    <t>B</t>
  </si>
  <si>
    <t>SAMBHU PAUL</t>
  </si>
  <si>
    <t>https://drive.google.com/file/d/1O2Hx7nnTchoypnbJE3flj1E5uh6h1oVe/view?usp=sharing</t>
  </si>
  <si>
    <t>https://drive.google.com/file/d/144e7WRg1Yhghu4Z10zPXxpP49NsJAuYY/view?usp=sharing</t>
  </si>
  <si>
    <t>SANJEEV KUMAR</t>
  </si>
  <si>
    <t>https://drive.google.com/file/d/1tJ6faHZGva9DDrzMe9zHm50ie0JKOIFE/view?usp=sharing</t>
  </si>
  <si>
    <t>BIKASH PAL</t>
  </si>
  <si>
    <t>JTDYDI</t>
  </si>
  <si>
    <t>https://drive.google.com/file/d/1uRYUwL-0TkyRbVvx7my7J2JDVRblUHr_/view?usp=sharing</t>
  </si>
  <si>
    <t>https://drive.google.com/file/d/1IDBHkdlEpiMz1hC1r4TXGC3iB0el9LQW/view?usp=share_link</t>
  </si>
  <si>
    <t>RELEASED ON 13.01.2023</t>
  </si>
  <si>
    <t>BALABANT SINGH</t>
  </si>
  <si>
    <t>LPP/Loco</t>
  </si>
  <si>
    <t>A</t>
  </si>
  <si>
    <t>https://drive.google.com/file/d/1YQ_1d3YB7kJ3ynPjdbtPQMrUuR02zJf1/view?usp=sharing</t>
  </si>
  <si>
    <t>07/10/2020(F)</t>
  </si>
  <si>
    <t>MAHESH KUMAR PRASAD</t>
  </si>
  <si>
    <t xml:space="preserve">   </t>
  </si>
  <si>
    <t>https://drive.google.com/file/d/1YsVH0L8D2LlahB0BWnZ3X0nKMhvafFpZ/view?usp=sharing</t>
  </si>
  <si>
    <t>https://drive.google.com/file/d/1GBQ1kK3Qhewh3KBImLg5IBTZrQ8N6cyJ/view?usp=sharing</t>
  </si>
  <si>
    <t>PARTHA DEY</t>
  </si>
  <si>
    <t>https://drive.google.com/file/d/1CcRzL6LEqemenEISWbPwLWbcDHFHtBe-/view?usp=share_link</t>
  </si>
  <si>
    <t>Spared to Metro Rly On 10.04.2023</t>
  </si>
  <si>
    <t>DEBAJYOTI ROY</t>
  </si>
  <si>
    <t>CC(R) NH</t>
  </si>
  <si>
    <t>https://drive.google.com/file/d/1SXFOedYMtZXapMlgiB-HNSwuGiU9MTNc/view?usp=sharing</t>
  </si>
  <si>
    <t>TRANSFERRED TO METRO ON 05.10.2023</t>
  </si>
  <si>
    <t>KRISHNENDU BISWAS</t>
  </si>
  <si>
    <t>DINESH PRASAD MANDAL</t>
  </si>
  <si>
    <t>https://drive.google.com/file/d/13pTX6Y7z-xPCRoH-Rxpt_Fb7newVOsp8/view?usp=sharing</t>
  </si>
  <si>
    <t>https://drive.google.com/file/d/1t5cgk_yOowfT9DimkjHK5jJH498lD0qI/view?usp=sharing</t>
  </si>
  <si>
    <t>TRANSFERRED TO M/RLY</t>
  </si>
  <si>
    <t>CHANDAN KUMAR</t>
  </si>
  <si>
    <t>R K SABHERWAL</t>
  </si>
  <si>
    <t>https://drive.google.com/file/d/1g-islwsu30iIMPRf4EobOLdDmBa6kU0w/view?usp=sharing</t>
  </si>
  <si>
    <t>https://drive.google.com/file/d/1rgmD_mp4gYj36EcI-N-BVSXdrW00Y5iC/view?usp=sharing</t>
  </si>
  <si>
    <t>JAYANT KUMAR SINHA</t>
  </si>
  <si>
    <t>https://drive.google.com/file/d/1PaMy5LkBNRTmHGcodflCAD38yc0XKcgE/view?usp=sharing</t>
  </si>
  <si>
    <t>https://drive.google.com/file/d/16Xw4BqDsjt16t9W8iWzWGOUpy0Vo57B7/view?usp=sharing</t>
  </si>
  <si>
    <t>NAND KISHOR BHAGAT</t>
  </si>
  <si>
    <t>BAIDHAR SINGH</t>
  </si>
  <si>
    <t>https://drive.google.com/file/d/1SxTv3HN5JldaPOsIPGjwFp3KAWUlKbQC/view?usp=sharing</t>
  </si>
  <si>
    <t>https://drive.google.com/file/d/1LPGion-VFSDQSago4KEFc3GBTElgS10v/view?usp=sharing</t>
  </si>
  <si>
    <t>RAHUL</t>
  </si>
  <si>
    <t>https://drive.google.com/file/d/1HbwrPf3ed3qrnZ_NcrGSVd43lac1xOGw/view?usp=sharing</t>
  </si>
  <si>
    <t>https://drive.google.com/file/d/1TZHorou-J4zb4YKkFKpBCCBPoz9_PTDY/view?usp=sharing</t>
  </si>
  <si>
    <t>ALOKESH DHALI</t>
  </si>
  <si>
    <t>Elect</t>
  </si>
  <si>
    <t>AWADESH KUMAR I</t>
  </si>
  <si>
    <t>CC(R) DDJ</t>
  </si>
  <si>
    <t>https://drive.google.com/file/d/1RAv8_sp1xSd2RiF-R6dF1TyUL_FLG1WV/view?usp=sharing</t>
  </si>
  <si>
    <t>https://drive.google.com/file/d/1xX9okSmKqo1uqM6GGriYuvhaI-ViVa61/view?usp=sharing</t>
  </si>
  <si>
    <t>https://drive.google.com/file/d/1djK0OmEdvXswTKLJrXrubpAQKwAWElCF/view?usp=sharing</t>
  </si>
  <si>
    <t>BARUN MAJHI</t>
  </si>
  <si>
    <t>https://drive.google.com/file/d/1DkG-MqbcL3ylbUjG55cq8gUojcmsVR3p/view?usp=sharing</t>
  </si>
  <si>
    <t>https://drive.google.com/file/d/1WRdIpxX0Bs-ipoI8TfMhhEGADPoOGNhG/view?usp=sharing</t>
  </si>
  <si>
    <t>JITENDRA KUMAR RAJ</t>
  </si>
  <si>
    <t>https://drive.google.com/file/d/1e_5FOXDesQKGRTJBnwM0S5swR0ljkYgR/view?usp=sharing</t>
  </si>
  <si>
    <t>https://drive.google.com/file/d/1f6swmEFtnAP6V9b6uh4iMC1kWHWxlRgf/view?usp=sharing</t>
  </si>
  <si>
    <t>https://drive.google.com/file/d/16962INo2sms9VCmlO1j0a3-qNr90Suv7/view?usp=sharing</t>
  </si>
  <si>
    <t>ASHUTOSH KUMAR</t>
  </si>
  <si>
    <t>https://drive.google.com/file/d/17m1h9u4PZAeLaUSsHolFemiChIL_OcGr/view?usp=sharing</t>
  </si>
  <si>
    <t>https://drive.google.com/file/d/1vaxocpBNHc-HbwAzJnRSw28-eqIY2cR7/view?usp=sharing</t>
  </si>
  <si>
    <t>ARINDAM DUTTA</t>
  </si>
  <si>
    <t>CC(R) BT</t>
  </si>
  <si>
    <t>P K PAL</t>
  </si>
  <si>
    <t>https://drive.google.com/file/d/1otP4Cg6IPCLK27BthYxw7m2O4lk2hy1a/view?usp=sharing</t>
  </si>
  <si>
    <t>SATYABAN MONDAL</t>
  </si>
  <si>
    <t>CC(R) KOAA</t>
  </si>
  <si>
    <t>https://drive.google.com/file/d/13JBNNdr1skX1dFEOA6nuTMS5aPlZjf3T/view?usp=sharing</t>
  </si>
  <si>
    <t>SUJAY KUMAR BISWAS</t>
  </si>
  <si>
    <t>https://drive.google.com/file/d/1Ssiz5znj8ov9NMo68bOEyH9CkNibyDuW/view?usp=sharing</t>
  </si>
  <si>
    <t>RANJEET LAL</t>
  </si>
  <si>
    <t>https://drive.google.com/file/d/1MMrFsvS16g1jQ1xMiMtcbrpNCsE3hoWK/view?usp=sharing</t>
  </si>
  <si>
    <t>https://drive.google.com/file/d/1SZFh_AoJK7M0GRYUq779ouSIc95LJR-A/view?usp=sharing</t>
  </si>
  <si>
    <t>DHANANJAY KUMAR</t>
  </si>
  <si>
    <t>M A RAHAMAN</t>
  </si>
  <si>
    <t>https://drive.google.com/file/d/1TWexNPV3jlgX4DkaWlHg_mT6cwQnqEjt/view?usp=sharing</t>
  </si>
  <si>
    <t>https://drive.google.com/file/d/1qf2rnvtYOPkHfX30gHMuUbarnPbvwP8z/view?usp=sharing</t>
  </si>
  <si>
    <t>https://drive.google.com/file/d/1lAFUYFUBtC5TrRml9ejfIcn4IcTZUV_F/view?usp=sharing</t>
  </si>
  <si>
    <t>DEEPAK KUMAR I</t>
  </si>
  <si>
    <t>https://drive.google.com/file/d/1gJLR1yS2XUnPh--Su-XTvrBwd5mCZfR-/view?usp=sharing</t>
  </si>
  <si>
    <t>https://drive.google.com/file/d/1WuVS49kvKZx62Ol2_iaWQKNaX2wpT1o6/view?usp=sharing</t>
  </si>
  <si>
    <t>https://drive.google.com/file/d/1NrdkqkXwV6OS3CjOqBWP8zj1homoO_GO/view?usp=sharing</t>
  </si>
  <si>
    <t>MANISH KUMAR II</t>
  </si>
  <si>
    <t>RUWEL MURMU</t>
  </si>
  <si>
    <t>https://drive.google.com/file/d/124BePkzQHan_gfhwL7-kegRj2srxYHJD/view?usp=sharing</t>
  </si>
  <si>
    <t>https://drive.google.com/file/d/1_4PgWuXa4SbAIjYFZKF3LeFQ6JLDAx_O/view?usp=sharing</t>
  </si>
  <si>
    <t>https://drive.google.com/file/d/1jonoL6UWbpDKuHwggKh7MaY9GA0CYvvf/view?usp=sharing</t>
  </si>
  <si>
    <t>KRP</t>
  </si>
  <si>
    <t>SAMAR MONDAL</t>
  </si>
  <si>
    <t>https://drive.google.com/file/d/1L_IpymWh8mla1dPGNMssqbh1TyOBzUe5/view?usp=sharing</t>
  </si>
  <si>
    <t>https://drive.google.com/file/d/1-jPPPz53_Fx8qYDkn4rDyOmD72WCiBBJ/view?usp=sharing</t>
  </si>
  <si>
    <t>https://drive.google.com/file/d/1tUXybUyGYcEca246h0tTie_SdJjgYZCQ/view?usp=sharing</t>
  </si>
  <si>
    <t>SUKANTA PRAMANIK</t>
  </si>
  <si>
    <t>https://drive.google.com/file/d/1NQQYnmYID8Zlpz0Yndxqe59zIFUe8-Ss/view?usp=sharing</t>
  </si>
  <si>
    <t>https://drive.google.com/file/d/1uxn2hmLCtRwZzeRy0PmKUdW_knEfvUXm/view?usp=share_link</t>
  </si>
  <si>
    <t>BISHNU PROSAD ROY</t>
  </si>
  <si>
    <t>https://drive.google.com/file/d/1bWQflfyfQvVyYJco9xe98xZsGhWYOPaS/view?usp=sharing</t>
  </si>
  <si>
    <t>https://drive.google.com/file/d/17-d1Zm_pbBJzzD9YNTdfWtbB-u_t9rfn/view?usp=share_link</t>
  </si>
  <si>
    <t>https://drive.google.com/file/d/1g5VZ5m0bndSD0stCWbzMQJxXxr0CBHui/view?usp=sharing</t>
  </si>
  <si>
    <t>SUSANTA DEY</t>
  </si>
  <si>
    <t>https://drive.google.com/file/d/15iU8T4DTZDhd5C5Sg2-HOyoQrvkAUziV/view?usp=sharing</t>
  </si>
  <si>
    <t>https://drive.google.com/file/d/1UhO7hCVpDA219F0ncb9uTPLWKOeTqMDv/view?usp=share_link</t>
  </si>
  <si>
    <t>DURGAMADHAB NATH</t>
  </si>
  <si>
    <t>Sr.ALP</t>
  </si>
  <si>
    <t>53162110402</t>
  </si>
  <si>
    <t>PRIYAJIT BISWAS</t>
  </si>
  <si>
    <t>53120134378</t>
  </si>
  <si>
    <t>https://drive.google.com/file/d/1o1EpbrVIPVdUPde_i3l1CwzL3bgBLwaq/view?usp=sharing</t>
  </si>
  <si>
    <t>https://drive.google.com/file/d/1iEyCNmLuoMmv6OpiFe6U6cGxxcZzBt3-/view?usp=drive_link</t>
  </si>
  <si>
    <t>MRINMOY CHONGDER</t>
  </si>
  <si>
    <t>53162131148</t>
  </si>
  <si>
    <t>https://drive.google.com/file/d/14t4Bp0pLoZ0LcyFpTd0PeCzFkRSXcxLG/view?usp=sharing</t>
  </si>
  <si>
    <t>https://drive.google.com/file/d/1Rln8lHZOjOCD8FNbE8Qeu_QwPqQ-osD4/view?usp=share_link</t>
  </si>
  <si>
    <t>TANMOY DUTTA</t>
  </si>
  <si>
    <t>53162140206</t>
  </si>
  <si>
    <t>https://drive.google.com/file/d/1wlaTnjFuGXM5GMRViu2qaMc63-z9HR1-/view?usp=sharing</t>
  </si>
  <si>
    <t>SUBRATA BISWAS</t>
  </si>
  <si>
    <t>53163080082</t>
  </si>
  <si>
    <t>https://drive.google.com/file/d/1heROVuQ2__ljZOs2ovIixIGOT8dHPPdI/view?usp=sharing</t>
  </si>
  <si>
    <t>SUKANTA CHAKRABORTY</t>
  </si>
  <si>
    <t>53162131226</t>
  </si>
  <si>
    <t>https://drive.google.com/file/d/1K2Csw2qcUupR1IiBnMS77PdyeK1W74oO/view?usp=sharing</t>
  </si>
  <si>
    <t>AMIT SARKAR</t>
  </si>
  <si>
    <t>53162131086</t>
  </si>
  <si>
    <t>https://drive.google.com/file/d/1RUrjjn4KFBklZ8kSuPFdLM3u9QECuPeB/view?usp=sharing</t>
  </si>
  <si>
    <t>BIJOY DAS</t>
  </si>
  <si>
    <t>53162131117</t>
  </si>
  <si>
    <t>https://drive.google.com/file/d/1aNlchrdNc6fasUt6vKOAl74z9PgC_kMx/view?usp=sharing</t>
  </si>
  <si>
    <t>ANUP BHUKTA</t>
  </si>
  <si>
    <t>39329801410</t>
  </si>
  <si>
    <t>https://drive.google.com/file/d/1Hy1LgjHX7zWNvxwixR_Vtw9zDeDMVUTk/view?usp=sharing</t>
  </si>
  <si>
    <t>PRIYAM SAHA</t>
  </si>
  <si>
    <t>3429800701</t>
  </si>
  <si>
    <t>https://drive.google.com/file/d/1v0mExSOMUU3aeQiXBIPxCeryARh9PCfy/view?usp=sharing</t>
  </si>
  <si>
    <t>SATYAJIT MATABBAR</t>
  </si>
  <si>
    <t>3429800703</t>
  </si>
  <si>
    <t>https://drive.google.com/file/d/1DZtqWg9sXKNqqjvUrwuKl_2MRL6KTTnq/view?usp=sharing</t>
  </si>
  <si>
    <t>ANOY KR MONDAL</t>
  </si>
  <si>
    <t>53120134346</t>
  </si>
  <si>
    <t>https://drive.google.com/file/d/1MVxKoeg_J66UViyXu7X9HkORPoI8s7CO/view?usp=sharing</t>
  </si>
  <si>
    <t>Sandip Kumar Kar</t>
  </si>
  <si>
    <t>53120134352</t>
  </si>
  <si>
    <t>Babai Biswas</t>
  </si>
  <si>
    <t>53120134363</t>
  </si>
  <si>
    <t>PROKASH BISWAS</t>
  </si>
  <si>
    <t>53162131253</t>
  </si>
  <si>
    <t>https://drive.google.com/file/d/1ZOzEeOj5OPDxypVWHHf33fjZfjvFwu8K/view?usp=sharing</t>
  </si>
  <si>
    <t>RAMEN BISWAS</t>
  </si>
  <si>
    <t>53120134399</t>
  </si>
  <si>
    <t>BIBHAS SARKAR</t>
  </si>
  <si>
    <t>https://drive.google.com/file/d/1iCRkCMlN8phsq4osFz9n6TKx5VTPPAKy/view?usp=sharing</t>
  </si>
  <si>
    <t>SUMAN KUMAR DAS</t>
  </si>
  <si>
    <t>50200109885</t>
  </si>
  <si>
    <t>https://drive.google.com/file/d/10GXzH3moWgZo0P6p6ZnISfpNNJqHSUet/view?usp=sharing</t>
  </si>
  <si>
    <t>Arka Ganguli</t>
  </si>
  <si>
    <t>53120134408</t>
  </si>
  <si>
    <t>SOUMITRA SARDAR</t>
  </si>
  <si>
    <t>53162140046</t>
  </si>
  <si>
    <t>SUMAN SAHA</t>
  </si>
  <si>
    <t>53162131123</t>
  </si>
  <si>
    <t>https://drive.google.com/file/d/1FYVw087SyaM-W9MRTXDxg7upfwvQYhGp/view?usp=sharing</t>
  </si>
  <si>
    <t>SUPERVISOR</t>
  </si>
  <si>
    <t>Name</t>
  </si>
  <si>
    <t>Degn</t>
  </si>
  <si>
    <t>PF</t>
  </si>
  <si>
    <t>HRMS ID</t>
  </si>
  <si>
    <t>De Cat/Drafted</t>
  </si>
  <si>
    <t>DOB</t>
  </si>
  <si>
    <t>Working Place</t>
  </si>
  <si>
    <t>https://drive.google.com/file/d/13K0tKGCS-xAkq8osVj7iE90VXxeqOUnR/view?usp=sharing</t>
  </si>
  <si>
    <t>Monoj Kumar Prasad</t>
  </si>
  <si>
    <t>UBIIWK</t>
  </si>
  <si>
    <t>De Cat ACCR</t>
  </si>
  <si>
    <t>Abhishek Kumar Singh</t>
  </si>
  <si>
    <t>IRRXDT</t>
  </si>
  <si>
    <t>A B Sau</t>
  </si>
  <si>
    <t>AOSKBS</t>
  </si>
  <si>
    <t>Abhijit Das</t>
  </si>
  <si>
    <t>LTMMJF</t>
  </si>
  <si>
    <t>De Cat CCR</t>
  </si>
  <si>
    <t>Sami Haider Mehdi</t>
  </si>
  <si>
    <t>ZMYWHM</t>
  </si>
  <si>
    <t>Pratanu Banerjee</t>
  </si>
  <si>
    <t>DGOXDT</t>
  </si>
  <si>
    <t>De cat PC</t>
  </si>
  <si>
    <t>Rahuldeb Bera</t>
  </si>
  <si>
    <t>OUQOYW</t>
  </si>
  <si>
    <t>PRADYUT KUMAR BHATTACHARYYA</t>
  </si>
  <si>
    <t>RHAHJF</t>
  </si>
  <si>
    <t>GANGA PRASAD</t>
  </si>
  <si>
    <t>502S4773342</t>
  </si>
  <si>
    <t>HDWDPE</t>
  </si>
  <si>
    <t>https://drive.google.com/file/d/1FwQl479f7Gl5Z94szDju0ZbEA0hy8w52/view?usp=sharing</t>
  </si>
  <si>
    <t>https://drive.google.com/file/d/1LXdpiv17w2-NEghJIDgV11eacHTYaqtc/view?usp=sharing</t>
  </si>
  <si>
    <t>HIRAMON BISWAS</t>
  </si>
  <si>
    <t>IJYEAB</t>
  </si>
  <si>
    <t>CC(R) RHA</t>
  </si>
  <si>
    <t>https://drive.google.com/file/d/1I2I5B6BpmF37Qx24yZyujL5OUVLnY14O/view?usp=sharing</t>
  </si>
  <si>
    <t>https://drive.google.com/file/d/1RDouOLrXidK85ImZ5txUuaecw3W6q3IF/view?usp=sharing</t>
  </si>
  <si>
    <t>ASIPI CHANDRA SEKHAR</t>
  </si>
  <si>
    <t>ZQPGLL</t>
  </si>
  <si>
    <t>https://drive.google.com/file/d/1A4MNy1Vo41-apcyaqB_WO3lGXoMBYQge/view?usp=sharing</t>
  </si>
  <si>
    <t>https://drive.google.com/file/d/1RW1peroa_HL5AVTUF-sT3Ve_I6uNirn-/view?usp=sharing</t>
  </si>
  <si>
    <t>KAMAL PAUL</t>
  </si>
  <si>
    <t>WQJCKA</t>
  </si>
  <si>
    <t>https://drive.google.com/file/d/1Wop4nH181cpuY2bfrxrXnBecZHb7DRa4/view?usp=sharing</t>
  </si>
  <si>
    <t>https://drive.google.com/file/d/1Gba5174kLQCAC2qUs2UMrnIWhk55ykL5/view?usp=sharing</t>
  </si>
  <si>
    <t>SUSANTA ROY</t>
  </si>
  <si>
    <t>CNAOUP</t>
  </si>
  <si>
    <t>Drafted CCR</t>
  </si>
  <si>
    <t>https://drive.google.com/file/d/1KG7gllv_2R36Q7RZRojoWCMleFXiwiZ7/view?usp=sharing</t>
  </si>
  <si>
    <t>SUDIPTA BISWAS</t>
  </si>
  <si>
    <t>SNEKLK</t>
  </si>
  <si>
    <t>https://drive.google.com/file/d/1_TYSin2hI8TRtR8Y8JfuP2QaLnfk7b7f/view?usp=sharing</t>
  </si>
  <si>
    <t>https://drive.google.com/file/d/1tWNTQEukqYW5QHwYA_L9RtKiAt09VPMX/view?usp=sharing</t>
  </si>
  <si>
    <t>SHIBA PRASAD SARKAR</t>
  </si>
  <si>
    <t>YTMTEL</t>
  </si>
  <si>
    <t>Drafted ACCR</t>
  </si>
  <si>
    <t>https://drive.google.com/file/d/1KPBPrYei0LHPhXMunz-jwYLtcXUFkkcG/view?usp=sharing</t>
  </si>
  <si>
    <t>SARAF RAJ AHAMAD</t>
  </si>
  <si>
    <t>ADIQJC</t>
  </si>
  <si>
    <t>SIBASIS ROY</t>
  </si>
  <si>
    <t>https://drive.google.com/file/d/1KhGesXJ-as7jmTB_Z80ogJ0yriW8japI/view?usp=sharing</t>
  </si>
  <si>
    <t>SHASHI KANT KUMAR</t>
  </si>
  <si>
    <t>CHJNTK</t>
  </si>
  <si>
    <t>https://drive.google.com/file/d/1KlXcWXtRZTy3wgT4-DQnwCCWmrYxYgS2/view?usp=sharing</t>
  </si>
  <si>
    <t>https://drive.google.com/file/d/1ngpr6fLoRznyT2oH8FCkWdI4tAUtdis8/view?usp=sharing</t>
  </si>
  <si>
    <t>SANTOSH CHAUDHARY</t>
  </si>
  <si>
    <t>ODFDPA</t>
  </si>
  <si>
    <t>https://drive.google.com/file/d/13M06CT-1p2lXb6Zs84PtSSbFUvkfZtzC/view?usp=sharing</t>
  </si>
  <si>
    <t>JOYCHAND SARKAR</t>
  </si>
  <si>
    <t>XIGFKA</t>
  </si>
  <si>
    <t>https://drive.google.com/file/d/1oiGJUGjOYjUeBBGjFQb5u1QFm52alALO/view?usp=sharing</t>
  </si>
  <si>
    <t>BISWAJIT MALLICK</t>
  </si>
  <si>
    <t>50208AB0436</t>
  </si>
  <si>
    <t>WUSOMB</t>
  </si>
  <si>
    <t>BIPLAB BASAK</t>
  </si>
  <si>
    <t>KSRAQU</t>
  </si>
  <si>
    <t>https://drive.google.com/file/d/17oEq-20GxKpdjjBWNnW_Y7ZWw3MNo8Ym/view?usp=sharing</t>
  </si>
  <si>
    <t>https://drive.google.com/file/d/1Oy35Fpes_AA-d1bmBDQ7xVvvNVwK0BXB/view?usp=sharing</t>
  </si>
  <si>
    <t>Biplab Das</t>
  </si>
  <si>
    <t>KGEFWG</t>
  </si>
  <si>
    <t>https://drive.google.com/file/d/1RxvDs-kA2ZOpDDIQECKDJ5cAkHW5WEQJ/view?usp=sharing</t>
  </si>
  <si>
    <t>https://drive.google.com/file/d/1ULPjv7wvQhNfLCfbxniUtbY2lvaFrOio/view?usp=sharing</t>
  </si>
  <si>
    <t>ASHIM SANTRA</t>
  </si>
  <si>
    <t>XNOFER</t>
  </si>
  <si>
    <t>Drafted PC</t>
  </si>
  <si>
    <t>https://drive.google.com/file/d/11jby2L3E-nGtwhYZ-s4Y9b_OaNTtB71x/view?usp=sharing</t>
  </si>
  <si>
    <t>Manas Kumar Saha</t>
  </si>
  <si>
    <t>TWPWRF</t>
  </si>
  <si>
    <t>SUBIR PAUL</t>
  </si>
  <si>
    <t>QPMJTJ</t>
  </si>
  <si>
    <t>https://drive.google.com/file/d/1WofV4QtKx3gNJy2ITK4X1TW8yVM--WY5/view?usp=sharing</t>
  </si>
  <si>
    <t>https://drive.google.com/file/d/1oGM8yTWrL1CGxFavu8clDbHII1tw6cNn/view?usp=sharing</t>
  </si>
  <si>
    <t>ABHISHEK KUMAR GUPTA</t>
  </si>
  <si>
    <t>EWCMPQ</t>
  </si>
  <si>
    <t>https://drive.google.com/file/d/16JyxQkbnzPFVnpEyLYF3yOqqD3Tek_aJ/view?usp=sharing</t>
  </si>
  <si>
    <t>https://drive.google.com/file/d/1eZsZ-V_Wq5U9R-7VTdmD2T_3J_hjLAsL/view?usp=share_link</t>
  </si>
  <si>
    <t>SUDIPTA GHOSH DOSTIDAR</t>
  </si>
  <si>
    <t>CQHEHJ</t>
  </si>
  <si>
    <t>https://drive.google.com/file/d/1rldKAj2x19nj5AbOibBfKubqMm7ux6Q9/view?usp=sharing</t>
  </si>
  <si>
    <t>https://drive.google.com/file/d/1eJVKt7NpBRE9i_QIdgo3-uJYaJmBmKec/view?usp=sharing</t>
  </si>
  <si>
    <t>https://drive.google.com/file/d/16r188Cr-5h-6mraZGXWAgNyskc0XF5OX/view?usp=sharing</t>
  </si>
  <si>
    <t>DEB KUMAR DUBEY</t>
  </si>
  <si>
    <t>502N0007683</t>
  </si>
  <si>
    <t>XNXCLL</t>
  </si>
  <si>
    <t>https://drive.google.com/file/d/1zopFaH72k9O23ml9DwSZ7ho2sSNrXd0X/view?usp=sharing</t>
  </si>
  <si>
    <t>https://drive.google.com/file/d/16D4uytSjtj4OZKdYMD7jn5c_1H0Yl3TO/view?usp=sharing</t>
  </si>
  <si>
    <t>BISWJIT SIKDER</t>
  </si>
  <si>
    <t>EUHIMR</t>
  </si>
  <si>
    <t>Dulal Chandra Ghatak</t>
  </si>
  <si>
    <t>AGIBWE</t>
  </si>
  <si>
    <t>CCR/RHA</t>
  </si>
  <si>
    <t>Samit Das</t>
  </si>
  <si>
    <t>ZQENXL</t>
  </si>
  <si>
    <t>SDAH</t>
  </si>
  <si>
    <t>PCNL/SDAH</t>
  </si>
  <si>
    <t>Shyamal Kumar Das</t>
  </si>
  <si>
    <t>OCOHQG</t>
  </si>
  <si>
    <t>PCNL/HQ</t>
  </si>
  <si>
    <t>Sushanta Kumar Mandal</t>
  </si>
  <si>
    <t>YGYXZY</t>
  </si>
  <si>
    <t>CCCR/DDJ</t>
  </si>
  <si>
    <t>BISWAJIT GHOSH</t>
  </si>
  <si>
    <t>50205612305</t>
  </si>
  <si>
    <t>GSMCKK</t>
  </si>
  <si>
    <t>https://drive.google.com/file/d/1dAEifGEZ0HGN34g3ghcLtqTsneTDjDRf/view?usp=sharing</t>
  </si>
  <si>
    <t>https://drive.google.com/file/d/1lGCL39cNnGIhkjJe_GmhrOvdmtNzl4uE/view?usp=drive_link</t>
  </si>
  <si>
    <t>UDAY SHANKER KUMAR</t>
  </si>
  <si>
    <t>50205616384</t>
  </si>
  <si>
    <t>HQLHKT</t>
  </si>
  <si>
    <t>https://drive.google.com/file/d/1YFAKPUxBhaVe9t0M0ZEcYKtAAvxLArGI/view?usp=sharing</t>
  </si>
  <si>
    <t>https://drive.google.com/file/d/1RfXZ-nerpcHxU-tF47zfDtifH2huqHsb/view?usp=sharing</t>
  </si>
  <si>
    <t>Raj Kishore Sinha</t>
  </si>
  <si>
    <t>50207313871</t>
  </si>
  <si>
    <t>HDDKMG</t>
  </si>
  <si>
    <t>03.12.1987</t>
  </si>
  <si>
    <t>01.07.2018</t>
  </si>
  <si>
    <t>N0N UTILISED STAFF</t>
  </si>
  <si>
    <t>Sl No.</t>
  </si>
  <si>
    <t>Lobby</t>
  </si>
  <si>
    <t>PF NO</t>
  </si>
  <si>
    <t>Working As</t>
  </si>
  <si>
    <t>Contact Num</t>
  </si>
  <si>
    <t>Amitav Tarafder</t>
  </si>
  <si>
    <t>QQBMOX</t>
  </si>
  <si>
    <t>Debabrata Dutta</t>
  </si>
  <si>
    <t>NYWIBX</t>
  </si>
  <si>
    <t>Kuntal Ghosh</t>
  </si>
  <si>
    <t>CUMCJS</t>
  </si>
  <si>
    <t>Sanjay Biswas</t>
  </si>
  <si>
    <t>GGCURT</t>
  </si>
  <si>
    <t>S. K. Mondal</t>
  </si>
  <si>
    <t>KEFAIZ</t>
  </si>
  <si>
    <t>Utpal Halder</t>
  </si>
  <si>
    <t>YYZEBI</t>
  </si>
  <si>
    <t>Seba Baskey</t>
  </si>
  <si>
    <t>MLDT</t>
  </si>
  <si>
    <t>502S4773380</t>
  </si>
  <si>
    <t>GOCHBU</t>
  </si>
  <si>
    <t>Y.R.Meena</t>
  </si>
  <si>
    <t>ALD</t>
  </si>
  <si>
    <t>MKMDYT</t>
  </si>
  <si>
    <t>XDQEOA</t>
  </si>
  <si>
    <t>https://drive.google.com/file/d/1Ps939u8EPmfnbBlQXQ31fjDcEayYwBix/view?usp=sharing</t>
  </si>
  <si>
    <t>ALOESF</t>
  </si>
  <si>
    <t>GOUTAM SAHA</t>
  </si>
  <si>
    <t>https://drive.google.com/file/d/11xvaeAX7di0OZ4oOXbDHDkr82y_6xqRn/view?usp=sharing</t>
  </si>
  <si>
    <t>https://drive.google.com/file/d/1cI_iyow2u84EnM4cKlNQnX_Y9VCZI6th/view?usp=sharing</t>
  </si>
  <si>
    <t>https://drive.google.com/file/d/1C1AsAPM3z6ujFGf1pffz16SYN-syPSXb/view?usp=sharing</t>
  </si>
  <si>
    <t>JJNPXF</t>
  </si>
  <si>
    <t>https://drive.google.com/file/d/1IltIQUvNWjz57uFun_RBqLxueIcJdIgP/view?usp=sharing</t>
  </si>
  <si>
    <t>SHAILENDRA SINGH MUNDA</t>
  </si>
  <si>
    <t>ZPDACQ</t>
  </si>
  <si>
    <t>SANJAY KUMAR GUPTA</t>
  </si>
  <si>
    <t>OGNHDE</t>
  </si>
  <si>
    <t>https://drive.google.com/file/d/1eQSJP6AlBMF2c2krmCPtp1LmGfN-b9ut/view?usp=sharing</t>
  </si>
  <si>
    <t>SUSHOVAN KAR</t>
  </si>
  <si>
    <r>
      <rPr>
        <sz val="11"/>
        <color rgb="FF000000"/>
        <rFont val="Calibri"/>
        <scheme val="minor"/>
      </rPr>
      <t>EUWFFL</t>
    </r>
  </si>
  <si>
    <t>ABU TAYAB KHAN</t>
  </si>
  <si>
    <t>PBKHDA</t>
  </si>
  <si>
    <t>KUKKIN</t>
  </si>
  <si>
    <t>GOUTAM SARKAR</t>
  </si>
  <si>
    <t>https://drive.google.com/file/d/1dHAe3fOiIj7kIUYuKVw6t_-hitV2e5NY/view?usp=sharing</t>
  </si>
  <si>
    <t>https://drive.google.com/file/d/1oMsHJm6vBGbWdvEajgTCz5l1w_wOrvnC/view?usp=sharing</t>
  </si>
  <si>
    <t>PBTUCA</t>
  </si>
  <si>
    <t>TAPAS KUMAR DE I</t>
  </si>
  <si>
    <t>MEWQGL</t>
  </si>
  <si>
    <t>https://drive.google.com/file/d/1boy_c-CIDBeN_V1AqSZnA-81w0DCIaUy/view?usp=sharing</t>
  </si>
  <si>
    <t>https://drive.google.com/file/d/1bCpLZU4J0nHJFc5v-O6qvnrSU7BwD1C_/view?usp=share_link</t>
  </si>
  <si>
    <t>NCSRCZ</t>
  </si>
  <si>
    <t>https://drive.google.com/file/d/1_JPHa9nKTPyQWafKLvIAfD4jYp77YWY9/view?usp=sharing</t>
  </si>
  <si>
    <t>https://drive.google.com/file/d/1dOTnK_rw94pfqYD-qWnKV9SyaMHyVaOC/view?usp=sharing</t>
  </si>
  <si>
    <t>BRAJ MOHAN KALUNDIA</t>
  </si>
  <si>
    <t>KFXYKT</t>
  </si>
  <si>
    <t>https://drive.google.com/file/d/1D7xEQRgoTpMOXqtiWRg-7F2fOZtQaN3i/view?usp=sharing</t>
  </si>
  <si>
    <t xml:space="preserve">SUDIP ROY </t>
  </si>
  <si>
    <t>RKMRUX</t>
  </si>
  <si>
    <t>ICXGAM</t>
  </si>
  <si>
    <t>J.S.BASAK</t>
  </si>
  <si>
    <t>Reinstate as per Sr DPO's Office order dated 31.05.24 &amp; 18.06.24</t>
  </si>
  <si>
    <t>https://drive.google.com/file/d/1yGi8AXveg_wU7kj8czV75bP15ogjETQ9/view?usp=sharing</t>
  </si>
  <si>
    <t>https://drive.google.com/file/d/1QDPAuBKUUa9QXPpu5TzGIQW3QcCyWhyi/view?usp=sharing</t>
  </si>
  <si>
    <t>COMPULSARY RETIREMENT ON DEC'2023</t>
  </si>
  <si>
    <t>502S4780504</t>
  </si>
  <si>
    <t>NECLEE</t>
  </si>
  <si>
    <t>14/01/1967</t>
  </si>
  <si>
    <t>CYXIAG</t>
  </si>
  <si>
    <t>TUYOXU</t>
  </si>
  <si>
    <t>TJUYWE</t>
  </si>
  <si>
    <t>16/07/1973</t>
  </si>
  <si>
    <t>IRUDUU</t>
  </si>
  <si>
    <t>S K PRADHAN</t>
  </si>
  <si>
    <t>XIJFMM</t>
  </si>
  <si>
    <t>19/11/1966</t>
  </si>
  <si>
    <t>P K Mondal</t>
  </si>
  <si>
    <t>JQMJRS</t>
  </si>
  <si>
    <t>26/09/1967</t>
  </si>
  <si>
    <t>IZIMHB</t>
  </si>
  <si>
    <t>https://drive.google.com/file/d/1PXpVM9izrwz4leHAun8_4amYSA_oGg2X/view?usp=sharing</t>
  </si>
  <si>
    <t>https://drive.google.com/file/d/1zFYVQ_q91fngG4kBAuwx7l0Z3jnr_LX6/view?usp=share_link</t>
  </si>
  <si>
    <t>SHIVA SHANKAR MONDAL</t>
  </si>
  <si>
    <t>YZQRTW</t>
  </si>
  <si>
    <t>https://drive.google.com/file/d/1MQKKJJYGuQSPLqRU5Fau5rSNcDxNAoj4/view?usp=sharing</t>
  </si>
  <si>
    <t>Birat Ray</t>
  </si>
  <si>
    <t>27309417000</t>
  </si>
  <si>
    <t>ANGBYA</t>
  </si>
  <si>
    <t>https://drive.google.com/file/d/1KyKzRooKshThBy_Vmxzm6W_y-C6QsmO_/view?usp=sharing</t>
  </si>
  <si>
    <t>ASHOK KUMAR SINGH</t>
  </si>
  <si>
    <t>50205520423</t>
  </si>
  <si>
    <t>QNRAXC</t>
  </si>
  <si>
    <t>https://drive.google.com/file/d/1dDIpMMY7KQJ6Qp_5v2GYHDh-qRChakn7/view?usp=sharing</t>
  </si>
  <si>
    <t>https://drive.google.com/file/d/1ShcGLNu52g7aoUMdN_GrigNFyzQwUuzf/view?usp=sharing</t>
  </si>
  <si>
    <t>BISHWANATH CHAKRAWARTI</t>
  </si>
  <si>
    <t>27510341500</t>
  </si>
  <si>
    <t>JAZMHT</t>
  </si>
  <si>
    <t>S S MUNDA</t>
  </si>
  <si>
    <t>https://drive.google.com/file/d/1jsofSApqwzr0rtsvLB9_BYdOMB_pBsub/view?usp=sharing</t>
  </si>
  <si>
    <t>RAMAKANT GUPTA</t>
  </si>
  <si>
    <t>50205373438</t>
  </si>
  <si>
    <t>PYDLJQ</t>
  </si>
  <si>
    <t>https://drive.google.com/file/d/1pCMiw1EhAs1voYTm_E94TGYFq4-2Yrnq/view?usp=drive_link</t>
  </si>
  <si>
    <t>MALAY KANTI PAUL</t>
  </si>
  <si>
    <t>EZRLYI</t>
  </si>
  <si>
    <t>https://drive.google.com/file/d/1GoIYkx0X9CrNdRnAEBsaJEJBnVpPJ3P1/view?usp=sharing</t>
  </si>
  <si>
    <t>https://drive.google.com/file/d/1jAldWRLhjvyZe5Q3bSCUqAZdr_Ia9f8l/view?usp=sharing</t>
  </si>
  <si>
    <t>NAME</t>
  </si>
  <si>
    <t>DEGN</t>
  </si>
  <si>
    <t>TYPE</t>
  </si>
  <si>
    <t>HRMS</t>
  </si>
  <si>
    <t>LOBBY</t>
  </si>
  <si>
    <t>DEALING SUPV</t>
  </si>
  <si>
    <t>SMT NAMITA SADHUKHAN</t>
  </si>
  <si>
    <t>GEN Asst</t>
  </si>
  <si>
    <t>ministerial</t>
  </si>
  <si>
    <t>CNQUGU</t>
  </si>
  <si>
    <t>P R BISWAS</t>
  </si>
  <si>
    <t>PANCHANAN OJHA</t>
  </si>
  <si>
    <t>OS</t>
  </si>
  <si>
    <t>MCEMNC</t>
  </si>
  <si>
    <t>PRABODH RANJAN BISWAS</t>
  </si>
  <si>
    <t>CHOS</t>
  </si>
  <si>
    <t>SSMYJY</t>
  </si>
  <si>
    <t>SUDIPTA NATH</t>
  </si>
  <si>
    <t>CHIEF TYPIST</t>
  </si>
  <si>
    <t>MAAGQG</t>
  </si>
  <si>
    <t>SANKHAJIT SARKAR</t>
  </si>
  <si>
    <t>MJNMQM</t>
  </si>
  <si>
    <t>MOUSUMI MONDAL</t>
  </si>
  <si>
    <t>KXACNR</t>
  </si>
  <si>
    <t>TIASHA SAMADDER</t>
  </si>
  <si>
    <t>BFXGSN</t>
  </si>
  <si>
    <t>Ashim Sardar</t>
  </si>
  <si>
    <t>ONKDFL</t>
  </si>
  <si>
    <t>Supriyo Banerjee</t>
  </si>
  <si>
    <t>Satyanarayan Singh</t>
  </si>
  <si>
    <t>AMIJGO</t>
  </si>
  <si>
    <t>Ananta Deb Sarkar</t>
  </si>
  <si>
    <t>AXMWSH</t>
  </si>
  <si>
    <t>Arup Nandi</t>
  </si>
  <si>
    <t>DFZQBN</t>
  </si>
  <si>
    <t>Bikash Ch. Biswas</t>
  </si>
  <si>
    <t>Sr. Clerk</t>
  </si>
  <si>
    <t>SHGYGQ</t>
  </si>
  <si>
    <t>39210NE0329</t>
  </si>
  <si>
    <t>Sanjeev Singh</t>
  </si>
  <si>
    <t>ENPYWD</t>
  </si>
  <si>
    <t>Bikash Bondhu Soren</t>
  </si>
  <si>
    <t>MRIWUB</t>
  </si>
  <si>
    <t>Ranjeet Kr. Mishra</t>
  </si>
  <si>
    <t>RIHFYQ</t>
  </si>
  <si>
    <t>KALIPROSAD MONDAL</t>
  </si>
  <si>
    <t>REBOOD</t>
  </si>
  <si>
    <t>SUBRATA DEY</t>
  </si>
  <si>
    <t>HHQBLP</t>
  </si>
  <si>
    <t>SUBHABRTA CHATTERJEE</t>
  </si>
  <si>
    <t>UBDMQB</t>
  </si>
  <si>
    <t>MANOJ SARKAR</t>
  </si>
  <si>
    <t>JR.CLERK(CG-II)</t>
  </si>
  <si>
    <t>FGZQTW</t>
  </si>
  <si>
    <t>SUJIT KR. ROY</t>
  </si>
  <si>
    <t>JR.CLERK</t>
  </si>
  <si>
    <t>XPPLIZ</t>
  </si>
  <si>
    <t>39213AB1553</t>
  </si>
  <si>
    <t>HARADHAN HALDER</t>
  </si>
  <si>
    <t>KSDLWI</t>
  </si>
  <si>
    <t>https://drive.google.com/file/d/189mnwNamW9c-9_prx1M-ecGW01XwBeUy/view?usp=sharing</t>
  </si>
  <si>
    <t>https://drive.google.com/file/d/1TLGKIJ5sMYm_zLuj3QcrgwTE4ao6ir73/view?usp=sharing</t>
  </si>
  <si>
    <t>AMIT MONDAL</t>
  </si>
  <si>
    <t>NEWITY</t>
  </si>
  <si>
    <t>https://drive.google.com/file/d/1uIjtGdX7yyuLoC_Do7bCtSdww4JJOhv3/view?usp=sharing</t>
  </si>
  <si>
    <t>DIPAK KUMAR YADAV</t>
  </si>
  <si>
    <t>LHCXBO</t>
  </si>
  <si>
    <t>https://drive.google.com/file/d/13DkqNPZRsKTqRV8M8OSQL2fSe-mEiz8D/view?usp=sharing</t>
  </si>
  <si>
    <t>Tanmay Ray</t>
  </si>
  <si>
    <t>YWREPW</t>
  </si>
  <si>
    <t>KHUSBOO KUMARI</t>
  </si>
  <si>
    <t>PS-II</t>
  </si>
  <si>
    <t>ZHHSBJ</t>
  </si>
  <si>
    <t>TUSAR KANTI SEN</t>
  </si>
  <si>
    <t>LUKDZH</t>
  </si>
  <si>
    <t>https://drive.google.com/file/d/18QoimK3uGxizKvTqNa6FuN91M6g2riju/view?usp=sharing</t>
  </si>
  <si>
    <t>DE CAT AND POSTING AAS OS UNDER ELECTRIC OP</t>
  </si>
  <si>
    <t>SUBODH KUMAR</t>
  </si>
  <si>
    <t>GTYYBB</t>
  </si>
  <si>
    <t>https://drive.google.com/file/d/1uiDgiPnnV2CD0K2KJLEgSpzCVMzRit64/view?usp=sharing</t>
  </si>
  <si>
    <t>PINTU KUMAR</t>
  </si>
  <si>
    <t>JR CLERK</t>
  </si>
  <si>
    <t>YXCBSB</t>
  </si>
  <si>
    <t>JAGAN ORAON</t>
  </si>
  <si>
    <t>RCLQZH</t>
  </si>
  <si>
    <t>M</t>
  </si>
  <si>
    <t>https://drive.google.com/file/d/1oJHTjUyf5lmgHx0aMwBNOuFowi9USpTo/view?usp=sharing</t>
  </si>
  <si>
    <t>Soumyadip Das</t>
  </si>
  <si>
    <t>XCIXWO</t>
  </si>
  <si>
    <t>https://drive.google.com/file/d/1FAufzopYR7ipqeHFc68lbT7IfC9fMmGZ/view?usp=sharing</t>
  </si>
  <si>
    <t>DIPANKAR DAS</t>
  </si>
  <si>
    <t>BRDPFJ</t>
  </si>
  <si>
    <t>CCC(R)  NH</t>
  </si>
  <si>
    <t>https://drive.google.com/file/d/12vrB4vnCgMLWRwnacxz2IDBuFRiIPuRz/view?usp=sharing</t>
  </si>
  <si>
    <t>Suraj Kumar</t>
  </si>
  <si>
    <t>Jr CLERK</t>
  </si>
  <si>
    <t>CSNGWG</t>
  </si>
  <si>
    <t>PRADIP SEAL</t>
  </si>
  <si>
    <t>EJIQEO</t>
  </si>
  <si>
    <t>https://drive.google.com/file/d/1zM2nGZrOiKh1e5iWQJkUzLpzWGlr2Jdj/view?usp=sharing</t>
  </si>
  <si>
    <t>https://drive.google.com/file/d/1OxTfZ64hosh-QYOX0bjOdPE5aYNPQp5C/view?usp=sharing</t>
  </si>
  <si>
    <t>MEGHDOOT GAIN</t>
  </si>
  <si>
    <t>BUNIYQ</t>
  </si>
  <si>
    <t>https://drive.google.com/file/d/1aTPBwiivXaR86CkHa8qhVy9PBxU23yrV/view?usp=sharing</t>
  </si>
  <si>
    <t>BIKASH BISWAS</t>
  </si>
  <si>
    <t>TPABXW</t>
  </si>
  <si>
    <t>50208CB0231</t>
  </si>
  <si>
    <t>https://drive.google.com/file/d/1mwlnOGLuEKqg3FdV2VQQvW2SXz-l9a6o/view?usp=sharing</t>
  </si>
  <si>
    <t>https://drive.google.com/file/d/13V85-Tcf9LLFqy7UwiKFYDx18jUUGxO3/view?usp=sharing</t>
  </si>
  <si>
    <t>https://drive.google.com/file/d/15JUpKNHs372m3KQo_b2QJ3_NbCTRNiDx/view?usp=sharing</t>
  </si>
  <si>
    <t>UNDER PME FROM 04.05.2020</t>
  </si>
  <si>
    <t>GOURANGA ROY</t>
  </si>
  <si>
    <t>LTRTZT</t>
  </si>
  <si>
    <t>https://drive.google.com/file/d/1JAHckmUlTgZaiPI3L4MqYQu_0bmRk8YK/view?usp=sharing</t>
  </si>
  <si>
    <t>Bikram Sarkar</t>
  </si>
  <si>
    <t>TBACXC</t>
  </si>
  <si>
    <t>BASE</t>
  </si>
  <si>
    <t>Leave</t>
  </si>
  <si>
    <t>Sick</t>
  </si>
  <si>
    <t>Absent</t>
  </si>
  <si>
    <t>PME</t>
  </si>
  <si>
    <t>TRG</t>
  </si>
  <si>
    <t>MISC</t>
  </si>
  <si>
    <t>De-cat</t>
  </si>
  <si>
    <t>OTH/DIV</t>
  </si>
  <si>
    <t>Susp</t>
  </si>
  <si>
    <t>OTHERS</t>
  </si>
  <si>
    <t>CASUALTY</t>
  </si>
  <si>
    <t>AVAILABILTY</t>
  </si>
  <si>
    <t>Booking</t>
  </si>
  <si>
    <t>SPARE /OS</t>
  </si>
  <si>
    <t>W/DUTY</t>
  </si>
  <si>
    <t>REST</t>
  </si>
  <si>
    <t>CNL</t>
  </si>
  <si>
    <t>LR</t>
  </si>
  <si>
    <t>DATE</t>
  </si>
  <si>
    <t>M/Man</t>
  </si>
  <si>
    <t>M/MAN</t>
  </si>
  <si>
    <t>LPP/Loco+LPG</t>
  </si>
  <si>
    <t>MJT</t>
  </si>
  <si>
    <t>SL.No.</t>
  </si>
  <si>
    <t>T/No.</t>
  </si>
  <si>
    <t>Designation</t>
  </si>
  <si>
    <t>SHED</t>
  </si>
  <si>
    <t>PF. No.</t>
  </si>
  <si>
    <t>Date of Retirement</t>
  </si>
  <si>
    <t>Date of Apptt</t>
  </si>
  <si>
    <t>REMARKS</t>
  </si>
  <si>
    <t>RAVI RANJAN KUMAR</t>
  </si>
  <si>
    <t>SSE</t>
  </si>
  <si>
    <t>Sr.DEE/OP/Office</t>
  </si>
  <si>
    <t>GSSCKH</t>
  </si>
  <si>
    <t>Sitaram Yadav</t>
  </si>
  <si>
    <t>--</t>
  </si>
  <si>
    <t>JTCCPJ</t>
  </si>
  <si>
    <t>Satish Chand Gupta</t>
  </si>
  <si>
    <t>CHWYWN</t>
  </si>
  <si>
    <t>Gautam Das</t>
  </si>
  <si>
    <t>JFTHZN</t>
  </si>
  <si>
    <t>Apurba Kumar Ghosh</t>
  </si>
  <si>
    <t>RQZTMJ</t>
  </si>
  <si>
    <t>Shyam Sundar Nandi</t>
  </si>
  <si>
    <t>AXBOBN</t>
  </si>
  <si>
    <t>SAKINDER SINGH</t>
  </si>
  <si>
    <t>Sr. Tech/Elect</t>
  </si>
  <si>
    <t>QHSKSO</t>
  </si>
  <si>
    <t>RAHUL KUMAR SRIVASTAVA</t>
  </si>
  <si>
    <t>Tech-I /Elect</t>
  </si>
  <si>
    <t>CKWUQG</t>
  </si>
  <si>
    <t>MRINAL KANTI PAL</t>
  </si>
  <si>
    <t>GEGLHS</t>
  </si>
  <si>
    <t>CHANDRA SEKHAR</t>
  </si>
  <si>
    <t>EJYDMY</t>
  </si>
  <si>
    <t>MD JAMIL</t>
  </si>
  <si>
    <t>Sr.Tech /Mech</t>
  </si>
  <si>
    <t>SRFKIJ</t>
  </si>
  <si>
    <t>E A SANJAR</t>
  </si>
  <si>
    <t>Tech -I/Mech</t>
  </si>
  <si>
    <t>ZURZXE</t>
  </si>
  <si>
    <t>KUNDA TARAKESWAR</t>
  </si>
  <si>
    <t>GSRWHM</t>
  </si>
  <si>
    <t>AVIJIT PATRA</t>
  </si>
  <si>
    <t>Sr.Tech/Pneu</t>
  </si>
  <si>
    <t>KSRFXO</t>
  </si>
  <si>
    <t>P.Chakraborty</t>
  </si>
  <si>
    <t>CWBZIH</t>
  </si>
  <si>
    <t>HIRAMONY PANDEY</t>
  </si>
  <si>
    <t>Tech –I/Elect.</t>
  </si>
  <si>
    <t>FQSFFQ</t>
  </si>
  <si>
    <t>U.S.Chowdhury</t>
  </si>
  <si>
    <t>ROJTJU</t>
  </si>
  <si>
    <t>SUJIT SAHA</t>
  </si>
  <si>
    <t>BROHCM</t>
  </si>
  <si>
    <t>SUDHIR KUMAR ROY</t>
  </si>
  <si>
    <t>JEE</t>
  </si>
  <si>
    <t>PAWLUE</t>
  </si>
  <si>
    <t>SANTANU MAHANTA</t>
  </si>
  <si>
    <t>Tech –II/Mech</t>
  </si>
  <si>
    <t>HHSXJD</t>
  </si>
  <si>
    <t>PRAFULL KUMAR</t>
  </si>
  <si>
    <t>PTTXAF</t>
  </si>
  <si>
    <t>503P1100807</t>
  </si>
  <si>
    <t>FUGSHK</t>
  </si>
  <si>
    <t>K Prabhakar Rao</t>
  </si>
  <si>
    <t>RRB</t>
  </si>
  <si>
    <t>Helper</t>
  </si>
  <si>
    <t>NXMXAM</t>
  </si>
  <si>
    <t>Rahul Ranjan</t>
  </si>
  <si>
    <t>Tech-III /Elect</t>
  </si>
  <si>
    <t>POHWXG</t>
  </si>
  <si>
    <t>Sunil Kumar</t>
  </si>
  <si>
    <t>DOJMKE</t>
  </si>
  <si>
    <t>Subrata Mit</t>
  </si>
  <si>
    <t>PXACGM</t>
  </si>
  <si>
    <t>Aswini Kr Gupta</t>
  </si>
  <si>
    <t>LENCGN</t>
  </si>
  <si>
    <t>Ajoy Kumbhakar</t>
  </si>
  <si>
    <t>Asst. Loco Helper/E</t>
  </si>
  <si>
    <t>Nikalesh Kumar</t>
  </si>
  <si>
    <t>Asst. Loco Helper/M</t>
  </si>
  <si>
    <t>Abhishek Ray</t>
  </si>
  <si>
    <t>Asst. Loco Helper/Pneu.</t>
  </si>
  <si>
    <t>JITENDRA KUMAR</t>
  </si>
  <si>
    <t>BAZWAG</t>
  </si>
  <si>
    <t>KUMARESH ROY</t>
  </si>
  <si>
    <t>AHGMYI</t>
  </si>
  <si>
    <t>SNEHANSU SEKHAR KARMAKAR</t>
  </si>
  <si>
    <t>DEDDJA</t>
  </si>
  <si>
    <t>PRATAP NANDI</t>
  </si>
  <si>
    <t>RZHDWG</t>
  </si>
  <si>
    <t>Ayan Goswami</t>
  </si>
  <si>
    <t>IUACUD</t>
  </si>
  <si>
    <t>Palash Mandi</t>
  </si>
  <si>
    <t>JNNCOU</t>
  </si>
  <si>
    <t>JE/Elect.</t>
  </si>
  <si>
    <t>ZLHACP</t>
  </si>
  <si>
    <t>Birbhadra Jena</t>
  </si>
  <si>
    <t>QYMRLC</t>
  </si>
  <si>
    <t>DINESH LAKRA</t>
  </si>
  <si>
    <t>HQXZBA</t>
  </si>
  <si>
    <t>THAKUR PRASAD</t>
  </si>
  <si>
    <t>ELQXPJ</t>
  </si>
  <si>
    <t>SUVASH SAHA</t>
  </si>
  <si>
    <t>Sr.Tech/Weld</t>
  </si>
  <si>
    <t>Tapan Paul</t>
  </si>
  <si>
    <t>Sr.Tech /Elect</t>
  </si>
  <si>
    <t>FWYOLR</t>
  </si>
  <si>
    <t>SANCHITA MONDAL</t>
  </si>
  <si>
    <t>USIYCO</t>
  </si>
  <si>
    <t>Sanjoy Ram</t>
  </si>
  <si>
    <t>Sr.Tech/Mech</t>
  </si>
  <si>
    <t>ZEAXRU</t>
  </si>
  <si>
    <t>NAVNEET KUMAR</t>
  </si>
  <si>
    <t>SSWXQY</t>
  </si>
  <si>
    <t>SUKHENDU GANGULY</t>
  </si>
  <si>
    <t>KPBNPB</t>
  </si>
  <si>
    <t>SANTOSH KUMAR</t>
  </si>
  <si>
    <t>OXHKLH</t>
  </si>
  <si>
    <t>SUVENDU CHATTERJEE</t>
  </si>
  <si>
    <t>TURFMQ</t>
  </si>
  <si>
    <t>SANJIB KUMAR HAZRA</t>
  </si>
  <si>
    <t>ACXHSS</t>
  </si>
  <si>
    <t>SUNIL KUMAR SINGH</t>
  </si>
  <si>
    <t>UDRCMG</t>
  </si>
  <si>
    <t>Anil Kumar</t>
  </si>
  <si>
    <t>GJALOH</t>
  </si>
  <si>
    <t>Soumen Ghosh</t>
  </si>
  <si>
    <t>RHTBTP</t>
  </si>
  <si>
    <t>Ashok Naskar</t>
  </si>
  <si>
    <t>KRJYMJ</t>
  </si>
  <si>
    <t>SANTANU KUMAR TEORY</t>
  </si>
  <si>
    <t>LKDHFT</t>
  </si>
  <si>
    <t>Tarak Das</t>
  </si>
  <si>
    <t>Tech -I/Carp</t>
  </si>
  <si>
    <t>JOIKAM</t>
  </si>
  <si>
    <t>Kalicharan</t>
  </si>
  <si>
    <t>AXBKJX</t>
  </si>
  <si>
    <t>BISWANATH SADHUKHAN</t>
  </si>
  <si>
    <t>BKTBMC</t>
  </si>
  <si>
    <t>SAJAL KANTI BAIDYA</t>
  </si>
  <si>
    <t>IPZQYX</t>
  </si>
  <si>
    <t>Tapu Dutta</t>
  </si>
  <si>
    <t>QGQCZL</t>
  </si>
  <si>
    <t>GOUTAMI DUTTA</t>
  </si>
  <si>
    <t>Tech-II /Elect</t>
  </si>
  <si>
    <t>XGBQFB</t>
  </si>
  <si>
    <t>ASHIM SHIRALY</t>
  </si>
  <si>
    <t>BNQOIH</t>
  </si>
  <si>
    <t>https://drive.google.com/file/d/1MLACdHz06sAyU0eiAWsUjvwoc0EzV7fZ/view?usp=sharing</t>
  </si>
  <si>
    <t>UJJWAL BISWAS</t>
  </si>
  <si>
    <t>OGGCNN</t>
  </si>
  <si>
    <t>Nabin Mandi</t>
  </si>
  <si>
    <t>Asst. Loco Helper</t>
  </si>
  <si>
    <t>ZPXWWY</t>
  </si>
  <si>
    <t>Saroj Kumar</t>
  </si>
  <si>
    <r>
      <rPr>
        <sz val="13"/>
        <color rgb="FF000000"/>
        <rFont val="Calibri"/>
        <scheme val="minor"/>
      </rPr>
      <t>KKSHHH</t>
    </r>
  </si>
  <si>
    <t>SUBRATA PAUL</t>
  </si>
  <si>
    <t>Helper-II</t>
  </si>
  <si>
    <t>SWCMTO</t>
  </si>
  <si>
    <t>Dipannita Chakraborty</t>
  </si>
  <si>
    <t>UMEUMI</t>
  </si>
  <si>
    <t>Bhim Shaw</t>
  </si>
  <si>
    <t>Tech-III /Mech</t>
  </si>
  <si>
    <t>RXRIYO</t>
  </si>
  <si>
    <t>Krishna Sardar</t>
  </si>
  <si>
    <t>TTACLA</t>
  </si>
  <si>
    <t>Mukesh Kr Meena</t>
  </si>
  <si>
    <t>LZUFLU</t>
  </si>
  <si>
    <t>Dilip Biswas</t>
  </si>
  <si>
    <t>GQDRWZ</t>
  </si>
  <si>
    <t>25.07.24</t>
  </si>
  <si>
    <t>Pronoy Sarkar</t>
  </si>
  <si>
    <t>DEGLII</t>
  </si>
  <si>
    <t>KOUSHIK HALDER</t>
  </si>
  <si>
    <t>UFXEHY</t>
  </si>
  <si>
    <t>05.11.24(D.O.R)</t>
  </si>
  <si>
    <t>https://drive.google.com/file/d/1tOcBNdE3DrnukesMHVIEm66hheu_rzqw/view?usp=drive_link</t>
  </si>
  <si>
    <t>SOMNATH DEY</t>
  </si>
  <si>
    <t>JZPFNW</t>
  </si>
  <si>
    <t>https://drive.google.com/file/d/1sgsC22w0s7Ug7R3BgJDWpQ1Mp3OCKuT3/view?usp=sharing</t>
  </si>
  <si>
    <t>Tanmoy Dey</t>
  </si>
  <si>
    <t>Tech-III/Elect</t>
  </si>
  <si>
    <t>GYFRBX</t>
  </si>
  <si>
    <t>Vijay Kumar Chowdhury</t>
  </si>
  <si>
    <t>QPTNZG</t>
  </si>
  <si>
    <t>Jayabrata Mridha</t>
  </si>
  <si>
    <t>Tech-II /MECH</t>
  </si>
  <si>
    <t>502H0096292</t>
  </si>
  <si>
    <t>PEYDPC</t>
  </si>
  <si>
    <t>SUDHIR KUMAR</t>
  </si>
  <si>
    <t>FIOXNY</t>
  </si>
  <si>
    <t>mob</t>
  </si>
  <si>
    <t>WhatsApp</t>
  </si>
  <si>
    <t>PME DUE</t>
  </si>
  <si>
    <t>Technical Due</t>
  </si>
  <si>
    <t>Transportation Due</t>
  </si>
  <si>
    <t>MONTH</t>
  </si>
  <si>
    <t>PRODIP KR ACHARYA</t>
  </si>
  <si>
    <t>LAL CHAND</t>
  </si>
  <si>
    <t>RETIRED</t>
  </si>
  <si>
    <t>MAY</t>
  </si>
  <si>
    <t>SEKENDER MONDAL</t>
  </si>
  <si>
    <t>MD SIRAJUDDIN</t>
  </si>
  <si>
    <t>R N HEMBRAM</t>
  </si>
  <si>
    <t>CCR NORTH</t>
  </si>
  <si>
    <t>DIED</t>
  </si>
  <si>
    <t>May</t>
  </si>
  <si>
    <t>Sasanka Sekhar Das</t>
  </si>
  <si>
    <t>BENOY KRISHNA DAS</t>
  </si>
  <si>
    <t>Compulsary retirement</t>
  </si>
  <si>
    <t>JUNE</t>
  </si>
  <si>
    <t>GEORGE BHUTTA</t>
  </si>
  <si>
    <t>Transfer To DHN</t>
  </si>
  <si>
    <t>JOYDEB MONDAL</t>
  </si>
  <si>
    <t>S.S.BHAKTA</t>
  </si>
  <si>
    <t>Retired</t>
  </si>
  <si>
    <t>Ramkrishna Dasgupta</t>
  </si>
  <si>
    <t>Metro/MM</t>
  </si>
  <si>
    <t>Subir Kumar Das</t>
  </si>
  <si>
    <t>VRS</t>
  </si>
  <si>
    <t>JULY</t>
  </si>
  <si>
    <t>SUMAN PATEL</t>
  </si>
  <si>
    <t>TRANSFER VICE D Chakraborty</t>
  </si>
  <si>
    <t>K P MEENA</t>
  </si>
  <si>
    <t>Working under DSL Wing</t>
  </si>
  <si>
    <t>Transfer vice vivek chowdhury</t>
  </si>
  <si>
    <t>AUGUST</t>
  </si>
  <si>
    <t>Jayanta Manna</t>
  </si>
  <si>
    <t>DEBASIS PAN</t>
  </si>
  <si>
    <t>BISWAJIT MONDAL</t>
  </si>
  <si>
    <t>Tranfer to Metro on 03.08.20</t>
  </si>
  <si>
    <t>Tranfer to Metro on 03.08.21</t>
  </si>
  <si>
    <t>https://drive.google.com/file/d/1TO7VqBwtPpBA6k8SARsFYdP-MXiGXIlb/view?usp=sharing</t>
  </si>
  <si>
    <t>Tranfer to Metro on 03.08.22</t>
  </si>
  <si>
    <t>Tranfer to Metro on 03.08.23</t>
  </si>
  <si>
    <t>https://drive.google.com/file/d/1G6TiCBBrKTWWk6dKXErlf1mkf24PXi5s/view?usp=sharing</t>
  </si>
  <si>
    <t>DILIP KUMAR BISWAS</t>
  </si>
  <si>
    <t>Tranfer to Metro on 03.08.24</t>
  </si>
  <si>
    <t>https://drive.google.com/file/d/1gkChnpsyi9spF-hm1C_5BMHaSYEm0NHV/view?usp=sharing</t>
  </si>
  <si>
    <t>Tranfer to Metro on 03.08.25</t>
  </si>
  <si>
    <t>Tranfer to Metro on 03.08.26</t>
  </si>
  <si>
    <t>VARUN KUMAR</t>
  </si>
  <si>
    <t>Tranfer to Metro on 03.08.27</t>
  </si>
  <si>
    <t>ARUP KUMAR MANDAL</t>
  </si>
  <si>
    <t>Tranfer to Metro on 03.08.28</t>
  </si>
  <si>
    <t>MANISH KUMAR</t>
  </si>
  <si>
    <t>Tranfer to Metro on 03.08.29</t>
  </si>
  <si>
    <t>GAURAV KUMAR</t>
  </si>
  <si>
    <t>Tranfer to Metro on 03.08.30</t>
  </si>
  <si>
    <t>https://drive.google.com/file/d/1NOSERp5J0jHEZfvCkQzPsGgFraCBmgbW/view?usp=sharing</t>
  </si>
  <si>
    <t>https://drive.google.com/file/d/13E-x3GAIg7fJXU1nAq2J6L52b4_VTBuo/view?usp=sharing</t>
  </si>
  <si>
    <t>SUMAN KUMAR SINGH</t>
  </si>
  <si>
    <t>UTTAM KR. CHAKRABORTTY</t>
  </si>
  <si>
    <t>Tranfer to Metro on 03.08.31</t>
  </si>
  <si>
    <t>https://drive.google.com/file/d/1bpk6IcU9jh5WMwdlYhvAgBCxSZBdB0Xp/view?usp=sharing</t>
  </si>
  <si>
    <t>SANJIB SEAL</t>
  </si>
  <si>
    <t>Tranfer to Metro on 03.08.32</t>
  </si>
  <si>
    <t>https://drive.google.com/file/d/1jVEXSAz46MtiBnr_7Fo7lgucWCymAY0D/view?usp=sharing</t>
  </si>
  <si>
    <t>JOYDIP GHOSH/II</t>
  </si>
  <si>
    <t>Tranfer to Metro on 03.08.33</t>
  </si>
  <si>
    <t>https://drive.google.com/file/d/1EsmmRzmY1JSota9g3bx0wdCbDu1mPN1a/view?usp=sharing</t>
  </si>
  <si>
    <t>https://drive.google.com/file/d/1UZBqcEWIp03JZ9ZyCMXLY-jCC_9kuX_F/view?usp=sharing</t>
  </si>
  <si>
    <t>SAMIRAN HALDER</t>
  </si>
  <si>
    <t>Tranfer to Metro on 03.08.34</t>
  </si>
  <si>
    <t>https://drive.google.com/file/d/1qSlnrBE8tzt7-vLIpXqZZ8m64k8m_wiF/view?usp=sharing</t>
  </si>
  <si>
    <t>ARINDAM BISWAS</t>
  </si>
  <si>
    <t>Tranfer to Metro on 03.08.35</t>
  </si>
  <si>
    <t>https://drive.google.com/file/d/1P9SuqRPDNYZzGUE7wUnhT18Uy0exbUMV/view?usp=sharing</t>
  </si>
  <si>
    <t>https://drive.google.com/file/d/1zmcNn7zorMAh_zQLqO7gm4NqKB6g5j1W/view?usp=sharing</t>
  </si>
  <si>
    <t>BISWAJIT PAUL</t>
  </si>
  <si>
    <t>Tranfer to Metro on 03.08.36</t>
  </si>
  <si>
    <t>GOUTAM ROY</t>
  </si>
  <si>
    <t>Tranfer to Metro on 03.08.37</t>
  </si>
  <si>
    <t>https://drive.google.com/file/d/1xhKSHOp1O2lLyfwJ9eJAaEU5uM3hjieD/view?usp=sharing</t>
  </si>
  <si>
    <t>https://drive.google.com/file/d/1M0uCS30XzJgpdaOR2gGJZvKQ2fNWJdpE/view?usp=sharing</t>
  </si>
  <si>
    <t>Tranfer to Metro on 03.08.38</t>
  </si>
  <si>
    <t>MD MAQSOOD ALAM</t>
  </si>
  <si>
    <t>Tranfer to Metro on 03.08.39</t>
  </si>
  <si>
    <t>CHANDAN BISWAS</t>
  </si>
  <si>
    <t>Tranfer to Metro on 03.08.40</t>
  </si>
  <si>
    <t>https://drive.google.com/file/d/1dTIOMvFsDFI4bNOsuh5XlFFCM4j4eIWp/view?usp=sharing</t>
  </si>
  <si>
    <t>https://drive.google.com/file/d/1P1MwOzDqci_g0_O0FKjah6rrlIBAJPLC/view?usp=sharing</t>
  </si>
  <si>
    <t>H K SAHA</t>
  </si>
  <si>
    <t>A S HAIDER..</t>
  </si>
  <si>
    <t>https://drive.google.com/file/d/1kTigbbZNV7PL0CwOfjo9KGjOdf1yCPAh/view?usp=sharing</t>
  </si>
  <si>
    <t>Pallab Bhowmick</t>
  </si>
  <si>
    <t>DEEPAK KUMAR II</t>
  </si>
  <si>
    <t>Transfer vice DEBDAS BISWAS</t>
  </si>
  <si>
    <t>https://drive.google.com/file/d/14oCxTmUjpDJeegfmg8XJ3JItjijH4BpD/view?usp=sharing</t>
  </si>
  <si>
    <t>SEPTEMBER</t>
  </si>
  <si>
    <t>SOURABH TEWARY</t>
  </si>
  <si>
    <t>Transfer vice Ram Chandra Chaudhary</t>
  </si>
  <si>
    <t>https://drive.google.com/file/d/13_v-H1Ei-hd3CaN9t50nuZinBJTflVsM/view?usp=sharing</t>
  </si>
  <si>
    <t>Susanta Kumar Gupta</t>
  </si>
  <si>
    <t xml:space="preserve">De cat CCR </t>
  </si>
  <si>
    <t>APU RANJAN DEY</t>
  </si>
  <si>
    <t>OCTOBER</t>
  </si>
  <si>
    <t>https://drive.google.com/file/d/1juX86wUkZrZWoiB4VtFJfsU34k7flhXV/view?usp=sharing</t>
  </si>
  <si>
    <t>N MUNSHI</t>
  </si>
  <si>
    <t>https://drive.google.com/file/d/1gX2JUqokZLdY1Yil3o6Cu9rLM8clPE4o/view?usp=sharing</t>
  </si>
  <si>
    <t>SASADHAR DAS</t>
  </si>
  <si>
    <t>https://drive.google.com/file/d/1ajSOM_I7etzpAwBYlz4FDeYt8r9dDmzs/view?usp=sharing</t>
  </si>
  <si>
    <t>A R MAL</t>
  </si>
  <si>
    <t>https://drive.google.com/file/d/10HP8L6VL3SFiB1XRyz05KKA2bhKh7snB/view?usp=sharing</t>
  </si>
  <si>
    <t>KISHORE SARKAR..</t>
  </si>
  <si>
    <t>https://drive.google.com/file/d/1fSEEoIPPuDcLp6eOys9L8skR8rlO8xSI/view?usp=sharing</t>
  </si>
  <si>
    <t>B B SINGH</t>
  </si>
  <si>
    <t>https://drive.google.com/file/d/1KzJp47yXVDpMdhZpF2byDexLiWnDyMsm/view?usp=sharing</t>
  </si>
  <si>
    <t>BIMAL KUMAR DAS</t>
  </si>
  <si>
    <t>https://drive.google.com/file/d/1zDjj8VuDdmJxVQrhkfm7NIwL_30CyFVM/view?usp=sharing</t>
  </si>
  <si>
    <t>SANJAY PAL</t>
  </si>
  <si>
    <t>WORKING AT DSL</t>
  </si>
  <si>
    <t>P MAJUMDER</t>
  </si>
  <si>
    <t>RETIRED ON NOV</t>
  </si>
  <si>
    <t>https://drive.google.com/file/d/18jIdH1L-sbOALGzc4tfokb1eRxU_8RmH/view?usp=sharing</t>
  </si>
  <si>
    <t>SAMBHUNATH BISWAS</t>
  </si>
  <si>
    <t>https://drive.google.com/file/d/1TLPinadK3NnVtBOriB44PdFOXKbreq8a/view?usp=sharing</t>
  </si>
  <si>
    <t>https://drive.google.com/file/d/1WGtcVBgjYIwA4T3Q9Gn41X9se5tya18w/view?usp=sharing</t>
  </si>
  <si>
    <t>ISAC BHUINYA …</t>
  </si>
  <si>
    <t>https://drive.google.com/file/d/1Cr09YgLT5BBNeeGkfP8eGFSTM4eKlYNA/view?usp=sharing</t>
  </si>
  <si>
    <t>Bholanath Mondal</t>
  </si>
  <si>
    <t>https://drive.google.com/file/d/1px4cY5xMG4GB4SHVUo5ZbHb1aVsjUNjU/view?usp=sharing</t>
  </si>
  <si>
    <t>promoted in JE</t>
  </si>
  <si>
    <t>G N ROY</t>
  </si>
  <si>
    <t>RETIRED ON DEC</t>
  </si>
  <si>
    <t>https://drive.google.com/file/d/1F6SQiCjJ25kdwwabEA5NJLD8ZK2Ya3O5/view?usp=sharing</t>
  </si>
  <si>
    <t>R N RAM</t>
  </si>
  <si>
    <t>RETIRED ON JANUARY</t>
  </si>
  <si>
    <t>https://drive.google.com/file/d/14LGFDfAUWDZTE86ScHZ1Me3SqQYoYPMx/view?usp=sharing</t>
  </si>
  <si>
    <t>SHIVAJI</t>
  </si>
  <si>
    <t>H N TEWARY</t>
  </si>
  <si>
    <t>https://drive.google.com/file/d/1isGVl37ba1kiRQUbBmiA8Dv2IPVa5t0v/view?usp=sharing</t>
  </si>
  <si>
    <t>SNIGDHENDU BISWAS</t>
  </si>
  <si>
    <t>https://drive.google.com/file/d/1sln-xKeG84EwSGEqoeAqtg8mUeqcT9tk/view?usp=sharing</t>
  </si>
  <si>
    <t>PRABIR KUMAR DAS</t>
  </si>
  <si>
    <t>https://drive.google.com/file/d/1WHtZ9cdj3M5vZX6uN_-CcuMF5V-cA44J/view?usp=sharing</t>
  </si>
  <si>
    <t>U P SHARMA</t>
  </si>
  <si>
    <t>https://drive.google.com/file/d/1_HoNzzuyHdXB0-GJUuN5Z9JI1D9zwh51/view?usp=sharing</t>
  </si>
  <si>
    <t>GOUTAM DEY</t>
  </si>
  <si>
    <t>https://drive.google.com/file/d/1saQCgz25qhQHLifMUXZQCWzlQ7VKzNfl/view?usp=sharing</t>
  </si>
  <si>
    <t>S. S. Bhakta</t>
  </si>
  <si>
    <t>SOMENDRA NNATH SINGHA</t>
  </si>
  <si>
    <t>5.1.61</t>
  </si>
  <si>
    <t>22.12.86</t>
  </si>
  <si>
    <t>6.2.07</t>
  </si>
  <si>
    <t>09.07.16 (M/Man)</t>
  </si>
  <si>
    <t>MRITYUNJAY MITRA</t>
  </si>
  <si>
    <t>1.1.61</t>
  </si>
  <si>
    <t>19.1.87</t>
  </si>
  <si>
    <t>21.8.98</t>
  </si>
  <si>
    <t>24.07.06 (M/Man)</t>
  </si>
  <si>
    <t>Not as lien.</t>
  </si>
  <si>
    <t>SHAMBHU NATH PRASAD</t>
  </si>
  <si>
    <t>502S4759977</t>
  </si>
  <si>
    <t>VRS on 28.02.2021</t>
  </si>
  <si>
    <t>https://drive.google.com/file/d/1GMDp93gU5BuD2S58BaV0qbU3MUeO9MDS/view?usp=sharing</t>
  </si>
  <si>
    <t>D BASU</t>
  </si>
  <si>
    <t>RETIRED ON FEB</t>
  </si>
  <si>
    <t>https://drive.google.com/file/d/1WyGXVtCLdIfB9WNX_dWxRV3wSnOeKOUg/view?usp=sharing</t>
  </si>
  <si>
    <t>RAJESH KUMAR/ V</t>
  </si>
  <si>
    <t>TRANS VICE SHIVA SHANKAR MONDAL</t>
  </si>
  <si>
    <t>https://drive.google.com/file/d/1ZHgTOsAFqpt0fvLiARjWkPYgLsur3NQo/view?usp=sharing</t>
  </si>
  <si>
    <t>BISWAJIT DEY</t>
  </si>
  <si>
    <t>09.09.62</t>
  </si>
  <si>
    <t>09.01.86</t>
  </si>
  <si>
    <t>08.08.07</t>
  </si>
  <si>
    <t>RETURN FROM METRO</t>
  </si>
  <si>
    <t>Sukumar Sow</t>
  </si>
  <si>
    <t>RETIRED ON MARCH</t>
  </si>
  <si>
    <t>SANKAR KUMAR MITRA</t>
  </si>
  <si>
    <t>https://drive.google.com/file/d/1bsMLKIIhGD5VtUNR_RDt4ew77kGopCy9/view?usp=sharing</t>
  </si>
  <si>
    <t>SRIKANT YADAV</t>
  </si>
  <si>
    <t>MUKESH BIHARI SHUKLA</t>
  </si>
  <si>
    <t>DIED ON APRIL</t>
  </si>
  <si>
    <t>https://drive.google.com/file/d/1KBVnk-k8SVaXW3h57B6YQyo4WnggbYxR/view?usp=sharing</t>
  </si>
  <si>
    <t>22/11/2016(F)</t>
  </si>
  <si>
    <t>SANJIT SINGH MUNDA</t>
  </si>
  <si>
    <t>mutual vide sahil kumar</t>
  </si>
  <si>
    <t>https://drive.google.com/file/d/1BKFWWCGoLeF7Q3-ngw0VbKTHGEigxVPA/view?usp=sharing</t>
  </si>
  <si>
    <t>NIKHIL CHANDRA MANDAL</t>
  </si>
  <si>
    <t>502S4628536</t>
  </si>
  <si>
    <t>RETIRED ON APRIL</t>
  </si>
  <si>
    <t>https://drive.google.com/file/d/1xO2_Dqt7HBJaqfz4sWSUq3J-9hDseICA/view?usp=sharing</t>
  </si>
  <si>
    <t>PRADIP KUMAR SINGH II</t>
  </si>
  <si>
    <t>502S4768735</t>
  </si>
  <si>
    <t>B.BHOWMICK</t>
  </si>
  <si>
    <t>https://drive.google.com/file/d/1EjSGyuJuiF4hNNqTf9i2lLBRpytEWRWB/view?usp=sharing</t>
  </si>
  <si>
    <t>Sandip Das</t>
  </si>
  <si>
    <t>SC/SDAH</t>
  </si>
  <si>
    <t>EXPIRED ON MAY 2021</t>
  </si>
  <si>
    <t>PARMATMA GUPTA</t>
  </si>
  <si>
    <t>JXCOFG</t>
  </si>
  <si>
    <t>https://drive.google.com/file/d/1_hY_4au786UJZ-f0A7JpqsSmOYCjxIZ9/view?usp=sharing</t>
  </si>
  <si>
    <t>ADITYA TUDU</t>
  </si>
  <si>
    <t>CYMIJB</t>
  </si>
  <si>
    <t>https://drive.google.com/file/d/1-YK-2nbY-yR8f3ND1_bWyE9Ht_ezeerA/view?usp=sharing</t>
  </si>
  <si>
    <t>Tranfer on may 2021</t>
  </si>
  <si>
    <t>ZQIOHW</t>
  </si>
  <si>
    <t>Gautam Roy</t>
  </si>
  <si>
    <t>30/02/1983</t>
  </si>
  <si>
    <t>Retired on 31/05/2021</t>
  </si>
  <si>
    <t>Kailash Yadav</t>
  </si>
  <si>
    <t>Dsl</t>
  </si>
  <si>
    <t>M MITRA</t>
  </si>
  <si>
    <t>https://drive.google.com/file/d/15tTd_qmi-LfkGZVSw3a-GyuIVMkoSQG_/view?usp=sharing</t>
  </si>
  <si>
    <t>DILIP KR PRAMANICK</t>
  </si>
  <si>
    <t>WACMFN</t>
  </si>
  <si>
    <t>https://drive.google.com/file/d/1FP684isn6ol96JG8bbNcCzkILqrV7Fyc/view?usp=sharing</t>
  </si>
  <si>
    <t>M L RANA</t>
  </si>
  <si>
    <t>QCIHRW</t>
  </si>
  <si>
    <t>https://drive.google.com/file/d/1wrMBYKrjIupQv9aslkSSxlJDEor1btAu/view?usp=sharing</t>
  </si>
  <si>
    <t>JAGDISH TIWARI</t>
  </si>
  <si>
    <t>FQGUCG</t>
  </si>
  <si>
    <t>https://drive.google.com/file/d/1Pku1kUWFwicAvzIpvoKMCUTb-cyLYmmu/view?usp=sharing</t>
  </si>
  <si>
    <t>Lal Chand</t>
  </si>
  <si>
    <t>QQFRXK</t>
  </si>
  <si>
    <t>DWDNEL</t>
  </si>
  <si>
    <t>M.Prasad</t>
  </si>
  <si>
    <t>Tech –I/Pneu</t>
  </si>
  <si>
    <t>Uttam Sen</t>
  </si>
  <si>
    <t>JPGEPL</t>
  </si>
  <si>
    <t>ROHIT KUMARII</t>
  </si>
  <si>
    <t>YJMRJI</t>
  </si>
  <si>
    <t>https://drive.google.com/file/d/1ya2JM3xIHh_56GkfMnzif1YyiG1BLSws/view?usp=sharing</t>
  </si>
  <si>
    <t>TRANSFER ON 12.7.2021</t>
  </si>
  <si>
    <t>BUJJOI</t>
  </si>
  <si>
    <t>Malti</t>
  </si>
  <si>
    <t>Helper-I</t>
  </si>
  <si>
    <t>TRANSFERRED TO EMU</t>
  </si>
  <si>
    <t>YEKFFA</t>
  </si>
  <si>
    <t>Balaram Ray</t>
  </si>
  <si>
    <t>SUPRAKASH RAY</t>
  </si>
  <si>
    <t>JWEROO</t>
  </si>
  <si>
    <t xml:space="preserve">JOINED AT Personal dept </t>
  </si>
  <si>
    <t>https://drive.google.com/file/d/1WfGmnfgotHy5gc6Jh7rkNKk6lDMID8ut/view?usp=sharing</t>
  </si>
  <si>
    <t>Rajendra Rabidas</t>
  </si>
  <si>
    <t>RETIRED ON 31/08/2021</t>
  </si>
  <si>
    <t>https://drive.google.com/file/d/1jAqtz6UrmfEDIbpc-m_GVAMyrtf7Mbzh/view?usp=sharing</t>
  </si>
  <si>
    <t>ZHYTGK</t>
  </si>
  <si>
    <t>Raj Kumar</t>
  </si>
  <si>
    <t>Sukul MURMU</t>
  </si>
  <si>
    <t>KLGXOB</t>
  </si>
  <si>
    <t>JOINED as OS under Sr.DOM/SDAH</t>
  </si>
  <si>
    <t>https://drive.google.com/file/d/1SnjVaOwPK6ZO1bzSUdcTPmzWlc3UVzCd/view?usp=sharing</t>
  </si>
  <si>
    <t>NOT DONE</t>
  </si>
  <si>
    <t>DEB SANKER DAS</t>
  </si>
  <si>
    <t>SLQUQT</t>
  </si>
  <si>
    <t>https://drive.google.com/file/d/1z4fbuEMDODoslBKIrRfyb21rIcblbxKI/view?usp=sharing</t>
  </si>
  <si>
    <t>TAPAS KUMAR TIKADER</t>
  </si>
  <si>
    <t>FLSJFZ</t>
  </si>
  <si>
    <t>https://drive.google.com/file/d/16A1EHyChiGRqIIsI4tzauAgbLI0OKzcM/view?usp=sharing</t>
  </si>
  <si>
    <t>GURUPADA CHAKRABORTY</t>
  </si>
  <si>
    <t>TKZUOA</t>
  </si>
  <si>
    <t>VR ON 30.09.2021</t>
  </si>
  <si>
    <t>https://drive.google.com/file/d/1C4SLAys8zbm3xW0f1u57Y309aCPTKFWf/view?usp=sharing</t>
  </si>
  <si>
    <t>.</t>
  </si>
  <si>
    <t>Mohan Kumar SIngha</t>
  </si>
  <si>
    <t>XGGXUS</t>
  </si>
  <si>
    <t>RETIRED ON 30.09.2021</t>
  </si>
  <si>
    <t>LAXMAN MUNDA</t>
  </si>
  <si>
    <t>SIALNK</t>
  </si>
  <si>
    <t>https://drive.google.com/file/d/1PzhemKa-jkY3KBZw6FHZatcWsLIAQ262/view?usp=sharing</t>
  </si>
  <si>
    <t>Transfer on AUG 2021 vice Tapan Bauri</t>
  </si>
  <si>
    <t>AJEET KUMAR</t>
  </si>
  <si>
    <t>DYLZTJ</t>
  </si>
  <si>
    <t>https://drive.google.com/file/d/1Y89-aEnSxKIU4bQAZzsvVO0o9maOB4Hu/view?usp=sharing</t>
  </si>
  <si>
    <t>Transfer on AUG 2021  vice Arijit Adhikary</t>
  </si>
  <si>
    <t>ABHISHEK KUMAR</t>
  </si>
  <si>
    <t>JEWBWJ</t>
  </si>
  <si>
    <t>https://drive.google.com/file/d/1r9u68QOmedipndqCrebDVVXsOJUY8rJf/view?usp=sharing</t>
  </si>
  <si>
    <t>https://drive.google.com/file/d/1GStba7I-4JsX7_TOz-muqCH28aHZejxM/view?usp=sharing</t>
  </si>
  <si>
    <t>JOINED AS OS under Sr.DPO/SDAH ON 11.10.2021</t>
  </si>
  <si>
    <t>SHYAMAL SARKAR</t>
  </si>
  <si>
    <t>CILRNK</t>
  </si>
  <si>
    <t>https://drive.google.com/file/d/1oSt4a_idj_d9LTw8QmCgr9mCxekCsXbF/view?usp=sharing</t>
  </si>
  <si>
    <t>JOINED AS OS UNDER BRSH/SDAH 11.10.2021</t>
  </si>
  <si>
    <t>GOUTAM BASU</t>
  </si>
  <si>
    <t>TDZMQR</t>
  </si>
  <si>
    <t>https://drive.google.com/file/d/1A9bEEgdDPpxnPqqkGMpYwyubOEkA3ZoL/view?usp=sharing</t>
  </si>
  <si>
    <t>VR on 31.10.2021</t>
  </si>
  <si>
    <t>ACHINTYA KUMAR SEN</t>
  </si>
  <si>
    <t>RJSWNU</t>
  </si>
  <si>
    <t>UNDER PME FROM 02/01/2020 Declared as Decat</t>
  </si>
  <si>
    <t>https://drive.google.com/file/d/10Pv4Wa805_rHgcerZtRXtYpTZ0UWfu5p/view?usp=sharing</t>
  </si>
  <si>
    <t>ARUP KUMAR DAS</t>
  </si>
  <si>
    <t>FXXJFI</t>
  </si>
  <si>
    <t>https://drive.google.com/file/d/12egy8eIhqrE2KEl7YEfHzqTB92WvM9Rg/view?usp=sharing</t>
  </si>
  <si>
    <t>SANDIP NAG…</t>
  </si>
  <si>
    <t>JZFOKN</t>
  </si>
  <si>
    <t>https://drive.google.com/file/d/16M5g1MlzEIWMX0rMP4hbE36cORgh-c0_/view?usp=sharing</t>
  </si>
  <si>
    <t>Retired on 31.10.2021</t>
  </si>
  <si>
    <t>Sunil Kumar Sah</t>
  </si>
  <si>
    <t>ZUCSJR</t>
  </si>
  <si>
    <t>https://drive.google.com/file/d/1blpeiC_NVU2lPrIC0T4n6iXcbnDd07OR/view?usp=sharing</t>
  </si>
  <si>
    <t>Transferred vice GOUTAM DEBNATH</t>
  </si>
  <si>
    <t>TAPAN DEBNATH</t>
  </si>
  <si>
    <t>RAMIJT</t>
  </si>
  <si>
    <t>RET ON NOV 21</t>
  </si>
  <si>
    <t>https://drive.google.com/file/d/11xLOiIy_LQnThwgJeARjDgWUh3N1nQyO/view?usp=sharing</t>
  </si>
  <si>
    <t>T K BARIK</t>
  </si>
  <si>
    <t>SMHEUP</t>
  </si>
  <si>
    <t>https://drive.google.com/file/d/1ypVgcW5IqUpvMqoQPywZCOcgIKVafL2x/view?usp=sharing</t>
  </si>
  <si>
    <t>NR ON 30.11.2021</t>
  </si>
  <si>
    <t>SWAPAN GHOSH</t>
  </si>
  <si>
    <t>TBCKQC</t>
  </si>
  <si>
    <t>https://drive.google.com/file/d/1q6cdUhVFXaM4rjM3fgfd03g9HVYXfE8k/view?usp=sharing</t>
  </si>
  <si>
    <t>BIREN KUMAR HALDER</t>
  </si>
  <si>
    <t>QKZQUH</t>
  </si>
  <si>
    <t>https://drive.google.com/file/d/1-ECr6wu8fov3pOKb1i1McUvssnq9FrGO/view?usp=sharing</t>
  </si>
  <si>
    <t>TAPAS KUMAR DEY (DSL)</t>
  </si>
  <si>
    <t>WXCAOR</t>
  </si>
  <si>
    <t>https://drive.google.com/file/d/1m04mA05LSJofpkuTylesLJK4sRvoJIx0/view?usp=sharing</t>
  </si>
  <si>
    <t>SUBRATA CHAKRABORTY</t>
  </si>
  <si>
    <t>NTWJFZ</t>
  </si>
  <si>
    <t>https://drive.google.com/file/d/14QQccljjlQg7yiyURSYmcHH6-0NlV916/view?usp=sharing</t>
  </si>
  <si>
    <t>VR ON 30.11.2021</t>
  </si>
  <si>
    <t>Tamojit Nandi</t>
  </si>
  <si>
    <t>S MONDAL</t>
  </si>
  <si>
    <t>https://drive.google.com/file/d/1jkBBmOngF6Bu6Xid3q6d_JjmUqYyct--/view?usp=sharing</t>
  </si>
  <si>
    <t>PROMOTED TO CLI</t>
  </si>
  <si>
    <t>Ajoy Kr.Nandy</t>
  </si>
  <si>
    <t>https://drive.google.com/file/d/1lJlwny1SMIeB7_-1qzB0rvvek7f5oNLk/view?usp=sharing</t>
  </si>
  <si>
    <t>Sukumar Pramanik</t>
  </si>
  <si>
    <t>UDREFZ</t>
  </si>
  <si>
    <t>https://drive.google.com/file/d/1OzzuRcfOCbV8OvKwKmjuAHp7hfvBhO9-/view?usp=sharing</t>
  </si>
  <si>
    <t>Kunal Kumar Kharwar</t>
  </si>
  <si>
    <t>JWUXTK</t>
  </si>
  <si>
    <t>https://drive.google.com/file/d/1O9RvFDRGO6goKNEbYjsBtKrR6z6mmpjB/view?usp=sharing</t>
  </si>
  <si>
    <t>Mutual transfer vide Tarak Nandi on dec 21</t>
  </si>
  <si>
    <t>SAJAL KUMAR DAS</t>
  </si>
  <si>
    <t>SKDKQR</t>
  </si>
  <si>
    <t>https://drive.google.com/file/d/1GMUBEg6eBpJpfEBqETKkspIgZ1V2zH7u/view?usp=sharing</t>
  </si>
  <si>
    <t>JAYNTA GUHA THAKURTA …</t>
  </si>
  <si>
    <t>BOJIXU</t>
  </si>
  <si>
    <t>https://drive.google.com/file/d/1wzz6wEeUSoCYuBXVc_GQSXE1zrGxuLMp/view?usp=sharing</t>
  </si>
  <si>
    <t>SUBIR KUMAR NANDY</t>
  </si>
  <si>
    <t>RPEKNJ</t>
  </si>
  <si>
    <t>https://drive.google.com/file/d/1rdwLnetXl7xoVryADfhgkFTyIY_84nfD/view?usp=sharing</t>
  </si>
  <si>
    <t>https://drive.google.com/file/d/1nm0v08kAFccI-WqznY5wlE1GHmLrhgbV/view?usp=sharing</t>
  </si>
  <si>
    <t>SUBRATA BASU</t>
  </si>
  <si>
    <t>IHJAQF</t>
  </si>
  <si>
    <t>ARUP KUMAR GOSWAMI</t>
  </si>
  <si>
    <t>https://drive.google.com/file/d/1rPvQP0xpAals_aEOf-XWOG-O2VESM3c4/view?usp=sharing</t>
  </si>
  <si>
    <t>R N MONDAL</t>
  </si>
  <si>
    <t>YHCGNL</t>
  </si>
  <si>
    <t>VR ON 31/12/2021</t>
  </si>
  <si>
    <t>https://drive.google.com/file/d/1zo7XUja0hXkPxL4A0g53KF4LHjgyEL2s/view?usp=sharing</t>
  </si>
  <si>
    <t>28/11/2016(F) 13/06/2018(F)</t>
  </si>
  <si>
    <t>N K Mistry</t>
  </si>
  <si>
    <t>OOJPYM</t>
  </si>
  <si>
    <t>Samir Das</t>
  </si>
  <si>
    <t>MYZWST</t>
  </si>
  <si>
    <t>Somen Kumar Das</t>
  </si>
  <si>
    <t>AZGBTB</t>
  </si>
  <si>
    <t>Hridayanand Ram</t>
  </si>
  <si>
    <t>IXOULQ</t>
  </si>
  <si>
    <t>https://drive.google.com/file/d/1wal_3tZ8WqWOQ5Qwmw9O9Wzegs0UJaid/view?usp=sharing</t>
  </si>
  <si>
    <t>Chetram Meena</t>
  </si>
  <si>
    <t>BTOOIY</t>
  </si>
  <si>
    <t>https://drive.google.com/file/d/1nf_VKMAp_SYGiIJJC35menNuTcqHdYv9/view?usp=sharing</t>
  </si>
  <si>
    <t>Mutual vide SHIW SUNDAR GUPTA on 06/01/2022</t>
  </si>
  <si>
    <t>Budinath Soren</t>
  </si>
  <si>
    <t>ASATAW</t>
  </si>
  <si>
    <t>https://drive.google.com/file/d/1gtHF4AJ6_Q0JE_MbVXtbDDsYfW1Do1BL/view?usp=sharing</t>
  </si>
  <si>
    <t>Mutual vice Sarog kumar sarder</t>
  </si>
  <si>
    <t>SANJIB KUMAR THAKUR</t>
  </si>
  <si>
    <t>RTWNDQ</t>
  </si>
  <si>
    <t>https://drive.google.com/file/d/1Q-B2vjMmdTdngCNI6QUf1VK4gwd9_9Py/view?usp=sharing</t>
  </si>
  <si>
    <t>R N BISWAS</t>
  </si>
  <si>
    <t>UPPKME</t>
  </si>
  <si>
    <t>https://drive.google.com/file/d/1aIrI-xz84hyfEH8BxvhmFHmMaJoTrfKC/view?usp=sharing</t>
  </si>
  <si>
    <t>AMITAVA MITRA</t>
  </si>
  <si>
    <t>OCEEX</t>
  </si>
  <si>
    <t>https://drive.google.com/file/d/1toT4ZSvXSObdw0vAECkYp0h7ewzDrEPb/view?usp=sharing</t>
  </si>
  <si>
    <t>https://drive.google.com/file/d/1jJAOiMAoekKFPezHe-1GHIoGKHZ10xTY/view?usp=sharing</t>
  </si>
  <si>
    <t>RAM GOPAL CHOWDHARY</t>
  </si>
  <si>
    <t>502S4760062</t>
  </si>
  <si>
    <t>ZNXDLC</t>
  </si>
  <si>
    <t>https://drive.google.com/file/d/10FWTnX8LfEsEJZhF8VLN5Th4QQo-NJH5/view?usp=sharing</t>
  </si>
  <si>
    <t>ARABINDA MUKHERJEE</t>
  </si>
  <si>
    <t>EIJAZW</t>
  </si>
  <si>
    <t>https://drive.google.com/file/d/1C1479lUhKl3kPx4ddMY0kbyztqtlNPRW/view?usp=sharing</t>
  </si>
  <si>
    <t>S GANGULY</t>
  </si>
  <si>
    <t>NDXBSU</t>
  </si>
  <si>
    <t>https://drive.google.com/file/d/1jaJ3WjTOINir3gf1OiONCUjM8gLwksOj/view?usp=sharing</t>
  </si>
  <si>
    <t>T K DAS I</t>
  </si>
  <si>
    <t>QFGLNO</t>
  </si>
  <si>
    <t>https://drive.google.com/file/d/1xUPCcP5VHbmsp-x7PROsmhLNf_aICNtP/view?usp=sharing</t>
  </si>
  <si>
    <t>DIPAK KUMAR SARKAR</t>
  </si>
  <si>
    <t>SHMGCP</t>
  </si>
  <si>
    <t>https://drive.google.com/file/d/1RNmMFRToZCLY_cxPWPwSdzher9NqN0lQ/view?usp=sharing</t>
  </si>
  <si>
    <t>ACHINTA KUMAR MITRA..</t>
  </si>
  <si>
    <t>IZYHMR</t>
  </si>
  <si>
    <t>https://drive.google.com/file/d/1-5qw7TBZkxeSEMMeP_GVlYb-uQVnkaW1/view?usp=sharing</t>
  </si>
  <si>
    <t>A K PATHAK</t>
  </si>
  <si>
    <t>YMEAUX</t>
  </si>
  <si>
    <t>ASIT SIKDER</t>
  </si>
  <si>
    <t>GIGUJK</t>
  </si>
  <si>
    <t>https://drive.google.com/file/d/1mznCh2FVLXsZ4IRXu0uC0DIZ93EfF1ht/view?usp=sharing</t>
  </si>
  <si>
    <t>ARDHENDU DAS</t>
  </si>
  <si>
    <t>JEDSZI</t>
  </si>
  <si>
    <t>https://drive.google.com/file/d/1bxLX5PNyJlguMvYEfTOftsDU5QEc4-bL/view?usp=sharing</t>
  </si>
  <si>
    <t>U.K.Chakraborty</t>
  </si>
  <si>
    <t>CWMCBW</t>
  </si>
  <si>
    <t>IGJQOL</t>
  </si>
  <si>
    <t>PASCAL XAXA</t>
  </si>
  <si>
    <t>Amit Kr. Paul</t>
  </si>
  <si>
    <t>IIYXUO</t>
  </si>
  <si>
    <t>https://drive.google.com/file/d/16thOIMequ4aBBR7Z5uZzXaRQhSSuTWtA/view?usp=sharing</t>
  </si>
  <si>
    <t>Tripitak Chowdhury</t>
  </si>
  <si>
    <t>XGSHRO</t>
  </si>
  <si>
    <t>https://drive.google.com/file/d/1kkvaJ4zeuaW39c2Nboj_ndF6Flulr5ca/view?usp=sharing</t>
  </si>
  <si>
    <t>NETAI KUNDU</t>
  </si>
  <si>
    <t>XTAYWH</t>
  </si>
  <si>
    <t>https://drive.google.com/file/d/14g2x0cB8HSXyuLpvLWa-GYcKc1cMDctX/view?usp=sharing</t>
  </si>
  <si>
    <t>Deceased on 14.02.2022</t>
  </si>
  <si>
    <t>BIPUL GUHA</t>
  </si>
  <si>
    <t>18.1.62</t>
  </si>
  <si>
    <t>27.4.88</t>
  </si>
  <si>
    <t>17.08.17 (M/Man)</t>
  </si>
  <si>
    <t>ANUP KUMAR BISWAS</t>
  </si>
  <si>
    <t>17.1.62</t>
  </si>
  <si>
    <t>8.3.88/ 10.9.88</t>
  </si>
  <si>
    <t>29.10.13 (M/Man)</t>
  </si>
  <si>
    <t>MANIK RAY</t>
  </si>
  <si>
    <t>JMWDCM</t>
  </si>
  <si>
    <t>https://drive.google.com/file/d/15OyZtk1uru9-1VQkwHpyvvSQbuuTVDC5/view?usp=sharing</t>
  </si>
  <si>
    <t>Md Abbas Ali</t>
  </si>
  <si>
    <t>IRHGCQ</t>
  </si>
  <si>
    <t>Hans Nath Tiwari</t>
  </si>
  <si>
    <t>WXTPBD</t>
  </si>
  <si>
    <t>DIPAK KUMAR DAS</t>
  </si>
  <si>
    <t>26.2.62</t>
  </si>
  <si>
    <t>Balram Meena</t>
  </si>
  <si>
    <t>LXTWSD</t>
  </si>
  <si>
    <t>https://drive.google.com/file/d/13_SnjzSij83cPOG3XTdrFF1ChC5ZSx1A/view?usp=sharing</t>
  </si>
  <si>
    <t>Mutual vice Ajay Kumar Bhagat on 08.02.2022</t>
  </si>
  <si>
    <t>Sanjay Acharya</t>
  </si>
  <si>
    <t>ZHUZCG</t>
  </si>
  <si>
    <t>Promoted to LPS &amp; working at DSL wing</t>
  </si>
  <si>
    <t>Parsadi Lal Meena</t>
  </si>
  <si>
    <t>TBDYHT</t>
  </si>
  <si>
    <t>https://drive.google.com/file/d/1ep1LyC19XRPFLMn8II9xY2Nz3dNqh1G8/view?usp=sharing</t>
  </si>
  <si>
    <t>Gajendra Meena</t>
  </si>
  <si>
    <t>AODQBL</t>
  </si>
  <si>
    <t>https://drive.google.com/file/d/1QIFRHlnAhFh_AsLq9MX1hqs1rlOMAn9p/view?usp=sharing</t>
  </si>
  <si>
    <t>P K Ghosh</t>
  </si>
  <si>
    <t>AAFYWP</t>
  </si>
  <si>
    <t>SUJIT KUMAR GHOSH..</t>
  </si>
  <si>
    <t>ZQDCAZ</t>
  </si>
  <si>
    <t>https://drive.google.com/file/d/1iss8UHFcTkg5rjD9WIjED_Udg9XW8jLv/view?usp=sharing</t>
  </si>
  <si>
    <t>P K MALLA</t>
  </si>
  <si>
    <t>KTARLQ</t>
  </si>
  <si>
    <t>UNDER BRSH FROM 08/05/2020</t>
  </si>
  <si>
    <t>https://drive.google.com/file/d/1HQcGhfvMakBrKSWTiducVdxvwnzRjBMv/view?usp=sharing</t>
  </si>
  <si>
    <t>S C BISWAS</t>
  </si>
  <si>
    <t>HYLHQB</t>
  </si>
  <si>
    <t>https://drive.google.com/file/d/1VHCA-TeRCRF3RzvbX-eoX3rBsMQkNG7S/view?usp=sharing</t>
  </si>
  <si>
    <t>T K DAS II</t>
  </si>
  <si>
    <t>SEBKXF</t>
  </si>
  <si>
    <t>https://drive.google.com/file/d/1spOTAZe1rV43MubkzlML2wLKf9EAYqZF/view?usp=sharing</t>
  </si>
  <si>
    <t>KRJYHY</t>
  </si>
  <si>
    <t>N.K. Halder</t>
  </si>
  <si>
    <t>Girraj Prasad Meena</t>
  </si>
  <si>
    <t>YRQUTM</t>
  </si>
  <si>
    <t>https://drive.google.com/file/d/147RMAMOE--XA5yW0J_km8-atvFdGMbrS/view?usp=sharing</t>
  </si>
  <si>
    <t>TRANSFERRED ON 15.03.2022 VICE VIJAY SHANKER KUMAR</t>
  </si>
  <si>
    <t>Rakesh Kumar Meena</t>
  </si>
  <si>
    <t>RXEMKU</t>
  </si>
  <si>
    <t>https://drive.google.com/file/d/1aS1saLWkKV0sXt_YDYyyvSgRTaMNv8_S/view?usp=sharing</t>
  </si>
  <si>
    <t>TRANSFER ON 15.03.2022 VICE ASHIS KUMAR</t>
  </si>
  <si>
    <t>Lokesh Meena</t>
  </si>
  <si>
    <t>IACJIL</t>
  </si>
  <si>
    <t>https://drive.google.com/file/d/1ZeNJtvs3s9mC_QwkGb0bSyhAUYnzpzmh/view?usp=sharing</t>
  </si>
  <si>
    <t>TRANSFER VICE PAPPU KUMAR PANDIT</t>
  </si>
  <si>
    <t>Ashok Kumar Meena</t>
  </si>
  <si>
    <t>TUWWIH</t>
  </si>
  <si>
    <t>https://drive.google.com/file/d/1jQ3mM-lNBKvt9KcM6Dvmv-xOX_JCumNU/view?usp=sharing</t>
  </si>
  <si>
    <t>TRANSFER VICE BIKASH KUMAR MISHRA</t>
  </si>
  <si>
    <t>SABIR HASAN MONDAL</t>
  </si>
  <si>
    <t>FMJTKC</t>
  </si>
  <si>
    <t>https://drive.google.com/file/d/1zSxIaVqiS8bTOGkQ3WKfphmRLLu-S73e/view?usp=sharing</t>
  </si>
  <si>
    <t>TECHNICAL RESIGNATION ON MARCH 2022</t>
  </si>
  <si>
    <t>Rajesh Kumar Meena</t>
  </si>
  <si>
    <t>MEOHSR</t>
  </si>
  <si>
    <t>TRANSFERRED vice Mithilesh kumar Ranjan</t>
  </si>
  <si>
    <t>Pawan Kumar Meena</t>
  </si>
  <si>
    <t>IOKYKD</t>
  </si>
  <si>
    <t>https://drive.google.com/file/d/1SciF68_kPUZ55an5MQMp_LxCpmY-cT4J/view?usp=sharing</t>
  </si>
  <si>
    <t>TRANSFER ON 24.02.2022</t>
  </si>
  <si>
    <t>Rakesh Meena</t>
  </si>
  <si>
    <t>GRJYRJ</t>
  </si>
  <si>
    <t>https://drive.google.com/file/d/1-YH1aKP3PsjmVY736R7KJGyk5cKW5e4J/view?usp=sharing</t>
  </si>
  <si>
    <t>TRANSFERRED ON 21.03.2022</t>
  </si>
  <si>
    <t>PINTU BALA</t>
  </si>
  <si>
    <t>LUBKAA</t>
  </si>
  <si>
    <t>https://drive.google.com/file/d/1DlTMg5_D9d_G66PFGT0_ATR3ji0EHUfi/view?usp=sharing</t>
  </si>
  <si>
    <t>EXPIRED ON APRIL 22</t>
  </si>
  <si>
    <t>P S CHATTOPADHYAY..</t>
  </si>
  <si>
    <t>DGWUHI</t>
  </si>
  <si>
    <t>MADAN KUMAR SAHA</t>
  </si>
  <si>
    <t>RETIRED ON APRIL 22</t>
  </si>
  <si>
    <t>PIJUSH KANTI MITRA</t>
  </si>
  <si>
    <t>AJCQPN</t>
  </si>
  <si>
    <t>https://drive.google.com/file/d/118fKmnkZezYGfL2jOSnIkp-WyEj_clar/view?usp=sharing</t>
  </si>
  <si>
    <t>J N GHOSH</t>
  </si>
  <si>
    <t>ZJDHRG</t>
  </si>
  <si>
    <t>DUE DATE NOT AVILABLE</t>
  </si>
  <si>
    <t>https://drive.google.com/file/d/1vhViFjT-3Em2MW6MWaqc9xdy3qaesjWM/view?usp=sharing</t>
  </si>
  <si>
    <t>QZIQOJ</t>
  </si>
  <si>
    <t>SRI MANOJA KUMAR PANDA</t>
  </si>
  <si>
    <t>NIKHIL RAKSHIT</t>
  </si>
  <si>
    <t>2.4.62</t>
  </si>
  <si>
    <t>1.12.86</t>
  </si>
  <si>
    <t>23.09.13 (M/Man)</t>
  </si>
  <si>
    <t>LXORZS</t>
  </si>
  <si>
    <t>Bineeta Maity</t>
  </si>
  <si>
    <t>Transfer to LLH Carshed on APR'2022</t>
  </si>
  <si>
    <t>SWAPAN KR. ROY II..</t>
  </si>
  <si>
    <t>IIZGZZ</t>
  </si>
  <si>
    <t>UNDER BRSH</t>
  </si>
  <si>
    <t>https://drive.google.com/file/d/16FrBLCuuJo_XVUhhg1r-dC-c6ovc5zaW/view?usp=sharing</t>
  </si>
  <si>
    <t>PRADIP KR. CHAKRABORTY</t>
  </si>
  <si>
    <t>RQSUBU</t>
  </si>
  <si>
    <t>https://drive.google.com/file/d/1Sj1HY4_FYSbwVpVAQO1k_emTlsaG10Hu/view?usp=sharing</t>
  </si>
  <si>
    <t>ASHOK KUMAR PRASAD..</t>
  </si>
  <si>
    <t>502S4767408</t>
  </si>
  <si>
    <t>AHXZJC</t>
  </si>
  <si>
    <t>https://drive.google.com/file/d/1uckS35uHDLRJZnVnkGSQNiZKy0NBO-jN/view?usp=sharing</t>
  </si>
  <si>
    <t>https://drive.google.com/file/d/1qRzEF0vtj_k6DMz9ch7GLMTlZ1mYVwwd/view?usp=sharing</t>
  </si>
  <si>
    <t>P K AICH</t>
  </si>
  <si>
    <t>HTCEQT</t>
  </si>
  <si>
    <t>SANJAY BISWAS</t>
  </si>
  <si>
    <t>https://drive.google.com/file/d/1xS_F5TTQKS87vXs03en7ZtxbN3S3MPXx/view?usp=sharing</t>
  </si>
  <si>
    <t>KBPWKS</t>
  </si>
  <si>
    <t>Shyamal Parial</t>
  </si>
  <si>
    <t>BARUN KUMAR</t>
  </si>
  <si>
    <t>502S4760153</t>
  </si>
  <si>
    <t>ETZDAE</t>
  </si>
  <si>
    <t>https://drive.google.com/file/d/1ZtVQP3I2MCFQom7WNySgCy7QP7hV-6hF/view?usp=sharing</t>
  </si>
  <si>
    <t>M K BALA</t>
  </si>
  <si>
    <t>ZTEIAE</t>
  </si>
  <si>
    <t>https://drive.google.com/file/d/194cl4u6i26p3Vcwt-UUv9k8QJPWf6UMX/view?usp=sharing</t>
  </si>
  <si>
    <t>SUBHA CHAND SARKAR</t>
  </si>
  <si>
    <t>ZHKKFB</t>
  </si>
  <si>
    <t>https://drive.google.com/file/d/1V_xmBWXu6K1bByQhQDfFw9kv2GWtsLk2/view?usp=sharing</t>
  </si>
  <si>
    <t>RAJENDRA PROSAD..</t>
  </si>
  <si>
    <t>XTBKCD</t>
  </si>
  <si>
    <t>J K DUTTA III</t>
  </si>
  <si>
    <t>GNQEFE</t>
  </si>
  <si>
    <t>https://drive.google.com/file/d/1J0eyfxx0LzMn0z-Njrh1PuCTbFpF2dOg/view?usp=sharing</t>
  </si>
  <si>
    <t>SAMIR GHOSH</t>
  </si>
  <si>
    <t>XGDKCS</t>
  </si>
  <si>
    <t>C</t>
  </si>
  <si>
    <t>https://drive.google.com/file/d/1i0Wq_MQ-g9Jsw9ictOHaszUK2_PzlVOn/view?usp=sharing</t>
  </si>
  <si>
    <t>https://drive.google.com/file/d/1Jxt5uZFa5iYVoTDqRhHx3zghqdUdjeFP/view?usp=sharing</t>
  </si>
  <si>
    <t>De cat &amp; posted as OS under elect /G 13.06.2022</t>
  </si>
  <si>
    <t>DIPANKAR DASGUPTA</t>
  </si>
  <si>
    <t>XJASIG</t>
  </si>
  <si>
    <t>https://drive.google.com/file/d/1APvRoi4_j-e8cC8IXXEIGbnDBhIEefms/view?usp=sharing</t>
  </si>
  <si>
    <t>De cat &amp; posted as Sr.CLERK underPERSONNEL DEPT 13.06.2023</t>
  </si>
  <si>
    <t>TANMAY RAY</t>
  </si>
  <si>
    <t>BISWAJIT DAS</t>
  </si>
  <si>
    <t>De cat &amp; posted as Jr.CLERK underelect /op 13.06.2024</t>
  </si>
  <si>
    <t>SURAJIT HALDER</t>
  </si>
  <si>
    <t>YTEUAI</t>
  </si>
  <si>
    <t>https://drive.google.com/file/d/1-K7GI-haQF666o1Jl0oyCguxIRGXhtZh/view?usp=sharing</t>
  </si>
  <si>
    <t>Compulsary retirement on 13.04.2022</t>
  </si>
  <si>
    <t>Harkesh Meena</t>
  </si>
  <si>
    <t>RCLHXE</t>
  </si>
  <si>
    <t>https://drive.google.com/file/d/1T3M_gB_iNt71lI_VXCYDSOdDmJ0prhMv/view?usp=sharing</t>
  </si>
  <si>
    <t>Mutual visce suprabhat sikder on 31.05.2022</t>
  </si>
  <si>
    <t>Lok Nath Prasad</t>
  </si>
  <si>
    <t>XNBJSZ</t>
  </si>
  <si>
    <t>https://drive.google.com/file/d/1S3eghNLJRWbR2wBelfcwrN7N-RVGiLhr/view?usp=sharing</t>
  </si>
  <si>
    <t>Sukumar Pramanick</t>
  </si>
  <si>
    <t>CSXHNR</t>
  </si>
  <si>
    <t>https://drive.google.com/file/d/1bhkSNjzhKgo8yzhmPsuIipq1MnJcRV1W/view?usp=sharing</t>
  </si>
  <si>
    <t>SPAD involved psycho fail spared to DSL</t>
  </si>
  <si>
    <t>Babulal Meena</t>
  </si>
  <si>
    <t>OXYKPP</t>
  </si>
  <si>
    <t>https://drive.google.com/file/d/1TSTp7Fgc4RFlTf-N703-K4kQlDJYFlwJ/view?usp=sharing</t>
  </si>
  <si>
    <t>KHEM CHAND MEENA</t>
  </si>
  <si>
    <t>IXZNIB</t>
  </si>
  <si>
    <t>https://drive.google.com/file/d/1PtRKXqeXG-CozlQz8zArI2CGdIm3zObr/view?usp=sharing</t>
  </si>
  <si>
    <t>Basram Meena</t>
  </si>
  <si>
    <t>UWGMSC</t>
  </si>
  <si>
    <t>A K BALA</t>
  </si>
  <si>
    <t>https://drive.google.com/file/d/17c2ajKlMHR3ybq5akfEGHpIpJCnCy6fL/view?usp=sharing</t>
  </si>
  <si>
    <t>Vice manish kumra joined on 06.09.2022</t>
  </si>
  <si>
    <t>SOUMEN KUMAR MITRA</t>
  </si>
  <si>
    <t>JLQOYA</t>
  </si>
  <si>
    <t>https://drive.google.com/file/d/132LNzDxt-g3ez3Hr89llM-sNjn6KArC2/view?usp=sharing</t>
  </si>
  <si>
    <t>https://drive.google.com/file/d/13uwuulV6EZ3bte8r7HA6FSYsIDIQfLXG/view?usp=sharing</t>
  </si>
  <si>
    <t>PRADIP BHOWMICK</t>
  </si>
  <si>
    <t>RFQAEC</t>
  </si>
  <si>
    <t>VR On 31.07.2022</t>
  </si>
  <si>
    <t>https://drive.google.com/file/d/1Je_ajkuN5SuEaL_R6ch10OYW6C2Zg9Bs/view?usp=sharing</t>
  </si>
  <si>
    <t>Naresh Kumar Meena</t>
  </si>
  <si>
    <t>KHPTOF</t>
  </si>
  <si>
    <t>GAUTAM SINHA</t>
  </si>
  <si>
    <t>AEPGWQ</t>
  </si>
  <si>
    <t>https://drive.google.com/file/d/16fUK2o-yfH0sukWy8PAINP7-WJO6SOIQ/view?usp=sharing</t>
  </si>
  <si>
    <t>TAPAN MAZUMDER</t>
  </si>
  <si>
    <t>JPKGHX</t>
  </si>
  <si>
    <t>https://drive.google.com/file/d/1ehvHT2Jb8ymurI4JVXr3tWmjh5mvCIPR/view?usp=sharing</t>
  </si>
  <si>
    <t>https://drive.google.com/file/d/1MEDykCSq1ugfUf1_eG6Vx8E7c7EdREQD/view?usp=sharing</t>
  </si>
  <si>
    <t>TAPAS MITRA</t>
  </si>
  <si>
    <t>HOSXER</t>
  </si>
  <si>
    <t>S CHATTOPADHYA</t>
  </si>
  <si>
    <t>UPRAGO</t>
  </si>
  <si>
    <t>https://drive.google.com/file/d/1w-IlieJmrPex_8C3PxrBe9t_t3eAGpsy/view?usp=sharing</t>
  </si>
  <si>
    <t>TAMAL GHOSH</t>
  </si>
  <si>
    <t>JPPOME</t>
  </si>
  <si>
    <t>https://drive.google.com/file/d/16Em1hO2abiTxf2QYR-qrfhQkHgNNDmxq/view?usp=sharing</t>
  </si>
  <si>
    <t>Biswajit Mondal</t>
  </si>
  <si>
    <t>SJNMLQ</t>
  </si>
  <si>
    <t>BANABRATA DUTTA</t>
  </si>
  <si>
    <t>25.08.62</t>
  </si>
  <si>
    <t>11.07.88</t>
  </si>
  <si>
    <t>19.10.01</t>
  </si>
  <si>
    <t>22.08.17 (M/Man)</t>
  </si>
  <si>
    <t>Pradip Kr.Das - II</t>
  </si>
  <si>
    <t>502S4768759</t>
  </si>
  <si>
    <t>NOOWCP</t>
  </si>
  <si>
    <t>https://drive.google.com/file/d/1Ovf-DSzsV27hSrm4KmksqeAp7LxVMUQY/view?usp=sharing</t>
  </si>
  <si>
    <t>Gaurav Kumar Meena</t>
  </si>
  <si>
    <t>LJKPCT</t>
  </si>
  <si>
    <t>https://drive.google.com/file/d/1onmPlfeYpfD9pk5tTiEO-U65vXWisOd3/view?usp=sharing</t>
  </si>
  <si>
    <t>Vice Ghanshyam Kumar</t>
  </si>
  <si>
    <t>Sant Ram Meena</t>
  </si>
  <si>
    <t>GEKNKK</t>
  </si>
  <si>
    <t>https://drive.google.com/file/d/1M8fj0EzrKoEZ0d3FSAPcnkDrm0d3NFsf/view?usp=sharing</t>
  </si>
  <si>
    <t>Vice ajay Kumar on 21.09.2022</t>
  </si>
  <si>
    <t>KRISHNA SARKAR</t>
  </si>
  <si>
    <t>TLZXJJ</t>
  </si>
  <si>
    <t>https://drive.google.com/file/d/1joQD6zW6n9aa8glOAgAX2AdqD1EPRZW5/view?usp=sharing</t>
  </si>
  <si>
    <t>Samir Kumar Dey</t>
  </si>
  <si>
    <t>HENAFN</t>
  </si>
  <si>
    <t>SOURAV BAGCHI</t>
  </si>
  <si>
    <t>TCMXFX</t>
  </si>
  <si>
    <t>https://drive.google.com/file/d/1ud21MihSfJX8nBvH_RwlBgdGsvgaqGS8/view?usp=sharing</t>
  </si>
  <si>
    <t>Technical resognation on September 2022</t>
  </si>
  <si>
    <t>KALYAN KR GHOSH DASTIDAR</t>
  </si>
  <si>
    <t>GAYJAR</t>
  </si>
  <si>
    <t>https://drive.google.com/file/d/1lAtQqsg9ZKz36cTh48etGSLWaxW51U3b/view?usp=sharing</t>
  </si>
  <si>
    <t>02/12/2015(F) &amp; 07/10/2020(F)</t>
  </si>
  <si>
    <t>MANICK DATTA</t>
  </si>
  <si>
    <t>EWPQYX</t>
  </si>
  <si>
    <t>https://drive.google.com/file/d/10wkB0ODQPlbkqqKXZIosMXxkCEMxNwE_/view?usp=sharing</t>
  </si>
  <si>
    <t>ANIL KUMAR</t>
  </si>
  <si>
    <t>JOTXYM</t>
  </si>
  <si>
    <t>https://drive.google.com/file/d/1CDKh7qDZd3OAU4xCV3KMWQSJmnKPVUDZ/view?usp=sharing</t>
  </si>
  <si>
    <t>N C SARKAR..</t>
  </si>
  <si>
    <t>50205337914</t>
  </si>
  <si>
    <t>NUMTBJ</t>
  </si>
  <si>
    <t>https://drive.google.com/file/d/17kj71G01wwsVcBLPm9X0tqR7OrrXbrCa/view?usp=sharing</t>
  </si>
  <si>
    <t>Subrata Dasgupta</t>
  </si>
  <si>
    <t>QEXRJY</t>
  </si>
  <si>
    <t>P.K.MONDAL</t>
  </si>
  <si>
    <t>BIPLAB SARKAR</t>
  </si>
  <si>
    <t>SUMHUH</t>
  </si>
  <si>
    <t>https://drive.google.com/file/d/1NPYlCmhyx1nF0FuZmGo44ErCdt9UHfvX/view?usp=sharing</t>
  </si>
  <si>
    <t>https://drive.google.com/file/d/18c7ceY5zz2lBB4SQX564CI0H22bopvkq/view?usp=sharing</t>
  </si>
  <si>
    <t>MALIN KUMAR GHOSH</t>
  </si>
  <si>
    <t>VR on 31.10.2022</t>
  </si>
  <si>
    <t>SHANKAR MUKHOPADHYAY</t>
  </si>
  <si>
    <t>ZPMDJW</t>
  </si>
  <si>
    <t>https://drive.google.com/file/d/1impTFISqq4I6v9Z4Q5esc1AdJD2cy2XV/view?usp=sharing</t>
  </si>
  <si>
    <t>VR ON 31.10.2022</t>
  </si>
  <si>
    <t>KTPUCD</t>
  </si>
  <si>
    <t>ANJANA MAJUMDER</t>
  </si>
  <si>
    <t>Alternative appointed at Sr.DME</t>
  </si>
  <si>
    <t>AJAY KUMAR BHAGAT</t>
  </si>
  <si>
    <t>WDDOIG</t>
  </si>
  <si>
    <t>Vice sri Debasis Sarkar transferred to ASN Divn</t>
  </si>
  <si>
    <t>WKG at DSL</t>
  </si>
  <si>
    <t>OM PRAKASH YADAV</t>
  </si>
  <si>
    <t>Mutual vice sanjeev kumar</t>
  </si>
  <si>
    <t>SUKHBIR NAIR</t>
  </si>
  <si>
    <t>Mutual vice praful kumar</t>
  </si>
  <si>
    <t>Pradip Kumar Singh</t>
  </si>
  <si>
    <t>ECTGKA</t>
  </si>
  <si>
    <t>Subhas Kr.Mondal</t>
  </si>
  <si>
    <t>B N ROY..</t>
  </si>
  <si>
    <t>RGNZCA</t>
  </si>
  <si>
    <t>https://drive.google.com/file/d/12V-xOVagqbGztGjSMFm4nsppHzPEz7lj/view?usp=sharing</t>
  </si>
  <si>
    <t>PAPPU KUMAR PANDIT</t>
  </si>
  <si>
    <t>JQTHRL</t>
  </si>
  <si>
    <t>MUTUAL VICE ASHOK SUTAR</t>
  </si>
  <si>
    <t>SOURAV BHATTACHARJEE</t>
  </si>
  <si>
    <t>QOPRJF</t>
  </si>
  <si>
    <t>https://drive.google.com/file/d/19QFPXaV5pJRTBoOkXy1q2gP9D5_xVjtQ/view?usp=sharing</t>
  </si>
  <si>
    <t>D B ROY CHOWDHURY</t>
  </si>
  <si>
    <t>CXPKXJ</t>
  </si>
  <si>
    <t>https://drive.google.com/file/d/1J-W3nAcodR5Gly1rivIe5jmsVDTCvOtk/view?usp=sharing</t>
  </si>
  <si>
    <t>SUBRATA ROY IV</t>
  </si>
  <si>
    <t>JJWZGC</t>
  </si>
  <si>
    <t>https://drive.google.com/file/d/1BVLIMyZ7ayGJcvF-lMHiZJBL8oSUQFKb/view?usp=sharing</t>
  </si>
  <si>
    <t>ASIM PAL</t>
  </si>
  <si>
    <t>OAEOGX</t>
  </si>
  <si>
    <t>https://drive.google.com/file/d/1eDtkC5yg-YymkKVr34KajtrgxtQ3tpjt/view?usp=sharing</t>
  </si>
  <si>
    <t>K K HARI</t>
  </si>
  <si>
    <t>PZYXWM</t>
  </si>
  <si>
    <t>https://drive.google.com/file/d/1owfe7cJrVfHInG9UkwVShExBSX_P9JzR/view?usp=sharing</t>
  </si>
  <si>
    <t>S K GUHA</t>
  </si>
  <si>
    <t>UZOLSQ</t>
  </si>
  <si>
    <t>https://drive.google.com/file/d/1RobZNDq-ujRrtCU7rF_sHzWBvnoVUBQI/view?usp=sharing</t>
  </si>
  <si>
    <t>PRABIR BISWAS</t>
  </si>
  <si>
    <t>FPGNEN</t>
  </si>
  <si>
    <t>https://drive.google.com/file/d/1D8e_cQIz4BZ6SEBq2bZBjMLv411-WtSn/view?usp=sharing</t>
  </si>
  <si>
    <t>YTWJGI</t>
  </si>
  <si>
    <t>https://drive.google.com/file/d/1G-9OJ6im7WugLFzKFhxRtJ0F76u84b5p/view?usp=sharing</t>
  </si>
  <si>
    <t>P K SINGH I</t>
  </si>
  <si>
    <t>502S4768723</t>
  </si>
  <si>
    <t>YXPHLW</t>
  </si>
  <si>
    <t>https://drive.google.com/file/d/1kDCtiO3IcEkO_bnp9PpxmsgTaUHQq0EG/view?usp=sharing</t>
  </si>
  <si>
    <t>https://drive.google.com/file/d/1xHscaov2O12Yp2awDtj_KsL9fV4O4YJG/view?usp=sharing</t>
  </si>
  <si>
    <t>B K SARKAR II</t>
  </si>
  <si>
    <t>OGYOIG</t>
  </si>
  <si>
    <t>https://drive.google.com/file/d/1iBXzzFJdnxYfPtGpZ-5pTNEt9hEFfU-9/view?usp=sharing</t>
  </si>
  <si>
    <t>DILIP RAKSHIT</t>
  </si>
  <si>
    <t>ISXADU</t>
  </si>
  <si>
    <t>https://drive.google.com/file/d/1_f5WGZM0IfUjn3TtK0DsEp32AWdzNZlI/view?usp=sharing</t>
  </si>
  <si>
    <t>//</t>
  </si>
  <si>
    <t>INDRAJIT DUTTA</t>
  </si>
  <si>
    <t>NSSYRA</t>
  </si>
  <si>
    <t>https://drive.google.com/file/d/14R0dW74WBVv7u_rE628I6LgGBGA_p_cB/view?usp=sharing</t>
  </si>
  <si>
    <t>JOYDIP GHOSH</t>
  </si>
  <si>
    <t>WYQZHI</t>
  </si>
  <si>
    <t>https://drive.google.com/file/d/1xd4ItTvGR5F6jGpX4JfeOBD9wKXDQiVl/view?usp=sharing</t>
  </si>
  <si>
    <t>PARTHA SEN</t>
  </si>
  <si>
    <t>FYDPLR</t>
  </si>
  <si>
    <t>https://drive.google.com/file/d/1wy1Gw1QNQWFdSDWaB2ijj16PYxDaBshv/view?usp=sharing</t>
  </si>
  <si>
    <t>SUBHAS CHANDRA PAUL</t>
  </si>
  <si>
    <t>INKUIN</t>
  </si>
  <si>
    <t>https://drive.google.com/file/d/1fZoLsonTMHjNMrbJBDRy-inXl-RwQ685/view?usp=sharing</t>
  </si>
  <si>
    <t>DEBABRATA MONDAL</t>
  </si>
  <si>
    <t>PYXAKQ</t>
  </si>
  <si>
    <t>https://drive.google.com/file/d/1J-G5kBxn0JI8o0-6xkNcLfGlSUO_PXEL/view?usp=sharing</t>
  </si>
  <si>
    <t>GOPI NATH DAS GHOSH …</t>
  </si>
  <si>
    <t>ZWMNOQ</t>
  </si>
  <si>
    <t>https://drive.google.com/file/d/1pqKb5zV4vOelSQFsozutLB_SeJEGoOPd/view?usp=sharing</t>
  </si>
  <si>
    <t>NALINABHA SARKAR</t>
  </si>
  <si>
    <t>YIAGCQ</t>
  </si>
  <si>
    <t>https://drive.google.com/file/d/1cIpHpVjcG5zy_SPkbh64vkUF5n7RD2u_/view?usp=sharing</t>
  </si>
  <si>
    <t>U K BHATTACHARJEE</t>
  </si>
  <si>
    <t>BWDYJZ</t>
  </si>
  <si>
    <t>https://drive.google.com/file/d/1V_ddj6ZufuprrniL2BVTpUvMBDz3J2yq/view?usp=sharing</t>
  </si>
  <si>
    <t>PRANAB SANYAL</t>
  </si>
  <si>
    <t>HYKAIL</t>
  </si>
  <si>
    <t>https://drive.google.com/file/d/1VmWqXB6oCYR4VzjelxhLup_k38EIWl6D/view?usp=sharing</t>
  </si>
  <si>
    <t>Md. Sirajuddin</t>
  </si>
  <si>
    <t>YZGFYO</t>
  </si>
  <si>
    <t>M.B.Shukla</t>
  </si>
  <si>
    <t>502S4767305</t>
  </si>
  <si>
    <t>SHHFBT</t>
  </si>
  <si>
    <t>A.K.Goswami</t>
  </si>
  <si>
    <t>XRQMYO</t>
  </si>
  <si>
    <t>Malay Burman</t>
  </si>
  <si>
    <t>MPBNXP</t>
  </si>
  <si>
    <t>De cat CCR</t>
  </si>
  <si>
    <t>BIDHAN CHANDRA SARKAR</t>
  </si>
  <si>
    <t>OSZPIZ</t>
  </si>
  <si>
    <t>https://drive.google.com/file/d/1dwqVtqIjEnNuQXT1yZvXYXN7_c-V7wiz/view?usp=sharing</t>
  </si>
  <si>
    <t>VR ON 31.01.2023</t>
  </si>
  <si>
    <t>CGXUSG</t>
  </si>
  <si>
    <t>PRADIP KR. ROY</t>
  </si>
  <si>
    <t>Utpal Kumar Roy</t>
  </si>
  <si>
    <t>WNNFMB</t>
  </si>
  <si>
    <t>DINABANDHU PAL</t>
  </si>
  <si>
    <t>DANQFU</t>
  </si>
  <si>
    <t>https://drive.google.com/file/d/1jhRqwRqowpWQT_GPptKUQHm0rot0ZRVa/view?usp=share_link</t>
  </si>
  <si>
    <t>https://drive.google.com/file/d/18SiLND7Q6VqxtSBEyc6LVnfGhEYUhrTr/view?usp=sharing</t>
  </si>
  <si>
    <t>D HALDER</t>
  </si>
  <si>
    <t>KJEDIN</t>
  </si>
  <si>
    <t>SANJAY KR BISWAS</t>
  </si>
  <si>
    <t>https://drive.google.com/file/d/1RIAIye4dD8_mEHgpPz7Npm4m2tY7Cfl8/view?usp=sharing</t>
  </si>
  <si>
    <t>M C MONDAL</t>
  </si>
  <si>
    <t>JBIZGF</t>
  </si>
  <si>
    <t>https://drive.google.com/file/d/19sjOeudj3Hj1d1RHiKll2I3CgPIBr8kd/view?usp=sharing</t>
  </si>
  <si>
    <t>MPWAPZ</t>
  </si>
  <si>
    <t>Pradip Kumar Baidya</t>
  </si>
  <si>
    <t>SOURAV GHORA</t>
  </si>
  <si>
    <t>BWRZON</t>
  </si>
  <si>
    <t>https://drive.google.com/file/d/1eZrPCOFLnaKwHJXVEHqaCn6geUcj5Ara/view?usp=share_link</t>
  </si>
  <si>
    <t>Appointed as JE/TMO</t>
  </si>
  <si>
    <t>Letter issed on 17.03.2023</t>
  </si>
  <si>
    <t>DIPAK KUMAR BISWAS</t>
  </si>
  <si>
    <t>YOCLRO</t>
  </si>
  <si>
    <t>https://drive.google.com/file/d/1Y_fF1mbTFyFrTvw8iSuaHUUds4YzTtV0/view?usp=sharing</t>
  </si>
  <si>
    <t>Appointed as JE/TMO/SDAH</t>
  </si>
  <si>
    <t>ARUN KUMAR SHAW</t>
  </si>
  <si>
    <t>YEZMES</t>
  </si>
  <si>
    <t>https://drive.google.com/file/d/1njG7dO0ILFQbAfoipl50B-LHooppSn_6/view?usp=share_link</t>
  </si>
  <si>
    <t>Appointed as JE/TMO/CPOH/KPA</t>
  </si>
  <si>
    <t xml:space="preserve">Amod Kr Roy </t>
  </si>
  <si>
    <t>YAJDYL</t>
  </si>
  <si>
    <t>https://drive.google.com/file/d/1MMslkb1z0rbuhCSpV_7Pb7KQKuLQSIzC/view?usp=sharing</t>
  </si>
  <si>
    <t>DEB KUMAR BHADRA</t>
  </si>
  <si>
    <t>RFEQWL</t>
  </si>
  <si>
    <t>https://drive.google.com/file/d/1z0b5wj6j_PNrgQCYfM4GKG__GVv360tF/view?usp=sharing</t>
  </si>
  <si>
    <t>KARUNAMAY NASKAR..</t>
  </si>
  <si>
    <t>KUFYUN</t>
  </si>
  <si>
    <t>https://drive.google.com/file/d/1En4CfdLPcyw4N9AXQdVbv75T6nYkx4Rd/view?usp=sharing</t>
  </si>
  <si>
    <t>H K P JAISWAL</t>
  </si>
  <si>
    <t>ZAHIUR</t>
  </si>
  <si>
    <t>https://drive.google.com/file/d/1X6JR8RkYuhiGxMN-ohbSjoWsIieHnVnF/view?usp=sharing</t>
  </si>
  <si>
    <t>RATAN KUMAR KUNDU</t>
  </si>
  <si>
    <t>TBLHLP</t>
  </si>
  <si>
    <t>https://drive.google.com/file/d/1KU-6nwnpW8NZ3efqFMWUbqk1eylHBaMC/view?usp=sharing</t>
  </si>
  <si>
    <t>HIMANGSHU MAJUMDAR</t>
  </si>
  <si>
    <t>YWBZCT</t>
  </si>
  <si>
    <t>https://drive.google.com/file/d/1jauexwUiK_F0YQ-kuMlLIAYnIvFz3Ff-/view?usp=sharing</t>
  </si>
  <si>
    <t>P K BISWAS</t>
  </si>
  <si>
    <t>UOQWZJ</t>
  </si>
  <si>
    <t>https://drive.google.com/file/d/1Jyp6E2uPHG0cCDeizBOLA0SWM7_iy6Iy/view?usp=sharing</t>
  </si>
  <si>
    <t>AJOY SARKAR</t>
  </si>
  <si>
    <t>AOTKEI</t>
  </si>
  <si>
    <t>https://drive.google.com/file/d/19cXwjaljzSxm1dfwgxqZGDSnyMqXZYc4/view?usp=sharing</t>
  </si>
  <si>
    <t>https://drive.google.com/file/d/16CP_OeIRhwUS1q4dmJuQmqs9JTrnM83d/view?usp=share_link</t>
  </si>
  <si>
    <t>ULYKEF</t>
  </si>
  <si>
    <t>S N DUBEY</t>
  </si>
  <si>
    <t>KUNAL PRAMANICK</t>
  </si>
  <si>
    <t>AUXSIT</t>
  </si>
  <si>
    <t>D NANDI</t>
  </si>
  <si>
    <t>https://drive.google.com/file/d/1EMx5Kt6QWKNmZmtvPCxmtDxDoypaaYQm/view?usp=share_link</t>
  </si>
  <si>
    <t>WCRODQ</t>
  </si>
  <si>
    <t>BIJAY KUMAR SHAW</t>
  </si>
  <si>
    <t>Soubhagya Sardar</t>
  </si>
  <si>
    <t>https://drive.google.com/file/d/1D9SvYSFfrvb70skPXsNnv83P8PwvvRMD/view?usp=sharing</t>
  </si>
  <si>
    <t>Promoted to CLI</t>
  </si>
  <si>
    <t>Mahananda Mandal</t>
  </si>
  <si>
    <t>RIUJOJ</t>
  </si>
  <si>
    <t>https://drive.google.com/file/d/14MOXudmJj2NpTTKmZ2cebYim-lGtj0cp/view?usp=sharing</t>
  </si>
  <si>
    <t>Not Appear</t>
  </si>
  <si>
    <t>Retirement from April-2023</t>
  </si>
  <si>
    <t>MRINMOY GHOSH</t>
  </si>
  <si>
    <t>QAODYI</t>
  </si>
  <si>
    <t>https://drive.google.com/file/d/1nJoN_uIdwaXq7Su0DacwMLV5nOox8z9k/view?usp=sharing</t>
  </si>
  <si>
    <t>S K PATRA</t>
  </si>
  <si>
    <t>FOSHDK</t>
  </si>
  <si>
    <t>https://drive.google.com/file/d/1KSQcR8fDL4ndRWJnR-w32-BhKOA5xSCT/view?usp=sharing</t>
  </si>
  <si>
    <t>ASHIS KUMAR DASMAHAPATRA</t>
  </si>
  <si>
    <t>QLIKZG</t>
  </si>
  <si>
    <t>T K SHEET</t>
  </si>
  <si>
    <t>XTTGBP</t>
  </si>
  <si>
    <t>https://drive.google.com/file/d/1dgYLobTSdQKetbNw6DH0sdCuIM0VgJrb/view?usp=sharing</t>
  </si>
  <si>
    <t>https://drive.google.com/file/d/1hHtgSwK1bS3PuppJjSTLP69yjc_jaY78/view?usp=share_link</t>
  </si>
  <si>
    <t>ASHIS KARMAKAR</t>
  </si>
  <si>
    <t>OYKSOX</t>
  </si>
  <si>
    <t>https://drive.google.com/file/d/1Vpp_s6oxPpkVvBrQ8mz8Q96HVMfN26dx/view?usp=sharing</t>
  </si>
  <si>
    <t>DECAT</t>
  </si>
  <si>
    <t>VR ON 31.05.2023</t>
  </si>
  <si>
    <t>BIKASH SARKAR</t>
  </si>
  <si>
    <t>17.05.63</t>
  </si>
  <si>
    <t>16.07.92</t>
  </si>
  <si>
    <t>27.01.10</t>
  </si>
  <si>
    <t>TAMAL KUMAR DEY..</t>
  </si>
  <si>
    <t>SJCRGN</t>
  </si>
  <si>
    <t>https://drive.google.com/file/d/1DfStez0WJEeZMk1wjNUEJbKVM5KrbajA/view?usp=sharing</t>
  </si>
  <si>
    <t>https://drive.google.com/file/d/1_lL4w7a1jPLDRBGXxaMnpJIW03al3AKS/view?usp=share_link</t>
  </si>
  <si>
    <t>P K SAHA</t>
  </si>
  <si>
    <t>ZZINSN</t>
  </si>
  <si>
    <t>https://drive.google.com/file/d/16N8OB5PACW6Z_ZH9wGfXvdUjFxuxXfss/view?usp=sharing</t>
  </si>
  <si>
    <t>Jyotirmoy Chowdhury</t>
  </si>
  <si>
    <t>PXCKOJ</t>
  </si>
  <si>
    <t>AMITAVA GHOSH</t>
  </si>
  <si>
    <t>TFDTIH</t>
  </si>
  <si>
    <t>https://drive.google.com/file/d/1RGUucHa77XBOHN6Fcs9GM8E79XnMKvb1/view?usp=sharing</t>
  </si>
  <si>
    <t>ASHISH KUMAR</t>
  </si>
  <si>
    <t>XBJKNY</t>
  </si>
  <si>
    <t xml:space="preserve">Mutual viceSubhasis Dey </t>
  </si>
  <si>
    <t>Debashis Bhattacharya</t>
  </si>
  <si>
    <t>LPPZZR</t>
  </si>
  <si>
    <t>VR ON 31.07.2023</t>
  </si>
  <si>
    <t>https://drive.google.com/file/d/1_YUYWBpKpGhYTJlWibwlR2IrZIGIukJL/view?usp=sharing</t>
  </si>
  <si>
    <t>https://drive.google.com/file/d/1uBj8tNXThI2HqH0FYvtLj1Ca6zXer6ZM/view?usp=sharing</t>
  </si>
  <si>
    <t>SUBHRA KANTI ROY</t>
  </si>
  <si>
    <t>QHUGWL</t>
  </si>
  <si>
    <t>https://drive.google.com/file/d/18lsdkRCZSzYmhdBV9QsG33CFKzH_vEVq/view?usp=sharing</t>
  </si>
  <si>
    <t>https://drive.google.com/file/d/1lIXe1he1PWqG12f3hhGCpXO-X1n0LQ5O/view?usp=share_link</t>
  </si>
  <si>
    <t>VIDYA BHUSHAN PRASAD</t>
  </si>
  <si>
    <t>OIUANT</t>
  </si>
  <si>
    <t>https://drive.google.com/file/d/1xw2S72ZjP7l3Vb8xTeHCxVfExA-27Pr6/view?usp=sharing</t>
  </si>
  <si>
    <t>BIBHAS KUMAR DAS</t>
  </si>
  <si>
    <t>ZPAUCN</t>
  </si>
  <si>
    <t>https://drive.google.com/file/d/1Y0_WfiGy7vj0qVlyXtawTGOdlXdgj42l/view?usp=sharing</t>
  </si>
  <si>
    <t>SASADHAR MAITY</t>
  </si>
  <si>
    <t>XTNLGO</t>
  </si>
  <si>
    <t>......</t>
  </si>
  <si>
    <t>https://drive.google.com/file/d/168jvOCZyo4SlBH6-qACPapOix6N4v5bG/view?usp=sharing</t>
  </si>
  <si>
    <t>PCLBCX</t>
  </si>
  <si>
    <t>https://drive.google.com/file/d/1fle88n8DVSUGNwAOw5QAe08ukoWcROQt/view?usp=sharing</t>
  </si>
  <si>
    <t>DEBA PROSAD ROY</t>
  </si>
  <si>
    <t>PKGHQG</t>
  </si>
  <si>
    <t>PRADYOT DATTA</t>
  </si>
  <si>
    <t>QMLSAX</t>
  </si>
  <si>
    <t>DEBABRATA GHOSH</t>
  </si>
  <si>
    <t>FYLOSW</t>
  </si>
  <si>
    <t>https://drive.google.com/file/d/1dgdI5C3r9yOYCc2sKJEPROZNS0iVYfDZ/view?usp=sharing</t>
  </si>
  <si>
    <t>https://drive.google.com/file/d/1ETw0O1R7QTaQDJoBim9wXSVkJXGBo1ob/view?usp=sharing</t>
  </si>
  <si>
    <t>BIKASH KUMAR MOHANTA</t>
  </si>
  <si>
    <t>KKCWWT</t>
  </si>
  <si>
    <t>Bimal Kumar Mondal</t>
  </si>
  <si>
    <t>FGGKZM</t>
  </si>
  <si>
    <t>BARUN KANTI KAR</t>
  </si>
  <si>
    <t>XAKXUP</t>
  </si>
  <si>
    <t xml:space="preserve">Expired </t>
  </si>
  <si>
    <t>https://drive.google.com/file/d/1twBFFnIGRjC2KI9HNY4BwQHBvOzkoasV/view?usp=sharing</t>
  </si>
  <si>
    <t>ASHOK KUMAR KARMAKAR</t>
  </si>
  <si>
    <t>ERNCPG</t>
  </si>
  <si>
    <t>https://drive.google.com/file/d/1A06g3qRmeSahJpoR42oPc9vxE5uXr7pF/view?usp=sharing</t>
  </si>
  <si>
    <t>ACHINTYA NANDY</t>
  </si>
  <si>
    <t>PZEIIY</t>
  </si>
  <si>
    <t>https://drive.google.com/file/d/1SkloaFumekfUKnCUWOnBisLOMXinsbtG/view?usp=sharing</t>
  </si>
  <si>
    <t>NIL KAMAL MONDAL</t>
  </si>
  <si>
    <t>BEOJIX</t>
  </si>
  <si>
    <t>https://drive.google.com/file/d/1Fql-hVnXongaIIU7YTQP79SUMdzvwkNj/view?usp=sharing</t>
  </si>
  <si>
    <t>SURENDRA PRASAD YADAV</t>
  </si>
  <si>
    <t>502S4767007</t>
  </si>
  <si>
    <t>TCMKZF</t>
  </si>
  <si>
    <t>https://drive.google.com/file/d/1NJnrXhNI3ZJohiSatxcf_PC7PtwmTk5Q/view?usp=sharing</t>
  </si>
  <si>
    <t>BHASKAR BANDYOPADHYAY</t>
  </si>
  <si>
    <t>YPYCLN</t>
  </si>
  <si>
    <t>https://drive.google.com/file/d/17cgvvaBPU2OMRIDoDQ1Q0pdyPetEW9vi/view?usp=sharing</t>
  </si>
  <si>
    <t>Mrinal Kanti Biswas</t>
  </si>
  <si>
    <t>HHBWMH</t>
  </si>
  <si>
    <t>VR on 30.09.2023</t>
  </si>
  <si>
    <t>https://drive.google.com/file/d/1zcoHwIBbtsSLDaMc2xTd9JXXM1BVF_7X/view?usp=sharing</t>
  </si>
  <si>
    <t>ASIM KUMAR SEN</t>
  </si>
  <si>
    <t>ZJRLRZ</t>
  </si>
  <si>
    <t>https://drive.google.com/file/d/1ZmpnOjYYnk2SUcO5T_te9gYaS9m1RFzZ/view?usp=sharing</t>
  </si>
  <si>
    <t>https://drive.google.com/file/d/1UNUtOBzfxZE2ws2D11S6_Wc9mS_qXf1f/view?usp=share_link</t>
  </si>
  <si>
    <t>BISWAJIT KAR</t>
  </si>
  <si>
    <t>GUAFXY</t>
  </si>
  <si>
    <t>https://drive.google.com/file/d/1gOW1EYtZWnGgNRcTHriBy--vwOzT3NPw/view?usp=sharing</t>
  </si>
  <si>
    <t>https://drive.google.com/file/d/1_5O3DC1Re_OMv-Uj4BHCrS4Iu7OsVGEF/view?usp=sharing</t>
  </si>
  <si>
    <t>ABHIJIT DATTA</t>
  </si>
  <si>
    <t>CGWCHK</t>
  </si>
  <si>
    <t>https://drive.google.com/file/d/1_Kc4R_JaA11tRx0C801Vk12s8ObZAAid/view?usp=sharing</t>
  </si>
  <si>
    <t>KABINDRA NATH MONDAL …</t>
  </si>
  <si>
    <t>JOXBRI</t>
  </si>
  <si>
    <t>https://drive.google.com/file/d/1gKDUfTdPQfdoW-Tcq1SF_FP59xsVk1QQ/view?usp=sharing</t>
  </si>
  <si>
    <t>SAMIR NANDAN</t>
  </si>
  <si>
    <t>LKRXBX</t>
  </si>
  <si>
    <t>https://drive.google.com/file/d/1ARmE-L1_6gDx85jZXiTjEtFOI15wsaGP/view?usp=sharing</t>
  </si>
  <si>
    <t>Gautam Saha</t>
  </si>
  <si>
    <t>RQZGZB</t>
  </si>
  <si>
    <t>AJAY KR CHAUBEY</t>
  </si>
  <si>
    <t>AFKJGT</t>
  </si>
  <si>
    <t>https://drive.google.com/file/d/1J-JD9h7FOD6tOpGdJ9HGz8cFda0pvfsW/view?usp=sharing</t>
  </si>
  <si>
    <t>ASIM KUMAR HALDAR</t>
  </si>
  <si>
    <t>INQFSX</t>
  </si>
  <si>
    <t>https://drive.google.com/file/d/1sImATUkFa4r8CC5YHuU6ebRvEfCSwaEe/view?usp=sharing</t>
  </si>
  <si>
    <t>Subhankar Mondal(DSL)</t>
  </si>
  <si>
    <t>HRZDAJ</t>
  </si>
  <si>
    <t>https://drive.google.com/file/d/1dgmAvubXM1AhSV4G2r9n-cBYUUzy4FWH/view?usp=sharing</t>
  </si>
  <si>
    <t>POSTED AT RHA/EMU SHED</t>
  </si>
  <si>
    <t>R. S. TRIPATHI</t>
  </si>
  <si>
    <t>01.09.63</t>
  </si>
  <si>
    <t>04.11.91</t>
  </si>
  <si>
    <t>24.07.02 (LPS)</t>
  </si>
  <si>
    <t>Shyamal Kr Das</t>
  </si>
  <si>
    <t>SCIYFK</t>
  </si>
  <si>
    <t>https://drive.google.com/file/d/18hMofZneVkPnE9kpzRrDHJM2dysPGpbC/view?usp=sharing</t>
  </si>
  <si>
    <t>MANNU PRASAD</t>
  </si>
  <si>
    <t>NDBQBI</t>
  </si>
  <si>
    <t>Transferred to DDU vice SITAL KUMAR GUPTA</t>
  </si>
  <si>
    <t>DINESH KR SINGH</t>
  </si>
  <si>
    <t>UYRCGI</t>
  </si>
  <si>
    <t>https://drive.google.com/file/d/1zqeE19dEf2FbPzuZkkdajveH-4eWbRon/view?usp=sharing</t>
  </si>
  <si>
    <t>02/12/2015(F) &amp; 07/10/2020(P)</t>
  </si>
  <si>
    <t>HRIDAY RANJAN SARKAR …</t>
  </si>
  <si>
    <t>XRKYND</t>
  </si>
  <si>
    <t>https://drive.google.com/file/d/1XgiShBr-CIL8p3o_aaoBZMlDWKIHqqAp/view?usp=sharing</t>
  </si>
  <si>
    <t>MONORANJAN GHOSH</t>
  </si>
  <si>
    <t>BBBDZL</t>
  </si>
  <si>
    <t>https://drive.google.com/file/d/12Jal7k4vu8-u3Yk9hRPI68Z79LERTIMG/view?usp=sharing</t>
  </si>
  <si>
    <t>UDAY PAL</t>
  </si>
  <si>
    <t>GFKKQR</t>
  </si>
  <si>
    <t>https://drive.google.com/file/d/17YTrWEro4W8u5JwC1g9KysCCt5V8kmRs/view?usp=sharing</t>
  </si>
  <si>
    <t>https://drive.google.com/file/d/1sefsQJ9oxSLLFqkXhrJ10OPvYwWobWjP/view?usp=share_link</t>
  </si>
  <si>
    <t>YFRTHL</t>
  </si>
  <si>
    <t>https://drive.google.com/file/d/1co0V49vqEQeh5SBDNG5iN5QesuYpoGED/view?usp=sharing</t>
  </si>
  <si>
    <t>https://drive.google.com/file/d/1gnL03Mj7GKKjIGeXnUsrhQP8V8__--NR/view?usp=sharing</t>
  </si>
  <si>
    <t>KAILASH PRASAD KAPRI .</t>
  </si>
  <si>
    <t>JTQFPP</t>
  </si>
  <si>
    <t>https://drive.google.com/file/d/1qWOl-BUQ3azXR8wKMAUHCD5W7bEfR4rF/view?usp=sharing</t>
  </si>
  <si>
    <t>Amit Das</t>
  </si>
  <si>
    <t>SAOYJP</t>
  </si>
  <si>
    <t>AMITABHA BARUAH</t>
  </si>
  <si>
    <t>HSQBKN</t>
  </si>
  <si>
    <t>https://drive.google.com/file/d/1aJEcZd4GoO4XBfcOnR6rXa81HDxHMwm5/view?usp=sharing</t>
  </si>
  <si>
    <t>AJAY KUMAR</t>
  </si>
  <si>
    <t>GMHWLI</t>
  </si>
  <si>
    <t>TRANSFERRED VIDE KALLLOL KUMAR BISWAS  AT ASN DIVN</t>
  </si>
  <si>
    <t>DIBYENDU GOSWAMI</t>
  </si>
  <si>
    <t>KBAFQP</t>
  </si>
  <si>
    <t>https://drive.google.com/file/d/1umhrdw54Japc2Yl9PzMpJzgoEQCsDf3F/view?usp=sharing</t>
  </si>
  <si>
    <t>https://drive.google.com/file/d/1KL_yawyt-3NlYm6yx65_CeAeD8Mz_9Mb/view?usp=sharing</t>
  </si>
  <si>
    <t>12/10/2020(F)</t>
  </si>
  <si>
    <t>EXPIRED ON 27/12/2023</t>
  </si>
  <si>
    <t>ARINDAM CHAKRAVORTY</t>
  </si>
  <si>
    <t>DCNISU</t>
  </si>
  <si>
    <t>https://drive.google.com/file/d/1jV21T8LpkUVHANnJLZ_WgNwgVMv1WbNA/view?usp=sharing</t>
  </si>
  <si>
    <t>S BANDOPADHYAY</t>
  </si>
  <si>
    <t>BKKMRZ</t>
  </si>
  <si>
    <t>BABUL KUMAR RANU</t>
  </si>
  <si>
    <t>INGQIT</t>
  </si>
  <si>
    <t>https://drive.google.com/file/d/1Slxzva-CzKMLNoraSjiy8e1qdGdigBkd/view?usp=sharing</t>
  </si>
  <si>
    <t>BADAL SARKAR..</t>
  </si>
  <si>
    <t>JYAMDO</t>
  </si>
  <si>
    <t>https://drive.google.com/file/d/1jiY7lHhEJsFgrdHsgkKL5NRnVr30I2JA/view?usp=sharing</t>
  </si>
  <si>
    <t>https://drive.google.com/file/d/1nApMY4wDwHeHDa27I5rPwpvYEI_dWfsM/view?usp=share_link</t>
  </si>
  <si>
    <t>BENOY KRISHNA DAS(Safety)</t>
  </si>
  <si>
    <t>PXDWYI</t>
  </si>
  <si>
    <t>Dinesh Prasad Mondal</t>
  </si>
  <si>
    <t>RHXDKF</t>
  </si>
  <si>
    <t>SHYAMAL MAJUMDER..</t>
  </si>
  <si>
    <t>WPMFCN</t>
  </si>
  <si>
    <t>https://drive.google.com/file/d/1MQ6fm9DM0f6D_F6i3Ajkub-6SjqfrSRZ/view?usp=sharing</t>
  </si>
  <si>
    <t>Mrinal Kanti Roy</t>
  </si>
  <si>
    <t>KTUYBY</t>
  </si>
  <si>
    <t>https://drive.google.com/file/d/1zmRB15x7KsCIQRda12OZgVxOp-WwA44O/view?usp=sharing</t>
  </si>
  <si>
    <t>SUBRATA MUKHERJEE</t>
  </si>
  <si>
    <t>NZHIAZ</t>
  </si>
  <si>
    <t>https://drive.google.com/file/d/1pjWr-G9qXdyMxx02Q7uGF4UfNtaLVMyd/view?usp=sharing</t>
  </si>
  <si>
    <t>K P YADAV.</t>
  </si>
  <si>
    <t>502S4766805</t>
  </si>
  <si>
    <t>BXYPHO</t>
  </si>
  <si>
    <t>https://drive.google.com/file/d/1OVsgqyA1LaIHkbp5u-hZ3XUWUnn5wdoV/view?usp=sharing</t>
  </si>
  <si>
    <t>P P GUPTA</t>
  </si>
  <si>
    <t>DYQBSB</t>
  </si>
  <si>
    <t>https://drive.google.com/file/d/1WnPYKApNjSgdtcBoysA7rboymHFgUsQD/view?usp=sharing</t>
  </si>
  <si>
    <t>MONMOHAN MUKHERJEE</t>
  </si>
  <si>
    <t>LFMQLB</t>
  </si>
  <si>
    <t>https://drive.google.com/file/d/1b8YeR9U5cFjzRRS_te5cqBKq6L8M4VU5/view?usp=sharing</t>
  </si>
  <si>
    <t>DIPAK BHAKAT..</t>
  </si>
  <si>
    <t>FHPACB</t>
  </si>
  <si>
    <t>https://drive.google.com/file/d/1HxGV_uD25ddFeEBP7g5ImxkfPUrFkCB-/view?usp=sharing</t>
  </si>
  <si>
    <t>INDRAJIT ROY</t>
  </si>
  <si>
    <t>GPSZFT</t>
  </si>
  <si>
    <t>DIPANKAR ROY</t>
  </si>
  <si>
    <t>https://drive.google.com/file/d/1wzp-jT09L-zyUILCcVU3951CDXaTWr2y/view?usp=sharing</t>
  </si>
  <si>
    <t>SAMIR KUMAR SARKAR</t>
  </si>
  <si>
    <t>KBGYLF</t>
  </si>
  <si>
    <t>https://drive.google.com/file/d/102UaqV2HXqHIsw1o93qqB88HN7wXTyDr/view?usp=sharing</t>
  </si>
  <si>
    <t>HARA DHAN SAHA..</t>
  </si>
  <si>
    <t>USALRI</t>
  </si>
  <si>
    <t>https://drive.google.com/file/d/1QQ1NI3yRUmQ7x08fm90FJsHf0gf5-XjD/view?usp=sharing</t>
  </si>
  <si>
    <t>SIBSANKAR KARMAKAR</t>
  </si>
  <si>
    <t>YLPLTO</t>
  </si>
  <si>
    <t>https://drive.google.com/file/d/1hFhEwD55vMF8kHjsvQAqEObbuZVc0eUW/view?usp=sharing</t>
  </si>
  <si>
    <t>https://drive.google.com/file/d/17TAdIq-PyxsNPx3rxzlczYP5VHEc7UXu/view?usp=share_link</t>
  </si>
  <si>
    <t>MANAB CHAKRABORTY</t>
  </si>
  <si>
    <t>EDAXUS</t>
  </si>
  <si>
    <t>https://drive.google.com/file/d/1edtpxJJEglZ26miD33R8C9Q4jN1jev1Y/view?usp=sharing</t>
  </si>
  <si>
    <t>https://drive.google.com/file/d/14DKjc0_0bShPAsFng-2LbI1GAq_UUQj8/view?usp=share_link</t>
  </si>
  <si>
    <t>H S MAJUMDER</t>
  </si>
  <si>
    <t>ZICIUF</t>
  </si>
  <si>
    <t>https://drive.google.com/file/d/1UQCyB0yutnZqVY2tdE6sdNWRkiEH4OCD/view?usp=sharing</t>
  </si>
  <si>
    <t>BASUDEV BAIRAGI</t>
  </si>
  <si>
    <t>GJEWCX</t>
  </si>
  <si>
    <t>https://drive.google.com/file/d/1ZWOqpxjMYkDDqtdt-Wnsxv6hbtkw_m-y/view?usp=sharing</t>
  </si>
  <si>
    <t>A K SINHA</t>
  </si>
  <si>
    <t>QHHSSE</t>
  </si>
  <si>
    <t>https://drive.google.com/file/d/1jOlWaABpb4o2w8ftDl7GOC40SUFtzA94/view?usp=sharing</t>
  </si>
  <si>
    <t>P K GUHA</t>
  </si>
  <si>
    <t>IAHHYM</t>
  </si>
  <si>
    <t>https://drive.google.com/file/d/1PsAg9s0AW4l1jzHyVVw1j8O3PuVYlohG/view?usp=sharing</t>
  </si>
  <si>
    <t>https://drive.google.com/file/d/1rEZxlx5X_UpD_dTVxraqAHrjaPIde9lI/view?usp=share_link</t>
  </si>
  <si>
    <t>Sanat Bhattacharya</t>
  </si>
  <si>
    <t>ZQFWLA</t>
  </si>
  <si>
    <t>Nilesh Kumar Biswas</t>
  </si>
  <si>
    <t>KPOQHS</t>
  </si>
  <si>
    <t>Saibal Dutta</t>
  </si>
  <si>
    <t>MRXKSA</t>
  </si>
  <si>
    <t>Bhabotosh Bhowmick</t>
  </si>
  <si>
    <t>SQIWWP</t>
  </si>
  <si>
    <t>Dulal Das</t>
  </si>
  <si>
    <t>QYBIMB</t>
  </si>
  <si>
    <t>Jagat Shankar Basak</t>
  </si>
  <si>
    <t>EEBLKZ</t>
  </si>
  <si>
    <t>Jayanta Kundu</t>
  </si>
  <si>
    <t>WABTWE</t>
  </si>
  <si>
    <t>ZRRKRE</t>
  </si>
  <si>
    <t>AMITAVA BAGCHI</t>
  </si>
  <si>
    <t>BBTCAA</t>
  </si>
  <si>
    <t>https://drive.google.com/file/d/1M8xcCp9vr5ecrifz01l0rsxFUhoKmbUu/view?usp=sharing</t>
  </si>
  <si>
    <t>Voluntary Retirement</t>
  </si>
  <si>
    <t>SANKAR KUMAR BANERJEE</t>
  </si>
  <si>
    <t>GGPZLT</t>
  </si>
  <si>
    <t>SHYAMAL KUMAR CHOWDHURY</t>
  </si>
  <si>
    <t>2.1.64</t>
  </si>
  <si>
    <t>BINOD KUMAR PRASAD(Trans to HWH)</t>
  </si>
  <si>
    <t>YNBMDX</t>
  </si>
  <si>
    <t>https://drive.google.com/file/d/1Ol1cGoMjiSbPjhg8ogeaMIGFISJnGaA4/view?usp=sharing</t>
  </si>
  <si>
    <t>https://drive.google.com/file/d/1Qq5qR4pHAYmZQtjj779hReEgI7q_7V9R/view?usp=sharing</t>
  </si>
  <si>
    <t>TYCPWG</t>
  </si>
  <si>
    <t>Biswajit Guha</t>
  </si>
  <si>
    <t>Retitrement 29.02.24</t>
  </si>
  <si>
    <t>RAMAKANT PRASAD</t>
  </si>
  <si>
    <t>RYELPD</t>
  </si>
  <si>
    <t>https://drive.google.com/file/d/1qhhE7bCYtBLp3JgP-ZtzoYEvj8ugveTm/view?usp=sharing</t>
  </si>
  <si>
    <t>https://drive.google.com/file/d/13Rfg-LHn7tEl1E-ZuQxjZTJXX-8ZgEPr/view?usp=share_link</t>
  </si>
  <si>
    <t>SUJIT BHATTACHARJEE</t>
  </si>
  <si>
    <t>ZMOQGN</t>
  </si>
  <si>
    <t>https://drive.google.com/file/d/1innx9ESveeHSctdOoFaLN-w4OfN2SUiz/view?usp=sharing</t>
  </si>
  <si>
    <t>MANAS KUMAR DE</t>
  </si>
  <si>
    <t>IYACUB</t>
  </si>
  <si>
    <t>https://drive.google.com/file/d/1qUZ_ZObr6sYRM4kXppzzcHRZWwuxEwlo/view?usp=sharing</t>
  </si>
  <si>
    <t>S. S. Singh</t>
  </si>
  <si>
    <t>KJWXHL</t>
  </si>
  <si>
    <t>SUBRATA RANJAN DAS …</t>
  </si>
  <si>
    <t>MUYERH</t>
  </si>
  <si>
    <t>https://drive.google.com/file/d/1AikLZiUlXiLVjlQzQ1Qbof9EzHrlLh8O/view?usp=share_link</t>
  </si>
  <si>
    <t>https://drive.google.com/file/d/13zZo3R3_0WjwXDCNZSCru2WX0bQw6nFS/view?usp=sharing</t>
  </si>
  <si>
    <t>UJJWAL KUMAR DUTTA II</t>
  </si>
  <si>
    <t>KZERQY</t>
  </si>
  <si>
    <t>https://drive.google.com/file/d/1-szxNfIUnZhQHpKVSwvqvk8D3hJPEchk/view?usp=sharing</t>
  </si>
  <si>
    <t>A K ACHARJYA</t>
  </si>
  <si>
    <t>AGTNGY</t>
  </si>
  <si>
    <t>https://drive.google.com/file/d/1D3oBBHAzu8_11foiJP-Cm9tfs5Fy1CsW/view?usp=sharing</t>
  </si>
  <si>
    <t>SUBRATA ROY II</t>
  </si>
  <si>
    <t>ONCPTI</t>
  </si>
  <si>
    <t>https://drive.google.com/file/d/1lub0t2akwlzbaYA7CiyPQdA1KRCaZAqj/view?usp=sharing</t>
  </si>
  <si>
    <t>https://drive.google.com/file/d/1Hn6vS9VMusZqO4zsLV1yE40YrRXS1y-f/view?usp=sharing</t>
  </si>
  <si>
    <t>SIYARAM SHAW II..</t>
  </si>
  <si>
    <t>IYUXWI</t>
  </si>
  <si>
    <t>https://drive.google.com/file/d/1NCRc3c6x6qkwL_AenYZvjJLbM4RL032K/view?usp=sharing</t>
  </si>
  <si>
    <t>SUBRATA KR HAZRA</t>
  </si>
  <si>
    <t>WIYSSC</t>
  </si>
  <si>
    <t>https://drive.google.com/file/d/11uyYGuamxIKeHkkZZEKDTW-pMEGc1dHL/view?usp=sharing</t>
  </si>
  <si>
    <t>SURAJIT BOSE</t>
  </si>
  <si>
    <t>Retitrement 31.03.24</t>
  </si>
  <si>
    <t>BARUN KUMAR SARKAR</t>
  </si>
  <si>
    <t>HZZBFC</t>
  </si>
  <si>
    <t>https://drive.google.com/file/d/1SemUwMHhnKr_QdOFDBeqgaysCgZTPdN1/view?usp=sharing</t>
  </si>
  <si>
    <t>SARYUG PRASAD..</t>
  </si>
  <si>
    <t>502S4773287</t>
  </si>
  <si>
    <t>YAJKGZ</t>
  </si>
  <si>
    <t>https://drive.google.com/file/d/1in09OhT0V7kFXxMXm-WX-rSqBCM8vxkP/view?usp=sharing</t>
  </si>
  <si>
    <t>https://drive.google.com/file/d/1RfrDeu8lblfl2GG8n0huGh9BZtYCop7E/view?usp=sharing</t>
  </si>
  <si>
    <t>JAYANTA MUKHERJEE</t>
  </si>
  <si>
    <t>SRYLFZ</t>
  </si>
  <si>
    <t>https://drive.google.com/file/d/1Ky4djOkZ9NfQBormwjnc_stXO5ZSkeB2/view?usp=sharing</t>
  </si>
  <si>
    <t>SIBASIS RAY</t>
  </si>
  <si>
    <t>APHRMO</t>
  </si>
  <si>
    <t>https://drive.google.com/file/d/1g_5t1ul2-n9dPyTXwzgQtZq_oQYzE6ic/view?usp=sharing</t>
  </si>
  <si>
    <t>Mutual Transfer</t>
  </si>
  <si>
    <t>MAYANK TRIPATHI</t>
  </si>
  <si>
    <t>YWRSZL</t>
  </si>
  <si>
    <t>Mutual transfer with Santosh Kumar Agrahari</t>
  </si>
  <si>
    <t>Bikash Kumar Mishra</t>
  </si>
  <si>
    <t>HBDQBJ</t>
  </si>
  <si>
    <t>Mutual transfer with Ranjit Kumar</t>
  </si>
  <si>
    <t>Unfortunate Death on 25.04.24</t>
  </si>
  <si>
    <t>ARUP KUMAR DAS II</t>
  </si>
  <si>
    <t>GEPTLU</t>
  </si>
  <si>
    <t>https://drive.google.com/file/d/1DHXVKR8OE8UPgzi2YLJr4uk0qYnHf1w-/view?usp=sharing</t>
  </si>
  <si>
    <t>Retitrement 30.04.24</t>
  </si>
  <si>
    <t>IBTCEG</t>
  </si>
  <si>
    <t>https://drive.google.com/file/d/1zcpZ05in4GdFVprmYnM5HbYxzvZqMqeH/view?usp=sharing</t>
  </si>
  <si>
    <t>BINOD BIHARI PANDIT</t>
  </si>
  <si>
    <t>D Mitra</t>
  </si>
  <si>
    <t>XACCEU</t>
  </si>
  <si>
    <t>Mutual transfer</t>
  </si>
  <si>
    <t>SNEHASHIS LAHA/Ex-LPG/DDJ mutual with Narendra Kumar Kaushal</t>
  </si>
  <si>
    <t>TWHEQO</t>
  </si>
  <si>
    <t>https://drive.google.com/file/d/1BPmscgD1rNVoNcfjFxqr-wEkYScggB3e/view?usp=sharing</t>
  </si>
  <si>
    <t>https://drive.google.com/file/d/1OgaeKP7__c9-rryGmXLsimdybrMdGOIo/view?usp=sharing</t>
  </si>
  <si>
    <t>ASHUTOSH MISHRA/Ex-ALP/DDJ mutual with Sarupya Chowdhury</t>
  </si>
  <si>
    <t>SZWMNA</t>
  </si>
  <si>
    <t>Retitrement 31.05.24</t>
  </si>
  <si>
    <t>NIRMAL DAS</t>
  </si>
  <si>
    <t>DLOZNX</t>
  </si>
  <si>
    <t>https://drive.google.com/file/d/11tKFGZu_Ah4Jk64xZhNl6Gps7xkbAwmt/view?usp=sharing</t>
  </si>
  <si>
    <t>https://drive.google.com/file/d/1QruzdacM3-d887FkeIerecpoxc3wVmSE/view?usp=share_link</t>
  </si>
  <si>
    <t>RAM LAL MAHATO …</t>
  </si>
  <si>
    <t>WIWKGQ</t>
  </si>
  <si>
    <t>https://drive.google.com/file/d/1n4S_jUtI_ex6FR29hd11hHXHxVxNSr2l/view?usp=sharing</t>
  </si>
  <si>
    <t>JAGANNATH DEY</t>
  </si>
  <si>
    <t>UOTLDG</t>
  </si>
  <si>
    <t>https://drive.google.com/file/d/1sOURXDGtzzXGdupH7TnkiJ34rgKRO7Oe/view?usp=sharing</t>
  </si>
  <si>
    <t>PARIMAL KANTI BORAI</t>
  </si>
  <si>
    <t>DPPZMS</t>
  </si>
  <si>
    <t>BISWAJIT SAHA</t>
  </si>
  <si>
    <t>YRHIXI</t>
  </si>
  <si>
    <t>https://drive.google.com/file/d/1sFcleYNCFvHETh8LjD94PWA-eqWgotYt/view?usp=sharing</t>
  </si>
  <si>
    <t>https://drive.google.com/file/d/17NuupMD_IRi0AkgmnlgEdUEuxaAvWfHn/view?usp=share_link</t>
  </si>
  <si>
    <t>UJJAL KUMAR DATTA I</t>
  </si>
  <si>
    <t>PNLAKC</t>
  </si>
  <si>
    <t>https://drive.google.com/file/d/1rwz30BTbIz8lJhZsyDB57welpa9DIa7X/view?usp=sharing</t>
  </si>
  <si>
    <t>BISWARUP NANDY(MUTUAL)</t>
  </si>
  <si>
    <t>MTYWKT</t>
  </si>
  <si>
    <t>https://drive.google.com/file/d/16G41luh65KAhIlrgCDFPUQbN1lmhdZtf/view?usp=sharing</t>
  </si>
  <si>
    <t>https://drive.google.com/file/d/1Jw1k-fxhdFXiGCNr6bPncQTs6LuBcUln/view?usp=sharing</t>
  </si>
  <si>
    <t>SUDHAKAR KUMAR(MUTUAL)</t>
  </si>
  <si>
    <t>WYDDYK</t>
  </si>
  <si>
    <t>RAJIB KUMAR GIRI(Posted as JE/MECH(C&amp;W)/NED Division/S.C Railway</t>
  </si>
  <si>
    <t>NNQYZE</t>
  </si>
  <si>
    <t>https://drive.google.com/file/d/1f5vOH8iqcv5elgFr4kW7ymTcPPO94RMN/view?usp=share_link</t>
  </si>
  <si>
    <t>SUBHAS KISKU</t>
  </si>
  <si>
    <t>GIAQAY</t>
  </si>
  <si>
    <t>https://drive.google.com/file/d/13N-o8pRqXhWkb9uZ6LE3CsZHgYEXhE0S/view?usp=sharing</t>
  </si>
  <si>
    <t>Retitrement 30.06.2024</t>
  </si>
  <si>
    <t>Kuntal Basu</t>
  </si>
  <si>
    <t>BIDHAN CHANDRA BISWAS</t>
  </si>
  <si>
    <t>EDQPKF</t>
  </si>
  <si>
    <t>https://drive.google.com/file/d/1bKK5LuMIAi9srx4YRjDKKhLLiQFjDt-t/view?usp=sharing</t>
  </si>
  <si>
    <t>https://drive.google.com/file/d/1Bm9QvgJGiIGCHpjHyh0l8sPMlh2eGsfl/view?usp=sharing</t>
  </si>
  <si>
    <t>DEBA PRASAD BHATTACHERYYA</t>
  </si>
  <si>
    <t>CCWNRN</t>
  </si>
  <si>
    <t>https://drive.google.com/file/d/1RHi4ZB7akBodartdOBv1uKJPl5QBflqm/view?usp=sharing</t>
  </si>
  <si>
    <t>https://drive.google.com/file/d/1fVBTfZiD4xD-Q4L9QqSV3Y9M95TU_GR9/view?usp=drive_link</t>
  </si>
  <si>
    <t>Soumitra Gupta</t>
  </si>
  <si>
    <t>HRNJZS</t>
  </si>
  <si>
    <t>RAJAN KUMAR GOND(VR)</t>
  </si>
  <si>
    <t>JTZQUK</t>
  </si>
  <si>
    <t>https://drive.google.com/file/d/1d8DK-7ZEE979t96mk_8IAda02LobDDW6/view?usp=sharing</t>
  </si>
  <si>
    <t>S K THAKUR(Unfit in all job)</t>
  </si>
  <si>
    <t>GHBGZQ</t>
  </si>
  <si>
    <t>https://drive.google.com/file/d/1mN2bai9Z4YBmXq3CG0i31_N61jTp2jIP/view?usp=sharing</t>
  </si>
  <si>
    <t>SUBRATA KR. MANNA(Metro)</t>
  </si>
  <si>
    <t>12.06.64</t>
  </si>
  <si>
    <t>29.11.89</t>
  </si>
  <si>
    <t>30.04.04</t>
  </si>
  <si>
    <t>ANINDYA ROY(Metro)</t>
  </si>
  <si>
    <t>15.06.64</t>
  </si>
  <si>
    <t>07.07.92</t>
  </si>
  <si>
    <t>07.09.12</t>
  </si>
  <si>
    <t>Pranoy Sarkar(De-cat  &amp; posted to shed)</t>
  </si>
  <si>
    <t>https://drive.google.com/file/d/1vGRFh_bkzNNDqXJlhFEgYb4wslBRbNdl/view?usp=sharing</t>
  </si>
  <si>
    <t>Retitrement 31.07.2024</t>
  </si>
  <si>
    <t>ASHIS KUMAR DEY</t>
  </si>
  <si>
    <t>EFRITG</t>
  </si>
  <si>
    <t>https://drive.google.com/file/d/1QbqrsSGV35aGaq8WtbygQjr6cuuLXShL/view?usp=share_link</t>
  </si>
  <si>
    <t>https://drive.google.com/file/d/1YZ0_-kzaX2jSSyXRLcIWVm556drmQhg4/view?usp=sharing</t>
  </si>
  <si>
    <t>https://drive.google.com/file/d/1DttN9GTna44f8aMf6uTKOKY08J4LYIFZ/view?usp=sharing</t>
  </si>
  <si>
    <t>DEBASIS KUMAR SAHU</t>
  </si>
  <si>
    <t>BHEHYI</t>
  </si>
  <si>
    <t>https://drive.google.com/file/d/1znvoDXYBnN9FAqsBRPOyA-ZGbtEupUdL/view?usp=sharing</t>
  </si>
  <si>
    <t>SAJAL BARAN ROY</t>
  </si>
  <si>
    <t>LWLWKI</t>
  </si>
  <si>
    <t>https://drive.google.com/file/d/1LLQUJV8VigS42qWVTQifAUsjAtTuLEXv/view?usp=sharing</t>
  </si>
  <si>
    <t>SANKAR KUMAR MONDAL</t>
  </si>
  <si>
    <t>HEGELO</t>
  </si>
  <si>
    <t>https://drive.google.com/file/d/1QXmHVxfxw-zzBimERdRHtvouyt8oWsGf/view?usp=sharing</t>
  </si>
  <si>
    <t>https://drive.google.com/file/d/1WxGbf1Xdv2Wfha3H-IRZehrV_iiEY8zY/view?usp=share_link</t>
  </si>
  <si>
    <t>UTPAL DUTTA..</t>
  </si>
  <si>
    <t>TOSIAT</t>
  </si>
  <si>
    <t>https://drive.google.com/file/d/17t1haWIEJcnsATcF6ZTmaEanUVjE4jlH/view?usp=sharing</t>
  </si>
  <si>
    <t>PARESH CHANDRA ROY</t>
  </si>
  <si>
    <t>DCIBYM</t>
  </si>
  <si>
    <t>https://drive.google.com/file/d/1J_fof8JONeMEl8GTzcKsOry40etSf_Me/view?usp=sharing</t>
  </si>
  <si>
    <t>ABDUL MANNAN MUDI</t>
  </si>
  <si>
    <t>BTYAJZ</t>
  </si>
  <si>
    <t>https://drive.google.com/file/d/19JOt5tAkXfthl0IS3yDh1YvrsO0HNpAM/view?usp=sharing</t>
  </si>
  <si>
    <t>Monajit Kusari</t>
  </si>
  <si>
    <t>RUKCGU</t>
  </si>
  <si>
    <t>https://drive.google.com/file/d/158_3DMjFzJjw38jG9bcjkbH_ZORczifq/view?usp=sharing</t>
  </si>
  <si>
    <t>SK MOSLEM ALI</t>
  </si>
  <si>
    <t>UPQIWL</t>
  </si>
  <si>
    <t>https://drive.google.com/file/d/1UjlAMdtBZItsPpDq4HAYVhXVfPw42p7r/view?usp=sharing</t>
  </si>
  <si>
    <t>SATADAL DEY</t>
  </si>
  <si>
    <t>10.07.64</t>
  </si>
  <si>
    <t>13.08.10</t>
  </si>
  <si>
    <t>BIJOY SAHA</t>
  </si>
  <si>
    <t>Mutual transfer with Pravat Ranjan</t>
  </si>
  <si>
    <t>JITENDRA RAY</t>
  </si>
  <si>
    <t>KBBNQR</t>
  </si>
  <si>
    <t>https://drive.google.com/file/d/189ScjuWe-SN8oouOh32S0VnsMAHGfFqs/view?usp=sharing</t>
  </si>
  <si>
    <t>JOYCHAND SARKAR(DECAT)</t>
  </si>
  <si>
    <t>PRADIP SEAL(De-Cat)</t>
  </si>
  <si>
    <t>Retitrement 31.08.2024</t>
  </si>
  <si>
    <t>Provat Kr. Ghosh</t>
  </si>
  <si>
    <t>OBPQTA</t>
  </si>
  <si>
    <t>Sumanta Sen</t>
  </si>
  <si>
    <t>IAYEOM</t>
  </si>
  <si>
    <t>BLAFUC</t>
  </si>
  <si>
    <t>https://drive.google.com/file/d/11Rrkn25lKyAcUsfO-vkJBdCTa8TuY087/view?usp=sharing</t>
  </si>
  <si>
    <t>ASIT ROY</t>
  </si>
  <si>
    <t>XMNZEC</t>
  </si>
  <si>
    <t>https://drive.google.com/file/d/1_tkAsANE1SiUSiwdz2jZA_YAIkUqk_mH/view?usp=sharing</t>
  </si>
  <si>
    <t>https://drive.google.com/file/d/1OxcceX6yW6Of8oZN9Fe01kdm6kO3GQgf/view?usp=sharing</t>
  </si>
  <si>
    <t>AVIJIT BANERJEE(VR)</t>
  </si>
  <si>
    <t>WYZXMN</t>
  </si>
  <si>
    <t>https://drive.google.com/file/d/16G8t7M-lE4Fh6obe6W6qMeKRmxXhW_cC/view?usp=sharing</t>
  </si>
  <si>
    <t>PRASAD KUMAR GHOSH</t>
  </si>
  <si>
    <t>LQSSIU</t>
  </si>
  <si>
    <t>https://drive.google.com/file/d/1a8cP_YNHRhYwQuOrS85JTrSTCLf2vThX/view?usp=sharing</t>
  </si>
  <si>
    <t>ASHIS CHAKRABORTY(VR)</t>
  </si>
  <si>
    <t>EUNRPY</t>
  </si>
  <si>
    <t>https://drive.google.com/file/d/13Kg4dyuSp2wcnHpV7-ngyT_PBXeNV9LL/view?usp=sharing</t>
  </si>
  <si>
    <t>https://drive.google.com/file/d/1plGgEW_YAWHkcGcqi1SPvhi4qAhVlOvG/view?usp=sharing</t>
  </si>
  <si>
    <t>Retitrement 30.09.2024</t>
  </si>
  <si>
    <t>ARDHENDU PALIT</t>
  </si>
  <si>
    <t>IWRDEM</t>
  </si>
  <si>
    <t>https://drive.google.com/file/d/1QRNVLnPDN0mOtcNt5JOvfx2HPRSz3Vln/view?usp=sharing</t>
  </si>
  <si>
    <t>DEBABRATA NANDI</t>
  </si>
  <si>
    <t>QPLRPX</t>
  </si>
  <si>
    <t>https://drive.google.com/file/d/1qEFIt4zXExYO7l0Pf6c6dq5A29ZzCNDU/view?usp=sharing</t>
  </si>
  <si>
    <t>https://drive.google.com/file/d/1MaUHkIJM8iymB7FEhC-Iexd0yKXMh0QA/view?usp=sharing</t>
  </si>
  <si>
    <t>GOUTAM KR DEY</t>
  </si>
  <si>
    <t>QFEBWW</t>
  </si>
  <si>
    <t>https://drive.google.com/file/d/17-QPsSTIMyC2eQ5H4GPS74161FXxl3Dj/view?usp=sharing</t>
  </si>
  <si>
    <t>https://drive.google.com/file/d/1YsS2nn3GZvuGBwKNzaeEm4kDxzphkfO0/view?usp=sharing</t>
  </si>
  <si>
    <t>PRAMOD KUMAR..</t>
  </si>
  <si>
    <t>NZLLSO</t>
  </si>
  <si>
    <t>https://drive.google.com/file/d/1K1Rx84Mm6g9mQtZdXkzxIkT92hEbEZDA/view?usp=sharing</t>
  </si>
  <si>
    <t>NITISH KUMAR SAHA(Unfortunate Death)</t>
  </si>
  <si>
    <t>GRITLW</t>
  </si>
  <si>
    <t>Retitrement 31.10.2024</t>
  </si>
  <si>
    <t>DEBASISH JOARDER</t>
  </si>
  <si>
    <t>SHORPH</t>
  </si>
  <si>
    <t>https://drive.google.com/file/d/10XhUh_WDczr0F5gquadnJxVrDSO5B1AC/view?usp=sharing</t>
  </si>
  <si>
    <t>https://drive.google.com/file/d/1T3GHDprrGGtZ1RqxZxCIFaEdJM43x88U/view?usp=sharing</t>
  </si>
  <si>
    <t>PINAKI SARKAR</t>
  </si>
  <si>
    <t>UOFUOD</t>
  </si>
  <si>
    <t>https://drive.google.com/file/d/1YZ5K25Q2DbAzi9oso0AGxA4MglrE3EBV/view?usp=sharing</t>
  </si>
  <si>
    <t>TAPAS BISWAS(VR)</t>
  </si>
  <si>
    <t>JQFDIT</t>
  </si>
  <si>
    <t>https://drive.google.com/file/d/1iWeFtKAlk9ZNvDq6bnznWM35dY_D0Vp7/view?usp=sharing</t>
  </si>
  <si>
    <t>SONU YADAV mutual with Abhishek Ranjan</t>
  </si>
  <si>
    <t>PNITJG</t>
  </si>
  <si>
    <t>Retitrement 30.11.2024</t>
  </si>
  <si>
    <t>Gautam Sarkar</t>
  </si>
  <si>
    <t>MMKLOR</t>
  </si>
  <si>
    <t>S.P.Baisya</t>
  </si>
  <si>
    <t>NYYREH</t>
  </si>
  <si>
    <t>S G Chakraborty</t>
  </si>
  <si>
    <t>KCDUXT</t>
  </si>
  <si>
    <t xml:space="preserve">GOUTAM SHARMA </t>
  </si>
  <si>
    <t>MQXEBH</t>
  </si>
  <si>
    <t>https://drive.google.com/file/d/1KqyRSleAaOMThCP_sgbF4vXsu87OPg2D/view?usp=sharing</t>
  </si>
  <si>
    <t>TAPAN KUMAR NANDI</t>
  </si>
  <si>
    <t>LTPFBN</t>
  </si>
  <si>
    <t>https://drive.google.com/file/d/1hrcpBbU7UsrhnWSGho9o5OlCw79c-Vsh/view?usp=sharing</t>
  </si>
  <si>
    <t>SWAPAN KUMAR BISWAS</t>
  </si>
  <si>
    <t>PSRUPO</t>
  </si>
  <si>
    <t>WMXBIE</t>
  </si>
  <si>
    <t>Susanta Hazra</t>
  </si>
  <si>
    <t>Expired</t>
  </si>
  <si>
    <t>CR but applied for reinstead</t>
  </si>
  <si>
    <t>ABHIJIT GHOSH</t>
  </si>
  <si>
    <t>31/09/2028</t>
  </si>
  <si>
    <t>BINAY KUMAR MUTUAL WITH BIRAT RAY</t>
  </si>
  <si>
    <t>OFHPQS</t>
  </si>
  <si>
    <t>sc</t>
  </si>
  <si>
    <t>https://drive.google.com/file/d/1_TkNoIJ6PSt-O9W-rbBfKJG0Sp1FL66o/view?usp=sharing</t>
  </si>
  <si>
    <t>Retitrement 31.12.2024</t>
  </si>
  <si>
    <t>Amod Kumar Singh</t>
  </si>
  <si>
    <t>LUKGIF</t>
  </si>
  <si>
    <t>RABIN KUMAR BARUA</t>
  </si>
  <si>
    <t>LCNDFO</t>
  </si>
  <si>
    <t>DHANANJAY CHOWDHURY</t>
  </si>
  <si>
    <t>Sagirath Paswan</t>
  </si>
  <si>
    <t>FKKNDR</t>
  </si>
  <si>
    <t>https://drive.google.com/file/d/1Y7dPeHOL6PuvKClq-BX3YqBx9mJO4CCR/view?usp=sharing</t>
  </si>
  <si>
    <t>Not appear</t>
  </si>
  <si>
    <t>CHINMOY HOME ROY</t>
  </si>
  <si>
    <t>LJYGSB</t>
  </si>
  <si>
    <t>https://drive.google.com/file/d/19kKiQfO3MTDg86aVZcgKA2yp5LQi9bXM/view?usp=sharing</t>
  </si>
  <si>
    <t>SUBHAJYOTI MAJUMDER</t>
  </si>
  <si>
    <t>HJAARC</t>
  </si>
  <si>
    <t>https://drive.google.com/file/d/1Iw2yhGaqea0D2Q3PR2hlktxDQT4ItLQP/view?usp=sharing</t>
  </si>
  <si>
    <t>DEBASISH BANERJEE</t>
  </si>
  <si>
    <t>19.12.64</t>
  </si>
  <si>
    <t>06.07.88</t>
  </si>
  <si>
    <t>17.01.2025(Job switch to SSC)</t>
  </si>
  <si>
    <t>Tanay Chanda(KRP)</t>
  </si>
  <si>
    <t>ZOROTN</t>
  </si>
  <si>
    <t>https://drive.google.com/file/d/14cqvVqlo3Z0bxHYiy12jJZUe1P40g5Ql/view?usp=sharing</t>
  </si>
  <si>
    <t>30.01.25</t>
  </si>
  <si>
    <t>BIKASH BHAGAT mutual with Basudev Das on 30.01.25</t>
  </si>
  <si>
    <t>SCXFAE</t>
  </si>
  <si>
    <t>Retirement 31.01.2025</t>
  </si>
  <si>
    <t>KAMAL KRISHNA RAY</t>
  </si>
  <si>
    <t>QIRQLX</t>
  </si>
  <si>
    <t>https://drive.google.com/file/d/11fGHqvX602kGLxJDz7SAn_DbBHyAoKey/view?usp=sharing</t>
  </si>
  <si>
    <t>SANKAR PAL …</t>
  </si>
  <si>
    <t>FYRWFQ</t>
  </si>
  <si>
    <t>https://drive.google.com/file/d/1el6JWGxt91PoIoQTDg5ihH4y1XwugQhC/view?usp=sharing</t>
  </si>
  <si>
    <t>https://drive.google.com/file/d/1ifZrOTVvikUGoy15_hcsY1LhG-sgpL7X/view?usp=share_link</t>
  </si>
  <si>
    <t>UJJAL PAL</t>
  </si>
  <si>
    <t>IUJSRG</t>
  </si>
  <si>
    <t>https://drive.google.com/file/d/1LWzeKjqHZFRhdTSxkON-lwIq-oIni77P/view?usp=sharing</t>
  </si>
  <si>
    <t>https://drive.google.com/file/d/1FY4f_i_S3o-hC8Q0YGnXXN8pQx9HhNRI/view?usp=sharing</t>
  </si>
  <si>
    <t>PRAVANJAN HALDAR</t>
  </si>
  <si>
    <t>YOERJL</t>
  </si>
  <si>
    <t>https://drive.google.com/file/d/1mCatZwemDnLa4pA7GPM4Z3kkj8zCaCVh/view?usp=sharing</t>
  </si>
  <si>
    <t>JGNPMF</t>
  </si>
  <si>
    <t>https://drive.google.com/file/d/1Ja_LF7RdLZ0Q_PQNFvDolucX66GtreEh/view?usp=sharing</t>
  </si>
  <si>
    <t>SUJOY DUTTA MAJUMDER</t>
  </si>
  <si>
    <t>FMAXRL</t>
  </si>
  <si>
    <t>https://drive.google.com/file/d/1JsmTskKFqGNz1TY7xML5YavBWrfSIuMe/view?usp=sharing</t>
  </si>
  <si>
    <t>GURUPADA NANDY</t>
  </si>
  <si>
    <t>BPYKAI</t>
  </si>
  <si>
    <t>https://drive.google.com/file/d/1-zGsbEFHyGAFmkKpdKEmKQKkYrHddwMi/view?usp=sharing</t>
  </si>
  <si>
    <t>S K SIKDAR</t>
  </si>
  <si>
    <t>NLXCSG</t>
  </si>
  <si>
    <t>https://drive.google.com/file/d/1JXBdy75U8RPTSKfgspNrdnO2UuUwZ69n/view?usp=sharing</t>
  </si>
  <si>
    <t>SAMBHU NATH DEY</t>
  </si>
  <si>
    <t>FWNJIJ</t>
  </si>
  <si>
    <t>https://drive.google.com/file/d/1rNo3035wmVPipCSEncweoopQPDTiDoNy/view?usp=sharing</t>
  </si>
  <si>
    <t>Dipankar Roy</t>
  </si>
  <si>
    <t>OXOUDU</t>
  </si>
  <si>
    <t>S C SARKAR / I</t>
  </si>
  <si>
    <t>OXYCTC</t>
  </si>
  <si>
    <t>https://drive.google.com/file/d/1FE2HnbsJ8P4nq6fYyTuOTpn3xeNRD8sn/view?usp=sharing</t>
  </si>
  <si>
    <t>AMIT GANGOPADHYAY</t>
  </si>
  <si>
    <t>MYBLYP</t>
  </si>
  <si>
    <t>https://drive.google.com/file/d/10Ppj9NiYy2whsUaE1KGyyowGVINVcns6/view?usp=sharing</t>
  </si>
  <si>
    <t>Subrata Kumar Dey</t>
  </si>
  <si>
    <t>GGXOCR</t>
  </si>
  <si>
    <t>SUBRATA BHAUMIK</t>
  </si>
  <si>
    <t>ZPJJCM</t>
  </si>
  <si>
    <t>https://drive.google.com/file/d/1gtd0_x8sIwi1jDRXogY5mVIH_avixAdJ/view?usp=sharing</t>
  </si>
  <si>
    <t>SUBIR GHOSH</t>
  </si>
  <si>
    <t>XSSPQR</t>
  </si>
  <si>
    <t>https://drive.google.com/file/d/1PVkINe5pi4eNYaI3vWaIZmbYG0wL6wuW/view?usp=sharing</t>
  </si>
  <si>
    <t>Biswajit Dutta</t>
  </si>
  <si>
    <t>TTUNQB</t>
  </si>
  <si>
    <t>https://drive.google.com/file/d/12pEbitC6fswi1pxH1GTScRPkFd5Sbk0U/view?usp=sharing</t>
  </si>
  <si>
    <t>https://drive.google.com/file/d/1qGJOKXEhfnEBrg3Ic2sUJ8d8TRU3xEae/view?usp=sharing</t>
  </si>
  <si>
    <t>Anil Kumar Das</t>
  </si>
  <si>
    <t>CKARIJ</t>
  </si>
  <si>
    <t>Indrajit Sarkar</t>
  </si>
  <si>
    <t>OTHYRO</t>
  </si>
  <si>
    <t>EZQBHP</t>
  </si>
  <si>
    <t>24/01/1965</t>
  </si>
  <si>
    <t>31/01/2025</t>
  </si>
  <si>
    <t>XGNYIA</t>
  </si>
  <si>
    <t>SUJAY KUMAR DATTA</t>
  </si>
  <si>
    <t>21.01.65</t>
  </si>
  <si>
    <t>MRINAL BHATTACHARJEE</t>
  </si>
  <si>
    <t>DYKGCW</t>
  </si>
  <si>
    <t>https://drive.google.com/file/d/1OomQf6B_53L7vU_SWnq9r0x8KbZexGfl/view?usp=sharing</t>
  </si>
  <si>
    <t>RTd.(those names not maintained by personal branch)</t>
  </si>
  <si>
    <t>N D NANDI</t>
  </si>
  <si>
    <t>P GHOSH</t>
  </si>
  <si>
    <t>Retirement 28.02.2025</t>
  </si>
  <si>
    <t>RAJAN SHARMA</t>
  </si>
  <si>
    <t>ANJAN CHATTOPADHYAY</t>
  </si>
  <si>
    <t>THGTKS</t>
  </si>
  <si>
    <t>https://drive.google.com/file/d/1Tn2caTJ1fiGR7LOA8VD2RX18yiWDHd7v/view?usp=sharing</t>
  </si>
  <si>
    <t>PRASENJIT KUMAR ROY</t>
  </si>
  <si>
    <t>XZIOSB</t>
  </si>
  <si>
    <t>https://drive.google.com/file/d/1qHXthes_tsfF_kfKufCV9ZFRydzwkse4/view?usp=sharing</t>
  </si>
  <si>
    <t>TAPAS KUMAR DE II</t>
  </si>
  <si>
    <t>SHIKPL</t>
  </si>
  <si>
    <t>https://drive.google.com/file/d/1_3qkAf-DZdswo1CdwDbCxGot_gjzZWo_/view?usp=sharing</t>
  </si>
  <si>
    <t>https://drive.google.com/file/d/1oaBnncJnRcKRpErAWn3YIL23BscgghRB/view?usp=share_link</t>
  </si>
  <si>
    <t>S S PRASAD</t>
  </si>
  <si>
    <t>OGKNQE</t>
  </si>
  <si>
    <t>https://drive.google.com/file/d/1qTyAyAwBJo7as4rG6gO0c30OysbFDeei/view?usp=sharing</t>
  </si>
  <si>
    <t>https://drive.google.com/file/d/1jFrYPp3vjHbYKtwVVM2eLsSPqugJyvoe/view?usp=share_link</t>
  </si>
  <si>
    <t>IVY HORE</t>
  </si>
  <si>
    <t>XYIJJF</t>
  </si>
  <si>
    <t>Uday Kr. Bhattacharya</t>
  </si>
  <si>
    <t>Death</t>
  </si>
  <si>
    <t>Prasenjit Das</t>
  </si>
  <si>
    <t>XYXUYD</t>
  </si>
  <si>
    <t>https://drive.google.com/file/d/1nUmbhzb0Naxhu8Pp60Lyh_xP5rjqn1Z-/view?usp=sharing</t>
  </si>
  <si>
    <t>Compulsury retirement 07.03.2025</t>
  </si>
  <si>
    <t>BISWAJIT NANDY</t>
  </si>
  <si>
    <t>YCIWCP</t>
  </si>
  <si>
    <t>https://drive.google.com/file/d/1taHXxa4cgn8t9qzgfwjTZsNaTasNrq9l/view?usp=sharing</t>
  </si>
  <si>
    <t>Retirement 31.03.2025</t>
  </si>
  <si>
    <t>GURUSADAY DE</t>
  </si>
  <si>
    <t>GGJWUP</t>
  </si>
  <si>
    <t>https://drive.google.com/file/d/1hmzxPgFLqjmxTdVR8qqPg4VrCntk5l-1/view?usp=sharing</t>
  </si>
  <si>
    <t>SAKTI KUMAR DAS</t>
  </si>
  <si>
    <t>ALYBUL</t>
  </si>
  <si>
    <t>https://drive.google.com/file/d/1qVR8ljuUSjTL70muk0P3cErP_6G0hrHL/view?usp=sharing</t>
  </si>
  <si>
    <t>https://drive.google.com/file/d/1Nve-YpSTvIC2b1-7N5sSwPWgeop0KmdH/view?usp=sharing</t>
  </si>
  <si>
    <t>SISIR KUMAR DAS</t>
  </si>
  <si>
    <t>GKWGQE</t>
  </si>
  <si>
    <t>https://drive.google.com/file/d/1dwd65CKLMvcDtNadbzWHTzxGCWEEe1Sx/view?usp=sharing</t>
  </si>
  <si>
    <t>https://drive.google.com/file/d/1YP5up2imPAtmGGUWSD2tSqtbGX-OoAwa/view?usp=sharing</t>
  </si>
  <si>
    <t>31/03/2025</t>
  </si>
  <si>
    <t>Lekhraj Meena</t>
  </si>
  <si>
    <t>ZYTQUR</t>
  </si>
  <si>
    <t>31/10/1889</t>
  </si>
  <si>
    <t>https://drive.google.com/file/d/18wvxgM9A1BhI1faYJgRKLiMu7MD6A3Ri/view?usp=sharing</t>
  </si>
  <si>
    <t>SUJIT YADAV</t>
  </si>
  <si>
    <t>CGWJYY</t>
  </si>
  <si>
    <t>OS under S&amp;T</t>
  </si>
  <si>
    <t>Asoke Ghosh</t>
  </si>
  <si>
    <t>KNRSAS</t>
  </si>
  <si>
    <t>https://drive.google.com/file/d/1m4eCFhNay-tvBMyTTcCwoDpJeeyXy83n/view?usp=share_link</t>
  </si>
  <si>
    <t>https://drive.google.com/file/d/1uoUneYYdRcbiw5SD5I7Rq4RPjcqocjEj/view?usp=sharing</t>
  </si>
  <si>
    <t>Mutual with Santosh Kumar</t>
  </si>
  <si>
    <t>QITBMJ</t>
  </si>
  <si>
    <t>Mutual with Md Rabiul Mondal</t>
  </si>
  <si>
    <t>NEMI CHAND</t>
  </si>
  <si>
    <t>TNATFQ</t>
  </si>
  <si>
    <t>https://drive.google.com/file/d/1pg4JHtEyOewKbNTTzgik9ZHBblRpTtfM/view?usp=sharing</t>
  </si>
  <si>
    <t>Mutual with Vivek kumar Dey</t>
  </si>
  <si>
    <t>Santosh Kumar Agrahari</t>
  </si>
  <si>
    <t>RBSCKS</t>
  </si>
  <si>
    <t>Retirement 30.04.2025</t>
  </si>
  <si>
    <t>MD. A RAHAMAN</t>
  </si>
  <si>
    <t>TOTPXR</t>
  </si>
  <si>
    <t>https://drive.google.com/file/d/1j-AGeB__2DXXalAVm0GjK3KZM3-AHb88/view?usp=sharing</t>
  </si>
  <si>
    <t>Retirement 31.05.2025</t>
  </si>
  <si>
    <t>T K BAIDYA..</t>
  </si>
  <si>
    <t>QNGMIC</t>
  </si>
  <si>
    <t>https://drive.google.com/file/d/1DpPj950XKxxBHwJBwQ89x7uNC3hkhHc_/view?usp=sharing</t>
  </si>
  <si>
    <t>https://drive.google.com/file/d/1EltSADaY9R3NBmRdDAOzAXUWlIOEQoN6/view?usp=share_link</t>
  </si>
  <si>
    <t>Mutual Transfer with Pritam Biswas</t>
  </si>
  <si>
    <t>Mithilesh Kumar</t>
  </si>
  <si>
    <t>UZAARR</t>
  </si>
  <si>
    <t>Retirement 30.06.2025</t>
  </si>
  <si>
    <t>SUBRATA ROY</t>
  </si>
  <si>
    <t>FSSSMP</t>
  </si>
  <si>
    <t>https://drive.google.com/file/d/1E_mZ0vlF8hVTbfODFyKt3DPAtOhNwLxm/view?usp=sharing</t>
  </si>
  <si>
    <t>https://drive.google.com/file/d/1yUsw08CKjQKSpH4pZ97s1SCaXJPirtwY/view?usp=share_link</t>
  </si>
  <si>
    <t>MD. MAINUL HAQUE</t>
  </si>
  <si>
    <t>BOQWSN</t>
  </si>
  <si>
    <t>https://drive.google.com/file/d/1pfyolRD_XHovCu2vAtIJTEiuQRsE0gVi/view?usp=sharing</t>
  </si>
  <si>
    <t>https://drive.google.com/file/d/1_js4URTa8p1XqX_Ht_CWu477gAbPZ3nL/view?usp=sharing</t>
  </si>
  <si>
    <t>Compulsury retirement(drunken case)</t>
  </si>
  <si>
    <t>SAMARENDRA NATH MURMU</t>
  </si>
  <si>
    <t>FIZDJB</t>
  </si>
  <si>
    <t>https://drive.google.com/file/d/1nqWJP8UMSfSHeQF1pU4TUFcY_Sly1jG2/view?usp=sharing</t>
  </si>
  <si>
    <t>15/06/2018(F)</t>
  </si>
  <si>
    <t>MUTUAL</t>
  </si>
  <si>
    <t xml:space="preserve">Roopram Sahani </t>
  </si>
  <si>
    <t>IMXWBI</t>
  </si>
  <si>
    <t>Retirement 30.07.2025</t>
  </si>
  <si>
    <t>PRABIR KR DAS</t>
  </si>
  <si>
    <t>DXSPXQ</t>
  </si>
  <si>
    <t>https://drive.google.com/file/d/1cKVcJ8BR4Mu6SraenCnAhdzCFm_YGeXP/view?usp=sharing</t>
  </si>
  <si>
    <t>WBMGQY</t>
  </si>
  <si>
    <t>https://drive.google.com/file/d/1GN-vjBHt-ZPJs3yN1CgiT630gsAMElGb/view?usp=sharing</t>
  </si>
  <si>
    <t>PRASANTA KUMAR UKIL</t>
  </si>
  <si>
    <t>02.05.94</t>
  </si>
  <si>
    <t>Mihir Sen</t>
  </si>
  <si>
    <t>502S4780516</t>
  </si>
  <si>
    <t>19.03.1990</t>
  </si>
  <si>
    <t>01.08.2007</t>
  </si>
  <si>
    <t>PARTHA PRATIM DAS</t>
  </si>
  <si>
    <t>QCQBOL</t>
  </si>
  <si>
    <t>EXPIRED</t>
  </si>
  <si>
    <t>KAILASH CH MANDAL</t>
  </si>
  <si>
    <t>5020 5343641</t>
  </si>
  <si>
    <t>RJFRAJ</t>
  </si>
  <si>
    <t>Retirement 31.08.2025</t>
  </si>
  <si>
    <t>DEBASIS BANERJEE</t>
  </si>
  <si>
    <t>24.08.65</t>
  </si>
  <si>
    <t>01.07.88</t>
  </si>
  <si>
    <t>MALAY RAY</t>
  </si>
  <si>
    <t>50205384813</t>
  </si>
  <si>
    <t>AAXMEU</t>
  </si>
  <si>
    <t>https://drive.google.com/file/d/1XPbm6vQWKQqRSdi7UqMiWHmbwD9U6NfN/view?usp=sharing</t>
  </si>
  <si>
    <t>MADHUSUDAN DEY(Misc)</t>
  </si>
  <si>
    <t>50205373475</t>
  </si>
  <si>
    <t>IQLMCK</t>
  </si>
  <si>
    <t>https://drive.google.com/file/d/1zsnn93wmoP7QksA4Z00FwkzNHx5BMcQE/view?usp=sharing</t>
  </si>
  <si>
    <t>A. M. Molla</t>
  </si>
  <si>
    <t>50209362551</t>
  </si>
  <si>
    <t>LEXPLB</t>
  </si>
  <si>
    <t>https://drive.google.com/file/d/1kxp5eFykBYy_u_2JpTWB4zv8Nm_S3hm9/view?usp=sharing</t>
  </si>
  <si>
    <t>https://drive.google.com/file/d/1-CPwGRPEG_On4nZWmkJF-7sFUmhMdv2I/view?usp=sharing</t>
  </si>
  <si>
    <t>BIPUL CHANDRA SARKAR</t>
  </si>
  <si>
    <t>50205390898</t>
  </si>
  <si>
    <t>PJTLWG</t>
  </si>
  <si>
    <t>https://drive.google.com/file/d/1PbhvLhrUfR-XEODYi7BtQl_c9ee-1Hii/view?usp=sharing</t>
  </si>
  <si>
    <t>M K JHA</t>
  </si>
  <si>
    <t>50205360468</t>
  </si>
  <si>
    <t>DCMOTM</t>
  </si>
  <si>
    <t>https://drive.google.com/file/d/1aAxg8rl6UVTEiQTooLPJROEhodt2DV_0/view?usp=sharing</t>
  </si>
  <si>
    <t>https://drive.google.com/file/d/1XPcLENeAGy_VA0H0et2tL3izKNV1JjU7/view?usp=share_link</t>
  </si>
  <si>
    <t>SUNIL CHANDRA DAS</t>
  </si>
  <si>
    <t>50205384242</t>
  </si>
  <si>
    <t>TGLEPH</t>
  </si>
  <si>
    <t>https://drive.google.com/file/d/1E1cxJzCNEc4wVlRd9fp80xYK6wWhdwLu/view?usp=sharing</t>
  </si>
  <si>
    <t>Retirement 30.09.2025</t>
  </si>
  <si>
    <t>BIDYUT DUTTA</t>
  </si>
  <si>
    <t>DILIP KUMAR SARDAR</t>
  </si>
  <si>
    <t>50205385672</t>
  </si>
  <si>
    <t>HLRZMF</t>
  </si>
  <si>
    <t>https://drive.google.com/file/d/1tY-4mUw02RRU1jsooEB3m2awdlZ3tW63/view?usp=sharing</t>
  </si>
  <si>
    <t>https://drive.google.com/file/d/1rolG7Glp8eIh56dW-4flg02dciC4MhDv/view?usp=sharing</t>
  </si>
  <si>
    <t>Ranjan Kumar Das</t>
  </si>
  <si>
    <t>50205362933</t>
  </si>
  <si>
    <t>15.01.1990</t>
  </si>
  <si>
    <t>15.05.2003</t>
  </si>
  <si>
    <t>Retirement 31.10.2025</t>
  </si>
  <si>
    <t>TAPAN KR GHOSH..</t>
  </si>
  <si>
    <t>FPZXZA</t>
  </si>
  <si>
    <t>https://drive.google.com/file/d/1SzFbb9aMnWyOIFt2zKpPKxcE3zGor9zV/view?usp=sharing</t>
  </si>
  <si>
    <t>Silajit Chakraborty</t>
  </si>
  <si>
    <t>50205336442</t>
  </si>
  <si>
    <t>27.04.1988</t>
  </si>
  <si>
    <t>29.03.2005</t>
  </si>
  <si>
    <t>BIBEKANANDA MUKHOPADHYAY</t>
  </si>
  <si>
    <t>50205362519</t>
  </si>
  <si>
    <t>LGMNZX</t>
  </si>
  <si>
    <t>https://drive.google.com/file/d/1LMXWaqxuQ_0BNrThEUXKBEcebC7mQqxw/view?usp=sharing</t>
  </si>
  <si>
    <t xml:space="preserve">13/10/2020(F) </t>
  </si>
  <si>
    <t>SIYARAM SAH 1</t>
  </si>
  <si>
    <t>50205373580</t>
  </si>
  <si>
    <t>SOCMYM</t>
  </si>
  <si>
    <t>https://drive.google.com/file/d/15XP4od-zNR_hBgbNjwxsy4H4ZCljpncR/view?usp=share_link</t>
  </si>
  <si>
    <t>https://drive.google.com/file/d/15EEU44Gr2gT8-0kFcN8B7qhYsAvKN_fK/view?usp=sharing</t>
  </si>
  <si>
    <t>ANUPAM MAITY</t>
  </si>
  <si>
    <t>50205384291</t>
  </si>
  <si>
    <t>KUEZML</t>
  </si>
  <si>
    <t>https://drive.google.com/file/d/1ph5A-Bu4T-gGdeUOc8l1-FGy7N8hybK-/view?usp=sharing</t>
  </si>
  <si>
    <t>Remove from service w.e.f 18.11.25</t>
  </si>
  <si>
    <t>Sancho Lakra</t>
  </si>
  <si>
    <t>502S4773330</t>
  </si>
  <si>
    <t>MZKAZX</t>
  </si>
  <si>
    <t>https://drive.google.com/file/d/18HAAiQ9XRQsb7M_SWBxBQGDaRd7c6LOL/view?usp=sharing</t>
  </si>
  <si>
    <t>Technical resignation</t>
  </si>
  <si>
    <t>Rahul Poddar</t>
  </si>
  <si>
    <t>3529802097</t>
  </si>
  <si>
    <t>Retirement 30.11.2025</t>
  </si>
  <si>
    <t>BIPLAB KUMAR GALUI</t>
  </si>
  <si>
    <t>50707696024</t>
  </si>
  <si>
    <t>NJQMTL</t>
  </si>
  <si>
    <t>https://drive.google.com/file/d/1-A3JckLqmDPJg8UdgR9cR58NQjJwLfJC/view?usp=sharing</t>
  </si>
  <si>
    <t>https://drive.google.com/file/d/1AgCWx2wXQ14g7oFN4RwjcnO4X_62J53U/view?usp=sharing</t>
  </si>
  <si>
    <t>https://drive.google.com/file/d/1CxGNKs7_VZdOUy3c1D73H0u32NoGNs-N/view?usp=sharing</t>
  </si>
  <si>
    <t>ABHIJIT KUMAR GHOSH</t>
  </si>
  <si>
    <t>50204665053</t>
  </si>
  <si>
    <t>XSEIZG</t>
  </si>
  <si>
    <t>https://drive.google.com/file/d/1UQd6ELboLbeLM9yUKEWefhxpUrI0TlC5/view?usp=sharing</t>
  </si>
  <si>
    <t>PARTHA PRATIM BAKSHI</t>
  </si>
  <si>
    <t>50209376586</t>
  </si>
  <si>
    <t>IYSPCF</t>
  </si>
  <si>
    <t>https://drive.google.com/file/d/1KvC7oQHfmjAEb1PZDG38mxrBpgu7mUmz/view?usp=sharing</t>
  </si>
  <si>
    <t>https://drive.google.com/file/d/16yJZIESUiseO1O6V4vI6-wJ4qGXSAjTo/view?usp=share_link</t>
  </si>
  <si>
    <t>PZMNFC</t>
  </si>
  <si>
    <t>https://drive.google.com/file/d/1rUxHiN5n96Ofyogyhb9FuUAJau4TJTvc/view?usp=sharing</t>
  </si>
  <si>
    <t>Tarak Halder</t>
  </si>
  <si>
    <t>50205378217</t>
  </si>
  <si>
    <t>09.02.1990</t>
  </si>
  <si>
    <t>17.09.2010</t>
  </si>
  <si>
    <t>SUBODH RAM</t>
  </si>
  <si>
    <t>30.11.65</t>
  </si>
  <si>
    <t>17.03.87</t>
  </si>
  <si>
    <t>2.4.97</t>
  </si>
  <si>
    <t>Removal from Service 12.2025</t>
  </si>
  <si>
    <t>Biren Oraw</t>
  </si>
  <si>
    <t>502S4773391</t>
  </si>
  <si>
    <t>UTAMMO</t>
  </si>
  <si>
    <t>https://drive.google.com/file/d/1CY1vE3xLNcGtOGsXf1Z4VOfzS_f1lVTh/view?usp=sharing</t>
  </si>
  <si>
    <t>JAYABRATA MRIDHA</t>
  </si>
  <si>
    <t>18.03.1983</t>
  </si>
  <si>
    <t>29.11.2016</t>
  </si>
  <si>
    <t>10.10.2022</t>
  </si>
  <si>
    <t>De-cat LPS/BGA AND POSTED AT TECH II MECHANICAL</t>
  </si>
  <si>
    <t>Retirement 31.12.2025</t>
  </si>
  <si>
    <t>PRASANTA KUMAR PAL</t>
  </si>
  <si>
    <t>ZWTDWJ</t>
  </si>
  <si>
    <t>https://drive.google.com/file/d/1GTPahlZ_oIJe-vqupsShU6ftst8gFPeY/view?usp=sharing</t>
  </si>
  <si>
    <t>UPEFIT</t>
  </si>
  <si>
    <t>https://drive.google.com/file/d/1CqjXpEEdTxUdwb-X-2HKoTfNaXVRl_xa/view?usp=sharing</t>
  </si>
  <si>
    <t>N K VERMA</t>
  </si>
  <si>
    <t>502S4766623</t>
  </si>
  <si>
    <t>PKPPGH</t>
  </si>
  <si>
    <t>https://drive.google.com/file/d/1mUroOOB3QOX-sT3_PS7l4twjCD4QeKPC/view?usp=sharing</t>
  </si>
  <si>
    <t>https://drive.google.com/file/d/1ZPuCtpEkH-v5kUXqPLu4vrzPndxD78MF/view?usp=sharing</t>
  </si>
  <si>
    <t>Kamal Kumar Sarkar</t>
  </si>
  <si>
    <t>MBTJXA</t>
  </si>
  <si>
    <t>NEPAL KUMAR MONDAL</t>
  </si>
  <si>
    <t>50205410496</t>
  </si>
  <si>
    <t>FBDDGE</t>
  </si>
  <si>
    <t>https://drive.google.com/file/d/1F0cZNW9YUUEMcOnSJE9Z_th_bxDsYvDJ/view?usp=sharing</t>
  </si>
  <si>
    <t>SAUMITRA SIRCAR</t>
  </si>
  <si>
    <t>50205331584</t>
  </si>
  <si>
    <t>EKJRQO</t>
  </si>
  <si>
    <t>https://drive.google.com/file/d/1QdL1BrkAIGRpIRE8ebjEAcjVCpXM2a_M/view?usp=sharing</t>
  </si>
  <si>
    <t>Gopal Chandra Paul</t>
  </si>
  <si>
    <t>26.12.65</t>
  </si>
  <si>
    <t>01.07.93</t>
  </si>
  <si>
    <t>08.10.13</t>
  </si>
  <si>
    <t>31.07.17 (F), 29.06.18 (F)</t>
  </si>
  <si>
    <t>ASN 13.08.15-24.09.15(P) BLI 28.09.15-14.10.15(P)</t>
  </si>
  <si>
    <t>Metro on 10.07.18</t>
  </si>
  <si>
    <t>Mutual with Chandra Sekhar Kumar,ALP/Bikaner</t>
  </si>
  <si>
    <t>Siya Ram Meena</t>
  </si>
  <si>
    <t>3329804651</t>
  </si>
  <si>
    <t>CHANDAN KUMAR SARKAR</t>
  </si>
  <si>
    <t>NJHIHP</t>
  </si>
  <si>
    <t>https://drive.google.com/file/d/1CPILEt2a0tXscYt0lwrCqW-cMo9AsWeU/view?usp=sharing</t>
  </si>
  <si>
    <t>Mutual with RUPESH KUMAR,ALP/JHS</t>
  </si>
  <si>
    <t>Pankaj Meena</t>
  </si>
  <si>
    <t>3329804641</t>
  </si>
  <si>
    <t>Retirement 31.01.2026</t>
  </si>
  <si>
    <t>Anant Chandra Jha</t>
  </si>
  <si>
    <t>502S4760670</t>
  </si>
  <si>
    <t>SKAMKE</t>
  </si>
  <si>
    <t>Animesh Sarkar</t>
  </si>
  <si>
    <t>OOBAEE</t>
  </si>
  <si>
    <t>Baidhar Singh</t>
  </si>
  <si>
    <t>MOHFXN</t>
  </si>
  <si>
    <t>SANDIP KUMAR KAR</t>
  </si>
  <si>
    <t>50209378947</t>
  </si>
  <si>
    <t>XKTQRQ</t>
  </si>
  <si>
    <t>https://drive.google.com/file/d/1b6tbcokmKg-jijv2CBHTN9zIA_W4vSzj/view?usp=sharing</t>
  </si>
  <si>
    <t>B K SAHA</t>
  </si>
  <si>
    <t>50205373530</t>
  </si>
  <si>
    <t>NKHUQO</t>
  </si>
  <si>
    <t>https://drive.google.com/file/d/1T0PUn1LTV11TS-iSt1O5LCyXvbEMBOC1/view?usp=sharing</t>
  </si>
  <si>
    <t>Dilip Kumar Das</t>
  </si>
  <si>
    <t>50204627039</t>
  </si>
  <si>
    <t>YIPORU</t>
  </si>
  <si>
    <t>https://drive.google.com/file/d/1pYU5cbodY8nMtETCujaDchUFyoc--Mil/view?usp=sharing</t>
  </si>
  <si>
    <t>Gradation on 11.04.2023</t>
  </si>
  <si>
    <t>ABHIJIT ROY</t>
  </si>
  <si>
    <t>502S5389343</t>
  </si>
  <si>
    <t>UHFZRO</t>
  </si>
  <si>
    <t>https://drive.google.com/file/d/1DHd9ggYYVRTygKEe9MpVhHG_TjQOPYnl/view?usp=sharing</t>
  </si>
  <si>
    <t>https://drive.google.com/file/d/100kQMZfkdcmNGopPus2f5x8nxBsS4iLQ/view?usp=share_link</t>
  </si>
  <si>
    <t>Kamal Kumar Dey</t>
  </si>
  <si>
    <t>50205335530</t>
  </si>
  <si>
    <t>LNQHYZ</t>
  </si>
  <si>
    <t>https://drive.google.com/file/d/1Oo4LrHnt3qOGFPsgNxMvlS5r5r2Sp0As/view?usp=sharing</t>
  </si>
  <si>
    <t>PARTHA CHAKRABORTY</t>
  </si>
  <si>
    <t>50212092708</t>
  </si>
  <si>
    <t>IGRIGF</t>
  </si>
  <si>
    <t>https://drive.google.com/file/d/1TxhFV2I5NdFTD4_U5W5s6MZh51qKZ_IP/view?usp=sharing</t>
  </si>
  <si>
    <t>https://drive.google.com/file/d/1x_90I_DkBRa9wPpXNw713dpuajSFTseR/view?usp=share_link</t>
  </si>
  <si>
    <t>ASHOKE MAITRA</t>
  </si>
  <si>
    <t>WWCLHF</t>
  </si>
  <si>
    <t>Asutosh Mondal</t>
  </si>
  <si>
    <t>50204627027</t>
  </si>
  <si>
    <t>04.01.1990</t>
  </si>
  <si>
    <t>05.12.2012</t>
  </si>
  <si>
    <t>Sutanu Dutta</t>
  </si>
  <si>
    <t>KURHSP</t>
  </si>
  <si>
    <t>Purabi Das</t>
  </si>
  <si>
    <t>HRLZAX</t>
  </si>
  <si>
    <t>Retirement 28.02.2026</t>
  </si>
  <si>
    <t>Bivash Kumar Paul</t>
  </si>
  <si>
    <t>CPSBLF</t>
  </si>
  <si>
    <t>Debashis Rakshit(VR)</t>
  </si>
  <si>
    <t>12550620</t>
  </si>
  <si>
    <t>QBCQKK</t>
  </si>
  <si>
    <t xml:space="preserve">SL </t>
  </si>
  <si>
    <t>Gender</t>
  </si>
  <si>
    <t>Gradation</t>
  </si>
  <si>
    <t>Mob</t>
  </si>
  <si>
    <t>Tr-10</t>
  </si>
  <si>
    <t>Tr-13</t>
  </si>
  <si>
    <t>Tr 11</t>
  </si>
  <si>
    <t>Tr 12</t>
  </si>
  <si>
    <t>pf no len</t>
  </si>
  <si>
    <t>High Speed Psycho</t>
  </si>
  <si>
    <t>M/Man Psycho</t>
  </si>
  <si>
    <t>Unsuccessful attempt</t>
  </si>
  <si>
    <t>FINAL STATUS</t>
  </si>
  <si>
    <t>Psycho competancy</t>
  </si>
  <si>
    <t>Punishment</t>
  </si>
  <si>
    <t>SADANANDA MARDI</t>
  </si>
  <si>
    <t>50205349795</t>
  </si>
  <si>
    <t>SZCMYG</t>
  </si>
  <si>
    <t>https://drive.google.com/file/d/1q70-PSm3me6Trsj3RpYrnudBisqY218Z/view?usp=sharing</t>
  </si>
  <si>
    <t>CHUNARAM MANDI</t>
  </si>
  <si>
    <t>50206011380</t>
  </si>
  <si>
    <t>ZUSPOD</t>
  </si>
  <si>
    <t>https://drive.google.com/file/d/1pZlaxUz6xBR-108cfV_5bIqF7-vkD1lQ/view?usp=sharing</t>
  </si>
  <si>
    <t>https://drive.google.com/file/d/1lF0m94QKbPvux3pSArtJQGXQ-nKsCT4j/view?usp=sharing</t>
  </si>
  <si>
    <t>SUSHIL HANSDA</t>
  </si>
  <si>
    <t>50205528902</t>
  </si>
  <si>
    <t>UJGJXE</t>
  </si>
  <si>
    <t>https://drive.google.com/file/d/1s4aRy5MuR-e6r8AeOlpZSMW504AHB4bh/view?usp=sharing</t>
  </si>
  <si>
    <t>JIBAN KUMAR SINGH</t>
  </si>
  <si>
    <t>50205530982</t>
  </si>
  <si>
    <t>JQLWEP</t>
  </si>
  <si>
    <t>https://drive.google.com/file/d/1C7MYE5yn39QFzBRJbazM1Kl5I8P3uaKc/view?usp=sharing</t>
  </si>
  <si>
    <t>Ranjit Kr. Hembram</t>
  </si>
  <si>
    <t>50210306640</t>
  </si>
  <si>
    <t>CSCXSM</t>
  </si>
  <si>
    <t>https://drive.google.com/file/d/1L5uZ3Doq3joOs1Nq0oY_4Yvo65lJO9hf/view?usp=sharing</t>
  </si>
  <si>
    <t>Anthoni Tudu</t>
  </si>
  <si>
    <t>50205339728</t>
  </si>
  <si>
    <t>SDYKFG</t>
  </si>
  <si>
    <t>https://drive.google.com/file/d/1wl8RE2UO-mltE9qmhNX65UkvDTuKl2fk/view?usp=sharing</t>
  </si>
  <si>
    <t>RAMESH TUDU</t>
  </si>
  <si>
    <t>50204804703</t>
  </si>
  <si>
    <t>EKYRYR</t>
  </si>
  <si>
    <t>https://drive.google.com/file/d/1mxSHATdUksE13HVkbPVk43ul2zMlX4jI/view?usp=sharing</t>
  </si>
  <si>
    <t>SWAPAN BHAKTA</t>
  </si>
  <si>
    <t>502S4774220</t>
  </si>
  <si>
    <t>https://drive.google.com/file/d/1h2qrE_d4IZv6agLfMWTOfE682eAI8bUS/view?usp=sharing</t>
  </si>
  <si>
    <t>Prabir Kumar Mondal</t>
  </si>
  <si>
    <t>50204626977</t>
  </si>
  <si>
    <t>HFGEDH</t>
  </si>
  <si>
    <t>https://drive.google.com/file/d/1MJVaYNVk1LaXfNN6H0HttbRp9Yp8DLld/view?usp=sharing</t>
  </si>
  <si>
    <t>https://drive.google.com/file/d/1iQqMKxJArdgbbS6GlTt49JeVHqYPFVEy/view?usp=sharing</t>
  </si>
  <si>
    <t>Sib Nath Acharya</t>
  </si>
  <si>
    <t>50205358462</t>
  </si>
  <si>
    <t>JGYQJH</t>
  </si>
  <si>
    <t>https://drive.google.com/file/d/1HSbJlhFErJ8SyyFb0NkBiWN4F27hudXH/view?usp=sharing</t>
  </si>
  <si>
    <t>Ashok Saha</t>
  </si>
  <si>
    <t>50214589497</t>
  </si>
  <si>
    <t>NLJBUF</t>
  </si>
  <si>
    <t>https://drive.google.com/file/d/1HHbag3NqzV4z3gJ-QA2OItD-BjbsQWUw/view?usp=sharing</t>
  </si>
  <si>
    <t>https://drive.google.com/file/d/16VL-sqi-FDhQvEas2sl7rHxKVHO-6zcl/view?usp=sharing</t>
  </si>
  <si>
    <t>ARJUN KUMAR GHOSH</t>
  </si>
  <si>
    <t>50205358371</t>
  </si>
  <si>
    <t>SIB NATH BISWAS</t>
  </si>
  <si>
    <t>50205357482</t>
  </si>
  <si>
    <t>CNEIIK</t>
  </si>
  <si>
    <t>JITENDRA PRASAD SINGH</t>
  </si>
  <si>
    <t>50205357470</t>
  </si>
  <si>
    <t>CZMDKR</t>
  </si>
  <si>
    <t>SANJIB BANDYOPADHYAY</t>
  </si>
  <si>
    <t>50205358401</t>
  </si>
  <si>
    <t>PRADIP KUMAR DAS</t>
  </si>
  <si>
    <t>50205423557</t>
  </si>
  <si>
    <t>BIPUL BISWAS</t>
  </si>
  <si>
    <t>50205423508</t>
  </si>
  <si>
    <t>Sunil Boran Biswas</t>
  </si>
  <si>
    <t>50205411841</t>
  </si>
  <si>
    <t>NDRZQS</t>
  </si>
  <si>
    <t>https://drive.google.com/file/d/1pcRCDRRAKCN9IbJBrAGEPBIG7eGITwKD/view?usp=sharing</t>
  </si>
  <si>
    <t>BISWANATH DAS</t>
  </si>
  <si>
    <t>502S8294367</t>
  </si>
  <si>
    <t>ZGMBAI</t>
  </si>
  <si>
    <t>JOYDIP MUKHERJEE</t>
  </si>
  <si>
    <t>50205411804</t>
  </si>
  <si>
    <t>AOAGYF</t>
  </si>
  <si>
    <t>PRADIP KUMAR SINGH</t>
  </si>
  <si>
    <t>50200400589</t>
  </si>
  <si>
    <t>GOUTAM KUNDU</t>
  </si>
  <si>
    <t>50205411907</t>
  </si>
  <si>
    <t>DHIMAN CHANDRA DAS</t>
  </si>
  <si>
    <t>50205411889</t>
  </si>
  <si>
    <t>GOPAL PAUL</t>
  </si>
  <si>
    <t>50205411920</t>
  </si>
  <si>
    <t>SANJIB BHATTACHERJEE</t>
  </si>
  <si>
    <t>50205411919</t>
  </si>
  <si>
    <t>T K MAITRA</t>
  </si>
  <si>
    <t>50205411877</t>
  </si>
  <si>
    <t>DJMPEP</t>
  </si>
  <si>
    <t>TUSHAR KANTI ROY</t>
  </si>
  <si>
    <t>50212132111</t>
  </si>
  <si>
    <t>SANJIT ROY</t>
  </si>
  <si>
    <t>50205855469</t>
  </si>
  <si>
    <t>ARABINDA SARKAR</t>
  </si>
  <si>
    <t>50204802433</t>
  </si>
  <si>
    <t>BISWANATH SAHA</t>
  </si>
  <si>
    <t>50209910750</t>
  </si>
  <si>
    <t>IMTEAZ AHMED</t>
  </si>
  <si>
    <t>50204712948</t>
  </si>
  <si>
    <t>MONORANJAN DHALI</t>
  </si>
  <si>
    <t>50206176227</t>
  </si>
  <si>
    <t>XHTCCN</t>
  </si>
  <si>
    <t>SHYAMALENDU BHATTACHARJEE</t>
  </si>
  <si>
    <t>50204802391</t>
  </si>
  <si>
    <t>WNXULU</t>
  </si>
  <si>
    <t>AMIT KUMAR</t>
  </si>
  <si>
    <t>50206011469</t>
  </si>
  <si>
    <t>DXDJOD</t>
  </si>
  <si>
    <t>DEBASIS DUTTA</t>
  </si>
  <si>
    <t>50205708163</t>
  </si>
  <si>
    <t>TIAWXA</t>
  </si>
  <si>
    <t>RAJEN DAS</t>
  </si>
  <si>
    <t>JYDCKA</t>
  </si>
  <si>
    <t>https://drive.google.com/file/d/1NldI6VmXVyxCVCqTp4N_hldR9MuOgfgJ/view?usp=sharing</t>
  </si>
  <si>
    <t>https://drive.google.com/file/d/1FvzJLGM7nmuDSi0JPm5O16zAfTeFfuRB/view?usp=sharing</t>
  </si>
  <si>
    <t>JOY GOPAL BISWAS</t>
  </si>
  <si>
    <t>GKERXB</t>
  </si>
  <si>
    <t>https://drive.google.com/file/d/1ZqB9MQC-JAmdf-zcuN245j29wuxRHO1t/view?usp=sharing</t>
  </si>
  <si>
    <t>NIHAR RANJAN BISWAS</t>
  </si>
  <si>
    <t>MXEJSK</t>
  </si>
  <si>
    <t>https://drive.google.com/file/d/1qOd7Faw4Fo-zaC3kQrqquczQbtHD-CxD/view?usp=sharing</t>
  </si>
  <si>
    <t>RABINDRA NATH NANDI</t>
  </si>
  <si>
    <t>IETCDR</t>
  </si>
  <si>
    <t>https://drive.google.com/file/d/13oLD6dN5_q5MIAszFu2FNo7GhrRtAvvf/view?usp=sharing</t>
  </si>
  <si>
    <t>https://drive.google.com/file/d/1EfREliDt4jrwU2hiWPS7hbl6tMYKPI0k/view?usp=sharing</t>
  </si>
  <si>
    <t>https://drive.google.com/file/d/1QvNfSdCFzzqNacSjcnrwvD3BAbq98WI-/view?usp=sharing</t>
  </si>
  <si>
    <t>https://drive.google.com/file/d/1Is2F754sT4NJof6OJRupZyVleu1ydiRU/view?usp=sharing</t>
  </si>
  <si>
    <t>Ranjit Pal</t>
  </si>
  <si>
    <t>50205859785</t>
  </si>
  <si>
    <t>FHTUMA</t>
  </si>
  <si>
    <t>https://drive.google.com/file/d/17sml68IjARJ-yRkC_Jnqasd553jLJTqP/view?usp=sharing</t>
  </si>
  <si>
    <t>Narendra Kumar Kaushal</t>
  </si>
  <si>
    <t>50200406002</t>
  </si>
  <si>
    <t>DJXMRQ</t>
  </si>
  <si>
    <t>https://drive.google.com/file/d/1gqv_qSIU99eOO64nFc9wPC4Zbq02n-P0/view?usp=sharing</t>
  </si>
  <si>
    <t>DEBASISH SUR</t>
  </si>
  <si>
    <t>50205359685</t>
  </si>
  <si>
    <t>Basudeb Mandal</t>
  </si>
  <si>
    <t>50205411816</t>
  </si>
  <si>
    <t>JYYEGT</t>
  </si>
  <si>
    <t>Sanjay Kumar Chowdhary II</t>
  </si>
  <si>
    <t>50205528884</t>
  </si>
  <si>
    <t>GTEBGK</t>
  </si>
  <si>
    <t>Sanjay Kumar Chowdhury.pdf</t>
  </si>
  <si>
    <t>Sudhir Kumar Verma</t>
  </si>
  <si>
    <t>50205528951</t>
  </si>
  <si>
    <t>EDTKWW</t>
  </si>
  <si>
    <t>https://drive.google.com/file/d/1qzDT_5cwBjCFCU5jfEAJIj6g64EwsKo5/view?usp=sharing</t>
  </si>
  <si>
    <t>GOUR MRIDHA</t>
  </si>
  <si>
    <t>TMLADN</t>
  </si>
  <si>
    <t>https://drive.google.com/file/d/1W_45KyJ_lcrXL9LTz7fDfYd5NYF4-bpi/view?usp=sharing</t>
  </si>
  <si>
    <t>https://drive.google.com/file/d/1AGiU90lRFNmr8qGzKUnqER46b4GKl9vV/view?usp=share_link</t>
  </si>
  <si>
    <t>https://drive.google.com/file/d/1eMvQybakwZB_okwkpJiqbF0XkELrp32X/view?usp=sharing</t>
  </si>
  <si>
    <t>PRADIP MUKHERJEE</t>
  </si>
  <si>
    <t>50210AB0314</t>
  </si>
  <si>
    <t>TUOITX</t>
  </si>
  <si>
    <t>https://drive.google.com/file/d/1ZUkyc0chpfxwBvLhT6vkwS1eIZjjweaa/view?usp=sharing</t>
  </si>
  <si>
    <t>CHAITANYA MONDAL</t>
  </si>
  <si>
    <t>12221303782</t>
  </si>
  <si>
    <t>SSWKLN</t>
  </si>
  <si>
    <t>https://drive.google.com/file/d/1Sf-Bu0mNRIlb8VXNSDJc-zvzhZMO_IPr/view?usp=sharing</t>
  </si>
  <si>
    <t>Bipul Biswas</t>
  </si>
  <si>
    <t>50200045044</t>
  </si>
  <si>
    <t>PXIGPF</t>
  </si>
  <si>
    <t>2026-011-09</t>
  </si>
  <si>
    <t>https://drive.google.com/file/d/1ZFD6NXuLIWL_rzjEGiGj-R_t-HNc6HoQ/view?usp=share_link</t>
  </si>
  <si>
    <t>UJJWAL KR BISWAS</t>
  </si>
  <si>
    <t>50200401285</t>
  </si>
  <si>
    <t>KNUHBS</t>
  </si>
  <si>
    <t>https://drive.google.com/file/d/1Sy7VeJi3s_KzsasXnW5tDxn9i6DcRMgj/view?usp=sharing</t>
  </si>
  <si>
    <t>SADHAN BISWAS</t>
  </si>
  <si>
    <t>5020N450218</t>
  </si>
  <si>
    <t>EDIWMU</t>
  </si>
  <si>
    <t>Subrata Saha</t>
  </si>
  <si>
    <t>https://drive.google.com/file/d/19-yLE4mcMQ1ztzLxj60K_HcvApdU8MtS/view?usp=share_link</t>
  </si>
  <si>
    <t>BASUDEB HALDER</t>
  </si>
  <si>
    <t>50200063277</t>
  </si>
  <si>
    <t>https://drive.google.com/file/d/10FWF6c3gdTTeJss6CU5HQobUsmEF-ZvL/view?usp=share_link</t>
  </si>
  <si>
    <t>Bibhas Biswas</t>
  </si>
  <si>
    <t>50204805021</t>
  </si>
  <si>
    <t>WCURDX</t>
  </si>
  <si>
    <t>https://drive.google.com/file/d/1e387DBQ013I1nVZZoGuBfT6d1WixMxAa/view?usp=share_link</t>
  </si>
  <si>
    <t>https://drive.google.com/file/d/1xZ6VVdJbjuWiJNgCgevZVjLVkB-fStpL/view?usp=sharing</t>
  </si>
  <si>
    <t>Sanjoy Dutta</t>
  </si>
  <si>
    <t>50204802457</t>
  </si>
  <si>
    <t>JYSUFL</t>
  </si>
  <si>
    <t>https://drive.google.com/file/d/1UwX4W7OwD6hnzS0dH9V1hjcZHf5JIGSf/view?usp=share_link</t>
  </si>
  <si>
    <t>https://drive.google.com/file/d/1x8hsyEIW2s0Znl7oJYDekEbh_uNbrIj3/view?usp=sharing</t>
  </si>
  <si>
    <t>Tapan Chandra Mondal</t>
  </si>
  <si>
    <t>50204804922</t>
  </si>
  <si>
    <t>GCDUHZ</t>
  </si>
  <si>
    <t>https://drive.google.com/file/d/1KVV-S5QKvrg5e9X6QyMfbDzxHNd9f83j/view?usp=share_link</t>
  </si>
  <si>
    <t>https://drive.google.com/file/d/1IGgNjFBJ2sWpU3u-FxSQXJvNGXzNUMjE/view?usp=sharing</t>
  </si>
  <si>
    <t>Jayanta Ghosh</t>
  </si>
  <si>
    <t>50204804429</t>
  </si>
  <si>
    <t>JTIQZU</t>
  </si>
  <si>
    <t>https://drive.google.com/file/d/14G-memlp7gDXO_voWEp1mL4C4AqICyys/view?usp=share_link</t>
  </si>
  <si>
    <t>https://drive.google.com/file/d/1TlmikNOkl9rAb-anRCzWdQW11uGD34Xg/view?usp=sharing</t>
  </si>
  <si>
    <t>Kalyan Bhakta</t>
  </si>
  <si>
    <t>50200070397</t>
  </si>
  <si>
    <t>PLHIOK</t>
  </si>
  <si>
    <t>https://drive.google.com/file/d/1SBWbqkAlb1r9nHvJz0MPt2oZlIvmna64/view?usp=share_link</t>
  </si>
  <si>
    <t>https://drive.google.com/file/d/1Kzw2cQp5JexFaGE3UpACw3reRwedJH9T/view?usp=sharing</t>
  </si>
  <si>
    <t>Subhas Chandra Ghosh</t>
  </si>
  <si>
    <t>50200063423</t>
  </si>
  <si>
    <t>HCDIDO</t>
  </si>
  <si>
    <t>https://drive.google.com/file/d/1Mcj0EXOop2MRAfAVIXst9tP2ITnZOb23/view?usp=sharing</t>
  </si>
  <si>
    <t>Prosenjit Sarkar</t>
  </si>
  <si>
    <t>50205530854</t>
  </si>
  <si>
    <t>PRNDYF</t>
  </si>
  <si>
    <t>https://drive.google.com/file/d/19JPLM6iuYYPHuqV1wVKLA6K5JrlpTMOp/view?usp=sharing</t>
  </si>
  <si>
    <t>All are transferred to DSL as LPG</t>
  </si>
  <si>
    <t>Kalendra Kumar</t>
  </si>
  <si>
    <t>50205530994</t>
  </si>
  <si>
    <t>TCHBZR</t>
  </si>
  <si>
    <t>https://drive.google.com/file/d/1Jki0akBFWTAvjxbfwjv2m2Hq98nwtIxL/view?usp=share_link</t>
  </si>
  <si>
    <t>https://drive.google.com/file/d/1Acq6Zi1j6hYUb1b_qsyTgkq9uU5xEX6_/view?usp=sharing</t>
  </si>
  <si>
    <t>Dewan Rafikul Hassan</t>
  </si>
  <si>
    <t>50203187937</t>
  </si>
  <si>
    <t>WNNQOS</t>
  </si>
  <si>
    <t>https://drive.google.com/file/d/1oVk4fLyHdAedOl6Z7C3K5knhdT6luZg4/view?usp=sharing</t>
  </si>
  <si>
    <t>https://drive.google.com/file/d/1JII9uN3YH7T26CPrEDpP5D_f8rEGEcJ8/view?usp=sharing</t>
  </si>
  <si>
    <t>Dinesh Choudhary</t>
  </si>
  <si>
    <t>50205561188</t>
  </si>
  <si>
    <t>HHULYF</t>
  </si>
  <si>
    <t>https://drive.google.com/file/d/1cxIaBbHzHS8wcufo1dePoh-qDBBPY-0f/view?usp=share_link</t>
  </si>
  <si>
    <t>https://drive.google.com/file/d/1NhNC_QBOGDVo2SKhJ6ZDyj7wGBx89tNR/view?usp=sharing</t>
  </si>
  <si>
    <t>Pulak Sarkar</t>
  </si>
  <si>
    <t>50205D00022</t>
  </si>
  <si>
    <t>MZWEYP</t>
  </si>
  <si>
    <t>Panchu Gopal Saha</t>
  </si>
  <si>
    <t>50201435073</t>
  </si>
  <si>
    <t>OYDSLU</t>
  </si>
  <si>
    <t>https://drive.google.com/file/d/17XWys6iphfmm_WMizNZfdkSH1-6EQ3hG/view?usp=share_link</t>
  </si>
  <si>
    <t>https://drive.google.com/file/d/1Qvn2qpOIKS9k0zFuUjamwbTwrB67Nlbg/view?usp=sharing</t>
  </si>
  <si>
    <t>Bappaditya Naskar</t>
  </si>
  <si>
    <t>50204804909</t>
  </si>
  <si>
    <t>TIYLKQ</t>
  </si>
  <si>
    <t>https://drive.google.com/file/d/11N_fhqMKZjGekAXeYNXhIEz1Mpqw0MPe/view?usp=share_link</t>
  </si>
  <si>
    <t>https://drive.google.com/file/d/1tCNmDr2sj4AzsKHtfv2iTgSEqk1s-k38/view?usp=sharing</t>
  </si>
  <si>
    <t>Susanta Kumar Ganguly</t>
  </si>
  <si>
    <t>50204802469</t>
  </si>
  <si>
    <t>JYNCPB</t>
  </si>
  <si>
    <t>https://drive.google.com/file/d/1hSQ-71m2ItmM6h10iXH-_Zo8OhLIzhk-/view?usp=sharing</t>
  </si>
  <si>
    <t>https://drive.google.com/file/d/1CV0tGO7k51IqFvHTtMUCLhRdybfJ5k30/view?usp=sharing</t>
  </si>
  <si>
    <t>Uttam Mondal</t>
  </si>
  <si>
    <t>50200063265</t>
  </si>
  <si>
    <t>ORJIDH</t>
  </si>
  <si>
    <t>https://drive.google.com/file/d/1fd5BPZGWDOr2gB7aE48XyfIR9LzsD21i/view?usp=share_link</t>
  </si>
  <si>
    <t>Dipankar Paul</t>
  </si>
  <si>
    <t>50200063228</t>
  </si>
  <si>
    <t>AYSEID</t>
  </si>
  <si>
    <t>https://drive.google.com/file/d/1iBVtb16LYDbmgbwamOSdv7x3ZkfVPc6W/view?usp=share_link</t>
  </si>
  <si>
    <t>Shiba Brata Chowdhury</t>
  </si>
  <si>
    <t>50206390195</t>
  </si>
  <si>
    <t>GOQQEQ</t>
  </si>
  <si>
    <t>https://drive.google.com/file/d/1dy3n5eFE2l-gUjAY8fZoF8mSaFMvKgkg/view?usp=share_link</t>
  </si>
  <si>
    <t>Chandan Kr Chaudhary</t>
  </si>
  <si>
    <t>50205611830</t>
  </si>
  <si>
    <t>BBWDED</t>
  </si>
  <si>
    <t>https://drive.google.com/file/d/1TDxHZTXBZ_W7nxg8NDSrQXz_Z2nvExCF/view?usp=share_link</t>
  </si>
  <si>
    <t>BIKASH BALA</t>
  </si>
  <si>
    <t>50200049827</t>
  </si>
  <si>
    <t>JEIKRT</t>
  </si>
  <si>
    <t>https://drive.google.com/file/d/1gpQ3I2T3QPxdcmTAC1PPXJfWqWErcL6q/view?usp=sharing</t>
  </si>
  <si>
    <t>Subhasis Tunga</t>
  </si>
  <si>
    <t>50203501050</t>
  </si>
  <si>
    <t>KYQZJE</t>
  </si>
  <si>
    <t>https://drive.google.com/file/d/1rFpgYj-9RHcg_1BCgORFvx6Z3USF6KBJ/view?usp=share_link</t>
  </si>
  <si>
    <t>https://drive.google.com/file/d/1Bd7mnHDx7xXGozjcKCaQKMpBA5gD_XEj/view?usp=sharing</t>
  </si>
  <si>
    <t>KOUSHIK MITRA</t>
  </si>
  <si>
    <t>50200056110</t>
  </si>
  <si>
    <t>NNUZWF</t>
  </si>
  <si>
    <t>https://drive.google.com/file/d/1ESD1M9rNi-Mcaj3J4UCnlW6QTcYxbn9e/view?usp=share_link</t>
  </si>
  <si>
    <t>https://drive.google.com/file/d/1oPlQZ49WjnfvEM-kaGFn-xEKcFISWtX1/view?usp=sharing</t>
  </si>
  <si>
    <t>ASHOKE CHAKRABORTY</t>
  </si>
  <si>
    <t>50200051690</t>
  </si>
  <si>
    <t>RIQCCG</t>
  </si>
  <si>
    <t>https://drive.google.com/file/d/1ZNyQmsvxQSDHRKvN2uMeFLXpoX_ZAUte/view?usp=share_link</t>
  </si>
  <si>
    <t>https://drive.google.com/file/d/1Qt5TCNhHVNYW3Pko2Vh3FIbyIZ5YkIR8/view?usp=sharing</t>
  </si>
  <si>
    <t>RAKESH KUMAR</t>
  </si>
  <si>
    <t>50205612639</t>
  </si>
  <si>
    <t>TAFDMI</t>
  </si>
  <si>
    <t>https://drive.google.com/file/d/1hQFilUUWB0YpKjy-GNuIO6IDmnLsPEoI/view?usp=share_link</t>
  </si>
  <si>
    <t>https://drive.google.com/file/d/14xTJON_xBRpI3x95NyJmzy62u09ppZjE/view?usp=sharing</t>
  </si>
  <si>
    <t>50205612627</t>
  </si>
  <si>
    <t>ZYBNKI</t>
  </si>
  <si>
    <t>https://drive.google.com/file/d/16X1TetWogTUD5zAexCUtWWGs_utI4f9c/view?usp=share_link</t>
  </si>
  <si>
    <t>https://drive.google.com/file/d/1yIOdTCvbg-GXKj-hh2M591V9jJh4xTf0/view?usp=sharing</t>
  </si>
  <si>
    <t>ALOK SAHA</t>
  </si>
  <si>
    <t>502N0450219</t>
  </si>
  <si>
    <t>MWIAMT</t>
  </si>
  <si>
    <t>https://drive.google.com/file/d/18_-UTJaaxO7ybDqyutr97eesoVX6YLzO/view?usp=share_link</t>
  </si>
  <si>
    <t>https://drive.google.com/file/d/1zpJ3HU8eVqlar7FwDZpGd21LLBwW_EN5/view?usp=sharing</t>
  </si>
  <si>
    <t>ASIM SARKAR</t>
  </si>
  <si>
    <t>502N0450144</t>
  </si>
  <si>
    <t>FCNJJN</t>
  </si>
  <si>
    <t>https://drive.google.com/file/d/1yKxggq76TSz0Soe8KElY3OXOWTN90pju/view?usp=share_link</t>
  </si>
  <si>
    <t>https://drive.google.com/file/d/1TGeU1jF4urTZNdoDXv_5bM1BruNI2tDs/view?usp=sharing</t>
  </si>
  <si>
    <t>PARTHA SARKAR</t>
  </si>
  <si>
    <t>50262090202</t>
  </si>
  <si>
    <t>KAIYCZ</t>
  </si>
  <si>
    <t>https://drive.google.com/file/d/1N2gdM317MkAYfBiKt9BEWyt973SocvlY/view?usp=sharing</t>
  </si>
  <si>
    <t>https://drive.google.com/file/d/1ZeMXGtw_6iGokOP3DDOK-zLPkAWE2pZt/view?usp=sharing</t>
  </si>
  <si>
    <t>ASHIS KUMAR GHOSH</t>
  </si>
  <si>
    <t>50200063320</t>
  </si>
  <si>
    <t>KCMKNX</t>
  </si>
  <si>
    <t>https://drive.google.com/file/d/1j3lI4HriltolRUWuGggw93q8PJQ66390/view?usp=sharing</t>
  </si>
  <si>
    <t>https://drive.google.com/file/d/1YRnqhezvWg4vmcgaDI2AFu66Ph66ygoB/view?usp=sharing</t>
  </si>
  <si>
    <t>KAMALESH DUTTA</t>
  </si>
  <si>
    <t>50200063332</t>
  </si>
  <si>
    <t>MPFFEZ</t>
  </si>
  <si>
    <t>https://drive.google.com/file/d/1eni-ZnAnusYpjjQIBv0sNQhU0wt2kKBm/view?usp=share_link</t>
  </si>
  <si>
    <t>https://drive.google.com/file/d/1Ez7UuwN6QHK0Jc1ubftGFzYeEN3SW20D/view?usp=sharing</t>
  </si>
  <si>
    <t>Subhankar Roy</t>
  </si>
  <si>
    <t>50205629792</t>
  </si>
  <si>
    <t>UJUCJH</t>
  </si>
  <si>
    <t>https://drive.google.com/file/d/11pstvZfrRRbsCSB7If5vgRUeSt7BY7Xh/view?usp=sharing</t>
  </si>
  <si>
    <t>Arup Kr. Maity</t>
  </si>
  <si>
    <t>50205411830</t>
  </si>
  <si>
    <t>01.04.2000</t>
  </si>
  <si>
    <t>06.05.2021</t>
  </si>
  <si>
    <t>Kamal Paul</t>
  </si>
  <si>
    <t>50205D00199</t>
  </si>
  <si>
    <t>ERZHCR</t>
  </si>
  <si>
    <t>09.08.2022</t>
  </si>
  <si>
    <t>Md. Tariful Islam Laskar</t>
  </si>
  <si>
    <t>50205629767</t>
  </si>
  <si>
    <t>AINMJE</t>
  </si>
  <si>
    <t>03.08.2022</t>
  </si>
  <si>
    <t>Mahendra Narayan Thakur</t>
  </si>
  <si>
    <t>50207313020</t>
  </si>
  <si>
    <t>11.11.1987</t>
  </si>
  <si>
    <t>31.03.2018</t>
  </si>
  <si>
    <t>Mahatab Hossain Khan</t>
  </si>
  <si>
    <t>50204804405</t>
  </si>
  <si>
    <t>07.10.2002</t>
  </si>
  <si>
    <t>15.02.2023</t>
  </si>
  <si>
    <t>Prosenjit Chaki</t>
  </si>
  <si>
    <t>50205D00056</t>
  </si>
  <si>
    <t>SGGAZO</t>
  </si>
  <si>
    <t>Pankaj Kumar Bala</t>
  </si>
  <si>
    <t>50205629809</t>
  </si>
  <si>
    <t>CDZGYK</t>
  </si>
  <si>
    <t>04.08.2022</t>
  </si>
  <si>
    <t>Prabir Mondal</t>
  </si>
  <si>
    <t>50205358383</t>
  </si>
  <si>
    <t>14.09.1990</t>
  </si>
  <si>
    <t>22.11.2013</t>
  </si>
  <si>
    <t>Palan Ch. Naskar</t>
  </si>
  <si>
    <t>50214589760</t>
  </si>
  <si>
    <t>10.04.1996</t>
  </si>
  <si>
    <t>22.08.2016</t>
  </si>
  <si>
    <t>Rana Sengupta</t>
  </si>
  <si>
    <t>50205358334</t>
  </si>
  <si>
    <t>Sithun Karmakar</t>
  </si>
  <si>
    <t>50205629755</t>
  </si>
  <si>
    <t>FJISFA</t>
  </si>
  <si>
    <t>Supriya Majumder</t>
  </si>
  <si>
    <t>50205629779</t>
  </si>
  <si>
    <t>XCKUAR</t>
  </si>
  <si>
    <t>Bimal Oraw</t>
  </si>
  <si>
    <t>502S4773366</t>
  </si>
  <si>
    <t>RHWEYW</t>
  </si>
  <si>
    <t>18.10.1989</t>
  </si>
  <si>
    <t>24.04.2001</t>
  </si>
  <si>
    <t>Dayanand Prasad</t>
  </si>
  <si>
    <t>502S4773408</t>
  </si>
  <si>
    <t>SRSWTG</t>
  </si>
  <si>
    <t>27.09.2000</t>
  </si>
  <si>
    <t>Jyoti Shankar Das</t>
  </si>
  <si>
    <t>50205376099</t>
  </si>
  <si>
    <t>QOKOBF</t>
  </si>
  <si>
    <t>24.01.1990</t>
  </si>
  <si>
    <t>Nagendra Nath Pahan</t>
  </si>
  <si>
    <t>502S4773421</t>
  </si>
  <si>
    <t>RCSAGZ</t>
  </si>
  <si>
    <t>Paritosh Nandi</t>
  </si>
  <si>
    <t>50205411890</t>
  </si>
  <si>
    <t>FCQTBK</t>
  </si>
  <si>
    <t>01.08.2000</t>
  </si>
  <si>
    <t>Suman Sourav</t>
  </si>
  <si>
    <t>5020552887R</t>
  </si>
  <si>
    <t>OCIWXC</t>
  </si>
  <si>
    <t>30.10.2006</t>
  </si>
  <si>
    <t>Satyendra Kumar</t>
  </si>
  <si>
    <t>50205528896</t>
  </si>
  <si>
    <t>QGZSMX</t>
  </si>
  <si>
    <t>07.11.2006</t>
  </si>
  <si>
    <t>Samir Debnath</t>
  </si>
  <si>
    <t>50205357469</t>
  </si>
  <si>
    <t>NLMYNP</t>
  </si>
  <si>
    <t>13.04.1991</t>
  </si>
  <si>
    <t>23.08.2016</t>
  </si>
  <si>
    <t>Ashoke Mondal</t>
  </si>
  <si>
    <t>12131428</t>
  </si>
  <si>
    <t>Ashis Mallick</t>
  </si>
  <si>
    <t>50205629780</t>
  </si>
  <si>
    <t>SGGTTJ</t>
  </si>
  <si>
    <t>https://drive.google.com/file/d/1qIhNBf6vXAJd6iiZrXO9FaEBgyaQ3JWK/view?usp=sharing</t>
  </si>
  <si>
    <t>Ashim Kr. Ghosh</t>
  </si>
  <si>
    <t>50205423545</t>
  </si>
  <si>
    <t>09.11.2000</t>
  </si>
  <si>
    <t>30.05.2021</t>
  </si>
  <si>
    <t>Amit Kr. Barman</t>
  </si>
  <si>
    <t>50205359818</t>
  </si>
  <si>
    <t>17.12.1990</t>
  </si>
  <si>
    <t>Goutambudh Chakraborty</t>
  </si>
  <si>
    <t>50208294896</t>
  </si>
  <si>
    <t>22.12.1992</t>
  </si>
  <si>
    <t>26.05.2018</t>
  </si>
  <si>
    <t>Koushik Ghosh</t>
  </si>
  <si>
    <t>50205629822</t>
  </si>
  <si>
    <t>HMMYXY</t>
  </si>
  <si>
    <t>https://drive.google.com/file/d/1_7DggURN0wcEbf2MbyBT7JweObmafOWs/view?usp=sharing</t>
  </si>
  <si>
    <t>12.08.2022</t>
  </si>
  <si>
    <t>Partha Sarathi Das</t>
  </si>
  <si>
    <t>50209527151</t>
  </si>
  <si>
    <t>10.11.1995</t>
  </si>
  <si>
    <t>30.07.2015</t>
  </si>
  <si>
    <t>Prabir Kr. Sadhukhan</t>
  </si>
  <si>
    <t>12131222</t>
  </si>
  <si>
    <t>Subhabrata Biswas</t>
  </si>
  <si>
    <t>50205629810</t>
  </si>
  <si>
    <t>TSKSBO</t>
  </si>
  <si>
    <t>https://drive.google.com/file/d/1IH-MNil7L4_gyCb8YHC4ScqwJTJ4EoQW/view?usp=sharing</t>
  </si>
  <si>
    <t>Sanjoy Majumder</t>
  </si>
  <si>
    <t>4717831</t>
  </si>
  <si>
    <t>3187731</t>
  </si>
  <si>
    <t>Shambhunath</t>
  </si>
  <si>
    <t>50207313998</t>
  </si>
  <si>
    <t>07.12.1987</t>
  </si>
  <si>
    <t>Suresh Prasad</t>
  </si>
  <si>
    <t>50205561772</t>
  </si>
  <si>
    <t>PDHPUI</t>
  </si>
  <si>
    <t>29/062023</t>
  </si>
  <si>
    <t>https://drive.google.com/file/d/1Gxd_X9x84mcTj_ZXJuj-swtRGc4IpYVo/view?usp=share_link</t>
  </si>
  <si>
    <t>https://drive.google.com/file/d/19NfOU_zIiMAQdelZfdSG0PL7JXyvjwCw/view?usp=sharing</t>
  </si>
  <si>
    <t>Prakash Ghatak</t>
  </si>
  <si>
    <t>50205561814</t>
  </si>
  <si>
    <t>GYZIES</t>
  </si>
  <si>
    <t>https://drive.google.com/file/d/13Yjs1SskSihsNs_F6TjghICBJntWqi5F/view?usp=share_link</t>
  </si>
  <si>
    <t>https://drive.google.com/file/d/19eDNlBwkhj4VxWCsx9c6aH9qE91VmXMF/view?usp=sharing</t>
  </si>
  <si>
    <t>Tapas Barman</t>
  </si>
  <si>
    <t>50205561784</t>
  </si>
  <si>
    <t>IOTFWK</t>
  </si>
  <si>
    <t>https://drive.google.com/file/d/1e2d1zuAAJEv0ACX00yIJKhTv7VwHntFu/view?usp=share_link</t>
  </si>
  <si>
    <t>https://drive.google.com/file/d/1hsCe6W2YUblhdZiwmDYA452lyyj4HUwH/view?usp=sharing</t>
  </si>
  <si>
    <t>Ratan Matabbar</t>
  </si>
  <si>
    <t>50205561802</t>
  </si>
  <si>
    <t>IIWIKR</t>
  </si>
  <si>
    <t>https://drive.google.com/file/d/1BdVywyJ7sSG9XN0o4AjKpWfXT1uZM10E/view?usp=share_link</t>
  </si>
  <si>
    <t>https://drive.google.com/file/d/1nKjKFP1HMEDj9D4h7R3o1AfgnUH6xDNE/view?usp=sharing</t>
  </si>
  <si>
    <t>Rajesh Ch. Biswas</t>
  </si>
  <si>
    <t>50205561190</t>
  </si>
  <si>
    <t>UUWNTA</t>
  </si>
  <si>
    <t>https://drive.google.com/file/d/1fmCjrH3fq3r2EwCls4GbGoKf3qhK7W80/view?usp=share_link</t>
  </si>
  <si>
    <t>https://drive.google.com/file/d/136hU40WI3Rh3W0dgMEagrdH7UolMhNeM/view?usp=sharing</t>
  </si>
  <si>
    <t>Dipak Biswas</t>
  </si>
  <si>
    <t>50205561218</t>
  </si>
  <si>
    <t>NBGGWD</t>
  </si>
  <si>
    <t>https://drive.google.com/file/d/1AW2F-JndR9aedf_YBCNBhXB_9S1AstXe/view?usp=share_link</t>
  </si>
  <si>
    <t>https://drive.google.com/file/d/1fjgCznjEFru8GqSyEOxgit9OizBDsGxK/view?usp=sharing</t>
  </si>
  <si>
    <t>Prasanta Das</t>
  </si>
  <si>
    <t>50205561176</t>
  </si>
  <si>
    <t>OBXIIT</t>
  </si>
  <si>
    <t>https://drive.google.com/file/d/1leaJoc0V89cSKsaUAQg99A2vxV4O_8or/view?usp=share_link</t>
  </si>
  <si>
    <t>https://drive.google.com/file/d/1L7Jl-nzl2sHJkIHUtfZQtzJy3udOwybh/view?usp=sharing</t>
  </si>
  <si>
    <t>Rajesh Das</t>
  </si>
  <si>
    <t>50204802445</t>
  </si>
  <si>
    <t>OGANDO</t>
  </si>
  <si>
    <t>https://drive.google.com/file/d/13EhETTrBAugtf2zixPLOXlXrCvch80HM/view?usp=share_link</t>
  </si>
  <si>
    <t>https://drive.google.com/file/d/1gsZgkV6uXFYXgcgsqhrFGx_APSLUo2Sb/view?usp=sharing</t>
  </si>
  <si>
    <t>Prodip Sarkar</t>
  </si>
  <si>
    <t>50204774188</t>
  </si>
  <si>
    <t>NDJTFU</t>
  </si>
  <si>
    <t>https://drive.google.com/file/d/16DCdvgeJnavvaEOvyTTZWkK94oPFA__K/view?usp=share_link</t>
  </si>
  <si>
    <t>https://drive.google.com/file/d/1NNJ4SHJvp_DF4iMvoxhI5Gq_u_OY_5Sc/view?usp=sharing</t>
  </si>
  <si>
    <t>Shib Prasad Sarkar</t>
  </si>
  <si>
    <t>502S4767913</t>
  </si>
  <si>
    <t>MGEACD</t>
  </si>
  <si>
    <t>https://drive.google.com/file/d/15RCiOFFlwFcXTP7qVU-omargrUm1eQ3s/view?usp=sharing</t>
  </si>
  <si>
    <t>https://drive.google.com/file/d/1GHZjIuX_LFOW3xmWlTfDgu0k_EmbAZF0/view?usp=sharing</t>
  </si>
  <si>
    <t>Khokan Kr. Roy</t>
  </si>
  <si>
    <t>50205708023</t>
  </si>
  <si>
    <t>YBIQXY</t>
  </si>
  <si>
    <t>https://drive.google.com/file/d/1u_nume8g3B8mxYfKvvJYuMU-11mCqzZG/view?usp=share_link</t>
  </si>
  <si>
    <t>https://drive.google.com/file/d/1pqjrbDhq9O0zBGLEOvjLQg7Z4CYsMq8l/view?usp=sharing</t>
  </si>
  <si>
    <t>Pampa Mandal</t>
  </si>
  <si>
    <t>50203515904</t>
  </si>
  <si>
    <t>GEDKJS</t>
  </si>
  <si>
    <t>F</t>
  </si>
  <si>
    <t>https://drive.google.com/file/d/1CFrT1jbSw-FreiTVg4KRWs9zXLvtyZge/view?usp=share_link</t>
  </si>
  <si>
    <t>https://drive.google.com/file/d/1B45341TpoKbP6MnbZ_Bw83yBktjk_EM7/view?usp=sharing</t>
  </si>
  <si>
    <t>Uttam Kumar Das</t>
  </si>
  <si>
    <t>50204802470</t>
  </si>
  <si>
    <t>YMWJDE</t>
  </si>
  <si>
    <t>https://drive.google.com/file/d/1N2rcU50sr1iTHZZGcpU_KNz8pwF6nWc1/view?usp=share_link</t>
  </si>
  <si>
    <t>https://drive.google.com/file/d/1Enf3qBfNrfjyzEytrYdY3F7FoeCAVqQi/view?usp=sharing</t>
  </si>
  <si>
    <t>Lakshmikanta Bala</t>
  </si>
  <si>
    <t>50200616564</t>
  </si>
  <si>
    <t>DWNLMH</t>
  </si>
  <si>
    <t>https://drive.google.com/file/d/1AR0lInsCY9vNCfNIjcssVVWJbgNRoHFs/view?usp=share_link</t>
  </si>
  <si>
    <t>https://drive.google.com/file/d/1E4xL4OQOC0pKJRMJvGWkHDWkMBHb4vuo/view?usp=sharing</t>
  </si>
  <si>
    <t>Sankar Das</t>
  </si>
  <si>
    <t>50206011378</t>
  </si>
  <si>
    <t>INISFZ</t>
  </si>
  <si>
    <t>https://drive.google.com/file/d/1OA9d908MyD6AnnhG7ODNWR585rZFpH-R/view?usp=share_link</t>
  </si>
  <si>
    <t>https://drive.google.com/file/d/1dbsm6Sqxn0tBM_iBs8-nPS8U46nG55rb/view?usp=sharing</t>
  </si>
  <si>
    <t>MRITUNJOY SARKAR</t>
  </si>
  <si>
    <t>53163120027</t>
  </si>
  <si>
    <t>IPSSNN</t>
  </si>
  <si>
    <t>UDAY DEY</t>
  </si>
  <si>
    <t>50200165980</t>
  </si>
  <si>
    <t>AMYKRM</t>
  </si>
  <si>
    <t>https://drive.google.com/file/d/1LddFDdOuw_QgY0RqM7gcZO3V7Bh-bi-v/view?usp=share_link</t>
  </si>
  <si>
    <t>ARGHA BALA</t>
  </si>
  <si>
    <t>50200162498</t>
  </si>
  <si>
    <t>BZLQZN</t>
  </si>
  <si>
    <t>https://drive.google.com/file/d/1bjWF3OvK7F3ILDxj7Nk_1RuSVhlnqRJ_/view?usp=sharing</t>
  </si>
  <si>
    <t>https://drive.google.com/file/d/1rircpX9Vd1ycxTlD5bTMm00yRRCB39eB/view?usp=share_link</t>
  </si>
  <si>
    <t>DEBABRATA SAHA</t>
  </si>
  <si>
    <t>50205618745</t>
  </si>
  <si>
    <t>ROYQSP</t>
  </si>
  <si>
    <t>https://drive.google.com/file/d/1mWmNd9haw7yU1P75U2kWuYgGlQ0OMyYJ/view?usp=sharing</t>
  </si>
  <si>
    <t>https://drive.google.com/file/d/19xwk-BTtmZk_3lMlutnieL0hahEu6Ku5/view?usp=share_link</t>
  </si>
  <si>
    <t>https://drive.google.com/file/d/1hx6_zcpWESnfkgzvYuOJBlijJp-gdXaX/view?usp=sharing</t>
  </si>
  <si>
    <t>DIPAK DAS</t>
  </si>
  <si>
    <t>50200178779</t>
  </si>
  <si>
    <t>RFJMPC</t>
  </si>
  <si>
    <t>https://drive.google.com/file/d/1brG9ly1PjvhkgyYzFvA-IzcCjXaQ3NqJ/view?usp=sharing</t>
  </si>
  <si>
    <t>https://drive.google.com/file/d/157kLXeMkGSGBt4O__GnYO04ny7ZpKEij/view?usp=sharing</t>
  </si>
  <si>
    <t>https://drive.google.com/file/d/1B62o8IEweJxdGwLhkZ_W9E831Ak8kWJt/view?usp=sharing</t>
  </si>
  <si>
    <t>VIKRAM SINGH MEENA</t>
  </si>
  <si>
    <t>50205673100</t>
  </si>
  <si>
    <t>BPBXJR</t>
  </si>
  <si>
    <t>https://drive.google.com/file/d/1S8p3folvOUrWQlXDsOCRWcGWYbOp6fz6/view?usp=sharing</t>
  </si>
  <si>
    <t>https://drive.google.com/file/d/1v8GO9Nvd0Xu9G7sdl6o7Mqc-w2mdOnr9/view?usp=sharing</t>
  </si>
  <si>
    <t>BISWAJIT DAS(SC)</t>
  </si>
  <si>
    <t>50262050040</t>
  </si>
  <si>
    <t>RCDIQZ</t>
  </si>
  <si>
    <t>https://drive.google.com/file/d/1DP3AlZWNGmocuI2c__jPPnl3g9kfe31m/view?usp=sharing</t>
  </si>
  <si>
    <t>https://drive.google.com/file/d/1b9tvBabwxZMmAa73uAl3mGjyNow2gZwC/view?usp=sharing</t>
  </si>
  <si>
    <t>https://drive.google.com/file/d/1VSxW6lzZIfhPkrnJ1pTEGsSahcd8loi8/view?usp=sharing</t>
  </si>
  <si>
    <t>SUMANGAL BISWAS(SC)</t>
  </si>
  <si>
    <t>50262089497</t>
  </si>
  <si>
    <t>WLRRQW</t>
  </si>
  <si>
    <t>https://drive.google.com/file/d/1t4hZ57tpkUBAJV4Uig7ZwBkAA2Otp5bc/view?usp=sharing</t>
  </si>
  <si>
    <t>https://drive.google.com/file/d/16czJNzMl7gFNb89OKMAHlaFwb3yKhXhr/view?usp=drive_link</t>
  </si>
  <si>
    <t>https://drive.google.com/file/d/18gJSCIqqWg8okzExMHNhmWhXnVzg0qVk/view?usp=sharing</t>
  </si>
  <si>
    <t>BACCHU BISWAS</t>
  </si>
  <si>
    <t>50236401858</t>
  </si>
  <si>
    <t>UMPYLJ</t>
  </si>
  <si>
    <t>https://drive.google.com/file/d/1nTv65o7MtaXLdqcGAhp0UP8wB0vyE4hr/view?usp=sharing</t>
  </si>
  <si>
    <t>https://drive.google.com/file/d/1EI3p5zFUKQcGuw1ssjaB13rmC01nYGwC/view?usp=sharing</t>
  </si>
  <si>
    <t>https://drive.google.com/file/d/1WSYxyT7nhGdAxVRIrL0OND5LqqXNCc24/view?usp=sharing</t>
  </si>
  <si>
    <t>DIPAYAN BISWAS</t>
  </si>
  <si>
    <t>50205618319</t>
  </si>
  <si>
    <t>LIOJFQ</t>
  </si>
  <si>
    <t>https://drive.google.com/file/d/1BiAA631FxAIVckwMuTTEZyXDicDTCFKv/view?usp=sharing</t>
  </si>
  <si>
    <t>https://drive.google.com/file/d/1jZT8Y5b5D-YsAwjQW1RIcaKHZ4YqQC-d/view?usp=share_link</t>
  </si>
  <si>
    <t>https://drive.google.com/file/d/1gksP8xUDedkzg4SlgXIs7013WXcxHv6Z/view?usp=sharing</t>
  </si>
  <si>
    <t>PRADEEP KUMAR KERKETTA</t>
  </si>
  <si>
    <t>53162140162</t>
  </si>
  <si>
    <t>TLOYBS</t>
  </si>
  <si>
    <t>https://drive.google.com/file/d/1KLBgMdUYDhaImG-7bjHEyjWuTFGQDlln/view?usp=sharing</t>
  </si>
  <si>
    <t>https://drive.google.com/file/d/1eh21q_9nr6KaxqtMsoViav2H-wDQyW6a/view?usp=drive_link</t>
  </si>
  <si>
    <t>https://drive.google.com/file/d/18VlpQZSYwhAJhPNkMZDYJRlhl1Of_2GJ/view?usp=sharing</t>
  </si>
  <si>
    <t>Biswajit Biswas/V</t>
  </si>
  <si>
    <t>15209MAS367</t>
  </si>
  <si>
    <t>BNSKLG</t>
  </si>
  <si>
    <t>https://drive.google.com/file/d/1w4Ipu0PKQwo1wFs4mgjh5e_WOGoyYj6E/view?usp=sharing</t>
  </si>
  <si>
    <t>https://drive.google.com/file/d/1mRUrXlVrgbtGLF7ehKIp5g6luEl1BSzp/view?usp=drive_link</t>
  </si>
  <si>
    <t>https://drive.google.com/file/d/16147ofeSLVB3F3LsNbTL20WZYK3UgDrC/view?usp=sharing</t>
  </si>
  <si>
    <t>SURAJIT SAHA</t>
  </si>
  <si>
    <t>50714507117</t>
  </si>
  <si>
    <t>SKEJTL</t>
  </si>
  <si>
    <t>https://drive.google.com/file/d/1DX1F7bLVRjQTpMp55hnkWX85PTAn2SVf/view?usp=sharing</t>
  </si>
  <si>
    <t>https://drive.google.com/file/d/16alLd2lE8BkoUiNJbOlMN9fBt9AbjS1F/view?usp=sharing</t>
  </si>
  <si>
    <t>https://drive.google.com/file/d/17fRPi2rmMFrxs51xgXJzaztiPgAqa4C-/view?usp=sharing</t>
  </si>
  <si>
    <t>42610D00124</t>
  </si>
  <si>
    <t>LENWQP</t>
  </si>
  <si>
    <t>CHAYAN PATHAK</t>
  </si>
  <si>
    <t>3829801364</t>
  </si>
  <si>
    <t>QLOBUC</t>
  </si>
  <si>
    <t>https://drive.google.com/file/d/1Ant7Q3TBnzxiCYQAV5lohDtfTWFtNBu6/view?usp=sharing</t>
  </si>
  <si>
    <t>Aritra Sarkar</t>
  </si>
  <si>
    <t>50205629858</t>
  </si>
  <si>
    <t>RWIUQC</t>
  </si>
  <si>
    <t>https://drive.google.com/file/d/1G_30nnq_F3ar_PjfsK7hd6q1BEtMpczj/view?usp=sharing</t>
  </si>
  <si>
    <t>Atanu Sarkar</t>
  </si>
  <si>
    <t>50205630009</t>
  </si>
  <si>
    <t>PUDPTB</t>
  </si>
  <si>
    <t>https://drive.google.com/file/d/1Io8av0wTJwJPWm6OiaCDOwdS8gWMv1Iv/view?usp=sharing</t>
  </si>
  <si>
    <t>Avinash Kumar Priya</t>
  </si>
  <si>
    <t>50205630691</t>
  </si>
  <si>
    <t>KWDMHG</t>
  </si>
  <si>
    <t>Ayan Kumar Paul</t>
  </si>
  <si>
    <t>50200409142</t>
  </si>
  <si>
    <t>https://drive.google.com/file/d/1t4OjtNZogH_plbFGCd7NlFy0eqjrt-SE/view?usp=sharing</t>
  </si>
  <si>
    <t>Arnab Biswas</t>
  </si>
  <si>
    <t>3829801344</t>
  </si>
  <si>
    <t>Biswajit Biswas</t>
  </si>
  <si>
    <t>50200401300</t>
  </si>
  <si>
    <t>NBOGZA</t>
  </si>
  <si>
    <t>Banti Mondal</t>
  </si>
  <si>
    <t>50205629962</t>
  </si>
  <si>
    <t>KYEPOZ</t>
  </si>
  <si>
    <t>https://drive.google.com/file/d/138U_vkNNLDUGtQDlxYIjLtdLjBBmivwz/view?usp=sharing</t>
  </si>
  <si>
    <t>Chandan Roy Choudhury</t>
  </si>
  <si>
    <t>50200402041</t>
  </si>
  <si>
    <t>WWTTFJ</t>
  </si>
  <si>
    <t>Debasish Ghosh</t>
  </si>
  <si>
    <t>502H4768917</t>
  </si>
  <si>
    <t>SJSGUG</t>
  </si>
  <si>
    <t>Debjit Barman</t>
  </si>
  <si>
    <t>42605D00058</t>
  </si>
  <si>
    <t>FYLUBI</t>
  </si>
  <si>
    <t>Gouranga Biswas</t>
  </si>
  <si>
    <t>50208040242</t>
  </si>
  <si>
    <t>XORUUD</t>
  </si>
  <si>
    <t>Kamal Malo</t>
  </si>
  <si>
    <t>53199275260</t>
  </si>
  <si>
    <t>HMCBZZ</t>
  </si>
  <si>
    <t>Kaushik Saha</t>
  </si>
  <si>
    <t>50200409264</t>
  </si>
  <si>
    <t>Manoj Kumar Sah</t>
  </si>
  <si>
    <t>3829801338</t>
  </si>
  <si>
    <t>Nemai Pal</t>
  </si>
  <si>
    <t>50714507052</t>
  </si>
  <si>
    <t>Prakash Gupta</t>
  </si>
  <si>
    <t>3829801339</t>
  </si>
  <si>
    <t>Pabitra Biswas</t>
  </si>
  <si>
    <t>50200409254</t>
  </si>
  <si>
    <t>Pinaki Chakraborty</t>
  </si>
  <si>
    <t>50209008718</t>
  </si>
  <si>
    <t>NEDOUQ</t>
  </si>
  <si>
    <t>Palash Ch. Dhali</t>
  </si>
  <si>
    <t>50200400935</t>
  </si>
  <si>
    <t>JODPZT</t>
  </si>
  <si>
    <t>Pathik Hazra</t>
  </si>
  <si>
    <t>3829801353</t>
  </si>
  <si>
    <t>Rana Chakraborty</t>
  </si>
  <si>
    <t>42607D00189</t>
  </si>
  <si>
    <t>BFHOGY</t>
  </si>
  <si>
    <t>Ranajay Dhar</t>
  </si>
  <si>
    <t>50200409186</t>
  </si>
  <si>
    <t>ONPCGI</t>
  </si>
  <si>
    <t>https://drive.google.com/file/d/1WqGjYi9dAMsQ2Bntyax06T-vY5PpRHyx/view?usp=sharing</t>
  </si>
  <si>
    <t>Rajen Sarkar</t>
  </si>
  <si>
    <t>50200409234</t>
  </si>
  <si>
    <t>WBUALG</t>
  </si>
  <si>
    <t>Rajib Das</t>
  </si>
  <si>
    <t>502H4768516</t>
  </si>
  <si>
    <t>WGWKZN</t>
  </si>
  <si>
    <t>Sukhen Karmakar</t>
  </si>
  <si>
    <t>502H4768541</t>
  </si>
  <si>
    <t>NGYCDZ</t>
  </si>
  <si>
    <t>Sumita Dalal</t>
  </si>
  <si>
    <t>50205629950</t>
  </si>
  <si>
    <t>UUJTPA</t>
  </si>
  <si>
    <t>https://drive.google.com/file/d/1JJmibAH9jaGDtYwlth2wrdqe_cVRvmxa/view?usp=sharing</t>
  </si>
  <si>
    <t>Subrajoyti Mandal</t>
  </si>
  <si>
    <t>3829801356</t>
  </si>
  <si>
    <t>Siddhartha Talukder</t>
  </si>
  <si>
    <t>50200401290</t>
  </si>
  <si>
    <t>TIZDIW</t>
  </si>
  <si>
    <t>Tanmoy Chakraborty</t>
  </si>
  <si>
    <t>50205630678</t>
  </si>
  <si>
    <t>DUDNWF</t>
  </si>
  <si>
    <t>Utsab Biswas</t>
  </si>
  <si>
    <t>3829801360</t>
  </si>
  <si>
    <t>Abhishek Dey</t>
  </si>
  <si>
    <t>50205630605</t>
  </si>
  <si>
    <t>TBGXKR</t>
  </si>
  <si>
    <t>https://drive.google.com/file/d/1kXu7o7ClzM8el7kLR1GSVgCdbmSR-raW/view?usp=sharing</t>
  </si>
  <si>
    <t>Amit Kumar De</t>
  </si>
  <si>
    <t>50205630654</t>
  </si>
  <si>
    <t>TQAHUW</t>
  </si>
  <si>
    <t>Aman Kumar Mandal</t>
  </si>
  <si>
    <t>50205632171</t>
  </si>
  <si>
    <t>CKNHUL</t>
  </si>
  <si>
    <t>Chayan Chakraborty</t>
  </si>
  <si>
    <t>50205630666</t>
  </si>
  <si>
    <t>CZWGHF</t>
  </si>
  <si>
    <t>Kartik Kanji</t>
  </si>
  <si>
    <t>50205632158</t>
  </si>
  <si>
    <t>JLXQUB</t>
  </si>
  <si>
    <t>Prasad Bagchi</t>
  </si>
  <si>
    <t>50205629986</t>
  </si>
  <si>
    <t>UONIXF</t>
  </si>
  <si>
    <t>https://drive.google.com/file/d/1WvT7ca_BEf5eeEiTkj9xHH-Hztj1Do8K/view?usp=sharing</t>
  </si>
  <si>
    <t>Prem Nath</t>
  </si>
  <si>
    <t>27629802090</t>
  </si>
  <si>
    <t>WPWNYC</t>
  </si>
  <si>
    <t>Purnendu Bikas Bhowmik</t>
  </si>
  <si>
    <t>53109910736</t>
  </si>
  <si>
    <t>CDBQSE</t>
  </si>
  <si>
    <t>Sandipan Das</t>
  </si>
  <si>
    <t>50205630629</t>
  </si>
  <si>
    <t>HTMWDU</t>
  </si>
  <si>
    <t>Surajit Das</t>
  </si>
  <si>
    <t>50205630642</t>
  </si>
  <si>
    <t>YXCYLY</t>
  </si>
  <si>
    <t>Sarif Uddin</t>
  </si>
  <si>
    <t>50205629846</t>
  </si>
  <si>
    <t>FQXLGP</t>
  </si>
  <si>
    <t>https://drive.google.com/file/d/1VKwOsoaJgU58nSdXsSHnkZ7FpzWxHMNb/view?usp=sharing</t>
  </si>
  <si>
    <t>Shambhu Roy</t>
  </si>
  <si>
    <t>50205632160</t>
  </si>
  <si>
    <t>SFWXLN</t>
  </si>
  <si>
    <t>2025-06-25.</t>
  </si>
  <si>
    <t>Amit Kr. Roy</t>
  </si>
  <si>
    <t>50200400932</t>
  </si>
  <si>
    <t>YHJCSB</t>
  </si>
  <si>
    <t>Bejoy Ojha</t>
  </si>
  <si>
    <t>50203500883</t>
  </si>
  <si>
    <t>QKHSKP</t>
  </si>
  <si>
    <t>Bidyut Debnath</t>
  </si>
  <si>
    <t>502H4768668</t>
  </si>
  <si>
    <t>IGZNWL</t>
  </si>
  <si>
    <t>https://drive.google.com/file/d/1iAJHsqGXCy7NcVzGHcIKyII4hgpwTvKM/view?usp=sharing</t>
  </si>
  <si>
    <t>Bhaskar Dey</t>
  </si>
  <si>
    <t>424N0650406</t>
  </si>
  <si>
    <t>Dinesh Gond</t>
  </si>
  <si>
    <t>502H4751619</t>
  </si>
  <si>
    <t>KAXRQE</t>
  </si>
  <si>
    <t>SPAD involved</t>
  </si>
  <si>
    <t>Punishment for 05 years Non Run duty</t>
  </si>
  <si>
    <t>https://drive.google.com/file/d/1mDPF7BkzDNaackz69YydJcIZ5EX0iTqM/view?usp=sharing</t>
  </si>
  <si>
    <t>Krishna Das</t>
  </si>
  <si>
    <t>3429800642</t>
  </si>
  <si>
    <t>OARKDQ</t>
  </si>
  <si>
    <t>Saraswati Ghosh</t>
  </si>
  <si>
    <t>50714507302</t>
  </si>
  <si>
    <t>ZGGDWY</t>
  </si>
  <si>
    <t>Prabir Dey</t>
  </si>
  <si>
    <t>50200400934</t>
  </si>
  <si>
    <t>XQFTMX</t>
  </si>
  <si>
    <t>https://drive.google.com/file/d/1AADjTx3K1xo_Uo8VbPR-Igu5Sta8t0i-/view?usp=sharing</t>
  </si>
  <si>
    <t>Rajib Ghosh</t>
  </si>
  <si>
    <t>50204768462</t>
  </si>
  <si>
    <t>WWMYUR</t>
  </si>
  <si>
    <t>https://drive.google.com/file/d/15LSWjq99bVxEfjZt9VoiRRKvOZUUP_4x/view?usp=sharing</t>
  </si>
  <si>
    <t>Rajesh Kr. Ray</t>
  </si>
  <si>
    <t>50200401301</t>
  </si>
  <si>
    <t>GDOHTM</t>
  </si>
  <si>
    <t>Sudip Kr. Bhattacheryya</t>
  </si>
  <si>
    <t>50203501103</t>
  </si>
  <si>
    <t>SGHPTJ</t>
  </si>
  <si>
    <t>Sujoy Sekhar Roy</t>
  </si>
  <si>
    <t>424N0550177</t>
  </si>
  <si>
    <t>QSIQZR</t>
  </si>
  <si>
    <t>Soumen Kr. Paul</t>
  </si>
  <si>
    <t>50200089126</t>
  </si>
  <si>
    <t>OKSEUF</t>
  </si>
  <si>
    <t>Sajal Ghosh</t>
  </si>
  <si>
    <t>5020702032</t>
  </si>
  <si>
    <t>ZMIALH</t>
  </si>
  <si>
    <t>Tapas Biswas</t>
  </si>
  <si>
    <t>50200400936</t>
  </si>
  <si>
    <t>CZWQRO</t>
  </si>
  <si>
    <t>Uday Kumar</t>
  </si>
  <si>
    <t>39315AC0533</t>
  </si>
  <si>
    <t>DWMYSM</t>
  </si>
  <si>
    <t>Ajit Nag</t>
  </si>
  <si>
    <t>50221200786</t>
  </si>
  <si>
    <t>WNERTF</t>
  </si>
  <si>
    <t>Arindam Halder</t>
  </si>
  <si>
    <t>50205630587</t>
  </si>
  <si>
    <t>RTCLUS</t>
  </si>
  <si>
    <t>https://drive.google.com/file/d/16oTglUMACkVcnS-sCp2_nW_b3rEtLVuS/view?usp=sharing</t>
  </si>
  <si>
    <t>Debasish Karmakar</t>
  </si>
  <si>
    <t>3829801348</t>
  </si>
  <si>
    <t>https://drive.google.com/file/d/1z_QJmmMiz6HESr-Ua_4ml9p-dJ4wqlmr/view?usp=sharing</t>
  </si>
  <si>
    <t>Gouranga Mandal</t>
  </si>
  <si>
    <t>50200404169</t>
  </si>
  <si>
    <t>DGTOXI</t>
  </si>
  <si>
    <t>https://drive.google.com/file/d/1dHH8kxjCereWamdepZaKK6wDlgMEmdAB/view?usp=sharing</t>
  </si>
  <si>
    <t>Rumkey SadhuKhan</t>
  </si>
  <si>
    <t>50205630617</t>
  </si>
  <si>
    <t>HIDMBS</t>
  </si>
  <si>
    <t>https://drive.google.com/file/d/1Z1F1PBO8rmZrA4CjXGVaDako0ziWb4mg/view?usp=sharing</t>
  </si>
  <si>
    <t>Suman Sikdar</t>
  </si>
  <si>
    <t>50205619998</t>
  </si>
  <si>
    <t>TKFQJH</t>
  </si>
  <si>
    <t>https://drive.google.com/file/d/1w1Rsit125AFrZt8njKs4CN5gf78YeTYI/view?usp=sharing</t>
  </si>
  <si>
    <t>Somnath Paul</t>
  </si>
  <si>
    <t>50205618915</t>
  </si>
  <si>
    <t>WIDKOI</t>
  </si>
  <si>
    <t>Samir Karmakar</t>
  </si>
  <si>
    <t>39304AC0399</t>
  </si>
  <si>
    <t>EPCLDR</t>
  </si>
  <si>
    <t>NITAI CHANDRA DAS</t>
  </si>
  <si>
    <t>53163130545</t>
  </si>
  <si>
    <t>UUYSEW</t>
  </si>
  <si>
    <t>https://drive.google.com/file/d/1l31uvdQVzCVyp5z9Lz1OlvZc_8D3vrvc/view?usp=sharing</t>
  </si>
  <si>
    <t>https://drive.google.com/file/d/1CuLENwRXdwemUsmP2MLsgJYQAAMV7Q2g/view?usp=sharing</t>
  </si>
  <si>
    <t>PINTU SARDAR</t>
  </si>
  <si>
    <t>53162131064</t>
  </si>
  <si>
    <t>LFUOEE</t>
  </si>
  <si>
    <t>https://drive.google.com/file/d/1qwtX-pJ8KGm7xrRIqJFgnodQO6KW-awM/view?usp=sharing</t>
  </si>
  <si>
    <t>https://drive.google.com/file/d/1FMXBkj7uFZimhmyyH2EjWxMDsKfXF3gp/view?usp=sharing</t>
  </si>
  <si>
    <t>SHANTANU BISWAS</t>
  </si>
  <si>
    <t>50205680890</t>
  </si>
  <si>
    <t>RJOADX</t>
  </si>
  <si>
    <t>https://drive.google.com/file/d/1DuGXNYnu1elRF4s3Na2sroLCm4SBsh1I/view?usp=sharing</t>
  </si>
  <si>
    <t>https://drive.google.com/file/d/1QkO7coWBhiXOxeU9YCE8wgopitajAzhA/view?usp=sharing</t>
  </si>
  <si>
    <t>RABI DEBNATH</t>
  </si>
  <si>
    <t>53120134347</t>
  </si>
  <si>
    <t>NXHAUH</t>
  </si>
  <si>
    <t>https://drive.google.com/file/d/1TPn2jX0iu8WZQozu5-6BEU-4XMq6ve9N/view?usp=sharing</t>
  </si>
  <si>
    <t>https://drive.google.com/file/d/1sWvC9HiXYIi6yP4L34eEJjXW9ZkEaayp/view?usp=sharing</t>
  </si>
  <si>
    <t>SAHIL KUMAR</t>
  </si>
  <si>
    <t>18429802578</t>
  </si>
  <si>
    <t>NKTWQI</t>
  </si>
  <si>
    <t>https://drive.google.com/file/d/1qOyxXh_Df2Szgt7wLuVI18g_4FYc44Ij/view?usp=sharing</t>
  </si>
  <si>
    <t>https://drive.google.com/file/d/1rvpU0tDfIwdY3xaxx5Vpkps3eLohLhbi/view?usp=sharing</t>
  </si>
  <si>
    <t>Raju Kumar Sharma</t>
  </si>
  <si>
    <t>6229801256</t>
  </si>
  <si>
    <t>GMZZBX</t>
  </si>
  <si>
    <t>https://drive.google.com/file/d/1OyTl2OvSabK-8bW65_nxdUOR_j3pKvpd/view?usp=sharing</t>
  </si>
  <si>
    <t>https://drive.google.com/file/d/12tK6ywBkzOj0KqtRXfgWdBvyfVbijjhi/view?usp=sharing</t>
  </si>
  <si>
    <t>SUBHRAJIT GANGULY</t>
  </si>
  <si>
    <t>53199274530</t>
  </si>
  <si>
    <t>LNISDC</t>
  </si>
  <si>
    <t>https://drive.google.com/file/d/1W3sNa4_TB7E6VRa2J80LQIYxo6HAgPI5/view?usp=sharing</t>
  </si>
  <si>
    <t>https://drive.google.com/file/d/1rpM3ckh2pD-fa41ykPO1U549OgARGVYA/view?usp=sharing</t>
  </si>
  <si>
    <t>PRODIP BHATTACHARJEE</t>
  </si>
  <si>
    <t>53199274607</t>
  </si>
  <si>
    <t>LPKHCB</t>
  </si>
  <si>
    <t>https://drive.google.com/file/d/1t0Gzs-Fn839jgWoruwFDDipukEA0Jjbt/view?usp=sharing</t>
  </si>
  <si>
    <t>https://drive.google.com/file/d/1BNjNN_kWGsxi-UCfylvXWFdEPmrz5Qyt/view?usp=sharing</t>
  </si>
  <si>
    <t>AKIBILLAH MANDAL</t>
  </si>
  <si>
    <t>53163130552</t>
  </si>
  <si>
    <t>YXWGFS</t>
  </si>
  <si>
    <t>https://drive.google.com/file/d/13WGwGj-64pDBZkv8tT1WkzFDPoTpF-tw/view?usp=sharing</t>
  </si>
  <si>
    <t>https://drive.google.com/file/d/1DW2C8KBnDxmowOoLmlVVYEFzISbIzlx7/view?usp=sharing</t>
  </si>
  <si>
    <t>53163130571</t>
  </si>
  <si>
    <t>UPDELY</t>
  </si>
  <si>
    <t>https://drive.google.com/file/d/1VJUQaWzpcvhVil_RGwoJP8dD9Rn5kn0Q/view?usp=sharing</t>
  </si>
  <si>
    <t>https://drive.google.com/file/d/1dvvVQswFVUJ8MKu3LzY3cMrEhF3TI0Yd/view?usp=sharing</t>
  </si>
  <si>
    <t>AYAN KUMAR BISWAS</t>
  </si>
  <si>
    <t>3329804119</t>
  </si>
  <si>
    <t>ALOIOX</t>
  </si>
  <si>
    <t>https://drive.google.com/file/d/1xsTdzg4qlXWQWNBGLLvfDfCOvGiaPVT1/view?usp=sharing</t>
  </si>
  <si>
    <t>https://drive.google.com/file/d/1R9ntJ2-jZyJHllWRPDoqmV_Jnm2gYNNs/view?usp=sharing</t>
  </si>
  <si>
    <t>UTPAL KANRAR</t>
  </si>
  <si>
    <t>50714507155</t>
  </si>
  <si>
    <t>LMTIKX</t>
  </si>
  <si>
    <t>https://drive.google.com/file/d/1kl7bPUw9Nmxtw79LnOtdDzBjpm0vvfDC/view?usp=sharing</t>
  </si>
  <si>
    <t>https://drive.google.com/file/d/1tOKmq96n8DM5HA72IM02O288w6oXQq9W/view?usp=sharing</t>
  </si>
  <si>
    <t>RAVI SHANKAR PRASAD</t>
  </si>
  <si>
    <t>126NP604027</t>
  </si>
  <si>
    <t>CYKMQH</t>
  </si>
  <si>
    <t>https://drive.google.com/file/d/1j40rmssVkUf7iF-gT7T5pgqhOi37w0Pn/view?usp=sharing</t>
  </si>
  <si>
    <t>https://drive.google.com/file/d/1KeVwquj5SEj1b0O_gmX0HI173V5wVXPw/view?usp=sharing</t>
  </si>
  <si>
    <t>PRASANTA KUMAR DAS</t>
  </si>
  <si>
    <t>247IK080127</t>
  </si>
  <si>
    <t>DJDDRH</t>
  </si>
  <si>
    <t>https://drive.google.com/file/d/1D1R8CuKICgdkJ8mXdGqapDvTv5OnGG9h/view?usp=sharing</t>
  </si>
  <si>
    <t>KAPIL BISWAS</t>
  </si>
  <si>
    <t>53163130111</t>
  </si>
  <si>
    <t>LRPHUF</t>
  </si>
  <si>
    <t>https://drive.google.com/file/d/1T5ESr35QKWexrTzuQeKIWr_c0xWG-poV/view?usp=sharing</t>
  </si>
  <si>
    <t>https://drive.google.com/file/d/1y9IhHELzz_XQln0yV1oM5BrkGAMlixKw/view?usp=sharing</t>
  </si>
  <si>
    <t>ANUP DEBNATH</t>
  </si>
  <si>
    <t>50320083180</t>
  </si>
  <si>
    <t>EUMWSC</t>
  </si>
  <si>
    <t>https://drive.google.com/file/d/1HfyYXZsFtHEp-D0Cj2bTcCgesQhqTq2a/view?usp=sharing</t>
  </si>
  <si>
    <t>https://drive.google.com/file/d/19TZUwEmLhRQ6wBaPmcHR-sJQjE4YQ1i0/view?usp=sharing</t>
  </si>
  <si>
    <t>https://drive.google.com/file/d/1XxVEMMEw5nFf0hZ9viurZ4HLCzgxnVKM/view?usp=share_link</t>
  </si>
  <si>
    <t>DIPANKAR SUR</t>
  </si>
  <si>
    <t>53120134474</t>
  </si>
  <si>
    <t>YKXBR</t>
  </si>
  <si>
    <t>https://drive.google.com/file/d/1U7jiEzW8mOvRpwYg312zPJFJ9WV9WaTL/view?usp=sharing</t>
  </si>
  <si>
    <t>https://drive.google.com/file/d/1zcIbaRs0XSpC9xU3UdM53kDaOYETb6Wg/view?usp=sharing</t>
  </si>
  <si>
    <t>AMIT KUMAR PAUL</t>
  </si>
  <si>
    <t>3429800269</t>
  </si>
  <si>
    <t>OZGWGG</t>
  </si>
  <si>
    <t>https://drive.google.com/file/d/1BpxLwTd7Q5u0aW1jKfQz9VgpjEJYnX3K/view?usp=sharing</t>
  </si>
  <si>
    <t>https://drive.google.com/file/d/1FB7XJ8DQJ6ee8IpJwES56zzY7kndmyR8/view?usp=sharing</t>
  </si>
  <si>
    <t>SUPRIYA ADHIKARY</t>
  </si>
  <si>
    <t>53120134387</t>
  </si>
  <si>
    <t>JYEXTD</t>
  </si>
  <si>
    <t>https://drive.google.com/file/d/1jk87dsEx7UZ113fzRnVj_ZuchEmZUQu4/view?usp=sharing</t>
  </si>
  <si>
    <t>https://drive.google.com/file/d/1KPrDD-32OYxUiyV-Bp1XdoAb2a2w5MQI/view?usp=sharing</t>
  </si>
  <si>
    <t>INDRAJIT DEY</t>
  </si>
  <si>
    <t>53163130546</t>
  </si>
  <si>
    <t>TFXKKH</t>
  </si>
  <si>
    <t>https://drive.google.com/file/d/1N1IvJE7qxxlZxCwG7BQffxZAJqcWjpnD/view?usp=sharing</t>
  </si>
  <si>
    <t>https://drive.google.com/file/d/1hr8oEUw5-q5YJa8HCh0_3MfWM_MVjIT7/view?usp=sharing</t>
  </si>
  <si>
    <t>SOMNATH SHIL</t>
  </si>
  <si>
    <t>53162131012</t>
  </si>
  <si>
    <t>QGHJJQ</t>
  </si>
  <si>
    <t>https://drive.google.com/file/d/1AUXueofqW8SR9yQgaVEVJymMDidxAWFF/view?usp=sharing</t>
  </si>
  <si>
    <t>https://drive.google.com/file/d/1qh1Xu_zdkjSviZy0JtOdJh_GJFgVQd-5/view?usp=sharing</t>
  </si>
  <si>
    <t>Tanushree Das</t>
  </si>
  <si>
    <t>12329803565</t>
  </si>
  <si>
    <t>FDYINI</t>
  </si>
  <si>
    <t>Ranjit kumar/DSL</t>
  </si>
  <si>
    <t>50412024363</t>
  </si>
  <si>
    <t>QHHYFD</t>
  </si>
  <si>
    <t>Prabhat Ranjan/DSL</t>
  </si>
  <si>
    <t>410753862</t>
  </si>
  <si>
    <t>ATKUUE</t>
  </si>
  <si>
    <t>Md. Firoj Mondal/DSL</t>
  </si>
  <si>
    <t>3529802096</t>
  </si>
  <si>
    <t>WIUTYN</t>
  </si>
  <si>
    <t>https://drive.google.com/file/d/1SN5gHLsRNC0qFEkJ-c-7Q7lt8N9elhit/view?usp=sharing</t>
  </si>
  <si>
    <t>Sumit Chakroborty/DSL</t>
  </si>
  <si>
    <t>24529803870</t>
  </si>
  <si>
    <t>HEXEPF</t>
  </si>
  <si>
    <t>https://drive.google.com/file/d/1FFHpnNN4RSKUu4NpxwtsyZToylV9JOx9/view?usp=sharing</t>
  </si>
  <si>
    <t>Krisanu Nandy/DSL</t>
  </si>
  <si>
    <t>3229805373</t>
  </si>
  <si>
    <t>UTOHTM</t>
  </si>
  <si>
    <t>https://drive.google.com/file/d/15xTC5ytdBQ4BI7wBSuaH_X2eR520p39b/view?usp=sharing</t>
  </si>
  <si>
    <t>Prithwiraj Biswas/DSL</t>
  </si>
  <si>
    <t>3229805420</t>
  </si>
  <si>
    <t>DUPQOS</t>
  </si>
  <si>
    <t>https://drive.google.com/file/d/1xxIbcNT_DGnwDUhOrtXnnu0mo6J89XJ8/view?usp=sharing</t>
  </si>
  <si>
    <t>Subhadip Halder</t>
  </si>
  <si>
    <t>12329802264</t>
  </si>
  <si>
    <t>FDHNAF</t>
  </si>
  <si>
    <t>https://drive.google.com/file/d/1YYQEdFRuxkqg2RZjyDVr0xfcQLsMoH_e/view?usp=sharing</t>
  </si>
  <si>
    <t>Anirban Biswas</t>
  </si>
  <si>
    <t>Akhilesh Kr. Chaurasiya</t>
  </si>
  <si>
    <t>3329804646</t>
  </si>
  <si>
    <t>Deb Kumar Paul</t>
  </si>
  <si>
    <t>15209MAS216</t>
  </si>
  <si>
    <t>https://drive.google.com/file/d/1uWydff9FZVkaoZ4j3rWaWWAvmCSBWqs_/view?usp=sharing</t>
  </si>
  <si>
    <t>Dibyendu Gayen</t>
  </si>
  <si>
    <t>39208AB0440</t>
  </si>
  <si>
    <t>https://drive.google.com/file/d/1Je-6vDwzrrG_6RFYlDk3SUtw1ms5p_T1/view?usp=sharing</t>
  </si>
  <si>
    <t>Gourab Mridha</t>
  </si>
  <si>
    <t>50714507162</t>
  </si>
  <si>
    <t>https://drive.google.com/file/d/1uqnZA5H52hQ9iR0kcLbm0L2RRgkL-14A/view?usp=sharing</t>
  </si>
  <si>
    <t>https://drive.google.com/file/d/1F2q5jdma2XLfqLZ2e490EmBvv_fxUVBo/view?usp=sharing</t>
  </si>
  <si>
    <t>Partha Pratim Mallick</t>
  </si>
  <si>
    <t>42606D00048</t>
  </si>
  <si>
    <t>Partha Sarathi Biswas</t>
  </si>
  <si>
    <t>12929800607</t>
  </si>
  <si>
    <t>Rajesh Mondal</t>
  </si>
  <si>
    <t>3529802094</t>
  </si>
  <si>
    <t>Subham Pratap Gupta</t>
  </si>
  <si>
    <t>3329804654</t>
  </si>
  <si>
    <t>Tuhin Subhra Mitra</t>
  </si>
  <si>
    <t>53120134357</t>
  </si>
  <si>
    <t>https://drive.google.com/file/d/12zWo8g4IIASH2kbYV-ytLdwxQ1ytB_NW/view?usp=sharing</t>
  </si>
  <si>
    <t>Vishal Mall</t>
  </si>
  <si>
    <t>3329804640</t>
  </si>
  <si>
    <t>Arup Das</t>
  </si>
  <si>
    <t>18229806434</t>
  </si>
  <si>
    <t>Chandan Prasad</t>
  </si>
  <si>
    <t>3329804660</t>
  </si>
  <si>
    <t>Devi Lal Meena</t>
  </si>
  <si>
    <t>3329804647</t>
  </si>
  <si>
    <t>Debabrata Biswas</t>
  </si>
  <si>
    <t>15207MAS064</t>
  </si>
  <si>
    <t>CMFTJL</t>
  </si>
  <si>
    <t>https://drive.google.com/file/d/1R_9gUW4nr3ExChZ3ype86BOMjGES229K/view?usp=sharing</t>
  </si>
  <si>
    <t>Md. Wayzul Haque Alam</t>
  </si>
  <si>
    <t>42614D00345</t>
  </si>
  <si>
    <t>Protik Sarkar</t>
  </si>
  <si>
    <t>18229806463</t>
  </si>
  <si>
    <t>Ashish Biswas</t>
  </si>
  <si>
    <t>24729800596</t>
  </si>
  <si>
    <t>Hitesh Kumar Verma</t>
  </si>
  <si>
    <t>3329804642</t>
  </si>
  <si>
    <t>Madhu Das</t>
  </si>
  <si>
    <t>3829801096</t>
  </si>
  <si>
    <t>Nilay Biswas</t>
  </si>
  <si>
    <t>424N1050221</t>
  </si>
  <si>
    <t>https://drive.google.com/file/d/1l2Oixf8N3C6qotG-CV7zOpFUIK0Gr8-R/view?usp=sharing</t>
  </si>
  <si>
    <t>Pramod Thakur</t>
  </si>
  <si>
    <t>2421E133503</t>
  </si>
  <si>
    <t>CPPEDU</t>
  </si>
  <si>
    <t>Palash Mondal</t>
  </si>
  <si>
    <t>50714403097</t>
  </si>
  <si>
    <t>https://drive.google.com/file/d/1eTc2Pu0b_kwqPL6ulj5TgKTmj0COAzDC/view?usp=sharing</t>
  </si>
  <si>
    <t>3429802236</t>
  </si>
  <si>
    <t>https://drive.google.com/file/d/1Vw70yBY-UoyVdYhOGL8E9w3nr02MIdtX/view?usp=sharing</t>
  </si>
  <si>
    <t>Sanjeet Gupta</t>
  </si>
  <si>
    <t>24729800600</t>
  </si>
  <si>
    <t>Arvind Kumar Yadav</t>
  </si>
  <si>
    <t>3329804639</t>
  </si>
  <si>
    <t>Goutam Sarkar</t>
  </si>
  <si>
    <t>15209MAS315</t>
  </si>
  <si>
    <t>GPNTPI</t>
  </si>
  <si>
    <t>https://drive.google.com/file/d/1Dba2n9paDOcnVRxM-xf3IDHBPD20a6KA/view?usp=sharing</t>
  </si>
  <si>
    <t>Jitendra Kumar</t>
  </si>
  <si>
    <t>03329804895</t>
  </si>
  <si>
    <t>Nitish Kumar Singh</t>
  </si>
  <si>
    <t>03329804896</t>
  </si>
  <si>
    <t>Ram Prasad Meena</t>
  </si>
  <si>
    <t>3329804653</t>
  </si>
  <si>
    <t>Ramji Lal Meena</t>
  </si>
  <si>
    <t>3329804648</t>
  </si>
  <si>
    <t>Rabiul Mandal</t>
  </si>
  <si>
    <t>53120134379</t>
  </si>
  <si>
    <t>https://drive.google.com/file/d/12_sGKULkD3EX4_eDKMygG4RnlRui7Eka/view?usp=sharing</t>
  </si>
  <si>
    <t>Sudheer Kumar Singh</t>
  </si>
  <si>
    <t>03329804897</t>
  </si>
  <si>
    <t>Sachin Kumar</t>
  </si>
  <si>
    <t>3329804650</t>
  </si>
  <si>
    <t>Sarvesh Kumar Maurya</t>
  </si>
  <si>
    <t>03329804902</t>
  </si>
  <si>
    <t>Sumana Nandi</t>
  </si>
  <si>
    <t>12929800739</t>
  </si>
  <si>
    <t>Siddeswar Biswas</t>
  </si>
  <si>
    <t>50714103666</t>
  </si>
  <si>
    <t>Subhankar Mandal</t>
  </si>
  <si>
    <t>12329803387</t>
  </si>
  <si>
    <t>JAYANTA SAHA</t>
  </si>
  <si>
    <t>3429801855</t>
  </si>
  <si>
    <t>CXKWSP</t>
  </si>
  <si>
    <t>https://drive.google.com/file/d/1sGZDIrlPQ5gL2fSxxwsGSP4afaZUW6sy/view?usp=sharing</t>
  </si>
  <si>
    <t>https://drive.google.com/file/d/1rbf7KWVuu_YvC-ciSjIvDXzRp_M-msQO/view?usp=sharing</t>
  </si>
  <si>
    <t>TANMOY KIRTONIA</t>
  </si>
  <si>
    <t>3429801260</t>
  </si>
  <si>
    <t>LLXGLR</t>
  </si>
  <si>
    <t>https://drive.google.com/file/d/1UOvQpAp_u6iFYrNpLv2DyOCNWKZAhJw3/view?usp=sharing</t>
  </si>
  <si>
    <t>https://drive.google.com/file/d/1dXSPOXDPQJktXCoo60L8Yb8OOG9Lskjg/view?usp=sharing</t>
  </si>
  <si>
    <t>TAPAS HALDER</t>
  </si>
  <si>
    <t>39210AB0379</t>
  </si>
  <si>
    <t>IIEBRJ</t>
  </si>
  <si>
    <t>https://drive.google.com/file/d/1EbwVIiwv1CNRJJi3ks4lN_QzHqJ3hJ5p/view?usp=sharing</t>
  </si>
  <si>
    <t>https://drive.google.com/file/d/1xFUNMCotAaGiqO44TMm0JQmpzAv305Qa/view?usp=sharing</t>
  </si>
  <si>
    <t>DEEP BISWAS</t>
  </si>
  <si>
    <t>53162131074</t>
  </si>
  <si>
    <t>RJWJOG</t>
  </si>
  <si>
    <t>https://drive.google.com/file/d/1skIuZiypqzFiP3BjsD8aO0dFIGHs0LUs/view?usp=sharing</t>
  </si>
  <si>
    <t>https://drive.google.com/file/d/1KyCQ1y_fFqovutwXWjJU8RoLTfCxH7li/view?usp=sharing</t>
  </si>
  <si>
    <t>JAGANNATH SARKAR</t>
  </si>
  <si>
    <t>53162131081</t>
  </si>
  <si>
    <t>QTDGBB</t>
  </si>
  <si>
    <t>https://drive.google.com/file/d/1bCpwmFssmbyYUmetxDgnToF_e-3jCN5U/view?usp=sharing</t>
  </si>
  <si>
    <t>https://drive.google.com/file/d/1Ds0aByJ8WLTmDA2VgaZh6W2phb6FYH_M/view?usp=sharing</t>
  </si>
  <si>
    <t>Sujeet Kumar</t>
  </si>
  <si>
    <t>3329805786</t>
  </si>
  <si>
    <t>https://drive.google.com/file/d/1CP1PCkiRrxzVupDXUPN-AFLCzBTRrM0m/view?usp=sharing</t>
  </si>
  <si>
    <t>Ravikant Kumar</t>
  </si>
  <si>
    <t>3329805761</t>
  </si>
  <si>
    <t>https://drive.google.com/file/d/1yc0uNbcx1rHLiJWAx3Gw9bySoRoLmB0m/view?usp=sharing</t>
  </si>
  <si>
    <t>Nitish Kumar Gupta</t>
  </si>
  <si>
    <t>3329806927</t>
  </si>
  <si>
    <t>https://drive.google.com/file/d/1qeDNbfQ_nffR07pAEyduDr_Y9dOCf1wZ/view?usp=sharing</t>
  </si>
  <si>
    <t>Ratul Hira</t>
  </si>
  <si>
    <t>FMZAWH</t>
  </si>
  <si>
    <t>https://drive.google.com/file/d/11c--ac1Z484EJxGlHufSGR2ZvRw1W68Y/view?usp=sharing</t>
  </si>
  <si>
    <t>Guddoo Kumar</t>
  </si>
  <si>
    <t>3329804591</t>
  </si>
  <si>
    <t>FBPYFP</t>
  </si>
  <si>
    <t>https://drive.google.com/file/d/14cdCiFRXzfrP-uL3T706cqX8FuZ9jo_o/view?usp=sharing</t>
  </si>
  <si>
    <t>Sujan Chandra Sil</t>
  </si>
  <si>
    <t>WBJKIE</t>
  </si>
  <si>
    <t>https://drive.google.com/file/d/1Wkx6214GZEeoAIt_r3XIuzNxGoR7bKF-/view?usp=sharing</t>
  </si>
  <si>
    <t>Lalu Kumar</t>
  </si>
  <si>
    <t>OKTWFQ</t>
  </si>
  <si>
    <t>https://drive.google.com/file/d/1Se1mDKMsM4ZqhIpEupJj4PFtIEKeinri/view?usp=sharing</t>
  </si>
  <si>
    <t>Tanmoy Choudhury</t>
  </si>
  <si>
    <t>3329805605</t>
  </si>
  <si>
    <t>AEYFPT</t>
  </si>
  <si>
    <t>https://drive.google.com/file/d/1ReXQKcqRwGg73V_6aZKqkFrgSpQExXo2/view?usp=sharing</t>
  </si>
  <si>
    <t>Vipin Mishra</t>
  </si>
  <si>
    <t>3329806162</t>
  </si>
  <si>
    <t>FRNYFT</t>
  </si>
  <si>
    <t>https://drive.google.com/file/d/1UTzEpyP3rBp_mIj6btwngbRmFmJmBzeA/view?usp=sharing</t>
  </si>
  <si>
    <t>Faiyaz Ahmed</t>
  </si>
  <si>
    <t>3329805636</t>
  </si>
  <si>
    <t>NKKCLL</t>
  </si>
  <si>
    <t>https://drive.google.com/file/d/1TA4ZKxj9AuUkY_pR_gl2fYIpb-94ethO/view?usp=sharing</t>
  </si>
  <si>
    <t>Prosen Mondal</t>
  </si>
  <si>
    <t>3329805590</t>
  </si>
  <si>
    <t>AFKRGC</t>
  </si>
  <si>
    <t>https://drive.google.com/file/d/1P1mMPo5Q4_fDYDznmdBSYh-WdgaAQ9ye/view?usp=sharing</t>
  </si>
  <si>
    <t>Md. Equbal Alam</t>
  </si>
  <si>
    <t>3329806713</t>
  </si>
  <si>
    <t>https://drive.google.com/file/d/1Q-mwzNuOS3Znl56C_f8ec1oPpNJF-Qc7/view?usp=sharing</t>
  </si>
  <si>
    <t>3329805973</t>
  </si>
  <si>
    <t>https://drive.google.com/file/d/1TF1AL5wFq5KCmEj33epD5Aoah1JWsHKm/view?usp=sharing</t>
  </si>
  <si>
    <t>Sikander Kr. Sah</t>
  </si>
  <si>
    <t>3329806142</t>
  </si>
  <si>
    <t>Mahadeo Manjhi</t>
  </si>
  <si>
    <t>https://drive.google.com/file/d/1oeYcg8IMmdpHq0OgOwfyWE3XcHDVtg3R/view?usp=sharing</t>
  </si>
  <si>
    <t>Shiv Ranjan Kumar Pandey</t>
  </si>
  <si>
    <t>3329806264</t>
  </si>
  <si>
    <t>https://drive.google.com/file/d/1UdgSEaq1eKbe3abfa1mtNojwiSuTMJ05/view?usp=sharing</t>
  </si>
  <si>
    <t>Md. Irfan Alam</t>
  </si>
  <si>
    <t>3329806044</t>
  </si>
  <si>
    <t>https://drive.google.com/file/d/1XRy67tTdNxuRwJndxRcjaE98FcX50A-a/view?usp=sharing</t>
  </si>
  <si>
    <t>ARIJIT ADHIKARY</t>
  </si>
  <si>
    <t>27429803473</t>
  </si>
  <si>
    <t>CBDZCU</t>
  </si>
  <si>
    <t>https://drive.google.com/file/d/110SH-dggKV36BB1ltvMDP8fuuq2q9c6x/view?usp=sharing</t>
  </si>
  <si>
    <t>Alok Kumar</t>
  </si>
  <si>
    <t>TLNZZF</t>
  </si>
  <si>
    <t>https://drive.google.com/file/d/1UAZU7Y_WfS_W77Pfja-y4TPQoT_lqQkd/view?usp=sharing</t>
  </si>
  <si>
    <t>Bapan Mondal</t>
  </si>
  <si>
    <t>IEETAY</t>
  </si>
  <si>
    <t>https://drive.google.com/file/d/1_9je__RaBRtVK-6Xx6XEMahKwncG7Xnt/view?usp=sharing</t>
  </si>
  <si>
    <t>Vikash Kumar</t>
  </si>
  <si>
    <t>BJJEHG</t>
  </si>
  <si>
    <t>https://drive.google.com/file/d/1PBlbF4Epfl8Tb0lMdXDeBKdZG5Nm4Npy/view?usp=sharing</t>
  </si>
  <si>
    <t>Sashanka Sana</t>
  </si>
  <si>
    <t>RSRBPQ</t>
  </si>
  <si>
    <t>https://drive.google.com/file/d/15htK3eRuBs70teHo0tzb0o6XbH2UHOb6/view?usp=sharing</t>
  </si>
  <si>
    <t>Diptesh Chakraborty</t>
  </si>
  <si>
    <t>3329805141</t>
  </si>
  <si>
    <t>TXQXOK</t>
  </si>
  <si>
    <t>https://drive.google.com/file/d/19Dl7sl4gapLolgcMiR_sqGbRjeCuFwRg/view?usp=sharing</t>
  </si>
  <si>
    <t>Pritam Dutta</t>
  </si>
  <si>
    <t>3329806064</t>
  </si>
  <si>
    <t>GAZOLP</t>
  </si>
  <si>
    <t>https://drive.google.com/file/d/1ETRGcL3lTs0wvFpZScOwoG27v8l8dZWq/view?usp=sharing</t>
  </si>
  <si>
    <t>Nikhil Kumar Singh</t>
  </si>
  <si>
    <t>3329806725</t>
  </si>
  <si>
    <t>EWXYWE</t>
  </si>
  <si>
    <t>https://drive.google.com/file/d/14fQnSniqD43_uj9HZtb3EoA1wyfwqSwW/view?usp=sharing</t>
  </si>
  <si>
    <t>Deepak Kumar</t>
  </si>
  <si>
    <t>3329806493</t>
  </si>
  <si>
    <t>FFTYZH</t>
  </si>
  <si>
    <t>https://drive.google.com/file/d/1nG1y86dX9m1274DmeWG4A5QmFP0bwqLj/view?usp=sharing</t>
  </si>
  <si>
    <t>SHAMBHU SHAW</t>
  </si>
  <si>
    <t>03429800702</t>
  </si>
  <si>
    <t>NTGWBT</t>
  </si>
  <si>
    <t>https://drive.google.com/file/d/1exW-D3kJsawgqpDpsKw6thHdEGTZ7KGM/view?usp=sharing</t>
  </si>
  <si>
    <t>https://drive.google.com/file/d/18hHxl0WRrGpAslLm3CGWRi7i62LJtvBv/view?usp=sharing</t>
  </si>
  <si>
    <t>ALOKE KUMAR SARDAR</t>
  </si>
  <si>
    <t>03429800659</t>
  </si>
  <si>
    <t>XSTXLS</t>
  </si>
  <si>
    <t>https://drive.google.com/file/d/1TjIDPj2a4ayU_eGpGQcx8cVRwKZLlycN/view?usp=sharing</t>
  </si>
  <si>
    <t>https://drive.google.com/file/d/13FXqVF5b_Fu2VX_MADNMZaxSb9ceqhmN/view?usp=sharing</t>
  </si>
  <si>
    <t>AKHIL DAS</t>
  </si>
  <si>
    <t>03429800667</t>
  </si>
  <si>
    <t>BAUOWJ</t>
  </si>
  <si>
    <t>https://drive.google.com/file/d/1HnLIKIeO5yDVQXV7I82ILDMb19X3IyIb/view?usp=sharing</t>
  </si>
  <si>
    <t>https://drive.google.com/file/d/1TexDWyegCnwECZ9-dzqIQaAPDlqqAybw/view?usp=sharing</t>
  </si>
  <si>
    <t xml:space="preserve">  </t>
  </si>
  <si>
    <t>BISWAJIT GAYALI</t>
  </si>
  <si>
    <t>18429803467</t>
  </si>
  <si>
    <t>YUOORI</t>
  </si>
  <si>
    <t>https://drive.google.com/file/d/18B8D6d_uoVvf1Q8Lrxen_T9zuvLZbIme/view?usp=sharing</t>
  </si>
  <si>
    <t>https://drive.google.com/file/d/1nPQF4_KlHY5IxrL8DKWVof6hoiE_35EZ/view?usp=sharing</t>
  </si>
  <si>
    <t>ARUP SWARNAKAR</t>
  </si>
  <si>
    <t>53120134413</t>
  </si>
  <si>
    <t>CGDQQW</t>
  </si>
  <si>
    <t>https://drive.google.com/file/d/1KM53Q_nnwkQTNzsZo6PC5J_D5RJpO7oW/view?usp=sharing</t>
  </si>
  <si>
    <t>ANJAN DAS</t>
  </si>
  <si>
    <t>53120134419</t>
  </si>
  <si>
    <t>MSQTFO</t>
  </si>
  <si>
    <t>https://drive.google.com/file/d/1l6bVxhOWkLV5NIIpAZ4qvsG1FQjXxMCw/view?usp=sharing</t>
  </si>
  <si>
    <t>https://drive.google.com/file/d/1q_zQrG75nIWRBuNkQhKype4YKQQjyh6d/view?usp=sharing</t>
  </si>
  <si>
    <t>RAJIB BAIN</t>
  </si>
  <si>
    <t>12429801071</t>
  </si>
  <si>
    <t>YZLASI</t>
  </si>
  <si>
    <t>https://drive.google.com/file/d/1Q_tBMOwrNXuF4HYSb3XWKs7pHy6a00fU/view?usp=sharing</t>
  </si>
  <si>
    <t>JAYANTA SADHUKHAN</t>
  </si>
  <si>
    <t>53120134417</t>
  </si>
  <si>
    <t>ESOKRK</t>
  </si>
  <si>
    <t>https://drive.google.com/file/d/1rN3M3KPcZDQPsec5sL-nfNPKEBPnE3yF/view?usp=sharing</t>
  </si>
  <si>
    <t>TAPAN BAURI</t>
  </si>
  <si>
    <t>18429803465</t>
  </si>
  <si>
    <t>MGFIKI</t>
  </si>
  <si>
    <t>https://drive.google.com/file/d/1HubbuBu_9GuNU0EUfYptIU9CgAOi9904/view?usp=sharing</t>
  </si>
  <si>
    <t>MANAJ BISWAS</t>
  </si>
  <si>
    <t>242IE140116</t>
  </si>
  <si>
    <t>LXMFKA</t>
  </si>
  <si>
    <t>PROSENJIT CHETTRI</t>
  </si>
  <si>
    <t>53162131075</t>
  </si>
  <si>
    <t>HFIHQU</t>
  </si>
  <si>
    <t>https://drive.google.com/file/d/1TkAfCR9f5WFafx_GG1UXidwp9WBLrpYA/view?usp=sharing</t>
  </si>
  <si>
    <t>HAMIDUL ALI MONDAL</t>
  </si>
  <si>
    <t>53162131015</t>
  </si>
  <si>
    <t>DQSFPW</t>
  </si>
  <si>
    <t>https://drive.google.com/file/d/1YXPvm4gGrHnkdSrJMrDMxT3tzzd22Jng/view?usp=sharing</t>
  </si>
  <si>
    <t>DHANANJAY TIKADAR</t>
  </si>
  <si>
    <t>47480178</t>
  </si>
  <si>
    <t>ILBBTC</t>
  </si>
  <si>
    <t>https://drive.google.com/file/d/16d4-poGXqxchMMBYp74y3sr_vH7Zjmnn/view?usp=sharing</t>
  </si>
  <si>
    <t>https://drive.google.com/file/d/1eJ4KaAWOAPj4sUO3tTH0F_UAEoYMrih3/view?usp=share_link</t>
  </si>
  <si>
    <t>RATHINDRANATH BISWAS</t>
  </si>
  <si>
    <t>53199430034</t>
  </si>
  <si>
    <t>NBALZG</t>
  </si>
  <si>
    <t>https://drive.google.com/file/d/1zOho915zGXAOPu9LPhvlRg1mlDyDz_Ri/view?usp=sharing</t>
  </si>
  <si>
    <t>PRITAM BHAKAT</t>
  </si>
  <si>
    <t>30329800174</t>
  </si>
  <si>
    <t>DPZYLH</t>
  </si>
  <si>
    <t>KHITISH DAS</t>
  </si>
  <si>
    <t>242IE080914</t>
  </si>
  <si>
    <t>KAGRYF</t>
  </si>
  <si>
    <t>https://drive.google.com/file/d/1CYayFXKS2If8qwBEOtdqgDuKP6CvCd1E/view?usp=sharing</t>
  </si>
  <si>
    <t>TAPAN KUMAR ROY</t>
  </si>
  <si>
    <t>53162131202</t>
  </si>
  <si>
    <t>UQAWFY</t>
  </si>
  <si>
    <t>AMIT KUMAR BISWAS</t>
  </si>
  <si>
    <t>XPTUMQ</t>
  </si>
  <si>
    <t>https://drive.google.com/file/d/1zAjIlAhRFSgKCH3QDNSmevgB67bMp959/view?usp=sharing</t>
  </si>
  <si>
    <t>DIPU BISWAS</t>
  </si>
  <si>
    <t>474870294</t>
  </si>
  <si>
    <t>TEXPCF</t>
  </si>
  <si>
    <t>SUBRATA DEBNATH</t>
  </si>
  <si>
    <t>53120134524</t>
  </si>
  <si>
    <t>OGNZJL</t>
  </si>
  <si>
    <t>https://drive.google.com/file/d/1eHL8qIX1hInbKYgNA88LVKzvQVMQ_yrd/view?usp=sharing</t>
  </si>
  <si>
    <t>https://drive.google.com/file/d/1YCLS8CQZVh4lGGcZUAGqUnRiB_LKsbmv/view?usp=drive_link</t>
  </si>
  <si>
    <t>PRADIP KUMAR</t>
  </si>
  <si>
    <t>50311005000</t>
  </si>
  <si>
    <t>QJSKES</t>
  </si>
  <si>
    <t>https://drive.google.com/file/d/143_6bFiQk4XEFewxMbQX64oHrf2I_f1F/view?usp=sharing</t>
  </si>
  <si>
    <t>https://drive.google.com/file/d/1dCdBk1ij58lcavWcPpii84h_vkjkhsCh/view?usp=sharing</t>
  </si>
  <si>
    <t xml:space="preserve">GAURAV KUMAR </t>
  </si>
  <si>
    <t>3429800669</t>
  </si>
  <si>
    <t>GAZGZQ</t>
  </si>
  <si>
    <t>https://drive.google.com/file/d/1o6eNmEgbzVEWrrqoPzxvcla7I1kFma7b/view?usp=sharing</t>
  </si>
  <si>
    <t>https://drive.google.com/file/d/1baun8QqtJLui-xhNIWK2JHAP8TrfLZ-T/view?usp=sharing</t>
  </si>
  <si>
    <t>MALAY BISWAS</t>
  </si>
  <si>
    <t>53120134439</t>
  </si>
  <si>
    <t>FCLBEU</t>
  </si>
  <si>
    <t>https://drive.google.com/file/d/1Qfs90NmZBVoSpZuXQNdYGPQB-i7UXIyY/view?usp=sharing</t>
  </si>
  <si>
    <t>ROHIT SONI</t>
  </si>
  <si>
    <t>3529801542</t>
  </si>
  <si>
    <t>OBZNAD</t>
  </si>
  <si>
    <t>https://drive.google.com/file/d/1BQ5WXndJgQ3zbkD5mumSaz42IvbimInZ/view?usp=sharing</t>
  </si>
  <si>
    <t>BARUN SEAL</t>
  </si>
  <si>
    <t>53120134451</t>
  </si>
  <si>
    <t>EWOAOY</t>
  </si>
  <si>
    <t>https://drive.google.com/file/d/1en4zcrJa_tu9Qvb6lgfSvEF5GC7oT5X6/view?usp=sharing</t>
  </si>
  <si>
    <t>MRINMOY SIKDER</t>
  </si>
  <si>
    <t>53120134385</t>
  </si>
  <si>
    <t>RQWCHU</t>
  </si>
  <si>
    <t>https://drive.google.com/file/d/1EveI4qGiMy07Po7OBeIA1lfVzJALwBSK/view?usp=sharing</t>
  </si>
  <si>
    <t>RAJIB MISHRA</t>
  </si>
  <si>
    <t>53120134489</t>
  </si>
  <si>
    <t>TSZTGR</t>
  </si>
  <si>
    <t>https://drive.google.com/file/d/1wUMZ8nhQAX0aMaKTMiDDMabMq9C-Oq2C/view?usp=sharing</t>
  </si>
  <si>
    <t>BISWAJIT KABIRAJ</t>
  </si>
  <si>
    <t>KUJYTA</t>
  </si>
  <si>
    <t>https://drive.google.com/file/d/1BQ6O5H6tRAMEqsTjpZYJc4fTWc7mcAXi/view?usp=sharing</t>
  </si>
  <si>
    <t>VIJAY SHANKER KUMAR</t>
  </si>
  <si>
    <t>50309030304</t>
  </si>
  <si>
    <t>WIHJLR</t>
  </si>
  <si>
    <t>https://drive.google.com/file/d/1C7kW_nyCi1i6_s91IO2BXCYZs_8FiZcA/view?usp=sharing</t>
  </si>
  <si>
    <t>MITHILESH KUMAR RANJAN</t>
  </si>
  <si>
    <t>45316238646</t>
  </si>
  <si>
    <t>RUSFQO</t>
  </si>
  <si>
    <t>https://drive.google.com/file/d/13L4qH7xxxN5jMF3CcRNpm4rK8WZYIV-w/view?usp=sharing</t>
  </si>
  <si>
    <t>RAKESH KUMAR PANDIT</t>
  </si>
  <si>
    <t>50320140112</t>
  </si>
  <si>
    <t>TSJNPR</t>
  </si>
  <si>
    <t>MANISH KUMAR III</t>
  </si>
  <si>
    <t>45316238460</t>
  </si>
  <si>
    <t>AIZGTZ</t>
  </si>
  <si>
    <t>https://drive.google.com/file/d/1nVuJqewU1cvToyLMfghyprciEcUzl0ED/view?usp=sharing</t>
  </si>
  <si>
    <t>SOUMYADEEP PATTANAYAK</t>
  </si>
  <si>
    <t>30329801498</t>
  </si>
  <si>
    <t>SHIFZS</t>
  </si>
  <si>
    <t>https://drive.google.com/file/d/1rbbVqjvve0fjRw6-ywERHrhNd5Vbz-lU/view?usp=share_link</t>
  </si>
  <si>
    <t>PRADIP GHOSH</t>
  </si>
  <si>
    <t>30369801636</t>
  </si>
  <si>
    <t>WLRFTD</t>
  </si>
  <si>
    <t>https://drive.google.com/file/d/1FtKKBbWp4EiNcai7BPwYwNc4D5xD-UjP/view?usp=share_link</t>
  </si>
  <si>
    <t>SALIL KUNDU</t>
  </si>
  <si>
    <t>30329801587</t>
  </si>
  <si>
    <t>WNDIOC</t>
  </si>
  <si>
    <t>https://drive.google.com/file/d/1FO-vluFDCOsQbUpygj5gsRX1nkg5sHKI/view?usp=share_link</t>
  </si>
  <si>
    <t>SULOCHONA DEY</t>
  </si>
  <si>
    <t>3229805115</t>
  </si>
  <si>
    <t>ZWQPQK</t>
  </si>
  <si>
    <t>https://drive.google.com/file/d/1yeRP8ERSKtmX-lRVT8G911SUCP1DaFdI/view?usp=share_link</t>
  </si>
  <si>
    <t>LAKHAN PRASAD SHAW</t>
  </si>
  <si>
    <t>50200106768</t>
  </si>
  <si>
    <t>RRFESX</t>
  </si>
  <si>
    <t>https://drive.google.com/file/d/18lnxkBYNsDYI6RZ5QpjXwAfIg1-AMsi4/view?usp=share_link</t>
  </si>
  <si>
    <t>SHYAMALI BISWAS</t>
  </si>
  <si>
    <t>50714108244</t>
  </si>
  <si>
    <t>TDIUNT</t>
  </si>
  <si>
    <t>PRANOTOSH DAS</t>
  </si>
  <si>
    <t>15661202230</t>
  </si>
  <si>
    <t>DSSSRA</t>
  </si>
  <si>
    <t>SUVASH CHANDRA MAZUMDER</t>
  </si>
  <si>
    <t>50714108619</t>
  </si>
  <si>
    <t>OORGKZ</t>
  </si>
  <si>
    <t>ABIR BISWAS</t>
  </si>
  <si>
    <t>18229802715</t>
  </si>
  <si>
    <t>PIGWLI</t>
  </si>
  <si>
    <t>3429803756</t>
  </si>
  <si>
    <t>GOSHUN</t>
  </si>
  <si>
    <t>BALARAM ROY</t>
  </si>
  <si>
    <t>HMNONC</t>
  </si>
  <si>
    <t>DEBABRATA BISWAS</t>
  </si>
  <si>
    <t>HYJWCF</t>
  </si>
  <si>
    <t>https://drive.google.com/file/d/1syMTAWLwhuhUTOzABLHWYW1d-GMYP_r3/view?usp=share_link</t>
  </si>
  <si>
    <t>BIJAN DAS</t>
  </si>
  <si>
    <t>QNZDFQ</t>
  </si>
  <si>
    <t>https://drive.google.com/file/d/1titEJd5n-popwKFXs-C-hwqxKgaX-ho2/view?usp=share_link</t>
  </si>
  <si>
    <t>BALAI MANDAL</t>
  </si>
  <si>
    <t>XZRZTQ</t>
  </si>
  <si>
    <t>https://drive.google.com/file/d/1gHJWvEbZI4MSUj8cl7ZjrCsiUBZRkwo1/view?usp=share_link</t>
  </si>
  <si>
    <t>TAPAN PAUL</t>
  </si>
  <si>
    <t>FASGYA</t>
  </si>
  <si>
    <t>https://drive.google.com/file/d/19GwcbONPlTvXR2jEjR5YclHH4E4v99j4/view?usp=share_link</t>
  </si>
  <si>
    <t>PRITI KUMARI</t>
  </si>
  <si>
    <t>UIFZRT</t>
  </si>
  <si>
    <t>https://drive.google.com/file/d/17E9njBWfBxDZbf4JM8S5p9pMfnkXRUVC/view?usp=share_link</t>
  </si>
  <si>
    <t>GAUTAM BALA</t>
  </si>
  <si>
    <t>00208CB1042</t>
  </si>
  <si>
    <t>MLTOIJ</t>
  </si>
  <si>
    <t>QYUBFA</t>
  </si>
  <si>
    <t>https://drive.google.com/file/d/1rhujoDiBIve0XzSGaBW5P6a3hHIJftIj/view?usp=drive_link</t>
  </si>
  <si>
    <t>ARUN KUMAR</t>
  </si>
  <si>
    <t>6229801225</t>
  </si>
  <si>
    <t>BYCOCJ</t>
  </si>
  <si>
    <t>https://drive.google.com/file/d/1UHbzo3aUUYqYixAIGvWFgICNuXb76L5p/view?usp=sharing</t>
  </si>
  <si>
    <t>Santosh Kumar</t>
  </si>
  <si>
    <t>6229801248</t>
  </si>
  <si>
    <t>ELJPCR</t>
  </si>
  <si>
    <t>https://drive.google.com/file/d/16XkFsDiOFP350KxvUeUDoYQueWMBHUco/view?usp=sharing</t>
  </si>
  <si>
    <t>Md Rabiul Mondal</t>
  </si>
  <si>
    <t>533P9877917</t>
  </si>
  <si>
    <t>BDJLCN</t>
  </si>
  <si>
    <t>https://drive.google.com/file/d/1KpJhwDRptmS_LYvMd7XtSrBEY7GGd4i0/view?usp=sharing</t>
  </si>
  <si>
    <t>SUBHANKAR BISWAS</t>
  </si>
  <si>
    <t>53163130230</t>
  </si>
  <si>
    <t>FRBCNU</t>
  </si>
  <si>
    <t>https://drive.google.com/file/d/1tAeNtNScYPlkU3TwOfpWtkcQwfi7evkq/view?usp=sharing</t>
  </si>
  <si>
    <t>ABHAY KUMAR MISHRA/DSL</t>
  </si>
  <si>
    <t>3329804316</t>
  </si>
  <si>
    <t>SYENTN</t>
  </si>
  <si>
    <t>AJOY SARKAR/DSL</t>
  </si>
  <si>
    <t>505996582</t>
  </si>
  <si>
    <t>JRPWXI</t>
  </si>
  <si>
    <t>https://drive.google.com/file/d/1cm-lg6gxD9Q9Izol4n0olG3207ESZhPR/view?usp=sharing</t>
  </si>
  <si>
    <t>ANKIT DUTTA/DSL</t>
  </si>
  <si>
    <t>3329804314</t>
  </si>
  <si>
    <t>QCQFGH</t>
  </si>
  <si>
    <t>DEBJIT BANIK/DSL</t>
  </si>
  <si>
    <t>53162131006</t>
  </si>
  <si>
    <t>HMHIQI</t>
  </si>
  <si>
    <t>DHARMENDRA KUMAR/DSL</t>
  </si>
  <si>
    <t>229806384</t>
  </si>
  <si>
    <t>FLHKSU</t>
  </si>
  <si>
    <t>MITHUN BISWAS/DSL</t>
  </si>
  <si>
    <t>53162131020</t>
  </si>
  <si>
    <t>DONWIK</t>
  </si>
  <si>
    <t>NANDAN HALDER/DSL</t>
  </si>
  <si>
    <t>247IK080138</t>
  </si>
  <si>
    <t>FYAQPT</t>
  </si>
  <si>
    <t>PABITRA GAYEN/DSL</t>
  </si>
  <si>
    <t>3329804315</t>
  </si>
  <si>
    <t>UNACII</t>
  </si>
  <si>
    <t>RAFIKUL ISLAM/DSL</t>
  </si>
  <si>
    <t>3329804313</t>
  </si>
  <si>
    <t>HBTPDB</t>
  </si>
  <si>
    <t>RANA PRABIR MALAKAR/DSL</t>
  </si>
  <si>
    <t>53162089493</t>
  </si>
  <si>
    <t>OQUNKP</t>
  </si>
  <si>
    <t>https://drive.google.com/file/d/1_rYDLFkVirp4RPAcjwEnM9yniuf2VQlj/view?usp=sharing</t>
  </si>
  <si>
    <t>SOUMEN ROY/DSL</t>
  </si>
  <si>
    <t>53107020231</t>
  </si>
  <si>
    <t>ACBFRZ</t>
  </si>
  <si>
    <t>https://drive.google.com/file/d/1_VmfIcROVF-owM-8-yWxp6-gtcobZg6G/view?usp=sharing</t>
  </si>
  <si>
    <t>SAMIR KUMAR DAS/DSL</t>
  </si>
  <si>
    <t>53162131198</t>
  </si>
  <si>
    <t>QQALSE</t>
  </si>
  <si>
    <t>https://drive.google.com/file/d/1n4Uwycq9ZOQFNGADx9afEiOz7Sv7a5YE/view?usp=sharing</t>
  </si>
  <si>
    <t>RAKESH KUMAR RAJ/DSL</t>
  </si>
  <si>
    <t>50320140109</t>
  </si>
  <si>
    <t>TFKHGF</t>
  </si>
  <si>
    <t>SAYANTAN SAHA/DSL</t>
  </si>
  <si>
    <t>3329804301</t>
  </si>
  <si>
    <t>WSBJIF</t>
  </si>
  <si>
    <t>TANMAY NAYEK/DSL</t>
  </si>
  <si>
    <t>KUQIXX</t>
  </si>
  <si>
    <t>SUBRATA DEBNATH/DSL</t>
  </si>
  <si>
    <t>247IK050033</t>
  </si>
  <si>
    <t>RSFJEQ</t>
  </si>
  <si>
    <t>GOPAL MONDAL/DSL</t>
  </si>
  <si>
    <t>CEZAPJ</t>
  </si>
  <si>
    <t>AKASH KUMAR/DSL</t>
  </si>
  <si>
    <t>50320140084</t>
  </si>
  <si>
    <t>OIXCJN</t>
  </si>
  <si>
    <t>https://drive.google.com/file/d/1Nl09-_e3oU33kb17aG6--OLumzffalP0/view?usp=sharing</t>
  </si>
  <si>
    <t>VIKASH KUMAR/DSL</t>
  </si>
  <si>
    <t>7629800186</t>
  </si>
  <si>
    <t>GDNDBL</t>
  </si>
  <si>
    <t>https://drive.google.com/file/d/1eCJZN2Kjy6PwxTrtkmpb1R-6cPfb-tsp/view?usp=sharing</t>
  </si>
  <si>
    <t>CHANDRA SHEKHAR KUMAR</t>
  </si>
  <si>
    <t>36529803578</t>
  </si>
  <si>
    <t>PLTWWF</t>
  </si>
  <si>
    <t>Sourav Mondal/DSL</t>
  </si>
  <si>
    <t>3229804922</t>
  </si>
  <si>
    <t>RSJQYF</t>
  </si>
  <si>
    <t>https://drive.google.com/file/d/1csVlZ5NwzSxhrqEyero6EP7SbUji6KgP/view?usp=sharing</t>
  </si>
  <si>
    <t>PRITAM BISWAS</t>
  </si>
  <si>
    <t>WXLNOM</t>
  </si>
  <si>
    <t>https://drive.google.com/file/d/1j3FlQoBSSdfPgJncHEeiiONuaRcu3JXX/view?usp=sharing</t>
  </si>
  <si>
    <t>Sl</t>
  </si>
  <si>
    <t>DUAL TRAINED</t>
  </si>
  <si>
    <t>Punishment O.O</t>
  </si>
  <si>
    <t>BAPI HIRA</t>
  </si>
  <si>
    <t>53163090230</t>
  </si>
  <si>
    <t>ZQNJWT</t>
  </si>
  <si>
    <t>https://drive.google.com/file/d/18lwUtabDgvbRL6wYO6uvdmt5xC6vgRhU/view?usp=sharing</t>
  </si>
  <si>
    <t>https://drive.google.com/file/d/1ek7zoTpO6UCnshfhhpu3ospWJvNRKg1b/view?usp=sharing</t>
  </si>
  <si>
    <t>CHIRANJIB PAUL</t>
  </si>
  <si>
    <t>53162131072</t>
  </si>
  <si>
    <t>XDHPIQ</t>
  </si>
  <si>
    <t>https://drive.google.com/file/d/1coymVDWjotljiY8Nl_d0Sg94E03jik1h/view?usp=sharing</t>
  </si>
  <si>
    <t>https://drive.google.com/file/d/1YQwhC7qUzRbFy1lNOv9-8mhzNIF7z127/view?usp=share_link</t>
  </si>
  <si>
    <t>DHARMENDRA KR. CHOUDHARY</t>
  </si>
  <si>
    <t>53162099694</t>
  </si>
  <si>
    <t>CJZNMZ</t>
  </si>
  <si>
    <t>https://drive.google.com/file/d/1WWePjHLvygedx0yl4IPvMWfI2qTycqQ9/view?usp=sharing</t>
  </si>
  <si>
    <t>DILIP NASKAR</t>
  </si>
  <si>
    <t>53109911236</t>
  </si>
  <si>
    <t>ZUAKTT</t>
  </si>
  <si>
    <t>https://drive.google.com/file/d/1SQHojqlwr_ZACVHj1XvHIoWq6mHqEh1E/view?usp=sharing</t>
  </si>
  <si>
    <t>https://drive.google.com/file/d/1Ts4Q4Y1STMMr2wZcH1GVlL3etO2wzE3V/view?usp=sharing</t>
  </si>
  <si>
    <t>DIVYA KUMARI</t>
  </si>
  <si>
    <t>30229801871</t>
  </si>
  <si>
    <t>UPLJMU</t>
  </si>
  <si>
    <t>GANESH DEBNATH</t>
  </si>
  <si>
    <t>244IG120415</t>
  </si>
  <si>
    <t>IGGYGG</t>
  </si>
  <si>
    <t>https://drive.google.com/file/d/13FFYH4JEwREqsND_cnmmxGIvSHzv6chl/view?usp=sharing</t>
  </si>
  <si>
    <t>ASHISH KUMAR PANDAY</t>
  </si>
  <si>
    <t>3429801834</t>
  </si>
  <si>
    <t>QTSMZT</t>
  </si>
  <si>
    <t>https://drive.google.com/file/d/1zrZE-RDiE4WLacR9XFtQAmmDNPHKsHvT/view?usp=sharing</t>
  </si>
  <si>
    <t>Manish Meena</t>
  </si>
  <si>
    <t>3329804078</t>
  </si>
  <si>
    <t>DYQIMI</t>
  </si>
  <si>
    <t>https://drive.google.com/file/d/1EwmLQA1Og5DOeoPGGSADqucpmAb4TYjo/view?usp=sharing</t>
  </si>
  <si>
    <t>https://drive.google.com/file/d/1_Cmpmzu02Gm9Dtb1j3CbsinrSs6XBB70/view?usp=sharing</t>
  </si>
  <si>
    <t>MATIBUL MONDAL</t>
  </si>
  <si>
    <t>3429801798</t>
  </si>
  <si>
    <t>XPYMKL</t>
  </si>
  <si>
    <t>https://drive.google.com/file/d/1_Rd7e1La4U98X0W2ptv9TOHFDvD9rkFR/view?usp=sharing</t>
  </si>
  <si>
    <t>https://drive.google.com/file/d/1Cda0KPhOESQfAXwQRsiv6oFspdywonL9/view?usp=sharing</t>
  </si>
  <si>
    <t>MITHUN PANDAY</t>
  </si>
  <si>
    <t>3429801241</t>
  </si>
  <si>
    <t>JFJBQH</t>
  </si>
  <si>
    <t>https://drive.google.com/file/d/1IRpUoZ_fQEdF6J-xrh35yulfSZ4Jd4zw/view?usp=sharing</t>
  </si>
  <si>
    <t>RAJESH DEBNATH</t>
  </si>
  <si>
    <t>53162131221</t>
  </si>
  <si>
    <t>ADZIPU</t>
  </si>
  <si>
    <t>SAMIRAN PAUL</t>
  </si>
  <si>
    <t>53162131083</t>
  </si>
  <si>
    <t>IREOUC</t>
  </si>
  <si>
    <t>https://drive.google.com/file/d/1t-s8Mwnq0y6o6iDCjPSc6HOkVw4m9A7-/view?usp=sharing</t>
  </si>
  <si>
    <t>https://drive.google.com/file/d/19AyvgNyVD8Mg1HVTZSQsdLylySpUm0aM/view?usp=drive_link</t>
  </si>
  <si>
    <t>SANJAY KUMAR PARIHAR</t>
  </si>
  <si>
    <t>50205407047</t>
  </si>
  <si>
    <t>PKOOYU</t>
  </si>
  <si>
    <t>https://drive.google.com/file/d/1mWI7ZweGX45sQSlRvjRuZf78Jq7Jkiwt/view?usp=sharing</t>
  </si>
  <si>
    <t>https://drive.google.com/file/d/1J2l2s5YzvX3yAwGRb1KLoJCUUK4h1nLr/view?usp=sharing</t>
  </si>
  <si>
    <t>SHIW SUNDAR GUPTA</t>
  </si>
  <si>
    <t>33329808591</t>
  </si>
  <si>
    <t>IIFAJM</t>
  </si>
  <si>
    <t>https://drive.google.com/file/d/1nw9UCWl_VsXVuMEtwml7Fj5WY5V2kwCz/view?usp=sharing</t>
  </si>
  <si>
    <t>SUMANGAL HALDER</t>
  </si>
  <si>
    <t>53120134438</t>
  </si>
  <si>
    <t>ELYUIK</t>
  </si>
  <si>
    <t>https://drive.google.com/file/d/1Z9CP0NOIsKaYvAX_wX8ols9-RViTOAkk/view?usp=sharing</t>
  </si>
  <si>
    <t>https://drive.google.com/file/d/1ObkdxUmm74bbz8AtHFvjtfwrqkqVTwUV/view?usp=share_link</t>
  </si>
  <si>
    <t>TUHIN SARKAR</t>
  </si>
  <si>
    <t>3429801263</t>
  </si>
  <si>
    <t>MZKFGP</t>
  </si>
  <si>
    <t>https://drive.google.com/file/d/1k8HD-J1Ln9RmVdoPNXor0DRtUTxiSWo0/view?usp=sharing</t>
  </si>
  <si>
    <t>https://drive.google.com/file/d/1_7MJITNFc4CIhBLbiGztC31h8vq_zdfe/view?usp=drive_link</t>
  </si>
  <si>
    <t>AMLAN HALDER</t>
  </si>
  <si>
    <t>3429801816</t>
  </si>
  <si>
    <t>SCDHAH</t>
  </si>
  <si>
    <t>https://drive.google.com/file/d/1m0h4ZfLOuzv-NZeleRP8gQfxAWhXLy9k/view?usp=sharing</t>
  </si>
  <si>
    <t>https://drive.google.com/file/d/1jwUtz1os0ec9FWMiYeHl3qOEhlYjhgKO/view?usp=sharing</t>
  </si>
  <si>
    <t>RAHUL GAZI</t>
  </si>
  <si>
    <t>3429801800</t>
  </si>
  <si>
    <t>RGKTNM</t>
  </si>
  <si>
    <t>https://drive.google.com/file/d/1KV1T25wxDAHEk4KU2nouoEcn7lfBLThN/view?usp=sharing</t>
  </si>
  <si>
    <t>https://drive.google.com/file/d/1P_2mxEv3_QIzhqdllRSOCDRRD7FDeT-q/view?usp=sharing</t>
  </si>
  <si>
    <t>SURAJIT MONDAL</t>
  </si>
  <si>
    <t>53162131205</t>
  </si>
  <si>
    <t>DMBMDG</t>
  </si>
  <si>
    <t>https://drive.google.com/file/d/1J3ZWUtmpDdJK4q0Zhno-YybhNjHAQQ-y/view?usp=sharing</t>
  </si>
  <si>
    <t>PALASH HALDER</t>
  </si>
  <si>
    <t>53162131107</t>
  </si>
  <si>
    <t>ACEXRS</t>
  </si>
  <si>
    <t>https://drive.google.com/file/d/18vjhRzMoUYfSZfg0ZYTRnEFvN3lZ67Yx/view?usp=sharing</t>
  </si>
  <si>
    <t>MD KABIRUL ISLAM</t>
  </si>
  <si>
    <t>50205613243</t>
  </si>
  <si>
    <t>XJIENJ</t>
  </si>
  <si>
    <t>https://drive.google.com/file/d/1gwOjnK7KW7PSrI_94v7Q6jmD24KgpSen/view?usp=sharing</t>
  </si>
  <si>
    <t>https://drive.google.com/file/d/12pfSCfJxppVHIFGJU5Nph5FraIVQtBML/view?usp=sharing</t>
  </si>
  <si>
    <t>AVIJEET KUMAR PRABHAKAR</t>
  </si>
  <si>
    <t>50205617637</t>
  </si>
  <si>
    <t>WISQZN</t>
  </si>
  <si>
    <t>https://drive.google.com/file/d/1SdjYpybodE7efpuhEnX3nZs0YUN2M-K7/view?usp=sharing</t>
  </si>
  <si>
    <t>https://drive.google.com/file/d/1Q__0Nz7LIqaRo9_b0eIrGf5YwQxhW_j8/view?usp=sharing</t>
  </si>
  <si>
    <t>Tathagata Paul</t>
  </si>
  <si>
    <t>50205677786</t>
  </si>
  <si>
    <t>ICQAIX</t>
  </si>
  <si>
    <t>https://drive.google.com/file/d/1BNZMVn6n1mVS7PWdliSk2LE4mUxIYxvS/view?usp=sharing</t>
  </si>
  <si>
    <t>BAPI BARUA</t>
  </si>
  <si>
    <t>53162131267</t>
  </si>
  <si>
    <t>ISZOIO</t>
  </si>
  <si>
    <t>https://drive.google.com/file/d/1fGGKa1_rItP0XCHEiZxsaRFvjgy11ZRS/view?usp=sharing</t>
  </si>
  <si>
    <t>PANKAJ SINGH</t>
  </si>
  <si>
    <t>244IG132155</t>
  </si>
  <si>
    <t>RTCKLD</t>
  </si>
  <si>
    <t>https://drive.google.com/file/d/1tzs19wnR4l72K15XPkT3K6BhHvr_5hur/view?usp=sharing</t>
  </si>
  <si>
    <t>RAJIB BISWAS</t>
  </si>
  <si>
    <t>53162131173</t>
  </si>
  <si>
    <t>LIFWJB</t>
  </si>
  <si>
    <t>https://drive.google.com/file/d/1FcBiyF9GPs9BQX5aRWmD6OyEsnk1AIgS/view?usp=sharing</t>
  </si>
  <si>
    <t>KRISHNA RAJAK</t>
  </si>
  <si>
    <t>53162140037</t>
  </si>
  <si>
    <t>BBKPKQ</t>
  </si>
  <si>
    <t>https://drive.google.com/file/d/1dg6oxiH1wrvxVOewGA9DfDGWbM7CebVf/view?usp=sharing</t>
  </si>
  <si>
    <t>AMIT SAHA</t>
  </si>
  <si>
    <t>53162140044</t>
  </si>
  <si>
    <t>HNAANF</t>
  </si>
  <si>
    <t>https://drive.google.com/file/d/1jGv0-UnfMCl1RQhU6rWqPmA4vBzHfBtZ/view?usp=sharing</t>
  </si>
  <si>
    <t>MITHUN BISWAS</t>
  </si>
  <si>
    <t>53162131063</t>
  </si>
  <si>
    <t>BLWWLC</t>
  </si>
  <si>
    <t>https://drive.google.com/file/d/1WnQBMJA3Sm9unU6KDEnmRw94FfqHWTO8/view?usp=sharing</t>
  </si>
  <si>
    <t>ABHIJIT MONDAL</t>
  </si>
  <si>
    <t>53162131165</t>
  </si>
  <si>
    <t>AEUUPK</t>
  </si>
  <si>
    <t>https://drive.google.com/file/d/1Cjns7BZ0Isz1sgsLgORCYIYnny6fHVEV/view?usp=sharing</t>
  </si>
  <si>
    <t>DIPTI BIKASH ROY</t>
  </si>
  <si>
    <t>53162131214</t>
  </si>
  <si>
    <t>IDKGPP</t>
  </si>
  <si>
    <t>https://drive.google.com/file/d/1GMtIC_Jd1g-ukT9M1y-uYZSPcz08DyJ6/view?usp=sharing</t>
  </si>
  <si>
    <t>AMIYA GHOSH</t>
  </si>
  <si>
    <t>53120134415</t>
  </si>
  <si>
    <t>IOUNAH</t>
  </si>
  <si>
    <t>https://drive.google.com/file/d/1kvQsGWqwVGhe6V-9eAzSB6gh3iHUA5aw/view?usp=sharing</t>
  </si>
  <si>
    <t>SUBHENDU SUR</t>
  </si>
  <si>
    <t>3529801365</t>
  </si>
  <si>
    <t>KJSPEZ</t>
  </si>
  <si>
    <t>https://drive.google.com/file/d/1tRk7IbeWSRgr1N4Dpl0u6PHqtV8eueSZ/view?usp=sharing</t>
  </si>
  <si>
    <t>SAIDUL MONDAL</t>
  </si>
  <si>
    <t>3529801369</t>
  </si>
  <si>
    <t>CLZFHD</t>
  </si>
  <si>
    <t>https://drive.google.com/file/d/1qaeI2w5qSCZ5meVd0JJEzK1t6C4zqh2M/view?usp=sharing</t>
  </si>
  <si>
    <t>SWAPAN MAITY</t>
  </si>
  <si>
    <t>3229803143</t>
  </si>
  <si>
    <t>YFKFBW</t>
  </si>
  <si>
    <t>https://drive.google.com/file/d/1UgK5n_f4Z0lVpLolPeiqCQAIcbLCuXJi/view?usp=sharing</t>
  </si>
  <si>
    <t>AVINASH MISHRA</t>
  </si>
  <si>
    <t>PWURAK</t>
  </si>
  <si>
    <t>https://drive.google.com/file/d/1GdXN9K6kuygh2uB6h4nqXCViKCxOwnYE/view?usp=sharing</t>
  </si>
  <si>
    <t>PARTHA BISWAS</t>
  </si>
  <si>
    <t>CQFZJT</t>
  </si>
  <si>
    <t>https://drive.google.com/file/d/1HXu5vJo6KkYwpVgD9liKtDFUUgLww9nw/view?usp=sharing</t>
  </si>
  <si>
    <t xml:space="preserve">        </t>
  </si>
  <si>
    <t>SAKTI RANJAN ROY</t>
  </si>
  <si>
    <t>UXWXNI</t>
  </si>
  <si>
    <t>SUJOY KANTI DHALI</t>
  </si>
  <si>
    <t>53162050061</t>
  </si>
  <si>
    <t>ZZDNLW</t>
  </si>
  <si>
    <t>https://drive.google.com/file/d/1A8-w1PF4cs5EqXkSMWLd02VKQIXCs9T2/view?usp=sharing</t>
  </si>
  <si>
    <t>TAPAS KUMAR DEY</t>
  </si>
  <si>
    <t>53162131227</t>
  </si>
  <si>
    <t>LDQHPU</t>
  </si>
  <si>
    <t>https://drive.google.com/file/d/1H5SPAZ15tpQdSmWamGu-A7R4EhuP6va_/view?usp=sharing</t>
  </si>
  <si>
    <t>HIMANGSHU DAS</t>
  </si>
  <si>
    <t>LSGDGK</t>
  </si>
  <si>
    <t>https://drive.google.com/file/d/1MILA1NoGy_3ni6fZkRm0TbVmVae_zOpn/view?usp=sharing</t>
  </si>
  <si>
    <t>MRITYUNJOY BISWAS</t>
  </si>
  <si>
    <t>KTUWBW</t>
  </si>
  <si>
    <t>https://drive.google.com/file/d/1fB7dYxati-JoGp6i_O3RTCqDko_0FTZG/view?usp=sharing</t>
  </si>
  <si>
    <t>ARIJIT BHATTACHARJYEE</t>
  </si>
  <si>
    <t>LXCRIF</t>
  </si>
  <si>
    <t>https://drive.google.com/file/d/1iBVxmbAlMGkzlmInBGI1p83clvSoD3vM/view?usp=sharing</t>
  </si>
  <si>
    <t>AJAY KUMAR RAJAK</t>
  </si>
  <si>
    <t>242IE140020</t>
  </si>
  <si>
    <t>KAUQWP</t>
  </si>
  <si>
    <t>https://drive.google.com/file/d/1r77mlovHvOfSu2V6XNxuFBCW4nI73AYf/view?usp=sharing</t>
  </si>
  <si>
    <t>SUMAN CHANDRA BARMAN</t>
  </si>
  <si>
    <t>HMTUMJ</t>
  </si>
  <si>
    <t>https://drive.google.com/file/d/1gzfP7LdPGUdrIint_HiXHo2kWiLJU6zd/view?usp=sharing</t>
  </si>
  <si>
    <t>DEBABRATA ADAK</t>
  </si>
  <si>
    <t>53162140069</t>
  </si>
  <si>
    <t>YMFIZY</t>
  </si>
  <si>
    <t>RAJIB BHUIYA</t>
  </si>
  <si>
    <t>IWNADI</t>
  </si>
  <si>
    <t>TARUN CHANDRA MANDAL</t>
  </si>
  <si>
    <t>YIIHRQ</t>
  </si>
  <si>
    <t>VICTOR ROY</t>
  </si>
  <si>
    <t>NZPOSZ</t>
  </si>
  <si>
    <t>https://drive.google.com/file/d/1GlEW3VRKUvvjtDbXmUWcsaGN0KJK_bKg/view?usp=share_link</t>
  </si>
  <si>
    <t>DEBASREE PANJA(HQ)</t>
  </si>
  <si>
    <t>3229803666</t>
  </si>
  <si>
    <t>XETGZT</t>
  </si>
  <si>
    <t>https://drive.google.com/file/d/1vGrIOKObX-Hbv1mQ8rtkLGzowXpbtRxx/view?usp=sharing</t>
  </si>
  <si>
    <t>03429802918</t>
  </si>
  <si>
    <t>RCXZLK</t>
  </si>
  <si>
    <t>https://drive.google.com/file/d/1aGXmicTcoQgg9_jPH73xHbkUU41xpo_k/view?usp=share_link</t>
  </si>
  <si>
    <t>ARNAB SAHA</t>
  </si>
  <si>
    <t>FWWDFU</t>
  </si>
  <si>
    <t>https://drive.google.com/file/d/1A14uFaj2cuyvS69zdWPXh4Y-E3oJLcmk/view?usp=share_link</t>
  </si>
  <si>
    <t>MANAS ROY</t>
  </si>
  <si>
    <t>IONYNZ</t>
  </si>
  <si>
    <t>PROSENJIT DAS</t>
  </si>
  <si>
    <t>ENGNXJ</t>
  </si>
  <si>
    <t>https://drive.google.com/file/d/1XptsGvd1wrW14OB8PF5gLx5XM8px3F3F/view?usp=share_link</t>
  </si>
  <si>
    <t>39215AB1680</t>
  </si>
  <si>
    <t>DBDLGR</t>
  </si>
  <si>
    <t>https://drive.google.com/file/d/1qqAzT7B6py17deIIKeOe9ALoGysG9bQT/view?usp=share_link</t>
  </si>
  <si>
    <t>ANIRBAN SEN</t>
  </si>
  <si>
    <t>39229801185</t>
  </si>
  <si>
    <t>PLGLTR</t>
  </si>
  <si>
    <t>SAROG KUMAR SARDER</t>
  </si>
  <si>
    <t>3429801261</t>
  </si>
  <si>
    <t>DZXLHT</t>
  </si>
  <si>
    <t>https://drive.google.com/file/d/1IBKFaWVbuq6KfIl7cAdNcJ8oorqBCDMI/view?usp=sharing</t>
  </si>
  <si>
    <t>MRINMAY BERA</t>
  </si>
  <si>
    <t>3429802936</t>
  </si>
  <si>
    <t>FNGFCC</t>
  </si>
  <si>
    <t>https://drive.google.com/file/d/16Gvo_2Cjb2IOD__zvSLW2EphlVyeL7iq/view?usp=share_link</t>
  </si>
  <si>
    <t>SOUMYA BHATTACHERJEE</t>
  </si>
  <si>
    <t>30229801969</t>
  </si>
  <si>
    <t>HCJDHE</t>
  </si>
  <si>
    <t>https://drive.google.com/file/d/1bHwc1x4aj8YDG8MiEkEQbTcLAsAUJ7aw/view?usp=sharing</t>
  </si>
  <si>
    <t>DIPTA MANDAL</t>
  </si>
  <si>
    <t>03429802911</t>
  </si>
  <si>
    <t>FJWEWT</t>
  </si>
  <si>
    <t>04/01/0190</t>
  </si>
  <si>
    <t>https://drive.google.com/file/d/1W7uT0wTMJdFeEHJZviLSMLm4KWavLznu/view?usp=share_link</t>
  </si>
  <si>
    <t>SUMITAVA MAJUMDER</t>
  </si>
  <si>
    <t>3429802897</t>
  </si>
  <si>
    <t>LJSXPA</t>
  </si>
  <si>
    <t>https://drive.google.com/file/d/1WTUyyBsX2faSkqePFdUHg9G4HXB-5fS1/view?usp=share_link</t>
  </si>
  <si>
    <t>NIRANJAN SHAW</t>
  </si>
  <si>
    <t>50200177520</t>
  </si>
  <si>
    <t>ZIBFXI</t>
  </si>
  <si>
    <t>https://drive.google.com/file/d/1MlJM4FsnlbBMs-2-i-woR4CLSAdc2KeK/view?usp=share_link</t>
  </si>
  <si>
    <t>RAMIZ HOSSAIN MULLICK</t>
  </si>
  <si>
    <t>3429802240</t>
  </si>
  <si>
    <t>WCHOZZ</t>
  </si>
  <si>
    <r>
      <rPr>
        <u/>
        <sz val="11"/>
        <color rgb="FF1155CC"/>
        <rFont val="Calibri, sans-serif"/>
      </rPr>
      <t>https://drive.google.com/file/d/1mR9UDah_P7854dAz4zipSNIy64RjuvfR/view?usp=share_link</t>
    </r>
  </si>
  <si>
    <t>ASHOK SUTAR</t>
  </si>
  <si>
    <t>ENHMRD</t>
  </si>
  <si>
    <t>https://drive.google.com/file/d/1geOf6S16RgwF6wYJrt7kQFDnaHpgxUDk/view?usp=share_link</t>
  </si>
  <si>
    <t>SUJAN ROY</t>
  </si>
  <si>
    <t>JZPHHM</t>
  </si>
  <si>
    <t>https://drive.google.com/file/d/1SerWm8v3phv9-Ec20jDeQHCsrAuKm8Xg/view?usp=share_link</t>
  </si>
  <si>
    <t>PRATIK SAMANTA</t>
  </si>
  <si>
    <t>3429802905</t>
  </si>
  <si>
    <t>TFJRYF</t>
  </si>
  <si>
    <t>https://drive.google.com/file/d/16eCYkqhbtXbs2UquwKUHApS9DaccqYIL/view?usp=share_link</t>
  </si>
  <si>
    <t>DEBASISH SARKAR</t>
  </si>
  <si>
    <t>GRPBIU</t>
  </si>
  <si>
    <t>SUKHENDU KABI</t>
  </si>
  <si>
    <t>3429802894</t>
  </si>
  <si>
    <t>UQKYFE</t>
  </si>
  <si>
    <t>https://drive.google.com/file/d/1eDHvS0G9FJc7zfGIXLeHgLJcSoGpsgWr/view?usp=share_link</t>
  </si>
  <si>
    <t>SAMRAT NASKAR</t>
  </si>
  <si>
    <t>3429802892</t>
  </si>
  <si>
    <t>ULWXXA</t>
  </si>
  <si>
    <t>https://drive.google.com/file/d/1K-fqcvCbNMsT4qvbjkysg7UkQP3U1wKK/view?usp=share_link</t>
  </si>
  <si>
    <t>ISMAIL SARKAR</t>
  </si>
  <si>
    <t>03429801846</t>
  </si>
  <si>
    <t>CXXLZU</t>
  </si>
  <si>
    <t>https://drive.google.com/file/d/1jd8gTxZNNf6xv2TfBES_8qaCDA1yZjwb/view?usp=share_link</t>
  </si>
  <si>
    <t>BIKASH KANTI SARKAR</t>
  </si>
  <si>
    <t>50205827930</t>
  </si>
  <si>
    <t>MOTKTO</t>
  </si>
  <si>
    <t>https://drive.google.com/file/d/1A91Lf5B9ybTPxuSD9tgwFhlUehQ6_pPG/view?usp=sharing</t>
  </si>
  <si>
    <t>KISHORE KR SINGH</t>
  </si>
  <si>
    <t>50208342891</t>
  </si>
  <si>
    <t>FZNDOD</t>
  </si>
  <si>
    <t>https://drive.google.com/file/d/1KClmfDOHjGbqjXg7jEwUM61JLPHnCKaj/view?usp=sharing</t>
  </si>
  <si>
    <t>SANJAY KUMAR</t>
  </si>
  <si>
    <t>50205420970</t>
  </si>
  <si>
    <t>NLDLTA</t>
  </si>
  <si>
    <t>https://drive.google.com/file/d/1jhUOky_UJXnHUOgx-NLXum-hUgiQll_i/view?usp=sharing</t>
  </si>
  <si>
    <t>https://drive.google.com/file/d/1Rma-rURE1dfwRi1-mS97wL50IHiNOET7/view?usp=sharing</t>
  </si>
  <si>
    <t>SHIB SHANKAR PAL</t>
  </si>
  <si>
    <t>50205392111</t>
  </si>
  <si>
    <t>OTZIXI</t>
  </si>
  <si>
    <t>https://drive.google.com/file/d/11xOtWJojtdaYqWy2y0CocBiS55CGV3sO/view?usp=sharing</t>
  </si>
  <si>
    <t>50205421056</t>
  </si>
  <si>
    <t>SANTANU TRIPATHY</t>
  </si>
  <si>
    <t>50204697741</t>
  </si>
  <si>
    <t>ZENKWD</t>
  </si>
  <si>
    <t>https://drive.google.com/file/d/1sG7apNy5qo-Tqo1xam7vH0W4U5JZA1U9/view?usp=sharing</t>
  </si>
  <si>
    <t>KAMAL DAS</t>
  </si>
  <si>
    <t>50200087907</t>
  </si>
  <si>
    <t>RHRQUD</t>
  </si>
  <si>
    <t>https://drive.google.com/file/d/1UAZWM3eQwvfo-rAUVU3vTSi1aBO5YyDQ/view?usp=sharing</t>
  </si>
  <si>
    <t>PARIMAL CHANDRA RAY</t>
  </si>
  <si>
    <t>50204091152</t>
  </si>
  <si>
    <t>IQHENL</t>
  </si>
  <si>
    <t>https://drive.google.com/file/d/1eMPc8ld3tscr4sD-mm4Qa31cy3ZoSFdu/view?usp=sharing</t>
  </si>
  <si>
    <t>https://drive.google.com/file/d/1CIEV0-4qyUe62zUZVrUs01escVHe0vpp/view?usp=sharing</t>
  </si>
  <si>
    <t>SAHAR IQBAL</t>
  </si>
  <si>
    <t>50205607670</t>
  </si>
  <si>
    <t>DJCWJP</t>
  </si>
  <si>
    <t>https://drive.google.com/file/d/1AoQUq-I-qwkQ4wsJPqC7GBTiqyuITx6i/view?usp=sharing</t>
  </si>
  <si>
    <t>https://drive.google.com/file/d/1XbuUurLkv0WoIAASm_OLzjkpYbvQq_jG/view?usp=sharing</t>
  </si>
  <si>
    <t>SUBHRAJIT KOLEY</t>
  </si>
  <si>
    <t>50205607218</t>
  </si>
  <si>
    <t>HCNUUR</t>
  </si>
  <si>
    <t>https://drive.google.com/file/d/1lyUF4FOKAYOibCQn1PwxzPcn64iSCJCj/view?usp=sharing</t>
  </si>
  <si>
    <t>https://drive.google.com/file/d/1ITYfX0sIUAzOWV1PLk2ERFItQ8nqyk1o/view?usp=sharing</t>
  </si>
  <si>
    <t>TAPAS SADHUKHAN</t>
  </si>
  <si>
    <t>50205607371</t>
  </si>
  <si>
    <t>ZTLXTW</t>
  </si>
  <si>
    <t>https://drive.google.com/file/d/14sfNZppjMkLtbWu08MColvWGqlBdtpFN/view?usp=sharing</t>
  </si>
  <si>
    <t>https://drive.google.com/file/d/1ohMVI8lH8s6IqedanBU6qxvVahb55Fhh/view?usp=sharing</t>
  </si>
  <si>
    <t>TAPAN KUMAR BISWAS</t>
  </si>
  <si>
    <t>50207352542</t>
  </si>
  <si>
    <t>MPZFLQ</t>
  </si>
  <si>
    <t>https://drive.google.com/file/d/1DBBu9LEl0gv9sw7AwNw3a1RuBiIxXL2l/view?usp=sharing</t>
  </si>
  <si>
    <t>https://drive.google.com/file/d/1voG70uRLZ9ep5o2l8GQNizDFWyhJlksN/view?usp=sharing</t>
  </si>
  <si>
    <t>NANDLAL PRASAD</t>
  </si>
  <si>
    <t>50205407175</t>
  </si>
  <si>
    <t>WHNTPC</t>
  </si>
  <si>
    <t>https://drive.google.com/file/d/1_9wfwlCEt_tGNlCdUg59UyPaGNjur4OQ/view?usp=sharing</t>
  </si>
  <si>
    <t>KABIR SEN</t>
  </si>
  <si>
    <t>50205355382</t>
  </si>
  <si>
    <t>XKHNXG</t>
  </si>
  <si>
    <t>https://drive.google.com/file/d/1hw-16SNerUSrr967_UtefTGhH1-lRm5a/view?usp=sharing</t>
  </si>
  <si>
    <t>SURYA BANSH …</t>
  </si>
  <si>
    <t>50205500254</t>
  </si>
  <si>
    <t>OCHMAZ</t>
  </si>
  <si>
    <t>https://drive.google.com/file/d/1zZFbtDxnkvq-NZ8mn7C9UewYVIVBLkYG/view?usp=sharing</t>
  </si>
  <si>
    <t>https://drive.google.com/file/d/1x9gQQDDUBjAZwyeJNOWIAJEo17xoDqTU/view?usp=sharing</t>
  </si>
  <si>
    <t>ARUNAVA PAL</t>
  </si>
  <si>
    <t>50205421032</t>
  </si>
  <si>
    <t>EOKRLA</t>
  </si>
  <si>
    <t>https://drive.google.com/file/d/1HAUGkCl7Z9jTCreIH-tIhBpfFRQpXs6Q/view?usp=sharing</t>
  </si>
  <si>
    <t>https://drive.google.com/file/d/155UoFmz7yQaiiWiXwPlrV2-QeLu5_HWR/view?usp=share_link</t>
  </si>
  <si>
    <t>SUBIR MALLICK</t>
  </si>
  <si>
    <t>50205420842</t>
  </si>
  <si>
    <t>XTPFGE</t>
  </si>
  <si>
    <t>https://drive.google.com/file/d/1DKH8SuNkgCj5owXFxcBOHLyQklKeMUQY/view?usp=sharing</t>
  </si>
  <si>
    <t>15/09/2015(F)</t>
  </si>
  <si>
    <t>https://drive.google.com/file/d/1p67p-GM29AGB-NcbmmGI5gOxlh7GNhgQ/view?usp=sharing</t>
  </si>
  <si>
    <t>GOPAL CHANDRA HALDER</t>
  </si>
  <si>
    <t>50205407280</t>
  </si>
  <si>
    <t>FMXINE</t>
  </si>
  <si>
    <t>SUJAY MISTRY</t>
  </si>
  <si>
    <t>50205407140</t>
  </si>
  <si>
    <t>KBQYQL</t>
  </si>
  <si>
    <t>https://drive.google.com/file/d/1If_leSGaifJkOi82HrKpDlfJXtJaF_OO/view?usp=sharing</t>
  </si>
  <si>
    <t>JITENDRA PRASAD</t>
  </si>
  <si>
    <t>50274869449</t>
  </si>
  <si>
    <t>UHWBMM</t>
  </si>
  <si>
    <t>https://drive.google.com/file/d/1vYmYqGeb61pqPwWpn-1-MUm-s0Ym4WgN/view?usp=sharing</t>
  </si>
  <si>
    <t>https://drive.google.com/file/d/1QZ3KsKobcG0UpXIkTOXDn1hXVGoSgmbk/view?usp=sharing</t>
  </si>
  <si>
    <t>https://drive.google.com/file/d/1ox-5xrswWV9Rm7SkuUth9j2a3ErhGOM_/view?usp=sharing</t>
  </si>
  <si>
    <t>AMAN ANAND</t>
  </si>
  <si>
    <t>50205607978</t>
  </si>
  <si>
    <t>TQNIBJ</t>
  </si>
  <si>
    <t>https://drive.google.com/file/d/16Eabn0L0vfnk7HU_EFf-FURnvuc3WcCQ/view?usp=sharing</t>
  </si>
  <si>
    <t>MADHAV CHANDRA SAWAIYAN</t>
  </si>
  <si>
    <t>50205618484</t>
  </si>
  <si>
    <t>ZPWJMO</t>
  </si>
  <si>
    <t>https://drive.google.com/file/d/1DasBHaa3Hihj-85VGsLVfHF6ew4vUWVd/view?usp=sharing</t>
  </si>
  <si>
    <t>UTTAM KUMAR ROY I</t>
  </si>
  <si>
    <t>50205612159</t>
  </si>
  <si>
    <t>RUFBLF</t>
  </si>
  <si>
    <t>https://drive.google.com/file/d/1gTEgo6T48h2xo5uVWB1xWKRRRjlWARUg/view?usp=sharing</t>
  </si>
  <si>
    <t>MUKESH KR VERMA</t>
  </si>
  <si>
    <t>50200114674</t>
  </si>
  <si>
    <t>CTWFDU</t>
  </si>
  <si>
    <t>https://drive.google.com/file/d/11foSi5tXCs8LQ7bQ5a3kavKZTsx2BKqt/view?usp=sharing</t>
  </si>
  <si>
    <t>NIRMAL SARKAR</t>
  </si>
  <si>
    <t>50210338548</t>
  </si>
  <si>
    <t>WBUKFL</t>
  </si>
  <si>
    <t>https://drive.google.com/file/d/10XuGrowsfc8Z-nvTN4LjW7dUYBhFjRQ5/view?usp=sharing</t>
  </si>
  <si>
    <t>BIBHUTI BHUSAN BOSE</t>
  </si>
  <si>
    <t>50204040118</t>
  </si>
  <si>
    <t>MXHZKL</t>
  </si>
  <si>
    <t>https://drive.google.com/file/d/1mTDjKxeEH4HTGFgohyqiqTTH4cUVE-SN/view?usp=sharing</t>
  </si>
  <si>
    <t>SACHINDRA NATH MAJUMDER</t>
  </si>
  <si>
    <t>TQGYEJ</t>
  </si>
  <si>
    <t>https://drive.google.com/file/d/1id1kQeYXi7d1AvYKQc1MQLNL4IE1LX9Q/view?usp=sharing</t>
  </si>
  <si>
    <t>ASHIM SHAW</t>
  </si>
  <si>
    <t>00211344439</t>
  </si>
  <si>
    <t>XSSHBM</t>
  </si>
  <si>
    <t>https://drive.google.com/file/d/1WsTv4fciIU5oKvT9Z2rsXNvzXtSS-KfK/view?usp=sharing</t>
  </si>
  <si>
    <t>https://drive.google.com/file/d/1Jey-Jzq0P4lE1CwpGDCuQwFKgw4zv3fE/view?usp=sharing</t>
  </si>
  <si>
    <t>SUVLESH KUMAR(MJT)</t>
  </si>
  <si>
    <t>50205618083</t>
  </si>
  <si>
    <t>PAXGWI</t>
  </si>
  <si>
    <t>https://drive.google.com/file/d/1irJv32oxB03dch52xrJy47yLp76LViTv/view?usp=sharing</t>
  </si>
  <si>
    <t>SANTANU ROY</t>
  </si>
  <si>
    <t>50205618150</t>
  </si>
  <si>
    <t>IACCLH</t>
  </si>
  <si>
    <t>https://drive.google.com/file/d/1406RfbsBCVirZ87-fvQ4Gpr2a-gGJB2X/view?usp=sharing</t>
  </si>
  <si>
    <t>https://drive.google.com/file/d/10qDAE8kK3dcD6ntT0tV51sgcZHOLnmhc/view?usp=sharing</t>
  </si>
  <si>
    <t>https://drive.google.com/file/d/1-p5sXNYJLUowkig9TwHLC6YWGkfOLu8S/view?usp=sharing</t>
  </si>
  <si>
    <t>BISWAJIT SARKAR I</t>
  </si>
  <si>
    <t>50205617728</t>
  </si>
  <si>
    <t>PFODXD</t>
  </si>
  <si>
    <t>https://drive.google.com/file/d/1mOONZwiZ_aPk6qmtcMU1uSuyLSikuKoU/view?usp=sharing</t>
  </si>
  <si>
    <t>https://drive.google.com/file/d/19ei6YZYPEi6qmGXKK04KjE7ZZsbn7YcT/view?usp=sharing</t>
  </si>
  <si>
    <t>SATYAJIT BISWAS/I</t>
  </si>
  <si>
    <t>JMXUUQ</t>
  </si>
  <si>
    <t>https://drive.google.com/file/d/1Zc6OOuyttHWAICnpRPxMjl9XGJWW71iN/view?usp=sharing</t>
  </si>
  <si>
    <t>https://drive.google.com/file/d/1rSlZePxKY7252zdmFZpUAAr_cyOSLcU2/view?usp=sharing</t>
  </si>
  <si>
    <t>BAPAN GHOSH</t>
  </si>
  <si>
    <t>CCOYDB</t>
  </si>
  <si>
    <t>https://drive.google.com/file/d/1P30MDgkoc5yYPbnkVf91OQwjZPcWOpbs/view?usp=sharing</t>
  </si>
  <si>
    <t>https://drive.google.com/file/d/1bX4LPYmxGIzDL-4dO1oyuk_JDn1akF_q/view?usp=sharing</t>
  </si>
  <si>
    <t>SANJAY HALDAR II</t>
  </si>
  <si>
    <t>KOQTBS</t>
  </si>
  <si>
    <t>https://drive.google.com/file/d/10k52KhGeYpb-Mht-R72YrvWOMYulSuCe/view?usp=sharing</t>
  </si>
  <si>
    <t>https://drive.google.com/file/d/1y6JmjXoIU6aF_gR7mlV36Jk-OlnJZ919/view?usp=sharing</t>
  </si>
  <si>
    <t>ABHIJIT KUMAR SHAW</t>
  </si>
  <si>
    <t>53107900790</t>
  </si>
  <si>
    <t>MQNALO</t>
  </si>
  <si>
    <t>https://drive.google.com/file/d/10m-WLHkvePVGHFCcBZ7JUCspenNyAVvK/view?usp=sharing</t>
  </si>
  <si>
    <t>Amaresh Ghosh</t>
  </si>
  <si>
    <t>50205677749</t>
  </si>
  <si>
    <t>QGMYNO</t>
  </si>
  <si>
    <t>https://drive.google.com/file/d/1R3EdTWkFw3Zcmc12955vUFtT2JJCDDFE/view?usp=sharing</t>
  </si>
  <si>
    <t>Amik Banerjee</t>
  </si>
  <si>
    <t>50205677956</t>
  </si>
  <si>
    <t>ANULPW</t>
  </si>
  <si>
    <t>https://drive.google.com/file/d/1Lf4kmzxPLzw0SCRVoJbnJ_4LbCtyXq-V/view?usp=sharing</t>
  </si>
  <si>
    <t>Anirban Banerjee</t>
  </si>
  <si>
    <t>50205677853</t>
  </si>
  <si>
    <t>YSLYPU</t>
  </si>
  <si>
    <t>https://drive.google.com/file/d/1cLgq4F8r4rr1t2CELfI1_NuanEe8TBC-/view?usp=sharing</t>
  </si>
  <si>
    <t>https://drive.google.com/file/d/1LTusNZI7gLmFzIIZ7l3-UC5YbI4HHe6p/view?usp=drive_link</t>
  </si>
  <si>
    <t>Anway Chakraborty(DSL)</t>
  </si>
  <si>
    <t>50205677865</t>
  </si>
  <si>
    <t>HKRFZG</t>
  </si>
  <si>
    <t>https://drive.google.com/file/d/102gp2iVNGN3AcQ_couinwe-qeQ_r3lvN/view?usp=sharing</t>
  </si>
  <si>
    <t>Ashim Sarkar</t>
  </si>
  <si>
    <t>3529801125</t>
  </si>
  <si>
    <t>MQFXBG</t>
  </si>
  <si>
    <t>https://drive.google.com/file/d/1yj8ssEhuu3mlsp8ppH1CgCc2slcQ3Bb1/view?usp=sharing</t>
  </si>
  <si>
    <t>https://drive.google.com/file/d/1gqzoaF73fe0TIHHRskei02zkq5XxXzN7/view?usp=share_link</t>
  </si>
  <si>
    <t>BENAY SARKAR</t>
  </si>
  <si>
    <t>53162089510</t>
  </si>
  <si>
    <t>JFPEMA</t>
  </si>
  <si>
    <t>https://drive.google.com/file/d/1HFLIB5fkRqQRmdjb8-UsweG9fZxpYWYs/view?usp=sharing</t>
  </si>
  <si>
    <t>https://drive.google.com/file/d/14Jb_Gf0hOLaOBGptXhA_VAV8eMtdA-N2/view?usp=share_link</t>
  </si>
  <si>
    <t>BISWAJIT MONDALII</t>
  </si>
  <si>
    <t>3429801275</t>
  </si>
  <si>
    <t>UZRBIH</t>
  </si>
  <si>
    <t>https://drive.google.com/file/d/1eW0crC_R4PTB7IMClBjy3hY_ZVfbb90G/view?usp=sharing</t>
  </si>
  <si>
    <t>https://drive.google.com/file/d/13LjU_dMwQWTIDwZ4ma_Lw2hP9P3iLB-9/view?usp=drive_link</t>
  </si>
  <si>
    <t>Chandan Bhar</t>
  </si>
  <si>
    <t>50205677932</t>
  </si>
  <si>
    <t>YZJTBH</t>
  </si>
  <si>
    <t>https://drive.google.com/file/d/18PaOEAdx_e3AVpSkcFEzeZKsHRnUc1ot/view?usp=sharing</t>
  </si>
  <si>
    <t>CHANDAN KUMAR IV</t>
  </si>
  <si>
    <t>50205670688</t>
  </si>
  <si>
    <t>YZOFRQ</t>
  </si>
  <si>
    <t>https://drive.google.com/file/d/1MDy7vBq_1NP01re_aYz_94DmEWHaW6Zt/view?usp=sharing</t>
  </si>
  <si>
    <t>Deboprasad Chakraborty</t>
  </si>
  <si>
    <t>03429801822</t>
  </si>
  <si>
    <t>KPQPQA</t>
  </si>
  <si>
    <t>https://drive.google.com/file/d/1HFIgow-EiYHEwrRwHJXx6OvD5bCtaEBt/view?usp=sharing</t>
  </si>
  <si>
    <t>DHIRENDRA KUMAR</t>
  </si>
  <si>
    <t>03429801864</t>
  </si>
  <si>
    <t>FUTBHJ</t>
  </si>
  <si>
    <t>https://drive.google.com/file/d/1vaqfdbnzirjQSH6jkkfuKnuPoVlFidw1/view?usp=sharing</t>
  </si>
  <si>
    <t>Dip Mondal</t>
  </si>
  <si>
    <t>50205677981</t>
  </si>
  <si>
    <t>MEJNZF</t>
  </si>
  <si>
    <t>https://drive.google.com/file/d/1FmMVWtFzUg0Pq4YXL3YeK0pml-MLKSeu/view?usp=sharing</t>
  </si>
  <si>
    <t>https://drive.google.com/file/d/1wsEoJjYbqbo_J5v-RFadUa12uE3uvaV8/view?usp=drive_link</t>
  </si>
  <si>
    <t>GOUTAM DEBNATH</t>
  </si>
  <si>
    <t>03829801054</t>
  </si>
  <si>
    <t>OQFKIS</t>
  </si>
  <si>
    <t>https://drive.google.com/file/d/1UMk3aJo7hpzLN5UdKTtpG84jNhzPgcNt/view?usp=drive_link</t>
  </si>
  <si>
    <t>53120162101</t>
  </si>
  <si>
    <t>YTRTLX</t>
  </si>
  <si>
    <t>https://drive.google.com/file/d/12GSTMtzOeNfkmtG2Y94zqo152AgPy4gk/view?usp=sharing</t>
  </si>
  <si>
    <t>KRISHNA KUMAR SHARMA</t>
  </si>
  <si>
    <t>3429801858</t>
  </si>
  <si>
    <t>KHPNCG</t>
  </si>
  <si>
    <t>https://drive.google.com/file/d/1szxf3aZ3mS6Ak54Nejuc4AcduJHwWkGt/view?usp=sharing</t>
  </si>
  <si>
    <t>https://drive.google.com/file/d/11D0FMVq0hRWJR_OdhnjAb-Z4QEbVt3h2/view?usp=share_link</t>
  </si>
  <si>
    <t>Manisha Adak</t>
  </si>
  <si>
    <t>50205677622</t>
  </si>
  <si>
    <t>COMTGN</t>
  </si>
  <si>
    <t>https://drive.google.com/file/d/1vC_PkQ6zvn9618ihRUSnl6LTPr4EHNUO/view?usp=sharing</t>
  </si>
  <si>
    <t>Md Jahurul Pir</t>
  </si>
  <si>
    <t>50205678067</t>
  </si>
  <si>
    <t>PCRJWS</t>
  </si>
  <si>
    <t>https://drive.google.com/file/d/10zF53Vu2Jyf6hJfzSXn0rF1xAtP3eITz/view?usp=sharing</t>
  </si>
  <si>
    <t>PANKAJ KUMARII</t>
  </si>
  <si>
    <t>27529800638</t>
  </si>
  <si>
    <t>KRGHSD</t>
  </si>
  <si>
    <t>https://drive.google.com/file/d/17TIdXUmpqMDddprbpPXCN9wsZup5Hl-F/view?usp=sharing</t>
  </si>
  <si>
    <t>PRADIPTA BOSE</t>
  </si>
  <si>
    <t>39329800742</t>
  </si>
  <si>
    <t>WIWTEE</t>
  </si>
  <si>
    <t>https://drive.google.com/file/d/1V6De-1QgpwFpkxo6GmUQdG1HzySLAA87/view?usp=sharing</t>
  </si>
  <si>
    <t>https://drive.google.com/file/d/1aDOgKIvqOgaWyDr3BfxzwC3-pD6J_zWU/view?usp=drive_link</t>
  </si>
  <si>
    <t>PRASUN BANERJEE</t>
  </si>
  <si>
    <t>53120134453</t>
  </si>
  <si>
    <t>HXWFDD</t>
  </si>
  <si>
    <t>https://drive.google.com/file/d/19UgBUm8ghMqVu8n3O-EikHLeZ9NN3wuc/view?usp=sharing</t>
  </si>
  <si>
    <t>https://drive.google.com/file/d/155Y5YtgUpnOZH8tJyRzvNDwY5OjPR-j-/view?usp=drive_link</t>
  </si>
  <si>
    <t>PREM PRAKASH VERMA</t>
  </si>
  <si>
    <t>50205670690</t>
  </si>
  <si>
    <t>UJOXSH</t>
  </si>
  <si>
    <t>https://drive.google.com/file/d/12qunH76VzHYAfob8--6AtZxbufmP8kzD/view?usp=sharing</t>
  </si>
  <si>
    <t>https://drive.google.com/file/d/1SZjffC-qeWbs3O1T2yFiHGVtsEshWUpE/view?usp=drive_link</t>
  </si>
  <si>
    <t>Rajdip Patra</t>
  </si>
  <si>
    <t>50205677830</t>
  </si>
  <si>
    <t>AFJPHU</t>
  </si>
  <si>
    <t>https://drive.google.com/file/d/17cDDiUpPfQRDE8LavKi-ljEBpQEv0tZD/view?usp=sharing</t>
  </si>
  <si>
    <t>https://drive.google.com/file/d/1dT0_oXQ8xkW--tAh9SJXro3XtgF_jySS/view?usp=drive_link</t>
  </si>
  <si>
    <t>Rima Sarkar</t>
  </si>
  <si>
    <t>50205677798</t>
  </si>
  <si>
    <t>ZKTKFW</t>
  </si>
  <si>
    <t>https://drive.google.com/file/d/1VFOgOpDxkPXKAgG0xjPuIhVeYFq6tEWZ/view?usp=sharing</t>
  </si>
  <si>
    <t>https://drive.google.com/file/d/1DQ-SsjIoVanHSnyozbs61-nSM2cJ0S7p/view?usp=drive_link</t>
  </si>
  <si>
    <t>Rishi Raj</t>
  </si>
  <si>
    <t>50205678213</t>
  </si>
  <si>
    <t>PIANBO</t>
  </si>
  <si>
    <t>https://drive.google.com/file/d/1_15fee1OO2SO7vMXA6OMPm5fO50Qb0LS/view?usp=sharing</t>
  </si>
  <si>
    <t>Sampa Sarkar</t>
  </si>
  <si>
    <t>50205677658</t>
  </si>
  <si>
    <t>LMQUQN</t>
  </si>
  <si>
    <t>https://drive.google.com/file/d/1Js6pfNwE5RIbIGTYBOWAXzUde3sFLC85/view?usp=sharing</t>
  </si>
  <si>
    <t>50205672363</t>
  </si>
  <si>
    <t>YRWQSF</t>
  </si>
  <si>
    <t>https://drive.google.com/file/d/1GcvAWUmM4p54DKR_iJ5lYiAlTMctv__q/view?usp=sharing</t>
  </si>
  <si>
    <t>https://drive.google.com/file/d/19Oomp_QBd28n4CechIj_l2M2J8GeoVjn/view?usp=drive_link</t>
  </si>
  <si>
    <t>SATYAJIT HALDER</t>
  </si>
  <si>
    <t>50205520460</t>
  </si>
  <si>
    <t>SMPDAS</t>
  </si>
  <si>
    <t>https://drive.google.com/file/d/1yuRryWSAshEKunc3q9qGd4_9xdpLcwKq/view?usp=sharing</t>
  </si>
  <si>
    <t>SAURABH BISWAS</t>
  </si>
  <si>
    <t>03429800241</t>
  </si>
  <si>
    <t>IQUSZP</t>
  </si>
  <si>
    <t>https://drive.google.com/file/d/1zNrMzQo_kY1GYhQ_8NeuU_30Z07RVUx6/view?usp=sharing</t>
  </si>
  <si>
    <t>https://drive.google.com/file/d/1nDCaXa7a-MQUMEOl5MK2d5urT4Ici6fz/view?usp=drive_link</t>
  </si>
  <si>
    <t>SHAMBHU KUMAR</t>
  </si>
  <si>
    <t>50205520502</t>
  </si>
  <si>
    <t>MDFXUZ</t>
  </si>
  <si>
    <t>Shrabani Mondal</t>
  </si>
  <si>
    <t>50205678134</t>
  </si>
  <si>
    <t>LYUYKR</t>
  </si>
  <si>
    <t>https://drive.google.com/file/d/1OdBgp7QS0zOkIvJt_Pa59MbuU53GuYL9/view?usp=sharing</t>
  </si>
  <si>
    <t>SMT KARUNA PAUL</t>
  </si>
  <si>
    <t>53162131089</t>
  </si>
  <si>
    <t>UQZJGP</t>
  </si>
  <si>
    <t>https://drive.google.com/file/d/1OWIje1gWZ0SVFQ6BzHKQTHxh7UCW_1ky/view?usp=sharing</t>
  </si>
  <si>
    <t>https://drive.google.com/file/d/1R8xVpAU0Bf1Hnq6ze5haYdpiVfA0Nwzv/view?usp=drive_link</t>
  </si>
  <si>
    <t>SOUMAJYOTI BAR</t>
  </si>
  <si>
    <t>3429800242</t>
  </si>
  <si>
    <t>KTKBNG</t>
  </si>
  <si>
    <t>https://drive.google.com/file/d/1Ps7zLODisndya9s3_5LTqEus7FoyKgUT/view?usp=sharing</t>
  </si>
  <si>
    <t>Sourav Dey</t>
  </si>
  <si>
    <t>50205677994</t>
  </si>
  <si>
    <t>LGEZSE</t>
  </si>
  <si>
    <t>https://drive.google.com/file/d/1t645cAxAg8jTpYvfRS7_TSQs_ZJOo_CF/view?usp=sharing</t>
  </si>
  <si>
    <t>Sourav Pramanick</t>
  </si>
  <si>
    <t>50205677609</t>
  </si>
  <si>
    <t>YTPXYJ</t>
  </si>
  <si>
    <t>https://drive.google.com/file/d/10mUlx6RYTb3RdPpGgpLqzX2YIPZSys5J/view?usp=sharing</t>
  </si>
  <si>
    <t>Sourav Sikder</t>
  </si>
  <si>
    <t>50205677944</t>
  </si>
  <si>
    <t>SHMLYI</t>
  </si>
  <si>
    <t>https://drive.google.com/file/d/1YYv71qrIFc_XMtc1Fsi-vTK7-GNT3u1A/view?usp=sharing</t>
  </si>
  <si>
    <t>SUJIT HALDER</t>
  </si>
  <si>
    <t>50205522614</t>
  </si>
  <si>
    <t>BKHWFA</t>
  </si>
  <si>
    <t>https://drive.google.com/file/d/1wWER5nz7hcL2r91oYQ1Jx125PS1R4L4e/view?usp=sharing</t>
  </si>
  <si>
    <t>SUNIT KR GHOSH</t>
  </si>
  <si>
    <t>50205358346</t>
  </si>
  <si>
    <t>GWUOZC</t>
  </si>
  <si>
    <t>https://drive.google.com/file/d/1RnFQYtBsYeD4L_2gX_qXCsJxyS-EIT9u/view?usp=sharing</t>
  </si>
  <si>
    <t>Supriya Sarkar</t>
  </si>
  <si>
    <t>50205677806</t>
  </si>
  <si>
    <t>IOUHJS</t>
  </si>
  <si>
    <t>https://drive.google.com/file/d/1D5SWgh_MEJ78kdhwlRU31AzBNethbAhY/view?usp=sharing</t>
  </si>
  <si>
    <t>https://drive.google.com/file/d/104o5SdF4duIiHqRIz7HN5xJSRtxLomX7/view?usp=drive_link</t>
  </si>
  <si>
    <t>TANMAYA ACHARJYA</t>
  </si>
  <si>
    <t>53162131055</t>
  </si>
  <si>
    <t>BTJRYJ</t>
  </si>
  <si>
    <t>https://drive.google.com/file/d/1Qh9xdht4Nw8FxR1Mkn-HiMtzwQJtV9CJ/view?usp=sharing</t>
  </si>
  <si>
    <t>Tanmoy Naskar</t>
  </si>
  <si>
    <t>50205677889</t>
  </si>
  <si>
    <t>HROSDP</t>
  </si>
  <si>
    <t>https://drive.google.com/file/d/1t4s8cFaCSd5K8SXQOVBwejMzHQn0kUBA/view?usp=sharing</t>
  </si>
  <si>
    <t>https://drive.google.com/file/d/17-l7W1Cyph7_Rm4IISD-6JWeo84E_0tI/view?usp=drive_link</t>
  </si>
  <si>
    <t>TANMOY ROY</t>
  </si>
  <si>
    <t>50211518303</t>
  </si>
  <si>
    <t>PUYURD</t>
  </si>
  <si>
    <t>https://drive.google.com/file/d/156pQ75EYsICc5RdXzZoM4Kb8ouUMMnbM/view?usp=sharing</t>
  </si>
  <si>
    <t>https://drive.google.com/file/d/1cMNWAAuvbilvj9oQtkOItbhlIO1hBEzP/view?usp=sharing</t>
  </si>
  <si>
    <t>TARUN KUMAR BAIDYA</t>
  </si>
  <si>
    <t>03429800688</t>
  </si>
  <si>
    <t>FOMCXQ</t>
  </si>
  <si>
    <t>https://drive.google.com/file/d/1NSctlzxIJajvd_B6qRZaQXDW9lkAjaMa/view?usp=drive_link</t>
  </si>
  <si>
    <t>UTTAM SARKAR</t>
  </si>
  <si>
    <t>53106020231</t>
  </si>
  <si>
    <t>ZHIIYN</t>
  </si>
  <si>
    <t>https://drive.google.com/file/d/1EUZ2jpd2cP0gkChLB1RTaLUP4J5Eu2de/view?usp=sharing</t>
  </si>
  <si>
    <t>https://drive.google.com/file/d/1D2A8JaU9RbUrMhaNsuFbTE25MerVUDnh/view?usp=share_link</t>
  </si>
  <si>
    <t>Uday Ballav</t>
  </si>
  <si>
    <t>50205678159</t>
  </si>
  <si>
    <t>WKFKJU</t>
  </si>
  <si>
    <t>https://drive.google.com/file/d/14lOVFg_qwA44D6sgcRXIcXkedQQcVPK6/view?usp=sharing</t>
  </si>
  <si>
    <t>DIBYENDU SAHA</t>
  </si>
  <si>
    <t>3529801268</t>
  </si>
  <si>
    <t>BCXDAW</t>
  </si>
  <si>
    <t>https://drive.google.com/file/d/1vP-CcatrLBkVWJPnMBRPnzHZuFYTBoJ6/view?usp=sharing</t>
  </si>
  <si>
    <t>Madhurima Goswami</t>
  </si>
  <si>
    <t>50205677750</t>
  </si>
  <si>
    <t>OXJQFI</t>
  </si>
  <si>
    <t>https://drive.google.com/file/d/122UbjPlWbX4QC9pcFifgEG0dh1odI1qp/view?usp=sharing</t>
  </si>
  <si>
    <t>Shayan Das</t>
  </si>
  <si>
    <t>50205678882</t>
  </si>
  <si>
    <t>BSBWDG</t>
  </si>
  <si>
    <t>https://drive.google.com/file/d/1pUBEBHokr3EJZNwcgLPcqC_1yhDPQwiF/view?usp=sharing</t>
  </si>
  <si>
    <t>ASHIS KUMAR SAHA</t>
  </si>
  <si>
    <t>50205678870</t>
  </si>
  <si>
    <t>HBRPYC</t>
  </si>
  <si>
    <t>https://drive.google.com/file/d/1EoocFOexlRcJsZTqXZTpMvcX_wy4mJlf/view?usp=sharing</t>
  </si>
  <si>
    <t>ASHIM SARKAR</t>
  </si>
  <si>
    <t>50205690572</t>
  </si>
  <si>
    <t>GLUYAF</t>
  </si>
  <si>
    <t>https://drive.google.com/file/d/1QDMbbioRyr9uIt94MD3p8KHw2QmIZ0QG/view?usp=sharing</t>
  </si>
  <si>
    <t>Pramod Kumar Shaw</t>
  </si>
  <si>
    <t>50205690638</t>
  </si>
  <si>
    <t>LCLCIP</t>
  </si>
  <si>
    <t>https://drive.google.com/file/d/1Gcd_u8Z3oBQ8_izPlh7CKDctvMRCn8C8/view?usp=sharing</t>
  </si>
  <si>
    <t>Sukamya Kanti Joarder</t>
  </si>
  <si>
    <t>50205690614</t>
  </si>
  <si>
    <t>EXCIBK</t>
  </si>
  <si>
    <t>https://drive.google.com/file/d/16fnGX_Zdyvz0ULqNMtQrVw467s7PbW8_/view?usp=sharing</t>
  </si>
  <si>
    <t>https://drive.google.com/file/d/1ir65p2QOFZPZLAZZjQSUybyK2LCg2yhP/view?usp=sharing</t>
  </si>
  <si>
    <t>Faiz Ali</t>
  </si>
  <si>
    <t>50205690523</t>
  </si>
  <si>
    <t>ZWYOMH</t>
  </si>
  <si>
    <t>https://drive.google.com/file/d/1oVpaR6l-ilqsbhk_pqlJObtwyOeHgoOU/view?usp=sharing</t>
  </si>
  <si>
    <t>BAPPADITYA GHOSH</t>
  </si>
  <si>
    <t>50205690493</t>
  </si>
  <si>
    <t>OOWBDW</t>
  </si>
  <si>
    <t>https://drive.google.com/file/d/1bu80NbVmzymENUjsx0FnboSdL4Za5R4w/view?usp=sharing</t>
  </si>
  <si>
    <t>AJOY BISWAS</t>
  </si>
  <si>
    <t>50205680323</t>
  </si>
  <si>
    <t>NWQMUC</t>
  </si>
  <si>
    <t>https://drive.google.com/file/d/1d_68gqPYtdDZYiYwxZ7MgxQXyTMaSc99/view?usp=sharing</t>
  </si>
  <si>
    <t>https://drive.google.com/file/d/1mi5NGgcYJuzP1SeIAgrI5tEWD7ndDBI6/view?usp=sharing</t>
  </si>
  <si>
    <t>SUNIT SARKAR</t>
  </si>
  <si>
    <t>53163080136</t>
  </si>
  <si>
    <t>UURRUJ</t>
  </si>
  <si>
    <t>https://drive.google.com/file/d/1YnQcmBO-feZMJ8QmoS26MORxAxZSwi0k/view?usp=sharing</t>
  </si>
  <si>
    <t>https://drive.google.com/file/d/1fdg9_olEAy4hhA4yoHjeT2onmhV6pATP/view?usp=sharing</t>
  </si>
  <si>
    <t>Kamalesh Kumar Ram</t>
  </si>
  <si>
    <t>246IJ120098</t>
  </si>
  <si>
    <t>GXJKYE</t>
  </si>
  <si>
    <t>https://drive.google.com/file/d/14YtYsAOEQ265u1jSsqMJRb1TqbLR5Ve0/view?usp=sharing</t>
  </si>
  <si>
    <t>https://drive.google.com/file/d/10WgtfwsqiY_tY2junEuPvruWdqYH2i-A/view?usp=sharing</t>
  </si>
  <si>
    <t>SUBRATA HALDER</t>
  </si>
  <si>
    <t>53120134530</t>
  </si>
  <si>
    <t>JXATFC</t>
  </si>
  <si>
    <t>https://drive.google.com/file/d/1htKN4RiKu88w64tlYHt2clAmYKOsC7Yf/view?usp=sharing</t>
  </si>
  <si>
    <t>https://drive.google.com/file/d/1cgU64W7gemzO8hqDV86SK_cp1QjziBrV/view?usp=sharing</t>
  </si>
  <si>
    <t>RANJIT BALA</t>
  </si>
  <si>
    <t>53120134456</t>
  </si>
  <si>
    <t>ZRQFDA</t>
  </si>
  <si>
    <t>https://drive.google.com/file/d/1uIDBek3YrYiwGZmdHvdBs4sUX8AVR-EY/view?usp=sharing</t>
  </si>
  <si>
    <t>https://drive.google.com/file/d/1jCS0E-6bIiS2Hay8XADwsZCFjHegAJzd/view?usp=sharing</t>
  </si>
  <si>
    <t>BUDDHADEV BASKEY</t>
  </si>
  <si>
    <t>18429808666</t>
  </si>
  <si>
    <t>EMJHZJ</t>
  </si>
  <si>
    <t>SUJIT ADHIKARY</t>
  </si>
  <si>
    <t>53162131199</t>
  </si>
  <si>
    <t>QXNIZC</t>
  </si>
  <si>
    <t>https://drive.google.com/file/d/11NedEahGw58ES5iDcwgEuGpNN3rawQfn/view?usp=sharing</t>
  </si>
  <si>
    <t>https://drive.google.com/file/d/17Ehx85iXm8WwGTVPcbEmcZiroBc6Q4BF/view?usp=sharing</t>
  </si>
  <si>
    <t>SUMIT KUMAR ROY</t>
  </si>
  <si>
    <t>53199275296</t>
  </si>
  <si>
    <t>RZRNPK</t>
  </si>
  <si>
    <t>https://drive.google.com/file/d/1xF63D6NobkAGbaOsna0r0P689s-VWZ5I/view?usp=sharing</t>
  </si>
  <si>
    <t>https://drive.google.com/file/d/1Jb2VSxpbTmCDR-TNvn9JlPjeFZD6k9aI/view?usp=sharing</t>
  </si>
  <si>
    <t>SUREN KUMAR CHOWDHURY</t>
  </si>
  <si>
    <t>53162140122</t>
  </si>
  <si>
    <t>UZLUZX</t>
  </si>
  <si>
    <t>https://drive.google.com/file/d/14IeWEmMTft05dEgaftCNgFePCvRR4dtA/view?usp=sharing</t>
  </si>
  <si>
    <t>https://drive.google.com/file/d/1y3JeoERH_nW3cW6WP8VVBcEQJYrLycvT/view?usp=sharing</t>
  </si>
  <si>
    <t>SUSHANTA PAUL</t>
  </si>
  <si>
    <t>50205680347</t>
  </si>
  <si>
    <t>ECUNRI</t>
  </si>
  <si>
    <t>https://drive.google.com/file/d/1G4XJPDb_aFJU0tbeW6C4STDNCcp42Osm/view?usp=sharing</t>
  </si>
  <si>
    <t>https://drive.google.com/file/d/1Q9ucMf_jooLn5LnrTroYLHuVUDy_JWAm/view?usp=sharing</t>
  </si>
  <si>
    <t>ROSHAN LAL MEENA</t>
  </si>
  <si>
    <t>3329804073</t>
  </si>
  <si>
    <t>FNDUQT</t>
  </si>
  <si>
    <t>https://drive.google.com/file/d/1Vnb28WMdq0jNbayCjRz5we_d8_F-rXsR/view?usp=sharing</t>
  </si>
  <si>
    <t>https://drive.google.com/file/d/1Jxv_Z9gkc6CaacjIrqwljl4zzzbQqzu7/view?usp=sharing</t>
  </si>
  <si>
    <t>SHYAM SUNDAR BHATTACHARJEE</t>
  </si>
  <si>
    <t>53162131053</t>
  </si>
  <si>
    <t>BBHCRD</t>
  </si>
  <si>
    <t>https://drive.google.com/file/d/1QC6VHP2FffcfGDRGCtH_7H_g2HEf8ucl/view?usp=sharing</t>
  </si>
  <si>
    <t>https://drive.google.com/file/d/110kJgUyzbw6uEMttGpID-_woSHFGMZNu/view?usp=sharing</t>
  </si>
  <si>
    <t>https://drive.google.com/file/d/1ApSVv3LNQ9mkWbN6LGxrAQBxLySOKXyv/view?usp=share_link</t>
  </si>
  <si>
    <t>SATYA BRATA SAHU</t>
  </si>
  <si>
    <t>53162110502</t>
  </si>
  <si>
    <t>KWCZAA</t>
  </si>
  <si>
    <t>https://drive.google.com/file/d/1E7TS96A7NszQ-gsoqXW_F1zPOQ5eBiEp/view?usp=sharing</t>
  </si>
  <si>
    <t>https://drive.google.com/file/d/18F80_uGZHehudi6Yfu-sFjck6QegfuTk/view?usp=sharing</t>
  </si>
  <si>
    <t>ABHISHEK DUTTA</t>
  </si>
  <si>
    <t>50205607700</t>
  </si>
  <si>
    <t>HQGHSU</t>
  </si>
  <si>
    <t>https://drive.google.com/file/d/15c_i4e25vY5_OqSvS_vtlhQTBLjcUYNX/view?usp=sharing</t>
  </si>
  <si>
    <t>https://drive.google.com/file/d/1aNcfEUZ1InKhjnMx-3o6FT-5pP2-sG9A/view?usp=sharing</t>
  </si>
  <si>
    <t>AMIT BOSE</t>
  </si>
  <si>
    <t>50205558748</t>
  </si>
  <si>
    <t>GIIYUP</t>
  </si>
  <si>
    <t>https://drive.google.com/file/d/1mm9KdHu-B1blfQhDDH29SxAbjepf9gVM/view?usp=sharing</t>
  </si>
  <si>
    <t>https://drive.google.com/file/d/1xQWmC9nU6WeVoTXWZi3k6XfGpCN4jQzx/view?usp=sharing</t>
  </si>
  <si>
    <t>ANAND KUMAR SHAW</t>
  </si>
  <si>
    <t>50205618927</t>
  </si>
  <si>
    <t>BEAFBC</t>
  </si>
  <si>
    <t>https://drive.google.com/file/d/1CTzMqunGa9tnAxabKodpgOyGWf8LqglZ/view?usp=sharing</t>
  </si>
  <si>
    <t>https://drive.google.com/file/d/1b6DHBPC_qGvJYXO_HbMlZAi4EHI3SdV6/view?usp=sharing</t>
  </si>
  <si>
    <t>ANIMESH MONDAL</t>
  </si>
  <si>
    <t>50205606640</t>
  </si>
  <si>
    <t>TALBNT</t>
  </si>
  <si>
    <t>https://drive.google.com/file/d/1XG4Qc1jl0Awjf1pmxcENuwYu5CauW2WY/view?usp=sharing</t>
  </si>
  <si>
    <t>https://drive.google.com/file/d/1FeJYAG5fPofE6RKFbGxAsuUZ-_ducXEu/view?usp=sharing</t>
  </si>
  <si>
    <t>ARINDAM SETT</t>
  </si>
  <si>
    <t>50200035816</t>
  </si>
  <si>
    <t>BCMSCF</t>
  </si>
  <si>
    <t>https://drive.google.com/file/d/102gsQXLW1CuBuY298EoODEYvwyUhFPVS/view?usp=sharing</t>
  </si>
  <si>
    <t>https://drive.google.com/file/d/1_HAd3xxCYAcZ40yKJAwxS0BGM6C4gbl1/view?usp=sharing</t>
  </si>
  <si>
    <t>ARJUN BESRA</t>
  </si>
  <si>
    <t>50205420910</t>
  </si>
  <si>
    <t>SYRUHS</t>
  </si>
  <si>
    <t>https://drive.google.com/file/d/1EF6ZTeKhMKF6ymEoTIF2ZfGG1GZZ8lLa/view?usp=sharing</t>
  </si>
  <si>
    <t>ARMAN ALI ANSARI</t>
  </si>
  <si>
    <t>50200099788</t>
  </si>
  <si>
    <t>MYPGJE</t>
  </si>
  <si>
    <t>https://drive.google.com/file/d/14_WsKAfjYfzKdZaa7pquz-aPC34G_pBu/view?usp=sharing</t>
  </si>
  <si>
    <t>https://drive.google.com/file/d/1OYzy8w-ix-BqiFgYA67w-5wn-ITkO9ze/view?usp=sharing</t>
  </si>
  <si>
    <t>ARUN KUMAR SINGH</t>
  </si>
  <si>
    <t>50205562338</t>
  </si>
  <si>
    <t>HZMXDA</t>
  </si>
  <si>
    <t>https://drive.google.com/file/d/1MPI6TdKZ3oC7V7D2_lH3UXFjYTTM5sxK/view?usp=sharing</t>
  </si>
  <si>
    <t>ATANU MAJUMDAR</t>
  </si>
  <si>
    <t>50205606652</t>
  </si>
  <si>
    <t>ZMGFBG</t>
  </si>
  <si>
    <t>https://drive.google.com/file/d/1xMgUbJEHD3LYtGxBCMz8whNKyhnAd_9M/view?usp=sharing</t>
  </si>
  <si>
    <t>https://drive.google.com/file/d/1J7hELqNazFGtHgSVqNwETv8GkpNdBM1x/view?usp=sharing</t>
  </si>
  <si>
    <t>ATINDRA NARAYAN DHAR</t>
  </si>
  <si>
    <t>50210320751</t>
  </si>
  <si>
    <t>DAFOZX</t>
  </si>
  <si>
    <t>https://drive.google.com/file/d/1v5XCG5WTowW4PZ-PTk1J8Bru8VVU4tJA/view?usp=sharing</t>
  </si>
  <si>
    <t>AVIJIT DAS</t>
  </si>
  <si>
    <t>50205390709</t>
  </si>
  <si>
    <t>FWSNBR</t>
  </si>
  <si>
    <t>https://drive.google.com/file/d/1wKYNfyv3wvsM9weW4Ws0-Er-DjXPBILf/view?usp=sharing</t>
  </si>
  <si>
    <t>AYAN BANERJEE</t>
  </si>
  <si>
    <t>50205611854</t>
  </si>
  <si>
    <t>LHKRTL</t>
  </si>
  <si>
    <t>https://drive.google.com/file/d/1-0OP8-IDn1ADLT12JR_4g8iQhvYAnvwQ/view?usp=sharing</t>
  </si>
  <si>
    <t>https://drive.google.com/file/d/13qwQfBK2-DeMC9JxHfy6vUO1R57scoDL/view?usp=share_link</t>
  </si>
  <si>
    <t>BADAL BISWAS</t>
  </si>
  <si>
    <t>50205612380</t>
  </si>
  <si>
    <t>SKJLDN</t>
  </si>
  <si>
    <t>https://drive.google.com/file/d/1cd9mL5RE2viooZ8gjtlS2snOm8sjBhT_/view?usp=sharing</t>
  </si>
  <si>
    <t>https://drive.google.com/file/d/1D8a5z3K6RyoEQuPacKo9R-eQR4UuWxfM/view?usp=sharing</t>
  </si>
  <si>
    <t>BHAVISHYA KUMAR</t>
  </si>
  <si>
    <t>50205522407</t>
  </si>
  <si>
    <t>RTACGU</t>
  </si>
  <si>
    <t>https://drive.google.com/file/d/1Ght2_fnwLvGbVS4RTLcxunsTVSU5XwXe/view?usp=sharing</t>
  </si>
  <si>
    <t>https://drive.google.com/file/d/1GAap_EW8CN-WnXMmd95kin-6Zt0FxDed/view?usp=sharing</t>
  </si>
  <si>
    <t>BIKASH DAS</t>
  </si>
  <si>
    <t>50209416006</t>
  </si>
  <si>
    <t>PHHRDG</t>
  </si>
  <si>
    <t>https://drive.google.com/file/d/1lhOVbCX42PUr83FjsZww3V4uOEOlG3IR/view?usp=sharing</t>
  </si>
  <si>
    <t>https://drive.google.com/file/d/1OycJZo_NArkYfJ5-qHLRnJxCT0t3d7bT/view?usp=sharing</t>
  </si>
  <si>
    <t>BINOD KUMAR PAL</t>
  </si>
  <si>
    <t>50214101049</t>
  </si>
  <si>
    <t>YTMAIF</t>
  </si>
  <si>
    <t>https://drive.google.com/file/d/1V3z0mteVvYlWVtgBPI99hIK9n5Hmyz7F/view?usp=sharing</t>
  </si>
  <si>
    <t>https://drive.google.com/open?id=1brYZH5x5o-NRjCyH7IRYlrYb0PsONgxr</t>
  </si>
  <si>
    <t>BIPLAB BISWAS I</t>
  </si>
  <si>
    <t>50214104125</t>
  </si>
  <si>
    <t>ZJQQNL</t>
  </si>
  <si>
    <t>https://drive.google.com/file/d/180NSWAYsN_PoNE8XP4hlZuKfdIeIvciM/view?usp=sharing</t>
  </si>
  <si>
    <t>https://drive.google.com/file/d/1J2evGgHJNDCZkA6PSxwM0bmS2FLKmg_P/view?usp=drive_link</t>
  </si>
  <si>
    <t>BIPLAB RAKSHIT</t>
  </si>
  <si>
    <t>50205607723</t>
  </si>
  <si>
    <t>OYRFOE</t>
  </si>
  <si>
    <t>https://drive.google.com/file/d/1hWLrXtbM_KZd1YOOgGmofCKbeTB7XLpr/view?usp=sharing</t>
  </si>
  <si>
    <t>https://drive.google.com/file/d/1pp8N0YfoYg2MTALiyr2CutrG0bO0KAdG/view?usp=sharing</t>
  </si>
  <si>
    <t>BISWAJIT DUTTA</t>
  </si>
  <si>
    <t>50205612421</t>
  </si>
  <si>
    <t>CHEYPB</t>
  </si>
  <si>
    <t>https://drive.google.com/file/d/1eBCZJC_PhbpvQ8qMEolDUpemBGMfTOB_/view?usp=sharing</t>
  </si>
  <si>
    <t>BISWAJIT SIL</t>
  </si>
  <si>
    <t>50206427169</t>
  </si>
  <si>
    <t>CZNMWH</t>
  </si>
  <si>
    <t>https://drive.google.com/file/d/1ZtUdLgSWGFXqiJLwIqy86ikmRY_U6Kpu/view?usp=sharing</t>
  </si>
  <si>
    <t>https://drive.google.com/file/d/1U52zeA1-_8z7n4soec5ckk5T47Ys2ky2/view?usp=sharing</t>
  </si>
  <si>
    <t>BRAJESH KUMAR</t>
  </si>
  <si>
    <t>50205607887</t>
  </si>
  <si>
    <t>WCQECZ</t>
  </si>
  <si>
    <t>https://drive.google.com/file/d/11PbSafNzkVYLPXkVPGrwV8VELcKozThM/view?usp=sharing</t>
  </si>
  <si>
    <t>https://drive.google.com/file/d/117Bs687jlIhXFlTQIa2jEqX9Qroeyj8w/view?usp=sharing</t>
  </si>
  <si>
    <t>CHANDAN PRABHAT</t>
  </si>
  <si>
    <t>50205607863</t>
  </si>
  <si>
    <t>LQTNOR</t>
  </si>
  <si>
    <t>https://drive.google.com/file/d/1y20dluteERgFz_cKxiIKNJTgw0FyLICy/view?usp=sharing</t>
  </si>
  <si>
    <t>DIPANKAR HALDER</t>
  </si>
  <si>
    <t>50205606901</t>
  </si>
  <si>
    <t>IQFNSY</t>
  </si>
  <si>
    <t>https://drive.google.com/file/d/1RIWxrxAAYZsNSmgzpTrkkcFlJdTHFhaI/view?usp=sharing</t>
  </si>
  <si>
    <t>https://drive.google.com/file/d/1Qub1lHEj3bTLwgl-cB2K_d52s1OJLgM2/view?usp=sharing</t>
  </si>
  <si>
    <t>GOBINDA KUMAR SARKAR</t>
  </si>
  <si>
    <t>50200150952</t>
  </si>
  <si>
    <t>LSTNZJ</t>
  </si>
  <si>
    <t>https://drive.google.com/file/d/1pRpckmVYCZExqN1mYFObG_2bUGisVDNI/view?usp=sharing</t>
  </si>
  <si>
    <t>https://drive.google.com/file/d/1EYsgT7CYFtxE2lOwnaV-s3JpN7nM0rB7/view?usp=sharing</t>
  </si>
  <si>
    <t>https://drive.google.com/file/d/1mXmvdycG5hCC44CyZ9FwPF66sVxjx0c-/view?usp=drive_link</t>
  </si>
  <si>
    <t>GOUTAM SANKHA BANIK</t>
  </si>
  <si>
    <t>50208AE0148</t>
  </si>
  <si>
    <t>JOONLU</t>
  </si>
  <si>
    <t>https://drive.google.com/file/d/1PCevU2S0Cb5r0K1I9kVZhMNnEoPLnetc/view?usp=sharing</t>
  </si>
  <si>
    <t>INDRANIL ROY CHOWDHURY</t>
  </si>
  <si>
    <t>502S4767536</t>
  </si>
  <si>
    <t>SLJLDN</t>
  </si>
  <si>
    <t>https://drive.google.com/file/d/1GqfMDQ1zR7vHUuv6-5E5CQBm44Dv_tOW/view?usp=sharing</t>
  </si>
  <si>
    <t>JHUMUR NATH DEBNATH</t>
  </si>
  <si>
    <t>50205607425</t>
  </si>
  <si>
    <t>UDKEHJ</t>
  </si>
  <si>
    <t>https://drive.google.com/file/d/1nWCzRypETw9divrBFO3CLrx8AWmLHkRg/view?usp=sharing</t>
  </si>
  <si>
    <t>https://drive.google.com/file/d/1GDrVowt1EpJ7NIOJJZhC53bKAxm12X0q/view?usp=sharing</t>
  </si>
  <si>
    <t>https://drive.google.com/file/d/13cbzobs6JnSKdP0BxfDtiCDvHDXIZHo4/view?usp=sharing</t>
  </si>
  <si>
    <t>JITENDRA KUMAR I</t>
  </si>
  <si>
    <t>50200114911</t>
  </si>
  <si>
    <t>CCSEHW</t>
  </si>
  <si>
    <t>https://drive.google.com/file/d/1VwKw4bcrd_b9oSii8yMR_uJgcx08LmSY/view?usp=sharing</t>
  </si>
  <si>
    <t>https://drive.google.com/file/d/1kkH5rl7gD3x6wVGzjt_Ed8MSmhA6LtL5/view?usp=sharing</t>
  </si>
  <si>
    <t>JITENDRA KUMAR SINGH</t>
  </si>
  <si>
    <t>50205611994</t>
  </si>
  <si>
    <t>XTQMJD</t>
  </si>
  <si>
    <t>https://drive.google.com/file/d/1ACmK9Lbb58iGg86zM6RyDDAvDvRiWWrj/view?usp=sharing</t>
  </si>
  <si>
    <t>JOYDEEP BISWAS</t>
  </si>
  <si>
    <t>50205407205</t>
  </si>
  <si>
    <t>WUFOJO</t>
  </si>
  <si>
    <t>https://drive.google.com/file/d/1BO5OXzNum8GpTWJolQ1B2as1ooTA7n3R/view?usp=sharing</t>
  </si>
  <si>
    <t>JYOTI KUMAR JYOTI</t>
  </si>
  <si>
    <t>50205520484</t>
  </si>
  <si>
    <t>DMOQZX</t>
  </si>
  <si>
    <t>https://drive.google.com/file/d/10y7-VcpPE-W8i35Snl_ht_mAqo0P5MTm/view?usp=sharing</t>
  </si>
  <si>
    <t>https://drive.google.com/file/d/1Xh7zPCVRA5x2232_Qtm6vJKjvUy7JX-q/view?usp=sharing</t>
  </si>
  <si>
    <t>KAWAL SINGH BIJHIYA..</t>
  </si>
  <si>
    <t>50205420945</t>
  </si>
  <si>
    <t>SHIJCW</t>
  </si>
  <si>
    <t>https://drive.google.com/file/d/1Ku5xzI8jYCzD8s-zlm31pwkWK3m-kVJc/view?usp=sharing</t>
  </si>
  <si>
    <t>https://drive.google.com/file/d/1CHhxhE5AfDsb6X2Asyq-eI1y9mwNLXrW/view?usp=sharing</t>
  </si>
  <si>
    <t>KRISHNENDU DEY</t>
  </si>
  <si>
    <t>50205611908</t>
  </si>
  <si>
    <t>CGNEBA</t>
  </si>
  <si>
    <t>https://drive.google.com/file/d/1bKz9Ns3LJMfG3PJ6sFzIDCKD55hfqYlo/view?usp=sharing</t>
  </si>
  <si>
    <t>https://drive.google.com/file/d/1HQQcDylHnWPTUH0xuWoAHnKC0isWbOVc/view?usp=sharing</t>
  </si>
  <si>
    <t>KSHITISH MANDAL</t>
  </si>
  <si>
    <t>50205607644</t>
  </si>
  <si>
    <t>ZYUUWU</t>
  </si>
  <si>
    <t>https://drive.google.com/file/d/19wwknv0v2YtxQXfowEKLDsvcmrlxkWnZ/view?usp=sharing</t>
  </si>
  <si>
    <t>KUNJ BEHARI ROY</t>
  </si>
  <si>
    <t>50205607516</t>
  </si>
  <si>
    <t>FJIXZA</t>
  </si>
  <si>
    <t>https://drive.google.com/file/d/17pE8UZYGz-G0rUxXfTC9zRcpD3A-S6OD/view?usp=sharing</t>
  </si>
  <si>
    <t>https://drive.google.com/file/d/1mPkaWYXrkcYPt1vvn1gApByR9Zn71PDg/view?usp=sharing</t>
  </si>
  <si>
    <t>MAHADEB ROY</t>
  </si>
  <si>
    <t>50205618939</t>
  </si>
  <si>
    <t>LDRTCJ</t>
  </si>
  <si>
    <t>https://drive.google.com/file/d/1Qz1c8yyf9RDerJuymd-co8zHfzu-s1TN/view?usp=sharing</t>
  </si>
  <si>
    <t>https://drive.google.com/file/d/1FAAOEfI7pMIESeMSbxxJxIyfS-k6xkSt/view?usp=drive_link</t>
  </si>
  <si>
    <t>MAHESH KUMAR SINGH</t>
  </si>
  <si>
    <t>50205602994</t>
  </si>
  <si>
    <t>UOGSJH</t>
  </si>
  <si>
    <t>Working at MJT</t>
  </si>
  <si>
    <t>https://drive.google.com/file/d/1RYu1_82OiQBGi2b1gyFWvhaTOBr3xN2_/view?usp=sharing</t>
  </si>
  <si>
    <t>https://drive.google.com/file/d/1xdnsh5Q_vjoGIqWkM9rwZrNpCaZRSxZt/view?usp=sharing</t>
  </si>
  <si>
    <t>https://drive.google.com/file/d/1DwfgUu3CWO4IrGbcxUqNxqLvuP9spGoU/view?usp=sharing</t>
  </si>
  <si>
    <t>MANGAL CHOUDHARY</t>
  </si>
  <si>
    <t>50211008660</t>
  </si>
  <si>
    <t>OCZHJX</t>
  </si>
  <si>
    <t>https://drive.google.com/file/d/191MkpjxW2R3_b1gYZTx2G0d-AI58nQnA/view?usp=sharing</t>
  </si>
  <si>
    <t>https://drive.google.com/file/d/15O6rZsdEPirHe1nZdjWNwcKNbeK5VGxu/view?usp=sharing</t>
  </si>
  <si>
    <t>MANGAL PANDEY</t>
  </si>
  <si>
    <t>50205607103</t>
  </si>
  <si>
    <t>PEYYHF</t>
  </si>
  <si>
    <t>https://drive.google.com/file/d/1Y8kTxX3DQ_mOPFbIF6zgEQpp8CFiNr7f/view?usp=sharing</t>
  </si>
  <si>
    <t>https://drive.google.com/file/d/1QqgKHpGIuYQf7sHwxhLk8q7ASNkKk4X0/view?usp=sharing</t>
  </si>
  <si>
    <t>MANISH KUMAR PANDEY</t>
  </si>
  <si>
    <t>50205607139</t>
  </si>
  <si>
    <t>BCIJJR</t>
  </si>
  <si>
    <t>https://drive.google.com/file/d/13Egk54jNwKm_V8ZFbO_-uG0S4AYETaP6/view?usp=sharing</t>
  </si>
  <si>
    <t>https://drive.google.com/file/d/12pL-McOszfQyuSG61XVPDiup-XQEhgQ3/view?usp=sharing</t>
  </si>
  <si>
    <t>MANOJ KUMAR</t>
  </si>
  <si>
    <t>50205418288</t>
  </si>
  <si>
    <t>RXFSRG</t>
  </si>
  <si>
    <t>https://drive.google.com/file/d/1D8xYcdrKMbs4QYPkPTTubfoBAxcXN1pq/view?usp=sharing</t>
  </si>
  <si>
    <t>https://drive.google.com/file/d/1kIAMlm3TEdby2V6AjxFHsLkRa9cWI0Xf/view?usp=sharing</t>
  </si>
  <si>
    <t>MANSARAM MONDAL..</t>
  </si>
  <si>
    <t>50205418343</t>
  </si>
  <si>
    <t>EDRATD</t>
  </si>
  <si>
    <t>https://drive.google.com/file/d/17VEV45C2BpHolJ0uBqudHUKrrFHnP6Xp/view?usp=sharing</t>
  </si>
  <si>
    <t>MAYURESH MONORANJAN</t>
  </si>
  <si>
    <t>50205607528</t>
  </si>
  <si>
    <t>XUPATG</t>
  </si>
  <si>
    <t>https://drive.google.com/file/d/1wjpWBbYLAZgpEqH9fG33IFgvg7Y7LWQ4/view?usp=sharing</t>
  </si>
  <si>
    <t>https://drive.google.com/file/d/1zx26QKFdfO1agSVRqGTSPczYTrvVEZZO/view?usp=sharing</t>
  </si>
  <si>
    <t>MD PARWEZ IQBAL</t>
  </si>
  <si>
    <t>50205607449</t>
  </si>
  <si>
    <t>HEYPCC</t>
  </si>
  <si>
    <t>MISS PAMPA DAS</t>
  </si>
  <si>
    <t>50205607814</t>
  </si>
  <si>
    <t>HZTLPO</t>
  </si>
  <si>
    <t>https://drive.google.com/file/d/1xdm04omsJ5TDT0rLCxwp4Pr2dD7GzsM0/view?usp=sharing</t>
  </si>
  <si>
    <t>https://drive.google.com/file/d/1O6vqdLMASiQ0cTk_yyHHnnZWj3J8nQkh/view?usp=share_link</t>
  </si>
  <si>
    <t>MUKESH KUMAR/II at MLDT</t>
  </si>
  <si>
    <t>50205558785</t>
  </si>
  <si>
    <t>QLRWBW</t>
  </si>
  <si>
    <t>https://drive.google.com/file/d/1LgqvE-fEHTPIpv7MPJFs564MalPaRHQT/view?usp=sharing</t>
  </si>
  <si>
    <t>NABA KUMAR SHARMA</t>
  </si>
  <si>
    <t>50200150472</t>
  </si>
  <si>
    <t>RKUPBZ</t>
  </si>
  <si>
    <t>https://drive.google.com/file/d/1eqOyHT5qVvwiwn5fg6xHLep-r7ityqIO/view?usp=sharing</t>
  </si>
  <si>
    <t>https://drive.google.com/file/d/1rzUNAkkC6tnRHsE6Ldxfe9Gg4yIDJmU4/view?usp=drive_link</t>
  </si>
  <si>
    <t>NAMITESH KUMAR</t>
  </si>
  <si>
    <t>50205607838</t>
  </si>
  <si>
    <t>QQBTHN</t>
  </si>
  <si>
    <t>https://drive.google.com/file/d/1gBwC-4ZJ0qj3iaL3LZ3wdWhfCMaI4Q4O/view?usp=sharing</t>
  </si>
  <si>
    <t>NAROTTAM ROY</t>
  </si>
  <si>
    <t>50214103621</t>
  </si>
  <si>
    <t>IBPFNC</t>
  </si>
  <si>
    <t>https://drive.google.com/file/d/1yDmMbhwgvF2-iUp-dUIw-PnxWkhq_H0M/view?usp=sharing</t>
  </si>
  <si>
    <t>https://drive.google.com/file/d/1Tu9PuOF5h960I_KePh9AgTby_hGMM6T4/view?usp=sharing</t>
  </si>
  <si>
    <t>NILENDU DATTA</t>
  </si>
  <si>
    <t>50205607050</t>
  </si>
  <si>
    <t>LBIIBP</t>
  </si>
  <si>
    <t>https://drive.google.com/file/d/1t9nHQrDeOcWMfWM5ezJFwAyHxQ1VI_8F/view?usp=sharing</t>
  </si>
  <si>
    <t>https://drive.google.com/file/d/1v2wiLF3cbbJnZ45P4eAmDABF1FBqkYZq/view?usp=sharing</t>
  </si>
  <si>
    <t>NIRANJAN BISWAS</t>
  </si>
  <si>
    <t>50205607656</t>
  </si>
  <si>
    <t>LFWGUW</t>
  </si>
  <si>
    <t>https://drive.google.com/file/d/1ORlf84acUrLZKZebBn_gdRleKzTHuspc/view?usp=sharing</t>
  </si>
  <si>
    <t>https://drive.google.com/file/d/1i30viWO7ViSJBvpa9Ug417xfsRKut16F/view?usp=sharing</t>
  </si>
  <si>
    <t>PANKAJ SARKAR</t>
  </si>
  <si>
    <t>50214104121</t>
  </si>
  <si>
    <t>LRHIJQ</t>
  </si>
  <si>
    <t>https://drive.google.com/file/d/1zvGnivQ9E-4OLx563LFmVA7NQ-VHYJHA/view?usp=sharing</t>
  </si>
  <si>
    <t>PAPPU LODH</t>
  </si>
  <si>
    <t>50205607747</t>
  </si>
  <si>
    <t>GLLQBZ</t>
  </si>
  <si>
    <t>https://drive.google.com/file/d/1Zc4GXlzI5bdrpHPMgyKD9iNcBAcIjMHp/view?usp=sharing</t>
  </si>
  <si>
    <t>https://drive.google.com/file/d/1Tzd47p81PVLdrOu7W_Ag2a_T7zISV10-/view?usp=sharing</t>
  </si>
  <si>
    <t>PARTHA RANJAN BISWAS..</t>
  </si>
  <si>
    <t>50209406578</t>
  </si>
  <si>
    <t>UWLZCE</t>
  </si>
  <si>
    <t>https://drive.google.com/file/d/1_xyubjd0SwQhT5UXCh2B-HDehTjDpmyY/view?usp=sharing</t>
  </si>
  <si>
    <t>https://drive.google.com/file/d/1LiY7vwc6akkEFhiDNy3YLeCnNBUpAjE1/view?usp=sharing</t>
  </si>
  <si>
    <t>PARTHA SINGHA ROY</t>
  </si>
  <si>
    <t>50200035749</t>
  </si>
  <si>
    <t>XBPKTM</t>
  </si>
  <si>
    <t>https://drive.google.com/file/d/1qK1-BB7XDbxK41AQGGYNmnL75PgpnUhb/view?usp=sharing</t>
  </si>
  <si>
    <t>PINAKI SADHUKHAN</t>
  </si>
  <si>
    <t>50200115058</t>
  </si>
  <si>
    <t>DZOJRN</t>
  </si>
  <si>
    <t>https://drive.google.com/file/d/1C1A0lzgEC3dJvqQE1WMQ-3DS8zAQ72nV/view?usp=sharing</t>
  </si>
  <si>
    <t>PIU KOLEY</t>
  </si>
  <si>
    <t>50205607590</t>
  </si>
  <si>
    <t>LADPQB</t>
  </si>
  <si>
    <t>https://drive.google.com/file/d/1ZeRfVJWhKHS02bw4FZOgjgqaZzRIuJ1L/view?usp=sharing</t>
  </si>
  <si>
    <t>https://drive.google.com/file/d/10l18EcwxggiCcVh02z7bMukPbm6S2VkS/view?usp=sharing</t>
  </si>
  <si>
    <t>POULASTYA SENGUPTA</t>
  </si>
  <si>
    <t>50205607061</t>
  </si>
  <si>
    <t>YTITIS</t>
  </si>
  <si>
    <t>https://drive.google.com/file/d/12Ch2Pr2NdhgrieU3jGqWxdCrNj3VVqsU/view?usp=sharing</t>
  </si>
  <si>
    <t>https://drive.google.com/file/d/192WxpGq3TUTK5rAiTdqvlIdWo6eTYj2_/view?usp=sharing</t>
  </si>
  <si>
    <t>PRADEEP SHAW</t>
  </si>
  <si>
    <t>50205611878</t>
  </si>
  <si>
    <t>EUATSM</t>
  </si>
  <si>
    <t>https://drive.google.com/file/d/1bhJ6eUdn3R_jseKt04J3LQuIUVRDyS9h/view?usp=sharing</t>
  </si>
  <si>
    <t>https://drive.google.com/file/d/1KqXg9892ahs_R4Sxj1v3H_qszOay18Kt/view?usp=sharing</t>
  </si>
  <si>
    <t>PRANAB BERA</t>
  </si>
  <si>
    <t>50205607796</t>
  </si>
  <si>
    <t>HNWJKI</t>
  </si>
  <si>
    <t>https://drive.google.com/file/d/1cNsOZO4_w0WRGrQgTorFExIoapiPVvDi/view?usp=sharing</t>
  </si>
  <si>
    <t>https://drive.google.com/file/d/19HfURJEU_PO2fMKtyFvzov8nwkI4tBdy/view?usp=sharing</t>
  </si>
  <si>
    <t>RAJ KUMAR DHARA</t>
  </si>
  <si>
    <t>50212120431</t>
  </si>
  <si>
    <t>TOUKXT</t>
  </si>
  <si>
    <t>https://drive.google.com/file/d/1qnw6GlP_TF9lvM5IyBpBKpUGUVTjiL0T/view?usp=sharing</t>
  </si>
  <si>
    <t>RAJARSHI KUNDU</t>
  </si>
  <si>
    <t>50205419300</t>
  </si>
  <si>
    <t>XYSXOL</t>
  </si>
  <si>
    <t>https://drive.google.com/file/d/1E7lBkSmU4Bc2f4VW0lzybq1gV0rD8EPS/view?usp=sharing</t>
  </si>
  <si>
    <t>RAJAT KANTI BALA</t>
  </si>
  <si>
    <t>50205612226</t>
  </si>
  <si>
    <t>NACDOK</t>
  </si>
  <si>
    <t>https://drive.google.com/file/d/1BDSBo9zoruIfyo7Q9cnydmvzcnapC-6B/view?usp=sharing</t>
  </si>
  <si>
    <t>https://drive.google.com/file/d/170X4593N5Xdtd-XuPUADTJQwNZMjOCha/view?usp=share_link</t>
  </si>
  <si>
    <t>RAJESH KUMAR III</t>
  </si>
  <si>
    <t>50299907628</t>
  </si>
  <si>
    <t>CRGAXK</t>
  </si>
  <si>
    <t>https://drive.google.com/file/d/1MIPvWDHWJ5D_k48wq5k4NtqsVE8OsWyA/view?usp=sharing</t>
  </si>
  <si>
    <t>RAJIB SHAU</t>
  </si>
  <si>
    <t>50205607711</t>
  </si>
  <si>
    <t>CFETMX</t>
  </si>
  <si>
    <t>https://drive.google.com/file/d/1hof9w3cCCs40kKbyZJsLkyEjZ1nf7KM8/view?usp=sharing</t>
  </si>
  <si>
    <t>https://drive.google.com/file/d/1_fDAYIYLe6eFbu69Ya1_b-fAlGsR1pHP/view?usp=sharing</t>
  </si>
  <si>
    <t>RAKESH KUMAR GUPTA</t>
  </si>
  <si>
    <t>50205607826</t>
  </si>
  <si>
    <t>GXKNEK</t>
  </si>
  <si>
    <t>https://drive.google.com/file/d/1x5pcEt1elf9OjuCiEgfnDo0_wWbuwaQr/view?usp=sharing</t>
  </si>
  <si>
    <t>https://drive.google.com/file/d/1dQ44mPTUd44wsRa-rtHaMa_w33dcR1iK/view?usp=sharing</t>
  </si>
  <si>
    <t>RAM ANUJ SHARMA</t>
  </si>
  <si>
    <t>50205569175</t>
  </si>
  <si>
    <t>YCJISL</t>
  </si>
  <si>
    <t>https://drive.google.com/file/d/1jwYIFZdkQBMrY8e4nVjitdK4DbqE9YiL/view?usp=sharing</t>
  </si>
  <si>
    <t>RANJIT BISWAS</t>
  </si>
  <si>
    <t>00208CB0912</t>
  </si>
  <si>
    <t>THIYLS</t>
  </si>
  <si>
    <t>https://drive.google.com/file/d/1pYszMZ5IdIZW7iDaHqWHmABNvWHhwHmN/view?usp=sharing</t>
  </si>
  <si>
    <t>https://drive.google.com/file/d/1qL0JmANVO_lXbcG_VxORQUecANL6ASGc/view?usp=sharing</t>
  </si>
  <si>
    <t>ROSHAN TOPPO</t>
  </si>
  <si>
    <t>50220060067</t>
  </si>
  <si>
    <t>QDPKXG</t>
  </si>
  <si>
    <t>https://drive.google.com/file/d/1csweC1__nQCFVEIiG8qQz5YDJQ08MeuV/view?usp=sharing</t>
  </si>
  <si>
    <t>https://drive.google.com/file/d/1qnAxxYEI74_coZ7-d83pu2XQiwslssEr/view?usp=share_link</t>
  </si>
  <si>
    <t>RUPAK BARUA..</t>
  </si>
  <si>
    <t>50212135124</t>
  </si>
  <si>
    <t>RPBNKX</t>
  </si>
  <si>
    <t>https://drive.google.com/file/d/14q5udu4I7MwUF4Hy62mYxRwqb9dPYmcu/view?usp=sharing</t>
  </si>
  <si>
    <t>SANJEEV KUMAR SRIVASTAVA</t>
  </si>
  <si>
    <t>50205407096</t>
  </si>
  <si>
    <t>DYBCWE</t>
  </si>
  <si>
    <t>https://drive.google.com/file/d/1LXTNcMd7m6ifuIls0lR8FFC_rj_R0Dfd/view?usp=sharing</t>
  </si>
  <si>
    <t>SANJIB MITRA</t>
  </si>
  <si>
    <t>50205569230</t>
  </si>
  <si>
    <t>LQUFCP</t>
  </si>
  <si>
    <t>https://drive.google.com/file/d/11cCzGw3mKJ4d4jZkZ2wTU3D_5merS7od/view?usp=sharing</t>
  </si>
  <si>
    <t>SANKU BISWAS..</t>
  </si>
  <si>
    <t>50205522572</t>
  </si>
  <si>
    <t>GGYNGC</t>
  </si>
  <si>
    <t>https://drive.google.com/file/d/14F7g8mHMULI0lfbt3O9gm7yta8C4QjUL/view?usp=sharing</t>
  </si>
  <si>
    <t>https://drive.google.com/file/d/1Q516rSAQ_-cwYjBqg-hM7YqiyrQZucmD/view?usp=sharing</t>
  </si>
  <si>
    <t>SANUJ ROY</t>
  </si>
  <si>
    <t>50205612342</t>
  </si>
  <si>
    <t>ZBTXOI</t>
  </si>
  <si>
    <t>https://drive.google.com/file/d/1gxMBADbosVAS6IGEBiuZTXMUiHdW73dS/view?usp=sharing</t>
  </si>
  <si>
    <t>https://drive.google.com/file/d/17UePe3nw8p3mJuKVC8j6UcUs020Q_MeJ/view?usp=sharing</t>
  </si>
  <si>
    <t>SHRABANTI BISWAS</t>
  </si>
  <si>
    <t>50205612410</t>
  </si>
  <si>
    <t>IUUEOL</t>
  </si>
  <si>
    <t>https://drive.google.com/file/d/1KKRnNYL0W5Azy83_MKDhCl_Nc586SKc_/view?usp=sharing</t>
  </si>
  <si>
    <t>https://drive.google.com/file/d/1U3a2eOI4T_KFYsiPLTSNF3uyYfcjTKOb/view?usp=sharing</t>
  </si>
  <si>
    <t>https://drive.google.com/file/d/1t64hQ03dvnhlKh9ivJ7Bk6VgKwvdvxwL/view?usp=drive_link</t>
  </si>
  <si>
    <t>SISIR MONDAL</t>
  </si>
  <si>
    <t>50205611891</t>
  </si>
  <si>
    <t>RETGOO</t>
  </si>
  <si>
    <t>https://drive.google.com/file/d/14Wxx4hkP3iKUE3SUGs6oRTI2bM6ntuHQ/view?usp=sharing</t>
  </si>
  <si>
    <t>https://drive.google.com/file/d/1BNQ0mHxY217AAau6S99-YO2Vnai7IkGd/view?usp=sharing</t>
  </si>
  <si>
    <t>SK ABDUL NAJIB</t>
  </si>
  <si>
    <t>50205602373</t>
  </si>
  <si>
    <t>JASGKT</t>
  </si>
  <si>
    <t>https://drive.google.com/file/d/1Datv4OWj3Qpty0_zjPiFRjoqqsvnYg_F/view?usp=sharing</t>
  </si>
  <si>
    <t>https://drive.google.com/file/d/1xp-QRjitW3QgUvQkT3fHSCsC_-bpUuIS/view?usp=sharing</t>
  </si>
  <si>
    <t>SK MUKHLESHIM ALI</t>
  </si>
  <si>
    <t>50200099430</t>
  </si>
  <si>
    <t>KHRIKE</t>
  </si>
  <si>
    <t>https://drive.google.com/file/d/179rk-QG9AhnP6x21NyL1nb5-ROZzRNew/view?usp=sharing</t>
  </si>
  <si>
    <t>https://drive.google.com/file/d/1WCygpQ-Evc4WEplpsBvW2P3F5tI2QtyD/view?usp=sharing</t>
  </si>
  <si>
    <t>SOMESHWAR DEY</t>
  </si>
  <si>
    <t>50205611866</t>
  </si>
  <si>
    <t>HZHWDF</t>
  </si>
  <si>
    <t>https://drive.google.com/file/d/1b6aRb3dnkTHpCeQKk8wq6wt3JYg13oZ3/view?usp=sharing</t>
  </si>
  <si>
    <t>https://drive.google.com/file/d/1-jZAS88FXNEd7TdR43vyYBislHXF3exb/view?usp=sharing</t>
  </si>
  <si>
    <t>SONADHARI KUMAR</t>
  </si>
  <si>
    <t>50205607851</t>
  </si>
  <si>
    <t>QIWFEM</t>
  </si>
  <si>
    <t>https://drive.google.com/file/d/1FGACCcdjKyyQ58oOAwDjHKIhU7Zd6Plv/view?usp=sharing</t>
  </si>
  <si>
    <t>https://drive.google.com/file/d/1nOcH2fITpTmtoTcNA8B81rbweN0OGa-y/view?usp=drive_link</t>
  </si>
  <si>
    <t>SOUMYEN KUNDU</t>
  </si>
  <si>
    <t>50200060458</t>
  </si>
  <si>
    <t>XNMKLD</t>
  </si>
  <si>
    <t>https://drive.google.com/file/d/1aOQdxLeOK4M6wOKRgrYIXRzGP1F7eqwk/view?usp=sharing</t>
  </si>
  <si>
    <t>SOURAV ROY</t>
  </si>
  <si>
    <t>50205611945</t>
  </si>
  <si>
    <t>ESIDCR</t>
  </si>
  <si>
    <t>https://drive.google.com/file/d/1ZVnw1mkXmfKCsKTSyd9f2ZiocvnjH5iz/view?usp=sharing</t>
  </si>
  <si>
    <t>https://drive.google.com/file/d/19YhDuHJ4L5Ft2T64MwiOrQd6GOXGCJMK/view?usp=sharing</t>
  </si>
  <si>
    <t>SUBHAS SAHA</t>
  </si>
  <si>
    <t>50209400461</t>
  </si>
  <si>
    <t>FQTWGX</t>
  </si>
  <si>
    <t>https://drive.google.com/file/d/1kWuFeIqmxusu6KJ65FVT3P0Jnf4FldyO/view?usp=sharing</t>
  </si>
  <si>
    <t>https://drive.google.com/file/d/1SIopAkhjKLNWsCNpj74PAhOCen5gG4kb/view?usp=sharing</t>
  </si>
  <si>
    <t>SUBHASH MANDI</t>
  </si>
  <si>
    <t>50205618812</t>
  </si>
  <si>
    <t>USFNOI</t>
  </si>
  <si>
    <t>https://drive.google.com/file/d/11QLuX16KovoCNZEC7AGvf4LSsFHXnybb/view?usp=sharing</t>
  </si>
  <si>
    <t>https://drive.google.com/file/d/1CKobOLN7Obn4ZnCw16zImQPm8pAuCKNd/view?usp=sharing</t>
  </si>
  <si>
    <t>SUBRATA DAS</t>
  </si>
  <si>
    <t>502S4767172</t>
  </si>
  <si>
    <t>KTZXDP</t>
  </si>
  <si>
    <t>SUDHANGSHU BISWAS</t>
  </si>
  <si>
    <t>50205612160</t>
  </si>
  <si>
    <t>NLXLSA</t>
  </si>
  <si>
    <t>https://drive.google.com/file/d/1xp7YnFLAoo94AeKEpGWMu4oWtZKTrwP7/view?usp=sharing</t>
  </si>
  <si>
    <t>SUDHANSHU SHEKHAR</t>
  </si>
  <si>
    <t>50205418318</t>
  </si>
  <si>
    <t>JPSWGS</t>
  </si>
  <si>
    <t>https://drive.google.com/file/d/1Cp6D1CsNxuHv_1zFUCordW_mily_CXdw/view?usp=sharing</t>
  </si>
  <si>
    <t>https://drive.google.com/file/d/1QIMErk6km5z8Z2WjXnOnqouJT0gbc4QX/view?usp=share_link</t>
  </si>
  <si>
    <t>SUDIP SAHA</t>
  </si>
  <si>
    <t>502S0054732</t>
  </si>
  <si>
    <t>UOGHRG</t>
  </si>
  <si>
    <t>https://drive.google.com/file/d/1lsGyc3OXInAj0-c9UNE1LP7_0KD3uK86/view?usp=sharing</t>
  </si>
  <si>
    <t>https://drive.google.com/file/d/1lEFVjoQcOhpoEUKafU7mekiZvhdh2Wnq/view?usp=sharing</t>
  </si>
  <si>
    <t>SUJOY BARMAN</t>
  </si>
  <si>
    <t>50205611921</t>
  </si>
  <si>
    <t>SPOYCZ</t>
  </si>
  <si>
    <t>https://drive.google.com/file/d/1VsDvRGd5a7_WRduOWIM851J5knAqepc1/view?usp=sharing</t>
  </si>
  <si>
    <t>https://drive.google.com/file/d/1UlU-bJKFB5p5Yk5X6o9KlanhjfUp9GtM/view?usp=sharing</t>
  </si>
  <si>
    <t>SUKANTA KUMAR DASGUPTA</t>
  </si>
  <si>
    <t>50209777611</t>
  </si>
  <si>
    <t>ZMRRDU</t>
  </si>
  <si>
    <t>https://drive.google.com/file/d/1drJF_tH2Y6_BJ1MlpimQ_CTuizH9ta8O/view?usp=sharing</t>
  </si>
  <si>
    <t>SUNIL KUMAR SHAW</t>
  </si>
  <si>
    <t>50200036092</t>
  </si>
  <si>
    <t>OMCBCG</t>
  </si>
  <si>
    <t>https://drive.google.com/file/d/1IU0R993fIBbnKZWE2lVzN82fVIxOOv9m/view?usp=sharing</t>
  </si>
  <si>
    <t>SUNIL SHAW</t>
  </si>
  <si>
    <t>50205618848</t>
  </si>
  <si>
    <t>DUUSKF</t>
  </si>
  <si>
    <t>https://drive.google.com/file/d/1tElcbMLbmWMlJE8bQdGo9C6hxvWOrq1U/view?usp=sharing</t>
  </si>
  <si>
    <t>https://drive.google.com/file/d/1YrODmv8Mlh_kMFLZNGq7IgLlaI3jqJM-/view?usp=drive_link</t>
  </si>
  <si>
    <t>SUSHEN DAS</t>
  </si>
  <si>
    <t>50205419335</t>
  </si>
  <si>
    <t>ENQSPX</t>
  </si>
  <si>
    <t>https://drive.google.com/file/d/11YSHe2IhL4zI3CQWGCpJ4_qomePK23LN/view?usp=sharing</t>
  </si>
  <si>
    <t>TANMOY BAIDYA</t>
  </si>
  <si>
    <t>502S5612184</t>
  </si>
  <si>
    <t>ROYYIN</t>
  </si>
  <si>
    <t>https://drive.google.com/file/d/1Oqq3H1Ixgl2BqBhwrJU4GZ8ajFGyw47K/view?usp=sharing</t>
  </si>
  <si>
    <t>TANMOY DEY</t>
  </si>
  <si>
    <t>50205607097</t>
  </si>
  <si>
    <t>GTUIQJ</t>
  </si>
  <si>
    <t>https://drive.google.com/file/d/199RAsVUACYVw2N9nFungqh3rBDua0rfA/view?usp=sharing</t>
  </si>
  <si>
    <t>https://drive.google.com/file/d/1u1XpZLzFgIyFdnNgMJdDmG0t6PvYdNzC/view?usp=sharing</t>
  </si>
  <si>
    <t>TAPAN JYOTI BAKUNDI</t>
  </si>
  <si>
    <t>50205419062</t>
  </si>
  <si>
    <t>IOKWMT</t>
  </si>
  <si>
    <t>https://drive.google.com/file/d/17htvyXAPH7azUMtAo1nnYeStKkS__q-f/view?usp=sharing</t>
  </si>
  <si>
    <t>https://drive.google.com/file/d/1vgTcczQ18llUhtkgOGhVtorxDtDsan16/view?usp=share_link</t>
  </si>
  <si>
    <t>TAPAS BISWAS/III</t>
  </si>
  <si>
    <t>50205602520</t>
  </si>
  <si>
    <t>MXSHRI</t>
  </si>
  <si>
    <t>https://drive.google.com/file/d/1uxn9lZGusKSLbmRD9M7AgK70vgQrD98O/view?usp=sharing</t>
  </si>
  <si>
    <t>https://drive.google.com/file/d/1jE6C9IoroMuHXnwxfoj1q22GnInNBCtb/view?usp=sharing</t>
  </si>
  <si>
    <t>https://drive.google.com/file/d/1xmo7t6etTl0ijdW6coedut6Za2jOm7eF/view?usp=sharing</t>
  </si>
  <si>
    <t>UDAY KARMAKAR..</t>
  </si>
  <si>
    <t>50205408283</t>
  </si>
  <si>
    <t>XQFDJB</t>
  </si>
  <si>
    <t>https://drive.google.com/file/d/1hUulQOtMYzHsgHXSITuMK2lwIpNbK7l7/view?usp=sharing</t>
  </si>
  <si>
    <t>VIJOY KUMAR SINGH</t>
  </si>
  <si>
    <t>50205612100</t>
  </si>
  <si>
    <t>ZPQGNA</t>
  </si>
  <si>
    <t>https://drive.google.com/file/d/1G9fRYoTA_nLvjDDUTh2cCSn2bR9Raf3h/view?usp=sharing</t>
  </si>
  <si>
    <t>https://drive.google.com/file/d/1RNJoDjbhy8oRrYmxNz60C_KukzXbvqEi/view?usp=sharing</t>
  </si>
  <si>
    <t>KRISHANA RAM</t>
  </si>
  <si>
    <t>50205613188</t>
  </si>
  <si>
    <t>TGPNMA</t>
  </si>
  <si>
    <t>https://drive.google.com/file/d/1mZsDQasarSLFkfoMtyZzkioAbunfONUb/view?usp=sharing</t>
  </si>
  <si>
    <t>KUNDAN KUMAR PRASHAR</t>
  </si>
  <si>
    <t>50205613231</t>
  </si>
  <si>
    <t>QMHNEE</t>
  </si>
  <si>
    <t>https://drive.google.com/file/d/10wp7JnsI1dwk7o8VjzXG7j4wqlpiwLWf/view?usp=sharing</t>
  </si>
  <si>
    <t>https://drive.google.com/file/d/18ozPgf7JEeGLIHQmrPMhKipfSLsrrAf3/view?usp=sharing</t>
  </si>
  <si>
    <t>CHHOTAN KUMAR</t>
  </si>
  <si>
    <t>50205613309</t>
  </si>
  <si>
    <t>PGCFJL</t>
  </si>
  <si>
    <t>https://drive.google.com/file/d/1ODgFHE4v6BG9MhSi0EsRyWZTtoOp5Z84/view?usp=sharing</t>
  </si>
  <si>
    <t>https://drive.google.com/file/d/1zTNf70GiH2NezcapAk3lrmcDPixMoapD/view?usp=sharing</t>
  </si>
  <si>
    <t>BIPLAB GAIN</t>
  </si>
  <si>
    <t>50205613218</t>
  </si>
  <si>
    <t>OUHASA</t>
  </si>
  <si>
    <t>https://drive.google.com/file/d/1usAxM8b-rH-WghgmqrzQyr5S4h79BUqE/view?usp=sharing</t>
  </si>
  <si>
    <t>https://drive.google.com/file/d/1PnBiqIz_JfvcD5_JZ05MnVhLopk0ldlO/view?usp=sharing</t>
  </si>
  <si>
    <t>JUDHISTHIR MONDAL</t>
  </si>
  <si>
    <t>50205613220</t>
  </si>
  <si>
    <t>ALSQIG</t>
  </si>
  <si>
    <t>https://drive.google.com/file/d/1cotMqZXZYfcs5A4iAD3zGcI84Jfttw7k/view?usp=sharing</t>
  </si>
  <si>
    <t>https://drive.google.com/file/d/19-DLW_9gKl4I5wSHc2Hjdp5js0V_rd9d/view?usp=sharing</t>
  </si>
  <si>
    <t>TAPAN BISWAS/I</t>
  </si>
  <si>
    <t>50205602488</t>
  </si>
  <si>
    <t>YXKMZZ</t>
  </si>
  <si>
    <t>https://drive.google.com/file/d/1gleFb3JXLmjnVADKXElcklkRkzH6OSDW/view?usp=sharing</t>
  </si>
  <si>
    <t>https://drive.google.com/file/d/1hO_fHyWyQbGFp74F23W_--Qr6Ii00Nf7/view?usp=sharing</t>
  </si>
  <si>
    <t>KALYAN ROY</t>
  </si>
  <si>
    <t>502NP001571</t>
  </si>
  <si>
    <t>ZNQIXW</t>
  </si>
  <si>
    <t>https://drive.google.com/file/d/1niK1FMeTdMJwWwhB6_tONtnb9a-1Hq6l/view?usp=sharing</t>
  </si>
  <si>
    <t>https://drive.google.com/file/d/1vI-12UO0V0IenzekOGK9cKxesrPjeyJW/view?usp=sharing</t>
  </si>
  <si>
    <t>SUBHANKAR HALDER</t>
  </si>
  <si>
    <t>50205602427</t>
  </si>
  <si>
    <t>PMENQL</t>
  </si>
  <si>
    <t>https://drive.google.com/file/d/1kl99FX4OLnnZFeZT38WSOCmcTlJIPylL/view?usp=sharing</t>
  </si>
  <si>
    <t>https://drive.google.com/file/d/10MKTi1oxCvJ6aBaxPeXgd_-Z1SWc_w2Q/view?usp=sharing</t>
  </si>
  <si>
    <t>ANUP BISWAS</t>
  </si>
  <si>
    <t>50205602490</t>
  </si>
  <si>
    <t>CUJGSS</t>
  </si>
  <si>
    <t>https://drive.google.com/file/d/1itde4NnjCqzKleH_j7o8P92qIs3UuG6x/view?usp=sharing</t>
  </si>
  <si>
    <t>SUKHEN ROY</t>
  </si>
  <si>
    <t>50205569138</t>
  </si>
  <si>
    <t>HOOSCQ</t>
  </si>
  <si>
    <t>https://drive.google.com/file/d/1uBX2oE7H8-Pdj0yyu5NR6uvEY6fVTJde/view?usp=sharing</t>
  </si>
  <si>
    <t>MRITYUNJOY BAIDYA</t>
  </si>
  <si>
    <t>50200402814</t>
  </si>
  <si>
    <t>XBGINQ</t>
  </si>
  <si>
    <t>https://drive.google.com/file/d/13X_tHJzekfLH3kueeIHp18LOQNAhIFc3/view?usp=sharing</t>
  </si>
  <si>
    <t>NEWTON BISWAS</t>
  </si>
  <si>
    <t>50200150540</t>
  </si>
  <si>
    <t>PCBHCS</t>
  </si>
  <si>
    <t>https://drive.google.com/file/d/1cU1jBrwSAY5vtamfdVvXarecDSYPbKP3/view?usp=sharing</t>
  </si>
  <si>
    <t>https://drive.google.com/file/d/1Mwr1F7XFXQqcYHjXIG4cM-ZfKWh1Xbuu/view?usp=sharing</t>
  </si>
  <si>
    <t>https://drive.google.com/file/d/160pemg6w1TgpZIZoQvRhwNVe_Pew7hfH/view?usp=sharing</t>
  </si>
  <si>
    <t>MALOBIKA Halder (DAS)</t>
  </si>
  <si>
    <t>50205616293</t>
  </si>
  <si>
    <t>NTJGZX</t>
  </si>
  <si>
    <t>https://drive.google.com/file/d/1vR2yxFw5Hl1GT7t76_SbneGfvte7P-XP/view?usp=sharing</t>
  </si>
  <si>
    <t>https://drive.google.com/file/d/1puUqQ7NSIUz1-FQJ3wMuOO7odYoRPhQ0/view?usp=sharing</t>
  </si>
  <si>
    <t>https://drive.google.com/file/d/1PJVPqXqhXEciO61UIBby5Oc_QP5P3oG-/view?usp=sharing</t>
  </si>
  <si>
    <t>DEEBYNDU PATRA</t>
  </si>
  <si>
    <t>50200406208</t>
  </si>
  <si>
    <t>JEBBTL</t>
  </si>
  <si>
    <t>https://drive.google.com/file/d/1gr5cdTCQw_Adorie91dZliXxosyvbs1C/view?usp=sharing</t>
  </si>
  <si>
    <t>https://drive.google.com/file/d/1_PPyrpBqBijFIhYJ1TO7Y5RdBDAh8p1R/view?usp=sharing</t>
  </si>
  <si>
    <t>DINESH BISWAS</t>
  </si>
  <si>
    <t>50205616359</t>
  </si>
  <si>
    <t>PSSHSY</t>
  </si>
  <si>
    <t>https://drive.google.com/file/d/1N0hI4ctq8qo6rIOsvKaAU-enlR0OQhRn/view?usp=sharing</t>
  </si>
  <si>
    <t>https://drive.google.com/file/d/1YhEzxD-GrMd718ubC1DZ-BkBjhVxX6rt/view?usp=sharing</t>
  </si>
  <si>
    <t>https://drive.google.com/file/d/1GwL0GggHy3kvJzCyJbRuzEAyRrrssBzb/view?usp=sharing</t>
  </si>
  <si>
    <t>SANJAY KUMAR CHOUDHARY</t>
  </si>
  <si>
    <t>50205616372</t>
  </si>
  <si>
    <t>NOUNLQ</t>
  </si>
  <si>
    <t>https://drive.google.com/file/d/1zCW7vGIl763VhkWKOWsDMM6f-vq_wxfz/view?usp=sharing</t>
  </si>
  <si>
    <t>https://drive.google.com/file/d/14Z6w1Zh38xsuocrz3I5CuYR1c4K-NNAV/view?usp=sharing</t>
  </si>
  <si>
    <t>PRITAM KUMAR SARKAR</t>
  </si>
  <si>
    <t>50205616402</t>
  </si>
  <si>
    <t>XIZDEN</t>
  </si>
  <si>
    <t>https://drive.google.com/file/d/1lS_LRVwVLR78KIqANbAlrBVfpRG0pSLo/view?usp=sharing</t>
  </si>
  <si>
    <t>https://drive.google.com/file/d/1MG-pwzwxFnknX9IZHgvcfhpbZWFSAYhh/view?usp=sharing</t>
  </si>
  <si>
    <t>PRANAJIT SARKAR</t>
  </si>
  <si>
    <t>333J0900102</t>
  </si>
  <si>
    <t>PJQSBU</t>
  </si>
  <si>
    <t>https://drive.google.com/file/d/13eMfJR0BFwO0ms-htPCRSjnK_PmmI3OK/view?usp=sharing</t>
  </si>
  <si>
    <t>KAMALESH KUMAR GOND</t>
  </si>
  <si>
    <t>50200402809</t>
  </si>
  <si>
    <t>GWHKBO</t>
  </si>
  <si>
    <t>https://drive.google.com/file/d/1XTd6oEKjQAH0AkQrtRWYZ_3ukzpt2B2Q/view?usp=sharing</t>
  </si>
  <si>
    <t>KARTICK BAGCHI</t>
  </si>
  <si>
    <t>50200099855</t>
  </si>
  <si>
    <t>MPSRWD</t>
  </si>
  <si>
    <t>https://drive.google.com/file/d/15lSRrAOkSGE0xbcD4WpBQ-dgj0ta5sV_/view?usp=sharing</t>
  </si>
  <si>
    <t>https://drive.google.com/file/d/1VNCH0vwPtz64s4buu2aKpeCxws5tcTBN/view?usp=sharing</t>
  </si>
  <si>
    <t>https://drive.google.com/file/d/11X-RF2GE8IC7VtXECKurmQlLe_g5jBM7/view?usp=sharing</t>
  </si>
  <si>
    <t>https://drive.google.com/file/d/1rRFer1z4RHbs1gZWbXIo_EfkITW94oDo/view?usp=sharing</t>
  </si>
  <si>
    <t>50205616335</t>
  </si>
  <si>
    <t>OYAAXA</t>
  </si>
  <si>
    <t>https://drive.google.com/file/d/1SiXhapQHGq-GlZeFkpq1L73d_oKdzk5B/view?usp=sharing</t>
  </si>
  <si>
    <t>https://drive.google.com/file/d/1R3perCenopDALPxZnVm5aKMKx8KlqWD-/view?usp=sharing</t>
  </si>
  <si>
    <t>BAIJU KUMAR</t>
  </si>
  <si>
    <t>50205616347</t>
  </si>
  <si>
    <t>XOYHYJ</t>
  </si>
  <si>
    <t>https://drive.google.com/file/d/1npXtfQe3eHpghkwa2r7J1RJ1oUN9UevJ/view?usp=sharing</t>
  </si>
  <si>
    <t>https://drive.google.com/file/d/1EUJ4CEEUGjHoBCq451dGekWcQzZlOuk6/view?usp=sharing</t>
  </si>
  <si>
    <t>https://drive.google.com/file/d/1hrqJmqZPbtOFzyIbvFqM2igLfYorRaW9/view?usp=sharing</t>
  </si>
  <si>
    <t>AWADHESH KUMAR</t>
  </si>
  <si>
    <t>50205616396</t>
  </si>
  <si>
    <t>HNHJNO</t>
  </si>
  <si>
    <t>https://drive.google.com/file/d/1Ro3hBqHVGhngyenDhETLK_V-_VWxXtwI/view?usp=sharing</t>
  </si>
  <si>
    <t>https://drive.google.com/file/d/1-aHiVfGzjEC7K0Kv-IrGXnKUbdopY91_/view?usp=sharing</t>
  </si>
  <si>
    <t>https://drive.google.com/file/d/1Rah5vT50DNfBzz3cU2l2DgyhLlCH_GvV/view?usp=sharing</t>
  </si>
  <si>
    <t>RAM KUMAR MANDAL</t>
  </si>
  <si>
    <t>50205616414</t>
  </si>
  <si>
    <t>SAHMZT</t>
  </si>
  <si>
    <t>https://drive.google.com/file/d/1v5SS0LSJfZlzislmDSXTE_b5dY1ig0Gp/view?usp=sharing</t>
  </si>
  <si>
    <t>https://drive.google.com/file/d/1JuErZRA8gb5RPrGyjDPAAFJfW4gLHpKi/view?usp=sharing</t>
  </si>
  <si>
    <t>AVINASH KUMAR</t>
  </si>
  <si>
    <t>50205616426</t>
  </si>
  <si>
    <t>NPXYEB</t>
  </si>
  <si>
    <t>https://drive.google.com/file/d/1b1lKP717tJAgPZqkgExH83dS-qpshXhj/view?usp=sharing</t>
  </si>
  <si>
    <t>https://drive.google.com/file/d/1-pfU_HZRb73JxVvR3V3FoF87X0Mky-nz/view?usp=sharing</t>
  </si>
  <si>
    <t>RAJ KISHORE SINGH</t>
  </si>
  <si>
    <t>50205616438</t>
  </si>
  <si>
    <t>NHHLNB</t>
  </si>
  <si>
    <t>https://drive.google.com/file/d/1HlpNWqEi3kzZxpqK8UT0fUi_oTxXPSRw/view?usp=sharing</t>
  </si>
  <si>
    <t>https://drive.google.com/file/d/1HU7DJufNhnCqrYTvsP5WuqGHWad6VSqC/view?usp=sharing</t>
  </si>
  <si>
    <t>https://drive.google.com/file/d/1h7Fl_hSuC94GG4iIBVcm3P4Q5EKOJqc7/view?usp=sharing</t>
  </si>
  <si>
    <t>RIPAN SIKDER</t>
  </si>
  <si>
    <t>50205617571</t>
  </si>
  <si>
    <t>EMWXWC</t>
  </si>
  <si>
    <t>https://drive.google.com/file/d/11an_ASf50X0HlOHlDokuohbKvmYsKAph/view?usp=sharing</t>
  </si>
  <si>
    <t>https://drive.google.com/file/d/17vO5KQjQdipeySuML-3PidueDcvb7evc/view?usp=sharing</t>
  </si>
  <si>
    <t>VASKAR DEBNATH</t>
  </si>
  <si>
    <t>27308407976</t>
  </si>
  <si>
    <t>GIMIGM</t>
  </si>
  <si>
    <t>https://drive.google.com/file/d/1VFXhZdj1CboJYYvJZaQyrggUd01v0sR0/view?usp=sharing</t>
  </si>
  <si>
    <t>https://drive.google.com/file/d/1qaGUwJ9bi_HWndC80pelY63SspYVdlXj/view?usp=sharing</t>
  </si>
  <si>
    <t>KUMARESH BISWAS</t>
  </si>
  <si>
    <t>50205617662</t>
  </si>
  <si>
    <t>HSXJSB</t>
  </si>
  <si>
    <t>https://drive.google.com/file/d/11wOWMsEyZFizOnas5V6b46oOMBI0YS6w/view?usp=sharing</t>
  </si>
  <si>
    <t>https://drive.google.com/file/d/16aIr8DgWkpymCdwbVoxl4srKkr4GNonV/view?usp=sharing</t>
  </si>
  <si>
    <t>https://drive.google.com/file/d/1nNYPJT9pz6RJTTj5fqlIRCO8L1JHb30c/view?usp=drive_link</t>
  </si>
  <si>
    <t>PRABIR GHOSH</t>
  </si>
  <si>
    <t>50205617893</t>
  </si>
  <si>
    <t>IEHCSJ</t>
  </si>
  <si>
    <t>https://drive.google.com/file/d/1j7hLXjJmXwqbASteroltFpogtMYLbTXY/view?usp=sharing</t>
  </si>
  <si>
    <t>https://drive.google.com/file/d/1MR4vTKSWVcGR3D3T2SCoZM7o5dx7Vnqy/view?usp=sharing</t>
  </si>
  <si>
    <t>https://drive.google.com/file/d/11j15IQCzLNg1EANib04eBVFhw5CU0bSo/view?usp=sharing</t>
  </si>
  <si>
    <t>PRAVEEN KUMAR PRAVEEN</t>
  </si>
  <si>
    <t>50200403216</t>
  </si>
  <si>
    <t>LOHXPO</t>
  </si>
  <si>
    <t>https://drive.google.com/file/d/1JONcmupj3BM8_d3mer48q0F34nHBlxRp/view?usp=sharing</t>
  </si>
  <si>
    <t>https://drive.google.com/file/d/1V6xMnBmCkvJ3DesKFs080c2q-mxdIzTZ/view?usp=sharing</t>
  </si>
  <si>
    <t>BISWAJIT BISWAS/III</t>
  </si>
  <si>
    <t>50205617686</t>
  </si>
  <si>
    <t>XBPQEU</t>
  </si>
  <si>
    <t>https://drive.google.com/file/d/1UvXzy55ui7SFgpWvN-_GouukI57QVRJM/view?usp=sharing</t>
  </si>
  <si>
    <t>https://drive.google.com/file/d/1OHff1Y00tT6i8V2ymQNetNdXejt5LYXv/view?usp=sharing</t>
  </si>
  <si>
    <t>PARTHA GHOSH</t>
  </si>
  <si>
    <t>50205617698</t>
  </si>
  <si>
    <t>IKTHOB</t>
  </si>
  <si>
    <t>https://drive.google.com/file/d/1JmU5mgPcNO6wW4YJT9bAFjSfDR56NgoN/view?usp=sharing</t>
  </si>
  <si>
    <t>https://drive.google.com/file/d/1g0sJgLMAxcJWE-8JNPINjQ28-IrtzqBC/view?usp=sharing</t>
  </si>
  <si>
    <t>NISHITH RANJAN NATH</t>
  </si>
  <si>
    <t>50205617704</t>
  </si>
  <si>
    <t>RWZSCK</t>
  </si>
  <si>
    <t>https://drive.google.com/file/d/1fu86ONQ9pMbXQNR4T0fCTeuLJaQ0iz9n/view?usp=sharing</t>
  </si>
  <si>
    <t>https://drive.google.com/file/d/1Lb-MejX6uHu6VVSBSdr6W6VuIafrN9Bg/view?usp=sharing</t>
  </si>
  <si>
    <t>DIPIKA SARKAR</t>
  </si>
  <si>
    <t>50205618058</t>
  </si>
  <si>
    <t>NJZPQZ</t>
  </si>
  <si>
    <t>https://drive.google.com/file/d/1F-2Mqei4p3viHLxJU588uwP08997D6Ft/view?usp=sharing</t>
  </si>
  <si>
    <t>https://drive.google.com/file/d/1sHJbhbFOPMZBcyOGUfgWEFk2R5PQwu1k/view?usp=sharing</t>
  </si>
  <si>
    <t>NARAYAN SAHA</t>
  </si>
  <si>
    <t>50205618137</t>
  </si>
  <si>
    <t>YMUAMI</t>
  </si>
  <si>
    <t>https://drive.google.com/file/d/199Ok_lGdJVxkanQX83klhFO2jPrMkQov/view?usp=sharing</t>
  </si>
  <si>
    <t>https://drive.google.com/file/d/1NIFvt8pljorQm7RGe1HmHm4ddTfaaZYz/view?usp=sharing</t>
  </si>
  <si>
    <t>https://drive.google.com/file/d/1Og6ojQ1XK2TgjHpyy0jGsmDDvEfmEs16/view?usp=sharing</t>
  </si>
  <si>
    <t>https://drive.google.com/file/d/1ARjdcd8enJ38WtqIZzoM4ihVolj6_DTW/view?usp=sharing</t>
  </si>
  <si>
    <t>SANJIBAN ROY</t>
  </si>
  <si>
    <t>BTUWHC</t>
  </si>
  <si>
    <t>https://drive.google.com/file/d/1F8wDIO8oMu0xi4jhEVN4kJtEWwpLgGaM/view?usp=sharing</t>
  </si>
  <si>
    <t>https://drive.google.com/file/d/1dSVkdU1WOPxBNZFleeYKF6EYjl81OCLF/view?usp=sharing</t>
  </si>
  <si>
    <t>https://drive.google.com/file/d/1yu8aNsMyQqAheyJj3RY9RE5DEncCaBrE/view?usp=sharing</t>
  </si>
  <si>
    <t>https://drive.google.com/file/d/1MGFAXg2fIUPtogJ5R1Tt_bhT_1CzT2sH/view?usp=sharing</t>
  </si>
  <si>
    <t>CHANDAN KUMAR SINGH</t>
  </si>
  <si>
    <t>50205617959</t>
  </si>
  <si>
    <t>ULWHTD</t>
  </si>
  <si>
    <t>https://drive.google.com/file/d/1X_HAT5nzROc11SHaorFnJ_edzTSdkIjp/view?usp=sharing</t>
  </si>
  <si>
    <t>https://drive.google.com/file/d/1cwDtBDIL9a-j3S79eDzBvJdkG2FqFMGT/view?usp=sharing</t>
  </si>
  <si>
    <t>https://drive.google.com/file/d/10vorK6RBBYHW_lkJDqCx-nl7ea4cNq4e/view?usp=sharing</t>
  </si>
  <si>
    <t>DHARMENDRA KUMAR</t>
  </si>
  <si>
    <t>50205617984</t>
  </si>
  <si>
    <t>EBMRIB</t>
  </si>
  <si>
    <t>https://drive.google.com/file/d/16qk732jpDdCyjbCCgK2VE7eIHzBMlo_T/view?usp=sharing</t>
  </si>
  <si>
    <t>https://drive.google.com/file/d/1atfaaMiST_mnKZS8rJwqX53ILLEEZSdL/view?usp=sharing</t>
  </si>
  <si>
    <t>https://drive.google.com/file/d/1XyYDtS5yNEBC6AdMdYx5AxitXdmhoQc2/view?usp=sharing</t>
  </si>
  <si>
    <t>https://drive.google.com/file/d/1JvzsvIkkEEbfc2mLuTz3UTT0rWG1-2r5/view?usp=sharing</t>
  </si>
  <si>
    <t>PRASHANT KUMAR</t>
  </si>
  <si>
    <t>50205617996</t>
  </si>
  <si>
    <t>NTKOSQ</t>
  </si>
  <si>
    <t>https://drive.google.com/file/d/1GLB2ZZChD5cf-4OPDNxC3Gnlda1t_WX-/view?usp=sharing</t>
  </si>
  <si>
    <t>https://drive.google.com/file/d/1EBgHfU_taC3ecSLHeV8DDMGxmm0Jfv1_/view?usp=sharing</t>
  </si>
  <si>
    <t>https://drive.google.com/file/d/1lRgjAm58tlabRqOI6jYZdu2Tk8L0ulop/view?usp=sharing</t>
  </si>
  <si>
    <t>https://drive.google.com/file/d/1q_n9gNVXzBkBCuiCI2ITmxIgvusrgoo9/view?usp=sharing</t>
  </si>
  <si>
    <t>PRAMOD KUMAR II</t>
  </si>
  <si>
    <t>50205618009</t>
  </si>
  <si>
    <t>NTQAIS</t>
  </si>
  <si>
    <t>https://drive.google.com/file/d/1r-o8wKQTVdq9vzmrGqYF2wqgCeARn3hp/view?usp=sharing</t>
  </si>
  <si>
    <t>https://drive.google.com/file/d/1UqAo1EtqWISnDHyNmDMs7yvYLexgFcXz/view?usp=sharing</t>
  </si>
  <si>
    <t>https://drive.google.com/file/d/1Ml9CcpXtsYi3iHcESUZVnknnLtwSPyAS/view?usp=sharing</t>
  </si>
  <si>
    <t>https://drive.google.com/file/d/1tBnOWWY24UQSdmxAUgbEp5qJmTPEFBaG/view?usp=sharing</t>
  </si>
  <si>
    <t>SHANKAR BISWAS</t>
  </si>
  <si>
    <t>50205618241</t>
  </si>
  <si>
    <t>DQUUJK</t>
  </si>
  <si>
    <t>https://drive.google.com/file/d/1I7c9KGeZJwIGp3yrfce5RbpcEW-Nhpz_/view?usp=sharing</t>
  </si>
  <si>
    <t>https://drive.google.com/file/d/1HmKzm1iU2I7Dm4UOsL66YuRqocbDV5e5/view?usp=sharing</t>
  </si>
  <si>
    <t>https://drive.google.com/file/d/1j3KS09-Lp-2MbG_Wf2B_srUYSZ54s-LG/view?usp=sharing</t>
  </si>
  <si>
    <t>https://drive.google.com/file/d/10mkNLPKSE1MnUwIG2-Zn_2zS4NZKwY88/view?usp=sharing</t>
  </si>
  <si>
    <t>MAHADEB SARKAR</t>
  </si>
  <si>
    <t>KHDNKO</t>
  </si>
  <si>
    <t>https://drive.google.com/file/d/11sb_B9vpa8-6xxBRkM-90pDcti9lqO-m/view?usp=sharing</t>
  </si>
  <si>
    <t>https://drive.google.com/file/d/1UbyOKOZ3mVnD3HR_pjNUDKxuoE1CUTLQ/view?usp=sharing</t>
  </si>
  <si>
    <t>https://drive.google.com/file/d/1GSh6IuMbcv4h0Cez1usjgLUuQA-zx3NW/view?usp=sharing</t>
  </si>
  <si>
    <t>https://drive.google.com/file/d/17sCCKNOfWV6hoJ3ZTXDUki5hROQ4Drai/view?usp=sharing</t>
  </si>
  <si>
    <t>BHASKAR MONDAL</t>
  </si>
  <si>
    <t>KEQDRE</t>
  </si>
  <si>
    <t>https://drive.google.com/file/d/1v_u44STvrjmh4AuBNCT1zmVCvIkjjVpz/view?usp=sharing</t>
  </si>
  <si>
    <t>https://drive.google.com/file/d/1xBMteLRDl2YiTJn1ZCDb9ohzmMwR9ITE/view?usp=sharing</t>
  </si>
  <si>
    <t>https://drive.google.com/file/d/1GImUdqVV6ESbVnkg-CFrBkQthO3fGFka/view?usp=sharing</t>
  </si>
  <si>
    <t>https://drive.google.com/file/d/1X88QWHkOLX4uRRLpwaI95jjBh6o_Iity/view?usp=sharing</t>
  </si>
  <si>
    <t>ARUP SARKAR</t>
  </si>
  <si>
    <t>SUKCYT</t>
  </si>
  <si>
    <t>https://drive.google.com/file/d/18ljvvCUZCQ3xfuNHp5IuE3Vs_FIv745g/view?usp=sharing</t>
  </si>
  <si>
    <t>https://drive.google.com/file/d/1S5QOkYyDl6QZ_gu6VGYccMLrgClg7t44/view?usp=sharing</t>
  </si>
  <si>
    <t>https://drive.google.com/file/d/1x2tRzTIJjsPcB6QIAVUVylkR-nvVQNfr/view?usp=sharing</t>
  </si>
  <si>
    <t>https://drive.google.com/file/d/1hhTgaThUKgm-D0tXCW5lsfkCmQMWlp-Z/view?usp=sharing</t>
  </si>
  <si>
    <t>BIBEKANANDA PAUL</t>
  </si>
  <si>
    <t>IYZTDC</t>
  </si>
  <si>
    <t>https://drive.google.com/file/d/1k98lGiedeGbkpB940d94yt0Yyqtp8TmO/view?usp=sharing</t>
  </si>
  <si>
    <t>https://drive.google.com/file/d/1iNyecHy0rX4btcNerXME0Y8A6sRV_vvf/view?usp=sharing</t>
  </si>
  <si>
    <t>https://drive.google.com/file/d/1n2Y5Tr3RaBKq2148BMoYfOeoZiHxs4VX/view?usp=sharing</t>
  </si>
  <si>
    <t>https://drive.google.com/file/d/1qIAbf-CcYNIAnIaFtemRpt5e6QZIqK6E/view?usp=sharing</t>
  </si>
  <si>
    <t>AMARESH MANDAL</t>
  </si>
  <si>
    <t>QPCPEJ</t>
  </si>
  <si>
    <t>https://drive.google.com/file/d/1dGSDbNx_fYnU2g0oBBC3ZsQ1tQYyzkyz/view?usp=sharing</t>
  </si>
  <si>
    <t>https://drive.google.com/file/d/1kpdi9AwytTtrn_w9vF5heEGRKLyK2Tou/view?usp=sharing</t>
  </si>
  <si>
    <t>https://drive.google.com/file/d/1bYdFacxpcVvjxm1U_ak-uLmlPIokvZqb/view?usp=sharing</t>
  </si>
  <si>
    <t>https://drive.google.com/file/d/1Lh_WCx6PpsmfFtfqPYKLrdTQYORUKtsv/view?usp=sharing</t>
  </si>
  <si>
    <t>MITHUN SAHA</t>
  </si>
  <si>
    <t>50200150484</t>
  </si>
  <si>
    <t>ERBOAX</t>
  </si>
  <si>
    <t>https://drive.google.com/file/d/1_Bf7RS9MZID31SFGi6Zk7ly2vlm0Os0r/view?usp=sharing</t>
  </si>
  <si>
    <t>https://drive.google.com/file/d/1279QuRVNkucLJMujT7gvJXczTFcz-K5c/view?usp=sharing</t>
  </si>
  <si>
    <t>KINKAR DAS</t>
  </si>
  <si>
    <t>50200154155</t>
  </si>
  <si>
    <t>GJFKUH</t>
  </si>
  <si>
    <t>https://drive.google.com/file/d/1_UuxpYyDlBOqsdV96-AdW-m5u-5-RWCA/view?usp=sharing</t>
  </si>
  <si>
    <t>https://drive.google.com/file/d/1mvRmiAtuYWn3FA-BPcLsT4p6T3cxnnV-/view?usp=sharing</t>
  </si>
  <si>
    <t>SAROJ SARKAR</t>
  </si>
  <si>
    <t>DQGGLC</t>
  </si>
  <si>
    <t>https://drive.google.com/file/d/135asNqnrmzkK50Smd_ORrDDOxBGOeh4a/view?usp=sharing</t>
  </si>
  <si>
    <t>https://drive.google.com/file/d/1MSCEWmR0STI0ZigOfZicwSsJ2eXJjQ7L/view?usp=sharing</t>
  </si>
  <si>
    <t>https://drive.google.com/file/d/14DmhU91V6cmwfRuqZilxAB0qQEjBfmPp/view?usp=sharing</t>
  </si>
  <si>
    <t>https://drive.google.com/file/d/1G9JlDwW9g0ryF8dcj-jt_jHrewq3FkUG/view?usp=sharing</t>
  </si>
  <si>
    <t>SAROJIT MONDAL</t>
  </si>
  <si>
    <t>TWWPHH</t>
  </si>
  <si>
    <t>https://drive.google.com/file/d/1453nqenOm2znvYEG6CR3fYtL5JfACwE9/view?usp=sharing</t>
  </si>
  <si>
    <t>https://drive.google.com/file/d/1yfBVhIMu5LlDf6UY9cb0YDQxW6AemACG/view?usp=sharing</t>
  </si>
  <si>
    <t>https://drive.google.com/file/d/1sVfr8WHHV3EsgHe8By1fDhN23vL4d285/view?usp=sharing</t>
  </si>
  <si>
    <t>ARUP SIKDAR</t>
  </si>
  <si>
    <t>50205617911</t>
  </si>
  <si>
    <t>GINPYT</t>
  </si>
  <si>
    <t>https://drive.google.com/file/d/1gr95HjPwlHOOREhi4Zujsvjblo3KHSuP/view?usp=sharing</t>
  </si>
  <si>
    <t>https://drive.google.com/file/d/1LqFXmIeE37NnWjULKwbgRJmLrMESB19Q/view?usp=sharing</t>
  </si>
  <si>
    <t>Tr 10</t>
  </si>
  <si>
    <t>Tr 13</t>
  </si>
  <si>
    <t>Tr12</t>
  </si>
  <si>
    <t>pf len</t>
  </si>
  <si>
    <t>ABHISHEK KUMAR/II</t>
  </si>
  <si>
    <t>50205603018</t>
  </si>
  <si>
    <t>GLDPMX</t>
  </si>
  <si>
    <t>https://drive.google.com/file/d/1bvvGumy8TjNZUEHQcAMpZwdcEExZVT4S/view?usp=sharing</t>
  </si>
  <si>
    <t>ALOK KUMAR SINGH</t>
  </si>
  <si>
    <t>50205602567</t>
  </si>
  <si>
    <t>OTTWMH</t>
  </si>
  <si>
    <t>https://drive.google.com/file/d/1LTfhzOifTRCXrIYickfYeYBESSGipmVv/view?usp=sharing</t>
  </si>
  <si>
    <t>https://drive.google.com/file/d/1gWqPvExBiLPUyxKt5MIS8cNd7Dfm0Q2P/view?usp=sharing</t>
  </si>
  <si>
    <t>AMIT RAJ</t>
  </si>
  <si>
    <t>50205602439</t>
  </si>
  <si>
    <t>RGHTUC</t>
  </si>
  <si>
    <t>https://drive.google.com/file/d/1c8QeI0GOpgl5cRXG2cdGPV8ajblO_J2S/view?usp=sharing</t>
  </si>
  <si>
    <t>https://drive.google.com/file/d/1Jx7FSuegnOiNb25DpGiDeYJ8Qw_BKmFQ/view?usp=sharing</t>
  </si>
  <si>
    <t>AMREN BAGE</t>
  </si>
  <si>
    <t>50205421019</t>
  </si>
  <si>
    <t>EZHCRO</t>
  </si>
  <si>
    <t>https://drive.google.com/file/d/1FdEOECLLw489lDRNvuD6HuZBwEtKkP-T/view?usp=sharing</t>
  </si>
  <si>
    <t>AMRENDRAKUMAR</t>
  </si>
  <si>
    <t>50205569151</t>
  </si>
  <si>
    <t>KGUQOR</t>
  </si>
  <si>
    <t>https://drive.google.com/file/d/1i2NEl5FCJiO6CoxsABIAo72V-0WKbsMj/view?usp=sharing</t>
  </si>
  <si>
    <t>ANIL KUMAR II</t>
  </si>
  <si>
    <t>50205562715</t>
  </si>
  <si>
    <t>XSSZLP</t>
  </si>
  <si>
    <t>https://drive.google.com/file/d/1G3uO7Tzneae0r2VNjdEdmECRlTQ61eL5/view?usp=sharing</t>
  </si>
  <si>
    <t>https://drive.google.com/file/d/1PfIspsbWMwT06-qZOuHcTQ8VLSAUEugs/view?usp=sharing</t>
  </si>
  <si>
    <t>ANKESH KUMAR</t>
  </si>
  <si>
    <t>50205602713</t>
  </si>
  <si>
    <t>JGOBAU</t>
  </si>
  <si>
    <t>https://drive.google.com/file/d/1LnNxJt3RPrEems1OtsW0f2pzIlngi6_p/view?usp=sharing</t>
  </si>
  <si>
    <t>ANUPAM PAHARI</t>
  </si>
  <si>
    <t>50205607530</t>
  </si>
  <si>
    <t>EAMMGM</t>
  </si>
  <si>
    <t>https://drive.google.com/file/d/1uDDSJotyiHD5aJpwKBnhH1WcFHy8KepI/view?usp=sharing</t>
  </si>
  <si>
    <t>https://drive.google.com/file/d/11JpnRC61ADorSLwMU-kso_Xl6LN4j8f-/view?usp=sharing</t>
  </si>
  <si>
    <t>https://drive.google.com/file/d/1jdZu-zhEQSIzfMYaKfP-NzuS0a0ChhJJ/view?usp=sharing</t>
  </si>
  <si>
    <t>https://drive.google.com/file/d/1XDCGtFxFPBO7_ocwHobgX_Rb6DglTPGn/view?usp=sharing</t>
  </si>
  <si>
    <t>ASHIM KUMAR DEB</t>
  </si>
  <si>
    <t>50205522687</t>
  </si>
  <si>
    <t>BCJAQX</t>
  </si>
  <si>
    <t>https://drive.google.com/file/d/1RQcdbrIrWsgrUWLXV6CkshEdzL-TdHQr/view?usp=sharing</t>
  </si>
  <si>
    <t>https://drive.google.com/file/d/1vlRr0b6ekUvIJwtYLlpHbnL_5n62yScr/view?usp=sharing</t>
  </si>
  <si>
    <t>Ashutosh Tripathy</t>
  </si>
  <si>
    <t>50205520988</t>
  </si>
  <si>
    <t>QPGLAJ</t>
  </si>
  <si>
    <t>ATANU KARMAKAR</t>
  </si>
  <si>
    <t>50209406451</t>
  </si>
  <si>
    <t>WRPFDD</t>
  </si>
  <si>
    <t>https://drive.google.com/file/d/1m7aKkrz5EqyfkUoxQnHh8DQ8AsPpWwM5/view?usp=sharing</t>
  </si>
  <si>
    <t>https://drive.google.com/file/d/1K9jnJQbXc48HQUzEz85TYnVxSU2ld3Pd/view?usp=sharing</t>
  </si>
  <si>
    <t>AVIJIT PANDIT</t>
  </si>
  <si>
    <t>50205607681</t>
  </si>
  <si>
    <t>SKIYQL</t>
  </si>
  <si>
    <t>Working at MJT.</t>
  </si>
  <si>
    <t>https://drive.google.com/file/d/1yjxJThCuQZgOWfbD4CvRZohFUDY9d1Nb/view?usp=sharing</t>
  </si>
  <si>
    <t>https://drive.google.com/file/d/1cJSsYclm2EvZmI-9bPMl9Qypj8EKccsi/view?usp=sharing</t>
  </si>
  <si>
    <t>BHABANANDA RABIDAS</t>
  </si>
  <si>
    <t>50205407229</t>
  </si>
  <si>
    <t>MIGHEN</t>
  </si>
  <si>
    <t>https://drive.google.com/file/d/1YnKq-SvPhWwTuZ08ze0F1p7J2DEMJ_XJ/view?usp=sharing</t>
  </si>
  <si>
    <t>BHASKAR MANNA</t>
  </si>
  <si>
    <t>50205607395</t>
  </si>
  <si>
    <t>OOYAYO</t>
  </si>
  <si>
    <t>https://drive.google.com/file/d/1GcBe0Km5PBz5p0vyk0KBAhKF1n5RtR2-/view?usp=sharing</t>
  </si>
  <si>
    <t>https://drive.google.com/file/d/1yjLHsaakw00gXbmh2pIosgZk6KxHU1yO/view?usp=sharing</t>
  </si>
  <si>
    <t>BIDESH KULEY..</t>
  </si>
  <si>
    <t>50205421100</t>
  </si>
  <si>
    <t>BHQIBE</t>
  </si>
  <si>
    <t>https://drive.google.com/file/d/1YUIGPAp6CZpGWSxTdBkyVi8pXVTg7Ddx/view?usp=sharing</t>
  </si>
  <si>
    <t>BISWAJIT TIGGI</t>
  </si>
  <si>
    <t>50205522481</t>
  </si>
  <si>
    <t>YCGFQZ</t>
  </si>
  <si>
    <t>https://drive.google.com/file/d/1wbga2o1PRDf8f3akqEtwbWhMiJeeKoZ1/view?usp=sharing</t>
  </si>
  <si>
    <t>BRAHMANAND YADAV</t>
  </si>
  <si>
    <t>50205563999</t>
  </si>
  <si>
    <t>JXSGJO</t>
  </si>
  <si>
    <t>https://drive.google.com/file/d/1WIQtRw6HJtVLoeYuF1Ys95VsJoO1N-bq/view?usp=sharing</t>
  </si>
  <si>
    <t>CHANDAN KUMAR I</t>
  </si>
  <si>
    <t>50205607899</t>
  </si>
  <si>
    <t>CMXLQQ</t>
  </si>
  <si>
    <t>https://drive.google.com/file/d/1CYsBzWwj_jaEQSDH5c7oVZCCddPjBsTP/view?usp=sharing</t>
  </si>
  <si>
    <t>https://drive.google.com/file/d/19F6Ie-cpd27HH7lCcCl-0TowLTyGkcGa/view?usp=share_link</t>
  </si>
  <si>
    <t>CHHOTU KUMAR</t>
  </si>
  <si>
    <t>50205607991</t>
  </si>
  <si>
    <t>CMSRNJ</t>
  </si>
  <si>
    <t>https://drive.google.com/file/d/1jS11rAha2S2BJC8fGNNsHu9Qp4nE7WNx/view?usp=sharing</t>
  </si>
  <si>
    <t>CHITRANJAN KUMAR</t>
  </si>
  <si>
    <t>50205602440</t>
  </si>
  <si>
    <t>HFCBUU</t>
  </si>
  <si>
    <t>https://drive.google.com/file/d/1lI7DBYkltdZJbm_wBcUbpqqrUymnW0eR/view?usp=sharing</t>
  </si>
  <si>
    <t>DIPAK KUMAR NAYAK</t>
  </si>
  <si>
    <t>50205607140</t>
  </si>
  <si>
    <t>MCXBPI</t>
  </si>
  <si>
    <t>https://drive.google.com/file/d/1W2xJfVDvSNKBquYzL39dj9vxigtodDV8/view?usp=sharing</t>
  </si>
  <si>
    <t>https://drive.google.com/file/d/1CjoxSMZdaztRiPo9XSCKbgfHQ8XVv3KQ/view?usp=sharing</t>
  </si>
  <si>
    <t>GHANSHYAM KUMAR</t>
  </si>
  <si>
    <t>50205607309</t>
  </si>
  <si>
    <t>KEIWHH</t>
  </si>
  <si>
    <t>https://drive.google.com/file/d/1FV518ORW2gcnv-Jp9UQhNUFtvczx_g5a/view?usp=sharing</t>
  </si>
  <si>
    <t>https://drive.google.com/file/d/1ZuUCuS9LCZz0iRBrW0eEjJqQU2k00cdv/view?usp=sharing</t>
  </si>
  <si>
    <t>GOUTAM PYNE..</t>
  </si>
  <si>
    <t>50205335000</t>
  </si>
  <si>
    <t>XJUFIF</t>
  </si>
  <si>
    <t>https://drive.google.com/file/d/1_RWemRR_pdonrkshMk1ltcxGgvX02Ow5/view?usp=sharing</t>
  </si>
  <si>
    <t>HERI CHARLS KISKU</t>
  </si>
  <si>
    <t>50205420957</t>
  </si>
  <si>
    <t>OQFEJS</t>
  </si>
  <si>
    <t>https://drive.google.com/file/d/1xidpAyD5rHAV_gm0ApBkL5dbrxe6cLcj/view?usp=sharing</t>
  </si>
  <si>
    <t>https://drive.google.com/file/d/1lDRBWLekq-BLxJQaJJzcjTAh9w1nqZpS/view?usp=share_link</t>
  </si>
  <si>
    <t>HEMANTA KUMAR GAYEN</t>
  </si>
  <si>
    <t>50205355266</t>
  </si>
  <si>
    <t>UUWEOJ</t>
  </si>
  <si>
    <t>https://drive.google.com/file/d/1eAi-C1IfaWRUCZmBs-Al_0HkCbNIMzL3/view?usp=sharing</t>
  </si>
  <si>
    <t>JAYNTA KUMAR DAS..</t>
  </si>
  <si>
    <t>50205419244</t>
  </si>
  <si>
    <t>MCJPDM</t>
  </si>
  <si>
    <t>https://drive.google.com/file/d/1Msw3AA05kRhaGAoG6YnAAkNwZwE7ZGjP/view?usp=sharing</t>
  </si>
  <si>
    <t>https://drive.google.com/file/d/1bt6fDQoAv92vpDX-xNUHG0aM2ar3gKcE/view?usp=share_link</t>
  </si>
  <si>
    <t>JISHNU NANDI</t>
  </si>
  <si>
    <t>50205419190</t>
  </si>
  <si>
    <t>ICINEO</t>
  </si>
  <si>
    <t>https://drive.google.com/file/d/1MP4TiAPm-HuddP2HzWdicnCzB904MyqO/view?usp=sharing</t>
  </si>
  <si>
    <t>JOSEPH LAKRA</t>
  </si>
  <si>
    <t>50205420969</t>
  </si>
  <si>
    <t>ZPZDGF</t>
  </si>
  <si>
    <t>https://drive.google.com/file/d/11yY3hm8BqcnE0MA8mX3DUYK9KsdRDLEk/view?usp=sharing</t>
  </si>
  <si>
    <t>PAPER NOT TAKEN DUE TO LOCKDOWN</t>
  </si>
  <si>
    <t>KAUSHIK GHOSH</t>
  </si>
  <si>
    <t>50205522640</t>
  </si>
  <si>
    <t>OCCQWR</t>
  </si>
  <si>
    <t>https://drive.google.com/file/d/1gc_yeexaTW6IytdTERy_0n7jaHj5PxaU/view?usp=sharing</t>
  </si>
  <si>
    <t>https://drive.google.com/file/d/1SHwwn_lUoz8tSKlEev06AvHuI3sMX_zX/view?usp=sharing</t>
  </si>
  <si>
    <t>KRISHNENDU PARUI</t>
  </si>
  <si>
    <t>50205607383</t>
  </si>
  <si>
    <t>LZMRXS</t>
  </si>
  <si>
    <t>https://drive.google.com/file/d/1_H6C1wEKnN7vmmqNfE7D837eMRKg8STl/view?usp=sharing</t>
  </si>
  <si>
    <t>https://drive.google.com/file/d/1X10M8I0AF-4WKyC03lHlQr2mTUgbVNQB/view?usp=sharing</t>
  </si>
  <si>
    <t>KRISHNENDU SARKAR</t>
  </si>
  <si>
    <t>50205419311</t>
  </si>
  <si>
    <t>MMCTJG</t>
  </si>
  <si>
    <t>https://drive.google.com/file/d/1qNV74qOBKSH6AHqM4usHxMxWFbBovZhQ/view?usp=sharing</t>
  </si>
  <si>
    <t>https://drive.google.com/file/d/1aDNwf3xOlbxt6xcj-F6aKSWGRYIM-NDi/view?usp=share_link</t>
  </si>
  <si>
    <t>KUNDAN KUMAR</t>
  </si>
  <si>
    <t>50205607267</t>
  </si>
  <si>
    <t>BZDIQK</t>
  </si>
  <si>
    <t>https://drive.google.com/file/d/1dA0epGGWB36LVXiCBZeqLUomYEdcROu3/view?usp=sharing</t>
  </si>
  <si>
    <t>https://drive.google.com/file/d/1Q8fDVS6vFOtqrKbx-8GdmewNTw04t_zh/view?usp=sharing</t>
  </si>
  <si>
    <t>LOKESH KUMAR</t>
  </si>
  <si>
    <t>50205607930</t>
  </si>
  <si>
    <t>XAXJEK</t>
  </si>
  <si>
    <t>https://drive.google.com/file/d/1bGfQaJVBazIOnIbTMF4iaRNJNKe_vyfJ/view?usp=sharing</t>
  </si>
  <si>
    <t>https://drive.google.com/file/d/1uW2bvZfIHuAZustiLkVLdEOWivbp6DZA/view?usp=sharing</t>
  </si>
  <si>
    <t>MUNMUN KUMAR PANDEY</t>
  </si>
  <si>
    <t>50205607905</t>
  </si>
  <si>
    <t>CWWEMO</t>
  </si>
  <si>
    <t>https://drive.google.com/file/d/1-yiNPYnizT0z691T_S7RbC1r1MpxNSin/view?usp=sharing</t>
  </si>
  <si>
    <t>MUSTAK AHAMED MOLLA</t>
  </si>
  <si>
    <t>50207352529</t>
  </si>
  <si>
    <t>KGIIKB</t>
  </si>
  <si>
    <t>https://drive.google.com/file/d/17LWm--xoJYwz47MBFdZ7tYTd-ewut3EC/view?usp=sharing</t>
  </si>
  <si>
    <t>https://drive.google.com/file/d/1jDONqJiwE0VVquk7vNf39h9emm2bisxW/view?usp=drive_link</t>
  </si>
  <si>
    <t>OM PRAKASH UPADHYAY</t>
  </si>
  <si>
    <t>50205521038</t>
  </si>
  <si>
    <t>HJWFLJ</t>
  </si>
  <si>
    <t>https://drive.google.com/file/d/1Sityyyt9_dUUslwE0c3cxl_rcBFhVang/view?usp=sharing</t>
  </si>
  <si>
    <t>https://drive.google.com/file/d/1qhv8ZXgmBEBpoOtrXUDOpXb0ruYZF5Wx/view?usp=sharing</t>
  </si>
  <si>
    <t>PAPAI MONDAL</t>
  </si>
  <si>
    <t>50205607220</t>
  </si>
  <si>
    <t>UEJBIL</t>
  </si>
  <si>
    <t>https://drive.google.com/file/d/13axnxxy9EeIP5g_gQWds-Faro0zO6h8x/view?usp=sharing</t>
  </si>
  <si>
    <t>PRASUN SINGHA</t>
  </si>
  <si>
    <t>50200162553</t>
  </si>
  <si>
    <t>YBBNJS</t>
  </si>
  <si>
    <t>https://drive.google.com/file/d/1cDaDsCthKRlbnbcxNYJ3IxRv-6235aNz/view?usp=sharing</t>
  </si>
  <si>
    <t>https://drive.google.com/file/d/1YrwHkBXHMGTj5Wsnb9Qmfdvnrc4UwRqU/view?usp=sharing</t>
  </si>
  <si>
    <t>PRAVEEN KUMAR</t>
  </si>
  <si>
    <t>50205606895</t>
  </si>
  <si>
    <t>DWFLSE</t>
  </si>
  <si>
    <t>https://drive.google.com/file/d/1-7tBf6gcxlQwSB8mXEgU487z4MWXczjS/view?usp=sharing</t>
  </si>
  <si>
    <t>https://drive.google.com/file/d/1KNihjZY6Jlist8yNljWGgMEb-xzhUFOU/view?usp=sharing</t>
  </si>
  <si>
    <t>PRODIP PAUL</t>
  </si>
  <si>
    <t>50205607292</t>
  </si>
  <si>
    <t>LSUOTJ</t>
  </si>
  <si>
    <t>https://drive.google.com/file/d/1PfxMS5-pI2w4x8Ppqe1RZoaqgxLxFf8W/view?usp=sharing</t>
  </si>
  <si>
    <t>https://drive.google.com/file/d/16tBwlk5FuTqPVmxiYYGVIMqwi-WyEKE0/view?usp=sharing</t>
  </si>
  <si>
    <t>PURENDU UPLA</t>
  </si>
  <si>
    <t>50205569217</t>
  </si>
  <si>
    <t>SYZDSR</t>
  </si>
  <si>
    <t>https://drive.google.com/file/d/1x1uM6VxHc05cQn2tNKlOq9Tgmkm2T6jW/view?usp=sharing</t>
  </si>
  <si>
    <t>https://drive.google.com/file/d/1HIAcgqXpqvGx5UKkURDMyPgPApT1lBWu/view?usp=sharing</t>
  </si>
  <si>
    <t>RAJEEV KUMAR</t>
  </si>
  <si>
    <t>502N0007611</t>
  </si>
  <si>
    <t>IPLWHN</t>
  </si>
  <si>
    <t>https://drive.google.com/file/d/1Och12zHKOpQWPIH5EyMp57uWSaMl2hzi/view?usp=sharing</t>
  </si>
  <si>
    <t>https://drive.google.com/file/d/1kloWkr2akUeqsdZfTbWsSU4Jwzao15yl/view?usp=sharing</t>
  </si>
  <si>
    <t>RAJESH KUMAR PANDEY</t>
  </si>
  <si>
    <t>50205521002</t>
  </si>
  <si>
    <t>XTIHKF</t>
  </si>
  <si>
    <t>https://drive.google.com/file/d/1WivhTRX8k92HboWqoXrcBm_8xeY-JczG/view?usp=sharing</t>
  </si>
  <si>
    <t>https://drive.google.com/file/d/1z1kUtNmCvJWrBprHJ1V-oLj4WNIVHwq5/view?usp=sharing</t>
  </si>
  <si>
    <t>RAJESH KUMAR V</t>
  </si>
  <si>
    <t>50205607310</t>
  </si>
  <si>
    <t>PIBRNI</t>
  </si>
  <si>
    <t>https://drive.google.com/file/d/1Gy0wqmRkaNArmw0MJAJRtFcaC_5EqaAw/view?usp=sharing</t>
  </si>
  <si>
    <t>https://drive.google.com/file/d/1hZsHcG1PCDoEGdiiQlBpznVtSiztKj1F/view?usp=sharing</t>
  </si>
  <si>
    <t>RAJU HALDER</t>
  </si>
  <si>
    <t>50200101400</t>
  </si>
  <si>
    <t>NAAZTU</t>
  </si>
  <si>
    <t>https://drive.google.com/file/d/1vnfnP_S6UykwUk9j6BCF4ipVNTMcqrPs/view?usp=sharing</t>
  </si>
  <si>
    <t>https://drive.google.com/file/d/1dCPPNIKivVXQQYQwjlcg0a2RxLwdM5dm/view?usp=sharing</t>
  </si>
  <si>
    <t>RAJU MONDAL</t>
  </si>
  <si>
    <t>50205607188</t>
  </si>
  <si>
    <t>KPEZGP</t>
  </si>
  <si>
    <t>https://drive.google.com/file/d/1jOkn5r6huCGcjsWwChQ7Fohgd-HYtIbU/view?usp=sharing</t>
  </si>
  <si>
    <t>RAMJANAM CHAUHAN</t>
  </si>
  <si>
    <t>50205562703</t>
  </si>
  <si>
    <t>REHJDU</t>
  </si>
  <si>
    <t>https://drive.google.com/file/d/1yg73qu-BPtyjZJtG4bYRjzLBpPR4KT4J/view?usp=sharing</t>
  </si>
  <si>
    <t>RANDHIR KUMAR</t>
  </si>
  <si>
    <t>502NP004071</t>
  </si>
  <si>
    <t>EDFSSK</t>
  </si>
  <si>
    <t>https://drive.google.com/file/d/1M3rxaRB_LsvqDdhYxnZITvGFxefGmhLB/view?usp=sharing</t>
  </si>
  <si>
    <t>https://drive.google.com/file/d/103oq1G6u12SbusZUnPVGNrZ3Q1E0up_A/view?usp=sharing</t>
  </si>
  <si>
    <t>RAVI SHANKER ORAON</t>
  </si>
  <si>
    <t>50205420878</t>
  </si>
  <si>
    <t>ARWWZK</t>
  </si>
  <si>
    <t>https://drive.google.com/file/d/1EBJwx78nzA8nkn-OOuD55JWPij-EZMrK/view?usp=sharing</t>
  </si>
  <si>
    <t>SACHIN KUMAR</t>
  </si>
  <si>
    <t>50205607322</t>
  </si>
  <si>
    <t>EUQJZI</t>
  </si>
  <si>
    <t>https://drive.google.com/file/d/1fPRhn-Fzdj639GidgoMV59tr1l8_YAld/view?usp=sharing</t>
  </si>
  <si>
    <t>https://drive.google.com/file/d/12dSMdQtC49Ay9PZp0reV1rRcbTiqUH9T/view?usp=sharing</t>
  </si>
  <si>
    <t>SANTANU DAS</t>
  </si>
  <si>
    <t>50205606925</t>
  </si>
  <si>
    <t>CYPRER</t>
  </si>
  <si>
    <t>https://drive.google.com/file/d/1XAV1viewKoCHkrmVHqL-l1vMCfSh-hJC/view?usp=sharing</t>
  </si>
  <si>
    <t>https://drive.google.com/file/d/1NfQCEZD8iCCY0bCoKI4AoqVC1q3CdwcB/view?usp=sharing</t>
  </si>
  <si>
    <t>SARAD KUMAR</t>
  </si>
  <si>
    <t>50205520447</t>
  </si>
  <si>
    <t>HWGPPX</t>
  </si>
  <si>
    <t>https://drive.google.com/file/d/1ILfh0QWOmy69yaMBwssRB7EjiLLhlsOr/view?usp=sharing</t>
  </si>
  <si>
    <t>SATISH KUMAR</t>
  </si>
  <si>
    <t>50205602506</t>
  </si>
  <si>
    <t>MNIISD</t>
  </si>
  <si>
    <t>https://drive.google.com/file/d/1NLXpkF2o4aXbK1gIHsRbKUQRTRTy13xu/view?usp=sharing</t>
  </si>
  <si>
    <t>SATYAJIT SAREN</t>
  </si>
  <si>
    <t>50205513431</t>
  </si>
  <si>
    <t>KLTJBW</t>
  </si>
  <si>
    <t>https://drive.google.com/file/d/1dCjfIyotkI6DF0XLHQ6g-6Z600Uv-OGv/view?usp=sharing</t>
  </si>
  <si>
    <t>SATYENDRA KUMAR</t>
  </si>
  <si>
    <t>50205607917</t>
  </si>
  <si>
    <t>APWPQM</t>
  </si>
  <si>
    <t>https://drive.google.com/file/d/1WyXN8iMm9z6MiPbO9PS6F6i_DbYcgvYu/view?usp=sharing</t>
  </si>
  <si>
    <t>https://drive.google.com/file/d/14NncRfKeN74pZUwPE_ZBFmty7doJnJNt/view?usp=sharing</t>
  </si>
  <si>
    <t>SHRIRAM MARDI</t>
  </si>
  <si>
    <t>50205420908</t>
  </si>
  <si>
    <t>RUIXGU</t>
  </si>
  <si>
    <t>https://drive.google.com/file/d/1Jvkig54ZmBEPP5SEZzFBVPDegcrC5qak/view?usp=sharing</t>
  </si>
  <si>
    <t>https://drive.google.com/file/d/14BD5Fm_EbQrOr0jMAW-i92rE-Kj4E-H6/view?usp=sharing</t>
  </si>
  <si>
    <t>SHYAMAL KUMAR DATTA</t>
  </si>
  <si>
    <t>50212110840</t>
  </si>
  <si>
    <t>UMQKBM</t>
  </si>
  <si>
    <t>https://drive.google.com/file/d/1r-4gMCatjOQdXVFT09OsVmJ_Skz0BQVg/view?usp=sharing</t>
  </si>
  <si>
    <t>https://drive.google.com/file/d/1F8FEdRE4kiW2n5RwprcKs2SIrJtYywTn/view?usp=sharing</t>
  </si>
  <si>
    <t>SITANGSU GOSWAMI</t>
  </si>
  <si>
    <t>50205373463</t>
  </si>
  <si>
    <t>IRBXNW</t>
  </si>
  <si>
    <t>https://drive.google.com/file/d/1iDyfIZGZJSfhSVV20tzvKriH6wCLVYfQ/view?usp=sharing</t>
  </si>
  <si>
    <t>SOMENDRA NATH PARH</t>
  </si>
  <si>
    <t>50205421070</t>
  </si>
  <si>
    <t>QWGJAX</t>
  </si>
  <si>
    <t>https://drive.google.com/file/d/1OWsk0z-fdVPqeKX4hNoiZemgRgFmTdje/view?usp=sharing</t>
  </si>
  <si>
    <t>SOURAV DAS</t>
  </si>
  <si>
    <t>50205607619</t>
  </si>
  <si>
    <t>LYHLWA</t>
  </si>
  <si>
    <t>https://drive.google.com/file/d/1xTkykJRYONegC3AO1JOPqKjvexuJTpWp/view?usp=sharing</t>
  </si>
  <si>
    <t>https://drive.google.com/file/d/1x_83BxR_60tgIHBGlKc79snNF8P_qspK/view?usp=sharing</t>
  </si>
  <si>
    <t>SUDAMA SAHANI</t>
  </si>
  <si>
    <t>50205559479</t>
  </si>
  <si>
    <t>YUZRWT</t>
  </si>
  <si>
    <t>https://drive.google.com/file/d/1RH4_XqnsPetIEdCCAcUVptjCLzS_SORp/view?usp=sharing</t>
  </si>
  <si>
    <t>https://drive.google.com/file/d/1iV6nCneVVFdXpN7B_h6GBDMQgHuy8XaF/view?usp=sharing</t>
  </si>
  <si>
    <t>SUJIT KUMAR DAS</t>
  </si>
  <si>
    <t>50205359788</t>
  </si>
  <si>
    <t>GCDEYW</t>
  </si>
  <si>
    <t>https://drive.google.com/file/d/1rlPC2Z3iL2lFH5jvX6U56MrHn-TIxL-z/view?usp=sharing</t>
  </si>
  <si>
    <t>https://drive.google.com/file/d/1vu74w_TxDrb76EOl-iUAAssrA-0NbYZ3/view?usp=sharing</t>
  </si>
  <si>
    <t>SUKHENDRA KUMAR</t>
  </si>
  <si>
    <t>50205569291</t>
  </si>
  <si>
    <t>QYYSDI</t>
  </si>
  <si>
    <t>https://drive.google.com/file/d/1f7reu0VtBheRB6MMm0toYHQr2DcOOp87/view?usp=sharing</t>
  </si>
  <si>
    <t>SUMAN KUMAR SUMAN</t>
  </si>
  <si>
    <t>50205569060</t>
  </si>
  <si>
    <t>EWWOQS</t>
  </si>
  <si>
    <t>https://drive.google.com/file/d/1fK7Avp-8BFCeIqnAidEgD2oa6bf2uyXn/view?usp=sharing</t>
  </si>
  <si>
    <t>https://drive.google.com/file/d/1rEwAr1SNxHRpznd4GwDVYb49hGuNpMUK/view?usp=sharing</t>
  </si>
  <si>
    <t>SWADESH RANJAN DAS</t>
  </si>
  <si>
    <t>50200065729</t>
  </si>
  <si>
    <t>MSZJSF</t>
  </si>
  <si>
    <t>https://drive.google.com/file/d/1f_DpxLTbLG2lBVl_vZpT5D8wXRS-fr9R/view?usp=sharing</t>
  </si>
  <si>
    <t>https://drive.google.com/file/d/1zq6xyIKSIEh2Gyh959U55_3WDW0d0hvO/view?usp=sharing</t>
  </si>
  <si>
    <t>SWADESH RANJAN MONDAL..</t>
  </si>
  <si>
    <t>50205419270</t>
  </si>
  <si>
    <t>ECDRAX</t>
  </si>
  <si>
    <t>https://drive.google.com/file/d/1LdOFN5tuaoTwzO_wiLQuGOHHxS-CQ2Jo/view?usp=sharing</t>
  </si>
  <si>
    <t>https://drive.google.com/file/d/12oSUboyCZ2h28qlYMnnvgnHS4fv85v2Q/view?usp=share_link</t>
  </si>
  <si>
    <t>TANMOY MONDAL</t>
  </si>
  <si>
    <t>50200099764</t>
  </si>
  <si>
    <t>FRSQUX</t>
  </si>
  <si>
    <t>https://drive.google.com/file/d/1388rSujIcfoVkRz5P48fY2JlLcMUSDWq/view?usp=sharing</t>
  </si>
  <si>
    <t>TAPAN KUMAR NASKAR</t>
  </si>
  <si>
    <t>50205419232</t>
  </si>
  <si>
    <t>OYYBIX</t>
  </si>
  <si>
    <t>https://drive.google.com/file/d/1KSOMrmPYND6Upeq_C7SDIO1o_UXbgS4Q/view?usp=sharing</t>
  </si>
  <si>
    <t>TAPAS MANDAL</t>
  </si>
  <si>
    <t>50200162504</t>
  </si>
  <si>
    <t>QCRWGO</t>
  </si>
  <si>
    <t>https://drive.google.com/file/d/1erFXu9JvkVICvAnOFmFH7DOtO2NxH_X3/view?usp=sharing</t>
  </si>
  <si>
    <t>VIR ABHIMANYU KUMAR</t>
  </si>
  <si>
    <t>50205562351</t>
  </si>
  <si>
    <t>RSPALG</t>
  </si>
  <si>
    <t>https://drive.google.com/file/d/1H4GPnwpaDlqqr38PswuKu-7w-TtCBsWC/view?usp=sharing</t>
  </si>
  <si>
    <t>https://drive.google.com/file/d/19o-EDJiDuUyvfSM69Z7MAmHcINiuaUTb/view?usp=sharing</t>
  </si>
  <si>
    <t>DURGA TUDU</t>
  </si>
  <si>
    <t>50205618691</t>
  </si>
  <si>
    <t>CTWKPZ</t>
  </si>
  <si>
    <t>https://drive.google.com/file/d/1PkH6Dzb0QHO-HsI6NekedM8rzpbUkm15/view?usp=sharing</t>
  </si>
  <si>
    <t>https://drive.google.com/file/d/108m5NZdK6sKCXlteeSDoT0VDXgiaSJ0F/view?usp=share_link</t>
  </si>
  <si>
    <t>MISS MONALISA KARMAKAR</t>
  </si>
  <si>
    <t>50205602970</t>
  </si>
  <si>
    <t>QHUAZY</t>
  </si>
  <si>
    <t>https://drive.google.com/file/d/1fdwimAsd0VKL5QBUEBMsugpKrhJe1vS_/view?usp=sharing</t>
  </si>
  <si>
    <t>https://drive.google.com/file/d/1zt8Kc8Fbg_Po5miMe-TTzMCyvjGHcSC7/view?usp=share_link</t>
  </si>
  <si>
    <t>MISS MOUMITA GHOSH</t>
  </si>
  <si>
    <t>50205606639</t>
  </si>
  <si>
    <t>KLFJOA</t>
  </si>
  <si>
    <t>https://drive.google.com/file/d/14Z-UwgUmSdVxtR2mSwyudfIDjbvc0Yga/view?usp=sharing</t>
  </si>
  <si>
    <t>https://drive.google.com/file/d/1oEr_VzKfQIOoDtjUiyImwX6VDWxaDAkX/view?usp=sharing</t>
  </si>
  <si>
    <t>https://drive.google.com/file/d/1-ND0-Yke6jSx-_CjWlXsZ3SxEfWL1Nnl/view?usp=share_link</t>
  </si>
  <si>
    <t>CHANDAN KUMAR II</t>
  </si>
  <si>
    <t>50205611970</t>
  </si>
  <si>
    <t>WBGNPC</t>
  </si>
  <si>
    <t>https://drive.google.com/file/d/1Ppun2QFtcTX42aHPkID-p7VhpoZJhu7P/view?usp=sharing</t>
  </si>
  <si>
    <t>https://drive.google.com/file/d/1GeX00EVv8gWlA7KudfKzn9nTK-cJpZ07/view?usp=sharing</t>
  </si>
  <si>
    <t>RADHEYSHYAM KUMAR</t>
  </si>
  <si>
    <t>50205611982</t>
  </si>
  <si>
    <t>SIOZBU</t>
  </si>
  <si>
    <t>https://drive.google.com/file/d/12whDymcLJsIZseWGqlpNmaSPD14XhDxC/view?usp=sharing</t>
  </si>
  <si>
    <t>https://drive.google.com/file/d/17t29qFy4LoAmPwApOdB7i9dgEk8ST9_s/view?usp=share_link</t>
  </si>
  <si>
    <t>SANDIP TIKADER</t>
  </si>
  <si>
    <t>50205612020</t>
  </si>
  <si>
    <t>KJFWHD</t>
  </si>
  <si>
    <t>https://drive.google.com/file/d/1YlW5FvK9WQoKYBGNvZtP4PNxIezF7lGS/view?usp=sharing</t>
  </si>
  <si>
    <t>https://drive.google.com/file/d/1NNWKvvQeRmJm4Jx-ZTrrr2jD8WDOB2fW/view?usp=share_link</t>
  </si>
  <si>
    <t>KUNAL DEY</t>
  </si>
  <si>
    <t>50205612056</t>
  </si>
  <si>
    <t>OZFJRH</t>
  </si>
  <si>
    <t>https://drive.google.com/file/d/14eRxXc7w3aAKdlBex3XxX0Ow9cuzFD39/view?usp=sharing</t>
  </si>
  <si>
    <t>https://drive.google.com/file/d/1gnJJuY4U4gepk-nU6_DUV5q5PecvhTzs/view?usp=share_link</t>
  </si>
  <si>
    <t>MAHADEO YADAV</t>
  </si>
  <si>
    <t>50205612070</t>
  </si>
  <si>
    <t>EBWDIJ</t>
  </si>
  <si>
    <t>https://drive.google.com/file/d/1ehIgpaBzk44LvHKQeBTF9ZXw3WSGwXm0/view?usp=sharing</t>
  </si>
  <si>
    <t>https://drive.google.com/file/d/1BFMpM_S3h7uUZFMl2bkVg8v7XG7h0XsA/view?usp=sharing</t>
  </si>
  <si>
    <t>https://drive.google.com/file/d/10z0jecVUhZOZFFkPKSX8F7IMLaLiZ70z/view?usp=sharing</t>
  </si>
  <si>
    <t>https://drive.google.com/file/d/1L3Y_VV_eEdBiyYDiB0gB6nxO4JO8fT_-/view?usp=share_link</t>
  </si>
  <si>
    <t>AMRESH KUMAR</t>
  </si>
  <si>
    <t>50205612081</t>
  </si>
  <si>
    <t>OMMLYF</t>
  </si>
  <si>
    <t>https://drive.google.com/file/d/1FOmBjevsldR3epx0yGK1lfQMyKy1xbhJ/view?usp=sharing</t>
  </si>
  <si>
    <t>https://drive.google.com/file/d/1gX3fUNfqiYW4gM-EDYcKeJwBrXK0w6pZ/view?usp=share_link</t>
  </si>
  <si>
    <t>RAJANI KUMAR SINGH</t>
  </si>
  <si>
    <t>50205612093</t>
  </si>
  <si>
    <t>ISZMAX</t>
  </si>
  <si>
    <t>https://drive.google.com/file/d/1fB-YhCWz1j1yX9fNyLc_vzYFyVsBP0-w/view?usp=sharing</t>
  </si>
  <si>
    <t>https://drive.google.com/file/d/1vMCqPovnfZLK2hkNmdxZ3GiyAfM2rYp_/view?usp=share_link</t>
  </si>
  <si>
    <t>ANIL KUMAR SINGH</t>
  </si>
  <si>
    <t>50205612147</t>
  </si>
  <si>
    <t>JZBXUN</t>
  </si>
  <si>
    <t>https://drive.google.com/file/d/1KAyEQYpMK7bFCiSVnxixQOg33HZ8Z5UO/view?usp=sharing</t>
  </si>
  <si>
    <t>https://drive.google.com/file/d/1g0CtJvkRIrfPn3hgoftc3SMQUxaVf19U/view?usp=share_link</t>
  </si>
  <si>
    <t>RAMESH KUMAR</t>
  </si>
  <si>
    <t>50205569266</t>
  </si>
  <si>
    <t>KPUOOQ</t>
  </si>
  <si>
    <t>https://drive.google.com/file/d/1NhVg7RphTWAk8BAG_W_VkGaJeFUtRI-K/view?usp=sharing</t>
  </si>
  <si>
    <t>TAPAS BISWAS II</t>
  </si>
  <si>
    <t>502S4766337</t>
  </si>
  <si>
    <t>QJBRBQ</t>
  </si>
  <si>
    <t>https://drive.google.com/file/d/1JnEBOCjYcWyw-X7ow26sErdUjnAnENxA/view?usp=sharing</t>
  </si>
  <si>
    <t>https://drive.google.com/file/d/1zSQ_0j4EAv3AxYiXUwXKLQ6irimc5MdU/view?usp=sharing</t>
  </si>
  <si>
    <t>https://drive.google.com/file/d/1oYhILoXMJtRBKbG93RWZT13y5swD5th_/view?usp=drive_link</t>
  </si>
  <si>
    <t>50205607255</t>
  </si>
  <si>
    <t>BLJZYA</t>
  </si>
  <si>
    <t>https://drive.google.com/file/d/1eYEBy-01X5Wu5OBaPIfdeLxIilAn_cZ7/view?usp=sharing</t>
  </si>
  <si>
    <t>SANJIB ROY</t>
  </si>
  <si>
    <t>50205612202</t>
  </si>
  <si>
    <t>ZXPONM</t>
  </si>
  <si>
    <t>https://drive.google.com/file/d/1bDYoBK24HZze99XYev-T8n-qxr0SQhBM/view?usp=sharing</t>
  </si>
  <si>
    <t>PIJUSH KUMAR DUTTA</t>
  </si>
  <si>
    <t>50205612214</t>
  </si>
  <si>
    <t>UJIICW</t>
  </si>
  <si>
    <t>https://drive.google.com/file/d/1u-e7uIzAlcyoTsyZiKL4bzQ3lFJIzI7q/view?usp=sharing</t>
  </si>
  <si>
    <t>https://drive.google.com/file/d/19dWFSsnU-eD94BCoCbKTVTHiV1E-xyJj/view?usp=sharing</t>
  </si>
  <si>
    <t>BIVASH EDBAR</t>
  </si>
  <si>
    <t>50208CB0100</t>
  </si>
  <si>
    <t>KIWBSJ</t>
  </si>
  <si>
    <t>https://drive.google.com/file/d/18n_yqmGHlFMygMxWCrCHNVhXZT08mPhh/view?usp=sharing</t>
  </si>
  <si>
    <t>https://drive.google.com/file/d/1l9BsUvwVMyoYsc9P3BE2FJo1sXTeWG9S/view?usp=sharing</t>
  </si>
  <si>
    <t>https://drive.google.com/file/d/1eWPJMx-lnTkJMxwbl35EvIaPRJb8QpZ7/view?usp=drive_link</t>
  </si>
  <si>
    <t xml:space="preserve">ARNAB CHOWDHURY </t>
  </si>
  <si>
    <t>50214104112</t>
  </si>
  <si>
    <t>NSWBPC</t>
  </si>
  <si>
    <t>https://drive.google.com/file/d/1K0JbZ2akMvjbhcQBvFiiRv-U7RtrFWbE/view?usp=sharing</t>
  </si>
  <si>
    <t>MISS BITHIKA SAHA</t>
  </si>
  <si>
    <t>50205607589</t>
  </si>
  <si>
    <t>YQONDM</t>
  </si>
  <si>
    <t>https://drive.google.com/file/d/1YHdBHDvc5xzK3ZLTgV1skia829rA515d/view?usp=sharing</t>
  </si>
  <si>
    <t>DEBAPRIYA NATH</t>
  </si>
  <si>
    <t>50205612391</t>
  </si>
  <si>
    <t>YGNMSS</t>
  </si>
  <si>
    <t>https://drive.google.com/file/d/1JgNVBw3EjbyRmbXlRoWGR_D2nVlgIPmJ/view?usp=sharing</t>
  </si>
  <si>
    <t>https://drive.google.com/file/d/1C328zjvB44W5YHHoAg8GMBOg7oGmjMP0/view?usp=sharing</t>
  </si>
  <si>
    <t>DEBASISH BHATTACHARJEE</t>
  </si>
  <si>
    <t>50205612433</t>
  </si>
  <si>
    <t>BJNEMS</t>
  </si>
  <si>
    <t>https://drive.google.com/file/d/13rY5Z2hjORorR17SO9g8WvoST4SLNCCS/view?usp=sharing</t>
  </si>
  <si>
    <t>https://drive.google.com/file/d/16AZ0ATkRADAdqqAM2yCcZZfpOeub48TI/view?usp=drive_link</t>
  </si>
  <si>
    <t>MD TARIQUE ANWAR</t>
  </si>
  <si>
    <t>50205612330</t>
  </si>
  <si>
    <t>HNUGUU</t>
  </si>
  <si>
    <t>https://drive.google.com/file/d/1FOuKwbslAMhrFcs4dMlo7bf81gX3_tI2/view?usp=sharing</t>
  </si>
  <si>
    <t>https://drive.google.com/file/d/1NGNaYyvquXLxKuqDGkGR9aiuiQTeX2s_/view?usp=drive_link</t>
  </si>
  <si>
    <t>MILON KRISHNA MISTRY</t>
  </si>
  <si>
    <t>50205612196</t>
  </si>
  <si>
    <t>ARYEQU</t>
  </si>
  <si>
    <t>https://drive.google.com/file/d/1hQiewyDmCd9dIqAdcsPeWO_xtHghMsRo/view?usp=sharing</t>
  </si>
  <si>
    <t>https://drive.google.com/file/d/11-uo34o74UcxfOPi8GnKxmve_oamozXD/view?usp=drive_link</t>
  </si>
  <si>
    <t>SUBRATA CHAKRABORTY II</t>
  </si>
  <si>
    <t>50200065742</t>
  </si>
  <si>
    <t>XJNMZW</t>
  </si>
  <si>
    <t>https://drive.google.com/file/d/19GPZOTcAe6Z-W2XC2OJVxqbZtSsV1cbx/view?usp=sharing</t>
  </si>
  <si>
    <t>https://drive.google.com/file/d/1vtvdfcDiJN_BwEXsPBTyl2qWkgE-2NPb/view?usp=sharing</t>
  </si>
  <si>
    <t>https://drive.google.com/file/d/1EHZs5lscTGwLnydNFJ9VtKZi3zJ9Qwsu/view?usp=drive_link</t>
  </si>
  <si>
    <t>SUBRATA ROY V</t>
  </si>
  <si>
    <t>50205612317</t>
  </si>
  <si>
    <t>DEKJGT</t>
  </si>
  <si>
    <t>SANJEET KUMAR</t>
  </si>
  <si>
    <t>50205613206</t>
  </si>
  <si>
    <t>OUXDWF</t>
  </si>
  <si>
    <t>https://drive.google.com/file/d/13y1vsPhrC_tCKKIStGV18MeNsY2aDf16/view?usp=sharing</t>
  </si>
  <si>
    <t>KENAI MANDAL</t>
  </si>
  <si>
    <t>50205611880</t>
  </si>
  <si>
    <t>WELNOY</t>
  </si>
  <si>
    <t>https://drive.google.com/file/d/17htnMGBnyrs0NJ6nnYxubwP_GLy6XCKm/view?usp=sharing</t>
  </si>
  <si>
    <t>https://drive.google.com/file/d/1SJOkugVCjkNc4XXDJ6Q6GhJneQG5aGLG/view?usp=share_link</t>
  </si>
  <si>
    <t>DEBARAJ ACHARYA</t>
  </si>
  <si>
    <t>50205613358</t>
  </si>
  <si>
    <t>LRYPUD</t>
  </si>
  <si>
    <t>https://drive.google.com/file/d/1b5kG7xqoTI_RxBKorDcgJdqycHaocBBm/view?usp=sharing</t>
  </si>
  <si>
    <t>https://drive.google.com/file/d/1aqtaFCSSiBoVOA1HzRN22UPKvnLjyCZH/view?usp=sharing</t>
  </si>
  <si>
    <t>SANJAY MONDAL</t>
  </si>
  <si>
    <t>50205613279</t>
  </si>
  <si>
    <t>MSLFXZ</t>
  </si>
  <si>
    <t>https://drive.google.com/file/d/1-861Fx3dh7ZLNobrluWUZaHBHI8KHtRi/view?usp=sharing</t>
  </si>
  <si>
    <t>SANTI BARMAN</t>
  </si>
  <si>
    <t>50205613310</t>
  </si>
  <si>
    <t>LUPRCZ</t>
  </si>
  <si>
    <t>https://drive.google.com/file/d/1iiZUdcwvNShTgswNC_tiJ1BBX-e5C6R6/view?usp=sharing</t>
  </si>
  <si>
    <t>RAJIB ROY</t>
  </si>
  <si>
    <t>50205603020</t>
  </si>
  <si>
    <t>NCNMEX</t>
  </si>
  <si>
    <t>https://drive.google.com/file/d/1sb3Fvz6dEd0M86RToN66-Ufgb2x9CzWn/view?usp=sharing</t>
  </si>
  <si>
    <t>https://drive.google.com/file/d/1u1qn5BeHokwDtOwvcAcsK7TA8MRd01Z1/view?usp=sharing</t>
  </si>
  <si>
    <t>LALIT KUMAR</t>
  </si>
  <si>
    <t>50205613190</t>
  </si>
  <si>
    <t>XMWCBG</t>
  </si>
  <si>
    <t>https://drive.google.com/file/d/1EYa0DirC_bki_GkkSZY25yUV314qFwXb/view?usp=sharing</t>
  </si>
  <si>
    <t>https://drive.google.com/file/d/19hIPAesy_Z7an7DLA2AIuZ4M8Qs5c2QD/view?usp=sharing</t>
  </si>
  <si>
    <t>RAMESH KUMAR I</t>
  </si>
  <si>
    <t>50205613371</t>
  </si>
  <si>
    <t>ATNPCT</t>
  </si>
  <si>
    <t>https://drive.google.com/file/d/1KLVwkI0QWu5eZ7qzE08txTjHY7Hbb8I_/view?usp=sharing</t>
  </si>
  <si>
    <t>MANOJ KUMAR II</t>
  </si>
  <si>
    <t>50205613255</t>
  </si>
  <si>
    <t>CHBODJ</t>
  </si>
  <si>
    <t>https://drive.google.com/file/d/1l7A_mP0JOaROpIdvN4m_12q9sBsZzWK5/view?usp=sharing</t>
  </si>
  <si>
    <t>https://drive.google.com/file/d/1xYp4ECT8IWiUF_a2cpnuKiHQqL-dTyIg/view?usp=sharing</t>
  </si>
  <si>
    <t>MANOJIT NASKAR</t>
  </si>
  <si>
    <t>50205616323</t>
  </si>
  <si>
    <t>YUCJAS</t>
  </si>
  <si>
    <t>https://drive.google.com/file/d/1GGb08wLQz6NxAovNcuhb98kZnI-TzIA2/view?usp=sharing</t>
  </si>
  <si>
    <t>https://drive.google.com/file/d/1yCJauBh5XBk3WT_8wbW6jbuY1XGfP9Gr/view?usp=sharing</t>
  </si>
  <si>
    <t>DEEPAK KUMAR</t>
  </si>
  <si>
    <t>50205617583</t>
  </si>
  <si>
    <t>ELMABR</t>
  </si>
  <si>
    <t>https://drive.google.com/file/d/1hsV2oeobesnu0f69qj9iPrx3da5RDnlm/view?usp=sharing</t>
  </si>
  <si>
    <t>https://drive.google.com/file/d/18oecPKeuB99B8uS9W8IyhdpjnlETTgwE/view?usp=sharing</t>
  </si>
  <si>
    <t>RAJEEV RANJAN</t>
  </si>
  <si>
    <t>50205617595</t>
  </si>
  <si>
    <t>IFNKPW</t>
  </si>
  <si>
    <t>https://drive.google.com/file/d/1Crwc_9yoq2XkqSj67Dficb_HN99RmDup/view?usp=sharing</t>
  </si>
  <si>
    <t>https://drive.google.com/file/d/1F-I-QKuKijWA5WrDZOPztdHU-NlTx0Pq/view?usp=sharing</t>
  </si>
  <si>
    <t>https://drive.google.com/file/d/1K7mdZCo9d2Tg3BA-OqZ4wA4Ujwc1Q38X/view?usp=sharing</t>
  </si>
  <si>
    <t>RATAN MAHAJAN</t>
  </si>
  <si>
    <t>50205613346</t>
  </si>
  <si>
    <t>TSTRQR</t>
  </si>
  <si>
    <t>https://drive.google.com/file/d/1mo_CcuOPiPP9jQrCkOkNCHYPmv5R9OYF/view?usp=sharing</t>
  </si>
  <si>
    <t>RATHINDRA NATH MALLICK</t>
  </si>
  <si>
    <t>50205617546</t>
  </si>
  <si>
    <t>ZQHMKJ</t>
  </si>
  <si>
    <t>https://drive.google.com/file/d/1HuC_IQle8otpo_ypPel-wx4tqI59CKR1/view?usp=sharing</t>
  </si>
  <si>
    <t>https://drive.google.com/file/d/1UAp2gJnjRPhMPcpkWQjOSBaLF3jZojC7/view?usp=sharing</t>
  </si>
  <si>
    <t>SANJOY KUMAR NASKAR</t>
  </si>
  <si>
    <t>50205617650</t>
  </si>
  <si>
    <t>JLJNJY</t>
  </si>
  <si>
    <t>https://drive.google.com/file/d/11N-OjAa15B5TJrn8I_ax7-sjBsUa0uJF/view?usp=sharing</t>
  </si>
  <si>
    <t>https://drive.google.com/file/d/1N2V1c3VKaIKl3O-ToqW-7lvus8wwc--6/view?usp=sharing</t>
  </si>
  <si>
    <t>PALASH BISWAS</t>
  </si>
  <si>
    <t>50205617613</t>
  </si>
  <si>
    <t>RAPSOT</t>
  </si>
  <si>
    <t>https://drive.google.com/file/d/14461BUV9aY5YXOzo1R5AtQvkKOuWymQz/view?usp=sharing</t>
  </si>
  <si>
    <t>https://drive.google.com/file/d/12_PmJ1BHDrgLKvkN_xf0utfWcmpoB29r/view?usp=sharing</t>
  </si>
  <si>
    <t>PRADIP PAUL</t>
  </si>
  <si>
    <t>50205617625</t>
  </si>
  <si>
    <t>MUPLLY</t>
  </si>
  <si>
    <t>https://drive.google.com/file/d/10_6y6pUQi-CH1ifIUFW90OEUfjqf_Mk4/view?usp=sharing</t>
  </si>
  <si>
    <t>https://drive.google.com/file/d/1vi47C-YHy6Caoas1ocFvkUCK8FTACo0X/view?usp=sharing</t>
  </si>
  <si>
    <t>UDAY KUMAR /I</t>
  </si>
  <si>
    <t>50205617674</t>
  </si>
  <si>
    <t>ZSJHLN</t>
  </si>
  <si>
    <t>https://drive.google.com/file/d/1VovdqlP25T0aTmsMc14_SE5p9PLF1mcS/view?usp=sharing</t>
  </si>
  <si>
    <t>https://drive.google.com/file/d/1XAu8BG5RqGNEoh3w6fysudEEoxE5d-KU/view?usp=sharing</t>
  </si>
  <si>
    <t>MANTU PRASAD GUPTA</t>
  </si>
  <si>
    <t>50205602701</t>
  </si>
  <si>
    <t>THRQKS</t>
  </si>
  <si>
    <t>https://drive.google.com/file/d/1wIAHVzYax6cULGYa2dLlqmyHvYlpvknE/view?usp=sharing</t>
  </si>
  <si>
    <t>SANJIV KUMAR</t>
  </si>
  <si>
    <t>50205617716</t>
  </si>
  <si>
    <t>WYOOHU</t>
  </si>
  <si>
    <t>https://drive.google.com/file/d/1tICCIUg1BL9Bm8QUQfAUsNfd0qFXAZMq/view?usp=sharing</t>
  </si>
  <si>
    <t>https://drive.google.com/file/d/1SjUeypD_bFO-IFHvSNG0QZQK2xzRbOtD/view?usp=sharing</t>
  </si>
  <si>
    <t>ABHISHEK RAJ</t>
  </si>
  <si>
    <t>39512AE0081</t>
  </si>
  <si>
    <t>PZIKZP</t>
  </si>
  <si>
    <t>https://drive.google.com/file/d/14FYky4BiqUrYWvuNRzuDmVT_DjmrHmUY/view?usp=sharing</t>
  </si>
  <si>
    <t>https://drive.google.com/file/d/1T4gIbj3LipePgvebNxfoLCII8Hy2EfU_/view?usp=sharing</t>
  </si>
  <si>
    <t>https://drive.google.com/file/d/1DXh9Osmg5VPg4uK87h_TTTv_ATxXewOZ/view?usp=sharing</t>
  </si>
  <si>
    <t>MISS JINAGA MADHAVI</t>
  </si>
  <si>
    <t>50205618046</t>
  </si>
  <si>
    <t>AFCBTZ</t>
  </si>
  <si>
    <t>https://drive.google.com/file/d/1lhN0CdAQ3snAkKGQJR8pnuZmZ8tkbzat/view?usp=sharing</t>
  </si>
  <si>
    <t>https://drive.google.com/file/d/1you1rL4CpsNm1KoxdLzAk8Dn33Nt7Y-M/view?usp=sharing</t>
  </si>
  <si>
    <t>UDAY KUMAR SINGH</t>
  </si>
  <si>
    <t>50205618071</t>
  </si>
  <si>
    <t>SAIJAQ</t>
  </si>
  <si>
    <t>https://drive.google.com/file/d/16eivQy9RtJP4EO-cEZ8i6EQo2TlvTn-Z/view?usp=sharing</t>
  </si>
  <si>
    <t>https://drive.google.com/file/d/1vHtxk4SwZVCtocwHYsF5dPot0wkmMuek/view?usp=sharing</t>
  </si>
  <si>
    <t>SANAT BISWAS II</t>
  </si>
  <si>
    <t>50205618095</t>
  </si>
  <si>
    <t>OKQLFW</t>
  </si>
  <si>
    <t>https://drive.google.com/file/d/16FNTUJHjwIFBRhnvuk19qChL59znr_88/view?usp=sharing</t>
  </si>
  <si>
    <t>https://drive.google.com/file/d/1Rwh5dVRH5nO84S0zgzgsu7fESKFQUhe0/view?usp=sharing</t>
  </si>
  <si>
    <t>BADAL MONDAL</t>
  </si>
  <si>
    <t>50205618101</t>
  </si>
  <si>
    <t>PYYGNU</t>
  </si>
  <si>
    <t>https://drive.google.com/file/d/1CfDTtx6bvjcXL9disl3fi3-Z7xVg3F01/view?usp=sharing</t>
  </si>
  <si>
    <t>https://drive.google.com/file/d/177_cISHhXrnxDnt_9z8lqcfFOAj-yPFu/view?usp=sharing</t>
  </si>
  <si>
    <t>MISS MOUSUMI SAHA</t>
  </si>
  <si>
    <t>50205618125</t>
  </si>
  <si>
    <t>DWJOAM</t>
  </si>
  <si>
    <t>https://drive.google.com/file/d/1xfSO-dKAib_BvQUEqMwtAo-TjOlk5CjY/view?usp=sharing</t>
  </si>
  <si>
    <t>https://drive.google.com/file/d/1KuPrqFru-1XoCsZ8MTtIaUrUsaSfBsz1/view?usp=sharing</t>
  </si>
  <si>
    <t>BABLU KUMAR</t>
  </si>
  <si>
    <t>50205617935</t>
  </si>
  <si>
    <t>FGLMPL</t>
  </si>
  <si>
    <t>https://drive.google.com/file/d/1sAsMNP1fBMmlyjGEwhnwLzc4Ta4taW8a/view?usp=sharing</t>
  </si>
  <si>
    <t>https://drive.google.com/file/d/1grGm-jgPGEoK8FsnL0BMMaVGNfSbiXO4/view?usp=sharing</t>
  </si>
  <si>
    <t>https://drive.google.com/file/d/167cx3Sr8fP8Av7cS88QDJIlBzLlx25Cv/view?usp=sharing</t>
  </si>
  <si>
    <t>https://drive.google.com/file/d/1YCAGkhOs5_CP1Fy0iN2mbeRq3AtAOiW7/view?usp=sharing</t>
  </si>
  <si>
    <t>DINESH KUMAR SINGH II</t>
  </si>
  <si>
    <t>50205617923</t>
  </si>
  <si>
    <t>JLYLWZ</t>
  </si>
  <si>
    <t>https://drive.google.com/file/d/1dm1p2mjRPQ53ogZsGB-BXMmKLeEXP4eO/view?usp=sharing</t>
  </si>
  <si>
    <t>https://drive.google.com/file/d/1EVAlxiTSZ83C6tsroyZxdGP1aXpkB5Vh/view?usp=sharing</t>
  </si>
  <si>
    <t>SOUMEN BISWAS I</t>
  </si>
  <si>
    <t>MYYDEM</t>
  </si>
  <si>
    <t>https://drive.google.com/file/d/1foRWzJG8D6A1c4-4p71M3RENEcg2wvZ8/view?usp=sharing</t>
  </si>
  <si>
    <t>https://drive.google.com/file/d/1lj3IAcwcW4isXScMxeQWnLPjhrOHZWhx/view?usp=sharing</t>
  </si>
  <si>
    <t>https://drive.google.com/file/d/18Vxbl5gWXNkPt7e8foe15Kyp1h6PrVuU/view?usp=sharing</t>
  </si>
  <si>
    <t>DIBYENDU HALDER</t>
  </si>
  <si>
    <t>50205618307</t>
  </si>
  <si>
    <t>UJCPMI</t>
  </si>
  <si>
    <t>https://drive.google.com/file/d/1KixS9i8xiaHW_wVeKNGL8IWO4eSCn2IZ/view?usp=sharing</t>
  </si>
  <si>
    <t>https://drive.google.com/file/d/1XPsN4jSH2J7pWx8XVFUeTNdQ2ds3o9YY/view?usp=sharing</t>
  </si>
  <si>
    <t>https://drive.google.com/file/d/13fwdlRQAsQ1ZYl5DhU0IrJXQQFmOAUyn/view?usp=sharing</t>
  </si>
  <si>
    <t>https://drive.google.com/file/d/1Io4IbTNgBQD_PT6lxB61tjDJ4GCiDxjN/view?usp=sharing</t>
  </si>
  <si>
    <t>MANOJ KUMAR MARJIT</t>
  </si>
  <si>
    <t>50205618368</t>
  </si>
  <si>
    <t>NELQUP</t>
  </si>
  <si>
    <t>https://drive.google.com/file/d/19cRVyw_2bdgi-w1UCmDryT-QN2CtVvhU/view?usp=sharing</t>
  </si>
  <si>
    <t>https://drive.google.com/file/d/1V9N-g2T-4VvXKutSxTf3AFMb1hvbbQb8/view?usp=sharing</t>
  </si>
  <si>
    <t>GOBINDA SANTRA</t>
  </si>
  <si>
    <t>TAKATH</t>
  </si>
  <si>
    <t>https://drive.google.com/file/d/18w3cl-o4xdxyS3rc7a5YbmkDwUszyU4D/view?usp=sharing</t>
  </si>
  <si>
    <t>https://drive.google.com/file/d/11r0xBS6cxlG3GQXQ26OAswcpXAIdPWxf/view?usp=sharing</t>
  </si>
  <si>
    <t>https://drive.google.com/file/d/19KurNjV_l-MiA8KR3oid6_tIlWqPvMg0/view?usp=sharing</t>
  </si>
  <si>
    <t>https://drive.google.com/file/d/1chahu_oJSzbPmm-65M75Sb3tzgaFa2nD/view?usp=sharing</t>
  </si>
  <si>
    <t>CHIRANJIT GHOSH</t>
  </si>
  <si>
    <t>50205618253</t>
  </si>
  <si>
    <t>ATTEMR</t>
  </si>
  <si>
    <t>https://drive.google.com/file/d/1ifTCVCOGryxgVG-S-w6TjyibdVsUqJF-/view?usp=sharing</t>
  </si>
  <si>
    <t>https://drive.google.com/file/d/1mj-DhotmgOU1136PmytzwhaZJg0LDR7X/view?usp=sharing</t>
  </si>
  <si>
    <t>https://drive.google.com/file/d/1uJYBdKWWFY68uRD-wBVpZsysp9qGH-kh/view?usp=sharing</t>
  </si>
  <si>
    <t>DEBOBRATA SARDAR</t>
  </si>
  <si>
    <t>50205612329</t>
  </si>
  <si>
    <t>XTUUCD</t>
  </si>
  <si>
    <t>https://drive.google.com/file/d/1zsxoYr2-d9mGaKxPf3fooHElcUp3OdNe/view?usp=sharing</t>
  </si>
  <si>
    <t>https://drive.google.com/file/d/16VZug6JODlcfDCxy0M_6P_OE3RLjdhn1/view?usp=sharing</t>
  </si>
  <si>
    <t>https://drive.google.com/file/d/1jIaJkQGjH811hRfgmSrlqInvCC6ueI98/view?usp=sharing</t>
  </si>
  <si>
    <t>DINESH KUMAR SAHA</t>
  </si>
  <si>
    <t>50205612354</t>
  </si>
  <si>
    <t>WTYJIX</t>
  </si>
  <si>
    <t>https://drive.google.com/file/d/1NwTL27d93fanb62JqOecIpJ7I7WEqWGc/view?usp=sharing</t>
  </si>
  <si>
    <t>https://drive.google.com/file/d/1yMp-GXWSir6PJvGd5fFDSm8S977bJUvk/view?usp=sharing</t>
  </si>
  <si>
    <t>https://drive.google.com/file/d/1KcLSPxWRYgve3XGOdT5jKVaDc8FMZF9C/view?usp=sharing</t>
  </si>
  <si>
    <t>RAJ KUMAR</t>
  </si>
  <si>
    <t>50714404841</t>
  </si>
  <si>
    <t>OGIENM</t>
  </si>
  <si>
    <t>https://drive.google.com/file/d/1MRWUbt2W1KNFkM3XmvKWgiHjhtrpwQex/view?usp=sharing</t>
  </si>
  <si>
    <t>https://drive.google.com/file/d/12G1K0oR6etb7wzyQCk6q3cPGOd7apOAE/view?usp=sharing</t>
  </si>
  <si>
    <t>https://drive.google.com/file/d/1kuo59ZLkTTc0zzxkgFx1UMHy469AD9ov/view?usp=sharing</t>
  </si>
  <si>
    <t>https://drive.google.com/file/d/1tPq2bnCHJFEW28TocqJFufZ4Kst7ckmv/view?usp=sharing</t>
  </si>
  <si>
    <t>PABITRA DAS</t>
  </si>
  <si>
    <t>50205525731</t>
  </si>
  <si>
    <t>QCSSJR</t>
  </si>
  <si>
    <t>https://drive.google.com/file/d/154RmERfMjnXpt5Evycne6bT9BQgf6XNZ/view?usp=sharing</t>
  </si>
  <si>
    <t>https://drive.google.com/file/d/1xPBS-qNI5lCmV2Pyu0bJOpMDdW9Y-gEs/view?usp=sharing</t>
  </si>
  <si>
    <t>https://drive.google.com/file/d/1ZlrXNM6iHd3x5aPmFY89dj3n--L-vLqx/view?usp=sharing</t>
  </si>
  <si>
    <t>https://drive.google.com/file/d/1ntpjUM8Pm1ywh-BUql_l4eKhvRnNQioD/view?usp=sharing</t>
  </si>
  <si>
    <t>JAYANTA ROY</t>
  </si>
  <si>
    <t>LQECRF</t>
  </si>
  <si>
    <t>https://drive.google.com/file/d/1u8S3jn5g__ulcb43nYrILS4IbSqrr25N/view?usp=sharing</t>
  </si>
  <si>
    <t>https://drive.google.com/file/d/1-cgjDlvWghsA1rPiccDWRmHTQGQv0aCa/view?usp=share_link</t>
  </si>
  <si>
    <t>https://drive.google.com/file/d/1WOVnb7e6Ha_fLzTXomsYVp19u8QICp5e/view?usp=sharing</t>
  </si>
  <si>
    <t>https://drive.google.com/file/d/1ZJq03YBiByq14hphBCl3PeOzCP2al97H/view?usp=sharing</t>
  </si>
  <si>
    <t>ALOK CHANDRA SARKAR</t>
  </si>
  <si>
    <t>50205843017</t>
  </si>
  <si>
    <t>UKRHYU</t>
  </si>
  <si>
    <t>https://drive.google.com/file/d/1RK2XLklB9oiAv3rqelauMCMr1jPqZ35q/view?usp=sharing</t>
  </si>
  <si>
    <t>BALWANT KUMAR GOND</t>
  </si>
  <si>
    <t>50205618460</t>
  </si>
  <si>
    <t>SZTRHQ</t>
  </si>
  <si>
    <t>........</t>
  </si>
  <si>
    <t>https://drive.google.com/file/d/1KWlwe-7_xQ8XLTamJZIxNpEiQZi5UXTC/view?usp=sharing</t>
  </si>
  <si>
    <t>BARUN DOLAI</t>
  </si>
  <si>
    <t>50212135136</t>
  </si>
  <si>
    <t>ZRUJNP</t>
  </si>
  <si>
    <t>https://drive.google.com/file/d/1baTh4w68pXLNDeJYHO8kQx80dOf6ceGE/view?usp=sharing</t>
  </si>
  <si>
    <t>BISWAJIT DAPTARI</t>
  </si>
  <si>
    <t>50204114899</t>
  </si>
  <si>
    <t>OZDQIM</t>
  </si>
  <si>
    <t>https://drive.google.com/file/d/1eX_lSxb_Y5sFezzB7sgC0OnU57lnHp2C/view?usp=sharing</t>
  </si>
  <si>
    <t>MRIDUL MANDAL</t>
  </si>
  <si>
    <t>50200035725</t>
  </si>
  <si>
    <t>SUIANR</t>
  </si>
  <si>
    <t>https://drive.google.com/file/d/1Wdjz9hlqXQ89gUupCmIn5dHxBgUg2Ms1/view?usp=sharing</t>
  </si>
  <si>
    <t>PANCHANAN SAHOO</t>
  </si>
  <si>
    <t>50205420830</t>
  </si>
  <si>
    <t>LTHCPB</t>
  </si>
  <si>
    <t>https://drive.google.com/file/d/10HiPmDxglBHzWpl6v5BxLoKxikIiLa29/view?usp=sharing</t>
  </si>
  <si>
    <t>PREM KR CHOUDHURY</t>
  </si>
  <si>
    <t>50205418264</t>
  </si>
  <si>
    <t>RKFCTK</t>
  </si>
  <si>
    <t>https://drive.google.com/file/d/1IIs-rApniKg4uapa01vMVjRt-y02lS36/view?usp=sharing</t>
  </si>
  <si>
    <t>PROLAY KUMAR PAUL</t>
  </si>
  <si>
    <t>50209416985</t>
  </si>
  <si>
    <t>UDYEKP</t>
  </si>
  <si>
    <t>https://drive.google.com/file/d/1tXc2cv-xZLxtDfzyqH-Y7qoobAgShpU9/view?usp=sharing</t>
  </si>
  <si>
    <t>R P KARMAKAR</t>
  </si>
  <si>
    <t>50205522626</t>
  </si>
  <si>
    <t>RREFHX</t>
  </si>
  <si>
    <t>https://drive.google.com/file/d/1MmxnSfvE8jHicyxA_v-xk6LIqxdh9f9x/view?usp=sharing</t>
  </si>
  <si>
    <t>RAJU BHATTACHARYA</t>
  </si>
  <si>
    <t>50205602397</t>
  </si>
  <si>
    <t>OMZOHJ</t>
  </si>
  <si>
    <t>https://drive.google.com/file/d/1W26Mm1YvXaazxGlxDZoi5ZLttrgV0eKa/view?usp=sharing</t>
  </si>
  <si>
    <t>SANJAY DAS</t>
  </si>
  <si>
    <t>50205419116</t>
  </si>
  <si>
    <t>LQYHKM</t>
  </si>
  <si>
    <t>SHYAMAL MANDAL</t>
  </si>
  <si>
    <t>50205500310</t>
  </si>
  <si>
    <t>FMQDHY</t>
  </si>
  <si>
    <t>https://drive.google.com/file/d/13siWcO-CQK4pILZReK4qgQpsKxN7iVBC/view?usp=sharing</t>
  </si>
  <si>
    <t>SUJIT KUMAR ROY</t>
  </si>
  <si>
    <t>50205522560</t>
  </si>
  <si>
    <t>LYCOQY</t>
  </si>
  <si>
    <t>https://drive.google.com/file/d/1-kAf9nd-E_8Rz8HPMt55NMlxcY5k1XV-/view?usp=sharing</t>
  </si>
  <si>
    <t>TAPAS SARKAR</t>
  </si>
  <si>
    <t>50205522444</t>
  </si>
  <si>
    <t>FEASPF</t>
  </si>
  <si>
    <t>https://drive.google.com/file/d/1dnUHul7-ZtbDBrt9iNcE-uzDGa_Qx3k5/view?usp=sharing</t>
  </si>
  <si>
    <t>HINDOL KANTI DAS</t>
  </si>
  <si>
    <t>53107900910</t>
  </si>
  <si>
    <t>EQJTHY</t>
  </si>
  <si>
    <t>https://drive.google.com/file/d/1xbbN191CWMSPVNIvmO2uJIpNmEi2ntWq/view?usp=sharing</t>
  </si>
  <si>
    <t>https://drive.google.com/file/d/1eXbD6PSulNxyqiMGG42cr6JgLzw4pqPb/view?usp=share_link</t>
  </si>
  <si>
    <t>PREM PRAKASH KUMAR</t>
  </si>
  <si>
    <t>502NPS05412</t>
  </si>
  <si>
    <t>LXEJTX</t>
  </si>
  <si>
    <t>https://drive.google.com/file/d/1SDUWkZ1KqaHavrfvog3HUR7ldWZBqCWn/view?usp=sharing</t>
  </si>
  <si>
    <t>https://drive.google.com/file/d/1gdNsJRoq2DqH4EMpRrgnYE2TdxzUtPL5/view?usp=share_link</t>
  </si>
  <si>
    <t>GOPAL KUMAR</t>
  </si>
  <si>
    <t>50205606871</t>
  </si>
  <si>
    <t>ZFCRXP</t>
  </si>
  <si>
    <t>https://drive.google.com/file/d/19aQ3ilOwbN_szfjdkhXZveTi5taWKfcJ/view?usp=sharing</t>
  </si>
  <si>
    <t>KINGSHUK BISWAS</t>
  </si>
  <si>
    <t>50714504886</t>
  </si>
  <si>
    <t>WKNCDW</t>
  </si>
  <si>
    <t>https://drive.google.com/file/d/1DCcG1HsFoqmk2UAPnc79eocbGUBrvZNQ/view?usp=sharing</t>
  </si>
  <si>
    <t>https://drive.google.com/file/d/1ALQJMJuxiHxkh6C_o8uFFcNpbK5y8L73/view?usp=drive_link</t>
  </si>
  <si>
    <t>SMT ARPITA LAHA</t>
  </si>
  <si>
    <t>53162131082</t>
  </si>
  <si>
    <t>AACBBW</t>
  </si>
  <si>
    <t>https://drive.google.com/file/d/1J4VmAwfAMRoc7YAvLgWKoue266LqniD_/view?usp=sharing</t>
  </si>
  <si>
    <t>https://drive.google.com/file/d/1jfRpHAKpd8LxpA8-ZYVzqMwbqJQJp3jL/view?usp=drive_link</t>
  </si>
  <si>
    <t>SANTU SAHA</t>
  </si>
  <si>
    <t>53162131062</t>
  </si>
  <si>
    <t>NGBGWJ</t>
  </si>
  <si>
    <t>https://drive.google.com/file/d/1btHO1KYyLTx7MpsqQpsVIed6_eyVQZq9/view?usp=sharing</t>
  </si>
  <si>
    <t>Poly Roy</t>
  </si>
  <si>
    <t>50205678203</t>
  </si>
  <si>
    <t>XHSHQX</t>
  </si>
  <si>
    <t>https://drive.google.com/file/d/1qNu_A3kPMKkbGFUnpCoMnnz5Bu4gdRez/view?usp=drive_link</t>
  </si>
  <si>
    <t>Sumit Kr. Kamti</t>
  </si>
  <si>
    <t>50205690511</t>
  </si>
  <si>
    <t>IHMNTR</t>
  </si>
  <si>
    <t>https://drive.google.com/file/d/1fAAetCL-E5ENGHJ68eYrlaNHltpeHTB1/view?usp=sharing</t>
  </si>
  <si>
    <t>Sandip Kr.Shaw</t>
  </si>
  <si>
    <t>50205690651</t>
  </si>
  <si>
    <t>LXXXUA</t>
  </si>
  <si>
    <t>https://drive.google.com/file/d/1jEUCs4cAHg0VcScbmGyTVh7rjygvJ8ZP/view?usp=sharing</t>
  </si>
  <si>
    <t>Santanu Halder</t>
  </si>
  <si>
    <t>50205677737</t>
  </si>
  <si>
    <t>RRKWKZ</t>
  </si>
  <si>
    <t>https://drive.google.com/file/d/1-C5HmI53EbS8M242Wf5EhF82hcScDZSP/view?usp=sharing</t>
  </si>
  <si>
    <t>https://drive.google.com/file/d/12rIjm90A3myxEIur608ya4DXp8MfLEiA/view?usp=drive_link</t>
  </si>
  <si>
    <t>TANMOY SARKAR</t>
  </si>
  <si>
    <t>50200116038</t>
  </si>
  <si>
    <t>IEWGZX</t>
  </si>
  <si>
    <t>https://drive.google.com/file/d/1vifKW7CgIrby8ESZ3Q6w0ncoN0EDoZyg/view?usp=sharing</t>
  </si>
  <si>
    <t>Somnath Naskar</t>
  </si>
  <si>
    <t>50205690699</t>
  </si>
  <si>
    <t>AAUKNN</t>
  </si>
  <si>
    <t>https://drive.google.com/file/d/1DiHFAfLFabPYpa6GQ7EgYDSl8XBHqO8g/view?usp=sharing</t>
  </si>
  <si>
    <t>https://drive.google.com/file/d/1qbO6h-R8lPbNe_6hc24LVTFsM173NFDE/view?usp=sharing</t>
  </si>
  <si>
    <t>RAJIB KUMAR SAHA</t>
  </si>
  <si>
    <t>50205690687</t>
  </si>
  <si>
    <t>NHHOXA</t>
  </si>
  <si>
    <t>ANIRUDDHA DASGUPTA</t>
  </si>
  <si>
    <t>3429801849</t>
  </si>
  <si>
    <t>WXWWAX</t>
  </si>
  <si>
    <t>https://drive.google.com/file/d/1IJRsCADeSJGRQ-FI7sIuaAOsWkbBgKWo/view?usp=sharing</t>
  </si>
  <si>
    <t>https://drive.google.com/file/d/10GomHXk5HDWv4Z4YVd8Hks4J36zLME4B/view?usp=sharing</t>
  </si>
  <si>
    <t>GAUTAM SARKAR</t>
  </si>
  <si>
    <t>3429801832</t>
  </si>
  <si>
    <t>CEQAEC</t>
  </si>
  <si>
    <t>https://drive.google.com/file/d/1boXpnatl_MhDp1gzP2LddYWN4tAnMg1m/view?usp=sharing</t>
  </si>
  <si>
    <t>https://drive.google.com/file/d/1Sflkbl0Y9mf7X8_tWUyA3z7baJ5HtKX-/view?usp=sharing</t>
  </si>
  <si>
    <t>53162131254</t>
  </si>
  <si>
    <t>FZDFUL</t>
  </si>
  <si>
    <t>https://drive.google.com/file/d/1p32JW5Rvp1-oyCe6inkdRDax_3NIgSNV/view?usp=sharing</t>
  </si>
  <si>
    <t>https://drive.google.com/file/d/1SylaTJiCBVsqtrfwRZogYp7rw7rlvyN5/view?usp=share_link</t>
  </si>
  <si>
    <t>NEPAL BISWAS</t>
  </si>
  <si>
    <t>53162131257</t>
  </si>
  <si>
    <t>LGTSMR</t>
  </si>
  <si>
    <t>https://drive.google.com/file/d/1fxsEwfpoFBlLuxop7TS73GompEFqAZsk/view?usp=sharing</t>
  </si>
  <si>
    <t>PRANAB DEBNATH</t>
  </si>
  <si>
    <t>53107020179</t>
  </si>
  <si>
    <t>IJFAMJ</t>
  </si>
  <si>
    <t>PRANAY SAHA</t>
  </si>
  <si>
    <t>53162089444</t>
  </si>
  <si>
    <t>MKFSYT</t>
  </si>
  <si>
    <t>SUBRATA GHOSH</t>
  </si>
  <si>
    <t>53162131187</t>
  </si>
  <si>
    <t>LIIWOY</t>
  </si>
  <si>
    <t>https://drive.google.com/file/d/1WbpyC1Gg06btHpQbzRv1cphDpEFKMKA0/view?usp=sharing</t>
  </si>
  <si>
    <t>BISWAJIT BAIDYA</t>
  </si>
  <si>
    <t>53162131057</t>
  </si>
  <si>
    <t>DFLJGD</t>
  </si>
  <si>
    <t>https://drive.google.com/file/d/1HM7qe3ls7WKgG8vMEjgpBfQPqsTS7DZ9/view?usp=sharing</t>
  </si>
  <si>
    <t>https://drive.google.com/file/d/1mAklLh6vAdP8uEARiTNfMLy_GDYQ9XdQ/view?usp=sharing</t>
  </si>
  <si>
    <t>BIJOY SARKAR</t>
  </si>
  <si>
    <t>53162131067</t>
  </si>
  <si>
    <t>TMRRKT</t>
  </si>
  <si>
    <t>https://drive.google.com/file/d/18zETxXlI4l_WOujH_YZgJV2VCq18FbRl/view?usp=sharing</t>
  </si>
  <si>
    <t>https://drive.google.com/file/d/1VoyqJ8pqc21SqzJIzDasr0NEgIDSL5Yu/view?usp=sharing</t>
  </si>
  <si>
    <t>33329809110</t>
  </si>
  <si>
    <t>EDHEYO</t>
  </si>
  <si>
    <t>https://drive.google.com/file/d/1ymbkBiCtZDt8kWTEaNKo__zEnAt2edXY/view?usp=sharing</t>
  </si>
  <si>
    <t>NIKHIL RAJ</t>
  </si>
  <si>
    <t>33329809279</t>
  </si>
  <si>
    <t>THLSKM</t>
  </si>
  <si>
    <t>PRATIK MITRA</t>
  </si>
  <si>
    <t>63428801835</t>
  </si>
  <si>
    <t>BMGBSF</t>
  </si>
  <si>
    <t>https://drive.google.com/file/d/1UKzhYCegew95xiWUFB4KyvEzSZzq6Feq/view?usp=sharing</t>
  </si>
  <si>
    <t>TARAK NANDI</t>
  </si>
  <si>
    <t>3429802903</t>
  </si>
  <si>
    <t>LEZHFK</t>
  </si>
  <si>
    <t>https://drive.google.com/file/d/1xzob25YZSwEVbjKngmVn21EPbp_1YZK-/view?usp=sharing</t>
  </si>
  <si>
    <t>TUSAR DAS</t>
  </si>
  <si>
    <t>53162131101</t>
  </si>
  <si>
    <t>GUCBLX</t>
  </si>
  <si>
    <t>https://drive.google.com/file/d/1T8fnIlmdLu9xaxJF-H5YO1sVNrPesfBn/view?usp=sharing</t>
  </si>
  <si>
    <t>KOUSHIK DAS</t>
  </si>
  <si>
    <t>53162131106</t>
  </si>
  <si>
    <t>EEPAZW</t>
  </si>
  <si>
    <t>https://drive.google.com/file/d/1GoOfsVfv-0ZtDeS8rpTfwE43y10fWKnH/view?usp=sharing</t>
  </si>
  <si>
    <t>53162131239</t>
  </si>
  <si>
    <t>YIOXHD</t>
  </si>
  <si>
    <t>https://drive.google.com/file/d/1sI5oOBMOlFJJbbH0x2l3OmXcrA2ZARrW/view?usp=sharing</t>
  </si>
  <si>
    <t>JOYJIT BHADRA</t>
  </si>
  <si>
    <t>53120142102</t>
  </si>
  <si>
    <t>LDFKKP</t>
  </si>
  <si>
    <t>https://drive.google.com/file/d/12OlOgELM0gnbZsvD6n_G6mGgFNSiEuLb/view?usp=sharing</t>
  </si>
  <si>
    <t>SIMA KARMAKAR</t>
  </si>
  <si>
    <t>3429802934</t>
  </si>
  <si>
    <t>OZFPKT</t>
  </si>
  <si>
    <t>https://drive.google.com/file/d/1Y-ek_hSDvDfdJmoUutdLyTFIMCW2cIHR/view?usp=share_link</t>
  </si>
  <si>
    <t>RASHID ANSARI</t>
  </si>
  <si>
    <t>3429802898</t>
  </si>
  <si>
    <t>TARNDO</t>
  </si>
  <si>
    <t>https://drive.google.com/file/d/1eQikKFed42vibpycbGLVLiti2jyXnZqi/view?usp=share_link</t>
  </si>
  <si>
    <t>SUBHENDU SAHA</t>
  </si>
  <si>
    <t>53162140014</t>
  </si>
  <si>
    <t>YIWAZD</t>
  </si>
  <si>
    <t>BINOD KUMAR SHARMA</t>
  </si>
  <si>
    <t>50220061859</t>
  </si>
  <si>
    <t>YRTPTE</t>
  </si>
  <si>
    <t>https://drive.google.com/file/d/1TMSOBEg0LwYYSeaa-u-VpV063Yvt2fz_/view?usp=sharing</t>
  </si>
  <si>
    <t>AVIK PAUL</t>
  </si>
  <si>
    <t>50205607190</t>
  </si>
  <si>
    <t>NNSLKK</t>
  </si>
  <si>
    <t>https://drive.google.com/file/d/1Ao8TtRxGNCvqYURNFLG9l6cDBfPuc5yl/view?usp=sharing</t>
  </si>
  <si>
    <t>https://drive.google.com/file/d/1cLqjv4pd-RCrDmDs2CxOm7CowS2dJDtD/view?usp=sharing</t>
  </si>
  <si>
    <t>JAGADISH HEMBREM</t>
  </si>
  <si>
    <t>50205421147</t>
  </si>
  <si>
    <t>LACDZP</t>
  </si>
  <si>
    <t>Psycho fail</t>
  </si>
  <si>
    <t/>
  </si>
  <si>
    <t>28/11/2016 SPAD involved 31/07/2018(F)</t>
  </si>
  <si>
    <t>TAPASH KUMAR MAZUMDAR</t>
  </si>
  <si>
    <t>50212104565</t>
  </si>
  <si>
    <t>DMHZDY</t>
  </si>
  <si>
    <t>https://drive.google.com/file/d/1PgvtbigpaWgZ9B27NPhtFMZjGtff3lyG/view?usp=sharing</t>
  </si>
  <si>
    <t>https://drive.google.com/file/d/1k5oceCS3bX1LqREmq7gk7P8OgOhYr_F6/view?usp=sharing</t>
  </si>
  <si>
    <t>INDRAJIT BISWAS</t>
  </si>
  <si>
    <t>50205569126</t>
  </si>
  <si>
    <t>DXJYEW</t>
  </si>
  <si>
    <t>https://drive.google.com/file/d/1q4b6WI2bgdHOJZwyfH-obL_ypBExQP8m/view?usp=sharing</t>
  </si>
  <si>
    <t>DEEPAK KR DAS</t>
  </si>
  <si>
    <t>50205419372</t>
  </si>
  <si>
    <t>HZSHOM</t>
  </si>
  <si>
    <t>https://drive.google.com/file/d/1jHlBiejCGyA83JePegrqCWsTcQl1qQcr/view?usp=sharing</t>
  </si>
  <si>
    <t>https://drive.google.com/file/d/1oWHH0gkO9e22Ws-O9RlwMUyJon28Aj3s/view?usp=sharing</t>
  </si>
  <si>
    <t>Arindam Biswas</t>
  </si>
  <si>
    <t>50200051986</t>
  </si>
  <si>
    <t>LXTCAE</t>
  </si>
  <si>
    <t>SUDIPTA MAJUMDER</t>
  </si>
  <si>
    <t>50205419293</t>
  </si>
  <si>
    <t>TNCLWF</t>
  </si>
  <si>
    <t>https://drive.google.com/file/d/18w-2YM2EDvo6OfdveFumrJIwFVvy1XB4/view?usp=sharing</t>
  </si>
  <si>
    <t>https://drive.google.com/file/d/1g8E_Dr4cTqd_8S0VHdlcxhcp2AdS9CP8/view?usp=share_link</t>
  </si>
  <si>
    <t>SAIKAT LAHA</t>
  </si>
  <si>
    <t>502J0600195</t>
  </si>
  <si>
    <t>UKQTPY</t>
  </si>
  <si>
    <t>https://drive.google.com/file/d/1OvhgaynaknR0clS9e39hndhp5hlj3d61/view?usp=sharing</t>
  </si>
  <si>
    <t>https://drive.google.com/file/d/13NOYAq0frjuCd4Mbh_tCGEnUNVruYdVy/view?usp=sharing</t>
  </si>
  <si>
    <t>DURBADAL MUKHOPADHYAY</t>
  </si>
  <si>
    <t>50205558803</t>
  </si>
  <si>
    <t>KLUIKU</t>
  </si>
  <si>
    <t>https://drive.google.com/file/d/109_fYYDbOt_zhj9SMkYAKWXRDsEWBfGP/view?usp=sharing</t>
  </si>
  <si>
    <t>https://drive.google.com/file/d/18wfXYQBodw6Uu57SDIc5WjRM4kd6dE5M/view?usp=sharing</t>
  </si>
  <si>
    <t>MD ANSAR MUNSHI</t>
  </si>
  <si>
    <t>50204091050</t>
  </si>
  <si>
    <t>YNFGIZ</t>
  </si>
  <si>
    <t>https://drive.google.com/file/d/1pKiZoOhWYexa-nXkTH4EbnwEuAWrkoIb/view?usp=sharing</t>
  </si>
  <si>
    <t>MRITYUNJOY ROY</t>
  </si>
  <si>
    <t>50205607337</t>
  </si>
  <si>
    <t>XMLZIF</t>
  </si>
  <si>
    <t>https://drive.google.com/file/d/13n-RCftTELsDDNkD3BGm0vjVqcyM1v7Q/view?usp=sharing</t>
  </si>
  <si>
    <t>https://drive.google.com/file/d/1jOq2UFPEqfffWlynPe5FAKUyKiRElIDP/view?usp=sharing</t>
  </si>
  <si>
    <t>ABHISHEK ROY</t>
  </si>
  <si>
    <t>50205606834</t>
  </si>
  <si>
    <t>WJPWWF</t>
  </si>
  <si>
    <t>https://drive.google.com/file/d/1Ok175TCuYtKb0XzkTxRDHqII3yClpjOy/view?usp=sharing</t>
  </si>
  <si>
    <t>RUPESH SINGH</t>
  </si>
  <si>
    <t>50205607875</t>
  </si>
  <si>
    <t>YZFOUA</t>
  </si>
  <si>
    <t>https://drive.google.com/file/d/1U-fgkw5MnOTh1nzjags5Ce2X-Pwoy7NC/view?usp=sharing</t>
  </si>
  <si>
    <t>BINOD KUMAR SINGH</t>
  </si>
  <si>
    <t>50205607840</t>
  </si>
  <si>
    <t>DZBPGZ</t>
  </si>
  <si>
    <t>https://drive.google.com/file/d/1NVC1faF9kkZrALv6sWArJiOffud15TWf/view?usp=sharing</t>
  </si>
  <si>
    <t>SAMAR RANJAN RAY</t>
  </si>
  <si>
    <t>50205407333</t>
  </si>
  <si>
    <t>JKBSJH</t>
  </si>
  <si>
    <t>https://drive.google.com/file/d/1x7qnJqyocn2Ur9LClppHjhURx5IL3RHO/view?usp=sharing</t>
  </si>
  <si>
    <t>https://drive.google.com/file/d/1z_qGZYokzOBcnucT_uu50BO0sDLktSmE/view?usp=sharing</t>
  </si>
  <si>
    <t xml:space="preserve">TARUN KUMAR MANNA </t>
  </si>
  <si>
    <t>50209384042</t>
  </si>
  <si>
    <t>NHOTJL</t>
  </si>
  <si>
    <t>https://drive.google.com/file/d/1h3tt7RLIbap61wIq7kb_96R0pdeipLNe/view?usp=sharing</t>
  </si>
  <si>
    <t>https://drive.google.com/file/d/1JTbHlV0qxkNvVZRLkFZ2eIYPO9XOSSK0/view?usp=sharing</t>
  </si>
  <si>
    <t>MIRZA RASID HUSAIN</t>
  </si>
  <si>
    <t>50205522675</t>
  </si>
  <si>
    <t>FSSNFJ</t>
  </si>
  <si>
    <t>https://drive.google.com/file/d/15Yc4-SmAE2JTMznNP5s0zjLLmbBM9VM4/view?usp=sharing</t>
  </si>
  <si>
    <t>https://drive.google.com/file/d/1EbHmUc902itIH_b3MgfbOIU27GiRf-6G/view?usp=sharing</t>
  </si>
  <si>
    <t>TARUN KUMAR DAS</t>
  </si>
  <si>
    <t>50200036879</t>
  </si>
  <si>
    <t>DRYPWM</t>
  </si>
  <si>
    <t>https://drive.google.com/file/d/1lhj8WoptqxHpeJNkKBjDcWMI5WcxXsKn/view?usp=sharing</t>
  </si>
  <si>
    <t>https://drive.google.com/file/d/18d51EAhxY5DLssaBOsVKTVYUWzzgkeMP/view?usp=sharing</t>
  </si>
  <si>
    <t>SANTANU SARKAR</t>
  </si>
  <si>
    <t>50204720921</t>
  </si>
  <si>
    <t>RUQKGF</t>
  </si>
  <si>
    <t>https://drive.google.com/file/d/1WnbK-RBF_krT5adhSAHLAqNiUHP_gUqX/view?usp=sharing</t>
  </si>
  <si>
    <t>https://drive.google.com/file/d/1LXKQDAu176cPLKa1HDoeS8V9hkapee8k/view?usp=sharing</t>
  </si>
  <si>
    <t>AADITYA NARAYAN CHAURSIYA</t>
  </si>
  <si>
    <t>50205569072</t>
  </si>
  <si>
    <t>EWOCGF</t>
  </si>
  <si>
    <t>https://drive.google.com/file/d/1aZy5WPSEEt9DVfRcaDaX2qucEWLiWo8D/view?usp=sharing</t>
  </si>
  <si>
    <t>JYOTIRMOY KUNDU</t>
  </si>
  <si>
    <t>50200114716</t>
  </si>
  <si>
    <t>KYUSJN</t>
  </si>
  <si>
    <t>https://drive.google.com/file/d/1vxzRO1XngX7-HVdIL5nN54FPgl5N7Rh0/view?usp=sharing</t>
  </si>
  <si>
    <t>https://drive.google.com/file/d/1IIUs8sUN3Qu8rjz-nShbYvAb6ZB5I5dB/view?usp=sharing</t>
  </si>
  <si>
    <t>SHASHANKA SHEKHAR SARKAR</t>
  </si>
  <si>
    <t>WEOKDP</t>
  </si>
  <si>
    <t>https://drive.google.com/file/d/1CyXF8v1FikJLJ4AZxdUyOWCI5GsDdCm2/view?usp=sharing</t>
  </si>
  <si>
    <t>https://drive.google.com/file/d/1gD5hBxbGwQqO8hslz-QWSKjlkz9p94Aj/view?usp=sharing</t>
  </si>
  <si>
    <t>DEB RATAN SINGHA</t>
  </si>
  <si>
    <t>50205607346</t>
  </si>
  <si>
    <t>ZKGFUD</t>
  </si>
  <si>
    <t>https://drive.google.com/file/d/1tmdZiF0yf3H-EUaMuBC4mFD8w-XjfI0B/view?usp=sharing</t>
  </si>
  <si>
    <t>https://drive.google.com/file/d/1WSjhRsn4PiaUMp51PhR3Qc0WZEdNmPMw/view?usp=sharing</t>
  </si>
  <si>
    <t>JAMALUDDIN HAIDER</t>
  </si>
  <si>
    <t>50205611910</t>
  </si>
  <si>
    <t>XCCNTM</t>
  </si>
  <si>
    <t>https://drive.google.com/file/d/15rOwfF_3j7pS0g_ZcxsR4CEiJO0nPn08/view?usp=sharing</t>
  </si>
  <si>
    <t>https://drive.google.com/file/d/1mmbiRJ7UxOTk0KkvhIvN_2PLEpRrw0t-/view?usp=share_link</t>
  </si>
  <si>
    <t>SOUMABHA DAS</t>
  </si>
  <si>
    <t>50205612019</t>
  </si>
  <si>
    <t>WHTDYW</t>
  </si>
  <si>
    <t>https://drive.google.com/file/d/1JPZYecZfOwuX7vBWCM2SkLSrQtiD_WWS/view?usp=share_link</t>
  </si>
  <si>
    <t>ASHOK KR SHAW</t>
  </si>
  <si>
    <t>LKSZBZ</t>
  </si>
  <si>
    <t>https://drive.google.com/file/d/1MJ0qTIR7RLd6xDvmEpHVy1L-DxK7ON5d/view?usp=sharing</t>
  </si>
  <si>
    <t>ANAKESH KUMAR</t>
  </si>
  <si>
    <t>50813862551</t>
  </si>
  <si>
    <t>NLCXJX</t>
  </si>
  <si>
    <t>https://drive.google.com/file/d/1YOvV76xnjzvjkviidmbi1Dv9dm8DgbO6/view?usp=sharing</t>
  </si>
  <si>
    <t>ASIT KUMAR DEY</t>
  </si>
  <si>
    <t>50200116324</t>
  </si>
  <si>
    <t>JKALOC</t>
  </si>
  <si>
    <t>https://drive.google.com/file/d/1VgQ06vzzLgUvRCYLFBvhPlnYAonu6wZd/view?usp=sharing</t>
  </si>
  <si>
    <t>AVIJIT SAMADDER</t>
  </si>
  <si>
    <t>50208004270</t>
  </si>
  <si>
    <t>EQWCCU</t>
  </si>
  <si>
    <t>https://drive.google.com/file/d/1WSKfSW3kl0XSmhpR70zdZYXnhOY7OsBH/view?usp=sharing</t>
  </si>
  <si>
    <t>SOUMEN KUMAR DEY</t>
  </si>
  <si>
    <t>50205419347</t>
  </si>
  <si>
    <t>DJBAON</t>
  </si>
  <si>
    <t>https://drive.google.com/file/d/1yoSQeRfW7tnN1b9s7zxCUXcKh430g1DM/view?usp=sharing</t>
  </si>
  <si>
    <t>SUJIT HALDER II</t>
  </si>
  <si>
    <t>50212125209</t>
  </si>
  <si>
    <t>JHJHJX</t>
  </si>
  <si>
    <t>SUMAN CH TAT</t>
  </si>
  <si>
    <t>50205500280</t>
  </si>
  <si>
    <t>RXDZKU</t>
  </si>
  <si>
    <t>https://drive.google.com/file/d/1st42BLEwHz_yG9oFOmEwmyNOB16Yk9io/view?usp=sharing</t>
  </si>
  <si>
    <t>SUMIT KUMAR DAS</t>
  </si>
  <si>
    <t>50205500321</t>
  </si>
  <si>
    <t>YHUXSP</t>
  </si>
  <si>
    <t>https://drive.google.com/file/d/1ILzPOeq1l0rOqL1TZEExIpwh0XqabgYJ/view?usp=sharing</t>
  </si>
  <si>
    <t>MISS RINKI SAHA</t>
  </si>
  <si>
    <t>3429800258</t>
  </si>
  <si>
    <t>UMPCNU</t>
  </si>
  <si>
    <t>https://drive.google.com/file/d/1ngmaSMNmczA5q62TiiPkueadtliHBK0f/view?usp=sharing</t>
  </si>
  <si>
    <t>SONU ROY</t>
  </si>
  <si>
    <t>3429800243</t>
  </si>
  <si>
    <t>PGXISW</t>
  </si>
  <si>
    <t>https://drive.google.com/file/d/1EsRFKL0BBH3e-DLlP0W028ocvnRs3QqD/view?usp=sharing</t>
  </si>
  <si>
    <t>Chandan Dutta</t>
  </si>
  <si>
    <t>50701795454</t>
  </si>
  <si>
    <t>AFSQBB</t>
  </si>
  <si>
    <t>https://drive.google.com/file/d/1exG9Z3SHa4PoRIYJSXsfG2bviB9qkQiS/view?usp=sharing</t>
  </si>
  <si>
    <t>https://drive.google.com/file/d/1RpUjBNLkCkOmvxB-cMcAXOnZPRZd_Ysy/view?usp=drive_link</t>
  </si>
  <si>
    <t>Sumit Mukhopadhyay</t>
  </si>
  <si>
    <t>50205677646</t>
  </si>
  <si>
    <t>CMXNDN</t>
  </si>
  <si>
    <t>https://drive.google.com/file/d/1nXp4DH3wNarUkx90jBEEKOoEACXPxVdu/view?usp=sharing</t>
  </si>
  <si>
    <t>Kaustav Sarkar</t>
  </si>
  <si>
    <t>50205677592</t>
  </si>
  <si>
    <t>PRJYGG</t>
  </si>
  <si>
    <t>https://drive.google.com/file/d/1DIb1AsteMC6ES1scMAjJe0t_c_gYPRv-/view?usp=sharing</t>
  </si>
  <si>
    <t>Subhajit Dey</t>
  </si>
  <si>
    <t>50205678018</t>
  </si>
  <si>
    <t>RDEYON</t>
  </si>
  <si>
    <t>https://drive.google.com/file/d/1dRvWo1L-G9k7gEQsMVdxYnwh4G3xHhJP/view?usp=sharing</t>
  </si>
  <si>
    <t>https://drive.google.com/file/d/10EYVL0rTmSr6DoLXJ-mRZZvxAuy0yGUA/view?usp=drive_link</t>
  </si>
  <si>
    <t>Samrat Kanjilal(DSL)</t>
  </si>
  <si>
    <t>50205677841</t>
  </si>
  <si>
    <t>XAJLHM</t>
  </si>
  <si>
    <t>https://drive.google.com/file/d/1gGYykTbatcnPFLWw4gfxyyNxI6-LNQPI/view?usp=sharing</t>
  </si>
  <si>
    <t>Md. Sajid Alam</t>
  </si>
  <si>
    <t>50205677968</t>
  </si>
  <si>
    <t>YQASOI</t>
  </si>
  <si>
    <t>https://drive.google.com/file/d/1SvABeVE2BOkPVMFAcQ6Vy9vITzYJskQu/view?usp=sharing</t>
  </si>
  <si>
    <t>Satyajit Sarkar</t>
  </si>
  <si>
    <t>50205678055</t>
  </si>
  <si>
    <t>EZXFSK</t>
  </si>
  <si>
    <t>https://drive.google.com/file/d/1zc7j7b_xF2kW1kic31_3C9r0JUvwXEnR/view?usp=sharing</t>
  </si>
  <si>
    <t>Amal Halder</t>
  </si>
  <si>
    <t>50205678043</t>
  </si>
  <si>
    <t>JCEXWI</t>
  </si>
  <si>
    <t>https://drive.google.com/file/d/14SleVLMMRWz-b5q2Nt1eYltZJDwuAtNr/view?usp=sharing</t>
  </si>
  <si>
    <t>Satyagopal Nag</t>
  </si>
  <si>
    <t>15205MAS301</t>
  </si>
  <si>
    <t>MTIOSU</t>
  </si>
  <si>
    <t>https://drive.google.com/file/d/1FuUDuSsjs7PjAkgAt_CHwBS1Q3NZHY0X/view?usp=sharing</t>
  </si>
  <si>
    <t>https://drive.google.com/file/d/1t-pzAdGXIuXQWRl-s48pabQBORFrZcpt/view?usp=drive_link</t>
  </si>
  <si>
    <t>Soumyadeep Sadhukhan</t>
  </si>
  <si>
    <t>50205678109</t>
  </si>
  <si>
    <t>DTKLNW</t>
  </si>
  <si>
    <t>https://drive.google.com/file/d/1oQ6fsdEJFrsrXybdQcquofBymBA6zaGl/view?usp=sharing</t>
  </si>
  <si>
    <t>Saswati Dutta</t>
  </si>
  <si>
    <t>50205677610</t>
  </si>
  <si>
    <t>NDESLO</t>
  </si>
  <si>
    <t>https://drive.google.com/file/d/1BBQleU9lTeDt1mz2l7WftSiEz9-qRhy8/view?usp=sharing</t>
  </si>
  <si>
    <t>Atanu Pal</t>
  </si>
  <si>
    <t>50205677713</t>
  </si>
  <si>
    <t>HKYECI</t>
  </si>
  <si>
    <t>https://drive.google.com/file/d/13mS5aBJv3OSJTLBjqQ-b5OWR42a-XhR7/view?usp=sharing</t>
  </si>
  <si>
    <t>Saurav Pal</t>
  </si>
  <si>
    <t>50205677580</t>
  </si>
  <si>
    <t>PTPQRI</t>
  </si>
  <si>
    <t>Gour Ghosh</t>
  </si>
  <si>
    <t>50205690640</t>
  </si>
  <si>
    <t>GRTLRA</t>
  </si>
  <si>
    <t>https://drive.google.com/file/d/1hIJXeprWcmU2meTU7QadVh7cJBz4nCc3/view?usp=sharing</t>
  </si>
  <si>
    <t>SL.NO</t>
  </si>
  <si>
    <t>Tr10</t>
  </si>
  <si>
    <t>AMIT BISWAS</t>
  </si>
  <si>
    <t>03429801844</t>
  </si>
  <si>
    <t>GJLXJE</t>
  </si>
  <si>
    <t>https://drive.google.com/file/d/1h6iXjqRaCmKVxpU97cdT88ydOKRlrEbU/view?usp=drive_link</t>
  </si>
  <si>
    <t>CHANDAN KUMAR JHA</t>
  </si>
  <si>
    <t>03429802222</t>
  </si>
  <si>
    <t>PBSKAY</t>
  </si>
  <si>
    <t>ISHAN MITRA</t>
  </si>
  <si>
    <t>03429802937</t>
  </si>
  <si>
    <t>ZLTANC</t>
  </si>
  <si>
    <t>MUKESH DAS</t>
  </si>
  <si>
    <t>3429802929</t>
  </si>
  <si>
    <t>https://drive.google.com/file/d/1-xjAU3nuaMuLiD3VYhiMXRMN_pdsBdpd/view?usp=drive_link</t>
  </si>
  <si>
    <t>RUPAK PAKHIRA</t>
  </si>
  <si>
    <t>429806533</t>
  </si>
  <si>
    <t>TKLCWA</t>
  </si>
  <si>
    <t>SAMRIDDHA DHALI</t>
  </si>
  <si>
    <t>3429802237</t>
  </si>
  <si>
    <t>ZPSQYJ</t>
  </si>
  <si>
    <t>SHRABANI SIKDER</t>
  </si>
  <si>
    <t>18229806409</t>
  </si>
  <si>
    <t>PZOJDF</t>
  </si>
  <si>
    <t>https://drive.google.com/file/d/1iopBlfqwuIcuElJiohk6tI-Kw4x7LuJZ/view?usp=drive_link</t>
  </si>
  <si>
    <t>SOMNATH PAUL</t>
  </si>
  <si>
    <t>18429807146</t>
  </si>
  <si>
    <t>HLTYDP</t>
  </si>
  <si>
    <t>SUBARNA DEBNATH</t>
  </si>
  <si>
    <t>18229806472</t>
  </si>
  <si>
    <t>KQRYNF</t>
  </si>
  <si>
    <t>TANMOY PAUL</t>
  </si>
  <si>
    <t>3429802930</t>
  </si>
  <si>
    <t>https://drive.google.com/file/d/1dz5FLMB0kLM-RRFYi3ZqDdapzQhyTvgc/view?usp=drive_link</t>
  </si>
  <si>
    <t>SUVAJIT MITRA</t>
  </si>
  <si>
    <t>30229802868</t>
  </si>
  <si>
    <t>ZJZISB</t>
  </si>
  <si>
    <t>MANASE BESRA</t>
  </si>
  <si>
    <t>3329804649</t>
  </si>
  <si>
    <t>BMFWIS</t>
  </si>
  <si>
    <t>SANDEEP KUMAR</t>
  </si>
  <si>
    <t>3329804645</t>
  </si>
  <si>
    <t>TDXQMX</t>
  </si>
  <si>
    <t>3329804658</t>
  </si>
  <si>
    <t>HGQHYL</t>
  </si>
  <si>
    <t>SURAJ KUMAR</t>
  </si>
  <si>
    <t>3329804659</t>
  </si>
  <si>
    <t>QPCAMM</t>
  </si>
  <si>
    <t>Sarupya Chowdhury</t>
  </si>
  <si>
    <t>33229816264</t>
  </si>
  <si>
    <t>KRXNSC</t>
  </si>
  <si>
    <t>https://drive.google.com/file/d/153SbKw5AMZG2jqLhWPIAS9Air48XXDqG/view?usp=sharing</t>
  </si>
  <si>
    <t>SUVANKAR CHOWDHURY</t>
  </si>
  <si>
    <t>502N0750072</t>
  </si>
  <si>
    <t>XJKMIR</t>
  </si>
  <si>
    <t>AVIJIT BISWAS</t>
  </si>
  <si>
    <t>3229804748</t>
  </si>
  <si>
    <t>OEYIOC</t>
  </si>
  <si>
    <t>ANUP DAS</t>
  </si>
  <si>
    <t>3229805086</t>
  </si>
  <si>
    <t>QNZOSN</t>
  </si>
  <si>
    <t>SUBHASISH DEY</t>
  </si>
  <si>
    <t>3529801336</t>
  </si>
  <si>
    <t>BJRZOH</t>
  </si>
  <si>
    <t>SHIRSENDU BHOWMICK</t>
  </si>
  <si>
    <t>18429808048</t>
  </si>
  <si>
    <t>QRIJHI</t>
  </si>
  <si>
    <t>BIPLAB HALDER</t>
  </si>
  <si>
    <t>3429803736</t>
  </si>
  <si>
    <t>SJYLQD</t>
  </si>
  <si>
    <t>MOHD ARIF</t>
  </si>
  <si>
    <t>3329804901</t>
  </si>
  <si>
    <t>GBGTCW</t>
  </si>
  <si>
    <t>RANDHEER PATEL</t>
  </si>
  <si>
    <t>3329804900</t>
  </si>
  <si>
    <t>BWRUJF</t>
  </si>
  <si>
    <t>SURAJ KUMAR SINGH</t>
  </si>
  <si>
    <t>39229801659</t>
  </si>
  <si>
    <t>MDACCY</t>
  </si>
  <si>
    <t>DIVYANSHU KUMAR</t>
  </si>
  <si>
    <t>3329804938</t>
  </si>
  <si>
    <t>DGQIXH</t>
  </si>
  <si>
    <t>https://drive.google.com/file/d/1NSxNoftXmfisGOOQahmYJPOmflCsuDZX/view?usp=sharing</t>
  </si>
  <si>
    <t>CHANDAN  MISHRA</t>
  </si>
  <si>
    <t>3329804937</t>
  </si>
  <si>
    <t>YLIUIZ</t>
  </si>
  <si>
    <t>SITAL KUMAR GUPTA</t>
  </si>
  <si>
    <t>27529803675</t>
  </si>
  <si>
    <t>CSNITD</t>
  </si>
  <si>
    <t>https://drive.google.com/file/d/1tnEkHHdTSPCsiazNLE5fp-A6ToiXXnfm/view?usp=sharing</t>
  </si>
  <si>
    <t>KALLOL KUMAR BISWAS</t>
  </si>
  <si>
    <t>18429803469</t>
  </si>
  <si>
    <t>XEKBDH</t>
  </si>
  <si>
    <t>https://drive.google.com/file/d/1Iek55_WWJhcK-9tE8EPV6NOY74ZrTHec/view?usp=sharing</t>
  </si>
  <si>
    <t>Shyamoli Bhattacharya /MJT</t>
  </si>
  <si>
    <t>3429801829</t>
  </si>
  <si>
    <t>XGUGOE</t>
  </si>
  <si>
    <t>Bidyut Biswas</t>
  </si>
  <si>
    <t>50714507027</t>
  </si>
  <si>
    <t>CZMPNN</t>
  </si>
  <si>
    <t>PRITAM MALLICK</t>
  </si>
  <si>
    <t>18429807145</t>
  </si>
  <si>
    <t>KZMRNB</t>
  </si>
  <si>
    <t>https://drive.google.com/file/d/1WQjtHnb6AjixL2RHMSF_6iBh_k0Hd1Bw/view?usp=sharing</t>
  </si>
  <si>
    <t>Sourav Patra</t>
  </si>
  <si>
    <t>18429806232</t>
  </si>
  <si>
    <t>CDCQGX</t>
  </si>
  <si>
    <t>https://drive.google.com/file/d/1iTP8YYEbF25mWaFHYsPb4q4hA3DSWCni/view?usp=sharing</t>
  </si>
  <si>
    <t>Lopamudra Das</t>
  </si>
  <si>
    <t>18429806364</t>
  </si>
  <si>
    <t>MUFIKS</t>
  </si>
  <si>
    <t>https://drive.google.com/file/d/1ykFbNlqcHUnlWSpy8mWhCDgPGOnHHb2r/view?usp=sharing</t>
  </si>
  <si>
    <t>Abhishek Ranjan</t>
  </si>
  <si>
    <t>33229816530</t>
  </si>
  <si>
    <t>KLGJZO</t>
  </si>
  <si>
    <t>https://drive.google.com/file/d/1aHvx58vqpi3q8kwDQBpXIGPaS49sOiDM/view?usp=sharing</t>
  </si>
  <si>
    <t>Vivek Kumar Dey</t>
  </si>
  <si>
    <t>3529801303</t>
  </si>
  <si>
    <t>SJJLTL</t>
  </si>
  <si>
    <t>https://drive.google.com/file/d/1nDshZJVOzpACM7z684ZYMUwNPDu-7u8-/view?usp=sharing</t>
  </si>
  <si>
    <t>MONIKA CHOWDHURY/MJT</t>
  </si>
  <si>
    <t>3429801269</t>
  </si>
  <si>
    <t>EWBJEX</t>
  </si>
  <si>
    <t>https://drive.google.com/file/d/16BxYJ0VX-PVwjUMB6v9VkPy0VpfPa_K9/view?usp=sharing</t>
  </si>
  <si>
    <t>DALIA MITRA</t>
  </si>
  <si>
    <t>53162131213</t>
  </si>
  <si>
    <t>XJXJDG</t>
  </si>
  <si>
    <t>https://drive.google.com/file/d/1PkCQffYf1tk1mGFIuR7XMNrnjmr69dO4/view?usp=sharing</t>
  </si>
  <si>
    <t>ARTI KUMARI</t>
  </si>
  <si>
    <t>GUMRHF</t>
  </si>
  <si>
    <t>https://drive.google.com/file/d/1xoirw0QESpNVSnefqjHf9hqM9UEyQawv/view?usp=sharing</t>
  </si>
  <si>
    <t>https://drive.google.com/file/d/1GjKcpsoEB11Q8d2kjhqK77UGKNuXupps/view?usp=sharing</t>
  </si>
  <si>
    <t>https://drive.google.com/file/d/1-kY42F_awXn-UoR-keLShpXo3KUrHHlJ/view?usp=sharing</t>
  </si>
  <si>
    <t>Nihar Ranjan Gain</t>
  </si>
  <si>
    <t>3329805600</t>
  </si>
  <si>
    <t>KTYYQC</t>
  </si>
  <si>
    <t>https://drive.google.com/file/d/16P6ndl7VnmRAxCzDnDli3lvOAgX_5Gky/view?usp=sharing</t>
  </si>
  <si>
    <t>Partha Kumar Roy</t>
  </si>
  <si>
    <t>50205680979</t>
  </si>
  <si>
    <t>HUUQNN</t>
  </si>
  <si>
    <t>https://drive.google.com/file/d/10Xw1MBm44_6jNbqz75z7rHVIryreC12v/view?usp=sharing</t>
  </si>
  <si>
    <t>Bipin Kumar</t>
  </si>
  <si>
    <t>3329805872</t>
  </si>
  <si>
    <t>KCHSBP</t>
  </si>
  <si>
    <t>https://drive.google.com/file/d/1hFJp13sZJ422wWe6EjfCrpML1RU4JAZn/view?usp=sharing</t>
  </si>
  <si>
    <t>Jyotirmoy Sen</t>
  </si>
  <si>
    <t>50205690122</t>
  </si>
  <si>
    <t>MXQMMA</t>
  </si>
  <si>
    <t>https://drive.google.com/file/d/1ENNupBCjuhuGjXcHIFTTx7o75n3BBJJs/view?usp=sharing</t>
  </si>
  <si>
    <t>Sanju Roy</t>
  </si>
  <si>
    <t>3329805597</t>
  </si>
  <si>
    <t>NNKWDM</t>
  </si>
  <si>
    <t>https://drive.google.com/file/d/1wd5mgxn0tIMmR_2zNTyIPo5XJq-wlbfX/view?usp=sharing</t>
  </si>
  <si>
    <t>Manoranjan Kumar</t>
  </si>
  <si>
    <t>3329805710</t>
  </si>
  <si>
    <t>PDIQPB</t>
  </si>
  <si>
    <t>https://drive.google.com/file/d/1QuGTFInufxy5FpYZKBi0zgNwqXkFsGJw/view?usp=sharing</t>
  </si>
  <si>
    <t>Atanu Biswas</t>
  </si>
  <si>
    <t>3329805734</t>
  </si>
  <si>
    <t>KQLOOW</t>
  </si>
  <si>
    <t>https://drive.google.com/file/d/1kYUUbjPXMK1DHW78c72iNNhc4YWRc-gX/view?usp=sharing</t>
  </si>
  <si>
    <t>Subrata Roy</t>
  </si>
  <si>
    <t>50205678407</t>
  </si>
  <si>
    <t>PIOMLL</t>
  </si>
  <si>
    <t>https://drive.google.com/file/d/1njlE56yYMWPxtYALjeZ3Ru2CWp8GUrCr/view?usp=sharing</t>
  </si>
  <si>
    <t>Dibakar Modak</t>
  </si>
  <si>
    <t>3329806571</t>
  </si>
  <si>
    <t>SCIWMM</t>
  </si>
  <si>
    <t>https://drive.google.com/file/d/1MWPxNIri7zgIvLeNveV-nOO1qMOBz9SO/view?usp=sharing</t>
  </si>
  <si>
    <t>Bhaskar Biwas</t>
  </si>
  <si>
    <t>3329805392</t>
  </si>
  <si>
    <t>FMONCW</t>
  </si>
  <si>
    <t>https://drive.google.com/file/d/1eQg-P6geHKUjKtc7lSxktOrT7ZTnFC8w/view?usp=sharing</t>
  </si>
  <si>
    <t>Abhinandan Kumar Choudhary</t>
  </si>
  <si>
    <t>3329806362</t>
  </si>
  <si>
    <t>LJZGXC</t>
  </si>
  <si>
    <t>https://drive.google.com/file/d/1IgWaiKTHyBiOG5Sjp-cLwskqTOTqWG5m/view?usp=sharing</t>
  </si>
  <si>
    <t>Ranjit Pandey</t>
  </si>
  <si>
    <t>WKPXTE</t>
  </si>
  <si>
    <t>https://drive.google.com/file/d/1V4oGAe0lXfK2Ht6-iHEAk9xPj9qAP_sn/view?usp=sharing</t>
  </si>
  <si>
    <t>Avijit Dey</t>
  </si>
  <si>
    <t>3329805512</t>
  </si>
  <si>
    <t>SOGYXB</t>
  </si>
  <si>
    <t>https://drive.google.com/file/d/10EPpbgVh9YS4AZB8ZHU-yHZsXwmV6p-m/view?usp=sharing</t>
  </si>
  <si>
    <t>3329805907</t>
  </si>
  <si>
    <t>SJTKGW</t>
  </si>
  <si>
    <t>https://drive.google.com/file/d/11PoQUaDX60Cwztabv6bES7ITPvsFYZ2w/view?usp=sharing</t>
  </si>
  <si>
    <t>Rajeev Ranjan</t>
  </si>
  <si>
    <t>KOXLJD</t>
  </si>
  <si>
    <t>https://drive.google.com/file/d/19S1aYZRXQ2FhFwOVNK4TJnq04mjtizTp/view?usp=sharing</t>
  </si>
  <si>
    <t>Atul Kumar</t>
  </si>
  <si>
    <t>3329806024</t>
  </si>
  <si>
    <t>XTWAPZ</t>
  </si>
  <si>
    <t>https://drive.google.com/file/d/1jP79Ew5wFCwb8UY-7GAsQDrHXBKlyASL/view?usp=sharing</t>
  </si>
  <si>
    <t>Vikas Kumar</t>
  </si>
  <si>
    <t>3329805749</t>
  </si>
  <si>
    <t>TQCXXF</t>
  </si>
  <si>
    <t>https://drive.google.com/file/d/1mFyYLa9mMc3EOBNEujgQWqi_Nvm4ReIk/view?usp=sharing</t>
  </si>
  <si>
    <t>Abhishek Sharma</t>
  </si>
  <si>
    <t>3329803533</t>
  </si>
  <si>
    <t>JZJAWZ</t>
  </si>
  <si>
    <t>https://drive.google.com/file/d/1hEbjrVTz3xCDT12jKDfxNAUdpkTPsvP1/view?usp=sharing</t>
  </si>
  <si>
    <t>Amit Kumar</t>
  </si>
  <si>
    <t>IPWAGR</t>
  </si>
  <si>
    <t>https://drive.google.com/file/d/1f2L_gdGbW-UbkBFXy1b9j2HqAivANU-a/view?usp=sharing</t>
  </si>
  <si>
    <t>Mahindra Kumar</t>
  </si>
  <si>
    <t>3329803551</t>
  </si>
  <si>
    <t>YGWLAJ</t>
  </si>
  <si>
    <t>https://drive.google.com/file/d/1MH8dysoATxC8pe6puJF76qjRFNhXp1ae/view?usp=sharing</t>
  </si>
  <si>
    <t>Ranjan Kumar</t>
  </si>
  <si>
    <t>3329806701</t>
  </si>
  <si>
    <t>RNXUZU</t>
  </si>
  <si>
    <t>https://drive.google.com/file/d/1jO1UsJypTph2GCPrLA8lE4_ttyRJ6jQ9/view?usp=sharing</t>
  </si>
  <si>
    <t>Vikash Kumar Himanshu</t>
  </si>
  <si>
    <t>3329806041</t>
  </si>
  <si>
    <t>YKHMWO</t>
  </si>
  <si>
    <t>https://drive.google.com/file/d/16pPI65gfU5VyUUrlXJcq0epOGMl6pV2h/view?usp=sharing</t>
  </si>
  <si>
    <t>Prabhat Ranjan</t>
  </si>
  <si>
    <t>3329806312</t>
  </si>
  <si>
    <t>ONAATU</t>
  </si>
  <si>
    <t>https://drive.google.com/file/d/1WQ6lUgiqJfEkVsRk3Hjfzkg4oqSj0RHg/view?usp=sharing</t>
  </si>
  <si>
    <t>Amit Majumder</t>
  </si>
  <si>
    <t>3329805446</t>
  </si>
  <si>
    <t>WZMNCB</t>
  </si>
  <si>
    <t>https://drive.google.com/file/d/1fFUE59eWr0Og-5mxG6916lSiDTqIsEqC/view?usp=sharing</t>
  </si>
  <si>
    <t>Dharmendra Kumar</t>
  </si>
  <si>
    <t>3329805857</t>
  </si>
  <si>
    <t>WUHPYY</t>
  </si>
  <si>
    <t>https://drive.google.com/file/d/1H-gzpLqfn4sMnUEEHrArU9QRCrnILwrr/view?usp=sharing</t>
  </si>
  <si>
    <t>Suraj Mondal</t>
  </si>
  <si>
    <t>3729801632</t>
  </si>
  <si>
    <t>IASOSS</t>
  </si>
  <si>
    <t>https://drive.google.com/file/d/1P-vn6hct9eOodNp3-5D3KENmCfkQUfVk/view?usp=sharing</t>
  </si>
  <si>
    <t>Kartikeya Tiwari</t>
  </si>
  <si>
    <t>3329805659</t>
  </si>
  <si>
    <t>https://drive.google.com/file/d/1tasId_PUjbJch0HyGJ5OACdH2QTtB1d5/view?usp=sharing</t>
  </si>
  <si>
    <t>Amitava Dhali</t>
  </si>
  <si>
    <t>3329807075</t>
  </si>
  <si>
    <t>Nalini Khan</t>
  </si>
  <si>
    <t>https://drive.google.com/file/d/1c7CYDPbixsuGlEq1JZPoviHpXJrpVjOM/view?usp=sharing</t>
  </si>
  <si>
    <t>Ankit Biswas</t>
  </si>
  <si>
    <t>3329805453</t>
  </si>
  <si>
    <t>https://drive.google.com/file/d/1hRw4tSkvmhGZxvI-FsT61OhIPXscHhjk/view?usp=sharing</t>
  </si>
  <si>
    <t>Sonu Kumar</t>
  </si>
  <si>
    <t>3329806234</t>
  </si>
  <si>
    <t>https://drive.google.com/file/d/1W4NoBEAP58-eKUgracONhGrvtzR-XMU3/view?usp=sharing</t>
  </si>
  <si>
    <t>Pulakesh Nandi</t>
  </si>
  <si>
    <t>24429804175</t>
  </si>
  <si>
    <t>https://drive.google.com/file/d/1OtRwiF3CiV4yXc6SfnK9zZwe_i0Q6iBo/view?usp=sharing</t>
  </si>
  <si>
    <t>Sumit Kumar Gupta</t>
  </si>
  <si>
    <t>508NPS02316</t>
  </si>
  <si>
    <t>https://drive.google.com/file/d/1hgtWi5gd4KdDfEmc1S22dAfRdpAGJQcu/view?usp=sharing</t>
  </si>
  <si>
    <t>Mithilesh Kumar Meena</t>
  </si>
  <si>
    <t>3329806961</t>
  </si>
  <si>
    <t>https://drive.google.com/file/d/1kBhreblymjxEs6lTS1yL7cNofkcZ0kB_/view?usp=sharing</t>
  </si>
  <si>
    <t>BISWAJIT MRIDHA</t>
  </si>
  <si>
    <t>03229803599</t>
  </si>
  <si>
    <t>MPZGSK</t>
  </si>
  <si>
    <t>https://drive.google.com/file/d/19xI1Qy9MLiWRza70RpI2o3l2XDumcYxf/view?usp=sharing</t>
  </si>
  <si>
    <t>SUJIT SANA</t>
  </si>
  <si>
    <t>3329805596</t>
  </si>
  <si>
    <t>OBC</t>
  </si>
  <si>
    <t>NITESH KUMAR DEO</t>
  </si>
  <si>
    <t>3329805921</t>
  </si>
  <si>
    <t>Sukanta Biswas</t>
  </si>
  <si>
    <t>IKBNWF</t>
  </si>
  <si>
    <t>https://drive.google.com/file/d/109eqjrnFgXZAh2icA8iWMcSd7aejYmWm/view?usp=sharing</t>
  </si>
  <si>
    <t>Avijit Roy</t>
  </si>
  <si>
    <t>50205678020</t>
  </si>
  <si>
    <t>XLTAFL</t>
  </si>
  <si>
    <t>https://drive.google.com/file/d/1sG8bEcKRMWaYqqoSQ_UugEuTw_eFZrVa/view?usp=sharing</t>
  </si>
  <si>
    <t>SUJOY MANDAL</t>
  </si>
  <si>
    <t>53107020283</t>
  </si>
  <si>
    <t>PICSQM</t>
  </si>
  <si>
    <t>https://drive.google.com/file/d/1MINafaOQKroum7e4SvvrVuaTtx5I90RQ/view?usp=sharing</t>
  </si>
  <si>
    <t>https://drive.google.com/file/d/1a17k5thfPGQw5kpvknL2Yya9IzkiEFal/view?usp=share_link</t>
  </si>
  <si>
    <t>SUMAN BISWAS II</t>
  </si>
  <si>
    <t>53120134446</t>
  </si>
  <si>
    <t>HKTTSC</t>
  </si>
  <si>
    <t>https://drive.google.com/file/d/16PV2wQhZlhB0OVaks_9urCduBl3opWGa/view?usp=sharing</t>
  </si>
  <si>
    <t>https://drive.google.com/file/d/1VpYxp03xQxWS2oKvr8vkkIj2HoEQ_lMZ/view?usp=sharing</t>
  </si>
  <si>
    <t>UDAY KUMAR II</t>
  </si>
  <si>
    <t>3429800367</t>
  </si>
  <si>
    <t>NSPLFF</t>
  </si>
  <si>
    <t>https://drive.google.com/file/d/13y6xvZ9zdjdcnhWpfXA-SKmMY1-yNi-Q/view?usp=sharing</t>
  </si>
  <si>
    <t>https://drive.google.com/file/d/1JOWQXVUVCw--XGEqUrubbhBommg6D1SI/view?usp=share_link</t>
  </si>
  <si>
    <t>https://drive.google.com/file/d/1fsc54df-PjL5_Fa3SKadKa1dCfiFhYwf/view?usp=sharing</t>
  </si>
  <si>
    <t>Biswajit Biswas/IV</t>
  </si>
  <si>
    <t>50205677907</t>
  </si>
  <si>
    <t>LARLRI</t>
  </si>
  <si>
    <t>https://drive.google.com/file/d/1uDtBiE4e5J_fWqQAyUpo04f0ZQFCpMGO/view?usp=sharing</t>
  </si>
  <si>
    <t>Bapi Sankar Roy</t>
  </si>
  <si>
    <t>50205677890</t>
  </si>
  <si>
    <t>LJGOXL</t>
  </si>
  <si>
    <t>https://drive.google.com/file/d/1p_PU9Z_9m0NNrRJQ3vrIVTRwVVdE_fMj/view?usp=sharing</t>
  </si>
  <si>
    <t>https://drive.google.com/file/d/185k6Jdt6T9lhCNPh3bQLtMJ75yDaRhnA/view?usp=drive_link</t>
  </si>
  <si>
    <t>Bitan Biswas</t>
  </si>
  <si>
    <t>50205677919</t>
  </si>
  <si>
    <t>EBISXK</t>
  </si>
  <si>
    <t>https://drive.google.com/file/d/1wRO4_t9ztH9YBVbQ4U9Wr7d9Uz_fFkiY/view?usp=sharing</t>
  </si>
  <si>
    <t>SAMIRAN MANDAL</t>
  </si>
  <si>
    <t>50200162334</t>
  </si>
  <si>
    <t>YHIHWB</t>
  </si>
  <si>
    <t>https://drive.google.com/file/d/11Z2IhOO3xoIWh8Phzj30fd3fvfxWRnF9/view?usp=sharing</t>
  </si>
  <si>
    <t>https://drive.google.com/file/d/1Jy9mjkNeOz3ru2xGqaqr9fb657DFEv6R/view?usp=share_link</t>
  </si>
  <si>
    <t>PRADYUT NASKAR</t>
  </si>
  <si>
    <t>50714500142</t>
  </si>
  <si>
    <t>DWRWLC</t>
  </si>
  <si>
    <t>https://drive.google.com/file/d/1EEhT5nJOEuSmFW_dxr5tf-ulUlB1-Fp5/view?usp=sharing</t>
  </si>
  <si>
    <t>https://drive.google.com/file/d/1S-VcBx7FXFM6Lx9eRB_sJE17J2LysRTl/view?usp=sharing</t>
  </si>
  <si>
    <t>SWAPAN MAZUMDER I</t>
  </si>
  <si>
    <t>50706161856</t>
  </si>
  <si>
    <t>OPUOJM</t>
  </si>
  <si>
    <t>https://drive.google.com/file/d/13xs2siUgNdS0NOEJ0HnPfSqGEabhUezr/view?usp=sharing</t>
  </si>
  <si>
    <t>https://drive.google.com/file/d/1CriXISNroNLp1HBfrGmhq6m8AsWVZoQy/view?usp=sharing</t>
  </si>
  <si>
    <t>https://drive.google.com/file/d/1OL6lkZSj5UV5Kv_VY5tScpYDwQv5vFOK/view?usp=sharing</t>
  </si>
  <si>
    <t>PRABIR BAIRAGI</t>
  </si>
  <si>
    <t>50714503119</t>
  </si>
  <si>
    <t>ZTPUQT</t>
  </si>
  <si>
    <t>https://drive.google.com/file/d/1LXTtyCdivtp3BxgRBduiX0GH3IyMeXZQ/view?usp=sharing</t>
  </si>
  <si>
    <t>https://drive.google.com/file/d/1_L8YP6cx6eE-cpIf0mocaguqJ2F-hYxt/view?usp=share_link</t>
  </si>
  <si>
    <t>ARUN KUMAR RABIDAS</t>
  </si>
  <si>
    <t>50205618393</t>
  </si>
  <si>
    <t>MNUPCH</t>
  </si>
  <si>
    <t>https://drive.google.com/file/d/1nQ4cy7CQU2qScl8XgLMvskS_R4sh65gJ/view?usp=sharing</t>
  </si>
  <si>
    <t>https://drive.google.com/file/d/1vu6e-plD8cXdhytIYXxu6La3o9zw2GDM/view?usp=sharing</t>
  </si>
  <si>
    <t>https://drive.google.com/file/d/1SV8CrqwO3d1fUkYjt-rftAivYC2-veDz/view?usp=sharing</t>
  </si>
  <si>
    <t>AVIJIT MONDAL I(MJT)</t>
  </si>
  <si>
    <t>50205618381</t>
  </si>
  <si>
    <t>HGGEFH</t>
  </si>
  <si>
    <t>https://drive.google.com/file/d/1_u17gE4nuBzl_5mlU-m7Xy43HYSrIopz/view?usp=sharing</t>
  </si>
  <si>
    <t>https://drive.google.com/file/d/1-bu8x_7vSDJE9wY6PY26FwmZ0_Jol4m8/view?usp=share_link</t>
  </si>
  <si>
    <t>https://drive.google.com/file/d/13JI_8983XISwkSt7Zxg3l0Fl1QZU9ja2/view?usp=sharing</t>
  </si>
  <si>
    <t>DEBABRATA ADHIKARY(MJT)</t>
  </si>
  <si>
    <t>50200175791</t>
  </si>
  <si>
    <t>NWHSII</t>
  </si>
  <si>
    <t>https://drive.google.com/file/d/1gFQ0ykHGzmZig1SLSgK8HBR4sRvOYtC6/view?usp=sharing</t>
  </si>
  <si>
    <t>https://drive.google.com/file/d/1QZBaTXHgVZdgUhzmjVak29e3yX7zR3PL/view?usp=share_link</t>
  </si>
  <si>
    <t>https://drive.google.com/file/d/16Is9kPlqJgwcg_14aZ1YLVsds1KvdVCg/view?usp=sharing</t>
  </si>
  <si>
    <t>KAMAL KANTA SANTRA</t>
  </si>
  <si>
    <t>50205618472</t>
  </si>
  <si>
    <t>DKQDSU</t>
  </si>
  <si>
    <t>https://drive.google.com/file/d/1-iPRTNklVZklNlRODbRxSVKIhC91zZ1l/view?usp=sharing</t>
  </si>
  <si>
    <t>https://drive.google.com/file/d/1UYSPgUy8_ibkRwedIiJI16Fle4JvSGIG/view?usp=sharing</t>
  </si>
  <si>
    <t>https://drive.google.com/file/d/1N8iM2GDsjiRAmlH4AzGtuGHP8siTCVwr/view?usp=sharing</t>
  </si>
  <si>
    <t>KUNDAN KUMAR II(MJT)</t>
  </si>
  <si>
    <t>334NP004183</t>
  </si>
  <si>
    <t>IAPZJI</t>
  </si>
  <si>
    <t>https://drive.google.com/file/d/1V23ZDCgdHapS9dgSBNzgrIH8p0WTstte/view?usp=sharing</t>
  </si>
  <si>
    <t>https://drive.google.com/file/d/1K7kDYca-yueMF5XmDZQUf0OT83BM32Xh/view?usp=share_link</t>
  </si>
  <si>
    <t>https://drive.google.com/file/d/1l-_26jxQF3ZlXQ3_oGrBTIkSVwnzOTJL/view?usp=sharing</t>
  </si>
  <si>
    <t>MANOJ KUMAR IV(MJT)</t>
  </si>
  <si>
    <t>50205618630</t>
  </si>
  <si>
    <t>HQUWHP</t>
  </si>
  <si>
    <t>https://drive.google.com/file/d/1ufkI9AjXMCbraeKeR-CHVLAUYmK0k4XK/view?usp=sharing</t>
  </si>
  <si>
    <t>https://drive.google.com/file/d/1RuLQJ0DkuZ-3igZnibIa0TpsgOqIjE26/view?usp=sharing</t>
  </si>
  <si>
    <t>MONIDIPTA MONDAL(MJT)</t>
  </si>
  <si>
    <t>50205618002</t>
  </si>
  <si>
    <t>LSDGCC</t>
  </si>
  <si>
    <t>https://drive.google.com/file/d/1gxHFLm6pPQwsLvgp0Q__qRCVx3ngt4op/view?usp=sharing</t>
  </si>
  <si>
    <t>https://drive.google.com/file/d/1oGPKb2mFNZfiKVYGnJzsvQICDmDOhAeB/view?usp=sharing</t>
  </si>
  <si>
    <t>https://drive.google.com/file/d/1-jDvwVQUl7k1JBV9uPVRYhbVV6tPlpkH/view?usp=sharing</t>
  </si>
  <si>
    <t>RAKESH KUMAR I(MJT)</t>
  </si>
  <si>
    <t>50205618782</t>
  </si>
  <si>
    <t>XIMHWK</t>
  </si>
  <si>
    <t>https://drive.google.com/file/d/1EMFR2kb-G6XHkjZ-42SRhx4JUq6buyH2/view?usp=sharing</t>
  </si>
  <si>
    <t>https://drive.google.com/file/d/1fjccocPAFbD_exvE-4a-tSofja6aR4I-/view?usp=share_link</t>
  </si>
  <si>
    <t>https://drive.google.com/file/d/1DKj8hCrou2GA3M94FGk9kYHkaaMuqrfC/view?usp=sharing</t>
  </si>
  <si>
    <t>ROHIT KUMAR</t>
  </si>
  <si>
    <t>50205618435</t>
  </si>
  <si>
    <t>KTLWUY</t>
  </si>
  <si>
    <t>https://drive.google.com/file/d/1Ot4-K9xs2xjKuLjbT6K46BanCJ_4GwyX/view?usp=sharing</t>
  </si>
  <si>
    <t>https://drive.google.com/file/d/1kaInXqkn4dI3wZjyAMA0bEG-WI94s_Ny/view?usp=sharing</t>
  </si>
  <si>
    <t>https://drive.google.com/file/d/1zUtrBQP1wXhZzUr9KQkptBFdoITTGuen/view?usp=sharing</t>
  </si>
  <si>
    <t>SHUBHANKAR HAWLADER</t>
  </si>
  <si>
    <t>50214403153</t>
  </si>
  <si>
    <t>YYNOWH</t>
  </si>
  <si>
    <t>https://drive.google.com/file/d/1oJpI47kwkwDJ45sDGkC9v9InJ5FiQVDm/view?usp=sharing</t>
  </si>
  <si>
    <t>https://drive.google.com/file/d/1UYAERX1j78EZTIvo2okCTQUjR1xlfkq7/view?usp=share_link</t>
  </si>
  <si>
    <t>https://drive.google.com/file/d/1XuHn2Yzo8unxv_y6CoU8UwUTB9YrQnBG/view?usp=sharing</t>
  </si>
  <si>
    <t>SUDARSHAN KUMAR</t>
  </si>
  <si>
    <t>50205618113</t>
  </si>
  <si>
    <t>SZDMPD</t>
  </si>
  <si>
    <t>https://drive.google.com/file/d/1bBLQkNIrPIQ6ZC3pj-btasgPdunF2fs2/view?usp=sharing</t>
  </si>
  <si>
    <t>https://drive.google.com/file/d/1HXNOI09ddahv5owYorVwRMqHFu9UD5v3/view?usp=sharing</t>
  </si>
  <si>
    <t>https://drive.google.com/file/d/1njIzTSNpNA0tSl2ipwNRmkivJoWvAP25/view?usp=sharing</t>
  </si>
  <si>
    <t>SWAPAN KUMAR MANDAL</t>
  </si>
  <si>
    <t>50205618666</t>
  </si>
  <si>
    <t>QUHHRB</t>
  </si>
  <si>
    <t>https://drive.google.com/file/d/1fn1UnR3KDYIzt_iV35-J9w6w5FUKnTp_/view?usp=sharing</t>
  </si>
  <si>
    <t>https://drive.google.com/file/d/1OEMJLkCwEhR33rwOkmG52xqkN6rr977K/view?usp=sharing</t>
  </si>
  <si>
    <t>https://drive.google.com/file/d/1HT_-1UjDuYbq9FQI9wbWTaQxbdPoxzOB/view?usp=sharing</t>
  </si>
  <si>
    <t>CHHOTU KUMAR II</t>
  </si>
  <si>
    <t>334NP004166</t>
  </si>
  <si>
    <t>JPRQRG</t>
  </si>
  <si>
    <t>https://drive.google.com/file/d/12softxndQcYKuKXpNKGSPUt2NoCw4f_o/view?usp=sharing</t>
  </si>
  <si>
    <t>https://drive.google.com/file/d/1SYdwraa3gRUhcBrC9kukAMXfYkYeDMvK/view?usp=sharing</t>
  </si>
  <si>
    <t>ANUP KUMAR BISWAS I</t>
  </si>
  <si>
    <t>50214403362</t>
  </si>
  <si>
    <t>KSGCOL</t>
  </si>
  <si>
    <t>https://drive.google.com/file/d/15UmEARMEAF9e7UbhF7cS5AalRlmrmF5a/view?usp=sharing</t>
  </si>
  <si>
    <t>https://drive.google.com/file/d/121hJWZk04QErc9atHIcmOJJXCDEfxqRN/view?usp=sharing</t>
  </si>
  <si>
    <t>https://drive.google.com/file/d/1ID5wH8GZyQNs8hdGAr6uODMJst-8e2Kn/view?usp=sharing</t>
  </si>
  <si>
    <t>PRABHAKAR BISWAS</t>
  </si>
  <si>
    <t>50205618800</t>
  </si>
  <si>
    <t>DFXQEL</t>
  </si>
  <si>
    <t>https://drive.google.com/file/d/1fw95FbDZC9wyQFhw5fJcjVyQVr2bTjhk/view?usp=sharing</t>
  </si>
  <si>
    <t>https://drive.google.com/file/d/1YpfVStG9vxvwNA_GIMlM19qJJYBoKncb/view?usp=sharing</t>
  </si>
  <si>
    <t>https://drive.google.com/file/d/1A6USFkAMzTwJAjTSCVr7gJUDv-kzwOHO/view?usp=sharing</t>
  </si>
  <si>
    <t>NISHANTA HALDER</t>
  </si>
  <si>
    <t>50205618824</t>
  </si>
  <si>
    <t>ZIFEDU</t>
  </si>
  <si>
    <t>https://drive.google.com/file/d/165ysNYSog3p9vRA-3oco1UhRojeiu4jw/view?usp=sharing</t>
  </si>
  <si>
    <t>https://drive.google.com/file/d/1wgD8QcIgCLaOZQ49OKuAtPIqBw0hgzRW/view?usp=sharing</t>
  </si>
  <si>
    <t>SHYAMAL BISWAS</t>
  </si>
  <si>
    <t>50205618836</t>
  </si>
  <si>
    <t>UDWADZ</t>
  </si>
  <si>
    <t>https://drive.google.com/file/d/1n7Yr5yHntXnA50f6x15BKo8N8cBohn8k/view?usp=sharing</t>
  </si>
  <si>
    <t>https://drive.google.com/file/d/1nu4rugJnzj3Uv3m0bA-fE9LM10Uw0bsm/view?usp=share_link</t>
  </si>
  <si>
    <t>https://drive.google.com/file/d/10ZIMDOAeK0mt1XRYwmJh4prdCQ0s0fX8/view?usp=sharing</t>
  </si>
  <si>
    <t>PARAG BARMAN</t>
  </si>
  <si>
    <t>50205618850</t>
  </si>
  <si>
    <t>GXQZXT</t>
  </si>
  <si>
    <t>https://drive.google.com/file/d/1FAiGdFQd0LbBVWT-LKtGljAy57WRgBki/view?usp=sharing</t>
  </si>
  <si>
    <t>https://drive.google.com/file/d/1pluuWDbfZv7w4jgWuqHwkc0xd9WwytLx/view?usp=share_link</t>
  </si>
  <si>
    <t>HARIDAS BISWAS</t>
  </si>
  <si>
    <t>50205618861</t>
  </si>
  <si>
    <t>IIPYFG</t>
  </si>
  <si>
    <t>https://drive.google.com/file/d/18DjhHiTIVe4qZ_Z41SjOhOEYqpdplMBN/view?usp=sharing</t>
  </si>
  <si>
    <t>https://drive.google.com/file/d/1F4lUe-L63RBSe5UhyWeeo-OK0K7yD94Y/view?usp=share_link</t>
  </si>
  <si>
    <t>https://drive.google.com/file/d/17StjUaCZLt8nzyuY0OBh00d7XtB7CGum/view?usp=sharing</t>
  </si>
  <si>
    <t>TARITH KUMAR DAS</t>
  </si>
  <si>
    <t>50209845501</t>
  </si>
  <si>
    <t>TSFRGT</t>
  </si>
  <si>
    <t>https://drive.google.com/file/d/1o0tieu5-N1rMTiI1Wpk0pQGDg3gcHZS2/view?usp=sharing</t>
  </si>
  <si>
    <t>https://drive.google.com/file/d/1LqsBshREK1jQH-ZfHaZLdZ4nHR9tk-Ha/view?usp=share_link</t>
  </si>
  <si>
    <t>https://drive.google.com/file/d/1OrnQxWGCTTKE7EpMwWDxdehEYByntIrj/view?usp=sharing</t>
  </si>
  <si>
    <t>AJIT KUMAR MANDAL(MJT)</t>
  </si>
  <si>
    <t>50205618897</t>
  </si>
  <si>
    <t>DCMKRB</t>
  </si>
  <si>
    <t>https://drive.google.com/file/d/14tyEmVrSe-ryDg2_nrQ3GRUio6q0z9zW/view?usp=sharing</t>
  </si>
  <si>
    <t>https://drive.google.com/file/d/1X2NXGtdJJ0cpQjc22JyUKZzm_iUG8Xzl/view?usp=share_link</t>
  </si>
  <si>
    <t>SUBRATA DHALI</t>
  </si>
  <si>
    <t>50205618903</t>
  </si>
  <si>
    <t>LKBEKJ</t>
  </si>
  <si>
    <t>https://drive.google.com/file/d/1vMxwLsgdmDpeeeQfOu0brCwAaiCk2k4J/view?usp=sharing</t>
  </si>
  <si>
    <t>https://drive.google.com/file/d/1xs2p-LZddWvfuDjekEP6rle88twT7znc/view?usp=sharing</t>
  </si>
  <si>
    <t>SANJIT MALLICK</t>
  </si>
  <si>
    <t>SLSRMK</t>
  </si>
  <si>
    <t>https://drive.google.com/file/d/15EvNqBU5PbjVsRCdk7fvUngJ48Dxp5Pd/view?usp=sharing</t>
  </si>
  <si>
    <t>https://drive.google.com/file/d/1APgs8taH-CvptgDfaloSLXGLSEpKQjhS/view?usp=sharing</t>
  </si>
  <si>
    <t>DIPANKAR KUMAR MANDAL</t>
  </si>
  <si>
    <t>50214403155</t>
  </si>
  <si>
    <t>ZCTTJP</t>
  </si>
  <si>
    <t>https://drive.google.com/file/d/1pUc9hJtenSWR4EW1wfCJHVPFVNXHxhxL/view?usp=sharing</t>
  </si>
  <si>
    <t>https://drive.google.com/file/d/1Goy0bHu8OaUZMPiUtYiEMJJvAMdIcEsS/view?usp=sharing</t>
  </si>
  <si>
    <t>https://drive.google.com/file/d/1Pg892CfQNVQR2Un25f2WexQrQxAAOl05/view?usp=sharing</t>
  </si>
  <si>
    <t>AMALESH KUMAR GUPTA</t>
  </si>
  <si>
    <t>50200165955</t>
  </si>
  <si>
    <t>RJSKXL</t>
  </si>
  <si>
    <t>https://drive.google.com/file/d/1uKewEAws0fd7VemIC5VcquwZl6n4tncX/view?usp=sharing</t>
  </si>
  <si>
    <t>NANIGOPAL BISWAS</t>
  </si>
  <si>
    <t>50210AB0306</t>
  </si>
  <si>
    <t>WSXZDQ</t>
  </si>
  <si>
    <t>https://drive.google.com/file/d/1QEKsukzw3umAs7NgW7lzdhRGrtWGudB7/view?usp=sharing</t>
  </si>
  <si>
    <t>https://drive.google.com/file/d/1IBlnm9B1rmG6y1RcJADmc3nm-PCjk1Kt/view?usp=sharing</t>
  </si>
  <si>
    <t>https://drive.google.com/file/d/1vVDZzxHcjbVntha4xzmpT84RKo5G08xb/view?usp=sharing</t>
  </si>
  <si>
    <t>CHANDAN BANERJEE</t>
  </si>
  <si>
    <t>50210AB0305</t>
  </si>
  <si>
    <t>LMGZAD</t>
  </si>
  <si>
    <t>https://drive.google.com/file/d/1d_c8ZMU-viX5dBENTakHYntqv_bX215s/view?usp=sharing</t>
  </si>
  <si>
    <t>https://drive.google.com/file/d/1sKwhrp_pDo4FHmEgDn4YT-_Wn-DPniQj/view?usp=sharing</t>
  </si>
  <si>
    <t>RISHAVANGSU BISWAS</t>
  </si>
  <si>
    <t>50200156085</t>
  </si>
  <si>
    <t>TGTLXT</t>
  </si>
  <si>
    <t>https://drive.google.com/file/d/1d1H57BTfRr8wUBRDhycMJsFhSt6C5Uf4/view?usp=sharing</t>
  </si>
  <si>
    <t>https://drive.google.com/file/d/1_jNzUXg8EI5gz3fn9nsnqeC5yXXiok1L/view?usp=sharing</t>
  </si>
  <si>
    <t>SWAPAN MAJUMDER</t>
  </si>
  <si>
    <t>50299430186</t>
  </si>
  <si>
    <t>KAXUZF</t>
  </si>
  <si>
    <t>https://drive.google.com/file/d/1Tt3_j-GVwCtmX4xN2fGCTp4XI_1RHnWf/view?usp=sharing</t>
  </si>
  <si>
    <t>https://drive.google.com/file/d/1CriXISNroNLp1HBfrGmhq6m8AsWVZoQy/view?usp=share_link</t>
  </si>
  <si>
    <t>https://drive.google.com/file/d/1C18oXBgXkZmTk5u4F-VQ7BVyWnqxI-R5/view?usp=sharing</t>
  </si>
  <si>
    <t>RUPEN MARDI</t>
  </si>
  <si>
    <t>3429801861</t>
  </si>
  <si>
    <t>RJGRIB</t>
  </si>
  <si>
    <t>https://drive.google.com/file/d/1opVKS0LMYTiO7XyBtCRg8IRxkJhlfSkB/view?usp=sharing</t>
  </si>
  <si>
    <t>https://drive.google.com/file/d/1msJSU1yaPPSTk4DcqDlCEqKrQbebdGyj/view?usp=sharing</t>
  </si>
  <si>
    <t>ANUJ SAMIT SAPUWAR</t>
  </si>
  <si>
    <t>3429801860</t>
  </si>
  <si>
    <t>UJZRIZ</t>
  </si>
  <si>
    <t>https://drive.google.com/file/d/1K_AE7cJb4Ll6LCVd4tcTiGAeN8sbtCzI/view?usp=sharing</t>
  </si>
  <si>
    <t>BIKASH SARKAR II</t>
  </si>
  <si>
    <t>50200155627</t>
  </si>
  <si>
    <t>MIDUWF</t>
  </si>
  <si>
    <t>https://drive.google.com/file/d/1vJYpuIeun1yI1raiaUkvWyrZ8EcQb0o6/view?usp=sharing</t>
  </si>
  <si>
    <t>https://drive.google.com/file/d/1tsXsadVtDSGUe5_RdNb2vIdSCEys78jj/view?usp=share_link</t>
  </si>
  <si>
    <t>https://drive.google.com/file/d/1YVKbesp9L5KiHR8DnZNTWnRdb0B1YmgE/view?usp=sharing</t>
  </si>
  <si>
    <t>ALOK KUNDU</t>
  </si>
  <si>
    <t>50204767573</t>
  </si>
  <si>
    <t>FZBUBD</t>
  </si>
  <si>
    <t>https://drive.google.com/file/d/1m-r1hVUd9CorY1n3iyZIkp_ZNvuB0q9-/view?usp=sharing</t>
  </si>
  <si>
    <t>https://drive.google.com/file/d/1OctnZo0lN0nP9o6ZOfOsdT2EzZd7sPqt/view?usp=sharing</t>
  </si>
  <si>
    <t>PINTU BISWAS</t>
  </si>
  <si>
    <t>50200407446</t>
  </si>
  <si>
    <t>YKAEUN</t>
  </si>
  <si>
    <t>https://drive.google.com/file/d/1rS1B-xZajdAneVMXD0rOlnEqnK9n00DT/view?usp=sharing</t>
  </si>
  <si>
    <t>https://drive.google.com/file/d/1U_tQezIKtSsqrWfKL8EHUEo3V_Ert1xH/view?usp=share_link</t>
  </si>
  <si>
    <t>https://drive.google.com/file/d/1tXZuNcVIRjNxRCIUIZsX0rhfZUPFFhrl/view?usp=sharing</t>
  </si>
  <si>
    <t>YOGESH KUMAR GUPTA</t>
  </si>
  <si>
    <t>3429800348</t>
  </si>
  <si>
    <t>NZCNQX</t>
  </si>
  <si>
    <t>https://drive.google.com/file/d/1UL5RaShsd6m5-4u23fBcttbatcxZcZrN/view?usp=sharing</t>
  </si>
  <si>
    <t>https://drive.google.com/file/d/1KyOIEuq3GuX8myRKYaEB4soJ3FKimUEw/view?usp=share_link</t>
  </si>
  <si>
    <t>https://drive.google.com/file/d/197kPzRa1Ywt4gJF2gb8r6MmyQjfwwMtT/view?usp=sharing</t>
  </si>
  <si>
    <t>SUJOY NANDI</t>
  </si>
  <si>
    <t>3429800365</t>
  </si>
  <si>
    <t>KQWQHD</t>
  </si>
  <si>
    <t>https://drive.google.com/file/d/14fIH1G-LxuImBQcbq-YBox1_5evIQly_/view?usp=sharing</t>
  </si>
  <si>
    <t>https://drive.google.com/file/d/1SfkQ4wit0FrhDZmpF2_x_hhdmN8OU_ks/view?usp=share_link</t>
  </si>
  <si>
    <t>https://drive.google.com/file/d/1Us9XCUZUnQbFe4o0RqVlHRnsSGzMk7yj/view?usp=sharing</t>
  </si>
  <si>
    <t>SHYAM SUNDAR PRASAD</t>
  </si>
  <si>
    <t>3429800353</t>
  </si>
  <si>
    <t>MUJWUG</t>
  </si>
  <si>
    <t>https://drive.google.com/file/d/1vhJQIgnZjVc9ZO35LDTRru2HsNU1NCT4/view?usp=sharing</t>
  </si>
  <si>
    <t>https://drive.google.com/file/d/17WLDektCF9n5TeM1mfcy-PAgvPisFLHd/view?usp=share_link</t>
  </si>
  <si>
    <t>https://drive.google.com/file/d/1__FvF9e2IMG81hNYFpAmZEw-WtvStfAw/view?usp=sharing</t>
  </si>
  <si>
    <t>PRASUN BAKSHI</t>
  </si>
  <si>
    <t>50200405725</t>
  </si>
  <si>
    <t>HBEUMC</t>
  </si>
  <si>
    <t>https://drive.google.com/file/d/1UVYrr3Fq0BM55HLGZQb3vVDiwSXNXN0w/view?usp=sharing</t>
  </si>
  <si>
    <t>https://drive.google.com/file/d/1PuGEYhrkVY2mCfxirolY2FVTtU426Eyc/view?usp=share_link</t>
  </si>
  <si>
    <t>https://drive.google.com/file/d/1eRwr77oP6CnYvKC6UomWuvctK-UYtQ_b/view?usp=sharing</t>
  </si>
  <si>
    <t>KAILASH MANDAL</t>
  </si>
  <si>
    <t>3429800311</t>
  </si>
  <si>
    <t>GBCCGF</t>
  </si>
  <si>
    <t>https://drive.google.com/file/d/1_ipu7DtJ3yszglG8JVmHHNfv3ttAlYkY/view?usp=sharing</t>
  </si>
  <si>
    <t>https://drive.google.com/file/d/1RaPGzeb2MOhi6iVQjRM9EEWCRc8358LD/view?usp=share_link</t>
  </si>
  <si>
    <t>https://drive.google.com/file/d/174kO__aBZHcsQ60m690Nc7xTQseCtMTr/view?usp=sharing</t>
  </si>
  <si>
    <t>SWAPAN DAS</t>
  </si>
  <si>
    <t>50200166133</t>
  </si>
  <si>
    <t>MCCWDO</t>
  </si>
  <si>
    <t>https://drive.google.com/file/d/15APc9XyS8E6Pg-0uyaz4hosFlqE1dBhz/view?usp=sharing</t>
  </si>
  <si>
    <t>https://drive.google.com/file/d/1YnlJxxd8i_g0xyD33JQL_mxcSurr-feM/view?usp=share_link</t>
  </si>
  <si>
    <t>https://drive.google.com/file/d/1oTZkHtmiv0o6gNyGjdvW2BGUK-jmNaTp/view?usp=sharing</t>
  </si>
  <si>
    <t>ASHIM DAKUA</t>
  </si>
  <si>
    <t>50714104494</t>
  </si>
  <si>
    <t>HLHPJU</t>
  </si>
  <si>
    <t>https://drive.google.com/file/d/1AIg_N9O--_c70QJUYLSOIO18JIlVp3xp/view?usp=sharing</t>
  </si>
  <si>
    <t>https://drive.google.com/file/d/1jP3usDN6VTsQI0bWpsC7PMr_SjWqpfON/view?usp=sharing</t>
  </si>
  <si>
    <t>KUNDAN KUMAR III</t>
  </si>
  <si>
    <t>3429800363</t>
  </si>
  <si>
    <t>AMTIKM</t>
  </si>
  <si>
    <t>https://drive.google.com/file/d/1O_AZCCEntZvqafoYsOFmpi-QmhsOIvqs/view?usp=sharing</t>
  </si>
  <si>
    <t>https://drive.google.com/file/d/1Q1g2CCWzn-IYgr6XGHlvNoLmzGbGEWcT/view?usp=share_link</t>
  </si>
  <si>
    <t>https://drive.google.com/file/d/1ppEyY-CvvxnUapzo52Rxacjsc1fhouDb/view?usp=sharing</t>
  </si>
  <si>
    <t>Amrita Baidya(KRP)</t>
  </si>
  <si>
    <t>50205678183</t>
  </si>
  <si>
    <t>XILGCW</t>
  </si>
  <si>
    <t>https://drive.google.com/file/d/1X5EN9sPAJaLFqx50P23gRUcC40uXsL1A/view?usp=sharing</t>
  </si>
  <si>
    <t>Tanmoy Mondal</t>
  </si>
  <si>
    <t>50205677634</t>
  </si>
  <si>
    <t>KHGNGL</t>
  </si>
  <si>
    <t>https://drive.google.com/file/d/1e1x0c8NKzHqaBOgToW6CoV8IuZm4TIai/view?usp=sharing</t>
  </si>
  <si>
    <t>https://drive.google.com/file/d/1EJte-lYenco1CwamVEtn8FiPCtfl-Gp7/view?usp=sharing</t>
  </si>
  <si>
    <t>Pijush Biswas(KRP)</t>
  </si>
  <si>
    <t>50205677762</t>
  </si>
  <si>
    <t>KRPFHZ</t>
  </si>
  <si>
    <t>NAROTTAM ROY II</t>
  </si>
  <si>
    <t>50714104491</t>
  </si>
  <si>
    <t>DJXUPZ</t>
  </si>
  <si>
    <t>https://drive.google.com/file/d/1OYj3MT_MK8VAoLepMzaLaMuRiQxmUBiX/view?usp=sharing</t>
  </si>
  <si>
    <t>https://drive.google.com/file/d/1D1WDr7VXLAr5_vaMUmqRH3nCqa8Hu1YV/view?usp=share_link</t>
  </si>
  <si>
    <t>https://drive.google.com/file/d/1xJ0VClCvbEbBfVLj1w5JkDOXXVoiX0_v/view?usp=sharing</t>
  </si>
  <si>
    <t>RAGHUNATH SHIL</t>
  </si>
  <si>
    <t>50714103675</t>
  </si>
  <si>
    <t>TUOALE</t>
  </si>
  <si>
    <t>https://drive.google.com/file/d/1j7rgo5W_2SZzhZnAFGofC43f3zJeUviw/view?usp=sharing</t>
  </si>
  <si>
    <t>https://drive.google.com/file/d/1Yp8CLbdHqFwH3x1qLX78mLQ0dk9cm3Og/view?usp=sharing</t>
  </si>
  <si>
    <t>AKHILESHWAR YADAV</t>
  </si>
  <si>
    <t>3429800350</t>
  </si>
  <si>
    <t>YTTIDU</t>
  </si>
  <si>
    <t>https://drive.google.com/file/d/10QCExydLkTlGTT4Hk1bi8HqMMYs855HY/view?usp=sharing</t>
  </si>
  <si>
    <t>https://drive.google.com/file/d/1VkwwOjhmMduX66BBlzs5iejG1qK_xMcZ/view?usp=share_link</t>
  </si>
  <si>
    <t>https://drive.google.com/file/d/14o5weVID3zy-t0ZGM4h95k0iqBnj_QYf/view?usp=sharing</t>
  </si>
  <si>
    <t>CHANDAN KUMAR III</t>
  </si>
  <si>
    <t>3429800358</t>
  </si>
  <si>
    <t>TJUJOC</t>
  </si>
  <si>
    <t>https://drive.google.com/file/d/1v2M3du-Vema9USnI7NqDFqNWkHzMveiz/view?usp=sharing</t>
  </si>
  <si>
    <t>https://drive.google.com/file/d/12fQMBWvPoZ3U8nXXfcZR0ivf1dTby6od/view?usp=sharing</t>
  </si>
  <si>
    <t>BIRAJINI HEMROM</t>
  </si>
  <si>
    <t>50205522808</t>
  </si>
  <si>
    <t>PDAGCG</t>
  </si>
  <si>
    <t>https://drive.google.com/file/d/1nYiHlSI5qHPg-iXBFMUgnG4n-_AWDrMh/view?usp=sharing</t>
  </si>
  <si>
    <t>SUDIP CHAKRABORTY</t>
  </si>
  <si>
    <t>50200045536</t>
  </si>
  <si>
    <t>FSTJDL</t>
  </si>
  <si>
    <t>https://drive.google.com/file/d/1_rCpbqP2TjWBttNGWHIg7sg-3h3z1xQN/view?usp=sharing</t>
  </si>
  <si>
    <t>MRINMOY SARKAR(KRP)</t>
  </si>
  <si>
    <t>50205678031</t>
  </si>
  <si>
    <t>HMXSSD</t>
  </si>
  <si>
    <t>https://drive.google.com/file/d/1otAbSSgKxSI1hJBtWkExl4dYOqG8BbpD/view?usp=sharing</t>
  </si>
  <si>
    <t>50714500338</t>
  </si>
  <si>
    <t>ZLZPXN</t>
  </si>
  <si>
    <t>https://drive.google.com/file/d/1PN-PPJ2td5k2zygHHbLaBUizuPrwncnk/view?usp=sharing</t>
  </si>
  <si>
    <t>Debarabrata Sarkar</t>
  </si>
  <si>
    <t>50706161893</t>
  </si>
  <si>
    <t>UDOOUB</t>
  </si>
  <si>
    <t>https://drive.google.com/file/d/1odAiuMET2Cuqt8-dBF3AHr62VI8W8S3A/view?usp=sharing</t>
  </si>
  <si>
    <t>https://drive.google.com/file/d/1XHaax4ugpZxGLBljjXv1aPAr2M2jEffs/view?usp=sharing</t>
  </si>
  <si>
    <t>TARUN KUMAR ADHIKARY</t>
  </si>
  <si>
    <t>50714104093</t>
  </si>
  <si>
    <t>FFKQLT</t>
  </si>
  <si>
    <t>https://drive.google.com/file/d/1plhlQQ3lLniwygGqAW2bQqmixL7FBwUB/view?usp=sharing</t>
  </si>
  <si>
    <t>https://drive.google.com/file/d/1HaWSYdmuE5h2FK6i8TJK6AC4XY5anA_g/view?usp=share_link</t>
  </si>
  <si>
    <t>https://drive.google.com/file/d/16c8Q9reX0H-0_eXSqNsW7IoOA9hjHVe5/view?usp=sharing</t>
  </si>
  <si>
    <t>Somnath Mondal</t>
  </si>
  <si>
    <t>50205678123</t>
  </si>
  <si>
    <t>JYZCTX</t>
  </si>
  <si>
    <t>https://drive.google.com/file/d/1vfy7rwyi72ki6KUOZXQ9CnJzKjI3XY6I/view?usp=sharing</t>
  </si>
  <si>
    <t>Munna Agarwal</t>
  </si>
  <si>
    <t>50205678079</t>
  </si>
  <si>
    <t>FEUSDY</t>
  </si>
  <si>
    <t>https://drive.google.com/file/d/1noLVLWBjBICWhF0IGYhQRIFuEn-vtaoU/view?usp=sharing</t>
  </si>
  <si>
    <t>ABHIJIT AICH</t>
  </si>
  <si>
    <t>50205678080</t>
  </si>
  <si>
    <t>SDYALI</t>
  </si>
  <si>
    <t>https://drive.google.com/file/d/10BK4wIVXKkIYPPNNh3KB1xrBRibD8nS_/view?usp=sharing</t>
  </si>
  <si>
    <t>Jayanta Kumar Das</t>
  </si>
  <si>
    <t>50205690626</t>
  </si>
  <si>
    <t>WXHECE</t>
  </si>
  <si>
    <t>https://drive.google.com/file/d/1OfbelNI2NaEJLz9O-rSPcabNkbgvK3Qu/view?usp=sharing</t>
  </si>
  <si>
    <t>Rameshawar Pd. Shaw</t>
  </si>
  <si>
    <t>50205677828</t>
  </si>
  <si>
    <t>JJHTTW</t>
  </si>
  <si>
    <t>https://drive.google.com/file/d/1CPjC0XjjYqC1yUtgvE4nzeb239DiUEsw/view?usp=sharing</t>
  </si>
  <si>
    <t>Subhankar Ghosh(KRP)</t>
  </si>
  <si>
    <t>50205690500</t>
  </si>
  <si>
    <t>AFENME</t>
  </si>
  <si>
    <t>https://drive.google.com/file/d/1EHoQRcJgNgjfkiMzbUr00l7KMO3WhR7l/view?usp=sharing</t>
  </si>
  <si>
    <t>Kartick Parui(KRP)</t>
  </si>
  <si>
    <t>50205690547</t>
  </si>
  <si>
    <t>HDIZTO</t>
  </si>
  <si>
    <t>https://drive.google.com/file/d/1h003gjKWNvActcmAZZvF9lQe2MtrA9GN/view?usp=sharing</t>
  </si>
  <si>
    <t>https://drive.google.com/file/d/19ZBmWtXHUZX9q22TBFPSOkxTjpKq66_1/view?usp=sharing</t>
  </si>
  <si>
    <t>BIJOY ROY</t>
  </si>
  <si>
    <t>53163090200</t>
  </si>
  <si>
    <t>JLKMRP</t>
  </si>
  <si>
    <t>https://drive.google.com/file/d/1vBqNaWfLzeVozoo9CeJ8dTGh6L9b2ZWn/view?usp=sharing</t>
  </si>
  <si>
    <t>https://drive.google.com/file/d/1JKVx6ZpA4irkkPVpXJCnQOnnKWtV1YzX/view?usp=sharing</t>
  </si>
  <si>
    <t>BRAHMANANDA BAG</t>
  </si>
  <si>
    <t>50205562764</t>
  </si>
  <si>
    <t>BBMCKZ</t>
  </si>
  <si>
    <t>https://drive.google.com/file/d/1DrH2u8-4p0ZoDukTnz9dPt7E36nV_h4r/view?usp=sharing</t>
  </si>
  <si>
    <t>SOUVIK GOLDER</t>
  </si>
  <si>
    <t>50205673343</t>
  </si>
  <si>
    <t>ETMABU</t>
  </si>
  <si>
    <t>https://drive.google.com/file/d/1HzgmGc_QijzXWYl8oribX7tV-qMd_QHh/view?usp=sharing</t>
  </si>
  <si>
    <t>MD JAMAL KHAN</t>
  </si>
  <si>
    <t>03329805658</t>
  </si>
  <si>
    <t>DDTDWN</t>
  </si>
  <si>
    <t>https://drive.google.com/file/d/1GYMIeQbZUbcQ7p29oL3fnm-roDACesje/view?usp=sharing</t>
  </si>
  <si>
    <t>TR 10</t>
  </si>
  <si>
    <t>tr 13</t>
  </si>
  <si>
    <t>tr 11</t>
  </si>
  <si>
    <t>tr 12</t>
  </si>
  <si>
    <t>Column 1</t>
  </si>
  <si>
    <t>Column 2</t>
  </si>
  <si>
    <t>JAYANTA DAS</t>
  </si>
  <si>
    <t>CGWJMF</t>
  </si>
  <si>
    <t>https://drive.google.com/file/d/1Y0_H9uaKWayZRw8m7qGE89dRSzdt2YAY/view?usp=sharing</t>
  </si>
  <si>
    <t>https://drive.google.com/file/d/1Z6V_FGJrcfgFHemPCVK4J7a9oCdM-u6U/view?usp=sharing</t>
  </si>
  <si>
    <t>BIPLAB BISWAS</t>
  </si>
  <si>
    <t>PEFZEZ</t>
  </si>
  <si>
    <t>https://drive.google.com/file/d/1nK4-5llhhx_6K_sZwaOm9GR1Tu3c6iM6/view?usp=sharing</t>
  </si>
  <si>
    <t>https://drive.google.com/file/d/1LjnbK2BtEM9rAy8Pyzx6QpCupoC1pnOa/view?usp=sharing</t>
  </si>
  <si>
    <t>PRAVASH RAJBHAR</t>
  </si>
  <si>
    <t>SLKEUQ</t>
  </si>
  <si>
    <t>https://drive.google.com/file/d/1jTUR2cXXbaCYySdi54zOFUdkb58Qdhs3/view?usp=sharing</t>
  </si>
  <si>
    <t>https://drive.google.com/file/d/1caK9x3Uzybu4JpnAfO4KRpj6HwbF7Ikc/view?usp=sharing</t>
  </si>
  <si>
    <t>RATAN SIL</t>
  </si>
  <si>
    <t>FSGMWX</t>
  </si>
  <si>
    <t>https://drive.google.com/file/d/1GNZG5YFLf-HOrpVjtFcp2xj0mai_R-IV/view?usp=sharing</t>
  </si>
  <si>
    <t>https://drive.google.com/file/d/1oiYZ-1xJGu_ra594xkRhqMVobTavaU-j/view?usp=drive_link</t>
  </si>
  <si>
    <t>KAMAL DAS II</t>
  </si>
  <si>
    <t>WNBHDN</t>
  </si>
  <si>
    <t>https://drive.google.com/file/d/1Z68T4QRLrE4Jb4AW9JKeDR9KTtieM91R/view?usp=sharing</t>
  </si>
  <si>
    <t>JAYANTA MONDAL</t>
  </si>
  <si>
    <t>YJEIWK</t>
  </si>
  <si>
    <t>https://drive.google.com/file/d/1Rg-501st9V8-e8rwRk8ueZ6jVfbl0xEg/view?usp=sharing</t>
  </si>
  <si>
    <t>https://drive.google.com/file/d/1mtuShwoHDx7vL1xJ02nOQdU55gdQlAhT/view?usp=sharing</t>
  </si>
  <si>
    <t>SUMIT KUMAR BISWAS</t>
  </si>
  <si>
    <t>HRQOHW</t>
  </si>
  <si>
    <t>https://drive.google.com/file/d/1MozAYeDlun-rR3_Gv6UX9OhnY_sSvNib/view?usp=sharing</t>
  </si>
  <si>
    <t>https://drive.google.com/file/d/18yU-A8xwtp0UxccE3a5TTENaBttda2yT/view?usp=sharing</t>
  </si>
  <si>
    <t>MANOJIT PAL</t>
  </si>
  <si>
    <t>HSOPJG</t>
  </si>
  <si>
    <t>https://drive.google.com/file/d/1xLYJz7zY6WYFXh4tSFoV1vXX3F0NxuLW/view?usp=sharing</t>
  </si>
  <si>
    <t>https://drive.google.com/file/d/1b34tKZ-PgAG0f0kNFlkHtNHw92goCSgM/view?usp=sharing</t>
  </si>
  <si>
    <t>SUBRATA SEN</t>
  </si>
  <si>
    <t>QETHUG</t>
  </si>
  <si>
    <t>https://drive.google.com/file/d/1UTLfvVGfCrJ7j03wrEkB4-nIUqb_ElF2/view?usp=sharing</t>
  </si>
  <si>
    <t>https://drive.google.com/file/d/1setVsJUnsICkoLuz6FLKbA1ucy4Krauz/view?usp=sharing</t>
  </si>
  <si>
    <t>AMARESH MONDAL II</t>
  </si>
  <si>
    <t>TWAKLZ</t>
  </si>
  <si>
    <t>https://drive.google.com/file/d/1BiFG0LOs1PokOHKlRkTLdHWwixPtxenN/view?usp=sharing</t>
  </si>
  <si>
    <t>https://drive.google.com/file/d/18vqJq6otKepeNyclm96EoUjcFY2UucJE/view?usp=sharing</t>
  </si>
  <si>
    <t>KAMAL MAJUMDER</t>
  </si>
  <si>
    <t>ACIPBU</t>
  </si>
  <si>
    <t>https://drive.google.com/file/d/1YswL8SLWIwuXwjECCl-DyIXtZdyPtQx7/view?usp=sharing</t>
  </si>
  <si>
    <t>https://drive.google.com/file/d/15WzuE_fMzA5Y6vC5xNol5p1NegToiINN/view?usp=sharing</t>
  </si>
  <si>
    <t>SANDEEP SARKAR</t>
  </si>
  <si>
    <t>KIQUDA</t>
  </si>
  <si>
    <t>https://drive.google.com/file/d/1IKyVg0tOBXn4tbHAQKQZMipfgY3ZA1XV/view?usp=sharing</t>
  </si>
  <si>
    <t>https://drive.google.com/file/d/1K9D4f486tlru3ECtmVLHRtOG4CId_FU0/view?usp=sharing</t>
  </si>
  <si>
    <t>SANKAR BISWAS</t>
  </si>
  <si>
    <t>HWGRXJ</t>
  </si>
  <si>
    <t>https://drive.google.com/file/d/1SgRpZeuXfObkFh73lIEgGr1oCu1HuSHV/view?usp=sharing</t>
  </si>
  <si>
    <t>https://drive.google.com/file/d/1TUwPfEFr2p-7YZHbP3hog_07PKo9dJNS/view?usp=sharing</t>
  </si>
  <si>
    <t>HARAN RAY</t>
  </si>
  <si>
    <t>PCXXTF</t>
  </si>
  <si>
    <t>https://drive.google.com/file/d/1fu36Kz3aBGoa-QGM7Nd9f-G3aAI7lMQT/view?usp=sharing</t>
  </si>
  <si>
    <t>https://drive.google.com/file/d/1PZkYqWV7BQdXyVFc5KMfFgfzMTUkX720/view?usp=sharing</t>
  </si>
  <si>
    <t>ARUP BISWAS</t>
  </si>
  <si>
    <t>COKUIE</t>
  </si>
  <si>
    <t>https://drive.google.com/file/d/1lA9Gh5zREFmpS4XUY5970eOBXaY_9znP/view?usp=sharing</t>
  </si>
  <si>
    <t>https://drive.google.com/file/d/1Y7ZVDfc2EQMWUsqKrBkXULZobJVNoFVn/view?usp=sharing</t>
  </si>
  <si>
    <t>PROSENJIT MONDAL</t>
  </si>
  <si>
    <t>FYWXIR</t>
  </si>
  <si>
    <t>https://drive.google.com/file/d/1vBGTPebWf5fR4x12xFdaQI_eAjpa65VS/view?usp=sharing</t>
  </si>
  <si>
    <t>https://drive.google.com/file/d/1KBQfPEHnKYlfxe-UIR-u5yoQKZvHNbQP/view?usp=sharing</t>
  </si>
  <si>
    <t>SUDIP BISWAS</t>
  </si>
  <si>
    <t>FCOJQS</t>
  </si>
  <si>
    <t>https://drive.google.com/file/d/1brOBKIFMNqaOzG5PTJUBio3Ef-A5JkMb/view?usp=sharing</t>
  </si>
  <si>
    <t>https://drive.google.com/file/d/16ADv97c9fmrFtfCLdy0BoipYohBGR1nb/view?usp=sharing</t>
  </si>
  <si>
    <t>ASHIM PAUL</t>
  </si>
  <si>
    <t>UKLDAS</t>
  </si>
  <si>
    <t>https://drive.google.com/file/d/10aStTgqhVBEB_7yWKYj16aUj-kRCwiO9/view?usp=sharing</t>
  </si>
  <si>
    <t>https://drive.google.com/file/d/1N3IX-89HnjhoZF54sEat6fepb_qysfcF/view?usp=sharing</t>
  </si>
  <si>
    <t>ASHIM MAJUMDER</t>
  </si>
  <si>
    <t>NDKOCO</t>
  </si>
  <si>
    <t>https://drive.google.com/file/d/1daOugPVIwPE3KyCyRP_mDEPH-fYQqB0O/view?usp=sharing</t>
  </si>
  <si>
    <t>https://drive.google.com/file/d/1TEINDG-RswNAzJ7FZGpB1iqfArHCsMmd/view?usp=sharing</t>
  </si>
  <si>
    <t>PINKU BISWAS</t>
  </si>
  <si>
    <t>QJLXBO</t>
  </si>
  <si>
    <t>https://drive.google.com/file/d/1Td8_mB_zPL2_zNGhUWCsQg4gNE810811/view?usp=sharing</t>
  </si>
  <si>
    <t>https://drive.google.com/file/d/1Wvq7EiTVSLL9HMZv6Fi_LcDwuwB7fOPe/view?usp=sharing</t>
  </si>
  <si>
    <t>BIPLAB BISWAS II</t>
  </si>
  <si>
    <t>MRYETK</t>
  </si>
  <si>
    <t>https://drive.google.com/file/d/1x9tK0zWtcpSxUnDsrUzcAyNW0L8kS5BE/view?usp=sharing</t>
  </si>
  <si>
    <t>https://drive.google.com/file/d/1zT-z-KaMLFXlfk_XJgH8ciw-Vi0Dtc55/view?usp=sharing</t>
  </si>
  <si>
    <t>BISHNU PAUL</t>
  </si>
  <si>
    <t>YQGELP</t>
  </si>
  <si>
    <t>https://drive.google.com/file/d/1kxLNsnl9DccCSJpTixC55h6lW7dXeZuy/view?usp=sharing</t>
  </si>
  <si>
    <t>https://drive.google.com/file/d/1V5wzj_RnzVAlQoLGobiJvSkTO1YUvMau/view?usp=sharing</t>
  </si>
  <si>
    <t>RAJA MAJUMDER</t>
  </si>
  <si>
    <t>ICGQFL</t>
  </si>
  <si>
    <t>https://drive.google.com/file/d/1Nq8vCNV-qpTF6K0S_bEWBs14A1J53iCK/view?usp=sharing</t>
  </si>
  <si>
    <t>https://drive.google.com/file/d/16XM084edeTVmeVyl21qkHARz9ehjHOVR/view?usp=sharing</t>
  </si>
  <si>
    <t>SUMAN BISWAS</t>
  </si>
  <si>
    <t>AAUQDU</t>
  </si>
  <si>
    <t>https://drive.google.com/file/d/1aieym6lrt1_RjZ7IIV78XX0B09vS-Fbl/view?usp=sharing</t>
  </si>
  <si>
    <t>https://drive.google.com/file/d/1WNI_p8ubw6QiHUyR6Wi4owlP-eSum2to/view?usp=share_link</t>
  </si>
  <si>
    <t>SANJAY ROY</t>
  </si>
  <si>
    <t>RYGBCE</t>
  </si>
  <si>
    <t>https://drive.google.com/file/d/1ihdwba0vV4i8uOkSsIXFWq8oxenIqQNV/view?usp=sharing</t>
  </si>
  <si>
    <t>https://drive.google.com/file/d/1H-SrETzCpTS5f2WAh-OP2fEbsR9iQOhZ/view?usp=sharing</t>
  </si>
  <si>
    <t>SWAPAN NASKAR</t>
  </si>
  <si>
    <t>WRLGKT</t>
  </si>
  <si>
    <t>https://drive.google.com/file/d/1V-9IaBa6MmZ1yUGFD7lAyzBQueh_tZDv/view?usp=sharing</t>
  </si>
  <si>
    <t>https://drive.google.com/file/d/1jwgkJbuxNYKuHpvja1Nw5MuTYMJb1URm/view?usp=sharing</t>
  </si>
  <si>
    <t>SHUBHRADIP BISWAS</t>
  </si>
  <si>
    <t>KEQHXR</t>
  </si>
  <si>
    <t>https://drive.google.com/file/d/1A3Gz1uejPVo1puxbZGKEHcI_BxjyL1Sf/view?usp=sharing</t>
  </si>
  <si>
    <t>https://drive.google.com/file/d/1Tier8JBcDFGCU7y3uqJf4_QFOI7hi2hE/view?usp=sharing</t>
  </si>
  <si>
    <t>KUMAR DAS</t>
  </si>
  <si>
    <t>SRFHJL</t>
  </si>
  <si>
    <t>https://drive.google.com/file/d/1nhKCxWbg925xUp27IYsS2BaJjG2vJi_3/view?usp=sharing</t>
  </si>
  <si>
    <t>https://drive.google.com/file/d/1GgvCpAxk3r1zKrhRCizoWLKAwX5CB2To/view?usp=sharing</t>
  </si>
  <si>
    <t>https://drive.google.com/file/d/1totpJ-FFkugI5OhOuYGrzpMKXu9pIBlv/view?usp=share_link</t>
  </si>
  <si>
    <t>JGYHGO</t>
  </si>
  <si>
    <t>https://drive.google.com/file/d/125KctaNyMCuoAtWL94bCHlukiuzc2VZq/view?usp=sharing</t>
  </si>
  <si>
    <t>https://drive.google.com/file/d/1UXHW3Uj0z-hvZnq_jaS0bNKUaq4JmOTo/view?usp=sharing</t>
  </si>
  <si>
    <t>DEEPAK SARKAR</t>
  </si>
  <si>
    <t>CPEEDA</t>
  </si>
  <si>
    <t>https://drive.google.com/file/d/1k0dbDDt4xzuC1ocFrOVcN1osN3RV9fU_/view?usp=sharing</t>
  </si>
  <si>
    <t>https://drive.google.com/file/d/1fmAixWbEvnD0imD7PznF4DdjbmNPPaV1/view?usp=sharing</t>
  </si>
  <si>
    <t>SHYAMAL KUMAR ROY</t>
  </si>
  <si>
    <t>OMNNCD</t>
  </si>
  <si>
    <t>https://drive.google.com/file/d/1A4aSoaQ3glzT1S2AWMEsjdk1rmU5g5hp/view?usp=sharing</t>
  </si>
  <si>
    <t>MILAN PRAMANICK</t>
  </si>
  <si>
    <t>UHXQUL</t>
  </si>
  <si>
    <t>https://drive.google.com/file/d/1GJcKWTHBcsAO4WRff4bWUJCH01xTfYE2/view?usp=sharing</t>
  </si>
  <si>
    <t>https://drive.google.com/file/d/1WtbbmTDQD3Jccf1bHisfSW6J5ydNIw-f/view?usp=sharing</t>
  </si>
  <si>
    <t>https://drive.google.com/file/d/1jhfWakpIVORAQN_jOhYbvu0DO4s_WjQ4/view?usp=share_link</t>
  </si>
  <si>
    <t>SUPRATIM BISWAS</t>
  </si>
  <si>
    <t>EHGQFE</t>
  </si>
  <si>
    <t>https://drive.google.com/file/d/10y0s2x0nFYLIDvkklvlwFGDiHLOLbokC/view?usp=sharing</t>
  </si>
  <si>
    <t>https://drive.google.com/file/d/1ayA5EQ16c3pd6tRdx4zYt0yi8NPZHIHp/view?usp=sharing</t>
  </si>
  <si>
    <t>KAMALESH DEBNATH</t>
  </si>
  <si>
    <t>BSQJPN</t>
  </si>
  <si>
    <t>https://drive.google.com/file/d/1AJV92cZQxw8UkYCe7WUqsXpfaQlCGjxl/view?usp=sharing</t>
  </si>
  <si>
    <t>https://drive.google.com/file/d/1VixUob79HEnt2fKGLbPtanp_wEScVjL_/view?usp=sharing</t>
  </si>
  <si>
    <t>SUMAN SARKAR</t>
  </si>
  <si>
    <t>CPIKUF</t>
  </si>
  <si>
    <t>https://drive.google.com/file/d/1ZE5oVEvNppCPJxXpf1d2iHIB4IRZ6aT5/view?usp=sharing</t>
  </si>
  <si>
    <t>https://drive.google.com/file/d/1gssv4MPjGTaP6ftfxlMzoq4dJpCipq-Q/view?usp=sharing</t>
  </si>
  <si>
    <t>DIPANKAR MONDAL</t>
  </si>
  <si>
    <t>ZNHLQE</t>
  </si>
  <si>
    <t>https://drive.google.com/file/d/1aSf2SY2K9qQ6HJRkUIuTX7hoXyKz7bmK/view?usp=sharing</t>
  </si>
  <si>
    <t>https://drive.google.com/file/d/1SWFrYbClfVdra-n3oFx1P1TyH4SF0zya/view?usp=sharing</t>
  </si>
  <si>
    <t>SUKUMAR MONDAL II</t>
  </si>
  <si>
    <t>YBQQWK</t>
  </si>
  <si>
    <t>https://drive.google.com/file/d/1rf1HLUFnRntiIOINUQmdc4D2_31F6F9u/view?usp=sharing</t>
  </si>
  <si>
    <t>https://drive.google.com/file/d/1KjneMx-85CvJwDrZpHoStONX-iQjAB90/view?usp=sharing</t>
  </si>
  <si>
    <t>https://drive.google.com/file/d/1jZelQWppZKpYNQU4nMPOhbZqMM817oik/view?usp=sharing</t>
  </si>
  <si>
    <t>SAMIR KUMAR ROY</t>
  </si>
  <si>
    <t xml:space="preserve">UQWPPT	</t>
  </si>
  <si>
    <t>https://drive.google.com/file/d/1EWf-akM7VqdIkSSxVOQtIKY7Mp0v-AOb/view?usp=sharing</t>
  </si>
  <si>
    <t>https://drive.google.com/file/d/1KkdzvArbvHN22IqEGkltGpVbHGDf-q89/view?usp=sharing</t>
  </si>
  <si>
    <t>https://drive.google.com/file/d/19qWunNes0jLA6pxgP_buQSPtNGARAePN/view?usp=sharing</t>
  </si>
  <si>
    <t>SUJAY BISWAS</t>
  </si>
  <si>
    <t>WQJAWQ</t>
  </si>
  <si>
    <t>https://drive.google.com/file/d/1Kza304OyK-cm0-LCQjb4ZJTsMFPStxvL/view?usp=sharing</t>
  </si>
  <si>
    <t>https://drive.google.com/file/d/1kjmhHYV5qOGEwSKjJH2mS_MX3_ewl_3j/view?usp=share_link</t>
  </si>
  <si>
    <t>KRISHNO CH. DUTTA</t>
  </si>
  <si>
    <t>TNDFAX</t>
  </si>
  <si>
    <t>https://drive.google.com/file/d/1pw4HG-LxOIsstoYOHEVkoCeo2d_t6ESM/view?usp=sharing</t>
  </si>
  <si>
    <t>MD SWAPAN BISWAS</t>
  </si>
  <si>
    <t>BYEPSJ</t>
  </si>
  <si>
    <t>https://drive.google.com/file/d/1YBqrfiJ9LWH2Mt47o9NxAWOvY9E4zyKz/view?usp=sharing</t>
  </si>
  <si>
    <t>https://drive.google.com/file/d/1MrmVKmMG5LOgTMBOh0uPovuxjJGxsuAL/view?usp=sharing</t>
  </si>
  <si>
    <t>KAUSHIK MANDAL/II</t>
  </si>
  <si>
    <t>SULBFW</t>
  </si>
  <si>
    <t>https://drive.google.com/file/d/15kBmP6wTK0-f0Bj0feFZwiqmtwOtqWIR/view?usp=sharing</t>
  </si>
  <si>
    <t>BISWAJIT BISWAS II</t>
  </si>
  <si>
    <t>NSTEHO</t>
  </si>
  <si>
    <t>https://drive.google.com/file/d/15vd5gSoJc_RRIZHAssy25IfSkLN4yqqR/view?usp=sharing</t>
  </si>
  <si>
    <t>SAHADEV SARDAR</t>
  </si>
  <si>
    <t>IPNLQU</t>
  </si>
  <si>
    <t>https://drive.google.com/file/d/11vp8rtsIMSxWpj58rGY8JjDKtoZbdCrB/view?usp=sharing</t>
  </si>
  <si>
    <t>RANJAN PAL</t>
  </si>
  <si>
    <t>ZYJEPG</t>
  </si>
  <si>
    <t>https://drive.google.com/file/d/1DsGHhssuf-oyMk7wKenY5WLy5bk-OW8S/view?usp=sharing</t>
  </si>
  <si>
    <t>https://drive.google.com/file/d/1fpnSW3YZOCTmXxzqLc8VvKpuap377f-c/view?usp=sharing</t>
  </si>
  <si>
    <t>https://drive.google.com/file/d/1oQixQPaIuOg01ANrcieapwjMYxyHvE1J/view?usp=drive_link</t>
  </si>
  <si>
    <t>SREEJIB BISWAS</t>
  </si>
  <si>
    <t>50205613267</t>
  </si>
  <si>
    <t>WTCCNK</t>
  </si>
  <si>
    <t>https://drive.google.com/file/d/1vptRImG9cgLgYBENvjgzVxjuuFs0vbVB/view?usp=sharing</t>
  </si>
  <si>
    <t>https://drive.google.com/file/d/1JCgDBp03pO9_at0iGm9uNBEgtBPX4bGI/view?usp=sharing</t>
  </si>
  <si>
    <t>AKHIL BISWAS</t>
  </si>
  <si>
    <t>PHSAKQ</t>
  </si>
  <si>
    <t>https://drive.google.com/file/d/1XJmO-AzcLtgQdIwApkiTIEI8VqoBFYZJ/view?usp=sharing</t>
  </si>
  <si>
    <t>https://drive.google.com/file/d/1sksfFgpZWa3c-9o883OmZoyYBl738fe-/view?usp=share_link</t>
  </si>
  <si>
    <t>https://drive.google.com/file/d/1MUyM1TJzVJ6aiKWXvdwzNBhXZp-Xch_M/view?usp=sharing</t>
  </si>
  <si>
    <t>KARTICK CHANDRA DUTTA</t>
  </si>
  <si>
    <t>NFHLYH</t>
  </si>
  <si>
    <t>https://drive.google.com/file/d/1aJPHq_jn7uFcs7bX7xewcLO9V9zF_9ek/view?usp=sharing</t>
  </si>
  <si>
    <t>https://drive.google.com/file/d/18N0iCOAFY_4SIj0aqwJr01MB4-SP0AWg/view?usp=sharing</t>
  </si>
  <si>
    <t>https://drive.google.com/file/d/1stz06WESKGoVERAe-4-5GfxRlEGQMqRn/view?usp=sharing</t>
  </si>
  <si>
    <t>Mrinmoy Sarkar</t>
  </si>
  <si>
    <t>EMUWTC</t>
  </si>
  <si>
    <t>https://drive.google.com/file/d/1AMnFyVDDYbXDKaBxQxP2G8N0ODA__wHY/view?usp=share_link</t>
  </si>
  <si>
    <t>https://drive.google.com/file/d/1RceXjA_mOtMXub845zPsZB5KVCOPyFf0/view?usp=sharing</t>
  </si>
  <si>
    <t>PARIMAL BISWAS</t>
  </si>
  <si>
    <t>03429800341</t>
  </si>
  <si>
    <t>UGOMHW</t>
  </si>
  <si>
    <t>https://drive.google.com/file/d/1GzT032FLgwncD0f48ppQhSiabwsTGyLF/view?usp=sharing</t>
  </si>
  <si>
    <t>https://drive.google.com/file/d/1NgRcgjY93QJgbFp4uKu6uHlhUg01-gqA/view?usp=sharing</t>
  </si>
  <si>
    <t>Tuhin Sarkar</t>
  </si>
  <si>
    <t>OIDBCI</t>
  </si>
  <si>
    <t>KANAI MANDAL</t>
  </si>
  <si>
    <t>XOGNOB</t>
  </si>
  <si>
    <t>https://drive.google.com/file/d/1q2rPi-5eotoqBWoYu8IWUrubnM1vqgO1/view?usp=sharing</t>
  </si>
  <si>
    <t>https://drive.google.com/file/d/12rqcLhEM3cvdbHHnwAHDfk8Q1nboJ9zs/view?usp=share_link</t>
  </si>
  <si>
    <t>https://drive.google.com/file/d/1QlH5Iro003OQOgzqGo58n0BAruNRsRNZ/view?usp=share_link</t>
  </si>
  <si>
    <t>Dipankar Halder</t>
  </si>
  <si>
    <t>YCNZNX</t>
  </si>
  <si>
    <t>https://drive.google.com/file/d/1T4h-GFEs7W8f5ZQYwF0yJzBNxo1eF0jB/view?usp=sharing</t>
  </si>
  <si>
    <t>Ranit Sarkar</t>
  </si>
  <si>
    <t>ZBYSKR</t>
  </si>
  <si>
    <t>https://drive.google.com/file/d/18XWbsSvYJnXintQRV6yDMUe1bBNknHWn/view?usp=sharing</t>
  </si>
  <si>
    <t>LITON KANTI BAPARI</t>
  </si>
  <si>
    <t>IETJHY</t>
  </si>
  <si>
    <t>https://drive.google.com/file/d/1SWFivIkd0zotLL_ffOrlTMdIS3RjZLoK/view?usp=sharing</t>
  </si>
  <si>
    <t>https://drive.google.com/file/d/1745q6dHhw3mmg_xZpvUEXe8ZqKwqs9pd/view?usp=drive_link</t>
  </si>
  <si>
    <t>Gourab Ghosh</t>
  </si>
  <si>
    <t>MAKKWJ</t>
  </si>
  <si>
    <t>https://drive.google.com/file/d/1v4FxZENicFVgiLyQYh8lR5D_R2naxWZV/view?usp=drive_link</t>
  </si>
  <si>
    <t>Aritra Biswas</t>
  </si>
  <si>
    <t>PHSLCO</t>
  </si>
  <si>
    <t xml:space="preserve">                                                                    </t>
  </si>
  <si>
    <t>https://drive.google.com/file/d/128-h_bhJOxzH1qO89hBZufsFblFhtSJt/view?usp=sharing</t>
  </si>
  <si>
    <t>Jagannath Bhaskar</t>
  </si>
  <si>
    <t>SGMSBT</t>
  </si>
  <si>
    <t>https://drive.google.com/file/d/1oCNzvCp-GIT3onWvyojKSY8_EZhw0p2V/view?usp=sharing</t>
  </si>
  <si>
    <t>Anik Mondal</t>
  </si>
  <si>
    <t>UUYYOL</t>
  </si>
  <si>
    <t>https://drive.google.com/file/d/1K3anQkIAfN_ixFw8UmVttpYxb51Nak4e/view?usp=sharing</t>
  </si>
  <si>
    <t>Soumen Sur</t>
  </si>
  <si>
    <t>YSCJXP</t>
  </si>
  <si>
    <t>https://drive.google.com/file/d/1TlFll8hvw5ROJSfWu7FWXVTQlWVZ83--/view?usp=sharing</t>
  </si>
  <si>
    <t>SANJAY HALDER I</t>
  </si>
  <si>
    <t>GHSXOL</t>
  </si>
  <si>
    <t>https://drive.google.com/file/d/111KkP3YnIfMsGAX44OIqReL2jpBql0Q8/view?usp=sharing</t>
  </si>
  <si>
    <t>Amal Mondal</t>
  </si>
  <si>
    <t>EWXAFF</t>
  </si>
  <si>
    <t>https://drive.google.com/file/d/1KCM5r3AVKB6WgWxTo5UAssTBlq-G9Med/view?usp=sharing</t>
  </si>
  <si>
    <t>https://drive.google.com/file/d/1zNDr9I0dsv0XqQJZqV6o4p4xFgp_g9ei/view?usp=sharing</t>
  </si>
  <si>
    <t>Gopal Biswas</t>
  </si>
  <si>
    <t>NMPGCI</t>
  </si>
  <si>
    <t>https://drive.google.com/file/d/1TSewLM5OFJERXiq91sUfcnyXC9e4ggwJ/view?usp=sharing</t>
  </si>
  <si>
    <t>https://drive.google.com/file/d/1ZSwzAzr_9JCVweTAXYt25d5Iu75mJgSX/view?usp=sharing</t>
  </si>
  <si>
    <t>Koushik Biswas</t>
  </si>
  <si>
    <t>NSCUHB</t>
  </si>
  <si>
    <t>https://drive.google.com/file/d/1zc_adf-oem0qN2P-kcnyED7ZyCAW4cAi/view?usp=sharing</t>
  </si>
  <si>
    <t>Gurudas Majumder</t>
  </si>
  <si>
    <t>YAWQUD</t>
  </si>
  <si>
    <t>https://drive.google.com/file/d/1kEaAAMYcKwVwWYlu9ZqMx8E11AnEn1vh/view?usp=sharing</t>
  </si>
  <si>
    <t>BAPI SEN</t>
  </si>
  <si>
    <t>03429800342</t>
  </si>
  <si>
    <t>QKJYNF</t>
  </si>
  <si>
    <t>https://drive.google.com/file/d/1OOJ_Am5m01lEl45U2kGZVEJy8idB8xVi/view?usp=sharing</t>
  </si>
  <si>
    <t>https://drive.google.com/file/d/1nF-7m40URqrfCjUtJlpuGYv13FKmOmrN/view?usp=share_link</t>
  </si>
  <si>
    <t>https://drive.google.com/file/d/1InE49vEZVfFwc5xsdtb3ZRzOukDBwwFd/view?usp=sharing</t>
  </si>
  <si>
    <t>PRASENJIT DAS/II</t>
  </si>
  <si>
    <t>INOCQG</t>
  </si>
  <si>
    <t>https://drive.google.com/file/d/1q8ACKEaxbwav_3KyOcxGCA0m5Ew-tDLz/view?usp=sharing</t>
  </si>
  <si>
    <t>https://drive.google.com/file/d/1IyTysQKtWzTXQaCsytyAzN9fV2QOABya/view?usp=share_link</t>
  </si>
  <si>
    <t>https://drive.google.com/file/d/1yARkzFW613CNiOIb_bYcTFxuyaiB0cvE/view?usp=share_link</t>
  </si>
  <si>
    <t>Kiranmoy Chaudhury</t>
  </si>
  <si>
    <t>ARJGSR</t>
  </si>
  <si>
    <t>https://drive.google.com/file/d/1YYyq57g6AZpGefsn89-poS74HCRhEFIE/view?usp=sharing</t>
  </si>
  <si>
    <t>Sudipta Biswas</t>
  </si>
  <si>
    <t>FQAKYF</t>
  </si>
  <si>
    <t>https://drive.google.com/file/d/17-9zkBJKeglK7nZlUjLJY70NLSw5bcuS/view?usp=sharing</t>
  </si>
  <si>
    <t>Avijit Mondal</t>
  </si>
  <si>
    <t>https://drive.google.com/file/d/1a1aoHb8K74Nzvx1wmJrplunWt8QSQG84/view?usp=sharing</t>
  </si>
  <si>
    <t>https://drive.google.com/file/d/18TshnJABVXeTKzDrHYy81gTsn_eFd4AV/view?usp=sharing</t>
  </si>
  <si>
    <t>https://drive.google.com/file/d/1ZlNzKYmJrnsFzg_A01R6pf_2bFpG6iw3/view?usp=drive_link</t>
  </si>
  <si>
    <t>Mahadev Mandi</t>
  </si>
  <si>
    <t>LGEAWR</t>
  </si>
  <si>
    <t>13/09/1889</t>
  </si>
  <si>
    <t>https://drive.google.com/file/d/1zHuoem5Dre_AyzUS3ncrBBmdsUfdNEUz/view?usp=sharing</t>
  </si>
  <si>
    <t>https://drive.google.com/file/d/1gmKkO_FdoRzXL3t82Qkcp7I5j9lBxIqU/view?usp=sharing</t>
  </si>
  <si>
    <t>Krishnendu Chattopadhaya</t>
  </si>
  <si>
    <t>50205678225</t>
  </si>
  <si>
    <t>https://drive.google.com/file/d/1mGcKd1rYYJcPQBPbCcPgrcFv7CrdhFGH/view?usp=sharing</t>
  </si>
  <si>
    <t>MISS MOUSUMI SARKAR</t>
  </si>
  <si>
    <t>YDIFHE</t>
  </si>
  <si>
    <t>https://drive.google.com/file/d/176akyrYiyL0luEkDxezxdS3vAy2YaYG0/view?usp=sharing</t>
  </si>
  <si>
    <t>https://drive.google.com/file/d/1iNivXCXppNYfR3Ta7K8O-x_lSPLQe5fK/view?usp=share_link</t>
  </si>
  <si>
    <t>https://drive.google.com/file/d/13pUOBGlrPKyQFfzNMMiODjmUQjYWCKVp/view?usp=sharing</t>
  </si>
  <si>
    <t>SULOPANI MAJUMDER</t>
  </si>
  <si>
    <t>UYZNMC</t>
  </si>
  <si>
    <t>https://drive.google.com/file/d/1e5aFjOkpM4ppENKcvczUcrQOHvXNP2u2/view?usp=sharing</t>
  </si>
  <si>
    <t>https://drive.google.com/file/d/1BXLkuNgFQ80bn4GMyeagcC6FvhTKdNO9/view?usp=sharing</t>
  </si>
  <si>
    <t>https://drive.google.com/file/d/1Bpr0SfcNiByf41GwtKTnus_DzbAhh86N/view?usp=sharing</t>
  </si>
  <si>
    <t>ASOUGH</t>
  </si>
  <si>
    <t>https://drive.google.com/file/d/1iOm0l-CrM-ZTXoq9XFJeq7xw6cZFPg2x/view?usp=sharing</t>
  </si>
  <si>
    <t>https://drive.google.com/file/d/1IOGGxYzEJ2KkcFNs1r7FSpbxgA5QOrsj/view?usp=sharing</t>
  </si>
  <si>
    <t>NABIN ROY</t>
  </si>
  <si>
    <t>DLMNZD</t>
  </si>
  <si>
    <t>https://drive.google.com/file/d/1QxmAL6UNYY8Dy2SmTGfkxjxyJLNQQT_g/view?usp=sharing</t>
  </si>
  <si>
    <t>https://drive.google.com/file/d/1pZab0fETz7L6rYawNb94GnmXEc9M1E8o/view?usp=share_link</t>
  </si>
  <si>
    <t>https://drive.google.com/file/d/1j-CR_XJtybDeFqUFwYoykT03aDQDJcRv/view?usp=sharing</t>
  </si>
  <si>
    <t>UTTAM KUMAR ROY II</t>
  </si>
  <si>
    <t>AJQBJT</t>
  </si>
  <si>
    <t>https://drive.google.com/file/d/1z1vH7mRT3ruUg0W6XIMFYhvgvy6bxvZr/view?usp=sharing</t>
  </si>
  <si>
    <t>https://drive.google.com/file/d/1B708mZFC4ivb1Jg43qr6yHiKrWQgIJ8q/view?usp=sharing</t>
  </si>
  <si>
    <t>https://drive.google.com/file/d/1XTn3X5WgNTLeiuuDt8b9IQhTSEi8H_UB/view?usp=sharing</t>
  </si>
  <si>
    <t>ASHIM KUTI</t>
  </si>
  <si>
    <t>DUXQDY</t>
  </si>
  <si>
    <t>https://drive.google.com/file/d/1n0O4jcJW5mLGlq2j28MrBzncWfYzGf5i/view?usp=sharing</t>
  </si>
  <si>
    <t>https://drive.google.com/file/d/1vvFNZ7NjJGTHovst5zDQr_n9u0yuBNOv/view?usp=sharing</t>
  </si>
  <si>
    <t>https://drive.google.com/file/d/1dUaqg6j2LAoh2cG-HV86qfQSElFDP4K0/view?usp=sharing</t>
  </si>
  <si>
    <t>RUP KUMAR BISWAS</t>
  </si>
  <si>
    <t>LQREJM</t>
  </si>
  <si>
    <t>https://drive.google.com/file/d/1gE0VhJ51SDxUfj2Vc5Ty4UM3NEoVotL0/view?usp=sharing</t>
  </si>
  <si>
    <t>https://drive.google.com/file/d/1mdcnXvRxNHr8I_DfSFAgy4v_oONcRWJ9/view?usp=sharing</t>
  </si>
  <si>
    <t>https://drive.google.com/file/d/1rbyMOZwZgGk7Jq7urL6t0aoAYYwH1TGf/view?usp=sharing</t>
  </si>
  <si>
    <t>TANMAY MANDALII</t>
  </si>
  <si>
    <t>SLQLQH</t>
  </si>
  <si>
    <t>https://drive.google.com/file/d/16xh_PH6qaOIE_Eckrh0ShdRsnpzdEuIH/view?usp=sharing</t>
  </si>
  <si>
    <t>https://drive.google.com/file/d/1UV4-RFvSK2hOm-iGBnJSbfnxPCqRzD66/view?usp=sharing</t>
  </si>
  <si>
    <t>RAM PRASAD MANDAL</t>
  </si>
  <si>
    <t>XYTDPT</t>
  </si>
  <si>
    <t>https://drive.google.com/file/d/1iEnLf77x7g6Avpi-O2R6zuUXEdRnmQEL/view?usp=sharing</t>
  </si>
  <si>
    <t>https://drive.google.com/file/d/121A-3JU18s0TFzuKE3deCoF5m5xopWPQ/view?usp=sharing</t>
  </si>
  <si>
    <t>PRITAM CHOWDHURY</t>
  </si>
  <si>
    <t>PDHPCA</t>
  </si>
  <si>
    <t>https://drive.google.com/file/d/1FejSbLHEZF0mExphlh8qoDqlMbFpS1cx/view?usp=sharing</t>
  </si>
  <si>
    <t>https://drive.google.com/file/d/1g9himpoPsnythH8JumA685YQjlqfPSE9/view?usp=share_link</t>
  </si>
  <si>
    <t>APURBA RAY</t>
  </si>
  <si>
    <t>BGQJOT</t>
  </si>
  <si>
    <t>https://drive.google.com/file/d/1iiR1uYKa-fEgrtUeZN-pR5k6Ndd6UaSB/view?usp=sharing</t>
  </si>
  <si>
    <t>https://drive.google.com/file/d/1bSdkzIV-SEwnpNhpD-XkkXS3L34jxLzT/view?usp=share_link</t>
  </si>
  <si>
    <t>TAPAS BISWAS IV</t>
  </si>
  <si>
    <t>GTEEDN</t>
  </si>
  <si>
    <t>https://drive.google.com/file/d/1IuS6WT1Da927khNRxO9AFyuGO51vLzjx/view?usp=sharing</t>
  </si>
  <si>
    <t>https://drive.google.com/file/d/1NzbxlEZ8eDLWDtBHSHtjp1DjQP8hBV_m/view?usp=sharing</t>
  </si>
  <si>
    <t>BIPLAB KUMAR DUTTA II</t>
  </si>
  <si>
    <t>YFLPFN</t>
  </si>
  <si>
    <t>https://drive.google.com/file/d/1g9GCJnbUNVw5fsYg54vsLKp01vMoXbqJ/view?usp=sharing</t>
  </si>
  <si>
    <t>https://drive.google.com/file/d/1EjiXSat70l10whAEfPkI8Wx7hfCwe89n/view?usp=sharing</t>
  </si>
  <si>
    <t>DIPAK DEBNATH</t>
  </si>
  <si>
    <t>TFMYUH</t>
  </si>
  <si>
    <t>https://drive.google.com/file/d/1BsLl-mCfDq38dD5OmBL7DHBgmELloWBi/view?usp=sharing</t>
  </si>
  <si>
    <t>https://drive.google.com/file/d/1O1w-mnszHQQrS9WCIexnDLvKxQgSJlm_/view?usp=sharing</t>
  </si>
  <si>
    <t>BISWANATH DAS I</t>
  </si>
  <si>
    <t>MJAFUM</t>
  </si>
  <si>
    <t>https://drive.google.com/file/d/1G3qbVjAmVdeDdPSSbU6r3moR6LO9NahR/view?usp=sharing</t>
  </si>
  <si>
    <t>https://drive.google.com/file/d/1Z4Fj3Fx7grpFG1YUnvLJ43L18GqNLh0K/view?usp=sharing</t>
  </si>
  <si>
    <t>https://drive.google.com/file/d/10ntwIwr-BcOVERw8ZD6nvdm-KAOaUpjD/view?usp=sharing</t>
  </si>
  <si>
    <t>SANJAY KUMAR KARMAKER</t>
  </si>
  <si>
    <t>OSKAEM</t>
  </si>
  <si>
    <t>https://drive.google.com/file/d/1WpNn_x32HlWjaZN2Nvn-hp6pHfrEJLio/view?usp=sharing</t>
  </si>
  <si>
    <t>https://drive.google.com/file/d/1peJufRoMdj3gMsPnXvg2hwApc8-rB4U7/view?usp=sharing</t>
  </si>
  <si>
    <t>53162131077</t>
  </si>
  <si>
    <t>OUKMPN</t>
  </si>
  <si>
    <t>https://drive.google.com/file/d/15KieSYHFXJ5vJ7jpaHNtLO-VYPxx547e/view?usp=sharing</t>
  </si>
  <si>
    <t>https://drive.google.com/file/d/1QAMJG9DFgOZ1SGNDZtQGAB97q808ZSd1/view?usp=sharing</t>
  </si>
  <si>
    <t>MD ABRAR</t>
  </si>
  <si>
    <t>3429801813</t>
  </si>
  <si>
    <t>EXGQEG</t>
  </si>
  <si>
    <t>https://drive.google.com/file/d/1AS37uIMPYqQ1lI5s0WLPlTCUNLTbErrH/view?usp=sharing</t>
  </si>
  <si>
    <t>https://drive.google.com/file/d/1N-pPxykQA5WnHC3v3tjhThSwmo5epHDX/view?usp=sharing</t>
  </si>
  <si>
    <t>SOMEN DAS</t>
  </si>
  <si>
    <t>53162131097</t>
  </si>
  <si>
    <t>STAGQO</t>
  </si>
  <si>
    <t>https://drive.google.com/file/d/11mVOqMvgUT2t45ft0uKAh3qfrZv0TWkP/view?usp=sharing</t>
  </si>
  <si>
    <t>Suprabhat Sikder</t>
  </si>
  <si>
    <t>LWBGUL</t>
  </si>
  <si>
    <t>https://drive.google.com/file/d/1HN09K_DBmWW1cxHr5Otqf9PBq2qLA3Kf/view?usp=sharing</t>
  </si>
  <si>
    <t>ANANDA KARMAKAR</t>
  </si>
  <si>
    <t>FBNENM</t>
  </si>
  <si>
    <t>PRASANTA DAS</t>
  </si>
  <si>
    <t>TCLQZL</t>
  </si>
  <si>
    <t>https://drive.google.com/file/d/17x6qSz4PZ7lUmdwffl_OI2bVQejlQB20/view?usp=share_link</t>
  </si>
  <si>
    <t>SUKHEN DATTA</t>
  </si>
  <si>
    <t>BLRYRR</t>
  </si>
  <si>
    <t>https://drive.google.com/file/d/1UN5rGArc5JasPu7yv4eecyrfckl_AWtV/view?usp=drive_link</t>
  </si>
  <si>
    <t>BIKASH PODDAR</t>
  </si>
  <si>
    <t>MWDAZW</t>
  </si>
  <si>
    <t>https://drive.google.com/file/d/15Go5M8Lgno9vPVXyjlBZI0rceaYnfb5a/view?usp=drive_link</t>
  </si>
  <si>
    <t>SUBHASISH PAUL</t>
  </si>
  <si>
    <t>RCDGBR</t>
  </si>
  <si>
    <t>https://drive.google.com/file/d/1dRaTPm9mMFeg4aZnQwPwI9Qj7e2KFRDQ/view?usp=drive_link</t>
  </si>
  <si>
    <t>SUROJIT CHAKRABORTY</t>
  </si>
  <si>
    <t>MAAWUB</t>
  </si>
  <si>
    <t>PRANAB KUMAR KUSHARI</t>
  </si>
  <si>
    <t>YDFURZ</t>
  </si>
  <si>
    <t>SANTOSH ANAND</t>
  </si>
  <si>
    <t>BSUXEJ</t>
  </si>
  <si>
    <t>https://drive.google.com/file/d/1zmu48abMwEXPgCJ0_JjduA7Pz6Rbr4A2/view?usp=sharing</t>
  </si>
  <si>
    <t>https://drive.google.com/file/d/1_LqdlmmQdk1svFGWrKghzz4fAzCYXBlq/view?usp=share_link</t>
  </si>
  <si>
    <t>https://drive.google.com/file/d/1gm9WPiNUVncx0WjEGjyLtwYDJ6rJBcuu/view?usp=sharing</t>
  </si>
  <si>
    <t>Basudev Das</t>
  </si>
  <si>
    <t>OQODHU</t>
  </si>
  <si>
    <t>Mayuresh Das</t>
  </si>
  <si>
    <t>QAKZBK</t>
  </si>
  <si>
    <t>https://drive.google.com/file/d/1ANht9slXlxLd2riM_R3OWNB2ziC845aJ/view?usp=sharing</t>
  </si>
  <si>
    <t>Gouranga Kundu</t>
  </si>
  <si>
    <t>3329805585</t>
  </si>
  <si>
    <t>IEHWBE</t>
  </si>
  <si>
    <t>https://drive.google.com/file/d/18R90Oovf6oy4uKHTMh1pHA8yhFcNjau1/view?usp=sharing</t>
  </si>
  <si>
    <t>Sudipta Upadhyay</t>
  </si>
  <si>
    <t>HEPLUA</t>
  </si>
  <si>
    <t>https://drive.google.com/file/d/1MAfgPls-d4uEv4HEXSlrZRhvj20nvwTd/view?usp=sharing</t>
  </si>
  <si>
    <t>Arindam Paul</t>
  </si>
  <si>
    <t>IFOEJK</t>
  </si>
  <si>
    <t>https://drive.google.com/file/d/1x4rYSEnBajO5gX9XgTXUxaReC2SSQ4lG/view?usp=sharing</t>
  </si>
  <si>
    <t>Nilratan Roy</t>
  </si>
  <si>
    <t>3729802303</t>
  </si>
  <si>
    <t>KSIPDB</t>
  </si>
  <si>
    <t>https://drive.google.com/file/d/1myJKwEe_e7K8KkQaWu0EOJOSJRoQQgP1/view?usp=sharing</t>
  </si>
  <si>
    <t>Milton Biswas</t>
  </si>
  <si>
    <t>B M Kalundia</t>
  </si>
  <si>
    <t>https://drive.google.com/file/d/1G3GW9lkl3rIq7WuEBKqAAThGw8-8zSl1/view?usp=sharing</t>
  </si>
  <si>
    <t>Suman Sardar(Temp from NH)</t>
  </si>
  <si>
    <t>https://drive.google.com/file/d/13m6KCAVeWhjTa-S4lLFEOZbKA2tOAKMa/view?usp=sharing</t>
  </si>
  <si>
    <t>Laxman Chandra Debnath(Temp from NH)</t>
  </si>
  <si>
    <t>https://drive.google.com/file/d/1reEQDJFPk65lVBclmlipuJsHIjNRSjMc/view?usp=sharing</t>
  </si>
  <si>
    <t>Ashim Mondal(Temp from NH)</t>
  </si>
  <si>
    <t>https://drive.google.com/file/d/17wbMEC9rkVLTnLS_q6GiDntVLRJMf0Im/view?usp=sharing</t>
  </si>
  <si>
    <t>Rajkumar Mondal(Temp from NH)</t>
  </si>
  <si>
    <t>https://drive.google.com/file/d/1FE7jQbMCzDfpHk2xi4KXThQPhOV0m6-e/view?usp=sharing</t>
  </si>
  <si>
    <t>RUPESH KUMAR</t>
  </si>
  <si>
    <t>ZBXFHT</t>
  </si>
  <si>
    <t>https://drive.google.com/file/d/1u3py8igviXweywH6CLVpJR2J41PfG_Eq/view?usp=sharing</t>
  </si>
  <si>
    <t>3729801660</t>
  </si>
  <si>
    <t>UTNZTS</t>
  </si>
  <si>
    <t>https://drive.google.com/file/d/1tjxpK-7Mt0ZoJ2IFZy-6Mh7KcUdBJ1TG/view?usp=sharing</t>
  </si>
  <si>
    <t>Sabuj Dhali</t>
  </si>
  <si>
    <t>3729802347</t>
  </si>
  <si>
    <t>PLDAKC</t>
  </si>
  <si>
    <t>https://drive.google.com/file/d/1w3xSqo_TSuabRVhb7uzwsnFavstziD62/view?usp=sharing</t>
  </si>
  <si>
    <t>BIVAS DAS</t>
  </si>
  <si>
    <t>EWLXJI</t>
  </si>
  <si>
    <t>Sl. No</t>
  </si>
  <si>
    <t>AVIJIT GHOSH</t>
  </si>
  <si>
    <t>GLUCCP</t>
  </si>
  <si>
    <t>https://drive.google.com/file/d/17HIYQ3ywkl80hHLW5W5n_GQAeKX1Q7AW/view?usp=share_link</t>
  </si>
  <si>
    <t>GOUTAM KR DAS</t>
  </si>
  <si>
    <t>HENWGR</t>
  </si>
  <si>
    <t>https://drive.google.com/file/d/1SxeG1l7kddxwyGx3EcxRA7osPAPYLhVp/view?usp=sharing</t>
  </si>
  <si>
    <t>https://drive.google.com/file/d/11YVjm8Phz1BTwyujqzCQPQSOBwGDgJzC/view?usp=share_link</t>
  </si>
  <si>
    <t>AMIT MANDAL</t>
  </si>
  <si>
    <t>DBQJKM</t>
  </si>
  <si>
    <t>https://drive.google.com/file/d/1Wkpvzi6iaTjHm8-YLSJ3JUB1vcCA7ZvT/view?usp=sharing</t>
  </si>
  <si>
    <t>https://drive.google.com/file/d/18YuQS_nSqKmuCbx7AHt7WrjpeCLg-Dbw/view?usp=sharing</t>
  </si>
  <si>
    <t>ANANDA MOHAN SEN</t>
  </si>
  <si>
    <t>RLCHSN</t>
  </si>
  <si>
    <t>https://drive.google.com/file/d/1PlKtbYA-C0BFkCZzbEoFh2kpYD03XohA/view?usp=sharing</t>
  </si>
  <si>
    <t>ANUPAM SENGUPTA</t>
  </si>
  <si>
    <t>PHTSMI</t>
  </si>
  <si>
    <t>https://drive.google.com/file/d/1LK45y9t-cpOxwPVStm-taviy9uMPzFzf/view?usp=sharing</t>
  </si>
  <si>
    <t>ARUN KUMAR HIRA</t>
  </si>
  <si>
    <t>https://drive.google.com/file/d/1Gu56kLUzV3PpmAYcR5eF9M896b0-tXU1/view?usp=sharing</t>
  </si>
  <si>
    <t>https://drive.google.com/file/d/1i-uPxxRsiK0YN9CbChZ76WZmo3CvpNdw/view?usp=share_link</t>
  </si>
  <si>
    <t>ASHIS MAJUMDER</t>
  </si>
  <si>
    <t>EECPDW</t>
  </si>
  <si>
    <t>https://drive.google.com/file/d/1XFwdSf6iLDXy75wgXdVB_h8rHo0qhgbG/view?usp=sharing</t>
  </si>
  <si>
    <t>ASIT KUMAR MALLICK</t>
  </si>
  <si>
    <t>DKIWXI</t>
  </si>
  <si>
    <t>https://drive.google.com/file/d/15zpBrojQ-he8d8muM1HWxo43DNxVIGxM/view?usp=sharing</t>
  </si>
  <si>
    <t>https://drive.google.com/file/d/1V3gCyMcqLFhkiy7vx2IlVXtlvaUKRno0/view?usp=sharing</t>
  </si>
  <si>
    <t>AVIJIT MONDAL</t>
  </si>
  <si>
    <t>SYQQJX</t>
  </si>
  <si>
    <t>https://drive.google.com/file/d/1qlWuHydhtQ5QQWsCSBQTlPfbj28FIrsI/view?usp=sharing</t>
  </si>
  <si>
    <t>BIBHUTI BHUSAN BISWAS</t>
  </si>
  <si>
    <t>NDANYA</t>
  </si>
  <si>
    <t>https://drive.google.com/file/d/1tb_wx6wFTyXZW_0nK_tv90DcMOJLWE42/view?usp=sharing</t>
  </si>
  <si>
    <t>BIJOY KRISHNA PAUL</t>
  </si>
  <si>
    <t>AOCMWB</t>
  </si>
  <si>
    <t>https://drive.google.com/file/d/1JV1zBlJydfikrdWWtlCKJCmkmivO8zLP/view?usp=sharing</t>
  </si>
  <si>
    <t>https://drive.google.com/file/d/1KEAAusnh1WEfzCmTzHytZEN1zwZ0bXKP/view?usp=sharing</t>
  </si>
  <si>
    <t>BIPLAB DUTTA</t>
  </si>
  <si>
    <t>ZBOLMA</t>
  </si>
  <si>
    <t>https://drive.google.com/file/d/1fvBhBDr1euhNXECmRM5IrqV7-T_PolXi/view?usp=sharing</t>
  </si>
  <si>
    <t>https://drive.google.com/file/d/1sUDXgWDL7lffva7JbtM6c_Yd8_I6hMwY/view?usp=share_link</t>
  </si>
  <si>
    <t>CHAMPAK PAUL</t>
  </si>
  <si>
    <t>DHAHHQ</t>
  </si>
  <si>
    <t>https://drive.google.com/file/d/1SzQLPUIyEIy9knTC5hYkMAdHVDFfufwB/view?usp=sharing</t>
  </si>
  <si>
    <t>CHANCHAL DAS</t>
  </si>
  <si>
    <t>YOPCJG</t>
  </si>
  <si>
    <t>https://drive.google.com/file/d/1R7dMJ9GkOQo8I5GrkG5YyglzKZueZCZd/view?usp=sharing</t>
  </si>
  <si>
    <t>https://drive.google.com/file/d/1NnR-yGywA6XtSaVY99akgVKQeYL0KHkA/view?usp=sharing</t>
  </si>
  <si>
    <t>DAROGA PRASAD</t>
  </si>
  <si>
    <t>EOKIOZ</t>
  </si>
  <si>
    <t>https://drive.google.com/file/d/1_wG3cQDRBO6QMJW5AFsLo7JJKf-EGogS/view?usp=sharing</t>
  </si>
  <si>
    <t>DEBABRATA MONDAL II</t>
  </si>
  <si>
    <t>ZPKKIH</t>
  </si>
  <si>
    <t>https://drive.google.com/file/d/1C1OHUgbuUVdZIBmEXLdPfvsxzK9SpcvD/view?usp=sharing</t>
  </si>
  <si>
    <t>https://drive.google.com/file/d/14-C_d6WOZyIzN0AdOeVR72XUuyZhQwMT/view?usp=sharing</t>
  </si>
  <si>
    <t>DEBASISH MAJUMDAR</t>
  </si>
  <si>
    <t>IGXQQA</t>
  </si>
  <si>
    <t>https://drive.google.com/file/d/1B04rrJcGJbwph4ZOEI8jwgQ5R7e1Fq06/view?usp=sharing</t>
  </si>
  <si>
    <t>GOUTAM PAL II</t>
  </si>
  <si>
    <t>WAOBTQ</t>
  </si>
  <si>
    <t>https://drive.google.com/file/d/1ManTJM-zg0VIBco2jN3xN4-OBayPqzZE/view?usp=sharing</t>
  </si>
  <si>
    <t>https://drive.google.com/file/d/1ANOHYCT8hWMNqwLJ2t4UGFg-3W6SFzyy/view?usp=share_link</t>
  </si>
  <si>
    <t>HIMADRI SEKHAR GUHA</t>
  </si>
  <si>
    <t>TXWOYS</t>
  </si>
  <si>
    <t>https://drive.google.com/file/d/1EhVvlQ9Ln3mZTSWHvWd5lOPuOF59TaMz/view?usp=sharing</t>
  </si>
  <si>
    <t>HIREN SARKAR</t>
  </si>
  <si>
    <t>UNHJJG</t>
  </si>
  <si>
    <t>https://drive.google.com/file/d/1rmklXOwBhQjrwyaJDq4Vb4JDXHRUlHEs/view?usp=sharing</t>
  </si>
  <si>
    <t>https://drive.google.com/file/d/1AsxqohtPL3o6k_RfYoRVwnAcuDL2j8Zy/view?usp=share_link</t>
  </si>
  <si>
    <t>JAYANTA DATTA</t>
  </si>
  <si>
    <t>GJDUZL</t>
  </si>
  <si>
    <t>https://drive.google.com/file/d/1bJF-sUPxUyV3ZwNq0VECDq3xDhZU1Tbp/view?usp=sharing</t>
  </si>
  <si>
    <t>https://drive.google.com/file/d/10DLGOkbbOU1DV2D1Z3-aoHOkC0BenCYK/view?usp=share_link</t>
  </si>
  <si>
    <t>JAYANTA DATTA II</t>
  </si>
  <si>
    <t>502S8249740</t>
  </si>
  <si>
    <t>PAGDGX</t>
  </si>
  <si>
    <t>https://drive.google.com/file/d/1E2cpfEgxu9wctghNzfmDooU2HgGHNpwf/view?usp=sharing</t>
  </si>
  <si>
    <t>JUGAL KISHORE ROY</t>
  </si>
  <si>
    <t>SLRLWF</t>
  </si>
  <si>
    <t>https://drive.google.com/file/d/1jXNNelDG7JnkXJFGNj9qI_ru6dyxx7hS/view?usp=sharing</t>
  </si>
  <si>
    <t>https://drive.google.com/file/d/1rQO_PM2m89lvNEFDauHxPiOpujs9eSwl/view?usp=share_link</t>
  </si>
  <si>
    <t>KANCHAN DEBNATH</t>
  </si>
  <si>
    <t>EOYBSD</t>
  </si>
  <si>
    <t>https://drive.google.com/file/d/1JOUOuHNRFnE6NIGhCstotsfyjcajN6me/view?usp=sharing</t>
  </si>
  <si>
    <t>KRISHNA DAS</t>
  </si>
  <si>
    <t>YONHDK</t>
  </si>
  <si>
    <t>https://drive.google.com/file/d/1aTkxGhtr5RSSqLAB1nTYMsLK_GZWxKlk/view?usp=sharing</t>
  </si>
  <si>
    <t>KRISHNA GOPAL SARKAR</t>
  </si>
  <si>
    <t>OIPONT</t>
  </si>
  <si>
    <t>https://drive.google.com/file/d/1rgfN3UuuXGshUlbgpbI3rsgN3DF4S5kn/view?usp=sharing</t>
  </si>
  <si>
    <t>https://drive.google.com/file/d/1Tf7MGfgm0Ktutz8GETCbSnms_H0ex-rg/view?usp=sharing</t>
  </si>
  <si>
    <t>MALAY CHOWDHURY</t>
  </si>
  <si>
    <t>BHCTSL</t>
  </si>
  <si>
    <t>https://drive.google.com/file/d/1THJI6OjLy0fzgP3_yaujsPByiNj-E1wB/view?usp=sharing</t>
  </si>
  <si>
    <t>MANICK MAZUMDER</t>
  </si>
  <si>
    <t>BOHEIR</t>
  </si>
  <si>
    <t>https://drive.google.com/file/d/1JROIFHBGNPvOduXWNJeNcciTrIR03Ra-/view?usp=sharing</t>
  </si>
  <si>
    <t>https://drive.google.com/file/d/1v55prH3E9qnhVSbjLGkiAMy7bookEr1S/view?usp=share_link</t>
  </si>
  <si>
    <t>MANOJ KUMAR SHAW</t>
  </si>
  <si>
    <t>ULZJNP</t>
  </si>
  <si>
    <t>https://drive.google.com/file/d/1wnPn6FQCtCqN-j53xjmg5gOJW0Fh8ETM/view?usp=sharing</t>
  </si>
  <si>
    <t>https://drive.google.com/file/d/1dBVIdGnvr7bO5Quren_3xgH8ngjMe_zk/view?usp=sharing</t>
  </si>
  <si>
    <t>NABA KUMAR GHOSH</t>
  </si>
  <si>
    <t>NDOKCT</t>
  </si>
  <si>
    <t>https://drive.google.com/file/d/1i_lerG0Yfa3c4Vncz1aIlE1PdR2Q4Ux_/view?usp=sharing</t>
  </si>
  <si>
    <t>NARATTAM BISWAS</t>
  </si>
  <si>
    <t>OQDBGB</t>
  </si>
  <si>
    <t>https://drive.google.com/file/d/1Ws3Z5QAdTiSn1jvhq4gKQfy90-XXKJ8_/view?usp=sharing</t>
  </si>
  <si>
    <t>NARAYAN MONDAL</t>
  </si>
  <si>
    <t>ILFMIN</t>
  </si>
  <si>
    <t>https://drive.google.com/file/d/1gW_n95tRi7GEp7BEKrfxrtsx-5F768Kd/view?usp=sharing</t>
  </si>
  <si>
    <t>https://drive.google.com/file/d/1eNUlxJ6K4-myv4ygyXLKVb7ijcXrlNVj/view?usp=share_link</t>
  </si>
  <si>
    <t>PRAKASH HALDAR</t>
  </si>
  <si>
    <t>SNKUST</t>
  </si>
  <si>
    <t>https://drive.google.com/file/d/1nqKfjWWnHyvDMRs3F_kWaK8_53Li9p-m/view?usp=sharing</t>
  </si>
  <si>
    <t>RAJU DEB</t>
  </si>
  <si>
    <t>GXBPSI</t>
  </si>
  <si>
    <t>https://drive.google.com/file/d/19Te-t9_TDJnEKANYtSR_2w-yYUKk_jmQ/view?usp=sharing</t>
  </si>
  <si>
    <t>RAMA PADA MONDAL</t>
  </si>
  <si>
    <t>UPGKLY</t>
  </si>
  <si>
    <t>https://drive.google.com/file/d/1_fiXgq_T2WW0ONBM623_XCpj6zQCZ1qp/view?usp=sharing</t>
  </si>
  <si>
    <t>https://drive.google.com/file/d/1lTOd2gB8P42yOZatGYn87WL0xPizEoBW/view?usp=share_link</t>
  </si>
  <si>
    <t>RAMESH MAHATO</t>
  </si>
  <si>
    <t>SCFQWO</t>
  </si>
  <si>
    <t>https://drive.google.com/file/d/1nT5POBckzuDAMzFxRxTDFKIrsvEE7iuY/view?usp=sharing</t>
  </si>
  <si>
    <t>SANAT BISWAS</t>
  </si>
  <si>
    <t>TIDORM</t>
  </si>
  <si>
    <t>https://drive.google.com/file/d/1-x8m_Yk-8DQlqlKlPORpf5o-QVVF9kLo/view?usp=sharing</t>
  </si>
  <si>
    <t>SANJIT KUMAR ROY</t>
  </si>
  <si>
    <t>SAWDWZ</t>
  </si>
  <si>
    <t>https://drive.google.com/file/d/1nq5F-J5RTbEdn53Hn98epKxU3t73m44q/view?usp=sharing</t>
  </si>
  <si>
    <t>SANKAR RAY</t>
  </si>
  <si>
    <t>ULASNN</t>
  </si>
  <si>
    <t>https://drive.google.com/file/d/1y04wnk_nuNlQvh6JN5ihM4byb4tIDF9O/view?usp=sharing</t>
  </si>
  <si>
    <t>SANTOSH KR YADAV</t>
  </si>
  <si>
    <t>SQQRNH</t>
  </si>
  <si>
    <t>https://drive.google.com/file/d/1QVbZgtEto7qI6tcLUcDckq0vVQmFioeU/view?usp=sharing</t>
  </si>
  <si>
    <t>SHAMBHU KUMAR VERMA</t>
  </si>
  <si>
    <t>TETEMF</t>
  </si>
  <si>
    <t>https://drive.google.com/file/d/1LXsNaM5WFTfZVmX47s95WjvZBUn04n7s/view?usp=sharing</t>
  </si>
  <si>
    <t>SHYAMA KANT</t>
  </si>
  <si>
    <t>SOHZYR</t>
  </si>
  <si>
    <t>https://drive.google.com/file/d/1OBQVQGWGcTUJ7wMffToNtsXzdm3X4h1O/view?usp=sharing</t>
  </si>
  <si>
    <t>SMT SOUMITA ROY</t>
  </si>
  <si>
    <t>MNGKML</t>
  </si>
  <si>
    <t>https://drive.google.com/file/d/1lU2A8M7wsS4aqgp69nMcqx58Q2C-achn/view?usp=sharing</t>
  </si>
  <si>
    <t>SOUMEN NEOGI</t>
  </si>
  <si>
    <t>PSUISD</t>
  </si>
  <si>
    <t>https://drive.google.com/file/d/1jZhExxlBHqpc8nuKdwnZztalYttQvL1j/view?usp=sharing</t>
  </si>
  <si>
    <t>https://drive.google.com/file/d/1SCgLyc1ps_BOrCUewV4epHfTSLJV4pCM/view?usp=sharing</t>
  </si>
  <si>
    <t>SUBIR DAS</t>
  </si>
  <si>
    <t>MZXIZW</t>
  </si>
  <si>
    <t>https://drive.google.com/file/d/1zXcEtUXuu2jxIMu5oOXhMFs91CdgxjKa/view?usp=sharing</t>
  </si>
  <si>
    <t>SUBIR KUMAR BISWAS</t>
  </si>
  <si>
    <t>WRLDXN</t>
  </si>
  <si>
    <t>https://drive.google.com/file/d/1nLWIlGQGhehIxvDuzTU8Ti5aFP-iSrzQ/view?usp=sharing</t>
  </si>
  <si>
    <t>SUBIR KUMAR SEN</t>
  </si>
  <si>
    <t>LLMYTI</t>
  </si>
  <si>
    <t>https://drive.google.com/file/d/1P8_VUVlLM3bpxPd7w2CyoOUwJzeqq8_3/view?usp=share_link</t>
  </si>
  <si>
    <t>SUBRATA DAS/II</t>
  </si>
  <si>
    <t>OTICCJ</t>
  </si>
  <si>
    <t>https://drive.google.com/file/d/1Vj7Lfc_DwjsGPpPEhIqwt8ngrclyCOuE/view?usp=sharing</t>
  </si>
  <si>
    <t>https://drive.google.com/file/d/1143k1jlfqjb6e9qNHd4hfnMsQZi4V4nJ/view?usp=share_link</t>
  </si>
  <si>
    <t>SUBRATA MONDAL</t>
  </si>
  <si>
    <t>HCURHW</t>
  </si>
  <si>
    <t>https://drive.google.com/file/d/1ymv2ibCH3lc7YGqibXn6pHXC_AyQS3P3/view?usp=sharing</t>
  </si>
  <si>
    <t>SUJAN KUMAR ROY</t>
  </si>
  <si>
    <t>LYANAS</t>
  </si>
  <si>
    <t>https://drive.google.com/file/d/1R7b7SmhnPv7DyffTEwTnyD_3P9VOALP1/view?usp=sharing</t>
  </si>
  <si>
    <t>SWAPAN SHAW</t>
  </si>
  <si>
    <t>KHDWZR</t>
  </si>
  <si>
    <t>https://drive.google.com/file/d/1paYmHl-hIRjcUSnTzvAAU77tJblUOFaC/view?usp=sharing</t>
  </si>
  <si>
    <t>T K SARKAR</t>
  </si>
  <si>
    <t>502S4612115</t>
  </si>
  <si>
    <t>CBBAYT</t>
  </si>
  <si>
    <t>https://drive.google.com/file/d/18XjtPdPwuIrnHHjxzgl9ZqCjuKig4eww/view?usp=sharing</t>
  </si>
  <si>
    <t>https://drive.google.com/file/d/1ynea0dtQZYoXx0fif0cxoGRmXVruVI_P/view?usp=share_link</t>
  </si>
  <si>
    <t>VIJAY SINGH</t>
  </si>
  <si>
    <t>KDIXMW</t>
  </si>
  <si>
    <t>https://drive.google.com/file/d/1ZNy-erjcemH2yINCnnQthvHB-y5QXl_n/view?usp=share_link</t>
  </si>
  <si>
    <t>DHANANJOY ROY</t>
  </si>
  <si>
    <t>IFIADS</t>
  </si>
  <si>
    <t>https://drive.google.com/file/d/1hbRFOSdCglc5CCmLP_-VE5HpzBSjaqsE/view?usp=sharing</t>
  </si>
  <si>
    <t>PRASHANT KUMAR SHAW</t>
  </si>
  <si>
    <t>ARXCHE</t>
  </si>
  <si>
    <t>https://drive.google.com/file/d/1xsc78cGRV4EpwVv2UCL8M8qLyRfQ_3gA/view?usp=sharing</t>
  </si>
  <si>
    <t>https://drive.google.com/file/d/1sdWRe-WgJOnZ5rOXevLY2EeicmSul5JH/view?usp=sharing</t>
  </si>
  <si>
    <t>ASHOK KUMAR CHAKRABORTY</t>
  </si>
  <si>
    <t>KHYULZ</t>
  </si>
  <si>
    <t>https://drive.google.com/file/d/1CTXJiklm4YhrboOi0zd-kDau74xJAs3W/view?usp=sharing</t>
  </si>
  <si>
    <t>AKSHOY THAKUR</t>
  </si>
  <si>
    <t>3429801843</t>
  </si>
  <si>
    <t>PSMMYU</t>
  </si>
  <si>
    <t>https://drive.google.com/file/d/1TSQ-w-B7kpveGoZxqbtaGjpPNOx_tWjX/view?usp=sharing</t>
  </si>
  <si>
    <t>ALANKAR SHARMA</t>
  </si>
  <si>
    <t>ANZTOY</t>
  </si>
  <si>
    <t>https://drive.google.com/file/d/1xxXPIgwKWZ50vRpwvgzM9xLEwK8khQ7L/view?usp=sharing</t>
  </si>
  <si>
    <t>https://drive.google.com/file/d/1F6w_GPv8yJ1ob-iJvpGYBlpt-WfmwRvO/view?usp=sharing</t>
  </si>
  <si>
    <t>LAKHI GOND</t>
  </si>
  <si>
    <t>NWPBSH</t>
  </si>
  <si>
    <t>https://drive.google.com/file/d/1_RX-Y_hy0F9-Kke-CD8UBRxW4GzCmvIb/view?usp=sharing</t>
  </si>
  <si>
    <t>LAXMAN TALUKDAR</t>
  </si>
  <si>
    <t>HNGZPQ</t>
  </si>
  <si>
    <t>https://drive.google.com/file/d/1ZGPYKEsw1DZVkDmXnOrXrTJySkgOTdGf/view?usp=sharing</t>
  </si>
  <si>
    <t>MRINAL HALDER</t>
  </si>
  <si>
    <t>AEERCE</t>
  </si>
  <si>
    <t>https://drive.google.com/file/d/1AFPaVx9yalfdGnXZsW4HCC9IpuhwsAMs/view?usp=share_link</t>
  </si>
  <si>
    <t>https://drive.google.com/file/d/1UowE06OG_C8A0JhiuMSVG2IZNgGfnJ1p/view?usp=sharing</t>
  </si>
  <si>
    <t>PANKAJ KUMAR</t>
  </si>
  <si>
    <t>SMEXQI</t>
  </si>
  <si>
    <t>https://drive.google.com/file/d/1LobyKUrTjQPfh_FM1JGig7lJuDyuxZbw/view?usp=sharing</t>
  </si>
  <si>
    <t>SAMRAT DAS</t>
  </si>
  <si>
    <t>KRTMKS</t>
  </si>
  <si>
    <t>https://drive.google.com/file/d/10-nMMFDBiJkrYM9wZMvugPh3SY0_dqQ0/view?usp=sharing</t>
  </si>
  <si>
    <t>https://drive.google.com/file/d/1OFZWIFLQddkQ4GoZQwA2M6h4-9FlfYcH/view?usp=sharing</t>
  </si>
  <si>
    <t>SANJAY CHAUDHARY</t>
  </si>
  <si>
    <t>UNZNKH</t>
  </si>
  <si>
    <t>https://drive.google.com/file/d/1Aw8r6eGxnqjuREWyDXY261CPL7JCSmyG/view?usp=sharing</t>
  </si>
  <si>
    <t>SHAMBHU ORAON</t>
  </si>
  <si>
    <t>BJUGDL</t>
  </si>
  <si>
    <t>https://drive.google.com/file/d/1OPwrqhCk5Bq4N2E4ixW2zHnsG775r-0q/view?usp=sharing</t>
  </si>
  <si>
    <t>SWARUP KUMAR DAS</t>
  </si>
  <si>
    <t>LLPBPT</t>
  </si>
  <si>
    <t>https://drive.google.com/file/d/1puPSLN-STcMgFVev8blrkTk3u2KAPsHf/view?usp=sharing</t>
  </si>
  <si>
    <t>SUDIPTA MONDAL</t>
  </si>
  <si>
    <t>JBDKAN</t>
  </si>
  <si>
    <t>https://drive.google.com/file/d/1uA_p0F-XTYcgsEur1lPuSPuC2LrESXt7/view?usp=sharing</t>
  </si>
  <si>
    <t>https://drive.google.com/file/d/1s3FHZAhLFEp1Q0SLeIjZUmEHVy4edHP6/view?usp=sharing</t>
  </si>
  <si>
    <t>Srikrishna Das</t>
  </si>
  <si>
    <t>ZXNKQX</t>
  </si>
  <si>
    <t>https://drive.google.com/file/d/1Y8YOU44gBO-5bpzmgkEEHFOEtOKIAGdL/view?usp=sharing</t>
  </si>
  <si>
    <t>https://drive.google.com/file/d/1KS8F_7FoRZlpWraUBC9hrohmcFAoJZA1/view?usp=sharing</t>
  </si>
  <si>
    <t>BIBEKANANDA BISWAS(SC)</t>
  </si>
  <si>
    <t>DMKZXJ</t>
  </si>
  <si>
    <t>https://drive.google.com/file/d/1E-Ic7CBfVrbgQF2Ibt6mSr55YYb7zAN8/view?usp=sharing</t>
  </si>
  <si>
    <t>https://drive.google.com/file/d/1744jfNIwbnuRy2_pdLSnlfAsswmZ_L0S/view?usp=sharing</t>
  </si>
  <si>
    <t>https://drive.google.com/file/d/1P-Nqua6Rqj3tpsLii_rPqM_MNfxqdnLN/view?usp=sharing</t>
  </si>
  <si>
    <t>BABLU SARKAR</t>
  </si>
  <si>
    <t>RXAIKX</t>
  </si>
  <si>
    <t>https://drive.google.com/file/d/1Nd79NxHpcTmH_uACuyPfYiKHbz9I4rXZ/view?usp=sharing</t>
  </si>
  <si>
    <t>https://drive.google.com/file/d/1KdeKNryujGsdbsL7o5vhrx6gd42--Bn_/view?usp=share_link</t>
  </si>
  <si>
    <t>https://drive.google.com/file/d/1TnVZN4XJjQsHzsBGbDR37hLR6evFyoXW/view?usp=sharing</t>
  </si>
  <si>
    <t>BISHNU DAS</t>
  </si>
  <si>
    <t>FORZPU</t>
  </si>
  <si>
    <t>https://drive.google.com/file/d/1b71Ev_bneNJMwCvpHUyKzhzkZulrvu7Y/view?usp=sharing</t>
  </si>
  <si>
    <t>https://drive.google.com/file/d/1tvofEAqyRfeU6obc7wPQ5MtGExHdUNw8/view?usp=share_link</t>
  </si>
  <si>
    <t>https://drive.google.com/file/d/1J5CuapkR_HMNpYwqk8aLjW4O7W3w7Wku/view?usp=sharing</t>
  </si>
  <si>
    <t>RAMANI BISWAS</t>
  </si>
  <si>
    <t>NSACSI</t>
  </si>
  <si>
    <t>https://drive.google.com/file/d/1s0g5VwwwKh37hT2hWr7rrIO_Ny7rKSPJ/view?usp=sharing</t>
  </si>
  <si>
    <t>https://drive.google.com/file/d/1ZCjSG9iLnL73rWiwsHNThWLg-APfbJR8/view?usp=share_link</t>
  </si>
  <si>
    <t>Amit Kumar Biswas</t>
  </si>
  <si>
    <t>15205MAS291</t>
  </si>
  <si>
    <t>FIHOQC</t>
  </si>
  <si>
    <t>https://drive.google.com/file/d/1zaLj5cCQ1PPUztGrr8Cq3WYhSl5gj0oN/view?usp=sharing</t>
  </si>
  <si>
    <t>Avik Mondal</t>
  </si>
  <si>
    <t>SMLCYW</t>
  </si>
  <si>
    <t>https://drive.google.com/file/d/1rzYEohgkTZvJ4JMoxgTn_AN9W9L2JO6C/view?usp=sharing</t>
  </si>
  <si>
    <t>https://drive.google.com/file/d/1RvvRhCL8n8gn4F2o9OABcDBav6Y5bfeA/view?usp=sharing</t>
  </si>
  <si>
    <t>Malay Das</t>
  </si>
  <si>
    <t>LYMGRZ</t>
  </si>
  <si>
    <t>https://drive.google.com/file/d/1QWbFoHLL_o0QyJWYy2KjVR3GHqqaz5mA/view?usp=sharing</t>
  </si>
  <si>
    <t>RAM CHANDRA CHAUDHARY</t>
  </si>
  <si>
    <t>STMKJL</t>
  </si>
  <si>
    <t>https://drive.google.com/file/d/13ueCO5qMiquqkq-x66rq7JvgSgsDkM3k/view?usp=sharing</t>
  </si>
  <si>
    <t>https://drive.google.com/file/d/1tlJ8NApynmZx5mhkenEQBPbbGsUphgI0/view?usp=sharing</t>
  </si>
  <si>
    <t>MALAY SARKAR</t>
  </si>
  <si>
    <t>CPNBXI</t>
  </si>
  <si>
    <t>https://drive.google.com/file/d/1gpOCpUCTnjhVaw8Y5jOw2nAHT1DbxXge/view?usp=sharing</t>
  </si>
  <si>
    <t>https://drive.google.com/file/d/16fwppSG8Vh2JFZyhRKazOzf6yLSfyQIf/view?usp=sharing</t>
  </si>
  <si>
    <t>SILPI BISWAS</t>
  </si>
  <si>
    <t>SGAGSJ</t>
  </si>
  <si>
    <t>https://drive.google.com/file/d/14oOiTTnGj0hAn9CDeWiav2j_11Pfy1gI/view?usp=sharing</t>
  </si>
  <si>
    <t>https://drive.google.com/file/d/1ewPBPW7TLpNFWsNe-nCHqnoMkPQ_8swO/view?usp=share_link</t>
  </si>
  <si>
    <t>https://drive.google.com/file/d/1KfIe7cS6mRn0vu8jLII3MNTQUtA-Yq3P/view?usp=sharing</t>
  </si>
  <si>
    <t>KIRAN SARKAR</t>
  </si>
  <si>
    <t>50200156139</t>
  </si>
  <si>
    <t>LSWXKB</t>
  </si>
  <si>
    <t>https://drive.google.com/file/d/1D6F4Vs9tfMuJ0sMVSztpojoeMpyNkzvB/view?usp=sharing</t>
  </si>
  <si>
    <t>https://drive.google.com/file/d/1K3o5KlWAnBvjhxPuJeJhehEQePAaGXD8/view?usp=sharing</t>
  </si>
  <si>
    <t>BHAGBAT BASAK</t>
  </si>
  <si>
    <t>50200155640</t>
  </si>
  <si>
    <t>GSCCDK</t>
  </si>
  <si>
    <t>https://drive.google.com/file/d/1gqFuYB06to8E7K5Q2QSz0AAZuuDbLArY/view?usp=sharing</t>
  </si>
  <si>
    <t>https://drive.google.com/file/d/1gf7HrFcLNi7YVPS1NI3pIs4tKi-G5zzQ/view?usp=sharing</t>
  </si>
  <si>
    <t>HRISHIKESH MISHRA</t>
  </si>
  <si>
    <t>QUKTSE</t>
  </si>
  <si>
    <t>https://drive.google.com/file/d/1YcAn6JZsJH1iePHUhLsNeCrTN_bAgBv5/view?usp=share_link</t>
  </si>
  <si>
    <t>MALAY KUMAR SINGHA</t>
  </si>
  <si>
    <t>KTNELZ</t>
  </si>
  <si>
    <t>https://drive.google.com/file/d/11A_kDUF2iyl_AURiYGlq41FKL0NGZNfF/view?usp=drive_link</t>
  </si>
  <si>
    <t>RYZHAM</t>
  </si>
  <si>
    <t>RAMJEET MAHATO</t>
  </si>
  <si>
    <t>DOFJDJ</t>
  </si>
  <si>
    <t>https://drive.google.com/file/d/1ya8kVB-zVYLmvOhwk6rN7Tst9socM0jo/view?usp=drive_link</t>
  </si>
  <si>
    <t>SOURAV BHOWAL</t>
  </si>
  <si>
    <t>WRCNXF</t>
  </si>
  <si>
    <t>ARNAB CHAKRABORTY</t>
  </si>
  <si>
    <t>30229803129</t>
  </si>
  <si>
    <t>TPLBWW</t>
  </si>
  <si>
    <t>SOMA BISWAS</t>
  </si>
  <si>
    <t>53162131266</t>
  </si>
  <si>
    <t>IOZFCS</t>
  </si>
  <si>
    <t>https://drive.google.com/file/d/1yL6nJP-4VWD3-AO02pSqnxH7SQk82A7l/view?usp=sharing</t>
  </si>
  <si>
    <t>Deepak Kumar Singh</t>
  </si>
  <si>
    <t>3329806625</t>
  </si>
  <si>
    <t>NOACFD</t>
  </si>
  <si>
    <t>Sourav Ghosh</t>
  </si>
  <si>
    <t>50205670987</t>
  </si>
  <si>
    <t>TXHBLW</t>
  </si>
  <si>
    <t>https://drive.google.com/file/d/1inxyJIEai9ThjUCC5bSd9Rgl-DlpBfvy/view?usp=sharing</t>
  </si>
  <si>
    <t>Avishek Paul</t>
  </si>
  <si>
    <t>SGULJN</t>
  </si>
  <si>
    <t>Amit Sadhukhan</t>
  </si>
  <si>
    <t>3329805674</t>
  </si>
  <si>
    <t>IUFHBA</t>
  </si>
  <si>
    <t>Jitesh Kumar</t>
  </si>
  <si>
    <t>3329806257</t>
  </si>
  <si>
    <t>ZYCZJL</t>
  </si>
  <si>
    <t>https://drive.google.com/file/d/14dj4LCBEYS_OBlEmP7BgLaV-VFezAANO/view?usp=sharing</t>
  </si>
  <si>
    <t>Tuhin Das</t>
  </si>
  <si>
    <t>3329805905</t>
  </si>
  <si>
    <t>UKALRF</t>
  </si>
  <si>
    <t>https://drive.google.com/file/d/1Yo5gfngJ_KxPfdk4XewNZYnOIfrxz7zz/view?usp=sharing</t>
  </si>
  <si>
    <t>Bheem Yadav</t>
  </si>
  <si>
    <t>3329806869</t>
  </si>
  <si>
    <t>DZFORJ</t>
  </si>
  <si>
    <t>https://drive.google.com/file/d/1Jolxg1QyN2mboeIv1yTbA2599rOwsJjn/view?usp=sharing</t>
  </si>
  <si>
    <t>Ritesh Patel</t>
  </si>
  <si>
    <t>3329806167</t>
  </si>
  <si>
    <t>DHRGWZ</t>
  </si>
  <si>
    <t>https://drive.google.com/file/d/1AGKR1K0oL1sXgjd-iu3aBdkgxus8XE7m/view?usp=sharing</t>
  </si>
  <si>
    <t>Bhairav Biswas</t>
  </si>
  <si>
    <t>50200411695</t>
  </si>
  <si>
    <t>BNZPFK</t>
  </si>
  <si>
    <t>https://drive.google.com/file/d/1qUZJMvH-9EGktJ8ux_D8MhDO2fPRd9oj/view?usp=sharing</t>
  </si>
  <si>
    <t>3329806426</t>
  </si>
  <si>
    <t>JIKHDT</t>
  </si>
  <si>
    <t>https://drive.google.com/file/d/1F6jSHxznavkSEgpn2_gbXH0i5-jBz4lH/view?usp=sharing</t>
  </si>
  <si>
    <t>Souvik Mondal</t>
  </si>
  <si>
    <t>3329805769</t>
  </si>
  <si>
    <t>TUNTWR</t>
  </si>
  <si>
    <t>https://drive.google.com/file/d/18rSrOqEJAPVDKJKNjAVakoGYx3qInnII/view?usp=sharing</t>
  </si>
  <si>
    <t>Samrat Biswas</t>
  </si>
  <si>
    <t>3329805959</t>
  </si>
  <si>
    <t>KZYYQM</t>
  </si>
  <si>
    <t>https://drive.google.com/file/d/1TN0UIYXNVhBXFlkcrn2GcCUdZBij4ZPV/view?usp=sharing</t>
  </si>
  <si>
    <t>Kallol Saha</t>
  </si>
  <si>
    <t>3329805396</t>
  </si>
  <si>
    <t>WUSBPB</t>
  </si>
  <si>
    <t>Ravi Kumar</t>
  </si>
  <si>
    <t>3329806095</t>
  </si>
  <si>
    <t>JOGESS</t>
  </si>
  <si>
    <t>https://drive.google.com/file/d/1C9EVczrVvNG1uSClMr2YTGMMfo_KoX0G/view?usp=sharing</t>
  </si>
  <si>
    <t>Parimal Ganai</t>
  </si>
  <si>
    <t>3329805321</t>
  </si>
  <si>
    <t>LEQUZZ</t>
  </si>
  <si>
    <t>https://drive.google.com/file/d/1VP5-LG9Mrs8u3-OgOlWbvzqUd3nQ3_FM/view?usp=sharing</t>
  </si>
  <si>
    <t>Mayank Kumar</t>
  </si>
  <si>
    <t>3329806386</t>
  </si>
  <si>
    <t>IJNNNC</t>
  </si>
  <si>
    <t>https://drive.google.com/file/d/1eIZHF9WwxZm2HDAHmD3P8W9XrPiGbJiZ/view?usp=sharing</t>
  </si>
  <si>
    <t>Bipul Malakar</t>
  </si>
  <si>
    <t>Siddhartha Biswas</t>
  </si>
  <si>
    <t>https://drive.google.com/file/d/1TrvJF7yw2cDZg-u7rnWnSPULJPiU2YSf/view?usp=sharing</t>
  </si>
  <si>
    <t>Swapan Sarkar</t>
  </si>
  <si>
    <t>https://drive.google.com/file/d/1ts1ZeuSFEsPNv6ZlpeYrAk7xMaupQDhb/view?usp=sharing</t>
  </si>
  <si>
    <t>Champak Kirtania</t>
  </si>
  <si>
    <t>https://drive.google.com/file/d/1RreTDQmJ3AyAlM6qlAIqXwJfubl7gJjy/view?usp=sharing</t>
  </si>
  <si>
    <t>JAYANTI KUNDU</t>
  </si>
  <si>
    <t>ZTGDHE</t>
  </si>
  <si>
    <t>24511140284</t>
  </si>
  <si>
    <t>QBZMKX</t>
  </si>
  <si>
    <t>https://drive.google.com/file/d/1lr1IpkpsN12s9jtFGmcwJLYCgyLyXwA3/view?usp=sharing</t>
  </si>
  <si>
    <t>KALYAN SARKAR</t>
  </si>
  <si>
    <t>50205591156</t>
  </si>
  <si>
    <t>QSEWHO</t>
  </si>
  <si>
    <t>SHAILESH KUMAR</t>
  </si>
  <si>
    <t>07029801128</t>
  </si>
  <si>
    <t>UJLDXF</t>
  </si>
  <si>
    <t>SL NO</t>
  </si>
  <si>
    <t>AJIJUR RAHAMAN</t>
  </si>
  <si>
    <t>50205419281</t>
  </si>
  <si>
    <t>FTLKTX</t>
  </si>
  <si>
    <t>https://drive.google.com/file/d/1uY62O4RgDDNtCcPWsAxjpjwZ2hkyg3vT/view?usp=sharing</t>
  </si>
  <si>
    <t>https://drive.google.com/file/d/1WwPBrNJkRc8VKewSfIbv5reSS1EY8IxE/view?usp=sharing</t>
  </si>
  <si>
    <t>AMIT KUMAR MANDAL</t>
  </si>
  <si>
    <t>50207001307</t>
  </si>
  <si>
    <t>DEWQFE</t>
  </si>
  <si>
    <t>https://drive.google.com/file/d/1DVwbvORUoBjFH7nYfyV3jXwwqYwNbJbM/view?usp=sharing</t>
  </si>
  <si>
    <t>ARUN PRAMANIK</t>
  </si>
  <si>
    <t>50205419086</t>
  </si>
  <si>
    <t>GGSSMX</t>
  </si>
  <si>
    <t>https://drive.google.com/file/d/1pz-_v90NUYNUEIsFgUf535_G53ZnxUcN/view?usp=sharing</t>
  </si>
  <si>
    <t>ATANU BISWAS</t>
  </si>
  <si>
    <t>50205418331</t>
  </si>
  <si>
    <t>UQSGEP</t>
  </si>
  <si>
    <t>https://drive.google.com/file/d/1L8h8VOxhLSDi1zlMb35GA32QhArxxV0t/view?usp=sharing</t>
  </si>
  <si>
    <t>https://drive.google.com/file/d/10oitE0doo6UaEaknxy80BDDrAnrBTmZT/view?usp=drive_link</t>
  </si>
  <si>
    <t>BAPI LAL MODAK</t>
  </si>
  <si>
    <t>50205419323</t>
  </si>
  <si>
    <t>SOTHDI</t>
  </si>
  <si>
    <t>https://drive.google.com/file/d/1gh70-5gMcou4hTUD02j6Lvx94qb_Ncqx/view?usp=sharing</t>
  </si>
  <si>
    <t>https://drive.google.com/file/d/17rgqAnkmA1JVl5W5uOO8D87IVH7h6REJ/view?usp=drive_link</t>
  </si>
  <si>
    <t>BIPLOB BALA</t>
  </si>
  <si>
    <t>50207001423</t>
  </si>
  <si>
    <t>NPCZTN</t>
  </si>
  <si>
    <t>https://drive.google.com/file/d/1hxbo3Sx3YNukUjZelyYUB6hmWdAD5tUP/view?usp=sharing</t>
  </si>
  <si>
    <t>https://drive.google.com/file/d/1wyhEreHdc47wSQjNDIEDqVpaukC6vz8A/view?usp=sharing</t>
  </si>
  <si>
    <t>BISWANATH BISWAS</t>
  </si>
  <si>
    <t>50212124722</t>
  </si>
  <si>
    <t>QMIPMY</t>
  </si>
  <si>
    <t>https://drive.google.com/file/d/1XUr7N51t1Sd8hoZ5j3IPgKrQ0Rbtqq7i/view?usp=sharing</t>
  </si>
  <si>
    <t>https://drive.google.com/file/d/1qL7d75el1CphHYMOZB5HPIGVjHsj6V5a/view?usp=sharing</t>
  </si>
  <si>
    <t>GOURANGA DAS</t>
  </si>
  <si>
    <t>50252559202</t>
  </si>
  <si>
    <t>XLSYQG</t>
  </si>
  <si>
    <t>HARAPRASAD ROY</t>
  </si>
  <si>
    <t>50207001460</t>
  </si>
  <si>
    <t>XAUFEY</t>
  </si>
  <si>
    <t>https://drive.google.com/file/d/1Ap3ZZD6aXCMCr-qG3M0abT7BXLJGyvYi/view?usp=sharing</t>
  </si>
  <si>
    <t>KANAK KUMAR BISWAS</t>
  </si>
  <si>
    <t>50205563987</t>
  </si>
  <si>
    <t>PQTWYS</t>
  </si>
  <si>
    <t>https://drive.google.com/file/d/1_RavFs6rpe9PsS-mcqZe6oEGNWG5xVvD/view?usp=sharing</t>
  </si>
  <si>
    <t>MANIK DE</t>
  </si>
  <si>
    <t>50205407151</t>
  </si>
  <si>
    <t>OQHJEB</t>
  </si>
  <si>
    <t>https://drive.google.com/file/d/1MypAv3tlyWtdgOVdrNtMPLiZ6mJ4YArg/view?usp=sharing</t>
  </si>
  <si>
    <t>https://drive.google.com/file/d/1JvMeZoxQx22Z33dp9uiuJcIAxYUzFP1G/view?usp=drive_link</t>
  </si>
  <si>
    <t>MD HABIB SARDAR</t>
  </si>
  <si>
    <t>50205564347</t>
  </si>
  <si>
    <t>YLJKBX</t>
  </si>
  <si>
    <t>https://drive.google.com/file/d/1Xcn0anJyeI2YamXzH51lvwn2lhMpSb8D/view?usp=sharing</t>
  </si>
  <si>
    <t>https://drive.google.com/file/d/1YULNbnQ4IEzfGn_CNSlkppMqnZcfMy4H/view?usp=sharing</t>
  </si>
  <si>
    <t>NAKUL CHANDRA MONDAL</t>
  </si>
  <si>
    <t>50205407230</t>
  </si>
  <si>
    <t>RADOKU</t>
  </si>
  <si>
    <t>https://drive.google.com/file/d/1OIRc4MZRXJcWi2MCoJwnAiyLxa3d_iZl/view?usp=sharing</t>
  </si>
  <si>
    <t>https://drive.google.com/file/d/1vAUF1vrUrJhWViDn26zcg0rQwIxt0S6z/view?usp=drive_link</t>
  </si>
  <si>
    <t>PALLAB MONDAL</t>
  </si>
  <si>
    <t>50205548482</t>
  </si>
  <si>
    <t>YHDJGC</t>
  </si>
  <si>
    <t>https://drive.google.com/file/d/1k2ApaG_0rfFafsOQ1pEWV2nafqPzBJlj/view?usp=sharing</t>
  </si>
  <si>
    <t>PRABIR DAS</t>
  </si>
  <si>
    <t>50204610325</t>
  </si>
  <si>
    <t>WMYRGE</t>
  </si>
  <si>
    <t>https://drive.google.com/file/d/1n0m_MwSIYZDIwXk5Om5Gfo5_CUSpdvvx/view?usp=share_link</t>
  </si>
  <si>
    <t>RAJIB CHANDRA KARMAKAR</t>
  </si>
  <si>
    <t>50200035750</t>
  </si>
  <si>
    <t>KMYYDK</t>
  </si>
  <si>
    <t>https://drive.google.com/file/d/1bFsmDUXw6TkFJf-BgtsCFF7tx0Pn1rnZ/view?usp=sharing</t>
  </si>
  <si>
    <t>RANJAN MANDAL</t>
  </si>
  <si>
    <t>50212133530</t>
  </si>
  <si>
    <t>OLLDGM</t>
  </si>
  <si>
    <t>https://drive.google.com/file/d/18m-qArmQ3UMQWSJ6JjZuFc4Wnb4CGNnu/view?usp=sharing</t>
  </si>
  <si>
    <t>https://drive.google.com/file/d/1MFLS0nVZ0SgMUEfN-F6zCQC1i4DfqQDl/view?usp=sharing</t>
  </si>
  <si>
    <t>S P MAZUMDAR</t>
  </si>
  <si>
    <t>50205419189</t>
  </si>
  <si>
    <t>NLTSLT</t>
  </si>
  <si>
    <t>https://drive.google.com/file/d/1KU66Ck16ZcqpK7FVGXJaokmONDVqJh1A/view?usp=sharing</t>
  </si>
  <si>
    <t>https://drive.google.com/file/d/1e6E-afOpRxUiGafT1Q-Z_OiORqvu6q1V/view?usp=share_link</t>
  </si>
  <si>
    <t>S.K.S MAHAPATRA</t>
  </si>
  <si>
    <t>50220082855</t>
  </si>
  <si>
    <t>CQYWJW</t>
  </si>
  <si>
    <t>SANJIB BHATTACHARJEE</t>
  </si>
  <si>
    <t>50205373165</t>
  </si>
  <si>
    <t>QXJYBU</t>
  </si>
  <si>
    <t>https://drive.google.com/file/d/15yIMX1ABEDEnvrEFAFe4CfRmy8yPf0hN/view?usp=sharing</t>
  </si>
  <si>
    <t>SHIBU BANERJEE</t>
  </si>
  <si>
    <t>50205395239</t>
  </si>
  <si>
    <t>XMZHKM</t>
  </si>
  <si>
    <t>https://drive.google.com/file/d/1ayZAc1rOt-YMvgbjUY5nIcF9ffRqQcz1/view?usp=sharing</t>
  </si>
  <si>
    <t>SOUMYA MUKHERJEE</t>
  </si>
  <si>
    <t>50200035798</t>
  </si>
  <si>
    <t>PQCQXN</t>
  </si>
  <si>
    <t>https://drive.google.com/file/d/1xmOeoGFd66aYT67IGlsN0xjuV-e3Oq3V/view?usp=sharing</t>
  </si>
  <si>
    <t>SUBHAS MAJUMDER</t>
  </si>
  <si>
    <t>50212124692</t>
  </si>
  <si>
    <t>FNHQJS</t>
  </si>
  <si>
    <t>https://drive.google.com/file/d/10_0bxLOf7cedumG1bSkFqnWcGulpmdR0/view?usp=sharing</t>
  </si>
  <si>
    <t>SUBHENDU SEKHAR DAS</t>
  </si>
  <si>
    <t>50212133553</t>
  </si>
  <si>
    <t>HWAQUM</t>
  </si>
  <si>
    <t>https://drive.google.com/file/d/1MmmJ8ZeDpY0jFCVlr_I2UxcCbvH9tppJ/view?usp=sharing</t>
  </si>
  <si>
    <t>https://drive.google.com/file/d/1cvPRuBrPW6A85h_Td5vNDxdMIrXdTFjx/view?usp=sharing</t>
  </si>
  <si>
    <t>50204611240</t>
  </si>
  <si>
    <t>BFRBIM</t>
  </si>
  <si>
    <t>https://drive.google.com/file/d/19lD86tOLhnwzsqo8WT_NKK0DBobtUYuj/view?usp=sharing</t>
  </si>
  <si>
    <t>SUVANKAR GHOSH</t>
  </si>
  <si>
    <t>50205419219</t>
  </si>
  <si>
    <t>YZAQQO</t>
  </si>
  <si>
    <t>https://drive.google.com/file/d/1wogudEDfEzaDRhtHrkkMiuVjy8DTgsh1/view?usp=sharing</t>
  </si>
  <si>
    <t>https://drive.google.com/file/d/1Q_yQxMrsgnxoNiIj2unC0ZPYgIBVrGuy/view?usp=share_link</t>
  </si>
  <si>
    <t>TAPAN BISWAS</t>
  </si>
  <si>
    <t>50205419141</t>
  </si>
  <si>
    <t>RGTMUO</t>
  </si>
  <si>
    <t>https://drive.google.com/file/d/1UOXzWosujo-zG12cdG7ZRt9wUJZle0WP/view?usp=sharing</t>
  </si>
  <si>
    <t>TUSAR KANTI MONDAL</t>
  </si>
  <si>
    <t>50205421123</t>
  </si>
  <si>
    <t>OYOEFO</t>
  </si>
  <si>
    <t>https://drive.google.com/file/d/1ZUk62ETFnsG72Q4XqwjEwyOaS7cKAfiA/view?usp=sharing</t>
  </si>
  <si>
    <t>https://drive.google.com/file/d/19dVw05WnErXp28AwzUujmv7iLR0s2Us2/view?usp=share_link</t>
  </si>
  <si>
    <t>SUBHANKAR PAL</t>
  </si>
  <si>
    <t>50205569114</t>
  </si>
  <si>
    <t>MKSGJL</t>
  </si>
  <si>
    <t>https://drive.google.com/file/d/1a0D_hoQdj355NIdeDyzdaVH6b0urLAz4/view?usp=sharing</t>
  </si>
  <si>
    <t>https://drive.google.com/file/d/1rOhNsKCPvsUxQ9o7odhzh6Jyimjk9-OX/view?usp=sharing</t>
  </si>
  <si>
    <t>TAPAS DUTTA</t>
  </si>
  <si>
    <t>50210338494</t>
  </si>
  <si>
    <t>NMUKIH</t>
  </si>
  <si>
    <t>https://drive.google.com/file/d/1QOkMNIBSF9Wi6HllnP1ev-g4Lqar5h6K/view?usp=sharing</t>
  </si>
  <si>
    <t>UTTAM MAHAJAN</t>
  </si>
  <si>
    <t>50200900094</t>
  </si>
  <si>
    <t>NXRSBH</t>
  </si>
  <si>
    <t>https://drive.google.com/file/d/1Hx7Uwpm8zmVN2HHsAYvs68zNeEA-2vQV/view?usp=sharing</t>
  </si>
  <si>
    <t>https://drive.google.com/file/d/13skmF5gfrjVFgUs5J0rRkcH_apj_IbMa/view?usp=sharing</t>
  </si>
  <si>
    <t>SUMAN DEY</t>
  </si>
  <si>
    <t>50200099340</t>
  </si>
  <si>
    <t>HCKERI</t>
  </si>
  <si>
    <t>https://drive.google.com/file/d/1UWXcddTqyPR2NveOYQRiRIKMmubnnPB7/view?usp=sharing</t>
  </si>
  <si>
    <t>https://drive.google.com/file/d/15MnMihilHmq_Ptyy_ZPmfuKQflytOzB8/view?usp=sharing</t>
  </si>
  <si>
    <t>SUDEV PAUL</t>
  </si>
  <si>
    <t>502S0099685</t>
  </si>
  <si>
    <t>IBTWQK</t>
  </si>
  <si>
    <t>https://drive.google.com/file/d/1LyZv0fEJ3etxeM74xCWXhfR1IH1SfIld/view?usp=sharing</t>
  </si>
  <si>
    <t>https://drive.google.com/file/d/1YsxHVxFO0-I17E9IwwHjZgjn-WK_1OIo/view?usp=sharing</t>
  </si>
  <si>
    <t>SUMAN MAJUMDER</t>
  </si>
  <si>
    <t>50200099351</t>
  </si>
  <si>
    <t>NIDZMQ</t>
  </si>
  <si>
    <t>https://drive.google.com/file/d/1FOsgFiCv2xpPfvhUT-xzpPVaVFJsMeGh/view?usp=sharing</t>
  </si>
  <si>
    <t>https://drive.google.com/file/d/1_URVgX1Fd35ekuAulfUf-XvySWeD87zc/view?usp=sharing</t>
  </si>
  <si>
    <t>SEKHAR MITRA</t>
  </si>
  <si>
    <t>50206AB0531</t>
  </si>
  <si>
    <t>GFRGCK</t>
  </si>
  <si>
    <t>https://drive.google.com/file/d/1PplZEeqGh1Gspmc3pawDZuf7JXwld5iO/view?usp=sharing</t>
  </si>
  <si>
    <t>SURAJIT PAUL</t>
  </si>
  <si>
    <t>50200101230</t>
  </si>
  <si>
    <t>NJJWJM</t>
  </si>
  <si>
    <t>https://drive.google.com/file/d/10Sn2Yr0oduh7rFk4eQVtCbDVpx1oBSRs/view?usp=sharing</t>
  </si>
  <si>
    <t>https://drive.google.com/file/d/1XSSayIXmXMZX7EIZTlRjFgpTjtY1yxlB/view?usp=sharing</t>
  </si>
  <si>
    <t>https://drive.google.com/file/d/1tX_I-N9D5bhEmyXSZNHnyEEb7-mdZdRt/view?usp=sharing</t>
  </si>
  <si>
    <t>KISHOR PAL</t>
  </si>
  <si>
    <t>50205602476</t>
  </si>
  <si>
    <t>IFULRS</t>
  </si>
  <si>
    <t>https://drive.google.com/file/d/11crCuaNhmZfFp0f-SFAhePDc_GSR7HGC/view?usp=sharing</t>
  </si>
  <si>
    <t>https://drive.google.com/file/d/1T4HwPUhq8m7fVhiRVAIYVZlAb7yJXRJh/view?usp=sharing</t>
  </si>
  <si>
    <t>PINKU SARKAR</t>
  </si>
  <si>
    <t>50210AB0249</t>
  </si>
  <si>
    <t>QADJCX</t>
  </si>
  <si>
    <t>https://drive.google.com/file/d/1-Y6msN00FiuQCvZfEi42KY8vw2P0Nq2H/view?usp=sharing</t>
  </si>
  <si>
    <t>https://drive.google.com/file/d/1rx9w9oTSMT7XSkeikzjBCXwo-fVn7wEl/view?usp=sharing</t>
  </si>
  <si>
    <t>PABITRA KUMAR ROY</t>
  </si>
  <si>
    <t>50205612044</t>
  </si>
  <si>
    <t>YEWXQO</t>
  </si>
  <si>
    <t>https://drive.google.com/file/d/1Vq7MYCMzg_fJTSbzJSMRK5aHCrgeafwZ/view?usp=sharing</t>
  </si>
  <si>
    <t>https://drive.google.com/file/d/1CeBpIl_5mjTnR3Dz5mtLmQtZlAoJHyAJ/view?usp=sharing</t>
  </si>
  <si>
    <t>NABIN BISWAS</t>
  </si>
  <si>
    <t>50205607577</t>
  </si>
  <si>
    <t>MYQCZQ</t>
  </si>
  <si>
    <t>https://drive.google.com/file/d/1S08GbZU8i-9pSbCmPXFdRuiVgHcL0OkX/view?usp=share_link</t>
  </si>
  <si>
    <t>ANJAN PAL</t>
  </si>
  <si>
    <t>50205607772</t>
  </si>
  <si>
    <t>PKUHKE</t>
  </si>
  <si>
    <t>https://drive.google.com/file/d/1hs1MIoURukQ1SKfcNQa1TCKAPDMmsLDy/view?usp=sharing</t>
  </si>
  <si>
    <t>https://drive.google.com/file/d/124rzh7QwMLsiyE8IMgswPu-qs0EOMNRK/view?usp=sharing</t>
  </si>
  <si>
    <t>ARUP KUMAR MONDAL I</t>
  </si>
  <si>
    <t>50200151130</t>
  </si>
  <si>
    <t>GUESDT</t>
  </si>
  <si>
    <t>https://drive.google.com/file/d/1PBYnDGdpCyYcI5DXFTg6VAZwqtlgJNV_/view?usp=sharing</t>
  </si>
  <si>
    <t>BISWAJIT SARKAR</t>
  </si>
  <si>
    <t>50205616281</t>
  </si>
  <si>
    <t>DPZYDN</t>
  </si>
  <si>
    <t>https://drive.google.com/file/d/1PIC8KvpKeh8qOcEiSCA7XSbUs4pSneMc/view?usp=sharing</t>
  </si>
  <si>
    <t>https://drive.google.com/file/d/1KeKjdb_F9l2chwSPXv48hmGxKVsLP8ie/view?usp=sharing</t>
  </si>
  <si>
    <t>https://drive.google.com/file/d/1SZI7WPnH0gQgJaI0vuKOYoLynHGSxIST/view?usp=sharing</t>
  </si>
  <si>
    <t>RAJU DAS</t>
  </si>
  <si>
    <t>50205612111</t>
  </si>
  <si>
    <t>DKYXQD</t>
  </si>
  <si>
    <t>https://drive.google.com/file/d/1_eJULjK2eBq8U1Uh4xz4chu_DMRu3IAP/view?usp=sharing</t>
  </si>
  <si>
    <t>https://drive.google.com/file/d/1200iGL7m2qbER2LnZMM66gXccmiS72Ja/view?usp=share_link</t>
  </si>
  <si>
    <t>BIPLAB BISWAS III</t>
  </si>
  <si>
    <t>50205613176</t>
  </si>
  <si>
    <t>ZKAXIZ</t>
  </si>
  <si>
    <t>https://drive.google.com/file/d/1OuuYEiVa-uiIWfhVXcFdc4MXwHwz__B4/view?usp=sharing</t>
  </si>
  <si>
    <t>https://drive.google.com/file/d/1dI3WVAq3dqTF31pbI6LXd9jt3GY5eFE7/view?usp=sharing</t>
  </si>
  <si>
    <t>TAPAN MALLICK</t>
  </si>
  <si>
    <t>50205612068</t>
  </si>
  <si>
    <t>DMHYCU</t>
  </si>
  <si>
    <t>https://drive.google.com/file/d/1FCjny7NqfHa_EYIWPkW_szV6QOLGe9hn/view?usp=sharing</t>
  </si>
  <si>
    <t>https://drive.google.com/file/d/1AfjE0H1o8tfK0NrrZYaf8okEuD6m2A1w/view?usp=share_link</t>
  </si>
  <si>
    <t>GOBINDA DAS</t>
  </si>
  <si>
    <t>50205612664</t>
  </si>
  <si>
    <t>QSGHLQ</t>
  </si>
  <si>
    <t>https://drive.google.com/file/d/1ll-xZHKu4vRAOKbYUtfP8dX-PxGO9CG2/view?usp=sharing</t>
  </si>
  <si>
    <t>https://drive.google.com/file/d/1NMdYNK1jEEYuVPNnsCyyvXlqNYmoY_5X/view?usp=sharing</t>
  </si>
  <si>
    <t>https://drive.google.com/file/d/19qvXQ7PU-O7fDt1Q2bXIf8eR0hojHx4j/view?usp=drive_link</t>
  </si>
  <si>
    <t>KARUNAMOY GHOSH</t>
  </si>
  <si>
    <t>50214104090</t>
  </si>
  <si>
    <t>NMDYFI</t>
  </si>
  <si>
    <t>https://drive.google.com/file/d/15_Aa_-0xGoRqplK8eiBohqGUSrQY8G_a/view?usp=sharing</t>
  </si>
  <si>
    <t>https://drive.google.com/file/d/1zdw4O4GeNlh4NgAFy9EAqAzUT_t9Aksc/view?usp=sharing</t>
  </si>
  <si>
    <t>https://drive.google.com/file/d/1Swok9aCrC--5BPA2j2MgWixEWg4fJTKF/view?usp=drive_link</t>
  </si>
  <si>
    <t>TAPAS KUMAR DAS</t>
  </si>
  <si>
    <t>50205612378</t>
  </si>
  <si>
    <t>GDMQEP</t>
  </si>
  <si>
    <t>https://drive.google.com/file/d/1tg6kGS8vowB3UtOnQVyLAGefqYPbUQjL/view?usp=sharing</t>
  </si>
  <si>
    <t>https://drive.google.com/file/d/1Zmg0dwN_m0gxT4C0MqPVX74wkfWntkG1/view?usp=sharing</t>
  </si>
  <si>
    <t>SUDIP GANGWAR</t>
  </si>
  <si>
    <t>503AP100510</t>
  </si>
  <si>
    <t>AJTWWM</t>
  </si>
  <si>
    <t>https://drive.google.com/file/d/18xnl9oSjhCbJOHvJ4-lzruDcrYwuKtNB/view?usp=sharing</t>
  </si>
  <si>
    <t>ARNABJYOTI MAJUMDAR</t>
  </si>
  <si>
    <t>50205606937</t>
  </si>
  <si>
    <t>BJIRKD</t>
  </si>
  <si>
    <t>https://drive.google.com/file/d/1XtOeqbuzyBbXb5li1DnbU8K-JuOXMGdk/view?usp=sharing</t>
  </si>
  <si>
    <t>GOBINDA PAINE</t>
  </si>
  <si>
    <t>50206179976</t>
  </si>
  <si>
    <t>HNILUX</t>
  </si>
  <si>
    <t>https://drive.google.com/file/d/1gCvywNMFW03YcHpKC0rfV1TAA9vrnEwB/view?usp=sharing</t>
  </si>
  <si>
    <t>https://drive.google.com/file/d/14NN-_KXPFe0wYX2Nt-BQ6jQWSUQRPsnU/view?usp=sharing</t>
  </si>
  <si>
    <t>NANDA LAL DAS</t>
  </si>
  <si>
    <t>50205421093</t>
  </si>
  <si>
    <t>GGQZOR</t>
  </si>
  <si>
    <t>https://drive.google.com/file/d/1lCaWuAMor_0bG9GuWjrHVd8c-w-3gQUS/view?usp=sharing</t>
  </si>
  <si>
    <t>SANJAY SARKAR</t>
  </si>
  <si>
    <t>50205500308</t>
  </si>
  <si>
    <t>LEJSPZ</t>
  </si>
  <si>
    <t>https://drive.google.com/file/d/1NtuOyFY3PT-g8NR36an7lq13espgi0be/view?usp=sharing</t>
  </si>
  <si>
    <t>SANJOY KUMAR DAS</t>
  </si>
  <si>
    <t>50209417035</t>
  </si>
  <si>
    <t>JCGPZU</t>
  </si>
  <si>
    <t>https://drive.google.com/file/d/1NFwm9g2-XyG5Xtvy82_ZcZW6whWobxHw/view?usp=sharing</t>
  </si>
  <si>
    <t>SATYAJIT BISWAS</t>
  </si>
  <si>
    <t>50200099648</t>
  </si>
  <si>
    <t>XGNYKI</t>
  </si>
  <si>
    <t>50200116075</t>
  </si>
  <si>
    <t>CQGOKA</t>
  </si>
  <si>
    <t>https://drive.google.com/file/d/1YQbaM6LVTEosFWROaXG_ADZld2GE3m4H/view?usp=sharing</t>
  </si>
  <si>
    <t>https://drive.google.com/file/d/1GXYVsavIKCmz9T1ZHLb0bheHFXF4RFWf/view?usp=sharing</t>
  </si>
  <si>
    <t>Sk Adib Bin Ahmed(DSL)</t>
  </si>
  <si>
    <t>50205677970</t>
  </si>
  <si>
    <t>RCOHSD</t>
  </si>
  <si>
    <t>https://drive.google.com/file/d/1Z4SlrtdZe_56F8jJMFTf_u1x-KVCGTYG/view?usp=sharing</t>
  </si>
  <si>
    <t>Subhodeep Mukherjee</t>
  </si>
  <si>
    <t>50205690535</t>
  </si>
  <si>
    <t>BPMWRA</t>
  </si>
  <si>
    <t>https://drive.google.com/file/d/1H0ddC4fqmVUKJtgWvMPzk7vD_vGL8qjx/view?usp=sharing</t>
  </si>
  <si>
    <t>https://drive.google.com/file/d/1yPZCjO8f6-NEkTsSV8xeZ0BeEKKL5KT7/view?usp=sharing</t>
  </si>
  <si>
    <t>Sudip Sadhu</t>
  </si>
  <si>
    <t>50714507128</t>
  </si>
  <si>
    <t>XZATZR</t>
  </si>
  <si>
    <t>https://drive.google.com/file/d/1yLtQdQIbrZTh2a4IUmsM671rnC4w3JJJ/view?usp=sharing</t>
  </si>
  <si>
    <t>https://drive.google.com/file/d/1PCeQELyaoCp_TiaNSmuH-E87nrc4FnVF/view?usp=sharing</t>
  </si>
  <si>
    <t>JAYANTA HALDER</t>
  </si>
  <si>
    <t>50205680360</t>
  </si>
  <si>
    <t>KZSOQU</t>
  </si>
  <si>
    <t>https://drive.google.com/file/d/1-ISDhaEt4yBiJ4jqIeqxuIa5zADaZuKC/view?usp=sharing</t>
  </si>
  <si>
    <t>VIVEK CHOWDHURY</t>
  </si>
  <si>
    <t>AP030310061</t>
  </si>
  <si>
    <t>MNKZIK</t>
  </si>
  <si>
    <t>https://drive.google.com/file/d/1ppGa83xjXtM6WieoPk2AGlp0UEAetVCO/view?usp=sharing</t>
  </si>
  <si>
    <t>https://drive.google.com/file/d/1VNhd0SDd5Cp_B7KXNzo1d8WTybXQ-6hJ/view?usp=sharing</t>
  </si>
  <si>
    <t>PRADIP CHOWDHURY</t>
  </si>
  <si>
    <t>53120134491</t>
  </si>
  <si>
    <t>FTETPY</t>
  </si>
  <si>
    <t>https://drive.google.com/file/d/1myiCKFwWF3xgTpFHQfaMY2PwU2rdkdAc/view?usp=sharing</t>
  </si>
  <si>
    <t>https://drive.google.com/file/d/1vJnjS9f3qcOTISzCPj7QU6r12mY5aarE/view?usp=sharing</t>
  </si>
  <si>
    <t>Bhairo Murmu</t>
  </si>
  <si>
    <t>3329804081</t>
  </si>
  <si>
    <t>AKAZGL</t>
  </si>
  <si>
    <t>https://drive.google.com/file/d/1YVqHCifUPjzBuTygaLdo3Dg3YelAZWTP/view?usp=sharing</t>
  </si>
  <si>
    <t>https://drive.google.com/file/d/161kqyFTgYzX4hVw6NrG2YhtCoV_PlJfX/view?usp=sharing</t>
  </si>
  <si>
    <t>ANAND KUMAR SAH</t>
  </si>
  <si>
    <t>53162140161</t>
  </si>
  <si>
    <t>XQMDHN</t>
  </si>
  <si>
    <t>https://drive.google.com/file/d/1ko74HbvAieQMkMnCRaneAxXYWJas0JSp/view?usp=sharing</t>
  </si>
  <si>
    <t>SOURAV SOREN</t>
  </si>
  <si>
    <t>3429801696</t>
  </si>
  <si>
    <t>RWSZLH</t>
  </si>
  <si>
    <t>https://drive.google.com/file/d/1XJsLt7hYCpnButK10rj7G4K5O0sWd254/view?usp=drive_link</t>
  </si>
  <si>
    <t>Debdas Biswas</t>
  </si>
  <si>
    <t>3829801053</t>
  </si>
  <si>
    <t>ZWYJXL</t>
  </si>
  <si>
    <t>https://drive.google.com/file/d/1uLT9RvF0fehmbRB16YfB9KvOpbLAW2VG/view?usp=sharing</t>
  </si>
  <si>
    <t>https://drive.google.com/file/d/16Sq3niTR2OfAF84lxJ1sC0m7mKvVLTHK/view?usp=sharing</t>
  </si>
  <si>
    <t>Sl No</t>
  </si>
  <si>
    <t>GENDER</t>
  </si>
  <si>
    <t>Date of screening</t>
  </si>
</sst>
</file>

<file path=xl/styles.xml><?xml version="1.0" encoding="utf-8"?>
<styleSheet xmlns="http://schemas.openxmlformats.org/spreadsheetml/2006/main">
  <numFmts count="8">
    <numFmt numFmtId="164" formatCode="d/m/yyyy"/>
    <numFmt numFmtId="165" formatCode="yyyy\-mm\-dd"/>
    <numFmt numFmtId="166" formatCode="mm/dd/yyyy"/>
    <numFmt numFmtId="167" formatCode="m/d/yyyy"/>
    <numFmt numFmtId="168" formatCode="mm&quot;-&quot;dd&quot;-&quot;yyyy"/>
    <numFmt numFmtId="169" formatCode="dd/mm/yy"/>
    <numFmt numFmtId="170" formatCode="d\-m\-yyyy"/>
    <numFmt numFmtId="171" formatCode="dd\-mm\-yyyy"/>
  </numFmts>
  <fonts count="307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rgb="FFFF0000"/>
      <name val="Calibri"/>
      <scheme val="minor"/>
    </font>
    <font>
      <sz val="11"/>
      <color theme="1"/>
      <name val="Calibri"/>
      <scheme val="minor"/>
    </font>
    <font>
      <b/>
      <sz val="14"/>
      <color rgb="FFFF0000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Arial"/>
    </font>
    <font>
      <sz val="11"/>
      <color theme="1"/>
      <name val="Calibri"/>
    </font>
    <font>
      <sz val="9"/>
      <color rgb="FF000000"/>
      <name val="&quot;Google Sans Mono&quot;"/>
    </font>
    <font>
      <b/>
      <sz val="11"/>
      <color rgb="FF000000"/>
      <name val="Arial"/>
    </font>
    <font>
      <b/>
      <sz val="11"/>
      <color theme="1"/>
      <name val="Calibri"/>
    </font>
    <font>
      <sz val="11"/>
      <color theme="1"/>
      <name val="Arial"/>
    </font>
    <font>
      <b/>
      <sz val="12"/>
      <color theme="1"/>
      <name val="Calibri"/>
    </font>
    <font>
      <sz val="11"/>
      <color rgb="FF000000"/>
      <name val="Inconsolata"/>
    </font>
    <font>
      <b/>
      <sz val="11"/>
      <color rgb="FF000000"/>
      <name val="Calibri"/>
    </font>
    <font>
      <sz val="11"/>
      <color rgb="FF000000"/>
      <name val="Calibri"/>
    </font>
    <font>
      <b/>
      <sz val="8"/>
      <color theme="1"/>
      <name val="Calibri"/>
      <scheme val="minor"/>
    </font>
    <font>
      <b/>
      <sz val="14"/>
      <color rgb="FFFF0000"/>
      <name val="Calibri"/>
    </font>
    <font>
      <b/>
      <sz val="13"/>
      <color rgb="FFFF0000"/>
      <name val="Calibri"/>
      <scheme val="minor"/>
    </font>
    <font>
      <b/>
      <sz val="8"/>
      <color theme="1"/>
      <name val="Arial"/>
    </font>
    <font>
      <sz val="14"/>
      <color rgb="FFFF0000"/>
      <name val="Arial"/>
    </font>
    <font>
      <sz val="11"/>
      <name val="Calibri"/>
    </font>
    <font>
      <b/>
      <sz val="11"/>
      <color theme="1"/>
      <name val="Inconsolata"/>
    </font>
    <font>
      <b/>
      <sz val="12"/>
      <color rgb="FFFF0000"/>
      <name val="Calibri"/>
      <scheme val="minor"/>
    </font>
    <font>
      <sz val="9"/>
      <color theme="1"/>
      <name val="Google Sans Mono"/>
    </font>
    <font>
      <b/>
      <sz val="8"/>
      <color theme="1"/>
      <name val="Calibri"/>
    </font>
    <font>
      <b/>
      <sz val="14"/>
      <color rgb="FF000000"/>
      <name val="Roboto"/>
    </font>
    <font>
      <b/>
      <sz val="13"/>
      <color theme="1"/>
      <name val="Calibri"/>
      <scheme val="minor"/>
    </font>
    <font>
      <u/>
      <sz val="10"/>
      <color rgb="FF000000"/>
      <name val="Arial"/>
    </font>
    <font>
      <b/>
      <sz val="10"/>
      <color theme="1"/>
      <name val="Calibri"/>
      <scheme val="minor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sz val="10"/>
      <color rgb="FF000000"/>
      <name val="Inconsolata"/>
    </font>
    <font>
      <sz val="10"/>
      <color rgb="FF000000"/>
      <name val="Calibri"/>
      <scheme val="minor"/>
    </font>
    <font>
      <sz val="11"/>
      <color rgb="FF000000"/>
      <name val="Calibri"/>
      <scheme val="minor"/>
    </font>
    <font>
      <sz val="9"/>
      <color theme="1"/>
      <name val="Arial"/>
    </font>
    <font>
      <sz val="9"/>
      <color rgb="FF000000"/>
      <name val="Arial"/>
    </font>
    <font>
      <sz val="11"/>
      <color rgb="FF000000"/>
      <name val="Calibri"/>
    </font>
    <font>
      <b/>
      <sz val="15"/>
      <color theme="1"/>
      <name val="Calibri"/>
      <scheme val="minor"/>
    </font>
    <font>
      <b/>
      <sz val="15"/>
      <color rgb="FFFF0000"/>
      <name val="Calibri"/>
      <scheme val="minor"/>
    </font>
    <font>
      <sz val="15"/>
      <color theme="1"/>
      <name val="Calibri"/>
      <scheme val="minor"/>
    </font>
    <font>
      <b/>
      <sz val="11"/>
      <color theme="1"/>
      <name val="Calibri"/>
      <scheme val="minor"/>
    </font>
    <font>
      <b/>
      <sz val="9"/>
      <color rgb="FFFF00FF"/>
      <name val="Arial"/>
    </font>
    <font>
      <sz val="8"/>
      <color theme="1"/>
      <name val="Calibri"/>
      <scheme val="minor"/>
    </font>
    <font>
      <u/>
      <sz val="11"/>
      <color rgb="FF0000FF"/>
      <name val="Calibri"/>
    </font>
    <font>
      <u/>
      <sz val="11"/>
      <color rgb="FF0000FF"/>
      <name val="Calibri"/>
    </font>
    <font>
      <b/>
      <sz val="14"/>
      <color theme="1"/>
      <name val="Calibri"/>
      <scheme val="minor"/>
    </font>
    <font>
      <b/>
      <sz val="10"/>
      <color rgb="FF000000"/>
      <name val="Calibri"/>
      <scheme val="minor"/>
    </font>
    <font>
      <b/>
      <sz val="10"/>
      <color rgb="FF000000"/>
      <name val="Calibri"/>
    </font>
    <font>
      <sz val="11"/>
      <color rgb="FFFF0000"/>
      <name val="Calibri"/>
      <scheme val="minor"/>
    </font>
    <font>
      <sz val="11"/>
      <color theme="1"/>
      <name val="Arial"/>
    </font>
    <font>
      <b/>
      <sz val="9"/>
      <color theme="1"/>
      <name val="Arial"/>
    </font>
    <font>
      <sz val="9"/>
      <color theme="1"/>
      <name val="&quot;Arial Narrow&quot;"/>
    </font>
    <font>
      <sz val="10"/>
      <color theme="1"/>
      <name val="&quot;Arial Narrow&quot;"/>
    </font>
    <font>
      <sz val="11"/>
      <color theme="1"/>
      <name val="&quot;Arial Narrow&quot;"/>
    </font>
    <font>
      <sz val="11"/>
      <color rgb="FF000000"/>
      <name val="&quot;Arial Narrow&quot;"/>
    </font>
    <font>
      <sz val="9"/>
      <color theme="1"/>
      <name val="Calibri"/>
    </font>
    <font>
      <sz val="10"/>
      <color rgb="FF000000"/>
      <name val="&quot;Arial Narrow&quot;"/>
    </font>
    <font>
      <sz val="10"/>
      <color rgb="FF000000"/>
      <name val="Arial"/>
    </font>
    <font>
      <sz val="10"/>
      <color rgb="FF000000"/>
      <name val="Calibri"/>
    </font>
    <font>
      <sz val="11"/>
      <color rgb="FF000000"/>
      <name val="Times New Roman"/>
    </font>
    <font>
      <sz val="11"/>
      <color rgb="FF000000"/>
      <name val="Calibri"/>
      <scheme val="minor"/>
    </font>
    <font>
      <u/>
      <sz val="11"/>
      <color rgb="FF0000FF"/>
      <name val="Calibri"/>
    </font>
    <font>
      <sz val="11"/>
      <color rgb="FF5A5A5A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000000"/>
      <name val="Times New Roman"/>
    </font>
    <font>
      <u/>
      <sz val="11"/>
      <color rgb="FF0000FF"/>
      <name val="Calibri"/>
    </font>
    <font>
      <sz val="11"/>
      <color rgb="FF000000"/>
      <name val="&quot;Times New Roman&quot;"/>
    </font>
    <font>
      <u/>
      <sz val="11"/>
      <color rgb="FF0000FF"/>
      <name val="Calibri"/>
    </font>
    <font>
      <sz val="14"/>
      <color theme="1"/>
      <name val="Calibri"/>
      <scheme val="minor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000000"/>
      <name val="Arial"/>
    </font>
    <font>
      <sz val="11"/>
      <color theme="1"/>
      <name val="&quot;Times New Roman&quot;"/>
    </font>
    <font>
      <sz val="11"/>
      <color theme="1"/>
      <name val="-apple-system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theme="1"/>
      <name val="Calibri"/>
    </font>
    <font>
      <u/>
      <sz val="11"/>
      <color rgb="FF000000"/>
      <name val="Calibri"/>
    </font>
    <font>
      <sz val="12"/>
      <color rgb="FF000000"/>
      <name val="&quot;Arial Narrow&quot;"/>
    </font>
    <font>
      <sz val="9"/>
      <color rgb="FF000000"/>
      <name val="Roboto"/>
    </font>
    <font>
      <sz val="9"/>
      <color rgb="FF0E233D"/>
      <name val="Arial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0"/>
      <color rgb="FF5A5A5A"/>
      <name val="Arial"/>
    </font>
    <font>
      <sz val="11"/>
      <color rgb="FF000000"/>
      <name val="&quot;Times New Roman&quot;"/>
    </font>
    <font>
      <sz val="11"/>
      <color theme="1"/>
      <name val="&quot;Arial Narrow&quot;"/>
    </font>
    <font>
      <sz val="11"/>
      <color theme="1"/>
      <name val="Times New Roman"/>
    </font>
    <font>
      <u/>
      <sz val="11"/>
      <color rgb="FF0000FF"/>
      <name val="Calibri"/>
    </font>
    <font>
      <sz val="9"/>
      <color rgb="FF000000"/>
      <name val="Verdana"/>
    </font>
    <font>
      <u/>
      <sz val="11"/>
      <color rgb="FF0000FF"/>
      <name val="Calibri"/>
    </font>
    <font>
      <sz val="11"/>
      <color rgb="FF000000"/>
      <name val="Roboto"/>
    </font>
    <font>
      <sz val="11"/>
      <color rgb="FF000000"/>
      <name val="-apple-system"/>
    </font>
    <font>
      <sz val="12"/>
      <color theme="1"/>
      <name val="&quot;Times New Roman&quot;"/>
    </font>
    <font>
      <sz val="12"/>
      <color rgb="FFFFFFFF"/>
      <name val="&quot;Times New Roman&quot;"/>
    </font>
    <font>
      <sz val="12"/>
      <color rgb="FF000000"/>
      <name val="&quot;Times New Roman&quot;"/>
    </font>
    <font>
      <sz val="11"/>
      <color rgb="FFFF0000"/>
      <name val="&quot;Times New Roman&quot;"/>
    </font>
    <font>
      <sz val="10"/>
      <color rgb="FF333333"/>
      <name val="Roboto"/>
    </font>
    <font>
      <b/>
      <sz val="12"/>
      <color theme="1"/>
      <name val="Calibri"/>
      <scheme val="minor"/>
    </font>
    <font>
      <b/>
      <u/>
      <sz val="12"/>
      <color rgb="FF0000FF"/>
      <name val="Calibri"/>
    </font>
    <font>
      <sz val="11"/>
      <color rgb="FF434343"/>
      <name val="Calibri"/>
      <scheme val="minor"/>
    </font>
    <font>
      <sz val="10"/>
      <color rgb="FF000000"/>
      <name val="-apple-system"/>
    </font>
    <font>
      <sz val="10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b/>
      <sz val="9"/>
      <color rgb="FF333333"/>
      <name val="Roboto"/>
    </font>
    <font>
      <u/>
      <sz val="11"/>
      <color theme="1"/>
      <name val="Calibri"/>
    </font>
    <font>
      <sz val="11"/>
      <color theme="1"/>
      <name val="&quot;Times New Roman&quot;"/>
    </font>
    <font>
      <sz val="10"/>
      <color theme="1"/>
      <name val="&quot;Times New Roman&quot;"/>
    </font>
    <font>
      <u/>
      <sz val="11"/>
      <color rgb="FF0000FF"/>
      <name val="Arial"/>
    </font>
    <font>
      <u/>
      <sz val="11"/>
      <color rgb="FF0000FF"/>
      <name val="Arial"/>
    </font>
    <font>
      <sz val="10"/>
      <color rgb="FFFFFFFF"/>
      <name val="Roboto"/>
    </font>
    <font>
      <u/>
      <sz val="11"/>
      <color rgb="FF000000"/>
      <name val="Calibri"/>
    </font>
    <font>
      <u/>
      <sz val="11"/>
      <color rgb="FF000000"/>
      <name val="Calibri"/>
    </font>
    <font>
      <sz val="10"/>
      <color rgb="FF000000"/>
      <name val="Roboto"/>
    </font>
    <font>
      <u/>
      <sz val="11"/>
      <color theme="1"/>
      <name val="Arial"/>
    </font>
    <font>
      <sz val="9"/>
      <color rgb="FF000000"/>
      <name val="&quot;Open Sans&quot;"/>
    </font>
    <font>
      <sz val="11"/>
      <color rgb="FFC00000"/>
      <name val="Arial"/>
    </font>
    <font>
      <sz val="12"/>
      <color rgb="FF000000"/>
      <name val="Calibri"/>
    </font>
    <font>
      <sz val="12"/>
      <color theme="1"/>
      <name val="Calibri"/>
      <scheme val="minor"/>
    </font>
    <font>
      <sz val="13"/>
      <color rgb="FF000000"/>
      <name val="Calibri"/>
    </font>
    <font>
      <sz val="13"/>
      <color theme="1"/>
      <name val="Calibri"/>
    </font>
    <font>
      <sz val="12"/>
      <color theme="1"/>
      <name val="&quot;Arial Narrow&quot;"/>
    </font>
    <font>
      <sz val="9"/>
      <color rgb="FF000000"/>
      <name val="&quot;Arial Narrow&quot;"/>
    </font>
    <font>
      <u/>
      <sz val="11"/>
      <color theme="1"/>
      <name val="Calibri"/>
    </font>
    <font>
      <sz val="9"/>
      <color rgb="FF333333"/>
      <name val="Roboto"/>
    </font>
    <font>
      <sz val="11"/>
      <color theme="1"/>
      <name val="-apple-system"/>
    </font>
    <font>
      <sz val="11"/>
      <color theme="1"/>
      <name val="Book Antiqua"/>
    </font>
    <font>
      <sz val="11"/>
      <color rgb="FFFF0000"/>
      <name val="Calibri"/>
    </font>
    <font>
      <sz val="11"/>
      <color theme="1"/>
      <name val="Roboto"/>
    </font>
    <font>
      <sz val="11"/>
      <color rgb="FF0E233D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5"/>
      <name val="Arial"/>
    </font>
    <font>
      <u/>
      <sz val="11"/>
      <color rgb="FF000000"/>
      <name val="Calibri"/>
    </font>
    <font>
      <b/>
      <sz val="11"/>
      <color rgb="FFFF0000"/>
      <name val="Calibri"/>
    </font>
    <font>
      <b/>
      <sz val="11"/>
      <color theme="1"/>
      <name val="Arial"/>
    </font>
    <font>
      <b/>
      <sz val="11"/>
      <color rgb="FF000000"/>
      <name val="Calibri"/>
    </font>
    <font>
      <b/>
      <sz val="13"/>
      <color rgb="FF000000"/>
      <name val="Calibri"/>
    </font>
    <font>
      <sz val="13"/>
      <color theme="1"/>
      <name val="Calibri"/>
      <scheme val="minor"/>
    </font>
    <font>
      <sz val="13"/>
      <color rgb="FF000000"/>
      <name val="Arial"/>
    </font>
    <font>
      <sz val="13"/>
      <color theme="1"/>
      <name val="&quot;Times New Roman&quot;"/>
    </font>
    <font>
      <sz val="13"/>
      <color rgb="FF000000"/>
      <name val="-apple-system"/>
    </font>
    <font>
      <sz val="13"/>
      <color rgb="FFFF0000"/>
      <name val="Calibri"/>
    </font>
    <font>
      <sz val="13"/>
      <color rgb="FF000000"/>
      <name val="Times New Roman"/>
    </font>
    <font>
      <u/>
      <sz val="13"/>
      <color rgb="FF0000FF"/>
      <name val="Calibri"/>
    </font>
    <font>
      <sz val="13"/>
      <color rgb="FF000000"/>
      <name val="Inconsolata"/>
    </font>
    <font>
      <sz val="13"/>
      <color rgb="FF000000"/>
      <name val="&quot;Times New Roman&quot;"/>
    </font>
    <font>
      <sz val="13"/>
      <color rgb="FF000000"/>
      <name val="Calibri"/>
      <scheme val="minor"/>
    </font>
    <font>
      <sz val="13"/>
      <color theme="1"/>
      <name val="&quot;Arial Narrow&quot;"/>
    </font>
    <font>
      <sz val="13"/>
      <color rgb="FF333333"/>
      <name val="Roboto"/>
    </font>
    <font>
      <u/>
      <sz val="13"/>
      <color rgb="FF000000"/>
      <name val="Calibri"/>
    </font>
    <font>
      <sz val="13"/>
      <color rgb="FF000000"/>
      <name val="&quot;Arial Narrow&quot;"/>
    </font>
    <font>
      <sz val="13"/>
      <color theme="1"/>
      <name val="Times New Roman"/>
    </font>
    <font>
      <u/>
      <sz val="13"/>
      <color rgb="FF0000FF"/>
      <name val="Calibri"/>
    </font>
    <font>
      <sz val="10"/>
      <color rgb="FF5A5A5A"/>
      <name val="Calibri"/>
    </font>
    <font>
      <u/>
      <sz val="11"/>
      <color rgb="FF000000"/>
      <name val="Calibri"/>
    </font>
    <font>
      <sz val="9"/>
      <color rgb="FF5A5A5A"/>
      <name val="Arial"/>
    </font>
    <font>
      <u/>
      <sz val="11"/>
      <color rgb="FF0000FF"/>
      <name val="Calibri"/>
    </font>
    <font>
      <sz val="14"/>
      <color rgb="FF000000"/>
      <name val="Calibri"/>
    </font>
    <font>
      <sz val="9"/>
      <color rgb="FF5A5A5A"/>
      <name val="&quot;Open Sans&quot;"/>
    </font>
    <font>
      <sz val="11"/>
      <color rgb="FFFFFF00"/>
      <name val="Calibri"/>
    </font>
    <font>
      <u/>
      <sz val="11"/>
      <color rgb="FF0000FF"/>
      <name val="Calibri"/>
    </font>
    <font>
      <sz val="11"/>
      <color rgb="FFC0504D"/>
      <name val="Arial"/>
    </font>
    <font>
      <sz val="11"/>
      <color rgb="FFFFFFFF"/>
      <name val="Calibri"/>
      <scheme val="minor"/>
    </font>
    <font>
      <sz val="11"/>
      <color rgb="FFFF0000"/>
      <name val="Calibri"/>
      <scheme val="minor"/>
    </font>
    <font>
      <u/>
      <sz val="11"/>
      <color rgb="FF000000"/>
      <name val="Arial"/>
    </font>
    <font>
      <sz val="11"/>
      <color theme="0"/>
      <name val="Calibri"/>
      <scheme val="minor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b/>
      <sz val="11"/>
      <color rgb="FFFFFFFF"/>
      <name val="Calibri"/>
    </font>
    <font>
      <u/>
      <sz val="11"/>
      <color rgb="FF000000"/>
      <name val="Calibri"/>
    </font>
    <font>
      <sz val="11"/>
      <color theme="1"/>
      <name val="Inconsolata"/>
    </font>
    <font>
      <u/>
      <sz val="11"/>
      <color rgb="FF0000FF"/>
      <name val="Calibri"/>
    </font>
    <font>
      <u/>
      <sz val="11"/>
      <color rgb="FF000000"/>
      <name val="Arial"/>
    </font>
    <font>
      <u/>
      <sz val="11"/>
      <color rgb="FF0000FF"/>
      <name val="Calibri"/>
      <scheme val="minor"/>
    </font>
    <font>
      <sz val="11"/>
      <color rgb="FFC00000"/>
      <name val="Calibri"/>
      <scheme val="minor"/>
    </font>
    <font>
      <sz val="10"/>
      <color rgb="FFFF0000"/>
      <name val="Arial"/>
    </font>
    <font>
      <sz val="11"/>
      <color rgb="FFFF0000"/>
      <name val="-apple-system"/>
    </font>
    <font>
      <sz val="12"/>
      <color rgb="FFFF0000"/>
      <name val="Calibri"/>
    </font>
    <font>
      <sz val="12"/>
      <color rgb="FFFF0000"/>
      <name val="&quot;Times New Roman&quot;"/>
    </font>
    <font>
      <sz val="11"/>
      <color rgb="FFFF0000"/>
      <name val="&quot;Times New Roman&quot;"/>
    </font>
    <font>
      <u/>
      <sz val="11"/>
      <color rgb="FFFF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9"/>
      <color rgb="FF000000"/>
      <name val="-apple-system"/>
    </font>
    <font>
      <u/>
      <sz val="11"/>
      <color rgb="FF0000FF"/>
      <name val="Calibri"/>
      <scheme val="minor"/>
    </font>
    <font>
      <u/>
      <sz val="11"/>
      <color rgb="FF0000FF"/>
      <name val="Calibri"/>
    </font>
    <font>
      <sz val="11"/>
      <color rgb="FF536C79"/>
      <name val="-apple-system"/>
    </font>
    <font>
      <sz val="14"/>
      <color rgb="FF000000"/>
      <name val="Calibri"/>
      <scheme val="minor"/>
    </font>
    <font>
      <u/>
      <sz val="11"/>
      <color rgb="FF0000FF"/>
      <name val="Calibri"/>
    </font>
    <font>
      <sz val="11"/>
      <color rgb="FF980000"/>
      <name val="Arial"/>
    </font>
    <font>
      <u/>
      <sz val="11"/>
      <color rgb="FF0000FF"/>
      <name val="Calibri"/>
    </font>
    <font>
      <sz val="11"/>
      <color rgb="FFFF0000"/>
      <name val="Calibri"/>
    </font>
    <font>
      <sz val="11"/>
      <color rgb="FF000000"/>
      <name val="Cambria"/>
    </font>
    <font>
      <sz val="11"/>
      <color rgb="FF000000"/>
      <name val="&quot;Arial Narrow&quot;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sz val="11"/>
      <color rgb="FF000000"/>
      <name val="Arial"/>
    </font>
    <font>
      <sz val="9"/>
      <color theme="1"/>
      <name val="&quot;Open Sans&quot;"/>
    </font>
    <font>
      <sz val="11"/>
      <color rgb="FFFF0000"/>
      <name val="Arial"/>
    </font>
    <font>
      <sz val="12"/>
      <color rgb="FF000000"/>
      <name val="Calibri"/>
      <scheme val="minor"/>
    </font>
    <font>
      <sz val="10"/>
      <color rgb="FFFF0000"/>
      <name val="&quot;Times New Roman&quot;"/>
    </font>
    <font>
      <sz val="11"/>
      <color rgb="FFFF0000"/>
      <name val="Arial"/>
    </font>
    <font>
      <sz val="9"/>
      <color rgb="FFFF0000"/>
      <name val="&quot;Arial Narrow&quot;"/>
    </font>
    <font>
      <u/>
      <sz val="11"/>
      <color rgb="FF0000FF"/>
      <name val="Calibri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rgb="FF0000FF"/>
      <name val="Calibri"/>
    </font>
    <font>
      <sz val="10"/>
      <color rgb="FF000000"/>
      <name val="&quot;Times New Roman&quot;"/>
    </font>
    <font>
      <u/>
      <sz val="11"/>
      <color rgb="FF000000"/>
      <name val="Arial"/>
    </font>
    <font>
      <u/>
      <sz val="11"/>
      <color rgb="FF0000FF"/>
      <name val="Calibri"/>
    </font>
    <font>
      <b/>
      <sz val="13"/>
      <color rgb="FFFF0000"/>
      <name val="Calibri"/>
    </font>
    <font>
      <sz val="13"/>
      <color rgb="FFFF0000"/>
      <name val="Calibri"/>
      <scheme val="minor"/>
    </font>
    <font>
      <u/>
      <sz val="11"/>
      <color rgb="FF000000"/>
      <name val="Calibri"/>
    </font>
    <font>
      <u/>
      <sz val="11"/>
      <color rgb="FF0000FF"/>
      <name val="Arial"/>
    </font>
    <font>
      <sz val="11"/>
      <color rgb="FF29363D"/>
      <name val="-apple-system"/>
    </font>
    <font>
      <u/>
      <sz val="11"/>
      <color theme="1"/>
      <name val="Arial"/>
    </font>
    <font>
      <u/>
      <sz val="11"/>
      <color rgb="FF0000FF"/>
      <name val="Calibri"/>
    </font>
    <font>
      <u/>
      <sz val="11"/>
      <color rgb="FF000000"/>
      <name val="Calibri"/>
    </font>
    <font>
      <sz val="9"/>
      <color rgb="FF000000"/>
      <name val="Calibri"/>
    </font>
    <font>
      <u/>
      <sz val="11"/>
      <color rgb="FF000000"/>
      <name val="Calibri"/>
    </font>
    <font>
      <sz val="11"/>
      <color rgb="FF000000"/>
      <name val="Docs-Calibri"/>
    </font>
    <font>
      <u/>
      <sz val="11"/>
      <color theme="1"/>
      <name val="Arial"/>
    </font>
    <font>
      <sz val="12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theme="1"/>
      <name val="Calibri"/>
    </font>
    <font>
      <u/>
      <sz val="11"/>
      <color rgb="FF000000"/>
      <name val="Arial"/>
    </font>
    <font>
      <u/>
      <sz val="11"/>
      <color rgb="FF0000FF"/>
      <name val="Arial"/>
    </font>
    <font>
      <u/>
      <sz val="11"/>
      <color rgb="FF000000"/>
      <name val="Calibri"/>
    </font>
    <font>
      <u/>
      <sz val="11"/>
      <color rgb="FF000000"/>
      <name val="Arial"/>
    </font>
    <font>
      <sz val="9"/>
      <color theme="1"/>
      <name val="&quot;Times New Roman&quot;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Arial"/>
    </font>
    <font>
      <u/>
      <sz val="11"/>
      <color theme="1"/>
      <name val="Calibri"/>
    </font>
    <font>
      <u/>
      <sz val="11"/>
      <color rgb="FF0000FF"/>
      <name val="Calibri"/>
    </font>
    <font>
      <sz val="14"/>
      <color theme="1"/>
      <name val="Calibri"/>
    </font>
    <font>
      <sz val="10"/>
      <color theme="1"/>
      <name val="-apple-system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0E233D"/>
      <name val="Arial"/>
    </font>
    <font>
      <b/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u/>
      <sz val="11"/>
      <color rgb="FF0000FF"/>
      <name val="Calibri"/>
    </font>
    <font>
      <sz val="11"/>
      <color theme="1"/>
      <name val="Arial Narrow"/>
    </font>
    <font>
      <u/>
      <sz val="11"/>
      <color rgb="FF0000FF"/>
      <name val="Calibri"/>
    </font>
    <font>
      <sz val="11"/>
      <color rgb="FF333333"/>
      <name val="Arial"/>
    </font>
    <font>
      <u/>
      <sz val="11"/>
      <color rgb="FF0000FF"/>
      <name val="Calibri"/>
    </font>
    <font>
      <sz val="11"/>
      <color rgb="FF5A5A5A"/>
      <name val="Arial"/>
    </font>
    <font>
      <u/>
      <sz val="11"/>
      <color rgb="FF000000"/>
      <name val="Calibri"/>
    </font>
    <font>
      <sz val="11"/>
      <color rgb="FF536C79"/>
      <name val="Arial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Docs-Calibri"/>
    </font>
    <font>
      <u/>
      <sz val="11"/>
      <color rgb="FF0000FF"/>
      <name val="Calibri"/>
    </font>
    <font>
      <sz val="10"/>
      <color rgb="FF000000"/>
      <name val="Verdana"/>
    </font>
    <font>
      <sz val="10"/>
      <color rgb="FF0E233D"/>
      <name val="Arial"/>
    </font>
    <font>
      <u/>
      <sz val="11"/>
      <color rgb="FF0000FF"/>
      <name val="Calibri"/>
    </font>
    <font>
      <sz val="10"/>
      <color rgb="FF0E233D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b/>
      <u/>
      <sz val="11"/>
      <color rgb="FF0000FF"/>
      <name val="Calibri"/>
    </font>
    <font>
      <b/>
      <sz val="11"/>
      <color theme="1"/>
      <name val="Times New Roman"/>
    </font>
    <font>
      <sz val="10"/>
      <color rgb="FF333333"/>
      <name val="Verdana"/>
    </font>
    <font>
      <sz val="12"/>
      <color rgb="FFFF0000"/>
      <name val="Calibri"/>
      <scheme val="minor"/>
    </font>
    <font>
      <sz val="14"/>
      <color rgb="FFFF0000"/>
      <name val="Calibri"/>
      <scheme val="minor"/>
    </font>
    <font>
      <u/>
      <sz val="11"/>
      <color rgb="FFFF0000"/>
      <name val="Calibri"/>
    </font>
    <font>
      <u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sz val="11"/>
      <color rgb="FF536C79"/>
      <name val="Calibri"/>
      <scheme val="minor"/>
    </font>
    <font>
      <sz val="9"/>
      <color rgb="FF000000"/>
      <name val="Google Sans Mono"/>
    </font>
    <font>
      <b/>
      <sz val="13"/>
      <color theme="1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sz val="10"/>
      <color rgb="FF000000"/>
      <name val="Cambria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  <scheme val="minor"/>
    </font>
    <font>
      <u/>
      <sz val="11"/>
      <color rgb="FF1155CC"/>
      <name val="Calibri"/>
      <scheme val="minor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sz val="11"/>
      <color rgb="FF333333"/>
      <name val="Roboto"/>
    </font>
    <font>
      <sz val="11"/>
      <color rgb="FFFF0000"/>
      <name val="Inconsolata"/>
    </font>
    <font>
      <u/>
      <sz val="11"/>
      <color rgb="FF1155CC"/>
      <name val="Calibri, sans-serif"/>
    </font>
  </fonts>
  <fills count="3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ECECEC"/>
        <bgColor rgb="FFECECEC"/>
      </patternFill>
    </fill>
    <fill>
      <patternFill patternType="solid">
        <fgColor rgb="FF00B050"/>
        <bgColor rgb="FF00B050"/>
      </patternFill>
    </fill>
    <fill>
      <patternFill patternType="solid">
        <fgColor rgb="FFF9F9F9"/>
        <bgColor rgb="FFF9F9F9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EEEEEE"/>
        <bgColor rgb="FFEEEEEE"/>
      </patternFill>
    </fill>
    <fill>
      <patternFill patternType="solid">
        <fgColor rgb="FFB7E1CD"/>
        <bgColor rgb="FFB7E1CD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C0504D"/>
        <bgColor rgb="FFC0504D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C00000"/>
        <bgColor rgb="FFC00000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7F7F7F"/>
        <bgColor rgb="FF7F7F7F"/>
      </patternFill>
    </fill>
    <fill>
      <patternFill patternType="solid">
        <fgColor rgb="FFEEEECB"/>
        <bgColor rgb="FFEEEECB"/>
      </patternFill>
    </fill>
    <fill>
      <patternFill patternType="solid">
        <fgColor rgb="FF000000"/>
        <bgColor rgb="FF000000"/>
      </patternFill>
    </fill>
    <fill>
      <patternFill patternType="solid">
        <fgColor rgb="FFECF0F5"/>
        <bgColor rgb="FFECF0F5"/>
      </patternFill>
    </fill>
    <fill>
      <patternFill patternType="solid">
        <fgColor rgb="FFCC0000"/>
        <bgColor rgb="FFCC000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thin">
        <color rgb="FFF4F4F4"/>
      </right>
      <top style="thin">
        <color rgb="FFDDDDDD"/>
      </top>
      <bottom style="thin">
        <color rgb="FFF4F4F4"/>
      </bottom>
      <diagonal/>
    </border>
  </borders>
  <cellStyleXfs count="1">
    <xf numFmtId="0" fontId="0" fillId="0" borderId="0"/>
  </cellStyleXfs>
  <cellXfs count="221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/>
    <xf numFmtId="0" fontId="1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0" xfId="0" applyFont="1" applyFill="1" applyAlignment="1">
      <alignment horizontal="left"/>
    </xf>
    <xf numFmtId="0" fontId="8" fillId="2" borderId="0" xfId="0" applyFont="1" applyFill="1" applyAlignment="1"/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/>
    <xf numFmtId="14" fontId="11" fillId="2" borderId="0" xfId="0" applyNumberFormat="1" applyFont="1" applyFill="1" applyAlignment="1"/>
    <xf numFmtId="14" fontId="8" fillId="2" borderId="0" xfId="0" applyNumberFormat="1" applyFont="1" applyFill="1" applyAlignment="1"/>
    <xf numFmtId="0" fontId="12" fillId="2" borderId="0" xfId="0" applyFont="1" applyFill="1" applyAlignment="1"/>
    <xf numFmtId="0" fontId="13" fillId="2" borderId="0" xfId="0" applyFont="1" applyFill="1" applyAlignment="1">
      <alignment horizontal="right"/>
    </xf>
    <xf numFmtId="0" fontId="14" fillId="2" borderId="0" xfId="0" applyFont="1" applyFill="1" applyAlignment="1"/>
    <xf numFmtId="0" fontId="7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center"/>
    </xf>
    <xf numFmtId="0" fontId="8" fillId="2" borderId="0" xfId="0" applyFont="1" applyFill="1" applyAlignment="1">
      <alignment horizontal="right"/>
    </xf>
    <xf numFmtId="0" fontId="5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left"/>
    </xf>
    <xf numFmtId="0" fontId="15" fillId="3" borderId="1" xfId="0" applyFont="1" applyFill="1" applyBorder="1" applyAlignment="1">
      <alignment horizontal="center"/>
    </xf>
    <xf numFmtId="0" fontId="5" fillId="2" borderId="0" xfId="0" applyFont="1" applyFill="1" applyAlignment="1"/>
    <xf numFmtId="0" fontId="10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10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19" fillId="0" borderId="7" xfId="0" applyFont="1" applyBorder="1" applyAlignment="1"/>
    <xf numFmtId="0" fontId="6" fillId="0" borderId="7" xfId="0" applyFont="1" applyBorder="1" applyAlignment="1"/>
    <xf numFmtId="0" fontId="6" fillId="0" borderId="7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6" fillId="0" borderId="0" xfId="0" applyFont="1" applyAlignme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0" xfId="0" applyFont="1" applyFill="1" applyAlignment="1"/>
    <xf numFmtId="0" fontId="5" fillId="0" borderId="0" xfId="0" applyFont="1" applyAlignment="1">
      <alignment horizontal="center" wrapText="1"/>
    </xf>
    <xf numFmtId="0" fontId="6" fillId="0" borderId="11" xfId="0" applyFont="1" applyBorder="1" applyAlignment="1">
      <alignment horizontal="left"/>
    </xf>
    <xf numFmtId="0" fontId="21" fillId="0" borderId="12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14" fontId="11" fillId="2" borderId="0" xfId="0" applyNumberFormat="1" applyFont="1" applyFill="1" applyAlignment="1">
      <alignment horizontal="center"/>
    </xf>
    <xf numFmtId="14" fontId="8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3" fillId="0" borderId="1" xfId="0" applyFont="1" applyBorder="1"/>
    <xf numFmtId="0" fontId="15" fillId="2" borderId="0" xfId="0" applyFont="1" applyFill="1" applyAlignment="1">
      <alignment horizontal="center"/>
    </xf>
    <xf numFmtId="0" fontId="9" fillId="0" borderId="1" xfId="0" applyFont="1" applyBorder="1" applyAlignment="1">
      <alignment horizontal="left"/>
    </xf>
    <xf numFmtId="0" fontId="15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27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4" fontId="29" fillId="0" borderId="0" xfId="0" applyNumberFormat="1" applyFont="1"/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3" fillId="2" borderId="1" xfId="0" applyFont="1" applyFill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0" fontId="9" fillId="0" borderId="0" xfId="0" applyFont="1"/>
    <xf numFmtId="0" fontId="3" fillId="0" borderId="1" xfId="0" applyFont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14" fontId="0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/>
    </xf>
    <xf numFmtId="0" fontId="38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9" fillId="3" borderId="15" xfId="0" applyFont="1" applyFill="1" applyBorder="1" applyAlignment="1">
      <alignment horizontal="center" vertical="center"/>
    </xf>
    <xf numFmtId="0" fontId="40" fillId="3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9" fillId="3" borderId="1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1" fillId="0" borderId="0" xfId="0" applyFont="1" applyAlignment="1">
      <alignment horizontal="right"/>
    </xf>
    <xf numFmtId="0" fontId="42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5" fillId="2" borderId="0" xfId="0" applyFont="1" applyFill="1"/>
    <xf numFmtId="0" fontId="10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0" xfId="0" applyFont="1" applyFill="1"/>
    <xf numFmtId="0" fontId="43" fillId="0" borderId="0" xfId="0" applyFont="1" applyAlignment="1"/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0" xfId="0" applyFont="1" applyAlignment="1">
      <alignment horizontal="left"/>
    </xf>
    <xf numFmtId="0" fontId="45" fillId="0" borderId="1" xfId="0" applyFont="1" applyBorder="1" applyAlignment="1">
      <alignment horizontal="center"/>
    </xf>
    <xf numFmtId="0" fontId="45" fillId="0" borderId="8" xfId="0" applyFont="1" applyBorder="1" applyAlignment="1">
      <alignment horizontal="center"/>
    </xf>
    <xf numFmtId="0" fontId="45" fillId="5" borderId="8" xfId="0" applyFont="1" applyFill="1" applyBorder="1" applyAlignment="1">
      <alignment horizontal="center"/>
    </xf>
    <xf numFmtId="0" fontId="45" fillId="5" borderId="9" xfId="0" applyFont="1" applyFill="1" applyBorder="1" applyAlignment="1">
      <alignment horizontal="center"/>
    </xf>
    <xf numFmtId="0" fontId="45" fillId="5" borderId="10" xfId="0" applyFont="1" applyFill="1" applyBorder="1" applyAlignment="1">
      <alignment horizontal="center"/>
    </xf>
    <xf numFmtId="0" fontId="45" fillId="6" borderId="8" xfId="0" applyFont="1" applyFill="1" applyBorder="1" applyAlignment="1">
      <alignment horizontal="center"/>
    </xf>
    <xf numFmtId="0" fontId="45" fillId="6" borderId="9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0" fontId="45" fillId="7" borderId="9" xfId="0" applyFont="1" applyFill="1" applyBorder="1" applyAlignment="1">
      <alignment horizontal="center"/>
    </xf>
    <xf numFmtId="0" fontId="45" fillId="7" borderId="9" xfId="0" applyFont="1" applyFill="1" applyBorder="1" applyAlignment="1">
      <alignment horizontal="center"/>
    </xf>
    <xf numFmtId="0" fontId="45" fillId="8" borderId="8" xfId="0" applyFont="1" applyFill="1" applyBorder="1" applyAlignment="1">
      <alignment horizontal="center"/>
    </xf>
    <xf numFmtId="0" fontId="45" fillId="8" borderId="9" xfId="0" applyFont="1" applyFill="1" applyBorder="1" applyAlignment="1">
      <alignment horizontal="center"/>
    </xf>
    <xf numFmtId="14" fontId="45" fillId="8" borderId="8" xfId="0" applyNumberFormat="1" applyFont="1" applyFill="1" applyBorder="1" applyAlignment="1">
      <alignment horizontal="center"/>
    </xf>
    <xf numFmtId="0" fontId="45" fillId="9" borderId="8" xfId="0" applyFont="1" applyFill="1" applyBorder="1" applyAlignment="1">
      <alignment horizontal="center"/>
    </xf>
    <xf numFmtId="0" fontId="45" fillId="9" borderId="9" xfId="0" applyFont="1" applyFill="1" applyBorder="1" applyAlignment="1">
      <alignment horizontal="center"/>
    </xf>
    <xf numFmtId="0" fontId="45" fillId="9" borderId="10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35" fillId="0" borderId="1" xfId="0" applyFont="1" applyBorder="1"/>
    <xf numFmtId="0" fontId="35" fillId="0" borderId="1" xfId="0" applyFont="1" applyBorder="1" applyAlignment="1">
      <alignment horizontal="center"/>
    </xf>
    <xf numFmtId="0" fontId="35" fillId="5" borderId="16" xfId="0" applyFont="1" applyFill="1" applyBorder="1" applyAlignment="1">
      <alignment horizontal="center"/>
    </xf>
    <xf numFmtId="0" fontId="35" fillId="6" borderId="16" xfId="0" applyFont="1" applyFill="1" applyBorder="1" applyAlignment="1">
      <alignment horizontal="center"/>
    </xf>
    <xf numFmtId="0" fontId="35" fillId="7" borderId="16" xfId="0" applyFont="1" applyFill="1" applyBorder="1" applyAlignment="1">
      <alignment horizontal="center"/>
    </xf>
    <xf numFmtId="0" fontId="35" fillId="8" borderId="16" xfId="0" applyFont="1" applyFill="1" applyBorder="1" applyAlignment="1">
      <alignment horizontal="center"/>
    </xf>
    <xf numFmtId="0" fontId="35" fillId="9" borderId="16" xfId="0" applyFont="1" applyFill="1" applyBorder="1" applyAlignment="1">
      <alignment horizontal="center"/>
    </xf>
    <xf numFmtId="0" fontId="35" fillId="0" borderId="0" xfId="0" applyFont="1"/>
    <xf numFmtId="3" fontId="35" fillId="5" borderId="1" xfId="0" applyNumberFormat="1" applyFont="1" applyFill="1" applyBorder="1" applyAlignment="1">
      <alignment horizontal="center"/>
    </xf>
    <xf numFmtId="0" fontId="35" fillId="5" borderId="1" xfId="0" applyFont="1" applyFill="1" applyBorder="1" applyAlignment="1">
      <alignment horizontal="center"/>
    </xf>
    <xf numFmtId="0" fontId="35" fillId="6" borderId="1" xfId="0" applyFont="1" applyFill="1" applyBorder="1" applyAlignment="1">
      <alignment horizontal="center"/>
    </xf>
    <xf numFmtId="3" fontId="35" fillId="7" borderId="1" xfId="0" applyNumberFormat="1" applyFont="1" applyFill="1" applyBorder="1" applyAlignment="1">
      <alignment horizontal="center"/>
    </xf>
    <xf numFmtId="0" fontId="35" fillId="7" borderId="1" xfId="0" applyFont="1" applyFill="1" applyBorder="1" applyAlignment="1">
      <alignment horizontal="center"/>
    </xf>
    <xf numFmtId="0" fontId="35" fillId="8" borderId="1" xfId="0" applyFont="1" applyFill="1" applyBorder="1" applyAlignment="1">
      <alignment horizontal="center"/>
    </xf>
    <xf numFmtId="3" fontId="35" fillId="9" borderId="1" xfId="0" applyNumberFormat="1" applyFont="1" applyFill="1" applyBorder="1" applyAlignment="1">
      <alignment horizontal="center"/>
    </xf>
    <xf numFmtId="0" fontId="35" fillId="9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left" vertical="center" wrapText="1"/>
    </xf>
    <xf numFmtId="0" fontId="35" fillId="0" borderId="0" xfId="0" applyFont="1" applyAlignment="1">
      <alignment horizontal="center"/>
    </xf>
    <xf numFmtId="0" fontId="32" fillId="0" borderId="1" xfId="0" applyFont="1" applyBorder="1" applyAlignment="1">
      <alignment horizontal="left" vertical="center" wrapText="1"/>
    </xf>
    <xf numFmtId="0" fontId="34" fillId="0" borderId="0" xfId="0" applyFont="1" applyAlignment="1">
      <alignment horizontal="center" vertical="center" wrapText="1"/>
    </xf>
    <xf numFmtId="0" fontId="31" fillId="9" borderId="1" xfId="0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31" fillId="6" borderId="1" xfId="0" applyFont="1" applyFill="1" applyBorder="1" applyAlignment="1">
      <alignment horizontal="center"/>
    </xf>
    <xf numFmtId="0" fontId="39" fillId="0" borderId="0" xfId="0" applyFont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vertical="center" wrapText="1"/>
    </xf>
    <xf numFmtId="0" fontId="39" fillId="0" borderId="0" xfId="0" applyFont="1" applyAlignment="1">
      <alignment horizontal="center" vertical="center" wrapText="1"/>
    </xf>
    <xf numFmtId="0" fontId="47" fillId="0" borderId="1" xfId="0" applyFont="1" applyBorder="1" applyAlignment="1">
      <alignment horizontal="center"/>
    </xf>
    <xf numFmtId="0" fontId="3" fillId="0" borderId="0" xfId="0" applyFont="1" applyAlignment="1"/>
    <xf numFmtId="0" fontId="48" fillId="0" borderId="1" xfId="0" applyFont="1" applyBorder="1" applyAlignment="1">
      <alignment horizontal="center"/>
    </xf>
    <xf numFmtId="0" fontId="6" fillId="0" borderId="0" xfId="0" applyFont="1" applyAlignment="1"/>
    <xf numFmtId="0" fontId="3" fillId="0" borderId="8" xfId="0" applyFont="1" applyBorder="1" applyAlignment="1"/>
    <xf numFmtId="0" fontId="3" fillId="0" borderId="9" xfId="0" applyFont="1" applyBorder="1" applyAlignment="1">
      <alignment horizontal="center"/>
    </xf>
    <xf numFmtId="0" fontId="49" fillId="0" borderId="17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 applyAlignment="1"/>
    <xf numFmtId="0" fontId="15" fillId="3" borderId="0" xfId="0" applyFont="1" applyFill="1"/>
    <xf numFmtId="0" fontId="3" fillId="0" borderId="1" xfId="0" applyFont="1" applyBorder="1" applyAlignment="1">
      <alignment horizontal="left"/>
    </xf>
    <xf numFmtId="0" fontId="50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1" fillId="0" borderId="1" xfId="0" applyFont="1" applyBorder="1" applyAlignment="1">
      <alignment horizontal="left" wrapText="1"/>
    </xf>
    <xf numFmtId="0" fontId="52" fillId="0" borderId="1" xfId="0" applyFont="1" applyBorder="1" applyAlignment="1">
      <alignment horizontal="left" wrapText="1"/>
    </xf>
    <xf numFmtId="0" fontId="51" fillId="0" borderId="1" xfId="0" applyFont="1" applyBorder="1" applyAlignment="1">
      <alignment horizontal="left" wrapText="1"/>
    </xf>
    <xf numFmtId="0" fontId="52" fillId="0" borderId="1" xfId="0" applyFont="1" applyBorder="1" applyAlignment="1">
      <alignment horizontal="left" wrapText="1"/>
    </xf>
    <xf numFmtId="0" fontId="5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54" fillId="0" borderId="0" xfId="0" applyFont="1" applyAlignment="1"/>
    <xf numFmtId="0" fontId="55" fillId="0" borderId="1" xfId="0" applyFont="1" applyBorder="1" applyAlignment="1">
      <alignment horizontal="left"/>
    </xf>
    <xf numFmtId="0" fontId="55" fillId="0" borderId="10" xfId="0" applyFont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5" fillId="0" borderId="10" xfId="0" applyFont="1" applyBorder="1" applyAlignment="1">
      <alignment horizontal="left"/>
    </xf>
    <xf numFmtId="0" fontId="55" fillId="0" borderId="10" xfId="0" applyFont="1" applyBorder="1" applyAlignment="1"/>
    <xf numFmtId="14" fontId="32" fillId="0" borderId="10" xfId="0" applyNumberFormat="1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6" fillId="3" borderId="14" xfId="0" applyFont="1" applyFill="1" applyBorder="1" applyAlignment="1">
      <alignment horizontal="left"/>
    </xf>
    <xf numFmtId="0" fontId="56" fillId="0" borderId="14" xfId="0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56" fillId="0" borderId="14" xfId="0" applyFont="1" applyBorder="1" applyAlignment="1">
      <alignment horizontal="left"/>
    </xf>
    <xf numFmtId="14" fontId="57" fillId="0" borderId="14" xfId="0" applyNumberFormat="1" applyFont="1" applyBorder="1" applyAlignment="1">
      <alignment horizontal="center"/>
    </xf>
    <xf numFmtId="0" fontId="56" fillId="0" borderId="7" xfId="0" applyFont="1" applyBorder="1" applyAlignment="1">
      <alignment horizontal="center"/>
    </xf>
    <xf numFmtId="0" fontId="58" fillId="0" borderId="16" xfId="0" applyFont="1" applyBorder="1" applyAlignment="1">
      <alignment horizontal="center"/>
    </xf>
    <xf numFmtId="0" fontId="54" fillId="0" borderId="14" xfId="0" applyFont="1" applyBorder="1" applyAlignment="1">
      <alignment horizontal="center"/>
    </xf>
    <xf numFmtId="0" fontId="58" fillId="3" borderId="14" xfId="0" applyFont="1" applyFill="1" applyBorder="1" applyAlignment="1">
      <alignment horizontal="left"/>
    </xf>
    <xf numFmtId="0" fontId="58" fillId="0" borderId="14" xfId="0" applyFont="1" applyBorder="1" applyAlignment="1">
      <alignment horizontal="center"/>
    </xf>
    <xf numFmtId="0" fontId="58" fillId="0" borderId="14" xfId="0" applyFont="1" applyBorder="1" applyAlignment="1">
      <alignment horizontal="left"/>
    </xf>
    <xf numFmtId="0" fontId="58" fillId="0" borderId="14" xfId="0" applyFont="1" applyBorder="1" applyAlignment="1">
      <alignment horizontal="center" vertical="top"/>
    </xf>
    <xf numFmtId="14" fontId="57" fillId="0" borderId="14" xfId="0" applyNumberFormat="1" applyFont="1" applyBorder="1" applyAlignment="1">
      <alignment horizontal="center" vertical="top"/>
    </xf>
    <xf numFmtId="0" fontId="58" fillId="0" borderId="7" xfId="0" applyFont="1" applyBorder="1" applyAlignment="1">
      <alignment horizontal="center" vertical="top"/>
    </xf>
    <xf numFmtId="0" fontId="58" fillId="0" borderId="14" xfId="0" applyFont="1" applyBorder="1" applyAlignment="1">
      <alignment horizontal="left"/>
    </xf>
    <xf numFmtId="0" fontId="58" fillId="3" borderId="14" xfId="0" applyFont="1" applyFill="1" applyBorder="1" applyAlignment="1">
      <alignment horizontal="left"/>
    </xf>
    <xf numFmtId="0" fontId="58" fillId="3" borderId="14" xfId="0" applyFont="1" applyFill="1" applyBorder="1" applyAlignment="1">
      <alignment horizontal="center"/>
    </xf>
    <xf numFmtId="14" fontId="57" fillId="3" borderId="14" xfId="0" applyNumberFormat="1" applyFont="1" applyFill="1" applyBorder="1" applyAlignment="1">
      <alignment horizontal="center"/>
    </xf>
    <xf numFmtId="0" fontId="58" fillId="3" borderId="7" xfId="0" applyFont="1" applyFill="1" applyBorder="1" applyAlignment="1">
      <alignment horizontal="center"/>
    </xf>
    <xf numFmtId="0" fontId="58" fillId="0" borderId="18" xfId="0" applyFont="1" applyBorder="1" applyAlignment="1">
      <alignment horizontal="center" vertical="top"/>
    </xf>
    <xf numFmtId="0" fontId="58" fillId="3" borderId="14" xfId="0" applyFont="1" applyFill="1" applyBorder="1" applyAlignment="1">
      <alignment horizontal="left" vertical="top"/>
    </xf>
    <xf numFmtId="0" fontId="58" fillId="3" borderId="14" xfId="0" applyFont="1" applyFill="1" applyBorder="1" applyAlignment="1">
      <alignment horizontal="center" vertical="top"/>
    </xf>
    <xf numFmtId="14" fontId="57" fillId="3" borderId="14" xfId="0" applyNumberFormat="1" applyFont="1" applyFill="1" applyBorder="1" applyAlignment="1">
      <alignment horizontal="center" vertical="top"/>
    </xf>
    <xf numFmtId="0" fontId="58" fillId="3" borderId="14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left" vertical="top"/>
    </xf>
    <xf numFmtId="0" fontId="56" fillId="3" borderId="14" xfId="0" applyFont="1" applyFill="1" applyBorder="1" applyAlignment="1">
      <alignment horizontal="left" vertical="top"/>
    </xf>
    <xf numFmtId="0" fontId="56" fillId="3" borderId="1" xfId="0" applyFont="1" applyFill="1" applyBorder="1" applyAlignment="1">
      <alignment horizontal="left" vertical="top"/>
    </xf>
    <xf numFmtId="0" fontId="58" fillId="3" borderId="1" xfId="0" applyFont="1" applyFill="1" applyBorder="1" applyAlignment="1">
      <alignment horizontal="center" vertical="top"/>
    </xf>
    <xf numFmtId="0" fontId="58" fillId="3" borderId="1" xfId="0" applyFont="1" applyFill="1" applyBorder="1" applyAlignment="1">
      <alignment horizontal="left" vertical="top"/>
    </xf>
    <xf numFmtId="14" fontId="57" fillId="3" borderId="1" xfId="0" applyNumberFormat="1" applyFont="1" applyFill="1" applyBorder="1" applyAlignment="1">
      <alignment horizontal="center" vertical="top"/>
    </xf>
    <xf numFmtId="0" fontId="58" fillId="0" borderId="1" xfId="0" applyFont="1" applyBorder="1" applyAlignment="1">
      <alignment horizontal="center" vertical="top"/>
    </xf>
    <xf numFmtId="0" fontId="58" fillId="0" borderId="1" xfId="0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60" fillId="3" borderId="1" xfId="0" applyFont="1" applyFill="1" applyBorder="1" applyAlignment="1">
      <alignment horizontal="left"/>
    </xf>
    <xf numFmtId="0" fontId="59" fillId="3" borderId="1" xfId="0" applyFont="1" applyFill="1" applyBorder="1" applyAlignment="1">
      <alignment horizontal="left" vertical="top"/>
    </xf>
    <xf numFmtId="0" fontId="59" fillId="3" borderId="1" xfId="0" applyFont="1" applyFill="1" applyBorder="1" applyAlignment="1">
      <alignment horizontal="center" vertical="top"/>
    </xf>
    <xf numFmtId="14" fontId="61" fillId="3" borderId="1" xfId="0" applyNumberFormat="1" applyFont="1" applyFill="1" applyBorder="1" applyAlignment="1">
      <alignment horizontal="center" vertical="top"/>
    </xf>
    <xf numFmtId="0" fontId="60" fillId="0" borderId="1" xfId="0" applyFont="1" applyBorder="1" applyAlignment="1">
      <alignment horizontal="center" vertical="top"/>
    </xf>
    <xf numFmtId="0" fontId="41" fillId="3" borderId="1" xfId="0" applyFont="1" applyFill="1" applyBorder="1" applyAlignment="1">
      <alignment horizontal="left" wrapText="1"/>
    </xf>
    <xf numFmtId="1" fontId="62" fillId="0" borderId="1" xfId="0" applyNumberFormat="1" applyFont="1" applyBorder="1" applyAlignment="1">
      <alignment horizontal="left" wrapText="1"/>
    </xf>
    <xf numFmtId="14" fontId="41" fillId="0" borderId="1" xfId="0" applyNumberFormat="1" applyFont="1" applyBorder="1" applyAlignment="1">
      <alignment horizontal="center"/>
    </xf>
    <xf numFmtId="14" fontId="6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left" wrapText="1"/>
    </xf>
    <xf numFmtId="14" fontId="64" fillId="0" borderId="1" xfId="0" applyNumberFormat="1" applyFont="1" applyBorder="1" applyAlignment="1">
      <alignment horizontal="center"/>
    </xf>
    <xf numFmtId="14" fontId="65" fillId="0" borderId="1" xfId="0" applyNumberFormat="1" applyFont="1" applyBorder="1" applyAlignment="1">
      <alignment horizontal="center"/>
    </xf>
    <xf numFmtId="14" fontId="41" fillId="0" borderId="1" xfId="0" applyNumberFormat="1" applyFont="1" applyBorder="1" applyAlignment="1">
      <alignment horizontal="center"/>
    </xf>
    <xf numFmtId="0" fontId="3" fillId="0" borderId="1" xfId="0" applyFont="1" applyBorder="1" applyAlignment="1"/>
    <xf numFmtId="0" fontId="66" fillId="0" borderId="1" xfId="0" applyFont="1" applyBorder="1" applyAlignment="1"/>
    <xf numFmtId="0" fontId="15" fillId="3" borderId="1" xfId="0" applyFont="1" applyFill="1" applyBorder="1"/>
    <xf numFmtId="14" fontId="6" fillId="0" borderId="1" xfId="0" applyNumberFormat="1" applyFont="1" applyBorder="1" applyAlignment="1">
      <alignment horizontal="center" wrapText="1"/>
    </xf>
    <xf numFmtId="0" fontId="41" fillId="0" borderId="1" xfId="0" applyFont="1" applyBorder="1" applyAlignment="1">
      <alignment horizontal="center" wrapText="1"/>
    </xf>
    <xf numFmtId="0" fontId="0" fillId="0" borderId="1" xfId="0" applyFont="1" applyBorder="1" applyAlignment="1"/>
    <xf numFmtId="0" fontId="3" fillId="0" borderId="1" xfId="0" applyFont="1" applyBorder="1" applyAlignment="1"/>
    <xf numFmtId="0" fontId="6" fillId="3" borderId="1" xfId="0" applyFont="1" applyFill="1" applyBorder="1" applyAlignment="1">
      <alignment horizontal="left" wrapText="1"/>
    </xf>
    <xf numFmtId="0" fontId="67" fillId="3" borderId="1" xfId="0" applyFont="1" applyFill="1" applyBorder="1" applyAlignment="1">
      <alignment horizontal="left"/>
    </xf>
    <xf numFmtId="14" fontId="41" fillId="0" borderId="1" xfId="0" applyNumberFormat="1" applyFont="1" applyBorder="1" applyAlignment="1">
      <alignment horizontal="center"/>
    </xf>
    <xf numFmtId="14" fontId="63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left" wrapText="1"/>
    </xf>
    <xf numFmtId="14" fontId="15" fillId="3" borderId="1" xfId="0" applyNumberFormat="1" applyFont="1" applyFill="1" applyBorder="1"/>
    <xf numFmtId="0" fontId="6" fillId="0" borderId="1" xfId="0" applyFont="1" applyBorder="1" applyAlignment="1">
      <alignment horizontal="left" wrapText="1"/>
    </xf>
    <xf numFmtId="14" fontId="6" fillId="0" borderId="1" xfId="0" applyNumberFormat="1" applyFont="1" applyBorder="1" applyAlignment="1"/>
    <xf numFmtId="0" fontId="9" fillId="0" borderId="1" xfId="0" applyFont="1" applyBorder="1" applyAlignment="1"/>
    <xf numFmtId="0" fontId="68" fillId="0" borderId="1" xfId="0" applyFont="1" applyBorder="1" applyAlignment="1"/>
    <xf numFmtId="0" fontId="9" fillId="0" borderId="1" xfId="0" applyFont="1" applyBorder="1"/>
    <xf numFmtId="0" fontId="9" fillId="0" borderId="0" xfId="0" applyFont="1"/>
    <xf numFmtId="0" fontId="41" fillId="3" borderId="1" xfId="0" applyFont="1" applyFill="1" applyBorder="1" applyAlignment="1">
      <alignment horizontal="left"/>
    </xf>
    <xf numFmtId="14" fontId="38" fillId="0" borderId="1" xfId="0" applyNumberFormat="1" applyFont="1" applyBorder="1" applyAlignment="1">
      <alignment horizontal="center"/>
    </xf>
    <xf numFmtId="0" fontId="41" fillId="0" borderId="1" xfId="0" applyFont="1" applyBorder="1" applyAlignment="1">
      <alignment horizontal="left" wrapText="1"/>
    </xf>
    <xf numFmtId="14" fontId="65" fillId="2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1" fontId="41" fillId="3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0" fontId="63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6" fillId="0" borderId="0" xfId="0" applyFont="1" applyAlignment="1"/>
    <xf numFmtId="0" fontId="6" fillId="0" borderId="0" xfId="0" applyFont="1" applyAlignment="1"/>
    <xf numFmtId="0" fontId="69" fillId="0" borderId="0" xfId="0" applyFont="1" applyAlignment="1"/>
    <xf numFmtId="0" fontId="6" fillId="0" borderId="0" xfId="0" applyFont="1"/>
    <xf numFmtId="0" fontId="6" fillId="0" borderId="0" xfId="0" applyFont="1" applyAlignment="1"/>
    <xf numFmtId="0" fontId="0" fillId="3" borderId="1" xfId="0" applyFont="1" applyFill="1" applyBorder="1" applyAlignment="1">
      <alignment horizontal="left" wrapText="1"/>
    </xf>
    <xf numFmtId="1" fontId="65" fillId="0" borderId="1" xfId="0" applyNumberFormat="1" applyFont="1" applyBorder="1" applyAlignment="1">
      <alignment horizontal="left" wrapText="1"/>
    </xf>
    <xf numFmtId="14" fontId="65" fillId="0" borderId="1" xfId="0" applyNumberFormat="1" applyFont="1" applyBorder="1" applyAlignment="1">
      <alignment horizontal="center"/>
    </xf>
    <xf numFmtId="14" fontId="65" fillId="2" borderId="1" xfId="0" applyNumberFormat="1" applyFont="1" applyFill="1" applyBorder="1" applyAlignment="1">
      <alignment horizontal="center"/>
    </xf>
    <xf numFmtId="0" fontId="0" fillId="0" borderId="1" xfId="0" applyFont="1" applyBorder="1" applyAlignment="1"/>
    <xf numFmtId="0" fontId="70" fillId="0" borderId="1" xfId="0" applyFont="1" applyBorder="1" applyAlignment="1"/>
    <xf numFmtId="1" fontId="62" fillId="0" borderId="1" xfId="0" applyNumberFormat="1" applyFont="1" applyBorder="1" applyAlignment="1">
      <alignment horizontal="left"/>
    </xf>
    <xf numFmtId="14" fontId="71" fillId="0" borderId="1" xfId="0" applyNumberFormat="1" applyFont="1" applyBorder="1" applyAlignment="1">
      <alignment horizontal="center"/>
    </xf>
    <xf numFmtId="0" fontId="72" fillId="0" borderId="1" xfId="0" applyFont="1" applyBorder="1" applyAlignment="1"/>
    <xf numFmtId="0" fontId="6" fillId="3" borderId="1" xfId="0" applyFont="1" applyFill="1" applyBorder="1" applyAlignment="1"/>
    <xf numFmtId="0" fontId="41" fillId="0" borderId="8" xfId="0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left"/>
    </xf>
    <xf numFmtId="14" fontId="73" fillId="3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/>
    <xf numFmtId="14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/>
    <xf numFmtId="0" fontId="74" fillId="0" borderId="1" xfId="0" applyFont="1" applyBorder="1" applyAlignment="1"/>
    <xf numFmtId="0" fontId="6" fillId="0" borderId="1" xfId="0" applyFont="1" applyBorder="1" applyAlignment="1"/>
    <xf numFmtId="0" fontId="6" fillId="0" borderId="1" xfId="0" applyFont="1" applyBorder="1" applyAlignment="1"/>
    <xf numFmtId="1" fontId="65" fillId="3" borderId="1" xfId="0" applyNumberFormat="1" applyFont="1" applyFill="1" applyBorder="1" applyAlignment="1">
      <alignment horizontal="left"/>
    </xf>
    <xf numFmtId="0" fontId="75" fillId="0" borderId="1" xfId="0" applyFont="1" applyBorder="1" applyAlignment="1">
      <alignment horizontal="center" wrapText="1"/>
    </xf>
    <xf numFmtId="0" fontId="3" fillId="0" borderId="1" xfId="0" applyFont="1" applyBorder="1" applyAlignment="1"/>
    <xf numFmtId="0" fontId="76" fillId="0" borderId="0" xfId="0" applyFont="1" applyAlignment="1"/>
    <xf numFmtId="0" fontId="41" fillId="0" borderId="10" xfId="0" applyFont="1" applyBorder="1" applyAlignment="1">
      <alignment horizontal="left" wrapText="1"/>
    </xf>
    <xf numFmtId="1" fontId="62" fillId="0" borderId="10" xfId="0" applyNumberFormat="1" applyFont="1" applyBorder="1" applyAlignment="1">
      <alignment horizontal="left" wrapText="1"/>
    </xf>
    <xf numFmtId="14" fontId="41" fillId="0" borderId="10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41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14" fontId="64" fillId="0" borderId="10" xfId="0" applyNumberFormat="1" applyFont="1" applyBorder="1" applyAlignment="1">
      <alignment horizontal="center"/>
    </xf>
    <xf numFmtId="0" fontId="0" fillId="0" borderId="7" xfId="0" applyFont="1" applyBorder="1" applyAlignment="1"/>
    <xf numFmtId="0" fontId="77" fillId="0" borderId="7" xfId="0" applyFont="1" applyBorder="1" applyAlignment="1"/>
    <xf numFmtId="0" fontId="3" fillId="0" borderId="7" xfId="0" applyFont="1" applyBorder="1"/>
    <xf numFmtId="0" fontId="3" fillId="0" borderId="7" xfId="0" applyFont="1" applyBorder="1" applyAlignment="1"/>
    <xf numFmtId="0" fontId="41" fillId="0" borderId="1" xfId="0" applyFont="1" applyBorder="1" applyAlignment="1">
      <alignment horizontal="left" wrapText="1"/>
    </xf>
    <xf numFmtId="1" fontId="78" fillId="0" borderId="1" xfId="0" applyNumberFormat="1" applyFont="1" applyBorder="1" applyAlignment="1">
      <alignment horizontal="left" wrapText="1"/>
    </xf>
    <xf numFmtId="1" fontId="40" fillId="0" borderId="1" xfId="0" applyNumberFormat="1" applyFont="1" applyBorder="1" applyAlignment="1">
      <alignment horizontal="left" wrapText="1"/>
    </xf>
    <xf numFmtId="0" fontId="79" fillId="0" borderId="14" xfId="0" applyFont="1" applyBorder="1" applyAlignment="1"/>
    <xf numFmtId="0" fontId="80" fillId="3" borderId="1" xfId="0" applyFont="1" applyFill="1" applyBorder="1" applyAlignment="1">
      <alignment horizontal="left"/>
    </xf>
    <xf numFmtId="164" fontId="6" fillId="0" borderId="14" xfId="0" applyNumberFormat="1" applyFont="1" applyBorder="1" applyAlignment="1">
      <alignment horizontal="center"/>
    </xf>
    <xf numFmtId="14" fontId="6" fillId="3" borderId="14" xfId="0" applyNumberFormat="1" applyFont="1" applyFill="1" applyBorder="1" applyAlignment="1">
      <alignment horizontal="center"/>
    </xf>
    <xf numFmtId="0" fontId="6" fillId="0" borderId="14" xfId="0" applyFont="1" applyBorder="1" applyAlignment="1"/>
    <xf numFmtId="0" fontId="6" fillId="0" borderId="14" xfId="0" applyFont="1" applyBorder="1" applyAlignment="1">
      <alignment horizontal="center"/>
    </xf>
    <xf numFmtId="14" fontId="6" fillId="0" borderId="14" xfId="0" applyNumberFormat="1" applyFont="1" applyBorder="1" applyAlignment="1"/>
    <xf numFmtId="0" fontId="6" fillId="0" borderId="14" xfId="0" applyFont="1" applyBorder="1" applyAlignment="1">
      <alignment horizontal="center" wrapText="1"/>
    </xf>
    <xf numFmtId="0" fontId="13" fillId="0" borderId="14" xfId="0" applyFont="1" applyBorder="1" applyAlignment="1">
      <alignment horizontal="center"/>
    </xf>
    <xf numFmtId="14" fontId="6" fillId="0" borderId="14" xfId="0" applyNumberFormat="1" applyFont="1" applyBorder="1" applyAlignment="1"/>
    <xf numFmtId="0" fontId="6" fillId="0" borderId="14" xfId="0" applyFont="1" applyBorder="1" applyAlignment="1"/>
    <xf numFmtId="0" fontId="6" fillId="2" borderId="1" xfId="0" applyFont="1" applyFill="1" applyBorder="1" applyAlignment="1">
      <alignment wrapText="1"/>
    </xf>
    <xf numFmtId="0" fontId="6" fillId="0" borderId="1" xfId="0" applyFont="1" applyBorder="1" applyAlignment="1">
      <alignment horizontal="center"/>
    </xf>
    <xf numFmtId="1" fontId="41" fillId="0" borderId="1" xfId="0" applyNumberFormat="1" applyFont="1" applyBorder="1" applyAlignment="1">
      <alignment horizontal="left" wrapText="1"/>
    </xf>
    <xf numFmtId="14" fontId="4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41" fillId="0" borderId="1" xfId="0" applyFont="1" applyBorder="1" applyAlignment="1">
      <alignment horizontal="center" wrapText="1"/>
    </xf>
    <xf numFmtId="14" fontId="41" fillId="0" borderId="1" xfId="0" applyNumberFormat="1" applyFont="1" applyBorder="1" applyAlignment="1">
      <alignment horizontal="center"/>
    </xf>
    <xf numFmtId="0" fontId="81" fillId="0" borderId="1" xfId="0" applyFont="1" applyBorder="1" applyAlignment="1"/>
    <xf numFmtId="0" fontId="82" fillId="0" borderId="1" xfId="0" applyFont="1" applyBorder="1" applyAlignment="1"/>
    <xf numFmtId="0" fontId="83" fillId="0" borderId="1" xfId="0" applyFont="1" applyBorder="1" applyAlignment="1"/>
    <xf numFmtId="0" fontId="6" fillId="0" borderId="1" xfId="0" applyFont="1" applyBorder="1" applyAlignment="1">
      <alignment horizontal="right"/>
    </xf>
    <xf numFmtId="1" fontId="41" fillId="0" borderId="1" xfId="0" applyNumberFormat="1" applyFont="1" applyBorder="1" applyAlignment="1">
      <alignment horizontal="left" wrapText="1"/>
    </xf>
    <xf numFmtId="0" fontId="84" fillId="0" borderId="0" xfId="0" applyFont="1" applyAlignment="1"/>
    <xf numFmtId="0" fontId="6" fillId="2" borderId="16" xfId="0" applyFont="1" applyFill="1" applyBorder="1" applyAlignment="1">
      <alignment wrapText="1"/>
    </xf>
    <xf numFmtId="0" fontId="41" fillId="0" borderId="1" xfId="0" applyFont="1" applyBorder="1" applyAlignment="1">
      <alignment horizontal="center" wrapText="1"/>
    </xf>
    <xf numFmtId="14" fontId="41" fillId="3" borderId="1" xfId="0" applyNumberFormat="1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6" fillId="0" borderId="1" xfId="0" applyFont="1" applyBorder="1"/>
    <xf numFmtId="0" fontId="17" fillId="0" borderId="1" xfId="0" applyFont="1" applyBorder="1"/>
    <xf numFmtId="0" fontId="17" fillId="0" borderId="0" xfId="0" applyFont="1"/>
    <xf numFmtId="0" fontId="35" fillId="0" borderId="1" xfId="0" applyFont="1" applyBorder="1" applyAlignment="1">
      <alignment horizontal="center" wrapText="1"/>
    </xf>
    <xf numFmtId="0" fontId="41" fillId="3" borderId="1" xfId="0" applyFont="1" applyFill="1" applyBorder="1" applyAlignment="1">
      <alignment horizontal="left"/>
    </xf>
    <xf numFmtId="14" fontId="65" fillId="2" borderId="0" xfId="0" applyNumberFormat="1" applyFont="1" applyFill="1" applyAlignment="1">
      <alignment horizontal="center"/>
    </xf>
    <xf numFmtId="0" fontId="15" fillId="3" borderId="0" xfId="0" applyFont="1" applyFill="1"/>
    <xf numFmtId="0" fontId="63" fillId="0" borderId="1" xfId="0" applyFont="1" applyBorder="1" applyAlignment="1">
      <alignment horizontal="left" wrapText="1"/>
    </xf>
    <xf numFmtId="14" fontId="41" fillId="0" borderId="1" xfId="0" applyNumberFormat="1" applyFont="1" applyBorder="1"/>
    <xf numFmtId="0" fontId="41" fillId="0" borderId="1" xfId="0" applyFont="1" applyBorder="1" applyAlignment="1">
      <alignment horizontal="center" wrapText="1"/>
    </xf>
    <xf numFmtId="14" fontId="17" fillId="0" borderId="1" xfId="0" applyNumberFormat="1" applyFont="1" applyBorder="1" applyAlignment="1"/>
    <xf numFmtId="0" fontId="17" fillId="0" borderId="1" xfId="0" applyFont="1" applyBorder="1" applyAlignment="1"/>
    <xf numFmtId="0" fontId="85" fillId="0" borderId="1" xfId="0" applyFont="1" applyBorder="1" applyAlignment="1"/>
    <xf numFmtId="0" fontId="17" fillId="0" borderId="1" xfId="0" applyFont="1" applyBorder="1" applyAlignment="1">
      <alignment horizontal="center"/>
    </xf>
    <xf numFmtId="0" fontId="63" fillId="3" borderId="1" xfId="0" applyFont="1" applyFill="1" applyBorder="1" applyAlignment="1">
      <alignment horizontal="left"/>
    </xf>
    <xf numFmtId="0" fontId="6" fillId="2" borderId="16" xfId="0" applyFont="1" applyFill="1" applyBorder="1" applyAlignment="1">
      <alignment horizontal="left" wrapText="1"/>
    </xf>
    <xf numFmtId="0" fontId="86" fillId="0" borderId="1" xfId="0" applyFont="1" applyBorder="1" applyAlignment="1">
      <alignment horizontal="center"/>
    </xf>
    <xf numFmtId="0" fontId="41" fillId="0" borderId="16" xfId="0" applyFont="1" applyBorder="1" applyAlignment="1">
      <alignment horizontal="left" wrapText="1"/>
    </xf>
    <xf numFmtId="14" fontId="17" fillId="0" borderId="1" xfId="0" applyNumberFormat="1" applyFont="1" applyBorder="1" applyAlignment="1">
      <alignment horizontal="center"/>
    </xf>
    <xf numFmtId="0" fontId="41" fillId="2" borderId="1" xfId="0" applyFont="1" applyFill="1" applyBorder="1" applyAlignment="1">
      <alignment horizontal="left" wrapText="1"/>
    </xf>
    <xf numFmtId="0" fontId="87" fillId="10" borderId="1" xfId="0" applyFont="1" applyFill="1" applyBorder="1" applyAlignment="1">
      <alignment horizontal="center"/>
    </xf>
    <xf numFmtId="0" fontId="17" fillId="0" borderId="1" xfId="0" applyFont="1" applyBorder="1" applyAlignment="1"/>
    <xf numFmtId="0" fontId="41" fillId="0" borderId="1" xfId="0" applyFont="1" applyBorder="1" applyAlignment="1">
      <alignment wrapText="1"/>
    </xf>
    <xf numFmtId="0" fontId="0" fillId="0" borderId="8" xfId="0" applyFont="1" applyBorder="1" applyAlignment="1">
      <alignment horizontal="center" wrapText="1"/>
    </xf>
    <xf numFmtId="1" fontId="88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right"/>
    </xf>
    <xf numFmtId="0" fontId="4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14" fontId="64" fillId="0" borderId="1" xfId="0" applyNumberFormat="1" applyFont="1" applyBorder="1" applyAlignment="1">
      <alignment horizontal="center"/>
    </xf>
    <xf numFmtId="0" fontId="89" fillId="0" borderId="0" xfId="0" applyFont="1" applyAlignment="1"/>
    <xf numFmtId="0" fontId="90" fillId="0" borderId="0" xfId="0" applyFont="1" applyAlignment="1"/>
    <xf numFmtId="0" fontId="91" fillId="0" borderId="0" xfId="0" applyFont="1" applyAlignment="1"/>
    <xf numFmtId="1" fontId="34" fillId="0" borderId="1" xfId="0" applyNumberFormat="1" applyFont="1" applyBorder="1" applyAlignment="1">
      <alignment horizontal="center" wrapText="1"/>
    </xf>
    <xf numFmtId="0" fontId="34" fillId="0" borderId="1" xfId="0" applyFont="1" applyBorder="1" applyAlignment="1">
      <alignment horizontal="center"/>
    </xf>
    <xf numFmtId="1" fontId="62" fillId="0" borderId="1" xfId="0" applyNumberFormat="1" applyFont="1" applyBorder="1" applyAlignment="1">
      <alignment horizontal="center"/>
    </xf>
    <xf numFmtId="1" fontId="92" fillId="3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93" fillId="0" borderId="1" xfId="0" applyNumberFormat="1" applyFont="1" applyBorder="1" applyAlignment="1">
      <alignment horizontal="center"/>
    </xf>
    <xf numFmtId="49" fontId="94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center" wrapText="1"/>
    </xf>
    <xf numFmtId="0" fontId="94" fillId="0" borderId="1" xfId="0" applyFont="1" applyBorder="1" applyAlignment="1">
      <alignment horizontal="left" vertical="top"/>
    </xf>
    <xf numFmtId="49" fontId="94" fillId="0" borderId="1" xfId="0" applyNumberFormat="1" applyFont="1" applyBorder="1" applyAlignment="1">
      <alignment horizontal="center" vertical="top"/>
    </xf>
    <xf numFmtId="14" fontId="41" fillId="0" borderId="0" xfId="0" applyNumberFormat="1" applyFont="1" applyAlignment="1">
      <alignment horizontal="center"/>
    </xf>
    <xf numFmtId="0" fontId="0" fillId="0" borderId="0" xfId="0" applyFont="1" applyAlignment="1"/>
    <xf numFmtId="0" fontId="38" fillId="0" borderId="1" xfId="0" applyFont="1" applyBorder="1" applyAlignment="1"/>
    <xf numFmtId="49" fontId="34" fillId="0" borderId="1" xfId="0" applyNumberFormat="1" applyFont="1" applyBorder="1" applyAlignment="1">
      <alignment horizontal="center"/>
    </xf>
    <xf numFmtId="14" fontId="95" fillId="0" borderId="1" xfId="0" applyNumberFormat="1" applyFont="1" applyBorder="1" applyAlignment="1">
      <alignment horizontal="center"/>
    </xf>
    <xf numFmtId="0" fontId="96" fillId="0" borderId="0" xfId="0" applyFont="1" applyAlignment="1"/>
    <xf numFmtId="0" fontId="3" fillId="0" borderId="0" xfId="0" applyFont="1" applyAlignment="1"/>
    <xf numFmtId="0" fontId="3" fillId="0" borderId="8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98" fillId="0" borderId="0" xfId="0" applyFont="1" applyAlignment="1"/>
    <xf numFmtId="0" fontId="99" fillId="0" borderId="1" xfId="0" applyFont="1" applyBorder="1" applyAlignment="1"/>
    <xf numFmtId="0" fontId="99" fillId="0" borderId="0" xfId="0" applyFont="1" applyAlignment="1"/>
    <xf numFmtId="0" fontId="99" fillId="0" borderId="0" xfId="0" applyFont="1" applyAlignment="1">
      <alignment horizontal="center"/>
    </xf>
    <xf numFmtId="49" fontId="100" fillId="3" borderId="0" xfId="0" applyNumberFormat="1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0" xfId="0" applyFont="1" applyAlignment="1"/>
    <xf numFmtId="0" fontId="101" fillId="3" borderId="14" xfId="0" applyFont="1" applyFill="1" applyBorder="1" applyAlignment="1">
      <alignment horizontal="left"/>
    </xf>
    <xf numFmtId="49" fontId="79" fillId="3" borderId="14" xfId="0" applyNumberFormat="1" applyFont="1" applyFill="1" applyBorder="1" applyAlignment="1">
      <alignment horizontal="center"/>
    </xf>
    <xf numFmtId="164" fontId="73" fillId="0" borderId="1" xfId="0" applyNumberFormat="1" applyFont="1" applyBorder="1" applyAlignment="1">
      <alignment horizontal="center"/>
    </xf>
    <xf numFmtId="0" fontId="78" fillId="0" borderId="1" xfId="0" applyFont="1" applyBorder="1" applyAlignment="1">
      <alignment horizontal="center"/>
    </xf>
    <xf numFmtId="165" fontId="102" fillId="11" borderId="1" xfId="0" applyNumberFormat="1" applyFont="1" applyFill="1" applyBorder="1" applyAlignment="1">
      <alignment horizontal="center"/>
    </xf>
    <xf numFmtId="14" fontId="102" fillId="11" borderId="1" xfId="0" applyNumberFormat="1" applyFont="1" applyFill="1" applyBorder="1" applyAlignment="1">
      <alignment horizontal="center"/>
    </xf>
    <xf numFmtId="14" fontId="102" fillId="11" borderId="1" xfId="0" applyNumberFormat="1" applyFont="1" applyFill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79" fillId="3" borderId="14" xfId="0" applyFont="1" applyFill="1" applyBorder="1" applyAlignment="1">
      <alignment horizontal="center"/>
    </xf>
    <xf numFmtId="0" fontId="79" fillId="3" borderId="14" xfId="0" applyFont="1" applyFill="1" applyBorder="1" applyAlignment="1">
      <alignment horizontal="center"/>
    </xf>
    <xf numFmtId="0" fontId="103" fillId="3" borderId="14" xfId="0" applyFont="1" applyFill="1" applyBorder="1" applyAlignment="1">
      <alignment horizontal="left"/>
    </xf>
    <xf numFmtId="0" fontId="38" fillId="3" borderId="1" xfId="0" applyFont="1" applyFill="1" applyBorder="1" applyAlignment="1">
      <alignment horizontal="center"/>
    </xf>
    <xf numFmtId="0" fontId="65" fillId="3" borderId="1" xfId="0" applyFont="1" applyFill="1" applyBorder="1" applyAlignment="1">
      <alignment horizontal="center" wrapText="1"/>
    </xf>
    <xf numFmtId="49" fontId="93" fillId="3" borderId="14" xfId="0" applyNumberFormat="1" applyFont="1" applyFill="1" applyBorder="1" applyAlignment="1">
      <alignment horizontal="center"/>
    </xf>
    <xf numFmtId="0" fontId="101" fillId="3" borderId="14" xfId="0" applyFont="1" applyFill="1" applyBorder="1" applyAlignment="1">
      <alignment horizontal="center"/>
    </xf>
    <xf numFmtId="0" fontId="104" fillId="3" borderId="14" xfId="0" applyFont="1" applyFill="1" applyBorder="1" applyAlignment="1">
      <alignment horizontal="center"/>
    </xf>
    <xf numFmtId="0" fontId="104" fillId="3" borderId="14" xfId="0" applyFont="1" applyFill="1" applyBorder="1" applyAlignment="1">
      <alignment horizontal="center"/>
    </xf>
    <xf numFmtId="49" fontId="80" fillId="3" borderId="19" xfId="0" applyNumberFormat="1" applyFont="1" applyFill="1" applyBorder="1" applyAlignment="1"/>
    <xf numFmtId="0" fontId="105" fillId="1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14" fontId="35" fillId="0" borderId="0" xfId="0" applyNumberFormat="1" applyFont="1"/>
    <xf numFmtId="0" fontId="53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106" fillId="0" borderId="1" xfId="0" applyFont="1" applyBorder="1" applyAlignment="1">
      <alignment horizontal="center"/>
    </xf>
    <xf numFmtId="14" fontId="106" fillId="0" borderId="1" xfId="0" applyNumberFormat="1" applyFont="1" applyBorder="1" applyAlignment="1">
      <alignment horizontal="center"/>
    </xf>
    <xf numFmtId="0" fontId="106" fillId="0" borderId="0" xfId="0" applyFont="1"/>
    <xf numFmtId="0" fontId="106" fillId="0" borderId="0" xfId="0" applyFont="1" applyAlignment="1"/>
    <xf numFmtId="0" fontId="107" fillId="0" borderId="0" xfId="0" applyFont="1" applyAlignment="1"/>
    <xf numFmtId="0" fontId="106" fillId="0" borderId="0" xfId="0" applyFont="1" applyAlignment="1">
      <alignment horizontal="center"/>
    </xf>
    <xf numFmtId="0" fontId="14" fillId="0" borderId="0" xfId="0" applyFont="1"/>
    <xf numFmtId="0" fontId="108" fillId="0" borderId="1" xfId="0" applyFont="1" applyBorder="1" applyAlignment="1"/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10" fillId="3" borderId="0" xfId="0" applyFont="1" applyFill="1"/>
    <xf numFmtId="0" fontId="100" fillId="3" borderId="0" xfId="0" applyFont="1" applyFill="1" applyAlignment="1">
      <alignment horizontal="left"/>
    </xf>
    <xf numFmtId="0" fontId="109" fillId="3" borderId="0" xfId="0" applyFont="1" applyFill="1" applyAlignment="1">
      <alignment horizontal="left"/>
    </xf>
    <xf numFmtId="0" fontId="41" fillId="0" borderId="0" xfId="0" applyFont="1" applyAlignment="1">
      <alignment horizontal="center" wrapText="1"/>
    </xf>
    <xf numFmtId="14" fontId="41" fillId="0" borderId="0" xfId="0" applyNumberFormat="1" applyFont="1" applyAlignment="1">
      <alignment horizontal="center"/>
    </xf>
    <xf numFmtId="0" fontId="17" fillId="0" borderId="0" xfId="0" applyFont="1" applyAlignment="1"/>
    <xf numFmtId="0" fontId="110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0" borderId="1" xfId="0" applyFont="1" applyBorder="1" applyAlignment="1"/>
    <xf numFmtId="0" fontId="111" fillId="0" borderId="1" xfId="0" applyFont="1" applyBorder="1" applyAlignment="1"/>
    <xf numFmtId="1" fontId="78" fillId="0" borderId="1" xfId="0" applyNumberFormat="1" applyFont="1" applyBorder="1" applyAlignment="1">
      <alignment horizontal="center" wrapText="1"/>
    </xf>
    <xf numFmtId="0" fontId="41" fillId="3" borderId="1" xfId="0" applyFont="1" applyFill="1" applyBorder="1" applyAlignment="1">
      <alignment horizontal="center"/>
    </xf>
    <xf numFmtId="1" fontId="41" fillId="0" borderId="1" xfId="0" applyNumberFormat="1" applyFont="1" applyBorder="1" applyAlignment="1">
      <alignment horizontal="center" wrapText="1"/>
    </xf>
    <xf numFmtId="0" fontId="6" fillId="3" borderId="16" xfId="0" applyFont="1" applyFill="1" applyBorder="1" applyAlignment="1">
      <alignment horizontal="left" wrapText="1"/>
    </xf>
    <xf numFmtId="0" fontId="34" fillId="0" borderId="1" xfId="0" applyFont="1" applyBorder="1" applyAlignment="1">
      <alignment horizontal="center" wrapText="1"/>
    </xf>
    <xf numFmtId="14" fontId="6" fillId="0" borderId="0" xfId="0" applyNumberFormat="1" applyFont="1" applyAlignment="1"/>
    <xf numFmtId="0" fontId="9" fillId="0" borderId="0" xfId="0" applyFont="1" applyAlignment="1"/>
    <xf numFmtId="0" fontId="112" fillId="0" borderId="0" xfId="0" applyFont="1" applyAlignment="1"/>
    <xf numFmtId="1" fontId="62" fillId="0" borderId="1" xfId="0" applyNumberFormat="1" applyFont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1" fontId="41" fillId="3" borderId="1" xfId="0" applyNumberFormat="1" applyFont="1" applyFill="1" applyBorder="1" applyAlignment="1">
      <alignment horizontal="center" wrapText="1"/>
    </xf>
    <xf numFmtId="14" fontId="41" fillId="3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wrapText="1"/>
    </xf>
    <xf numFmtId="0" fontId="110" fillId="3" borderId="1" xfId="0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center" wrapText="1"/>
    </xf>
    <xf numFmtId="0" fontId="86" fillId="3" borderId="1" xfId="0" applyFont="1" applyFill="1" applyBorder="1" applyAlignment="1">
      <alignment horizontal="center"/>
    </xf>
    <xf numFmtId="14" fontId="41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/>
    <xf numFmtId="0" fontId="6" fillId="3" borderId="1" xfId="0" applyFont="1" applyFill="1" applyBorder="1" applyAlignment="1"/>
    <xf numFmtId="0" fontId="113" fillId="3" borderId="1" xfId="0" applyFont="1" applyFill="1" applyBorder="1" applyAlignment="1"/>
    <xf numFmtId="0" fontId="6" fillId="3" borderId="1" xfId="0" applyFont="1" applyFill="1" applyBorder="1"/>
    <xf numFmtId="0" fontId="6" fillId="3" borderId="0" xfId="0" applyFont="1" applyFill="1"/>
    <xf numFmtId="0" fontId="0" fillId="3" borderId="1" xfId="0" applyFont="1" applyFill="1" applyBorder="1" applyAlignment="1">
      <alignment horizontal="left" wrapText="1"/>
    </xf>
    <xf numFmtId="1" fontId="37" fillId="3" borderId="1" xfId="0" applyNumberFormat="1" applyFont="1" applyFill="1" applyBorder="1" applyAlignment="1">
      <alignment horizontal="center"/>
    </xf>
    <xf numFmtId="14" fontId="65" fillId="3" borderId="1" xfId="0" applyNumberFormat="1" applyFont="1" applyFill="1" applyBorder="1" applyAlignment="1">
      <alignment horizontal="center"/>
    </xf>
    <xf numFmtId="14" fontId="65" fillId="3" borderId="1" xfId="0" applyNumberFormat="1" applyFont="1" applyFill="1" applyBorder="1" applyAlignment="1">
      <alignment horizontal="center"/>
    </xf>
    <xf numFmtId="14" fontId="65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/>
    <xf numFmtId="0" fontId="0" fillId="3" borderId="1" xfId="0" applyFont="1" applyFill="1" applyBorder="1" applyAlignment="1"/>
    <xf numFmtId="0" fontId="114" fillId="3" borderId="1" xfId="0" applyFont="1" applyFill="1" applyBorder="1" applyAlignment="1"/>
    <xf numFmtId="0" fontId="109" fillId="3" borderId="1" xfId="0" applyFont="1" applyFill="1" applyBorder="1" applyAlignment="1">
      <alignment horizontal="left"/>
    </xf>
    <xf numFmtId="0" fontId="109" fillId="3" borderId="1" xfId="0" applyFont="1" applyFill="1" applyBorder="1" applyAlignment="1">
      <alignment horizontal="center"/>
    </xf>
    <xf numFmtId="0" fontId="115" fillId="3" borderId="0" xfId="0" applyFont="1" applyFill="1" applyAlignment="1">
      <alignment horizontal="center"/>
    </xf>
    <xf numFmtId="0" fontId="41" fillId="3" borderId="1" xfId="0" applyFont="1" applyFill="1" applyBorder="1" applyAlignment="1">
      <alignment horizontal="center" wrapText="1"/>
    </xf>
    <xf numFmtId="14" fontId="38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116" fillId="3" borderId="1" xfId="0" applyFont="1" applyFill="1" applyBorder="1" applyAlignment="1"/>
    <xf numFmtId="0" fontId="117" fillId="0" borderId="1" xfId="0" applyFont="1" applyBorder="1" applyAlignment="1"/>
    <xf numFmtId="0" fontId="118" fillId="0" borderId="1" xfId="0" applyFont="1" applyBorder="1" applyAlignment="1">
      <alignment horizontal="center"/>
    </xf>
    <xf numFmtId="1" fontId="73" fillId="0" borderId="1" xfId="0" applyNumberFormat="1" applyFont="1" applyBorder="1" applyAlignment="1">
      <alignment horizontal="center"/>
    </xf>
    <xf numFmtId="0" fontId="100" fillId="3" borderId="1" xfId="0" applyFont="1" applyFill="1" applyBorder="1" applyAlignment="1">
      <alignment horizontal="center"/>
    </xf>
    <xf numFmtId="14" fontId="117" fillId="0" borderId="1" xfId="0" applyNumberFormat="1" applyFont="1" applyBorder="1" applyAlignment="1">
      <alignment horizontal="center"/>
    </xf>
    <xf numFmtId="14" fontId="117" fillId="3" borderId="1" xfId="0" applyNumberFormat="1" applyFont="1" applyFill="1" applyBorder="1" applyAlignment="1">
      <alignment horizontal="center"/>
    </xf>
    <xf numFmtId="14" fontId="54" fillId="0" borderId="1" xfId="0" applyNumberFormat="1" applyFont="1" applyBorder="1" applyAlignment="1">
      <alignment horizontal="center"/>
    </xf>
    <xf numFmtId="14" fontId="54" fillId="0" borderId="1" xfId="0" applyNumberFormat="1" applyFont="1" applyBorder="1" applyAlignment="1"/>
    <xf numFmtId="164" fontId="3" fillId="0" borderId="1" xfId="0" applyNumberFormat="1" applyFont="1" applyBorder="1" applyAlignment="1">
      <alignment horizontal="center"/>
    </xf>
    <xf numFmtId="0" fontId="54" fillId="0" borderId="1" xfId="0" applyFont="1" applyBorder="1" applyAlignment="1"/>
    <xf numFmtId="14" fontId="119" fillId="0" borderId="1" xfId="0" applyNumberFormat="1" applyFont="1" applyBorder="1" applyAlignment="1"/>
    <xf numFmtId="0" fontId="120" fillId="0" borderId="1" xfId="0" applyFont="1" applyBorder="1" applyAlignment="1"/>
    <xf numFmtId="0" fontId="105" fillId="3" borderId="1" xfId="0" applyFont="1" applyFill="1" applyBorder="1" applyAlignment="1">
      <alignment horizontal="center"/>
    </xf>
    <xf numFmtId="0" fontId="17" fillId="3" borderId="14" xfId="0" applyFont="1" applyFill="1" applyBorder="1" applyAlignment="1">
      <alignment horizontal="center" wrapText="1"/>
    </xf>
    <xf numFmtId="0" fontId="53" fillId="0" borderId="1" xfId="0" applyFont="1" applyBorder="1" applyAlignment="1"/>
    <xf numFmtId="0" fontId="6" fillId="0" borderId="8" xfId="0" applyFont="1" applyBorder="1" applyAlignment="1">
      <alignment horizontal="center" wrapText="1"/>
    </xf>
    <xf numFmtId="0" fontId="34" fillId="0" borderId="10" xfId="0" applyFont="1" applyBorder="1" applyAlignment="1">
      <alignment horizontal="center" wrapText="1"/>
    </xf>
    <xf numFmtId="0" fontId="121" fillId="12" borderId="0" xfId="0" applyFont="1" applyFill="1" applyAlignment="1">
      <alignment horizontal="center"/>
    </xf>
    <xf numFmtId="0" fontId="41" fillId="3" borderId="1" xfId="0" applyFont="1" applyFill="1" applyBorder="1" applyAlignment="1">
      <alignment horizontal="left" wrapText="1"/>
    </xf>
    <xf numFmtId="0" fontId="63" fillId="3" borderId="1" xfId="0" applyFont="1" applyFill="1" applyBorder="1" applyAlignment="1">
      <alignment horizontal="center"/>
    </xf>
    <xf numFmtId="0" fontId="65" fillId="3" borderId="10" xfId="0" applyFont="1" applyFill="1" applyBorder="1" applyAlignment="1">
      <alignment horizontal="center" wrapText="1"/>
    </xf>
    <xf numFmtId="14" fontId="41" fillId="3" borderId="1" xfId="0" applyNumberFormat="1" applyFont="1" applyFill="1" applyBorder="1"/>
    <xf numFmtId="14" fontId="41" fillId="3" borderId="1" xfId="0" applyNumberFormat="1" applyFont="1" applyFill="1" applyBorder="1" applyAlignment="1">
      <alignment horizontal="center"/>
    </xf>
    <xf numFmtId="0" fontId="41" fillId="3" borderId="1" xfId="0" applyFont="1" applyFill="1" applyBorder="1" applyAlignment="1">
      <alignment horizontal="center" wrapText="1"/>
    </xf>
    <xf numFmtId="14" fontId="17" fillId="3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/>
    <xf numFmtId="0" fontId="122" fillId="3" borderId="1" xfId="0" applyFont="1" applyFill="1" applyBorder="1" applyAlignment="1"/>
    <xf numFmtId="0" fontId="17" fillId="3" borderId="1" xfId="0" applyFont="1" applyFill="1" applyBorder="1"/>
    <xf numFmtId="0" fontId="17" fillId="3" borderId="1" xfId="0" applyFont="1" applyFill="1" applyBorder="1" applyAlignment="1">
      <alignment horizontal="center"/>
    </xf>
    <xf numFmtId="0" fontId="38" fillId="3" borderId="1" xfId="0" applyFont="1" applyFill="1" applyBorder="1" applyAlignment="1">
      <alignment horizontal="center"/>
    </xf>
    <xf numFmtId="0" fontId="38" fillId="3" borderId="1" xfId="0" applyFont="1" applyFill="1" applyBorder="1"/>
    <xf numFmtId="0" fontId="123" fillId="3" borderId="0" xfId="0" applyFont="1" applyFill="1" applyAlignment="1">
      <alignment wrapText="1"/>
    </xf>
    <xf numFmtId="0" fontId="38" fillId="3" borderId="0" xfId="0" applyFont="1" applyFill="1"/>
    <xf numFmtId="0" fontId="100" fillId="3" borderId="1" xfId="0" applyFont="1" applyFill="1" applyBorder="1" applyAlignment="1">
      <alignment horizontal="left"/>
    </xf>
    <xf numFmtId="0" fontId="124" fillId="3" borderId="1" xfId="0" applyFont="1" applyFill="1" applyBorder="1" applyAlignment="1">
      <alignment horizontal="center"/>
    </xf>
    <xf numFmtId="0" fontId="101" fillId="13" borderId="1" xfId="0" applyFont="1" applyFill="1" applyBorder="1" applyAlignment="1">
      <alignment horizontal="left"/>
    </xf>
    <xf numFmtId="0" fontId="101" fillId="13" borderId="1" xfId="0" applyFont="1" applyFill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49" fontId="41" fillId="0" borderId="1" xfId="0" applyNumberFormat="1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49" fontId="63" fillId="0" borderId="1" xfId="0" applyNumberFormat="1" applyFont="1" applyBorder="1" applyAlignment="1">
      <alignment horizontal="center" wrapText="1"/>
    </xf>
    <xf numFmtId="0" fontId="62" fillId="0" borderId="1" xfId="0" applyFont="1" applyBorder="1" applyAlignment="1">
      <alignment horizontal="center" wrapText="1"/>
    </xf>
    <xf numFmtId="0" fontId="101" fillId="3" borderId="16" xfId="0" applyFont="1" applyFill="1" applyBorder="1" applyAlignment="1">
      <alignment horizontal="left"/>
    </xf>
    <xf numFmtId="49" fontId="93" fillId="3" borderId="14" xfId="0" applyNumberFormat="1" applyFont="1" applyFill="1" applyBorder="1" applyAlignment="1">
      <alignment horizontal="center"/>
    </xf>
    <xf numFmtId="0" fontId="93" fillId="3" borderId="14" xfId="0" applyFont="1" applyFill="1" applyBorder="1" applyAlignment="1">
      <alignment horizontal="center"/>
    </xf>
    <xf numFmtId="14" fontId="102" fillId="14" borderId="1" xfId="0" applyNumberFormat="1" applyFont="1" applyFill="1" applyBorder="1" applyAlignment="1">
      <alignment horizontal="center"/>
    </xf>
    <xf numFmtId="164" fontId="103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125" fillId="0" borderId="1" xfId="0" applyFont="1" applyBorder="1" applyAlignment="1"/>
    <xf numFmtId="0" fontId="2" fillId="0" borderId="0" xfId="0" applyFont="1" applyAlignment="1"/>
    <xf numFmtId="0" fontId="13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vertical="top"/>
    </xf>
    <xf numFmtId="0" fontId="126" fillId="3" borderId="1" xfId="0" applyFont="1" applyFill="1" applyBorder="1" applyAlignment="1">
      <alignment horizontal="center"/>
    </xf>
    <xf numFmtId="0" fontId="126" fillId="2" borderId="1" xfId="0" applyFont="1" applyFill="1" applyBorder="1" applyAlignment="1">
      <alignment horizontal="center"/>
    </xf>
    <xf numFmtId="14" fontId="41" fillId="15" borderId="1" xfId="0" applyNumberFormat="1" applyFont="1" applyFill="1" applyBorder="1" applyAlignment="1">
      <alignment horizontal="center"/>
    </xf>
    <xf numFmtId="0" fontId="127" fillId="3" borderId="1" xfId="0" applyFont="1" applyFill="1" applyBorder="1" applyAlignment="1"/>
    <xf numFmtId="0" fontId="38" fillId="0" borderId="1" xfId="0" applyFont="1" applyBorder="1" applyAlignment="1">
      <alignment horizontal="center"/>
    </xf>
    <xf numFmtId="0" fontId="41" fillId="0" borderId="8" xfId="0" applyFont="1" applyBorder="1" applyAlignment="1">
      <alignment horizontal="center" wrapText="1"/>
    </xf>
    <xf numFmtId="0" fontId="128" fillId="0" borderId="1" xfId="0" applyFont="1" applyBorder="1" applyAlignment="1">
      <alignment horizontal="center" wrapText="1"/>
    </xf>
    <xf numFmtId="164" fontId="17" fillId="0" borderId="1" xfId="0" applyNumberFormat="1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1" fontId="109" fillId="3" borderId="1" xfId="0" applyNumberFormat="1" applyFont="1" applyFill="1" applyBorder="1" applyAlignment="1">
      <alignment horizontal="left"/>
    </xf>
    <xf numFmtId="0" fontId="129" fillId="0" borderId="10" xfId="0" applyFont="1" applyBorder="1" applyAlignment="1">
      <alignment horizontal="center" wrapText="1"/>
    </xf>
    <xf numFmtId="0" fontId="3" fillId="3" borderId="1" xfId="0" applyFont="1" applyFill="1" applyBorder="1" applyAlignment="1"/>
    <xf numFmtId="0" fontId="130" fillId="0" borderId="1" xfId="0" applyFont="1" applyBorder="1" applyAlignment="1">
      <alignment horizontal="center" wrapText="1"/>
    </xf>
    <xf numFmtId="0" fontId="131" fillId="0" borderId="1" xfId="0" applyFont="1" applyBorder="1" applyAlignment="1">
      <alignment horizontal="center" wrapText="1"/>
    </xf>
    <xf numFmtId="14" fontId="128" fillId="0" borderId="1" xfId="0" applyNumberFormat="1" applyFont="1" applyBorder="1" applyAlignment="1">
      <alignment horizontal="center"/>
    </xf>
    <xf numFmtId="0" fontId="34" fillId="0" borderId="14" xfId="0" applyFont="1" applyBorder="1" applyAlignment="1">
      <alignment horizontal="center"/>
    </xf>
    <xf numFmtId="14" fontId="129" fillId="0" borderId="1" xfId="0" applyNumberFormat="1" applyFont="1" applyBorder="1" applyAlignment="1">
      <alignment horizontal="center"/>
    </xf>
    <xf numFmtId="14" fontId="132" fillId="0" borderId="1" xfId="0" applyNumberFormat="1" applyFont="1" applyBorder="1" applyAlignment="1">
      <alignment horizontal="center" vertical="top"/>
    </xf>
    <xf numFmtId="0" fontId="133" fillId="3" borderId="14" xfId="0" applyFont="1" applyFill="1" applyBorder="1" applyAlignment="1"/>
    <xf numFmtId="0" fontId="100" fillId="3" borderId="0" xfId="0" applyFont="1" applyFill="1" applyAlignment="1">
      <alignment horizontal="center"/>
    </xf>
    <xf numFmtId="14" fontId="132" fillId="0" borderId="1" xfId="0" applyNumberFormat="1" applyFont="1" applyBorder="1" applyAlignment="1">
      <alignment horizontal="center"/>
    </xf>
    <xf numFmtId="14" fontId="132" fillId="0" borderId="1" xfId="0" applyNumberFormat="1" applyFont="1" applyBorder="1" applyAlignment="1">
      <alignment horizontal="center"/>
    </xf>
    <xf numFmtId="0" fontId="132" fillId="0" borderId="14" xfId="0" applyFont="1" applyBorder="1" applyAlignment="1">
      <alignment horizontal="center"/>
    </xf>
    <xf numFmtId="14" fontId="128" fillId="0" borderId="1" xfId="0" applyNumberFormat="1" applyFont="1" applyBorder="1" applyAlignment="1">
      <alignment horizontal="center"/>
    </xf>
    <xf numFmtId="14" fontId="129" fillId="0" borderId="1" xfId="0" applyNumberFormat="1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134" fillId="0" borderId="1" xfId="0" applyFont="1" applyBorder="1" applyAlignment="1"/>
    <xf numFmtId="0" fontId="67" fillId="3" borderId="1" xfId="0" applyFont="1" applyFill="1" applyBorder="1" applyAlignment="1">
      <alignment horizontal="center"/>
    </xf>
    <xf numFmtId="0" fontId="135" fillId="3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6" fillId="3" borderId="1" xfId="0" applyFont="1" applyFill="1" applyBorder="1"/>
    <xf numFmtId="0" fontId="54" fillId="0" borderId="1" xfId="0" applyFont="1" applyBorder="1" applyAlignment="1">
      <alignment horizontal="center"/>
    </xf>
    <xf numFmtId="0" fontId="136" fillId="3" borderId="1" xfId="0" applyFont="1" applyFill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137" fillId="0" borderId="1" xfId="0" applyFont="1" applyBorder="1" applyAlignment="1">
      <alignment horizontal="center"/>
    </xf>
    <xf numFmtId="166" fontId="137" fillId="0" borderId="1" xfId="0" applyNumberFormat="1" applyFont="1" applyBorder="1" applyAlignment="1">
      <alignment horizontal="center"/>
    </xf>
    <xf numFmtId="167" fontId="137" fillId="0" borderId="1" xfId="0" applyNumberFormat="1" applyFont="1" applyBorder="1" applyAlignment="1">
      <alignment horizontal="center"/>
    </xf>
    <xf numFmtId="0" fontId="138" fillId="3" borderId="1" xfId="0" applyFont="1" applyFill="1" applyBorder="1"/>
    <xf numFmtId="14" fontId="137" fillId="0" borderId="1" xfId="0" applyNumberFormat="1" applyFont="1" applyBorder="1" applyAlignment="1">
      <alignment horizontal="center"/>
    </xf>
    <xf numFmtId="0" fontId="39" fillId="3" borderId="1" xfId="0" applyFont="1" applyFill="1" applyBorder="1" applyAlignment="1"/>
    <xf numFmtId="0" fontId="39" fillId="0" borderId="1" xfId="0" applyFont="1" applyBorder="1" applyAlignment="1"/>
    <xf numFmtId="0" fontId="139" fillId="10" borderId="1" xfId="0" applyFont="1" applyFill="1" applyBorder="1" applyAlignment="1">
      <alignment horizontal="center"/>
    </xf>
    <xf numFmtId="0" fontId="14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49" fontId="62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14" fontId="3" fillId="16" borderId="1" xfId="0" applyNumberFormat="1" applyFont="1" applyFill="1" applyBorder="1" applyAlignment="1">
      <alignment horizontal="center"/>
    </xf>
    <xf numFmtId="0" fontId="41" fillId="0" borderId="0" xfId="0" applyFont="1" applyAlignment="1">
      <alignment horizontal="center" wrapText="1"/>
    </xf>
    <xf numFmtId="0" fontId="141" fillId="0" borderId="1" xfId="0" applyFont="1" applyBorder="1" applyAlignment="1"/>
    <xf numFmtId="0" fontId="6" fillId="0" borderId="10" xfId="0" applyFont="1" applyBorder="1" applyAlignment="1"/>
    <xf numFmtId="49" fontId="6" fillId="0" borderId="1" xfId="0" applyNumberFormat="1" applyFont="1" applyBorder="1" applyAlignment="1">
      <alignment horizontal="center"/>
    </xf>
    <xf numFmtId="14" fontId="6" fillId="0" borderId="10" xfId="0" applyNumberFormat="1" applyFont="1" applyBorder="1" applyAlignment="1"/>
    <xf numFmtId="14" fontId="6" fillId="0" borderId="10" xfId="0" applyNumberFormat="1" applyFont="1" applyBorder="1" applyAlignment="1">
      <alignment horizontal="center"/>
    </xf>
    <xf numFmtId="0" fontId="6" fillId="0" borderId="1" xfId="0" applyFont="1" applyBorder="1" applyAlignment="1"/>
    <xf numFmtId="0" fontId="6" fillId="0" borderId="10" xfId="0" applyFont="1" applyBorder="1" applyAlignment="1">
      <alignment horizontal="center"/>
    </xf>
    <xf numFmtId="14" fontId="6" fillId="0" borderId="10" xfId="0" applyNumberFormat="1" applyFont="1" applyBorder="1" applyAlignment="1"/>
    <xf numFmtId="0" fontId="6" fillId="0" borderId="10" xfId="0" applyFont="1" applyBorder="1" applyAlignment="1"/>
    <xf numFmtId="0" fontId="6" fillId="0" borderId="10" xfId="0" applyFont="1" applyBorder="1" applyAlignment="1"/>
    <xf numFmtId="0" fontId="142" fillId="0" borderId="10" xfId="0" applyFont="1" applyBorder="1" applyAlignment="1">
      <alignment wrapText="1"/>
    </xf>
    <xf numFmtId="49" fontId="109" fillId="3" borderId="1" xfId="0" applyNumberFormat="1" applyFont="1" applyFill="1" applyBorder="1" applyAlignment="1">
      <alignment horizontal="center"/>
    </xf>
    <xf numFmtId="0" fontId="87" fillId="3" borderId="1" xfId="0" applyFont="1" applyFill="1" applyBorder="1" applyAlignment="1">
      <alignment horizontal="center"/>
    </xf>
    <xf numFmtId="0" fontId="143" fillId="0" borderId="1" xfId="0" applyFont="1" applyBorder="1" applyAlignment="1">
      <alignment wrapText="1"/>
    </xf>
    <xf numFmtId="0" fontId="9" fillId="0" borderId="1" xfId="0" applyFont="1" applyBorder="1" applyAlignment="1"/>
    <xf numFmtId="0" fontId="144" fillId="0" borderId="0" xfId="0" applyFont="1" applyAlignment="1"/>
    <xf numFmtId="0" fontId="137" fillId="0" borderId="0" xfId="0" applyFont="1" applyAlignment="1">
      <alignment horizontal="center"/>
    </xf>
    <xf numFmtId="0" fontId="41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center" wrapText="1"/>
    </xf>
    <xf numFmtId="168" fontId="0" fillId="0" borderId="0" xfId="0" applyNumberFormat="1" applyFont="1" applyAlignment="1">
      <alignment horizontal="left" wrapText="1"/>
    </xf>
    <xf numFmtId="14" fontId="3" fillId="0" borderId="0" xfId="0" applyNumberFormat="1" applyFont="1" applyAlignment="1">
      <alignment horizontal="center"/>
    </xf>
    <xf numFmtId="0" fontId="6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14" fontId="1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4" fontId="3" fillId="0" borderId="0" xfId="0" applyNumberFormat="1" applyFont="1"/>
    <xf numFmtId="0" fontId="101" fillId="0" borderId="1" xfId="0" applyFont="1" applyBorder="1" applyAlignment="1"/>
    <xf numFmtId="0" fontId="101" fillId="0" borderId="1" xfId="0" applyFont="1" applyBorder="1" applyAlignment="1"/>
    <xf numFmtId="1" fontId="118" fillId="0" borderId="1" xfId="0" applyNumberFormat="1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01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/>
    <xf numFmtId="0" fontId="63" fillId="0" borderId="1" xfId="0" applyFont="1" applyBorder="1" applyAlignment="1"/>
    <xf numFmtId="0" fontId="60" fillId="0" borderId="1" xfId="0" applyFont="1" applyBorder="1" applyAlignment="1">
      <alignment horizontal="center"/>
    </xf>
    <xf numFmtId="0" fontId="60" fillId="0" borderId="1" xfId="0" applyFont="1" applyBorder="1" applyAlignment="1"/>
    <xf numFmtId="1" fontId="60" fillId="0" borderId="1" xfId="0" applyNumberFormat="1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0" fillId="0" borderId="1" xfId="0" applyFont="1" applyBorder="1" applyAlignment="1"/>
    <xf numFmtId="0" fontId="129" fillId="0" borderId="1" xfId="0" applyFont="1" applyBorder="1" applyAlignment="1">
      <alignment horizontal="center" wrapText="1"/>
    </xf>
    <xf numFmtId="1" fontId="65" fillId="3" borderId="1" xfId="0" applyNumberFormat="1" applyFont="1" applyFill="1" applyBorder="1" applyAlignment="1">
      <alignment horizontal="center"/>
    </xf>
    <xf numFmtId="14" fontId="65" fillId="2" borderId="1" xfId="0" applyNumberFormat="1" applyFont="1" applyFill="1" applyBorder="1" applyAlignment="1">
      <alignment horizontal="center"/>
    </xf>
    <xf numFmtId="1" fontId="65" fillId="0" borderId="1" xfId="0" applyNumberFormat="1" applyFont="1" applyBorder="1" applyAlignment="1">
      <alignment horizontal="center" wrapText="1"/>
    </xf>
    <xf numFmtId="14" fontId="65" fillId="0" borderId="0" xfId="0" applyNumberFormat="1" applyFont="1" applyAlignment="1">
      <alignment horizontal="center"/>
    </xf>
    <xf numFmtId="14" fontId="65" fillId="2" borderId="0" xfId="0" applyNumberFormat="1" applyFont="1" applyFill="1" applyAlignment="1">
      <alignment horizontal="center"/>
    </xf>
    <xf numFmtId="1" fontId="109" fillId="3" borderId="1" xfId="0" applyNumberFormat="1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1" fontId="100" fillId="3" borderId="1" xfId="0" applyNumberFormat="1" applyFont="1" applyFill="1" applyBorder="1" applyAlignment="1">
      <alignment horizontal="center"/>
    </xf>
    <xf numFmtId="0" fontId="128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14" fontId="41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left" wrapText="1"/>
    </xf>
    <xf numFmtId="1" fontId="41" fillId="0" borderId="1" xfId="0" applyNumberFormat="1" applyFont="1" applyBorder="1" applyAlignment="1">
      <alignment horizontal="center"/>
    </xf>
    <xf numFmtId="0" fontId="110" fillId="0" borderId="1" xfId="0" applyFont="1" applyBorder="1" applyAlignment="1">
      <alignment horizontal="center" wrapText="1"/>
    </xf>
    <xf numFmtId="0" fontId="94" fillId="3" borderId="1" xfId="0" applyFont="1" applyFill="1" applyBorder="1" applyAlignment="1">
      <alignment horizontal="left" vertical="top"/>
    </xf>
    <xf numFmtId="0" fontId="34" fillId="3" borderId="1" xfId="0" applyFont="1" applyFill="1" applyBorder="1" applyAlignment="1">
      <alignment horizontal="center"/>
    </xf>
    <xf numFmtId="1" fontId="94" fillId="3" borderId="1" xfId="0" applyNumberFormat="1" applyFont="1" applyFill="1" applyBorder="1" applyAlignment="1">
      <alignment horizontal="center" vertical="top"/>
    </xf>
    <xf numFmtId="14" fontId="6" fillId="3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/>
    <xf numFmtId="0" fontId="3" fillId="3" borderId="0" xfId="0" applyFont="1" applyFill="1" applyAlignment="1">
      <alignment horizontal="center"/>
    </xf>
    <xf numFmtId="0" fontId="41" fillId="3" borderId="1" xfId="0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6" fillId="3" borderId="0" xfId="0" applyFont="1" applyFill="1" applyAlignment="1"/>
    <xf numFmtId="0" fontId="41" fillId="0" borderId="0" xfId="0" applyFont="1" applyAlignment="1"/>
    <xf numFmtId="0" fontId="41" fillId="17" borderId="1" xfId="0" applyFont="1" applyFill="1" applyBorder="1" applyAlignment="1">
      <alignment horizontal="left" wrapText="1"/>
    </xf>
    <xf numFmtId="0" fontId="65" fillId="0" borderId="1" xfId="0" applyFont="1" applyBorder="1" applyAlignment="1">
      <alignment horizontal="center" wrapText="1"/>
    </xf>
    <xf numFmtId="0" fontId="38" fillId="0" borderId="1" xfId="0" applyFont="1" applyBorder="1"/>
    <xf numFmtId="0" fontId="38" fillId="0" borderId="0" xfId="0" applyFont="1"/>
    <xf numFmtId="0" fontId="41" fillId="3" borderId="1" xfId="0" applyFont="1" applyFill="1" applyBorder="1" applyAlignment="1"/>
    <xf numFmtId="0" fontId="145" fillId="3" borderId="1" xfId="0" applyFont="1" applyFill="1" applyBorder="1" applyAlignment="1"/>
    <xf numFmtId="0" fontId="41" fillId="3" borderId="1" xfId="0" applyFont="1" applyFill="1" applyBorder="1"/>
    <xf numFmtId="0" fontId="41" fillId="3" borderId="0" xfId="0" applyFont="1" applyFill="1"/>
    <xf numFmtId="0" fontId="6" fillId="0" borderId="0" xfId="0" applyFont="1" applyAlignme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center"/>
    </xf>
    <xf numFmtId="0" fontId="6" fillId="18" borderId="0" xfId="0" applyFont="1" applyFill="1" applyAlignment="1"/>
    <xf numFmtId="0" fontId="6" fillId="18" borderId="0" xfId="0" applyFont="1" applyFill="1" applyAlignment="1">
      <alignment horizontal="left"/>
    </xf>
    <xf numFmtId="0" fontId="6" fillId="18" borderId="0" xfId="0" applyFont="1" applyFill="1" applyAlignment="1">
      <alignment horizontal="center"/>
    </xf>
    <xf numFmtId="0" fontId="6" fillId="0" borderId="0" xfId="0" applyFont="1" applyAlignment="1">
      <alignment vertical="top"/>
    </xf>
    <xf numFmtId="1" fontId="6" fillId="3" borderId="0" xfId="0" applyNumberFormat="1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0" fontId="146" fillId="19" borderId="1" xfId="0" applyFont="1" applyFill="1" applyBorder="1" applyAlignment="1">
      <alignment horizontal="center"/>
    </xf>
    <xf numFmtId="0" fontId="146" fillId="19" borderId="1" xfId="0" applyFont="1" applyFill="1" applyBorder="1" applyAlignment="1">
      <alignment horizontal="center"/>
    </xf>
    <xf numFmtId="0" fontId="147" fillId="20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148" fillId="2" borderId="1" xfId="0" applyFont="1" applyFill="1" applyBorder="1" applyAlignment="1">
      <alignment horizontal="center"/>
    </xf>
    <xf numFmtId="0" fontId="54" fillId="2" borderId="0" xfId="0" applyFont="1" applyFill="1" applyAlignment="1">
      <alignment horizontal="center"/>
    </xf>
    <xf numFmtId="0" fontId="54" fillId="4" borderId="1" xfId="0" applyFont="1" applyFill="1" applyBorder="1" applyAlignment="1">
      <alignment horizontal="center"/>
    </xf>
    <xf numFmtId="0" fontId="54" fillId="4" borderId="1" xfId="0" applyFont="1" applyFill="1" applyBorder="1" applyAlignment="1">
      <alignment horizontal="center"/>
    </xf>
    <xf numFmtId="0" fontId="54" fillId="4" borderId="0" xfId="0" applyFont="1" applyFill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41" fillId="4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148" fillId="2" borderId="1" xfId="0" applyFont="1" applyFill="1" applyBorder="1" applyAlignment="1">
      <alignment horizontal="center"/>
    </xf>
    <xf numFmtId="0" fontId="148" fillId="4" borderId="1" xfId="0" applyFont="1" applyFill="1" applyBorder="1" applyAlignment="1">
      <alignment horizontal="center"/>
    </xf>
    <xf numFmtId="0" fontId="5" fillId="0" borderId="0" xfId="0" applyFont="1"/>
    <xf numFmtId="2" fontId="50" fillId="0" borderId="0" xfId="0" applyNumberFormat="1" applyFont="1"/>
    <xf numFmtId="0" fontId="149" fillId="0" borderId="1" xfId="0" applyFont="1" applyBorder="1" applyAlignment="1">
      <alignment horizontal="center"/>
    </xf>
    <xf numFmtId="14" fontId="149" fillId="0" borderId="1" xfId="0" applyNumberFormat="1" applyFont="1" applyBorder="1" applyAlignment="1">
      <alignment horizontal="center"/>
    </xf>
    <xf numFmtId="0" fontId="149" fillId="0" borderId="0" xfId="0" applyFont="1" applyAlignment="1">
      <alignment horizontal="center"/>
    </xf>
    <xf numFmtId="0" fontId="150" fillId="0" borderId="0" xfId="0" applyFont="1"/>
    <xf numFmtId="0" fontId="130" fillId="3" borderId="1" xfId="0" applyFont="1" applyFill="1" applyBorder="1" applyAlignment="1">
      <alignment horizontal="center"/>
    </xf>
    <xf numFmtId="0" fontId="151" fillId="3" borderId="1" xfId="0" applyFont="1" applyFill="1" applyBorder="1" applyAlignment="1">
      <alignment horizontal="center"/>
    </xf>
    <xf numFmtId="0" fontId="131" fillId="3" borderId="1" xfId="0" applyFont="1" applyFill="1" applyBorder="1" applyAlignment="1">
      <alignment horizontal="center"/>
    </xf>
    <xf numFmtId="0" fontId="150" fillId="3" borderId="1" xfId="0" applyFont="1" applyFill="1" applyBorder="1" applyAlignment="1">
      <alignment horizontal="center"/>
    </xf>
    <xf numFmtId="0" fontId="131" fillId="3" borderId="1" xfId="0" applyFont="1" applyFill="1" applyBorder="1" applyAlignment="1">
      <alignment horizontal="center"/>
    </xf>
    <xf numFmtId="14" fontId="131" fillId="3" borderId="1" xfId="0" applyNumberFormat="1" applyFont="1" applyFill="1" applyBorder="1" applyAlignment="1">
      <alignment horizontal="center"/>
    </xf>
    <xf numFmtId="14" fontId="131" fillId="3" borderId="1" xfId="0" applyNumberFormat="1" applyFont="1" applyFill="1" applyBorder="1" applyAlignment="1">
      <alignment horizontal="center"/>
    </xf>
    <xf numFmtId="164" fontId="131" fillId="3" borderId="1" xfId="0" applyNumberFormat="1" applyFont="1" applyFill="1" applyBorder="1" applyAlignment="1">
      <alignment horizontal="center"/>
    </xf>
    <xf numFmtId="0" fontId="131" fillId="0" borderId="0" xfId="0" applyFont="1" applyAlignment="1">
      <alignment horizontal="center"/>
    </xf>
    <xf numFmtId="0" fontId="150" fillId="3" borderId="0" xfId="0" applyFont="1" applyFill="1"/>
    <xf numFmtId="0" fontId="130" fillId="3" borderId="1" xfId="0" applyFont="1" applyFill="1" applyBorder="1" applyAlignment="1">
      <alignment horizontal="center"/>
    </xf>
    <xf numFmtId="14" fontId="130" fillId="3" borderId="1" xfId="0" applyNumberFormat="1" applyFont="1" applyFill="1" applyBorder="1" applyAlignment="1">
      <alignment horizontal="center"/>
    </xf>
    <xf numFmtId="14" fontId="130" fillId="3" borderId="1" xfId="0" applyNumberFormat="1" applyFont="1" applyFill="1" applyBorder="1" applyAlignment="1">
      <alignment horizontal="center"/>
    </xf>
    <xf numFmtId="164" fontId="130" fillId="3" borderId="1" xfId="0" applyNumberFormat="1" applyFont="1" applyFill="1" applyBorder="1" applyAlignment="1">
      <alignment horizontal="center"/>
    </xf>
    <xf numFmtId="0" fontId="131" fillId="0" borderId="0" xfId="0" applyFont="1" applyAlignment="1">
      <alignment horizontal="center"/>
    </xf>
    <xf numFmtId="14" fontId="131" fillId="3" borderId="1" xfId="0" applyNumberFormat="1" applyFont="1" applyFill="1" applyBorder="1" applyAlignment="1">
      <alignment horizontal="center"/>
    </xf>
    <xf numFmtId="0" fontId="131" fillId="0" borderId="0" xfId="0" applyFont="1" applyAlignment="1"/>
    <xf numFmtId="0" fontId="152" fillId="3" borderId="1" xfId="0" applyFont="1" applyFill="1" applyBorder="1" applyAlignment="1">
      <alignment horizontal="center"/>
    </xf>
    <xf numFmtId="0" fontId="150" fillId="3" borderId="1" xfId="0" applyFont="1" applyFill="1" applyBorder="1" applyAlignment="1">
      <alignment horizontal="center"/>
    </xf>
    <xf numFmtId="0" fontId="150" fillId="3" borderId="1" xfId="0" applyFont="1" applyFill="1" applyBorder="1" applyAlignment="1">
      <alignment horizontal="center" wrapText="1"/>
    </xf>
    <xf numFmtId="0" fontId="152" fillId="3" borderId="1" xfId="0" applyFont="1" applyFill="1" applyBorder="1" applyAlignment="1">
      <alignment horizontal="center"/>
    </xf>
    <xf numFmtId="0" fontId="153" fillId="3" borderId="1" xfId="0" applyFont="1" applyFill="1" applyBorder="1" applyAlignment="1">
      <alignment horizontal="center"/>
    </xf>
    <xf numFmtId="0" fontId="149" fillId="3" borderId="1" xfId="0" applyFont="1" applyFill="1" applyBorder="1" applyAlignment="1">
      <alignment horizontal="center"/>
    </xf>
    <xf numFmtId="0" fontId="131" fillId="0" borderId="1" xfId="0" applyFont="1" applyBorder="1" applyAlignment="1"/>
    <xf numFmtId="0" fontId="154" fillId="3" borderId="1" xfId="0" applyFont="1" applyFill="1" applyBorder="1" applyAlignment="1">
      <alignment horizontal="center"/>
    </xf>
    <xf numFmtId="0" fontId="131" fillId="3" borderId="0" xfId="0" applyFont="1" applyFill="1" applyAlignment="1">
      <alignment horizontal="center"/>
    </xf>
    <xf numFmtId="1" fontId="131" fillId="3" borderId="1" xfId="0" applyNumberFormat="1" applyFont="1" applyFill="1" applyBorder="1" applyAlignment="1">
      <alignment horizontal="center"/>
    </xf>
    <xf numFmtId="14" fontId="131" fillId="3" borderId="0" xfId="0" applyNumberFormat="1" applyFont="1" applyFill="1" applyAlignment="1">
      <alignment horizontal="center"/>
    </xf>
    <xf numFmtId="0" fontId="150" fillId="0" borderId="1" xfId="0" applyFont="1" applyBorder="1"/>
    <xf numFmtId="0" fontId="131" fillId="0" borderId="1" xfId="0" applyFont="1" applyBorder="1" applyAlignment="1">
      <alignment horizontal="center" wrapText="1"/>
    </xf>
    <xf numFmtId="14" fontId="130" fillId="0" borderId="1" xfId="0" applyNumberFormat="1" applyFont="1" applyBorder="1" applyAlignment="1">
      <alignment horizontal="center"/>
    </xf>
    <xf numFmtId="14" fontId="155" fillId="0" borderId="1" xfId="0" applyNumberFormat="1" applyFont="1" applyBorder="1" applyAlignment="1">
      <alignment horizontal="center"/>
    </xf>
    <xf numFmtId="14" fontId="131" fillId="0" borderId="1" xfId="0" applyNumberFormat="1" applyFont="1" applyBorder="1" applyAlignment="1">
      <alignment horizontal="center"/>
    </xf>
    <xf numFmtId="0" fontId="156" fillId="0" borderId="1" xfId="0" applyFont="1" applyBorder="1" applyAlignment="1"/>
    <xf numFmtId="0" fontId="150" fillId="0" borderId="1" xfId="0" applyFont="1" applyBorder="1" applyAlignment="1"/>
    <xf numFmtId="0" fontId="157" fillId="3" borderId="0" xfId="0" applyFont="1" applyFill="1"/>
    <xf numFmtId="0" fontId="158" fillId="3" borderId="1" xfId="0" applyFont="1" applyFill="1" applyBorder="1" applyAlignment="1">
      <alignment horizontal="center"/>
    </xf>
    <xf numFmtId="0" fontId="130" fillId="3" borderId="1" xfId="0" applyFont="1" applyFill="1" applyBorder="1" applyAlignment="1">
      <alignment horizontal="center" wrapText="1"/>
    </xf>
    <xf numFmtId="1" fontId="151" fillId="3" borderId="1" xfId="0" applyNumberFormat="1" applyFont="1" applyFill="1" applyBorder="1" applyAlignment="1">
      <alignment horizontal="center"/>
    </xf>
    <xf numFmtId="14" fontId="130" fillId="3" borderId="1" xfId="0" applyNumberFormat="1" applyFont="1" applyFill="1" applyBorder="1" applyAlignment="1">
      <alignment horizontal="center"/>
    </xf>
    <xf numFmtId="14" fontId="150" fillId="3" borderId="1" xfId="0" applyNumberFormat="1" applyFont="1" applyFill="1" applyBorder="1" applyAlignment="1">
      <alignment horizontal="center"/>
    </xf>
    <xf numFmtId="0" fontId="131" fillId="3" borderId="1" xfId="0" applyFont="1" applyFill="1" applyBorder="1" applyAlignment="1">
      <alignment horizontal="center" wrapText="1"/>
    </xf>
    <xf numFmtId="0" fontId="131" fillId="0" borderId="0" xfId="0" applyFont="1" applyAlignment="1">
      <alignment horizontal="center" wrapText="1"/>
    </xf>
    <xf numFmtId="1" fontId="152" fillId="3" borderId="1" xfId="0" applyNumberFormat="1" applyFont="1" applyFill="1" applyBorder="1" applyAlignment="1">
      <alignment horizontal="center"/>
    </xf>
    <xf numFmtId="14" fontId="131" fillId="0" borderId="20" xfId="0" applyNumberFormat="1" applyFont="1" applyBorder="1" applyAlignment="1">
      <alignment horizontal="center"/>
    </xf>
    <xf numFmtId="0" fontId="150" fillId="0" borderId="20" xfId="0" applyFont="1" applyBorder="1"/>
    <xf numFmtId="0" fontId="150" fillId="0" borderId="17" xfId="0" applyFont="1" applyBorder="1"/>
    <xf numFmtId="0" fontId="159" fillId="3" borderId="1" xfId="0" applyFont="1" applyFill="1" applyBorder="1" applyAlignment="1">
      <alignment horizontal="center"/>
    </xf>
    <xf numFmtId="0" fontId="150" fillId="0" borderId="21" xfId="0" applyFont="1" applyBorder="1"/>
    <xf numFmtId="14" fontId="73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130" fillId="3" borderId="1" xfId="0" applyFont="1" applyFill="1" applyBorder="1" applyAlignment="1">
      <alignment horizontal="center" wrapText="1"/>
    </xf>
    <xf numFmtId="0" fontId="150" fillId="3" borderId="0" xfId="0" applyFont="1" applyFill="1" applyAlignment="1">
      <alignment horizontal="center"/>
    </xf>
    <xf numFmtId="0" fontId="160" fillId="3" borderId="1" xfId="0" applyFont="1" applyFill="1" applyBorder="1" applyAlignment="1">
      <alignment horizontal="center"/>
    </xf>
    <xf numFmtId="0" fontId="161" fillId="3" borderId="1" xfId="0" applyFont="1" applyFill="1" applyBorder="1" applyAlignment="1">
      <alignment horizontal="center"/>
    </xf>
    <xf numFmtId="0" fontId="131" fillId="3" borderId="1" xfId="0" applyFont="1" applyFill="1" applyBorder="1" applyAlignment="1">
      <alignment horizontal="center" wrapText="1"/>
    </xf>
    <xf numFmtId="14" fontId="130" fillId="3" borderId="1" xfId="0" applyNumberFormat="1" applyFont="1" applyFill="1" applyBorder="1" applyAlignment="1">
      <alignment horizontal="center"/>
    </xf>
    <xf numFmtId="14" fontId="159" fillId="3" borderId="1" xfId="0" applyNumberFormat="1" applyFont="1" applyFill="1" applyBorder="1" applyAlignment="1">
      <alignment horizontal="center"/>
    </xf>
    <xf numFmtId="0" fontId="162" fillId="3" borderId="1" xfId="0" applyFont="1" applyFill="1" applyBorder="1" applyAlignment="1"/>
    <xf numFmtId="0" fontId="130" fillId="3" borderId="1" xfId="0" applyFont="1" applyFill="1" applyBorder="1" applyAlignment="1"/>
    <xf numFmtId="0" fontId="130" fillId="3" borderId="1" xfId="0" applyFont="1" applyFill="1" applyBorder="1" applyAlignment="1"/>
    <xf numFmtId="0" fontId="130" fillId="3" borderId="1" xfId="0" applyFont="1" applyFill="1" applyBorder="1"/>
    <xf numFmtId="0" fontId="130" fillId="3" borderId="0" xfId="0" applyFont="1" applyFill="1" applyAlignment="1">
      <alignment horizontal="center"/>
    </xf>
    <xf numFmtId="0" fontId="131" fillId="3" borderId="0" xfId="0" applyFont="1" applyFill="1"/>
    <xf numFmtId="0" fontId="163" fillId="3" borderId="1" xfId="0" applyFont="1" applyFill="1" applyBorder="1" applyAlignment="1">
      <alignment horizontal="center"/>
    </xf>
    <xf numFmtId="1" fontId="160" fillId="3" borderId="1" xfId="0" applyNumberFormat="1" applyFont="1" applyFill="1" applyBorder="1" applyAlignment="1">
      <alignment horizontal="center"/>
    </xf>
    <xf numFmtId="14" fontId="131" fillId="3" borderId="1" xfId="0" applyNumberFormat="1" applyFont="1" applyFill="1" applyBorder="1" applyAlignment="1">
      <alignment horizontal="center"/>
    </xf>
    <xf numFmtId="0" fontId="150" fillId="3" borderId="21" xfId="0" applyFont="1" applyFill="1" applyBorder="1"/>
    <xf numFmtId="14" fontId="164" fillId="3" borderId="1" xfId="0" applyNumberFormat="1" applyFont="1" applyFill="1" applyBorder="1" applyAlignment="1">
      <alignment horizontal="center"/>
    </xf>
    <xf numFmtId="0" fontId="165" fillId="3" borderId="1" xfId="0" applyFont="1" applyFill="1" applyBorder="1" applyAlignment="1"/>
    <xf numFmtId="0" fontId="150" fillId="3" borderId="1" xfId="0" applyFont="1" applyFill="1" applyBorder="1" applyAlignment="1"/>
    <xf numFmtId="0" fontId="157" fillId="3" borderId="1" xfId="0" applyFont="1" applyFill="1" applyBorder="1"/>
    <xf numFmtId="0" fontId="150" fillId="3" borderId="1" xfId="0" applyFont="1" applyFill="1" applyBorder="1"/>
    <xf numFmtId="0" fontId="130" fillId="3" borderId="1" xfId="0" applyFont="1" applyFill="1" applyBorder="1" applyAlignment="1">
      <alignment horizontal="center"/>
    </xf>
    <xf numFmtId="0" fontId="130" fillId="3" borderId="0" xfId="0" applyFont="1" applyFill="1"/>
    <xf numFmtId="0" fontId="131" fillId="0" borderId="1" xfId="0" applyFont="1" applyBorder="1" applyAlignment="1">
      <alignment horizontal="center"/>
    </xf>
    <xf numFmtId="0" fontId="131" fillId="0" borderId="1" xfId="0" applyFont="1" applyBorder="1" applyAlignment="1">
      <alignment horizontal="center"/>
    </xf>
    <xf numFmtId="14" fontId="131" fillId="0" borderId="1" xfId="0" applyNumberFormat="1" applyFont="1" applyBorder="1" applyAlignment="1">
      <alignment horizontal="center"/>
    </xf>
    <xf numFmtId="0" fontId="101" fillId="3" borderId="14" xfId="0" applyFont="1" applyFill="1" applyBorder="1" applyAlignment="1">
      <alignment horizontal="center"/>
    </xf>
    <xf numFmtId="0" fontId="103" fillId="3" borderId="14" xfId="0" applyFont="1" applyFill="1" applyBorder="1" applyAlignment="1">
      <alignment horizontal="center"/>
    </xf>
    <xf numFmtId="49" fontId="9" fillId="3" borderId="1" xfId="0" applyNumberFormat="1" applyFont="1" applyFill="1" applyBorder="1" applyAlignment="1">
      <alignment horizontal="center"/>
    </xf>
    <xf numFmtId="165" fontId="79" fillId="3" borderId="14" xfId="0" applyNumberFormat="1" applyFont="1" applyFill="1" applyBorder="1" applyAlignment="1">
      <alignment horizontal="center"/>
    </xf>
    <xf numFmtId="0" fontId="150" fillId="0" borderId="0" xfId="0" applyFont="1" applyAlignment="1">
      <alignment horizontal="center"/>
    </xf>
    <xf numFmtId="14" fontId="131" fillId="0" borderId="0" xfId="0" applyNumberFormat="1" applyFont="1" applyAlignment="1">
      <alignment horizontal="center"/>
    </xf>
    <xf numFmtId="0" fontId="150" fillId="0" borderId="0" xfId="0" applyFont="1" applyAlignment="1">
      <alignment horizontal="center"/>
    </xf>
    <xf numFmtId="14" fontId="131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49" fontId="41" fillId="0" borderId="1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0" xfId="0" applyFont="1" applyAlignment="1"/>
    <xf numFmtId="14" fontId="6" fillId="0" borderId="0" xfId="0" applyNumberFormat="1" applyFont="1" applyAlignment="1">
      <alignment horizontal="center"/>
    </xf>
    <xf numFmtId="0" fontId="63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6" fillId="18" borderId="0" xfId="0" applyFont="1" applyFill="1" applyAlignment="1">
      <alignment horizontal="center" wrapText="1"/>
    </xf>
    <xf numFmtId="0" fontId="6" fillId="18" borderId="1" xfId="0" applyFont="1" applyFill="1" applyBorder="1" applyAlignment="1">
      <alignment horizontal="left" wrapText="1"/>
    </xf>
    <xf numFmtId="1" fontId="41" fillId="18" borderId="1" xfId="0" applyNumberFormat="1" applyFont="1" applyFill="1" applyBorder="1" applyAlignment="1">
      <alignment horizontal="center" wrapText="1"/>
    </xf>
    <xf numFmtId="0" fontId="41" fillId="0" borderId="0" xfId="0" applyFont="1" applyAlignment="1"/>
    <xf numFmtId="14" fontId="65" fillId="0" borderId="0" xfId="0" applyNumberFormat="1" applyFont="1" applyAlignment="1">
      <alignment horizontal="center"/>
    </xf>
    <xf numFmtId="14" fontId="65" fillId="0" borderId="0" xfId="0" applyNumberFormat="1" applyFont="1" applyAlignment="1">
      <alignment horizontal="center"/>
    </xf>
    <xf numFmtId="0" fontId="166" fillId="3" borderId="0" xfId="0" applyFont="1" applyFill="1" applyAlignment="1">
      <alignment horizontal="center"/>
    </xf>
    <xf numFmtId="0" fontId="41" fillId="0" borderId="0" xfId="0" applyFont="1" applyAlignment="1">
      <alignment horizontal="left" wrapText="1"/>
    </xf>
    <xf numFmtId="14" fontId="3" fillId="0" borderId="0" xfId="0" applyNumberFormat="1" applyFont="1" applyAlignment="1"/>
    <xf numFmtId="0" fontId="110" fillId="18" borderId="1" xfId="0" applyFont="1" applyFill="1" applyBorder="1" applyAlignment="1">
      <alignment horizontal="center" wrapText="1"/>
    </xf>
    <xf numFmtId="14" fontId="138" fillId="0" borderId="1" xfId="0" applyNumberFormat="1" applyFont="1" applyBorder="1" applyAlignment="1">
      <alignment horizontal="center"/>
    </xf>
    <xf numFmtId="14" fontId="138" fillId="0" borderId="1" xfId="0" applyNumberFormat="1" applyFont="1" applyBorder="1" applyAlignment="1">
      <alignment horizontal="center"/>
    </xf>
    <xf numFmtId="14" fontId="93" fillId="0" borderId="16" xfId="0" applyNumberFormat="1" applyFont="1" applyBorder="1" applyAlignment="1">
      <alignment horizontal="center"/>
    </xf>
    <xf numFmtId="0" fontId="38" fillId="0" borderId="0" xfId="0" applyFont="1" applyAlignment="1"/>
    <xf numFmtId="0" fontId="3" fillId="0" borderId="0" xfId="0" applyFont="1" applyAlignment="1"/>
    <xf numFmtId="0" fontId="110" fillId="0" borderId="0" xfId="0" applyFont="1" applyAlignment="1">
      <alignment horizontal="center" wrapText="1"/>
    </xf>
    <xf numFmtId="14" fontId="65" fillId="2" borderId="0" xfId="0" applyNumberFormat="1" applyFont="1" applyFill="1" applyAlignment="1">
      <alignment horizontal="center"/>
    </xf>
    <xf numFmtId="14" fontId="41" fillId="2" borderId="1" xfId="0" applyNumberFormat="1" applyFont="1" applyFill="1" applyBorder="1" applyAlignment="1">
      <alignment horizontal="center"/>
    </xf>
    <xf numFmtId="0" fontId="65" fillId="0" borderId="0" xfId="0" applyFont="1" applyAlignment="1">
      <alignment horizontal="center" wrapText="1"/>
    </xf>
    <xf numFmtId="0" fontId="167" fillId="0" borderId="0" xfId="0" applyFont="1" applyAlignment="1"/>
    <xf numFmtId="0" fontId="0" fillId="0" borderId="0" xfId="0" applyFont="1" applyAlignment="1">
      <alignment horizontal="left" wrapText="1"/>
    </xf>
    <xf numFmtId="0" fontId="65" fillId="0" borderId="0" xfId="0" applyFont="1" applyAlignment="1">
      <alignment horizontal="center"/>
    </xf>
    <xf numFmtId="14" fontId="3" fillId="0" borderId="0" xfId="0" applyNumberFormat="1" applyFont="1" applyAlignment="1"/>
    <xf numFmtId="0" fontId="6" fillId="0" borderId="0" xfId="0" applyFont="1" applyAlignment="1"/>
    <xf numFmtId="0" fontId="75" fillId="0" borderId="0" xfId="0" applyFont="1" applyAlignment="1">
      <alignment horizontal="center" wrapText="1"/>
    </xf>
    <xf numFmtId="1" fontId="168" fillId="3" borderId="0" xfId="0" applyNumberFormat="1" applyFont="1" applyFill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14" fontId="41" fillId="0" borderId="1" xfId="0" applyNumberFormat="1" applyFont="1" applyBorder="1" applyAlignment="1"/>
    <xf numFmtId="0" fontId="6" fillId="0" borderId="0" xfId="0" applyFont="1" applyAlignment="1">
      <alignment wrapText="1"/>
    </xf>
    <xf numFmtId="0" fontId="169" fillId="0" borderId="0" xfId="0" applyFont="1" applyAlignment="1">
      <alignment wrapText="1"/>
    </xf>
    <xf numFmtId="0" fontId="170" fillId="0" borderId="1" xfId="0" applyFont="1" applyBorder="1" applyAlignment="1">
      <alignment horizontal="center"/>
    </xf>
    <xf numFmtId="0" fontId="41" fillId="4" borderId="0" xfId="0" applyFont="1" applyFill="1" applyAlignment="1">
      <alignment horizontal="center" wrapText="1"/>
    </xf>
    <xf numFmtId="0" fontId="41" fillId="4" borderId="1" xfId="0" applyFont="1" applyFill="1" applyBorder="1" applyAlignment="1">
      <alignment horizontal="left" wrapText="1"/>
    </xf>
    <xf numFmtId="1" fontId="62" fillId="0" borderId="0" xfId="0" applyNumberFormat="1" applyFont="1" applyAlignment="1">
      <alignment horizontal="center"/>
    </xf>
    <xf numFmtId="0" fontId="9" fillId="0" borderId="0" xfId="0" applyFont="1" applyAlignment="1"/>
    <xf numFmtId="0" fontId="170" fillId="0" borderId="1" xfId="0" applyFont="1" applyBorder="1" applyAlignment="1">
      <alignment horizont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71" fillId="3" borderId="1" xfId="0" applyFont="1" applyFill="1" applyBorder="1" applyAlignment="1">
      <alignment horizontal="center"/>
    </xf>
    <xf numFmtId="0" fontId="56" fillId="0" borderId="0" xfId="0" applyFont="1" applyAlignment="1">
      <alignment horizontal="center"/>
    </xf>
    <xf numFmtId="0" fontId="56" fillId="0" borderId="14" xfId="0" applyFont="1" applyBorder="1" applyAlignment="1"/>
    <xf numFmtId="0" fontId="54" fillId="0" borderId="14" xfId="0" applyFont="1" applyBorder="1" applyAlignment="1">
      <alignment horizontal="center"/>
    </xf>
    <xf numFmtId="14" fontId="56" fillId="0" borderId="14" xfId="0" applyNumberFormat="1" applyFont="1" applyBorder="1" applyAlignment="1">
      <alignment horizontal="center"/>
    </xf>
    <xf numFmtId="0" fontId="56" fillId="0" borderId="16" xfId="0" applyFont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41" fillId="0" borderId="1" xfId="0" applyFont="1" applyBorder="1" applyAlignment="1">
      <alignment horizontal="center"/>
    </xf>
    <xf numFmtId="0" fontId="9" fillId="0" borderId="1" xfId="0" applyFont="1" applyBorder="1" applyAlignment="1"/>
    <xf numFmtId="0" fontId="133" fillId="0" borderId="14" xfId="0" applyFont="1" applyBorder="1" applyAlignment="1"/>
    <xf numFmtId="0" fontId="34" fillId="0" borderId="8" xfId="0" applyFont="1" applyBorder="1" applyAlignment="1">
      <alignment horizontal="center"/>
    </xf>
    <xf numFmtId="0" fontId="0" fillId="11" borderId="1" xfId="0" applyFont="1" applyFill="1" applyBorder="1" applyAlignment="1">
      <alignment horizontal="center" wrapText="1"/>
    </xf>
    <xf numFmtId="0" fontId="172" fillId="11" borderId="1" xfId="0" applyFont="1" applyFill="1" applyBorder="1" applyAlignment="1">
      <alignment horizontal="center"/>
    </xf>
    <xf numFmtId="0" fontId="6" fillId="21" borderId="22" xfId="0" applyFont="1" applyFill="1" applyBorder="1" applyAlignment="1">
      <alignment horizontal="center" wrapText="1"/>
    </xf>
    <xf numFmtId="0" fontId="173" fillId="0" borderId="0" xfId="0" applyFont="1" applyAlignment="1"/>
    <xf numFmtId="0" fontId="174" fillId="0" borderId="0" xfId="0" applyFont="1" applyAlignment="1">
      <alignment horizontal="left" wrapText="1"/>
    </xf>
    <xf numFmtId="0" fontId="171" fillId="2" borderId="0" xfId="0" applyFont="1" applyFill="1" applyAlignment="1">
      <alignment horizontal="center"/>
    </xf>
    <xf numFmtId="0" fontId="174" fillId="0" borderId="0" xfId="0" applyFont="1" applyAlignment="1">
      <alignment horizontal="center"/>
    </xf>
    <xf numFmtId="0" fontId="175" fillId="22" borderId="1" xfId="0" applyFont="1" applyFill="1" applyBorder="1" applyAlignment="1">
      <alignment horizontal="center" wrapText="1"/>
    </xf>
    <xf numFmtId="0" fontId="176" fillId="0" borderId="1" xfId="0" applyFont="1" applyBorder="1" applyAlignment="1">
      <alignment horizontal="left" wrapText="1"/>
    </xf>
    <xf numFmtId="0" fontId="128" fillId="0" borderId="1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1" xfId="0" applyFont="1" applyBorder="1" applyAlignment="1">
      <alignment horizontal="left"/>
    </xf>
    <xf numFmtId="0" fontId="41" fillId="0" borderId="1" xfId="0" applyFont="1" applyBorder="1" applyAlignment="1">
      <alignment horizontal="right"/>
    </xf>
    <xf numFmtId="0" fontId="41" fillId="0" borderId="1" xfId="0" applyFont="1" applyBorder="1" applyAlignment="1"/>
    <xf numFmtId="14" fontId="41" fillId="0" borderId="1" xfId="0" applyNumberFormat="1" applyFont="1" applyBorder="1" applyAlignment="1">
      <alignment horizontal="center"/>
    </xf>
    <xf numFmtId="0" fontId="41" fillId="0" borderId="1" xfId="0" applyFont="1" applyBorder="1" applyAlignment="1"/>
    <xf numFmtId="1" fontId="6" fillId="0" borderId="0" xfId="0" applyNumberFormat="1" applyFont="1" applyAlignment="1"/>
    <xf numFmtId="0" fontId="93" fillId="0" borderId="1" xfId="0" applyFont="1" applyBorder="1" applyAlignment="1">
      <alignment horizontal="left"/>
    </xf>
    <xf numFmtId="0" fontId="93" fillId="0" borderId="1" xfId="0" applyFont="1" applyBorder="1" applyAlignment="1">
      <alignment horizontal="center"/>
    </xf>
    <xf numFmtId="0" fontId="93" fillId="0" borderId="1" xfId="0" applyFont="1" applyBorder="1" applyAlignment="1">
      <alignment horizontal="center"/>
    </xf>
    <xf numFmtId="0" fontId="78" fillId="0" borderId="1" xfId="0" applyFont="1" applyBorder="1" applyAlignment="1">
      <alignment horizontal="center"/>
    </xf>
    <xf numFmtId="14" fontId="93" fillId="0" borderId="1" xfId="0" applyNumberFormat="1" applyFont="1" applyBorder="1" applyAlignment="1">
      <alignment horizontal="center"/>
    </xf>
    <xf numFmtId="14" fontId="93" fillId="3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/>
    <xf numFmtId="14" fontId="6" fillId="2" borderId="1" xfId="0" applyNumberFormat="1" applyFont="1" applyFill="1" applyBorder="1" applyAlignment="1">
      <alignment horizontal="center"/>
    </xf>
    <xf numFmtId="0" fontId="177" fillId="0" borderId="1" xfId="0" applyFont="1" applyBorder="1" applyAlignment="1"/>
    <xf numFmtId="0" fontId="166" fillId="3" borderId="1" xfId="0" applyFont="1" applyFill="1" applyBorder="1" applyAlignment="1">
      <alignment horizontal="center"/>
    </xf>
    <xf numFmtId="0" fontId="178" fillId="22" borderId="1" xfId="0" applyFont="1" applyFill="1" applyBorder="1" applyAlignment="1">
      <alignment horizontal="center" wrapText="1"/>
    </xf>
    <xf numFmtId="0" fontId="0" fillId="0" borderId="8" xfId="0" applyFont="1" applyBorder="1" applyAlignment="1">
      <alignment horizontal="left" wrapText="1"/>
    </xf>
    <xf numFmtId="1" fontId="65" fillId="3" borderId="0" xfId="0" applyNumberFormat="1" applyFont="1" applyFill="1" applyAlignment="1">
      <alignment horizontal="center"/>
    </xf>
    <xf numFmtId="14" fontId="65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vertical="top"/>
    </xf>
    <xf numFmtId="0" fontId="13" fillId="0" borderId="1" xfId="0" applyFont="1" applyBorder="1" applyAlignment="1">
      <alignment horizontal="left"/>
    </xf>
    <xf numFmtId="0" fontId="171" fillId="2" borderId="1" xfId="0" applyFont="1" applyFill="1" applyBorder="1" applyAlignment="1">
      <alignment horizontal="center"/>
    </xf>
    <xf numFmtId="0" fontId="6" fillId="0" borderId="0" xfId="0" applyFont="1" applyAlignment="1"/>
    <xf numFmtId="0" fontId="41" fillId="11" borderId="1" xfId="0" applyFont="1" applyFill="1" applyBorder="1" applyAlignment="1">
      <alignment horizontal="center"/>
    </xf>
    <xf numFmtId="0" fontId="101" fillId="0" borderId="1" xfId="0" applyFont="1" applyBorder="1" applyAlignment="1">
      <alignment horizontal="left"/>
    </xf>
    <xf numFmtId="1" fontId="101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vertical="top"/>
    </xf>
    <xf numFmtId="0" fontId="93" fillId="3" borderId="1" xfId="0" applyFont="1" applyFill="1" applyBorder="1" applyAlignment="1">
      <alignment horizontal="left"/>
    </xf>
    <xf numFmtId="0" fontId="93" fillId="3" borderId="1" xfId="0" applyFont="1" applyFill="1" applyBorder="1" applyAlignment="1">
      <alignment horizontal="center"/>
    </xf>
    <xf numFmtId="0" fontId="93" fillId="3" borderId="1" xfId="0" applyFont="1" applyFill="1" applyBorder="1" applyAlignment="1">
      <alignment horizontal="center"/>
    </xf>
    <xf numFmtId="14" fontId="6" fillId="0" borderId="1" xfId="0" applyNumberFormat="1" applyFont="1" applyBorder="1" applyAlignment="1"/>
    <xf numFmtId="0" fontId="6" fillId="0" borderId="1" xfId="0" applyFont="1" applyBorder="1" applyAlignment="1"/>
    <xf numFmtId="0" fontId="54" fillId="0" borderId="1" xfId="0" applyFont="1" applyBorder="1" applyAlignment="1">
      <alignment horizontal="center"/>
    </xf>
    <xf numFmtId="0" fontId="65" fillId="23" borderId="1" xfId="0" applyFont="1" applyFill="1" applyBorder="1" applyAlignment="1">
      <alignment horizontal="center"/>
    </xf>
    <xf numFmtId="0" fontId="178" fillId="11" borderId="1" xfId="0" applyFont="1" applyFill="1" applyBorder="1" applyAlignment="1">
      <alignment horizontal="center"/>
    </xf>
    <xf numFmtId="1" fontId="65" fillId="0" borderId="0" xfId="0" applyNumberFormat="1" applyFont="1" applyAlignment="1">
      <alignment horizontal="center" wrapText="1"/>
    </xf>
    <xf numFmtId="0" fontId="6" fillId="2" borderId="0" xfId="0" applyFont="1" applyFill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1" fillId="11" borderId="1" xfId="0" applyFont="1" applyFill="1" applyBorder="1" applyAlignment="1">
      <alignment horizontal="left"/>
    </xf>
    <xf numFmtId="0" fontId="129" fillId="0" borderId="0" xfId="0" applyFont="1" applyAlignment="1">
      <alignment horizontal="center" wrapText="1"/>
    </xf>
    <xf numFmtId="0" fontId="41" fillId="24" borderId="1" xfId="0" applyFont="1" applyFill="1" applyBorder="1" applyAlignment="1">
      <alignment horizontal="center"/>
    </xf>
    <xf numFmtId="1" fontId="62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99" fillId="3" borderId="0" xfId="0" applyFont="1" applyFill="1" applyAlignment="1"/>
    <xf numFmtId="0" fontId="0" fillId="0" borderId="8" xfId="0" applyFont="1" applyBorder="1" applyAlignment="1">
      <alignment horizontal="left" wrapText="1"/>
    </xf>
    <xf numFmtId="0" fontId="179" fillId="0" borderId="1" xfId="0" applyFont="1" applyBorder="1" applyAlignment="1"/>
    <xf numFmtId="0" fontId="15" fillId="3" borderId="0" xfId="0" applyFont="1" applyFill="1" applyAlignment="1"/>
    <xf numFmtId="14" fontId="138" fillId="0" borderId="1" xfId="0" applyNumberFormat="1" applyFont="1" applyBorder="1" applyAlignment="1">
      <alignment horizontal="center"/>
    </xf>
    <xf numFmtId="0" fontId="6" fillId="0" borderId="1" xfId="0" applyFont="1" applyBorder="1" applyAlignment="1"/>
    <xf numFmtId="0" fontId="6" fillId="0" borderId="1" xfId="0" applyFont="1" applyBorder="1" applyAlignment="1">
      <alignment wrapText="1"/>
    </xf>
    <xf numFmtId="0" fontId="6" fillId="0" borderId="1" xfId="0" applyFont="1" applyBorder="1" applyAlignment="1"/>
    <xf numFmtId="0" fontId="180" fillId="0" borderId="1" xfId="0" applyFont="1" applyBorder="1" applyAlignment="1"/>
    <xf numFmtId="0" fontId="6" fillId="11" borderId="1" xfId="0" applyFont="1" applyFill="1" applyBorder="1" applyAlignment="1">
      <alignment horizontal="left" wrapText="1"/>
    </xf>
    <xf numFmtId="0" fontId="60" fillId="0" borderId="1" xfId="0" applyFont="1" applyBorder="1" applyAlignment="1">
      <alignment horizontal="center" wrapText="1"/>
    </xf>
    <xf numFmtId="0" fontId="128" fillId="2" borderId="0" xfId="0" applyFont="1" applyFill="1" applyAlignment="1">
      <alignment horizontal="center"/>
    </xf>
    <xf numFmtId="14" fontId="41" fillId="2" borderId="1" xfId="0" applyNumberFormat="1" applyFont="1" applyFill="1" applyBorder="1" applyAlignment="1">
      <alignment horizontal="center"/>
    </xf>
    <xf numFmtId="0" fontId="9" fillId="0" borderId="0" xfId="0" applyFont="1" applyAlignment="1"/>
    <xf numFmtId="0" fontId="6" fillId="4" borderId="22" xfId="0" applyFont="1" applyFill="1" applyBorder="1" applyAlignment="1">
      <alignment horizontal="center" wrapText="1"/>
    </xf>
    <xf numFmtId="1" fontId="97" fillId="0" borderId="1" xfId="0" applyNumberFormat="1" applyFont="1" applyBorder="1" applyAlignment="1"/>
    <xf numFmtId="0" fontId="63" fillId="0" borderId="1" xfId="0" applyFont="1" applyBorder="1" applyAlignment="1">
      <alignment horizontal="center"/>
    </xf>
    <xf numFmtId="0" fontId="41" fillId="0" borderId="8" xfId="0" applyFont="1" applyBorder="1" applyAlignment="1">
      <alignment horizontal="left" wrapText="1"/>
    </xf>
    <xf numFmtId="0" fontId="128" fillId="0" borderId="0" xfId="0" applyFont="1" applyAlignment="1">
      <alignment horizontal="center"/>
    </xf>
    <xf numFmtId="0" fontId="65" fillId="0" borderId="1" xfId="0" applyFont="1" applyBorder="1" applyAlignment="1">
      <alignment horizontal="center" wrapText="1"/>
    </xf>
    <xf numFmtId="0" fontId="93" fillId="0" borderId="1" xfId="0" applyFont="1" applyBorder="1" applyAlignment="1"/>
    <xf numFmtId="0" fontId="78" fillId="0" borderId="1" xfId="0" applyFont="1" applyBorder="1" applyAlignment="1"/>
    <xf numFmtId="164" fontId="6" fillId="0" borderId="1" xfId="0" applyNumberFormat="1" applyFont="1" applyBorder="1" applyAlignment="1"/>
    <xf numFmtId="0" fontId="128" fillId="0" borderId="1" xfId="0" applyFont="1" applyBorder="1" applyAlignment="1">
      <alignment horizontal="center"/>
    </xf>
    <xf numFmtId="0" fontId="132" fillId="0" borderId="1" xfId="0" applyFont="1" applyBorder="1" applyAlignment="1">
      <alignment vertical="top"/>
    </xf>
    <xf numFmtId="1" fontId="34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 vertical="top"/>
    </xf>
    <xf numFmtId="0" fontId="0" fillId="11" borderId="1" xfId="0" applyFont="1" applyFill="1" applyBorder="1" applyAlignment="1">
      <alignment horizontal="center" wrapText="1"/>
    </xf>
    <xf numFmtId="0" fontId="128" fillId="0" borderId="0" xfId="0" applyFont="1" applyAlignment="1">
      <alignment horizontal="center"/>
    </xf>
    <xf numFmtId="0" fontId="65" fillId="0" borderId="1" xfId="0" applyFont="1" applyBorder="1" applyAlignment="1">
      <alignment horizontal="left" wrapText="1"/>
    </xf>
    <xf numFmtId="0" fontId="79" fillId="0" borderId="1" xfId="0" applyFont="1" applyBorder="1" applyAlignment="1"/>
    <xf numFmtId="164" fontId="93" fillId="3" borderId="1" xfId="0" applyNumberFormat="1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0" fontId="41" fillId="11" borderId="1" xfId="0" applyFont="1" applyFill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181" fillId="0" borderId="1" xfId="0" applyFont="1" applyBorder="1" applyAlignment="1"/>
    <xf numFmtId="1" fontId="41" fillId="3" borderId="0" xfId="0" applyNumberFormat="1" applyFont="1" applyFill="1" applyAlignment="1">
      <alignment horizontal="center"/>
    </xf>
    <xf numFmtId="0" fontId="93" fillId="3" borderId="1" xfId="0" applyFont="1" applyFill="1" applyBorder="1" applyAlignment="1"/>
    <xf numFmtId="14" fontId="0" fillId="0" borderId="1" xfId="0" applyNumberFormat="1" applyFont="1" applyBorder="1" applyAlignment="1">
      <alignment horizontal="center" wrapText="1"/>
    </xf>
    <xf numFmtId="0" fontId="54" fillId="0" borderId="14" xfId="0" applyFont="1" applyBorder="1" applyAlignment="1"/>
    <xf numFmtId="0" fontId="13" fillId="0" borderId="1" xfId="0" applyFont="1" applyBorder="1" applyAlignment="1"/>
    <xf numFmtId="14" fontId="15" fillId="3" borderId="1" xfId="0" applyNumberFormat="1" applyFont="1" applyFill="1" applyBorder="1" applyAlignment="1">
      <alignment horizontal="center"/>
    </xf>
    <xf numFmtId="0" fontId="117" fillId="0" borderId="1" xfId="0" applyFont="1" applyBorder="1" applyAlignment="1"/>
    <xf numFmtId="0" fontId="34" fillId="0" borderId="1" xfId="0" applyFont="1" applyBorder="1" applyAlignment="1">
      <alignment horizontal="left"/>
    </xf>
    <xf numFmtId="1" fontId="103" fillId="0" borderId="1" xfId="0" applyNumberFormat="1" applyFont="1" applyBorder="1" applyAlignment="1">
      <alignment horizontal="center"/>
    </xf>
    <xf numFmtId="0" fontId="103" fillId="0" borderId="1" xfId="0" applyFont="1" applyBorder="1" applyAlignment="1">
      <alignment horizontal="center"/>
    </xf>
    <xf numFmtId="0" fontId="78" fillId="0" borderId="0" xfId="0" applyFont="1" applyAlignment="1">
      <alignment horizontal="center"/>
    </xf>
    <xf numFmtId="164" fontId="73" fillId="0" borderId="1" xfId="0" applyNumberFormat="1" applyFont="1" applyBorder="1" applyAlignment="1">
      <alignment horizontal="center"/>
    </xf>
    <xf numFmtId="14" fontId="73" fillId="0" borderId="1" xfId="0" applyNumberFormat="1" applyFont="1" applyBorder="1" applyAlignment="1">
      <alignment horizontal="center"/>
    </xf>
    <xf numFmtId="0" fontId="182" fillId="0" borderId="1" xfId="0" applyFont="1" applyBorder="1" applyAlignment="1"/>
    <xf numFmtId="14" fontId="6" fillId="0" borderId="1" xfId="0" applyNumberFormat="1" applyFont="1" applyBorder="1" applyAlignment="1">
      <alignment horizontal="center" wrapText="1"/>
    </xf>
    <xf numFmtId="0" fontId="41" fillId="0" borderId="1" xfId="0" applyFont="1" applyBorder="1" applyAlignment="1"/>
    <xf numFmtId="1" fontId="41" fillId="0" borderId="0" xfId="0" applyNumberFormat="1" applyFont="1" applyAlignment="1">
      <alignment horizontal="center" wrapText="1"/>
    </xf>
    <xf numFmtId="14" fontId="97" fillId="0" borderId="1" xfId="0" applyNumberFormat="1" applyFont="1" applyBorder="1" applyAlignment="1">
      <alignment horizontal="center"/>
    </xf>
    <xf numFmtId="0" fontId="183" fillId="11" borderId="1" xfId="0" applyFont="1" applyFill="1" applyBorder="1" applyAlignment="1">
      <alignment horizontal="center" wrapText="1"/>
    </xf>
    <xf numFmtId="0" fontId="6" fillId="0" borderId="8" xfId="0" applyFont="1" applyBorder="1" applyAlignment="1">
      <alignment horizontal="left" wrapText="1"/>
    </xf>
    <xf numFmtId="0" fontId="41" fillId="3" borderId="0" xfId="0" applyFont="1" applyFill="1" applyAlignment="1">
      <alignment horizontal="center"/>
    </xf>
    <xf numFmtId="0" fontId="0" fillId="0" borderId="10" xfId="0" applyFont="1" applyBorder="1" applyAlignment="1">
      <alignment horizontal="center" wrapText="1"/>
    </xf>
    <xf numFmtId="0" fontId="148" fillId="0" borderId="1" xfId="0" applyFont="1" applyBorder="1" applyAlignment="1">
      <alignment horizontal="center"/>
    </xf>
    <xf numFmtId="0" fontId="41" fillId="24" borderId="22" xfId="0" applyFont="1" applyFill="1" applyBorder="1" applyAlignment="1">
      <alignment horizontal="center"/>
    </xf>
    <xf numFmtId="0" fontId="129" fillId="0" borderId="1" xfId="0" applyFont="1" applyBorder="1" applyAlignment="1">
      <alignment horizontal="center"/>
    </xf>
    <xf numFmtId="0" fontId="0" fillId="0" borderId="16" xfId="0" applyFont="1" applyBorder="1" applyAlignment="1">
      <alignment horizontal="left" wrapText="1"/>
    </xf>
    <xf numFmtId="1" fontId="94" fillId="0" borderId="1" xfId="0" applyNumberFormat="1" applyFont="1" applyBorder="1" applyAlignment="1">
      <alignment horizontal="center"/>
    </xf>
    <xf numFmtId="0" fontId="94" fillId="0" borderId="1" xfId="0" applyFont="1" applyBorder="1" applyAlignment="1">
      <alignment horizontal="center"/>
    </xf>
    <xf numFmtId="0" fontId="63" fillId="0" borderId="8" xfId="0" applyFont="1" applyBorder="1" applyAlignment="1">
      <alignment horizontal="center" wrapText="1"/>
    </xf>
    <xf numFmtId="0" fontId="6" fillId="25" borderId="1" xfId="0" applyFont="1" applyFill="1" applyBorder="1" applyAlignment="1">
      <alignment horizontal="center"/>
    </xf>
    <xf numFmtId="0" fontId="110" fillId="0" borderId="8" xfId="0" applyFont="1" applyBorder="1" applyAlignment="1">
      <alignment horizontal="center" wrapText="1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0" fontId="184" fillId="0" borderId="0" xfId="0" applyFont="1" applyAlignment="1"/>
    <xf numFmtId="164" fontId="17" fillId="0" borderId="0" xfId="0" applyNumberFormat="1" applyFont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85" fillId="3" borderId="0" xfId="0" applyFont="1" applyFill="1" applyAlignment="1"/>
    <xf numFmtId="0" fontId="101" fillId="2" borderId="1" xfId="0" applyFont="1" applyFill="1" applyBorder="1" applyAlignment="1">
      <alignment horizontal="left"/>
    </xf>
    <xf numFmtId="0" fontId="0" fillId="0" borderId="10" xfId="0" applyFont="1" applyBorder="1" applyAlignment="1">
      <alignment horizontal="left" wrapText="1"/>
    </xf>
    <xf numFmtId="0" fontId="41" fillId="0" borderId="10" xfId="0" applyFont="1" applyBorder="1" applyAlignment="1">
      <alignment horizontal="center"/>
    </xf>
    <xf numFmtId="0" fontId="6" fillId="2" borderId="0" xfId="0" applyFont="1" applyFill="1" applyAlignment="1">
      <alignment horizontal="center" wrapText="1"/>
    </xf>
    <xf numFmtId="0" fontId="170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 wrapText="1"/>
    </xf>
    <xf numFmtId="14" fontId="65" fillId="0" borderId="10" xfId="0" applyNumberFormat="1" applyFont="1" applyBorder="1" applyAlignment="1">
      <alignment horizontal="center"/>
    </xf>
    <xf numFmtId="14" fontId="65" fillId="2" borderId="10" xfId="0" applyNumberFormat="1" applyFont="1" applyFill="1" applyBorder="1" applyAlignment="1">
      <alignment horizontal="center"/>
    </xf>
    <xf numFmtId="0" fontId="0" fillId="0" borderId="10" xfId="0" applyFont="1" applyBorder="1" applyAlignment="1"/>
    <xf numFmtId="0" fontId="186" fillId="0" borderId="10" xfId="0" applyFont="1" applyBorder="1" applyAlignment="1"/>
    <xf numFmtId="14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/>
    <xf numFmtId="0" fontId="3" fillId="0" borderId="10" xfId="0" applyFont="1" applyBorder="1"/>
    <xf numFmtId="0" fontId="41" fillId="4" borderId="1" xfId="0" applyFont="1" applyFill="1" applyBorder="1" applyAlignment="1">
      <alignment horizontal="center"/>
    </xf>
    <xf numFmtId="0" fontId="41" fillId="22" borderId="1" xfId="0" applyFont="1" applyFill="1" applyBorder="1" applyAlignment="1">
      <alignment horizontal="center"/>
    </xf>
    <xf numFmtId="0" fontId="41" fillId="26" borderId="1" xfId="0" applyFont="1" applyFill="1" applyBorder="1" applyAlignment="1">
      <alignment horizontal="left" wrapText="1"/>
    </xf>
    <xf numFmtId="0" fontId="63" fillId="26" borderId="1" xfId="0" applyFont="1" applyFill="1" applyBorder="1" applyAlignment="1">
      <alignment horizontal="center" wrapText="1"/>
    </xf>
    <xf numFmtId="0" fontId="3" fillId="26" borderId="1" xfId="0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41" fillId="26" borderId="1" xfId="0" applyFont="1" applyFill="1" applyBorder="1" applyAlignment="1">
      <alignment horizontal="center" wrapText="1"/>
    </xf>
    <xf numFmtId="0" fontId="41" fillId="26" borderId="1" xfId="0" applyFont="1" applyFill="1" applyBorder="1" applyAlignment="1">
      <alignment horizontal="center" wrapText="1"/>
    </xf>
    <xf numFmtId="14" fontId="41" fillId="26" borderId="1" xfId="0" applyNumberFormat="1" applyFont="1" applyFill="1" applyBorder="1" applyAlignment="1">
      <alignment horizontal="center"/>
    </xf>
    <xf numFmtId="14" fontId="17" fillId="26" borderId="1" xfId="0" applyNumberFormat="1" applyFont="1" applyFill="1" applyBorder="1" applyAlignment="1">
      <alignment horizontal="center"/>
    </xf>
    <xf numFmtId="0" fontId="17" fillId="26" borderId="1" xfId="0" applyFont="1" applyFill="1" applyBorder="1" applyAlignment="1"/>
    <xf numFmtId="0" fontId="17" fillId="27" borderId="1" xfId="0" applyFont="1" applyFill="1" applyBorder="1" applyAlignment="1"/>
    <xf numFmtId="0" fontId="17" fillId="27" borderId="1" xfId="0" applyFont="1" applyFill="1" applyBorder="1"/>
    <xf numFmtId="0" fontId="17" fillId="27" borderId="1" xfId="0" applyFont="1" applyFill="1" applyBorder="1" applyAlignment="1">
      <alignment horizontal="center"/>
    </xf>
    <xf numFmtId="0" fontId="3" fillId="27" borderId="1" xfId="0" applyFont="1" applyFill="1" applyBorder="1"/>
    <xf numFmtId="0" fontId="17" fillId="27" borderId="0" xfId="0" applyFont="1" applyFill="1"/>
    <xf numFmtId="0" fontId="41" fillId="28" borderId="1" xfId="0" applyFont="1" applyFill="1" applyBorder="1" applyAlignment="1">
      <alignment horizontal="center"/>
    </xf>
    <xf numFmtId="1" fontId="65" fillId="3" borderId="16" xfId="0" applyNumberFormat="1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34" fillId="0" borderId="0" xfId="0" applyFont="1" applyAlignment="1">
      <alignment horizontal="center" vertical="top"/>
    </xf>
    <xf numFmtId="0" fontId="34" fillId="0" borderId="1" xfId="0" applyFont="1" applyBorder="1" applyAlignment="1">
      <alignment horizontal="left"/>
    </xf>
    <xf numFmtId="0" fontId="6" fillId="0" borderId="0" xfId="0" applyFont="1" applyAlignment="1"/>
    <xf numFmtId="0" fontId="187" fillId="0" borderId="0" xfId="0" applyFont="1" applyAlignment="1"/>
    <xf numFmtId="14" fontId="41" fillId="0" borderId="16" xfId="0" applyNumberFormat="1" applyFont="1" applyBorder="1" applyAlignment="1">
      <alignment horizontal="center"/>
    </xf>
    <xf numFmtId="14" fontId="65" fillId="28" borderId="1" xfId="0" applyNumberFormat="1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188" fillId="0" borderId="1" xfId="0" applyFont="1" applyBorder="1" applyAlignment="1"/>
    <xf numFmtId="0" fontId="34" fillId="0" borderId="0" xfId="0" applyFont="1" applyAlignment="1">
      <alignment horizontal="center"/>
    </xf>
    <xf numFmtId="0" fontId="178" fillId="25" borderId="1" xfId="0" applyFont="1" applyFill="1" applyBorder="1" applyAlignment="1">
      <alignment horizontal="center" wrapText="1"/>
    </xf>
    <xf numFmtId="0" fontId="65" fillId="0" borderId="10" xfId="0" applyFont="1" applyBorder="1" applyAlignment="1">
      <alignment horizontal="center"/>
    </xf>
    <xf numFmtId="0" fontId="128" fillId="0" borderId="0" xfId="0" applyFont="1" applyAlignment="1">
      <alignment horizontal="center" wrapText="1"/>
    </xf>
    <xf numFmtId="0" fontId="41" fillId="2" borderId="1" xfId="0" applyFont="1" applyFill="1" applyBorder="1" applyAlignment="1">
      <alignment horizontal="center"/>
    </xf>
    <xf numFmtId="49" fontId="41" fillId="0" borderId="0" xfId="0" applyNumberFormat="1" applyFont="1" applyAlignment="1">
      <alignment horizontal="center" wrapText="1"/>
    </xf>
    <xf numFmtId="0" fontId="189" fillId="0" borderId="0" xfId="0" applyFont="1" applyAlignment="1">
      <alignment horizontal="center"/>
    </xf>
    <xf numFmtId="1" fontId="6" fillId="0" borderId="1" xfId="0" applyNumberFormat="1" applyFont="1" applyBorder="1" applyAlignment="1">
      <alignment horizontal="center"/>
    </xf>
    <xf numFmtId="14" fontId="73" fillId="3" borderId="1" xfId="0" applyNumberFormat="1" applyFont="1" applyFill="1" applyBorder="1" applyAlignment="1">
      <alignment horizontal="center"/>
    </xf>
    <xf numFmtId="0" fontId="60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left" wrapText="1"/>
    </xf>
    <xf numFmtId="0" fontId="54" fillId="0" borderId="1" xfId="0" applyFont="1" applyBorder="1" applyAlignment="1">
      <alignment horizontal="left"/>
    </xf>
    <xf numFmtId="0" fontId="138" fillId="0" borderId="1" xfId="0" applyFont="1" applyBorder="1" applyAlignment="1"/>
    <xf numFmtId="0" fontId="104" fillId="0" borderId="1" xfId="0" applyFont="1" applyBorder="1" applyAlignment="1"/>
    <xf numFmtId="0" fontId="190" fillId="0" borderId="1" xfId="0" applyFont="1" applyBorder="1" applyAlignment="1">
      <alignment horizontal="left"/>
    </xf>
    <xf numFmtId="1" fontId="191" fillId="3" borderId="1" xfId="0" applyNumberFormat="1" applyFont="1" applyFill="1" applyBorder="1" applyAlignment="1">
      <alignment horizontal="center"/>
    </xf>
    <xf numFmtId="0" fontId="138" fillId="0" borderId="1" xfId="0" applyFont="1" applyBorder="1" applyAlignment="1">
      <alignment horizontal="center"/>
    </xf>
    <xf numFmtId="0" fontId="192" fillId="0" borderId="1" xfId="0" applyFont="1" applyBorder="1" applyAlignment="1">
      <alignment horizontal="center"/>
    </xf>
    <xf numFmtId="0" fontId="138" fillId="0" borderId="1" xfId="0" applyFont="1" applyBorder="1" applyAlignment="1">
      <alignment horizontal="center"/>
    </xf>
    <xf numFmtId="0" fontId="193" fillId="0" borderId="1" xfId="0" applyFont="1" applyBorder="1" applyAlignment="1">
      <alignment horizontal="center"/>
    </xf>
    <xf numFmtId="0" fontId="138" fillId="0" borderId="1" xfId="0" applyFont="1" applyBorder="1" applyAlignment="1">
      <alignment horizontal="center" wrapText="1"/>
    </xf>
    <xf numFmtId="0" fontId="138" fillId="0" borderId="1" xfId="0" applyFont="1" applyBorder="1" applyAlignment="1">
      <alignment horizontal="center"/>
    </xf>
    <xf numFmtId="14" fontId="194" fillId="0" borderId="1" xfId="0" applyNumberFormat="1" applyFont="1" applyBorder="1" applyAlignment="1">
      <alignment horizontal="center"/>
    </xf>
    <xf numFmtId="14" fontId="104" fillId="3" borderId="1" xfId="0" applyNumberFormat="1" applyFont="1" applyFill="1" applyBorder="1" applyAlignment="1">
      <alignment horizontal="center"/>
    </xf>
    <xf numFmtId="14" fontId="138" fillId="0" borderId="1" xfId="0" applyNumberFormat="1" applyFont="1" applyBorder="1" applyAlignment="1">
      <alignment horizontal="center"/>
    </xf>
    <xf numFmtId="14" fontId="138" fillId="0" borderId="1" xfId="0" applyNumberFormat="1" applyFont="1" applyBorder="1" applyAlignment="1"/>
    <xf numFmtId="14" fontId="138" fillId="2" borderId="1" xfId="0" applyNumberFormat="1" applyFont="1" applyFill="1" applyBorder="1" applyAlignment="1">
      <alignment horizontal="center"/>
    </xf>
    <xf numFmtId="0" fontId="138" fillId="0" borderId="0" xfId="0" applyFont="1" applyAlignment="1"/>
    <xf numFmtId="0" fontId="138" fillId="0" borderId="0" xfId="0" applyFont="1" applyAlignment="1"/>
    <xf numFmtId="0" fontId="195" fillId="0" borderId="0" xfId="0" applyFont="1" applyAlignment="1"/>
    <xf numFmtId="0" fontId="53" fillId="0" borderId="0" xfId="0" applyFont="1"/>
    <xf numFmtId="0" fontId="56" fillId="0" borderId="14" xfId="0" applyFont="1" applyBorder="1" applyAlignment="1">
      <alignment horizontal="left"/>
    </xf>
    <xf numFmtId="164" fontId="56" fillId="0" borderId="14" xfId="0" applyNumberFormat="1" applyFont="1" applyBorder="1" applyAlignment="1">
      <alignment horizontal="center"/>
    </xf>
    <xf numFmtId="0" fontId="56" fillId="0" borderId="14" xfId="0" applyFont="1" applyBorder="1" applyAlignment="1">
      <alignment horizontal="center"/>
    </xf>
    <xf numFmtId="0" fontId="41" fillId="2" borderId="1" xfId="0" applyFont="1" applyFill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1" fontId="41" fillId="3" borderId="16" xfId="0" applyNumberFormat="1" applyFont="1" applyFill="1" applyBorder="1" applyAlignment="1">
      <alignment horizontal="center"/>
    </xf>
    <xf numFmtId="0" fontId="63" fillId="0" borderId="1" xfId="0" applyFont="1" applyBorder="1" applyAlignment="1">
      <alignment horizontal="center"/>
    </xf>
    <xf numFmtId="0" fontId="41" fillId="0" borderId="8" xfId="0" applyFont="1" applyBorder="1" applyAlignment="1">
      <alignment horizontal="left" wrapText="1"/>
    </xf>
    <xf numFmtId="0" fontId="128" fillId="0" borderId="10" xfId="0" applyFont="1" applyBorder="1" applyAlignment="1">
      <alignment horizontal="center" wrapText="1"/>
    </xf>
    <xf numFmtId="14" fontId="65" fillId="0" borderId="1" xfId="0" applyNumberFormat="1" applyFont="1" applyBorder="1" applyAlignment="1">
      <alignment horizontal="center"/>
    </xf>
    <xf numFmtId="0" fontId="185" fillId="3" borderId="0" xfId="0" applyFont="1" applyFill="1" applyAlignment="1">
      <alignment horizontal="center"/>
    </xf>
    <xf numFmtId="0" fontId="0" fillId="29" borderId="1" xfId="0" applyFont="1" applyFill="1" applyBorder="1" applyAlignment="1">
      <alignment horizontal="left" wrapText="1"/>
    </xf>
    <xf numFmtId="0" fontId="0" fillId="26" borderId="1" xfId="0" applyFont="1" applyFill="1" applyBorder="1" applyAlignment="1">
      <alignment horizontal="center" wrapText="1"/>
    </xf>
    <xf numFmtId="1" fontId="65" fillId="26" borderId="1" xfId="0" applyNumberFormat="1" applyFont="1" applyFill="1" applyBorder="1" applyAlignment="1">
      <alignment horizontal="center"/>
    </xf>
    <xf numFmtId="0" fontId="75" fillId="26" borderId="1" xfId="0" applyFont="1" applyFill="1" applyBorder="1" applyAlignment="1">
      <alignment horizontal="center" wrapText="1"/>
    </xf>
    <xf numFmtId="0" fontId="0" fillId="26" borderId="1" xfId="0" applyFont="1" applyFill="1" applyBorder="1" applyAlignment="1">
      <alignment horizontal="center" wrapText="1"/>
    </xf>
    <xf numFmtId="0" fontId="65" fillId="26" borderId="1" xfId="0" applyFont="1" applyFill="1" applyBorder="1" applyAlignment="1">
      <alignment horizontal="center" wrapText="1"/>
    </xf>
    <xf numFmtId="14" fontId="65" fillId="26" borderId="1" xfId="0" applyNumberFormat="1" applyFont="1" applyFill="1" applyBorder="1" applyAlignment="1">
      <alignment horizontal="center"/>
    </xf>
    <xf numFmtId="14" fontId="65" fillId="26" borderId="1" xfId="0" applyNumberFormat="1" applyFont="1" applyFill="1" applyBorder="1" applyAlignment="1">
      <alignment horizontal="center"/>
    </xf>
    <xf numFmtId="14" fontId="65" fillId="26" borderId="1" xfId="0" applyNumberFormat="1" applyFont="1" applyFill="1" applyBorder="1" applyAlignment="1">
      <alignment horizontal="center"/>
    </xf>
    <xf numFmtId="0" fontId="0" fillId="26" borderId="1" xfId="0" applyFont="1" applyFill="1" applyBorder="1" applyAlignment="1"/>
    <xf numFmtId="0" fontId="196" fillId="26" borderId="1" xfId="0" applyFont="1" applyFill="1" applyBorder="1" applyAlignment="1"/>
    <xf numFmtId="0" fontId="197" fillId="27" borderId="1" xfId="0" applyFont="1" applyFill="1" applyBorder="1" applyAlignment="1"/>
    <xf numFmtId="0" fontId="0" fillId="27" borderId="1" xfId="0" applyFont="1" applyFill="1" applyBorder="1" applyAlignment="1"/>
    <xf numFmtId="0" fontId="3" fillId="27" borderId="1" xfId="0" applyFont="1" applyFill="1" applyBorder="1" applyAlignment="1">
      <alignment horizontal="center"/>
    </xf>
    <xf numFmtId="0" fontId="3" fillId="27" borderId="0" xfId="0" applyFont="1" applyFill="1"/>
    <xf numFmtId="1" fontId="41" fillId="0" borderId="1" xfId="0" applyNumberFormat="1" applyFont="1" applyBorder="1" applyAlignment="1">
      <alignment horizontal="center"/>
    </xf>
    <xf numFmtId="0" fontId="94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35" fillId="3" borderId="1" xfId="0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0" fontId="110" fillId="0" borderId="1" xfId="0" applyFont="1" applyBorder="1" applyAlignment="1">
      <alignment horizontal="center" wrapText="1"/>
    </xf>
    <xf numFmtId="0" fontId="6" fillId="21" borderId="22" xfId="0" applyFont="1" applyFill="1" applyBorder="1" applyAlignment="1">
      <alignment horizontal="center" wrapText="1"/>
    </xf>
    <xf numFmtId="0" fontId="41" fillId="0" borderId="1" xfId="0" applyFont="1" applyBorder="1" applyAlignment="1"/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wrapText="1"/>
    </xf>
    <xf numFmtId="14" fontId="93" fillId="3" borderId="1" xfId="0" applyNumberFormat="1" applyFont="1" applyFill="1" applyBorder="1" applyAlignment="1">
      <alignment horizontal="center"/>
    </xf>
    <xf numFmtId="164" fontId="41" fillId="0" borderId="1" xfId="0" applyNumberFormat="1" applyFont="1" applyBorder="1" applyAlignment="1">
      <alignment horizontal="center"/>
    </xf>
    <xf numFmtId="0" fontId="175" fillId="11" borderId="1" xfId="0" applyFont="1" applyFill="1" applyBorder="1" applyAlignment="1">
      <alignment horizontal="center"/>
    </xf>
    <xf numFmtId="0" fontId="65" fillId="0" borderId="1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0" fontId="138" fillId="2" borderId="1" xfId="0" applyFont="1" applyFill="1" applyBorder="1" applyAlignment="1">
      <alignment horizontal="left" wrapText="1"/>
    </xf>
    <xf numFmtId="0" fontId="34" fillId="0" borderId="10" xfId="0" applyFont="1" applyBorder="1" applyAlignment="1">
      <alignment horizontal="center"/>
    </xf>
    <xf numFmtId="0" fontId="17" fillId="0" borderId="1" xfId="0" applyFont="1" applyBorder="1" applyAlignment="1"/>
    <xf numFmtId="0" fontId="117" fillId="0" borderId="1" xfId="0" applyFont="1" applyBorder="1" applyAlignment="1">
      <alignment horizontal="center"/>
    </xf>
    <xf numFmtId="1" fontId="117" fillId="0" borderId="1" xfId="0" applyNumberFormat="1" applyFont="1" applyBorder="1" applyAlignment="1">
      <alignment horizontal="center"/>
    </xf>
    <xf numFmtId="0" fontId="117" fillId="0" borderId="1" xfId="0" applyFont="1" applyBorder="1" applyAlignment="1">
      <alignment horizontal="center"/>
    </xf>
    <xf numFmtId="14" fontId="117" fillId="0" borderId="1" xfId="0" applyNumberFormat="1" applyFont="1" applyBorder="1" applyAlignment="1">
      <alignment horizontal="center"/>
    </xf>
    <xf numFmtId="14" fontId="54" fillId="0" borderId="1" xfId="0" applyNumberFormat="1" applyFont="1" applyBorder="1" applyAlignment="1">
      <alignment horizontal="center"/>
    </xf>
    <xf numFmtId="14" fontId="54" fillId="0" borderId="1" xfId="0" applyNumberFormat="1" applyFont="1" applyBorder="1" applyAlignment="1"/>
    <xf numFmtId="0" fontId="108" fillId="0" borderId="0" xfId="0" applyFont="1" applyAlignment="1"/>
    <xf numFmtId="0" fontId="65" fillId="0" borderId="1" xfId="0" applyFont="1" applyBorder="1" applyAlignment="1">
      <alignment horizontal="left" wrapText="1"/>
    </xf>
    <xf numFmtId="1" fontId="168" fillId="3" borderId="1" xfId="0" applyNumberFormat="1" applyFont="1" applyFill="1" applyBorder="1" applyAlignment="1">
      <alignment horizontal="center"/>
    </xf>
    <xf numFmtId="0" fontId="198" fillId="3" borderId="0" xfId="0" applyFont="1" applyFill="1" applyAlignment="1">
      <alignment horizontal="left"/>
    </xf>
    <xf numFmtId="0" fontId="54" fillId="0" borderId="1" xfId="0" applyFont="1" applyBorder="1" applyAlignment="1"/>
    <xf numFmtId="0" fontId="0" fillId="0" borderId="1" xfId="0" applyFont="1" applyBorder="1" applyAlignment="1">
      <alignment horizontal="center"/>
    </xf>
    <xf numFmtId="0" fontId="199" fillId="0" borderId="0" xfId="0" applyFont="1" applyAlignment="1"/>
    <xf numFmtId="0" fontId="200" fillId="0" borderId="0" xfId="0" applyFont="1" applyAlignment="1"/>
    <xf numFmtId="0" fontId="6" fillId="0" borderId="0" xfId="0" applyFont="1" applyAlignment="1">
      <alignment horizontal="center"/>
    </xf>
    <xf numFmtId="0" fontId="201" fillId="2" borderId="1" xfId="0" applyFont="1" applyFill="1" applyBorder="1" applyAlignment="1">
      <alignment horizontal="center"/>
    </xf>
    <xf numFmtId="14" fontId="93" fillId="0" borderId="1" xfId="0" applyNumberFormat="1" applyFont="1" applyBorder="1" applyAlignment="1">
      <alignment horizontal="center"/>
    </xf>
    <xf numFmtId="0" fontId="175" fillId="25" borderId="1" xfId="0" applyFont="1" applyFill="1" applyBorder="1" applyAlignment="1">
      <alignment horizontal="center" wrapText="1"/>
    </xf>
    <xf numFmtId="0" fontId="202" fillId="0" borderId="10" xfId="0" applyFont="1" applyBorder="1" applyAlignment="1">
      <alignment horizontal="center" wrapText="1"/>
    </xf>
    <xf numFmtId="0" fontId="65" fillId="0" borderId="10" xfId="0" applyFont="1" applyBorder="1" applyAlignment="1">
      <alignment horizontal="center" wrapText="1"/>
    </xf>
    <xf numFmtId="14" fontId="65" fillId="0" borderId="10" xfId="0" applyNumberFormat="1" applyFont="1" applyBorder="1" applyAlignment="1">
      <alignment horizontal="center"/>
    </xf>
    <xf numFmtId="0" fontId="3" fillId="0" borderId="10" xfId="0" applyFont="1" applyBorder="1" applyAlignment="1"/>
    <xf numFmtId="0" fontId="203" fillId="0" borderId="1" xfId="0" applyFont="1" applyBorder="1" applyAlignment="1"/>
    <xf numFmtId="0" fontId="198" fillId="3" borderId="1" xfId="0" applyFont="1" applyFill="1" applyBorder="1" applyAlignment="1">
      <alignment horizontal="left"/>
    </xf>
    <xf numFmtId="0" fontId="175" fillId="22" borderId="22" xfId="0" applyFont="1" applyFill="1" applyBorder="1" applyAlignment="1">
      <alignment horizontal="center" wrapText="1"/>
    </xf>
    <xf numFmtId="0" fontId="204" fillId="0" borderId="1" xfId="0" applyFont="1" applyBorder="1" applyAlignment="1">
      <alignment vertical="top"/>
    </xf>
    <xf numFmtId="0" fontId="13" fillId="0" borderId="1" xfId="0" applyFont="1" applyBorder="1" applyAlignment="1">
      <alignment horizontal="center"/>
    </xf>
    <xf numFmtId="0" fontId="63" fillId="0" borderId="1" xfId="0" applyFont="1" applyBorder="1" applyAlignment="1">
      <alignment horizontal="center"/>
    </xf>
    <xf numFmtId="164" fontId="93" fillId="0" borderId="1" xfId="0" applyNumberFormat="1" applyFont="1" applyBorder="1" applyAlignment="1">
      <alignment horizontal="center"/>
    </xf>
    <xf numFmtId="0" fontId="175" fillId="14" borderId="1" xfId="0" applyFont="1" applyFill="1" applyBorder="1" applyAlignment="1">
      <alignment horizontal="center" wrapText="1"/>
    </xf>
    <xf numFmtId="0" fontId="0" fillId="14" borderId="1" xfId="0" applyFont="1" applyFill="1" applyBorder="1" applyAlignment="1">
      <alignment horizontal="left" wrapText="1"/>
    </xf>
    <xf numFmtId="0" fontId="0" fillId="14" borderId="8" xfId="0" applyFont="1" applyFill="1" applyBorder="1" applyAlignment="1">
      <alignment horizontal="center" wrapText="1"/>
    </xf>
    <xf numFmtId="1" fontId="65" fillId="14" borderId="1" xfId="0" applyNumberFormat="1" applyFont="1" applyFill="1" applyBorder="1" applyAlignment="1">
      <alignment horizontal="center"/>
    </xf>
    <xf numFmtId="0" fontId="65" fillId="14" borderId="0" xfId="0" applyFont="1" applyFill="1" applyAlignment="1">
      <alignment horizontal="center"/>
    </xf>
    <xf numFmtId="0" fontId="6" fillId="14" borderId="1" xfId="0" applyFont="1" applyFill="1" applyBorder="1" applyAlignment="1">
      <alignment horizontal="center" wrapText="1"/>
    </xf>
    <xf numFmtId="0" fontId="170" fillId="14" borderId="1" xfId="0" applyFont="1" applyFill="1" applyBorder="1" applyAlignment="1">
      <alignment horizontal="center"/>
    </xf>
    <xf numFmtId="0" fontId="0" fillId="14" borderId="1" xfId="0" applyFont="1" applyFill="1" applyBorder="1" applyAlignment="1">
      <alignment horizontal="center" wrapText="1"/>
    </xf>
    <xf numFmtId="0" fontId="0" fillId="14" borderId="1" xfId="0" applyFont="1" applyFill="1" applyBorder="1" applyAlignment="1">
      <alignment horizontal="center" wrapText="1"/>
    </xf>
    <xf numFmtId="0" fontId="6" fillId="14" borderId="1" xfId="0" applyFont="1" applyFill="1" applyBorder="1" applyAlignment="1">
      <alignment horizontal="center" wrapText="1"/>
    </xf>
    <xf numFmtId="14" fontId="65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/>
    <xf numFmtId="0" fontId="0" fillId="14" borderId="1" xfId="0" applyFont="1" applyFill="1" applyBorder="1" applyAlignment="1"/>
    <xf numFmtId="0" fontId="205" fillId="14" borderId="1" xfId="0" applyFont="1" applyFill="1" applyBorder="1" applyAlignment="1"/>
    <xf numFmtId="0" fontId="3" fillId="14" borderId="1" xfId="0" applyFont="1" applyFill="1" applyBorder="1" applyAlignment="1">
      <alignment horizontal="center"/>
    </xf>
    <xf numFmtId="14" fontId="3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/>
    <xf numFmtId="0" fontId="6" fillId="14" borderId="0" xfId="0" applyFont="1" applyFill="1"/>
    <xf numFmtId="0" fontId="3" fillId="14" borderId="0" xfId="0" applyFont="1" applyFill="1"/>
    <xf numFmtId="14" fontId="17" fillId="0" borderId="0" xfId="0" applyNumberFormat="1" applyFont="1" applyAlignment="1">
      <alignment horizontal="center"/>
    </xf>
    <xf numFmtId="0" fontId="75" fillId="0" borderId="10" xfId="0" applyFont="1" applyBorder="1" applyAlignment="1">
      <alignment horizontal="center" wrapText="1"/>
    </xf>
    <xf numFmtId="14" fontId="65" fillId="0" borderId="10" xfId="0" applyNumberFormat="1" applyFont="1" applyBorder="1" applyAlignment="1">
      <alignment horizontal="center"/>
    </xf>
    <xf numFmtId="0" fontId="15" fillId="3" borderId="1" xfId="0" applyFont="1" applyFill="1" applyBorder="1"/>
    <xf numFmtId="0" fontId="6" fillId="11" borderId="22" xfId="0" applyFont="1" applyFill="1" applyBorder="1" applyAlignment="1">
      <alignment horizontal="center"/>
    </xf>
    <xf numFmtId="0" fontId="183" fillId="11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06" fillId="0" borderId="0" xfId="0" applyFont="1" applyAlignment="1"/>
    <xf numFmtId="0" fontId="41" fillId="0" borderId="0" xfId="0" applyFont="1" applyAlignment="1">
      <alignment horizontal="left"/>
    </xf>
    <xf numFmtId="0" fontId="41" fillId="0" borderId="0" xfId="0" applyFont="1" applyAlignment="1"/>
    <xf numFmtId="14" fontId="41" fillId="0" borderId="0" xfId="0" applyNumberFormat="1" applyFont="1" applyAlignment="1">
      <alignment horizontal="center"/>
    </xf>
    <xf numFmtId="14" fontId="41" fillId="0" borderId="0" xfId="0" applyNumberFormat="1" applyFont="1" applyAlignment="1">
      <alignment horizontal="center"/>
    </xf>
    <xf numFmtId="0" fontId="3" fillId="4" borderId="0" xfId="0" applyFont="1" applyFill="1" applyAlignment="1"/>
    <xf numFmtId="0" fontId="6" fillId="4" borderId="0" xfId="0" applyFont="1" applyFill="1" applyAlignment="1">
      <alignment horizontal="center" wrapText="1"/>
    </xf>
    <xf numFmtId="0" fontId="6" fillId="3" borderId="1" xfId="0" applyFont="1" applyFill="1" applyBorder="1" applyAlignment="1">
      <alignment horizontal="left" wrapText="1"/>
    </xf>
    <xf numFmtId="0" fontId="56" fillId="3" borderId="10" xfId="0" applyFont="1" applyFill="1" applyBorder="1" applyAlignment="1"/>
    <xf numFmtId="0" fontId="6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/>
    <xf numFmtId="0" fontId="6" fillId="0" borderId="20" xfId="0" applyFont="1" applyBorder="1" applyAlignment="1"/>
    <xf numFmtId="0" fontId="207" fillId="0" borderId="1" xfId="0" applyFont="1" applyBorder="1" applyAlignment="1">
      <alignment horizontal="center"/>
    </xf>
    <xf numFmtId="0" fontId="3" fillId="23" borderId="1" xfId="0" applyFont="1" applyFill="1" applyBorder="1" applyAlignment="1"/>
    <xf numFmtId="168" fontId="0" fillId="0" borderId="1" xfId="0" applyNumberFormat="1" applyFont="1" applyBorder="1" applyAlignment="1">
      <alignment horizontal="left" wrapText="1"/>
    </xf>
    <xf numFmtId="0" fontId="13" fillId="0" borderId="1" xfId="0" applyFont="1" applyBorder="1" applyAlignment="1">
      <alignment horizontal="center"/>
    </xf>
    <xf numFmtId="1" fontId="41" fillId="0" borderId="1" xfId="0" applyNumberFormat="1" applyFont="1" applyBorder="1" applyAlignment="1">
      <alignment horizontal="center"/>
    </xf>
    <xf numFmtId="14" fontId="41" fillId="0" borderId="1" xfId="0" applyNumberFormat="1" applyFont="1" applyBorder="1" applyAlignment="1">
      <alignment horizontal="center"/>
    </xf>
    <xf numFmtId="1" fontId="65" fillId="3" borderId="1" xfId="0" applyNumberFormat="1" applyFont="1" applyFill="1" applyBorder="1" applyAlignment="1">
      <alignment horizontal="center" wrapText="1"/>
    </xf>
    <xf numFmtId="0" fontId="62" fillId="3" borderId="1" xfId="0" applyFont="1" applyFill="1" applyBorder="1" applyAlignment="1">
      <alignment horizontal="center"/>
    </xf>
    <xf numFmtId="0" fontId="41" fillId="3" borderId="0" xfId="0" applyFont="1" applyFill="1" applyAlignment="1">
      <alignment horizontal="center" wrapText="1"/>
    </xf>
    <xf numFmtId="0" fontId="170" fillId="3" borderId="1" xfId="0" applyFont="1" applyFill="1" applyBorder="1" applyAlignment="1">
      <alignment horizontal="center"/>
    </xf>
    <xf numFmtId="0" fontId="208" fillId="0" borderId="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62" fillId="2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left" wrapText="1"/>
    </xf>
    <xf numFmtId="0" fontId="6" fillId="14" borderId="8" xfId="0" applyFont="1" applyFill="1" applyBorder="1" applyAlignment="1">
      <alignment horizontal="center" wrapText="1"/>
    </xf>
    <xf numFmtId="1" fontId="41" fillId="14" borderId="1" xfId="0" applyNumberFormat="1" applyFont="1" applyFill="1" applyBorder="1" applyAlignment="1">
      <alignment horizontal="center"/>
    </xf>
    <xf numFmtId="0" fontId="0" fillId="14" borderId="1" xfId="0" applyFont="1" applyFill="1" applyBorder="1" applyAlignment="1">
      <alignment horizontal="center"/>
    </xf>
    <xf numFmtId="0" fontId="128" fillId="14" borderId="1" xfId="0" applyFont="1" applyFill="1" applyBorder="1" applyAlignment="1">
      <alignment horizontal="center"/>
    </xf>
    <xf numFmtId="0" fontId="110" fillId="14" borderId="1" xfId="0" applyFont="1" applyFill="1" applyBorder="1" applyAlignment="1">
      <alignment horizontal="center" wrapText="1"/>
    </xf>
    <xf numFmtId="14" fontId="41" fillId="14" borderId="1" xfId="0" applyNumberFormat="1" applyFont="1" applyFill="1" applyBorder="1" applyAlignment="1">
      <alignment horizontal="center"/>
    </xf>
    <xf numFmtId="0" fontId="209" fillId="14" borderId="1" xfId="0" applyFont="1" applyFill="1" applyBorder="1" applyAlignment="1"/>
    <xf numFmtId="0" fontId="210" fillId="14" borderId="1" xfId="0" applyFont="1" applyFill="1" applyBorder="1" applyAlignment="1"/>
    <xf numFmtId="0" fontId="6" fillId="14" borderId="1" xfId="0" applyFont="1" applyFill="1" applyBorder="1"/>
    <xf numFmtId="0" fontId="41" fillId="14" borderId="1" xfId="0" applyFont="1" applyFill="1" applyBorder="1" applyAlignment="1">
      <alignment horizontal="center"/>
    </xf>
    <xf numFmtId="0" fontId="41" fillId="14" borderId="1" xfId="0" applyFont="1" applyFill="1" applyBorder="1" applyAlignment="1">
      <alignment horizontal="left" wrapText="1"/>
    </xf>
    <xf numFmtId="0" fontId="41" fillId="14" borderId="1" xfId="0" applyFont="1" applyFill="1" applyBorder="1" applyAlignment="1">
      <alignment horizontal="center" wrapText="1"/>
    </xf>
    <xf numFmtId="0" fontId="100" fillId="14" borderId="1" xfId="0" applyFont="1" applyFill="1" applyBorder="1" applyAlignment="1">
      <alignment horizontal="center"/>
    </xf>
    <xf numFmtId="0" fontId="34" fillId="14" borderId="1" xfId="0" applyFont="1" applyFill="1" applyBorder="1" applyAlignment="1">
      <alignment horizontal="center"/>
    </xf>
    <xf numFmtId="0" fontId="41" fillId="14" borderId="1" xfId="0" applyFont="1" applyFill="1" applyBorder="1" applyAlignment="1">
      <alignment horizontal="center" wrapText="1"/>
    </xf>
    <xf numFmtId="14" fontId="17" fillId="14" borderId="1" xfId="0" applyNumberFormat="1" applyFont="1" applyFill="1" applyBorder="1" applyAlignment="1">
      <alignment horizontal="center"/>
    </xf>
    <xf numFmtId="14" fontId="41" fillId="14" borderId="1" xfId="0" applyNumberFormat="1" applyFont="1" applyFill="1" applyBorder="1" applyAlignment="1">
      <alignment horizontal="center"/>
    </xf>
    <xf numFmtId="14" fontId="6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/>
    <xf numFmtId="0" fontId="17" fillId="14" borderId="1" xfId="0" applyFont="1" applyFill="1" applyBorder="1" applyAlignment="1"/>
    <xf numFmtId="0" fontId="17" fillId="14" borderId="1" xfId="0" applyFont="1" applyFill="1" applyBorder="1" applyAlignment="1"/>
    <xf numFmtId="0" fontId="17" fillId="14" borderId="1" xfId="0" applyFont="1" applyFill="1" applyBorder="1"/>
    <xf numFmtId="0" fontId="17" fillId="14" borderId="0" xfId="0" applyFont="1" applyFill="1" applyAlignment="1">
      <alignment horizontal="center"/>
    </xf>
    <xf numFmtId="0" fontId="17" fillId="14" borderId="1" xfId="0" applyFont="1" applyFill="1" applyBorder="1" applyAlignment="1">
      <alignment horizontal="center"/>
    </xf>
    <xf numFmtId="0" fontId="15" fillId="14" borderId="1" xfId="0" applyFont="1" applyFill="1" applyBorder="1"/>
    <xf numFmtId="0" fontId="17" fillId="14" borderId="0" xfId="0" applyFont="1" applyFill="1"/>
    <xf numFmtId="0" fontId="3" fillId="3" borderId="0" xfId="0" applyFont="1" applyFill="1" applyAlignment="1"/>
    <xf numFmtId="0" fontId="17" fillId="0" borderId="0" xfId="0" applyFont="1" applyAlignment="1"/>
    <xf numFmtId="0" fontId="41" fillId="14" borderId="22" xfId="0" applyFont="1" applyFill="1" applyBorder="1" applyAlignment="1">
      <alignment horizontal="center"/>
    </xf>
    <xf numFmtId="1" fontId="62" fillId="14" borderId="1" xfId="0" applyNumberFormat="1" applyFont="1" applyFill="1" applyBorder="1" applyAlignment="1">
      <alignment horizontal="center"/>
    </xf>
    <xf numFmtId="0" fontId="129" fillId="14" borderId="1" xfId="0" applyFont="1" applyFill="1" applyBorder="1" applyAlignment="1">
      <alignment horizontal="center"/>
    </xf>
    <xf numFmtId="14" fontId="71" fillId="14" borderId="1" xfId="0" applyNumberFormat="1" applyFont="1" applyFill="1" applyBorder="1" applyAlignment="1">
      <alignment horizontal="center"/>
    </xf>
    <xf numFmtId="14" fontId="93" fillId="14" borderId="1" xfId="0" applyNumberFormat="1" applyFont="1" applyFill="1" applyBorder="1" applyAlignment="1">
      <alignment horizontal="center"/>
    </xf>
    <xf numFmtId="0" fontId="211" fillId="14" borderId="0" xfId="0" applyFont="1" applyFill="1" applyAlignment="1"/>
    <xf numFmtId="0" fontId="3" fillId="14" borderId="1" xfId="0" applyFont="1" applyFill="1" applyBorder="1" applyAlignment="1"/>
    <xf numFmtId="0" fontId="15" fillId="14" borderId="0" xfId="0" applyFont="1" applyFill="1" applyAlignment="1">
      <alignment horizontal="center"/>
    </xf>
    <xf numFmtId="0" fontId="86" fillId="3" borderId="1" xfId="0" applyFont="1" applyFill="1" applyBorder="1" applyAlignment="1"/>
    <xf numFmtId="0" fontId="6" fillId="0" borderId="16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212" fillId="0" borderId="0" xfId="0" applyFont="1" applyAlignment="1">
      <alignment horizontal="center"/>
    </xf>
    <xf numFmtId="0" fontId="6" fillId="25" borderId="1" xfId="0" applyFont="1" applyFill="1" applyBorder="1" applyAlignment="1">
      <alignment horizontal="center"/>
    </xf>
    <xf numFmtId="0" fontId="56" fillId="3" borderId="1" xfId="0" applyFont="1" applyFill="1" applyBorder="1" applyAlignment="1">
      <alignment horizontal="left"/>
    </xf>
    <xf numFmtId="14" fontId="57" fillId="0" borderId="1" xfId="0" applyNumberFormat="1" applyFont="1" applyBorder="1" applyAlignment="1">
      <alignment horizontal="center"/>
    </xf>
    <xf numFmtId="0" fontId="53" fillId="3" borderId="1" xfId="0" applyFont="1" applyFill="1" applyBorder="1" applyAlignment="1">
      <alignment horizontal="left"/>
    </xf>
    <xf numFmtId="14" fontId="17" fillId="0" borderId="1" xfId="0" applyNumberFormat="1" applyFont="1" applyBorder="1" applyAlignment="1">
      <alignment horizontal="center"/>
    </xf>
    <xf numFmtId="0" fontId="6" fillId="3" borderId="22" xfId="0" applyFont="1" applyFill="1" applyBorder="1" applyAlignment="1">
      <alignment horizontal="center" wrapText="1"/>
    </xf>
    <xf numFmtId="0" fontId="128" fillId="3" borderId="1" xfId="0" applyFont="1" applyFill="1" applyBorder="1" applyAlignment="1">
      <alignment horizontal="center"/>
    </xf>
    <xf numFmtId="0" fontId="75" fillId="3" borderId="1" xfId="0" applyFont="1" applyFill="1" applyBorder="1" applyAlignment="1">
      <alignment horizontal="center" wrapText="1"/>
    </xf>
    <xf numFmtId="1" fontId="67" fillId="14" borderId="1" xfId="0" applyNumberFormat="1" applyFont="1" applyFill="1" applyBorder="1" applyAlignment="1">
      <alignment horizontal="center"/>
    </xf>
    <xf numFmtId="0" fontId="128" fillId="14" borderId="1" xfId="0" applyFont="1" applyFill="1" applyBorder="1" applyAlignment="1">
      <alignment horizontal="center"/>
    </xf>
    <xf numFmtId="14" fontId="65" fillId="14" borderId="1" xfId="0" applyNumberFormat="1" applyFont="1" applyFill="1" applyBorder="1" applyAlignment="1">
      <alignment horizontal="center"/>
    </xf>
    <xf numFmtId="0" fontId="6" fillId="14" borderId="1" xfId="0" applyFont="1" applyFill="1" applyBorder="1" applyAlignment="1"/>
    <xf numFmtId="0" fontId="6" fillId="14" borderId="1" xfId="0" applyFont="1" applyFill="1" applyBorder="1" applyAlignment="1"/>
    <xf numFmtId="0" fontId="15" fillId="14" borderId="0" xfId="0" applyFont="1" applyFill="1"/>
    <xf numFmtId="0" fontId="3" fillId="14" borderId="0" xfId="0" applyFont="1" applyFill="1" applyAlignment="1">
      <alignment horizontal="center"/>
    </xf>
    <xf numFmtId="0" fontId="65" fillId="3" borderId="1" xfId="0" applyFont="1" applyFill="1" applyBorder="1" applyAlignment="1">
      <alignment horizontal="left" wrapText="1"/>
    </xf>
    <xf numFmtId="0" fontId="41" fillId="3" borderId="8" xfId="0" applyFont="1" applyFill="1" applyBorder="1" applyAlignment="1">
      <alignment horizontal="center" wrapText="1"/>
    </xf>
    <xf numFmtId="0" fontId="128" fillId="3" borderId="10" xfId="0" applyFont="1" applyFill="1" applyBorder="1" applyAlignment="1">
      <alignment horizontal="center" wrapText="1"/>
    </xf>
    <xf numFmtId="14" fontId="17" fillId="3" borderId="1" xfId="0" applyNumberFormat="1" applyFont="1" applyFill="1" applyBorder="1" applyAlignment="1"/>
    <xf numFmtId="14" fontId="17" fillId="3" borderId="1" xfId="0" applyNumberFormat="1" applyFont="1" applyFill="1" applyBorder="1" applyAlignment="1">
      <alignment horizontal="center"/>
    </xf>
    <xf numFmtId="0" fontId="17" fillId="3" borderId="0" xfId="0" applyFont="1" applyFill="1"/>
    <xf numFmtId="1" fontId="63" fillId="3" borderId="1" xfId="0" applyNumberFormat="1" applyFont="1" applyFill="1" applyBorder="1" applyAlignment="1">
      <alignment horizontal="center"/>
    </xf>
    <xf numFmtId="0" fontId="63" fillId="0" borderId="1" xfId="0" applyFont="1" applyBorder="1" applyAlignment="1"/>
    <xf numFmtId="0" fontId="65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9" fillId="3" borderId="1" xfId="0" applyFont="1" applyFill="1" applyBorder="1" applyAlignment="1"/>
    <xf numFmtId="0" fontId="213" fillId="3" borderId="1" xfId="0" applyFont="1" applyFill="1" applyBorder="1" applyAlignment="1"/>
    <xf numFmtId="0" fontId="9" fillId="3" borderId="1" xfId="0" applyFont="1" applyFill="1" applyBorder="1"/>
    <xf numFmtId="0" fontId="9" fillId="3" borderId="0" xfId="0" applyFont="1" applyFill="1"/>
    <xf numFmtId="14" fontId="6" fillId="3" borderId="1" xfId="0" applyNumberFormat="1" applyFont="1" applyFill="1" applyBorder="1" applyAlignment="1"/>
    <xf numFmtId="0" fontId="214" fillId="3" borderId="1" xfId="0" applyFont="1" applyFill="1" applyBorder="1" applyAlignment="1"/>
    <xf numFmtId="0" fontId="215" fillId="3" borderId="1" xfId="0" applyFont="1" applyFill="1" applyBorder="1" applyAlignment="1">
      <alignment horizontal="left" wrapText="1"/>
    </xf>
    <xf numFmtId="0" fontId="41" fillId="0" borderId="1" xfId="0" applyFont="1" applyBorder="1" applyAlignment="1">
      <alignment horizontal="right"/>
    </xf>
    <xf numFmtId="0" fontId="132" fillId="0" borderId="16" xfId="0" applyFont="1" applyBorder="1" applyAlignment="1">
      <alignment horizontal="center" vertical="top"/>
    </xf>
    <xf numFmtId="0" fontId="0" fillId="0" borderId="10" xfId="0" applyFont="1" applyBorder="1" applyAlignment="1">
      <alignment horizontal="left" wrapText="1"/>
    </xf>
    <xf numFmtId="14" fontId="41" fillId="0" borderId="10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0" fillId="0" borderId="8" xfId="0" applyFont="1" applyBorder="1" applyAlignment="1">
      <alignment horizontal="center" wrapText="1"/>
    </xf>
    <xf numFmtId="0" fontId="62" fillId="0" borderId="10" xfId="0" applyFont="1" applyBorder="1" applyAlignment="1">
      <alignment horizontal="center"/>
    </xf>
    <xf numFmtId="0" fontId="135" fillId="12" borderId="1" xfId="0" applyFont="1" applyFill="1" applyBorder="1" applyAlignment="1">
      <alignment horizontal="center"/>
    </xf>
    <xf numFmtId="0" fontId="216" fillId="2" borderId="1" xfId="0" applyFont="1" applyFill="1" applyBorder="1" applyAlignment="1">
      <alignment horizontal="center"/>
    </xf>
    <xf numFmtId="14" fontId="73" fillId="0" borderId="1" xfId="0" applyNumberFormat="1" applyFont="1" applyBorder="1" applyAlignment="1">
      <alignment horizontal="center"/>
    </xf>
    <xf numFmtId="0" fontId="56" fillId="0" borderId="1" xfId="0" applyFont="1" applyBorder="1" applyAlignment="1">
      <alignment horizontal="left"/>
    </xf>
    <xf numFmtId="0" fontId="57" fillId="0" borderId="1" xfId="0" applyFont="1" applyBorder="1" applyAlignment="1">
      <alignment horizontal="center"/>
    </xf>
    <xf numFmtId="0" fontId="198" fillId="3" borderId="1" xfId="0" applyFont="1" applyFill="1" applyBorder="1" applyAlignment="1">
      <alignment horizontal="center"/>
    </xf>
    <xf numFmtId="0" fontId="105" fillId="10" borderId="1" xfId="0" applyFont="1" applyFill="1" applyBorder="1" applyAlignment="1">
      <alignment horizontal="center"/>
    </xf>
    <xf numFmtId="0" fontId="176" fillId="0" borderId="1" xfId="0" applyFont="1" applyBorder="1" applyAlignment="1">
      <alignment horizontal="center" wrapText="1"/>
    </xf>
    <xf numFmtId="0" fontId="176" fillId="0" borderId="8" xfId="0" applyFont="1" applyBorder="1" applyAlignment="1">
      <alignment horizontal="center" wrapText="1"/>
    </xf>
    <xf numFmtId="0" fontId="138" fillId="0" borderId="8" xfId="0" applyFont="1" applyBorder="1" applyAlignment="1">
      <alignment horizontal="center" wrapText="1"/>
    </xf>
    <xf numFmtId="0" fontId="217" fillId="0" borderId="1" xfId="0" applyFont="1" applyBorder="1" applyAlignment="1">
      <alignment horizontal="center"/>
    </xf>
    <xf numFmtId="0" fontId="138" fillId="0" borderId="1" xfId="0" applyFont="1" applyBorder="1" applyAlignment="1">
      <alignment horizontal="center" wrapText="1"/>
    </xf>
    <xf numFmtId="14" fontId="218" fillId="0" borderId="1" xfId="0" applyNumberFormat="1" applyFont="1" applyBorder="1" applyAlignment="1">
      <alignment horizontal="center"/>
    </xf>
    <xf numFmtId="14" fontId="218" fillId="0" borderId="1" xfId="0" applyNumberFormat="1" applyFont="1" applyBorder="1" applyAlignment="1">
      <alignment horizontal="center"/>
    </xf>
    <xf numFmtId="0" fontId="138" fillId="0" borderId="10" xfId="0" applyFont="1" applyBorder="1" applyAlignment="1">
      <alignment horizontal="center" wrapText="1"/>
    </xf>
    <xf numFmtId="0" fontId="53" fillId="0" borderId="1" xfId="0" applyFont="1" applyBorder="1" applyAlignment="1">
      <alignment horizontal="center"/>
    </xf>
    <xf numFmtId="0" fontId="6" fillId="14" borderId="1" xfId="0" applyFont="1" applyFill="1" applyBorder="1" applyAlignment="1">
      <alignment horizontal="left" wrapText="1"/>
    </xf>
    <xf numFmtId="0" fontId="217" fillId="0" borderId="1" xfId="0" applyFont="1" applyBorder="1" applyAlignment="1">
      <alignment horizontal="center" wrapText="1"/>
    </xf>
    <xf numFmtId="1" fontId="100" fillId="3" borderId="1" xfId="0" applyNumberFormat="1" applyFont="1" applyFill="1" applyBorder="1" applyAlignment="1">
      <alignment horizontal="left"/>
    </xf>
    <xf numFmtId="0" fontId="219" fillId="3" borderId="1" xfId="0" applyFont="1" applyFill="1" applyBorder="1" applyAlignment="1">
      <alignment horizontal="center"/>
    </xf>
    <xf numFmtId="0" fontId="118" fillId="0" borderId="1" xfId="0" applyFont="1" applyBorder="1" applyAlignment="1">
      <alignment horizontal="center"/>
    </xf>
    <xf numFmtId="0" fontId="101" fillId="3" borderId="1" xfId="0" applyFont="1" applyFill="1" applyBorder="1" applyAlignment="1"/>
    <xf numFmtId="0" fontId="12" fillId="0" borderId="1" xfId="0" applyFont="1" applyBorder="1"/>
    <xf numFmtId="0" fontId="12" fillId="3" borderId="10" xfId="0" applyFont="1" applyFill="1" applyBorder="1"/>
    <xf numFmtId="0" fontId="220" fillId="0" borderId="10" xfId="0" applyFont="1" applyBorder="1" applyAlignment="1">
      <alignment horizontal="center"/>
    </xf>
    <xf numFmtId="0" fontId="136" fillId="3" borderId="10" xfId="0" applyFont="1" applyFill="1" applyBorder="1" applyAlignment="1">
      <alignment horizontal="center"/>
    </xf>
    <xf numFmtId="0" fontId="54" fillId="0" borderId="10" xfId="0" applyFont="1" applyBorder="1" applyAlignment="1">
      <alignment horizontal="center"/>
    </xf>
    <xf numFmtId="0" fontId="137" fillId="0" borderId="10" xfId="0" applyFont="1" applyBorder="1" applyAlignment="1">
      <alignment horizontal="center"/>
    </xf>
    <xf numFmtId="0" fontId="54" fillId="0" borderId="10" xfId="0" applyFont="1" applyBorder="1" applyAlignment="1"/>
    <xf numFmtId="0" fontId="54" fillId="0" borderId="0" xfId="0" applyFont="1" applyAlignment="1"/>
    <xf numFmtId="166" fontId="137" fillId="0" borderId="10" xfId="0" applyNumberFormat="1" applyFont="1" applyBorder="1" applyAlignment="1">
      <alignment horizontal="center"/>
    </xf>
    <xf numFmtId="0" fontId="221" fillId="0" borderId="14" xfId="0" applyFont="1" applyBorder="1" applyAlignment="1">
      <alignment horizontal="center"/>
    </xf>
    <xf numFmtId="14" fontId="35" fillId="0" borderId="1" xfId="0" applyNumberFormat="1" applyFont="1" applyBorder="1"/>
    <xf numFmtId="0" fontId="87" fillId="3" borderId="1" xfId="0" applyFont="1" applyFill="1" applyBorder="1" applyAlignment="1">
      <alignment horizontal="left"/>
    </xf>
    <xf numFmtId="1" fontId="87" fillId="3" borderId="1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14" fontId="56" fillId="0" borderId="14" xfId="0" applyNumberFormat="1" applyFont="1" applyBorder="1" applyAlignment="1">
      <alignment horizontal="center"/>
    </xf>
    <xf numFmtId="0" fontId="6" fillId="14" borderId="22" xfId="0" applyFont="1" applyFill="1" applyBorder="1" applyAlignment="1">
      <alignment horizontal="center" wrapText="1"/>
    </xf>
    <xf numFmtId="1" fontId="41" fillId="14" borderId="1" xfId="0" applyNumberFormat="1" applyFont="1" applyFill="1" applyBorder="1" applyAlignment="1">
      <alignment horizontal="center" wrapText="1"/>
    </xf>
    <xf numFmtId="0" fontId="6" fillId="14" borderId="0" xfId="0" applyFont="1" applyFill="1" applyAlignment="1"/>
    <xf numFmtId="0" fontId="222" fillId="14" borderId="0" xfId="0" applyFont="1" applyFill="1" applyAlignment="1"/>
    <xf numFmtId="0" fontId="6" fillId="24" borderId="22" xfId="0" applyFont="1" applyFill="1" applyBorder="1" applyAlignment="1">
      <alignment horizontal="center" wrapText="1"/>
    </xf>
    <xf numFmtId="0" fontId="6" fillId="24" borderId="1" xfId="0" applyFont="1" applyFill="1" applyBorder="1" applyAlignment="1">
      <alignment horizontal="left" wrapText="1"/>
    </xf>
    <xf numFmtId="0" fontId="6" fillId="24" borderId="1" xfId="0" applyFont="1" applyFill="1" applyBorder="1" applyAlignment="1">
      <alignment horizontal="center" wrapText="1"/>
    </xf>
    <xf numFmtId="1" fontId="41" fillId="24" borderId="1" xfId="0" applyNumberFormat="1" applyFont="1" applyFill="1" applyBorder="1" applyAlignment="1">
      <alignment horizontal="center" wrapText="1"/>
    </xf>
    <xf numFmtId="0" fontId="0" fillId="24" borderId="1" xfId="0" applyFont="1" applyFill="1" applyBorder="1" applyAlignment="1">
      <alignment horizontal="center" wrapText="1"/>
    </xf>
    <xf numFmtId="0" fontId="3" fillId="24" borderId="1" xfId="0" applyFont="1" applyFill="1" applyBorder="1" applyAlignment="1">
      <alignment horizontal="center"/>
    </xf>
    <xf numFmtId="0" fontId="6" fillId="24" borderId="1" xfId="0" applyFont="1" applyFill="1" applyBorder="1" applyAlignment="1">
      <alignment horizontal="center" wrapText="1"/>
    </xf>
    <xf numFmtId="14" fontId="41" fillId="24" borderId="1" xfId="0" applyNumberFormat="1" applyFont="1" applyFill="1" applyBorder="1" applyAlignment="1">
      <alignment horizontal="center"/>
    </xf>
    <xf numFmtId="14" fontId="41" fillId="24" borderId="1" xfId="0" applyNumberFormat="1" applyFont="1" applyFill="1" applyBorder="1" applyAlignment="1">
      <alignment horizontal="center"/>
    </xf>
    <xf numFmtId="0" fontId="3" fillId="24" borderId="1" xfId="0" applyFont="1" applyFill="1" applyBorder="1"/>
    <xf numFmtId="0" fontId="6" fillId="24" borderId="1" xfId="0" applyFont="1" applyFill="1" applyBorder="1" applyAlignment="1"/>
    <xf numFmtId="0" fontId="223" fillId="24" borderId="0" xfId="0" applyFont="1" applyFill="1" applyAlignment="1"/>
    <xf numFmtId="0" fontId="224" fillId="24" borderId="1" xfId="0" applyFont="1" applyFill="1" applyBorder="1" applyAlignment="1"/>
    <xf numFmtId="0" fontId="6" fillId="24" borderId="1" xfId="0" applyFont="1" applyFill="1" applyBorder="1"/>
    <xf numFmtId="0" fontId="15" fillId="24" borderId="0" xfId="0" applyFont="1" applyFill="1" applyAlignment="1">
      <alignment horizontal="center"/>
    </xf>
    <xf numFmtId="0" fontId="6" fillId="24" borderId="0" xfId="0" applyFont="1" applyFill="1"/>
    <xf numFmtId="0" fontId="65" fillId="0" borderId="0" xfId="0" applyFont="1" applyAlignment="1">
      <alignment horizontal="center"/>
    </xf>
    <xf numFmtId="0" fontId="0" fillId="30" borderId="1" xfId="0" applyFont="1" applyFill="1" applyBorder="1" applyAlignment="1">
      <alignment horizontal="center" wrapText="1"/>
    </xf>
    <xf numFmtId="0" fontId="86" fillId="0" borderId="16" xfId="0" applyFont="1" applyBorder="1" applyAlignment="1">
      <alignment horizontal="center"/>
    </xf>
    <xf numFmtId="0" fontId="225" fillId="0" borderId="1" xfId="0" applyFont="1" applyBorder="1" applyAlignment="1"/>
    <xf numFmtId="0" fontId="65" fillId="18" borderId="1" xfId="0" applyFont="1" applyFill="1" applyBorder="1" applyAlignment="1">
      <alignment horizontal="left" wrapText="1"/>
    </xf>
    <xf numFmtId="0" fontId="41" fillId="0" borderId="10" xfId="0" applyFont="1" applyBorder="1" applyAlignment="1">
      <alignment horizontal="center" wrapText="1"/>
    </xf>
    <xf numFmtId="1" fontId="65" fillId="18" borderId="1" xfId="0" applyNumberFormat="1" applyFont="1" applyFill="1" applyBorder="1" applyAlignment="1">
      <alignment horizontal="center" wrapText="1"/>
    </xf>
    <xf numFmtId="0" fontId="0" fillId="18" borderId="1" xfId="0" applyFont="1" applyFill="1" applyBorder="1" applyAlignment="1">
      <alignment horizontal="center" wrapText="1"/>
    </xf>
    <xf numFmtId="0" fontId="65" fillId="18" borderId="1" xfId="0" applyFont="1" applyFill="1" applyBorder="1" applyAlignment="1">
      <alignment horizontal="center" wrapText="1"/>
    </xf>
    <xf numFmtId="0" fontId="12" fillId="3" borderId="1" xfId="0" applyFont="1" applyFill="1" applyBorder="1"/>
    <xf numFmtId="0" fontId="215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9" fillId="3" borderId="1" xfId="0" applyFont="1" applyFill="1" applyBorder="1" applyAlignment="1"/>
    <xf numFmtId="0" fontId="13" fillId="3" borderId="1" xfId="0" applyFont="1" applyFill="1" applyBorder="1" applyAlignment="1">
      <alignment horizontal="center"/>
    </xf>
    <xf numFmtId="0" fontId="226" fillId="3" borderId="1" xfId="0" applyFont="1" applyFill="1" applyBorder="1" applyAlignment="1">
      <alignment horizontal="center"/>
    </xf>
    <xf numFmtId="0" fontId="78" fillId="3" borderId="1" xfId="0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14" fontId="6" fillId="3" borderId="1" xfId="0" applyNumberFormat="1" applyFont="1" applyFill="1" applyBorder="1" applyAlignment="1"/>
    <xf numFmtId="0" fontId="54" fillId="3" borderId="1" xfId="0" applyFont="1" applyFill="1" applyBorder="1" applyAlignment="1">
      <alignment horizontal="center"/>
    </xf>
    <xf numFmtId="0" fontId="227" fillId="3" borderId="1" xfId="0" applyFont="1" applyFill="1" applyBorder="1" applyAlignment="1"/>
    <xf numFmtId="0" fontId="6" fillId="3" borderId="1" xfId="0" applyFont="1" applyFill="1" applyBorder="1" applyAlignment="1"/>
    <xf numFmtId="0" fontId="79" fillId="14" borderId="1" xfId="0" applyFont="1" applyFill="1" applyBorder="1" applyAlignment="1"/>
    <xf numFmtId="0" fontId="13" fillId="14" borderId="1" xfId="0" applyFont="1" applyFill="1" applyBorder="1" applyAlignment="1">
      <alignment horizontal="center"/>
    </xf>
    <xf numFmtId="0" fontId="93" fillId="14" borderId="1" xfId="0" applyFont="1" applyFill="1" applyBorder="1" applyAlignment="1">
      <alignment horizontal="center"/>
    </xf>
    <xf numFmtId="0" fontId="226" fillId="0" borderId="1" xfId="0" applyFont="1" applyBorder="1" applyAlignment="1">
      <alignment horizontal="center"/>
    </xf>
    <xf numFmtId="0" fontId="3" fillId="4" borderId="1" xfId="0" applyFont="1" applyFill="1" applyBorder="1" applyAlignment="1"/>
    <xf numFmtId="0" fontId="132" fillId="0" borderId="1" xfId="0" applyFont="1" applyBorder="1" applyAlignment="1">
      <alignment horizontal="center"/>
    </xf>
    <xf numFmtId="0" fontId="132" fillId="0" borderId="1" xfId="0" applyFont="1" applyBorder="1" applyAlignment="1">
      <alignment horizontal="center" vertical="top"/>
    </xf>
    <xf numFmtId="0" fontId="41" fillId="30" borderId="1" xfId="0" applyFont="1" applyFill="1" applyBorder="1" applyAlignment="1">
      <alignment horizontal="center"/>
    </xf>
    <xf numFmtId="0" fontId="94" fillId="0" borderId="1" xfId="0" applyFont="1" applyBorder="1" applyAlignment="1"/>
    <xf numFmtId="1" fontId="40" fillId="3" borderId="1" xfId="0" applyNumberFormat="1" applyFont="1" applyFill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" fillId="14" borderId="0" xfId="0" applyFont="1" applyFill="1" applyAlignment="1"/>
    <xf numFmtId="0" fontId="110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30" fillId="3" borderId="1" xfId="0" applyFont="1" applyFill="1" applyBorder="1" applyAlignment="1">
      <alignment horizontal="left"/>
    </xf>
    <xf numFmtId="0" fontId="159" fillId="3" borderId="1" xfId="0" applyFont="1" applyFill="1" applyBorder="1" applyAlignment="1"/>
    <xf numFmtId="0" fontId="152" fillId="3" borderId="1" xfId="0" applyFont="1" applyFill="1" applyBorder="1" applyAlignment="1"/>
    <xf numFmtId="0" fontId="153" fillId="3" borderId="1" xfId="0" applyFont="1" applyFill="1" applyBorder="1" applyAlignment="1">
      <alignment horizontal="left"/>
    </xf>
    <xf numFmtId="0" fontId="3" fillId="30" borderId="1" xfId="0" applyFont="1" applyFill="1" applyBorder="1" applyAlignment="1">
      <alignment horizontal="center"/>
    </xf>
    <xf numFmtId="0" fontId="0" fillId="30" borderId="1" xfId="0" applyFont="1" applyFill="1" applyBorder="1" applyAlignment="1">
      <alignment horizontal="left" wrapText="1"/>
    </xf>
    <xf numFmtId="0" fontId="0" fillId="30" borderId="1" xfId="0" applyFont="1" applyFill="1" applyBorder="1" applyAlignment="1">
      <alignment horizontal="center" wrapText="1"/>
    </xf>
    <xf numFmtId="1" fontId="65" fillId="30" borderId="1" xfId="0" applyNumberFormat="1" applyFont="1" applyFill="1" applyBorder="1" applyAlignment="1">
      <alignment horizontal="center" wrapText="1"/>
    </xf>
    <xf numFmtId="0" fontId="128" fillId="30" borderId="1" xfId="0" applyFont="1" applyFill="1" applyBorder="1" applyAlignment="1">
      <alignment horizontal="center"/>
    </xf>
    <xf numFmtId="0" fontId="170" fillId="30" borderId="1" xfId="0" applyFont="1" applyFill="1" applyBorder="1" applyAlignment="1">
      <alignment horizontal="center"/>
    </xf>
    <xf numFmtId="0" fontId="3" fillId="30" borderId="0" xfId="0" applyFont="1" applyFill="1"/>
    <xf numFmtId="0" fontId="41" fillId="30" borderId="1" xfId="0" applyFont="1" applyFill="1" applyBorder="1" applyAlignment="1">
      <alignment horizontal="left" wrapText="1"/>
    </xf>
    <xf numFmtId="14" fontId="65" fillId="30" borderId="1" xfId="0" applyNumberFormat="1" applyFont="1" applyFill="1" applyBorder="1" applyAlignment="1">
      <alignment horizontal="center"/>
    </xf>
    <xf numFmtId="14" fontId="65" fillId="30" borderId="1" xfId="0" applyNumberFormat="1" applyFont="1" applyFill="1" applyBorder="1" applyAlignment="1">
      <alignment horizontal="center"/>
    </xf>
    <xf numFmtId="0" fontId="0" fillId="30" borderId="1" xfId="0" applyFont="1" applyFill="1" applyBorder="1" applyAlignment="1"/>
    <xf numFmtId="0" fontId="228" fillId="30" borderId="1" xfId="0" applyFont="1" applyFill="1" applyBorder="1" applyAlignment="1"/>
    <xf numFmtId="0" fontId="3" fillId="30" borderId="1" xfId="0" applyFont="1" applyFill="1" applyBorder="1" applyAlignment="1">
      <alignment horizontal="center"/>
    </xf>
    <xf numFmtId="0" fontId="3" fillId="30" borderId="1" xfId="0" applyFont="1" applyFill="1" applyBorder="1" applyAlignment="1"/>
    <xf numFmtId="0" fontId="3" fillId="30" borderId="1" xfId="0" applyFont="1" applyFill="1" applyBorder="1"/>
    <xf numFmtId="0" fontId="6" fillId="30" borderId="0" xfId="0" applyFont="1" applyFill="1"/>
    <xf numFmtId="0" fontId="93" fillId="3" borderId="1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14" fontId="102" fillId="11" borderId="1" xfId="0" applyNumberFormat="1" applyFont="1" applyFill="1" applyBorder="1" applyAlignment="1">
      <alignment horizontal="center"/>
    </xf>
    <xf numFmtId="164" fontId="102" fillId="11" borderId="1" xfId="0" applyNumberFormat="1" applyFont="1" applyFill="1" applyBorder="1" applyAlignment="1">
      <alignment horizontal="center"/>
    </xf>
    <xf numFmtId="0" fontId="154" fillId="3" borderId="1" xfId="0" applyFont="1" applyFill="1" applyBorder="1" applyAlignment="1">
      <alignment horizontal="left"/>
    </xf>
    <xf numFmtId="0" fontId="154" fillId="3" borderId="1" xfId="0" applyFont="1" applyFill="1" applyBorder="1" applyAlignment="1"/>
    <xf numFmtId="0" fontId="229" fillId="3" borderId="1" xfId="0" applyFont="1" applyFill="1" applyBorder="1" applyAlignment="1">
      <alignment horizontal="center"/>
    </xf>
    <xf numFmtId="0" fontId="154" fillId="3" borderId="1" xfId="0" applyFont="1" applyFill="1" applyBorder="1" applyAlignment="1"/>
    <xf numFmtId="0" fontId="154" fillId="3" borderId="1" xfId="0" applyFont="1" applyFill="1" applyBorder="1" applyAlignment="1">
      <alignment horizontal="left"/>
    </xf>
    <xf numFmtId="14" fontId="154" fillId="3" borderId="1" xfId="0" applyNumberFormat="1" applyFont="1" applyFill="1" applyBorder="1" applyAlignment="1">
      <alignment horizontal="center"/>
    </xf>
    <xf numFmtId="14" fontId="154" fillId="3" borderId="1" xfId="0" applyNumberFormat="1" applyFont="1" applyFill="1" applyBorder="1" applyAlignment="1">
      <alignment horizontal="center"/>
    </xf>
    <xf numFmtId="164" fontId="154" fillId="3" borderId="1" xfId="0" applyNumberFormat="1" applyFont="1" applyFill="1" applyBorder="1" applyAlignment="1">
      <alignment horizontal="center"/>
    </xf>
    <xf numFmtId="0" fontId="154" fillId="0" borderId="0" xfId="0" applyFont="1" applyAlignment="1">
      <alignment horizontal="center"/>
    </xf>
    <xf numFmtId="0" fontId="230" fillId="0" borderId="0" xfId="0" applyFont="1"/>
    <xf numFmtId="0" fontId="38" fillId="30" borderId="1" xfId="0" applyFont="1" applyFill="1" applyBorder="1" applyAlignment="1">
      <alignment horizontal="center"/>
    </xf>
    <xf numFmtId="0" fontId="41" fillId="30" borderId="1" xfId="0" applyFont="1" applyFill="1" applyBorder="1" applyAlignment="1">
      <alignment horizontal="left" wrapText="1"/>
    </xf>
    <xf numFmtId="0" fontId="41" fillId="30" borderId="1" xfId="0" applyFont="1" applyFill="1" applyBorder="1" applyAlignment="1">
      <alignment horizontal="center" wrapText="1"/>
    </xf>
    <xf numFmtId="49" fontId="63" fillId="30" borderId="1" xfId="0" applyNumberFormat="1" applyFont="1" applyFill="1" applyBorder="1" applyAlignment="1">
      <alignment horizontal="center" wrapText="1"/>
    </xf>
    <xf numFmtId="0" fontId="65" fillId="30" borderId="1" xfId="0" applyFont="1" applyFill="1" applyBorder="1" applyAlignment="1">
      <alignment horizontal="center" wrapText="1"/>
    </xf>
    <xf numFmtId="0" fontId="41" fillId="30" borderId="1" xfId="0" applyFont="1" applyFill="1" applyBorder="1" applyAlignment="1">
      <alignment horizontal="center" wrapText="1"/>
    </xf>
    <xf numFmtId="0" fontId="38" fillId="30" borderId="0" xfId="0" applyFont="1" applyFill="1"/>
    <xf numFmtId="0" fontId="38" fillId="30" borderId="1" xfId="0" applyFont="1" applyFill="1" applyBorder="1"/>
    <xf numFmtId="14" fontId="41" fillId="30" borderId="1" xfId="0" applyNumberFormat="1" applyFont="1" applyFill="1" applyBorder="1" applyAlignment="1">
      <alignment horizontal="center"/>
    </xf>
    <xf numFmtId="14" fontId="41" fillId="30" borderId="1" xfId="0" applyNumberFormat="1" applyFont="1" applyFill="1" applyBorder="1" applyAlignment="1">
      <alignment horizontal="center"/>
    </xf>
    <xf numFmtId="0" fontId="17" fillId="30" borderId="1" xfId="0" applyFont="1" applyFill="1" applyBorder="1" applyAlignment="1"/>
    <xf numFmtId="0" fontId="231" fillId="30" borderId="1" xfId="0" applyFont="1" applyFill="1" applyBorder="1" applyAlignment="1"/>
    <xf numFmtId="0" fontId="17" fillId="30" borderId="1" xfId="0" applyFont="1" applyFill="1" applyBorder="1"/>
    <xf numFmtId="0" fontId="15" fillId="30" borderId="0" xfId="0" applyFont="1" applyFill="1"/>
    <xf numFmtId="0" fontId="17" fillId="30" borderId="0" xfId="0" applyFont="1" applyFill="1"/>
    <xf numFmtId="49" fontId="73" fillId="0" borderId="1" xfId="0" applyNumberFormat="1" applyFont="1" applyBorder="1" applyAlignment="1">
      <alignment horizontal="center"/>
    </xf>
    <xf numFmtId="0" fontId="54" fillId="0" borderId="1" xfId="0" applyFont="1" applyBorder="1" applyAlignment="1">
      <alignment wrapText="1"/>
    </xf>
    <xf numFmtId="0" fontId="232" fillId="0" borderId="1" xfId="0" applyFont="1" applyBorder="1" applyAlignment="1"/>
    <xf numFmtId="49" fontId="41" fillId="3" borderId="1" xfId="0" applyNumberFormat="1" applyFont="1" applyFill="1" applyBorder="1" applyAlignment="1">
      <alignment horizontal="center"/>
    </xf>
    <xf numFmtId="0" fontId="233" fillId="2" borderId="1" xfId="0" applyFont="1" applyFill="1" applyBorder="1" applyAlignment="1">
      <alignment horizontal="center"/>
    </xf>
    <xf numFmtId="0" fontId="193" fillId="3" borderId="16" xfId="0" applyFont="1" applyFill="1" applyBorder="1" applyAlignment="1">
      <alignment horizontal="left"/>
    </xf>
    <xf numFmtId="0" fontId="193" fillId="3" borderId="14" xfId="0" applyFont="1" applyFill="1" applyBorder="1" applyAlignment="1">
      <alignment horizontal="center"/>
    </xf>
    <xf numFmtId="49" fontId="104" fillId="3" borderId="14" xfId="0" applyNumberFormat="1" applyFont="1" applyFill="1" applyBorder="1" applyAlignment="1">
      <alignment horizontal="center"/>
    </xf>
    <xf numFmtId="0" fontId="104" fillId="3" borderId="14" xfId="0" applyFont="1" applyFill="1" applyBorder="1" applyAlignment="1">
      <alignment horizontal="center"/>
    </xf>
    <xf numFmtId="0" fontId="193" fillId="3" borderId="14" xfId="0" applyFont="1" applyFill="1" applyBorder="1" applyAlignment="1">
      <alignment horizontal="center"/>
    </xf>
    <xf numFmtId="164" fontId="102" fillId="14" borderId="1" xfId="0" applyNumberFormat="1" applyFont="1" applyFill="1" applyBorder="1" applyAlignment="1">
      <alignment horizontal="center"/>
    </xf>
    <xf numFmtId="0" fontId="104" fillId="3" borderId="14" xfId="0" applyFont="1" applyFill="1" applyBorder="1" applyAlignment="1">
      <alignment horizontal="center"/>
    </xf>
    <xf numFmtId="0" fontId="234" fillId="0" borderId="1" xfId="0" applyFont="1" applyBorder="1" applyAlignment="1">
      <alignment wrapText="1"/>
    </xf>
    <xf numFmtId="49" fontId="65" fillId="0" borderId="1" xfId="0" applyNumberFormat="1" applyFont="1" applyBorder="1" applyAlignment="1">
      <alignment horizontal="center" wrapText="1"/>
    </xf>
    <xf numFmtId="0" fontId="235" fillId="0" borderId="1" xfId="0" applyFont="1" applyBorder="1" applyAlignment="1">
      <alignment wrapText="1"/>
    </xf>
    <xf numFmtId="49" fontId="65" fillId="3" borderId="1" xfId="0" applyNumberFormat="1" applyFont="1" applyFill="1" applyBorder="1" applyAlignment="1">
      <alignment horizontal="center"/>
    </xf>
    <xf numFmtId="0" fontId="0" fillId="0" borderId="16" xfId="0" applyFont="1" applyBorder="1" applyAlignment="1">
      <alignment horizontal="left" wrapText="1"/>
    </xf>
    <xf numFmtId="49" fontId="65" fillId="3" borderId="16" xfId="0" applyNumberFormat="1" applyFont="1" applyFill="1" applyBorder="1" applyAlignment="1">
      <alignment horizontal="center"/>
    </xf>
    <xf numFmtId="49" fontId="93" fillId="3" borderId="1" xfId="0" applyNumberFormat="1" applyFont="1" applyFill="1" applyBorder="1" applyAlignment="1">
      <alignment horizontal="center"/>
    </xf>
    <xf numFmtId="0" fontId="101" fillId="3" borderId="16" xfId="0" applyFont="1" applyFill="1" applyBorder="1" applyAlignment="1">
      <alignment horizontal="center"/>
    </xf>
    <xf numFmtId="0" fontId="236" fillId="0" borderId="1" xfId="0" applyFont="1" applyBorder="1" applyAlignment="1"/>
    <xf numFmtId="49" fontId="67" fillId="3" borderId="1" xfId="0" applyNumberFormat="1" applyFont="1" applyFill="1" applyBorder="1" applyAlignment="1">
      <alignment horizontal="center"/>
    </xf>
    <xf numFmtId="14" fontId="65" fillId="6" borderId="1" xfId="0" applyNumberFormat="1" applyFont="1" applyFill="1" applyBorder="1" applyAlignment="1">
      <alignment horizontal="center"/>
    </xf>
    <xf numFmtId="0" fontId="101" fillId="3" borderId="1" xfId="0" applyFont="1" applyFill="1" applyBorder="1" applyAlignment="1">
      <alignment horizontal="center"/>
    </xf>
    <xf numFmtId="0" fontId="41" fillId="3" borderId="1" xfId="0" applyFont="1" applyFill="1" applyBorder="1" applyAlignment="1">
      <alignment horizontal="right"/>
    </xf>
    <xf numFmtId="0" fontId="41" fillId="3" borderId="1" xfId="0" applyFont="1" applyFill="1" applyBorder="1" applyAlignment="1">
      <alignment horizontal="right"/>
    </xf>
    <xf numFmtId="0" fontId="41" fillId="3" borderId="1" xfId="0" applyFont="1" applyFill="1" applyBorder="1" applyAlignment="1"/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41" fillId="3" borderId="1" xfId="0" applyFont="1" applyFill="1" applyBorder="1" applyAlignment="1"/>
    <xf numFmtId="0" fontId="237" fillId="3" borderId="1" xfId="0" applyFont="1" applyFill="1" applyBorder="1" applyAlignment="1">
      <alignment horizontal="center"/>
    </xf>
    <xf numFmtId="0" fontId="237" fillId="3" borderId="9" xfId="0" applyFont="1" applyFill="1" applyBorder="1" applyAlignment="1">
      <alignment horizontal="center"/>
    </xf>
    <xf numFmtId="14" fontId="218" fillId="6" borderId="1" xfId="0" applyNumberFormat="1" applyFont="1" applyFill="1" applyBorder="1" applyAlignment="1">
      <alignment horizontal="center"/>
    </xf>
    <xf numFmtId="0" fontId="132" fillId="3" borderId="14" xfId="0" applyFont="1" applyFill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221" fillId="0" borderId="14" xfId="0" applyFont="1" applyBorder="1" applyAlignment="1">
      <alignment horizontal="left"/>
    </xf>
    <xf numFmtId="0" fontId="56" fillId="0" borderId="14" xfId="0" applyFont="1" applyBorder="1" applyAlignment="1">
      <alignment horizontal="center"/>
    </xf>
    <xf numFmtId="0" fontId="3" fillId="30" borderId="0" xfId="0" applyFont="1" applyFill="1" applyAlignment="1"/>
    <xf numFmtId="0" fontId="193" fillId="3" borderId="16" xfId="0" applyFont="1" applyFill="1" applyBorder="1" applyAlignment="1">
      <alignment horizontal="center"/>
    </xf>
    <xf numFmtId="0" fontId="101" fillId="3" borderId="1" xfId="0" applyFont="1" applyFill="1" applyBorder="1" applyAlignment="1">
      <alignment horizontal="center"/>
    </xf>
    <xf numFmtId="0" fontId="63" fillId="14" borderId="1" xfId="0" applyFont="1" applyFill="1" applyBorder="1" applyAlignment="1">
      <alignment horizontal="center" wrapText="1"/>
    </xf>
    <xf numFmtId="0" fontId="6" fillId="14" borderId="0" xfId="0" applyFont="1" applyFill="1" applyAlignment="1">
      <alignment horizontal="center" wrapText="1"/>
    </xf>
    <xf numFmtId="0" fontId="6" fillId="14" borderId="1" xfId="0" applyFont="1" applyFill="1" applyBorder="1" applyAlignment="1">
      <alignment horizontal="center"/>
    </xf>
    <xf numFmtId="0" fontId="238" fillId="14" borderId="1" xfId="0" applyFont="1" applyFill="1" applyBorder="1" applyAlignment="1"/>
    <xf numFmtId="14" fontId="3" fillId="31" borderId="1" xfId="0" applyNumberFormat="1" applyFont="1" applyFill="1" applyBorder="1" applyAlignment="1">
      <alignment horizontal="center"/>
    </xf>
    <xf numFmtId="0" fontId="54" fillId="0" borderId="1" xfId="0" applyFont="1" applyBorder="1" applyAlignment="1"/>
    <xf numFmtId="49" fontId="65" fillId="3" borderId="0" xfId="0" applyNumberFormat="1" applyFont="1" applyFill="1" applyAlignment="1">
      <alignment horizontal="center"/>
    </xf>
    <xf numFmtId="14" fontId="65" fillId="2" borderId="16" xfId="0" applyNumberFormat="1" applyFont="1" applyFill="1" applyBorder="1" applyAlignment="1">
      <alignment horizontal="center"/>
    </xf>
    <xf numFmtId="49" fontId="93" fillId="0" borderId="1" xfId="0" applyNumberFormat="1" applyFont="1" applyBorder="1" applyAlignment="1">
      <alignment horizontal="center"/>
    </xf>
    <xf numFmtId="0" fontId="128" fillId="0" borderId="1" xfId="0" applyFont="1" applyBorder="1" applyAlignment="1">
      <alignment horizontal="center"/>
    </xf>
    <xf numFmtId="49" fontId="79" fillId="3" borderId="14" xfId="0" applyNumberFormat="1" applyFont="1" applyFill="1" applyBorder="1" applyAlignment="1">
      <alignment horizontal="center"/>
    </xf>
    <xf numFmtId="0" fontId="79" fillId="3" borderId="14" xfId="0" applyFont="1" applyFill="1" applyBorder="1" applyAlignment="1">
      <alignment horizontal="center"/>
    </xf>
    <xf numFmtId="0" fontId="79" fillId="3" borderId="14" xfId="0" applyFont="1" applyFill="1" applyBorder="1" applyAlignment="1">
      <alignment horizontal="center"/>
    </xf>
    <xf numFmtId="0" fontId="103" fillId="3" borderId="16" xfId="0" applyFont="1" applyFill="1" applyBorder="1" applyAlignment="1">
      <alignment horizontal="center"/>
    </xf>
    <xf numFmtId="0" fontId="101" fillId="3" borderId="14" xfId="0" applyFont="1" applyFill="1" applyBorder="1" applyAlignment="1">
      <alignment horizontal="left"/>
    </xf>
    <xf numFmtId="49" fontId="104" fillId="3" borderId="1" xfId="0" applyNumberFormat="1" applyFont="1" applyFill="1" applyBorder="1" applyAlignment="1">
      <alignment horizontal="center"/>
    </xf>
    <xf numFmtId="0" fontId="93" fillId="3" borderId="1" xfId="0" applyFont="1" applyFill="1" applyBorder="1" applyAlignment="1">
      <alignment horizontal="center"/>
    </xf>
    <xf numFmtId="0" fontId="103" fillId="3" borderId="1" xfId="0" applyFont="1" applyFill="1" applyBorder="1" applyAlignment="1">
      <alignment horizontal="center"/>
    </xf>
    <xf numFmtId="165" fontId="102" fillId="11" borderId="1" xfId="0" applyNumberFormat="1" applyFont="1" applyFill="1" applyBorder="1" applyAlignment="1">
      <alignment horizontal="center"/>
    </xf>
    <xf numFmtId="165" fontId="93" fillId="3" borderId="14" xfId="0" applyNumberFormat="1" applyFont="1" applyFill="1" applyBorder="1" applyAlignment="1">
      <alignment horizontal="center"/>
    </xf>
    <xf numFmtId="0" fontId="148" fillId="0" borderId="1" xfId="0" applyFont="1" applyBorder="1" applyAlignment="1">
      <alignment horizontal="center"/>
    </xf>
    <xf numFmtId="0" fontId="148" fillId="0" borderId="1" xfId="0" applyFont="1" applyBorder="1" applyAlignment="1"/>
    <xf numFmtId="0" fontId="8" fillId="0" borderId="1" xfId="0" applyFont="1" applyBorder="1" applyAlignment="1">
      <alignment horizontal="center"/>
    </xf>
    <xf numFmtId="49" fontId="148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14" fontId="12" fillId="2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/>
    <xf numFmtId="0" fontId="12" fillId="0" borderId="1" xfId="0" applyFont="1" applyBorder="1" applyAlignment="1">
      <alignment wrapText="1"/>
    </xf>
    <xf numFmtId="0" fontId="12" fillId="0" borderId="1" xfId="0" applyFont="1" applyBorder="1" applyAlignment="1"/>
    <xf numFmtId="0" fontId="12" fillId="0" borderId="1" xfId="0" applyFont="1" applyBorder="1" applyAlignment="1">
      <alignment horizontal="center"/>
    </xf>
    <xf numFmtId="0" fontId="226" fillId="3" borderId="1" xfId="0" applyFont="1" applyFill="1" applyBorder="1" applyAlignment="1"/>
    <xf numFmtId="0" fontId="13" fillId="3" borderId="1" xfId="0" applyFont="1" applyFill="1" applyBorder="1" applyAlignment="1">
      <alignment horizontal="center" wrapText="1"/>
    </xf>
    <xf numFmtId="49" fontId="65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wrapText="1"/>
    </xf>
    <xf numFmtId="49" fontId="41" fillId="0" borderId="1" xfId="0" applyNumberFormat="1" applyFont="1" applyBorder="1" applyAlignment="1">
      <alignment horizontal="center"/>
    </xf>
    <xf numFmtId="164" fontId="117" fillId="0" borderId="1" xfId="0" applyNumberFormat="1" applyFont="1" applyBorder="1" applyAlignment="1">
      <alignment horizontal="center"/>
    </xf>
    <xf numFmtId="0" fontId="79" fillId="0" borderId="1" xfId="0" applyFont="1" applyBorder="1" applyAlignment="1"/>
    <xf numFmtId="49" fontId="93" fillId="0" borderId="1" xfId="0" applyNumberFormat="1" applyFont="1" applyBorder="1" applyAlignment="1">
      <alignment horizontal="center"/>
    </xf>
    <xf numFmtId="14" fontId="73" fillId="0" borderId="1" xfId="0" applyNumberFormat="1" applyFont="1" applyBorder="1" applyAlignment="1">
      <alignment horizontal="center"/>
    </xf>
    <xf numFmtId="14" fontId="79" fillId="3" borderId="1" xfId="0" applyNumberFormat="1" applyFont="1" applyFill="1" applyBorder="1" applyAlignment="1">
      <alignment horizontal="center"/>
    </xf>
    <xf numFmtId="49" fontId="87" fillId="3" borderId="1" xfId="0" applyNumberFormat="1" applyFont="1" applyFill="1" applyBorder="1" applyAlignment="1">
      <alignment horizontal="center"/>
    </xf>
    <xf numFmtId="49" fontId="109" fillId="3" borderId="0" xfId="0" applyNumberFormat="1" applyFont="1" applyFill="1" applyAlignment="1">
      <alignment horizontal="center"/>
    </xf>
    <xf numFmtId="164" fontId="41" fillId="0" borderId="1" xfId="0" applyNumberFormat="1" applyFont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14" fontId="6" fillId="2" borderId="1" xfId="0" applyNumberFormat="1" applyFont="1" applyFill="1" applyBorder="1" applyAlignment="1">
      <alignment horizontal="center" wrapText="1"/>
    </xf>
    <xf numFmtId="49" fontId="239" fillId="3" borderId="1" xfId="0" applyNumberFormat="1" applyFont="1" applyFill="1" applyBorder="1" applyAlignment="1">
      <alignment horizontal="center"/>
    </xf>
    <xf numFmtId="0" fontId="117" fillId="0" borderId="1" xfId="0" applyFont="1" applyBorder="1" applyAlignment="1"/>
    <xf numFmtId="164" fontId="117" fillId="0" borderId="1" xfId="0" applyNumberFormat="1" applyFont="1" applyBorder="1" applyAlignment="1">
      <alignment horizontal="center"/>
    </xf>
    <xf numFmtId="14" fontId="117" fillId="3" borderId="1" xfId="0" applyNumberFormat="1" applyFont="1" applyFill="1" applyBorder="1" applyAlignment="1">
      <alignment horizontal="center"/>
    </xf>
    <xf numFmtId="14" fontId="240" fillId="0" borderId="1" xfId="0" applyNumberFormat="1" applyFont="1" applyBorder="1" applyAlignment="1"/>
    <xf numFmtId="0" fontId="54" fillId="0" borderId="1" xfId="0" applyFont="1" applyBorder="1" applyAlignment="1"/>
    <xf numFmtId="0" fontId="79" fillId="0" borderId="10" xfId="0" applyFont="1" applyBorder="1" applyAlignment="1"/>
    <xf numFmtId="0" fontId="9" fillId="0" borderId="1" xfId="0" applyFont="1" applyBorder="1" applyAlignment="1">
      <alignment horizontal="center"/>
    </xf>
    <xf numFmtId="49" fontId="124" fillId="3" borderId="0" xfId="0" applyNumberFormat="1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41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13" fillId="0" borderId="10" xfId="0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4" fontId="6" fillId="3" borderId="10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4" fontId="6" fillId="0" borderId="1" xfId="0" applyNumberFormat="1" applyFont="1" applyBorder="1" applyAlignment="1"/>
    <xf numFmtId="0" fontId="79" fillId="0" borderId="14" xfId="0" applyFont="1" applyBorder="1" applyAlignment="1"/>
    <xf numFmtId="49" fontId="13" fillId="3" borderId="1" xfId="0" applyNumberFormat="1" applyFont="1" applyFill="1" applyBorder="1" applyAlignment="1">
      <alignment horizontal="center"/>
    </xf>
    <xf numFmtId="0" fontId="241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241" fillId="0" borderId="14" xfId="0" applyFont="1" applyBorder="1" applyAlignment="1">
      <alignment horizontal="center"/>
    </xf>
    <xf numFmtId="49" fontId="135" fillId="3" borderId="1" xfId="0" applyNumberFormat="1" applyFont="1" applyFill="1" applyBorder="1" applyAlignment="1">
      <alignment horizontal="center"/>
    </xf>
    <xf numFmtId="0" fontId="124" fillId="3" borderId="1" xfId="0" applyFont="1" applyFill="1" applyBorder="1" applyAlignment="1">
      <alignment horizontal="left"/>
    </xf>
    <xf numFmtId="0" fontId="34" fillId="0" borderId="1" xfId="0" applyFont="1" applyBorder="1" applyAlignment="1">
      <alignment horizontal="center"/>
    </xf>
    <xf numFmtId="14" fontId="6" fillId="3" borderId="1" xfId="0" applyNumberFormat="1" applyFont="1" applyFill="1" applyBorder="1" applyAlignment="1"/>
    <xf numFmtId="0" fontId="6" fillId="21" borderId="1" xfId="0" applyFont="1" applyFill="1" applyBorder="1" applyAlignment="1">
      <alignment horizontal="center" wrapText="1"/>
    </xf>
    <xf numFmtId="1" fontId="63" fillId="0" borderId="1" xfId="0" applyNumberFormat="1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/>
    </xf>
    <xf numFmtId="0" fontId="242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horizontal="center"/>
    </xf>
    <xf numFmtId="169" fontId="102" fillId="11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43" fillId="0" borderId="1" xfId="0" applyFont="1" applyBorder="1" applyAlignment="1">
      <alignment horizontal="center" wrapText="1"/>
    </xf>
    <xf numFmtId="49" fontId="87" fillId="3" borderId="0" xfId="0" applyNumberFormat="1" applyFont="1" applyFill="1" applyAlignment="1">
      <alignment horizontal="center"/>
    </xf>
    <xf numFmtId="0" fontId="3" fillId="0" borderId="20" xfId="0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0" fontId="244" fillId="0" borderId="1" xfId="0" applyFont="1" applyBorder="1" applyAlignment="1">
      <alignment wrapText="1"/>
    </xf>
    <xf numFmtId="0" fontId="226" fillId="0" borderId="1" xfId="0" applyFont="1" applyBorder="1" applyAlignment="1"/>
    <xf numFmtId="14" fontId="93" fillId="0" borderId="1" xfId="0" applyNumberFormat="1" applyFont="1" applyBorder="1" applyAlignment="1">
      <alignment horizontal="center"/>
    </xf>
    <xf numFmtId="14" fontId="93" fillId="3" borderId="10" xfId="0" applyNumberFormat="1" applyFont="1" applyFill="1" applyBorder="1" applyAlignment="1">
      <alignment horizontal="center"/>
    </xf>
    <xf numFmtId="0" fontId="245" fillId="0" borderId="1" xfId="0" applyFont="1" applyBorder="1" applyAlignment="1"/>
    <xf numFmtId="0" fontId="6" fillId="2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center" wrapText="1"/>
    </xf>
    <xf numFmtId="49" fontId="78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34" fillId="0" borderId="1" xfId="0" applyNumberFormat="1" applyFont="1" applyBorder="1" applyAlignment="1">
      <alignment horizontal="center" wrapText="1"/>
    </xf>
    <xf numFmtId="0" fontId="102" fillId="11" borderId="1" xfId="0" applyFont="1" applyFill="1" applyBorder="1" applyAlignment="1">
      <alignment horizontal="center"/>
    </xf>
    <xf numFmtId="0" fontId="246" fillId="0" borderId="1" xfId="0" applyFont="1" applyBorder="1" applyAlignment="1">
      <alignment wrapText="1"/>
    </xf>
    <xf numFmtId="0" fontId="93" fillId="3" borderId="1" xfId="0" applyFont="1" applyFill="1" applyBorder="1" applyAlignment="1">
      <alignment horizontal="center"/>
    </xf>
    <xf numFmtId="164" fontId="73" fillId="3" borderId="1" xfId="0" applyNumberFormat="1" applyFont="1" applyFill="1" applyBorder="1" applyAlignment="1">
      <alignment horizontal="center"/>
    </xf>
    <xf numFmtId="0" fontId="247" fillId="0" borderId="1" xfId="0" applyFont="1" applyBorder="1" applyAlignment="1"/>
    <xf numFmtId="0" fontId="117" fillId="3" borderId="1" xfId="0" applyFont="1" applyFill="1" applyBorder="1" applyAlignment="1"/>
    <xf numFmtId="49" fontId="73" fillId="3" borderId="1" xfId="0" applyNumberFormat="1" applyFont="1" applyFill="1" applyBorder="1" applyAlignment="1">
      <alignment horizontal="center"/>
    </xf>
    <xf numFmtId="0" fontId="118" fillId="3" borderId="1" xfId="0" applyFont="1" applyFill="1" applyBorder="1" applyAlignment="1">
      <alignment horizontal="center"/>
    </xf>
    <xf numFmtId="14" fontId="117" fillId="3" borderId="1" xfId="0" applyNumberFormat="1" applyFont="1" applyFill="1" applyBorder="1" applyAlignment="1">
      <alignment horizontal="center"/>
    </xf>
    <xf numFmtId="0" fontId="248" fillId="0" borderId="1" xfId="0" applyFont="1" applyBorder="1" applyAlignment="1">
      <alignment wrapText="1"/>
    </xf>
    <xf numFmtId="14" fontId="102" fillId="4" borderId="1" xfId="0" applyNumberFormat="1" applyFont="1" applyFill="1" applyBorder="1" applyAlignment="1">
      <alignment horizontal="center"/>
    </xf>
    <xf numFmtId="49" fontId="100" fillId="3" borderId="1" xfId="0" applyNumberFormat="1" applyFont="1" applyFill="1" applyBorder="1" applyAlignment="1">
      <alignment horizontal="center"/>
    </xf>
    <xf numFmtId="1" fontId="79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164" fontId="117" fillId="3" borderId="1" xfId="0" applyNumberFormat="1" applyFont="1" applyFill="1" applyBorder="1" applyAlignment="1">
      <alignment horizontal="center"/>
    </xf>
    <xf numFmtId="0" fontId="249" fillId="0" borderId="1" xfId="0" applyFont="1" applyBorder="1" applyAlignment="1">
      <alignment horizontal="center"/>
    </xf>
    <xf numFmtId="49" fontId="117" fillId="0" borderId="1" xfId="0" applyNumberFormat="1" applyFont="1" applyBorder="1" applyAlignment="1">
      <alignment horizontal="center"/>
    </xf>
    <xf numFmtId="0" fontId="93" fillId="0" borderId="1" xfId="0" applyFont="1" applyBorder="1" applyAlignment="1">
      <alignment horizontal="center"/>
    </xf>
    <xf numFmtId="0" fontId="250" fillId="0" borderId="1" xfId="0" applyFont="1" applyBorder="1" applyAlignment="1"/>
    <xf numFmtId="0" fontId="251" fillId="0" borderId="1" xfId="0" applyFont="1" applyBorder="1" applyAlignment="1">
      <alignment wrapText="1"/>
    </xf>
    <xf numFmtId="0" fontId="6" fillId="0" borderId="14" xfId="0" applyFont="1" applyBorder="1" applyAlignment="1"/>
    <xf numFmtId="0" fontId="0" fillId="0" borderId="14" xfId="0" applyFont="1" applyBorder="1" applyAlignment="1">
      <alignment horizontal="center" wrapText="1"/>
    </xf>
    <xf numFmtId="49" fontId="135" fillId="3" borderId="0" xfId="0" applyNumberFormat="1" applyFont="1" applyFill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37" fillId="3" borderId="1" xfId="0" applyFont="1" applyFill="1" applyBorder="1" applyAlignment="1"/>
    <xf numFmtId="0" fontId="115" fillId="3" borderId="1" xfId="0" applyFont="1" applyFill="1" applyBorder="1" applyAlignment="1">
      <alignment horizontal="center"/>
    </xf>
    <xf numFmtId="14" fontId="95" fillId="0" borderId="0" xfId="0" applyNumberFormat="1" applyFont="1" applyAlignment="1">
      <alignment horizontal="center"/>
    </xf>
    <xf numFmtId="0" fontId="101" fillId="3" borderId="1" xfId="0" applyFont="1" applyFill="1" applyBorder="1" applyAlignment="1">
      <alignment horizontal="left"/>
    </xf>
    <xf numFmtId="0" fontId="101" fillId="3" borderId="10" xfId="0" applyFont="1" applyFill="1" applyBorder="1" applyAlignment="1">
      <alignment horizontal="center"/>
    </xf>
    <xf numFmtId="49" fontId="93" fillId="3" borderId="10" xfId="0" applyNumberFormat="1" applyFont="1" applyFill="1" applyBorder="1" applyAlignment="1">
      <alignment horizontal="center"/>
    </xf>
    <xf numFmtId="0" fontId="93" fillId="3" borderId="10" xfId="0" applyFont="1" applyFill="1" applyBorder="1" applyAlignment="1">
      <alignment horizontal="center"/>
    </xf>
    <xf numFmtId="0" fontId="103" fillId="3" borderId="10" xfId="0" applyFont="1" applyFill="1" applyBorder="1" applyAlignment="1">
      <alignment horizontal="center"/>
    </xf>
    <xf numFmtId="0" fontId="93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93" fillId="3" borderId="14" xfId="0" applyFont="1" applyFill="1" applyBorder="1" applyAlignment="1"/>
    <xf numFmtId="0" fontId="193" fillId="3" borderId="1" xfId="0" applyFont="1" applyFill="1" applyBorder="1" applyAlignment="1">
      <alignment horizontal="center"/>
    </xf>
    <xf numFmtId="0" fontId="252" fillId="0" borderId="1" xfId="0" applyFont="1" applyBorder="1" applyAlignment="1"/>
    <xf numFmtId="0" fontId="101" fillId="3" borderId="16" xfId="0" applyFont="1" applyFill="1" applyBorder="1" applyAlignment="1">
      <alignment horizontal="center"/>
    </xf>
    <xf numFmtId="165" fontId="79" fillId="3" borderId="14" xfId="0" applyNumberFormat="1" applyFont="1" applyFill="1" applyBorder="1" applyAlignment="1">
      <alignment horizontal="center"/>
    </xf>
    <xf numFmtId="0" fontId="93" fillId="3" borderId="14" xfId="0" applyFont="1" applyFill="1" applyBorder="1" applyAlignment="1"/>
    <xf numFmtId="0" fontId="101" fillId="3" borderId="14" xfId="0" applyFont="1" applyFill="1" applyBorder="1" applyAlignment="1">
      <alignment horizontal="center"/>
    </xf>
    <xf numFmtId="49" fontId="79" fillId="3" borderId="14" xfId="0" applyNumberFormat="1" applyFont="1" applyFill="1" applyBorder="1" applyAlignment="1">
      <alignment horizontal="center"/>
    </xf>
    <xf numFmtId="0" fontId="79" fillId="3" borderId="1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49" fontId="79" fillId="0" borderId="1" xfId="0" applyNumberFormat="1" applyFont="1" applyBorder="1" applyAlignment="1">
      <alignment horizontal="center"/>
    </xf>
    <xf numFmtId="49" fontId="103" fillId="0" borderId="1" xfId="0" applyNumberFormat="1" applyFont="1" applyBorder="1" applyAlignment="1">
      <alignment horizontal="center"/>
    </xf>
    <xf numFmtId="0" fontId="253" fillId="0" borderId="1" xfId="0" applyFont="1" applyBorder="1" applyAlignment="1"/>
    <xf numFmtId="49" fontId="41" fillId="3" borderId="1" xfId="0" applyNumberFormat="1" applyFont="1" applyFill="1" applyBorder="1" applyAlignment="1">
      <alignment horizontal="center"/>
    </xf>
    <xf numFmtId="0" fontId="63" fillId="3" borderId="1" xfId="0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/>
    <xf numFmtId="0" fontId="6" fillId="3" borderId="1" xfId="0" applyFont="1" applyFill="1" applyBorder="1" applyAlignment="1">
      <alignment wrapText="1"/>
    </xf>
    <xf numFmtId="49" fontId="92" fillId="3" borderId="1" xfId="0" applyNumberFormat="1" applyFont="1" applyFill="1" applyBorder="1" applyAlignment="1">
      <alignment horizontal="center"/>
    </xf>
    <xf numFmtId="0" fontId="6" fillId="0" borderId="16" xfId="0" applyFont="1" applyBorder="1" applyAlignment="1">
      <alignment horizontal="left" wrapText="1"/>
    </xf>
    <xf numFmtId="49" fontId="78" fillId="0" borderId="1" xfId="0" applyNumberFormat="1" applyFont="1" applyBorder="1" applyAlignment="1">
      <alignment horizontal="center" wrapText="1"/>
    </xf>
    <xf numFmtId="0" fontId="124" fillId="10" borderId="1" xfId="0" applyFont="1" applyFill="1" applyBorder="1" applyAlignment="1">
      <alignment horizontal="center"/>
    </xf>
    <xf numFmtId="0" fontId="124" fillId="12" borderId="1" xfId="0" applyFont="1" applyFill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78" fillId="3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1" fillId="0" borderId="16" xfId="0" applyFont="1" applyBorder="1" applyAlignment="1">
      <alignment horizontal="left" wrapText="1"/>
    </xf>
    <xf numFmtId="49" fontId="78" fillId="0" borderId="1" xfId="0" applyNumberFormat="1" applyFont="1" applyBorder="1" applyAlignment="1">
      <alignment horizontal="center"/>
    </xf>
    <xf numFmtId="0" fontId="9" fillId="27" borderId="1" xfId="0" applyFont="1" applyFill="1" applyBorder="1"/>
    <xf numFmtId="49" fontId="41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54" fillId="3" borderId="1" xfId="0" applyFont="1" applyFill="1" applyBorder="1" applyAlignment="1">
      <alignment wrapText="1"/>
    </xf>
    <xf numFmtId="0" fontId="101" fillId="3" borderId="10" xfId="0" applyFont="1" applyFill="1" applyBorder="1" applyAlignment="1">
      <alignment horizontal="left"/>
    </xf>
    <xf numFmtId="165" fontId="93" fillId="3" borderId="10" xfId="0" applyNumberFormat="1" applyFont="1" applyFill="1" applyBorder="1" applyAlignment="1">
      <alignment horizontal="center"/>
    </xf>
    <xf numFmtId="165" fontId="103" fillId="4" borderId="1" xfId="0" applyNumberFormat="1" applyFont="1" applyFill="1" applyBorder="1" applyAlignment="1">
      <alignment horizontal="center"/>
    </xf>
    <xf numFmtId="0" fontId="193" fillId="3" borderId="14" xfId="0" applyFont="1" applyFill="1" applyBorder="1" applyAlignment="1">
      <alignment horizontal="left"/>
    </xf>
    <xf numFmtId="0" fontId="104" fillId="3" borderId="1" xfId="0" applyFont="1" applyFill="1" applyBorder="1" applyAlignment="1">
      <alignment horizontal="center"/>
    </xf>
    <xf numFmtId="0" fontId="193" fillId="3" borderId="1" xfId="0" applyFont="1" applyFill="1" applyBorder="1" applyAlignment="1">
      <alignment horizontal="center"/>
    </xf>
    <xf numFmtId="49" fontId="93" fillId="3" borderId="1" xfId="0" applyNumberFormat="1" applyFont="1" applyFill="1" applyBorder="1" applyAlignment="1">
      <alignment horizontal="center"/>
    </xf>
    <xf numFmtId="0" fontId="93" fillId="3" borderId="1" xfId="0" applyFont="1" applyFill="1" applyBorder="1" applyAlignment="1">
      <alignment horizontal="center"/>
    </xf>
    <xf numFmtId="0" fontId="104" fillId="3" borderId="1" xfId="0" applyFont="1" applyFill="1" applyBorder="1" applyAlignment="1">
      <alignment horizontal="center"/>
    </xf>
    <xf numFmtId="165" fontId="102" fillId="14" borderId="1" xfId="0" applyNumberFormat="1" applyFont="1" applyFill="1" applyBorder="1" applyAlignment="1">
      <alignment horizontal="center"/>
    </xf>
    <xf numFmtId="0" fontId="79" fillId="3" borderId="1" xfId="0" applyFont="1" applyFill="1" applyBorder="1" applyAlignment="1">
      <alignment horizontal="center"/>
    </xf>
    <xf numFmtId="165" fontId="104" fillId="3" borderId="14" xfId="0" applyNumberFormat="1" applyFont="1" applyFill="1" applyBorder="1" applyAlignment="1">
      <alignment horizontal="center"/>
    </xf>
    <xf numFmtId="0" fontId="103" fillId="3" borderId="14" xfId="0" applyFont="1" applyFill="1" applyBorder="1" applyAlignment="1">
      <alignment horizontal="left"/>
    </xf>
    <xf numFmtId="0" fontId="102" fillId="11" borderId="1" xfId="0" applyFont="1" applyFill="1" applyBorder="1" applyAlignment="1">
      <alignment horizontal="center"/>
    </xf>
    <xf numFmtId="0" fontId="79" fillId="3" borderId="1" xfId="0" applyFont="1" applyFill="1" applyBorder="1" applyAlignment="1">
      <alignment horizontal="center"/>
    </xf>
    <xf numFmtId="49" fontId="79" fillId="3" borderId="1" xfId="0" applyNumberFormat="1" applyFont="1" applyFill="1" applyBorder="1" applyAlignment="1">
      <alignment horizontal="center"/>
    </xf>
    <xf numFmtId="170" fontId="79" fillId="3" borderId="14" xfId="0" applyNumberFormat="1" applyFont="1" applyFill="1" applyBorder="1" applyAlignment="1">
      <alignment horizontal="center"/>
    </xf>
    <xf numFmtId="49" fontId="103" fillId="3" borderId="1" xfId="0" applyNumberFormat="1" applyFont="1" applyFill="1" applyBorder="1" applyAlignment="1">
      <alignment horizontal="center"/>
    </xf>
    <xf numFmtId="171" fontId="102" fillId="11" borderId="1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226" fillId="0" borderId="1" xfId="0" applyFont="1" applyBorder="1" applyAlignment="1">
      <alignment horizontal="center"/>
    </xf>
    <xf numFmtId="14" fontId="241" fillId="0" borderId="1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7" fillId="0" borderId="1" xfId="0" applyFont="1" applyBorder="1" applyAlignment="1"/>
    <xf numFmtId="0" fontId="41" fillId="24" borderId="0" xfId="0" applyFont="1" applyFill="1" applyAlignment="1">
      <alignment horizontal="center"/>
    </xf>
    <xf numFmtId="0" fontId="0" fillId="0" borderId="1" xfId="0" applyFont="1" applyBorder="1" applyAlignment="1">
      <alignment wrapText="1"/>
    </xf>
    <xf numFmtId="0" fontId="217" fillId="0" borderId="1" xfId="0" applyFont="1" applyBorder="1" applyAlignment="1">
      <alignment horizontal="center"/>
    </xf>
    <xf numFmtId="0" fontId="103" fillId="3" borderId="14" xfId="0" applyFont="1" applyFill="1" applyBorder="1" applyAlignment="1">
      <alignment horizontal="center"/>
    </xf>
    <xf numFmtId="49" fontId="241" fillId="0" borderId="1" xfId="0" applyNumberFormat="1" applyFont="1" applyBorder="1" applyAlignment="1">
      <alignment horizontal="center"/>
    </xf>
    <xf numFmtId="14" fontId="6" fillId="0" borderId="16" xfId="0" applyNumberFormat="1" applyFont="1" applyBorder="1" applyAlignment="1">
      <alignment horizontal="center"/>
    </xf>
    <xf numFmtId="0" fontId="78" fillId="0" borderId="1" xfId="0" applyFont="1" applyBorder="1" applyAlignment="1"/>
    <xf numFmtId="49" fontId="13" fillId="0" borderId="15" xfId="0" applyNumberFormat="1" applyFont="1" applyBorder="1" applyAlignment="1">
      <alignment horizontal="center"/>
    </xf>
    <xf numFmtId="0" fontId="78" fillId="0" borderId="14" xfId="0" applyFont="1" applyBorder="1" applyAlignment="1">
      <alignment horizontal="center"/>
    </xf>
    <xf numFmtId="0" fontId="255" fillId="0" borderId="1" xfId="0" applyFont="1" applyBorder="1" applyAlignment="1">
      <alignment horizontal="left"/>
    </xf>
    <xf numFmtId="1" fontId="255" fillId="0" borderId="1" xfId="0" applyNumberFormat="1" applyFont="1" applyBorder="1" applyAlignment="1">
      <alignment horizontal="center"/>
    </xf>
    <xf numFmtId="0" fontId="25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wrapText="1"/>
    </xf>
    <xf numFmtId="49" fontId="255" fillId="0" borderId="1" xfId="0" applyNumberFormat="1" applyFont="1" applyBorder="1" applyAlignment="1">
      <alignment horizontal="center"/>
    </xf>
    <xf numFmtId="14" fontId="255" fillId="0" borderId="1" xfId="0" applyNumberFormat="1" applyFont="1" applyBorder="1" applyAlignment="1">
      <alignment horizontal="center"/>
    </xf>
    <xf numFmtId="49" fontId="94" fillId="0" borderId="0" xfId="0" applyNumberFormat="1" applyFont="1" applyAlignment="1">
      <alignment horizontal="center" vertical="top"/>
    </xf>
    <xf numFmtId="0" fontId="94" fillId="2" borderId="1" xfId="0" applyFont="1" applyFill="1" applyBorder="1" applyAlignment="1">
      <alignment horizontal="left" vertical="top"/>
    </xf>
    <xf numFmtId="49" fontId="57" fillId="0" borderId="1" xfId="0" applyNumberFormat="1" applyFont="1" applyBorder="1" applyAlignment="1">
      <alignment horizontal="center" vertical="top"/>
    </xf>
    <xf numFmtId="49" fontId="256" fillId="3" borderId="1" xfId="0" applyNumberFormat="1" applyFont="1" applyFill="1" applyBorder="1" applyAlignment="1">
      <alignment horizontal="center"/>
    </xf>
    <xf numFmtId="49" fontId="94" fillId="0" borderId="16" xfId="0" applyNumberFormat="1" applyFont="1" applyBorder="1" applyAlignment="1">
      <alignment horizontal="center" vertical="top"/>
    </xf>
    <xf numFmtId="49" fontId="78" fillId="0" borderId="1" xfId="0" applyNumberFormat="1" applyFont="1" applyBorder="1" applyAlignment="1">
      <alignment horizontal="center"/>
    </xf>
    <xf numFmtId="49" fontId="78" fillId="3" borderId="0" xfId="0" applyNumberFormat="1" applyFont="1" applyFill="1" applyAlignment="1">
      <alignment horizontal="center"/>
    </xf>
    <xf numFmtId="0" fontId="6" fillId="0" borderId="1" xfId="0" applyFont="1" applyBorder="1" applyAlignment="1">
      <alignment wrapText="1"/>
    </xf>
    <xf numFmtId="0" fontId="41" fillId="0" borderId="1" xfId="0" applyFont="1" applyBorder="1" applyAlignment="1">
      <alignment horizontal="center" wrapText="1"/>
    </xf>
    <xf numFmtId="0" fontId="94" fillId="0" borderId="10" xfId="0" applyFont="1" applyBorder="1" applyAlignment="1">
      <alignment horizontal="center"/>
    </xf>
    <xf numFmtId="0" fontId="256" fillId="3" borderId="1" xfId="0" applyFont="1" applyFill="1" applyBorder="1" applyAlignment="1">
      <alignment horizontal="center"/>
    </xf>
    <xf numFmtId="0" fontId="80" fillId="3" borderId="1" xfId="0" applyFont="1" applyFill="1" applyBorder="1" applyAlignment="1">
      <alignment horizontal="center"/>
    </xf>
    <xf numFmtId="0" fontId="94" fillId="0" borderId="0" xfId="0" applyFont="1" applyAlignment="1">
      <alignment horizontal="center"/>
    </xf>
    <xf numFmtId="0" fontId="198" fillId="3" borderId="0" xfId="0" applyFont="1" applyFill="1" applyAlignment="1">
      <alignment horizontal="center"/>
    </xf>
    <xf numFmtId="0" fontId="6" fillId="0" borderId="10" xfId="0" applyFont="1" applyBorder="1" applyAlignment="1"/>
    <xf numFmtId="49" fontId="13" fillId="0" borderId="1" xfId="0" applyNumberFormat="1" applyFont="1" applyBorder="1" applyAlignment="1">
      <alignment horizontal="center"/>
    </xf>
    <xf numFmtId="0" fontId="94" fillId="0" borderId="1" xfId="0" applyFont="1" applyBorder="1" applyAlignment="1">
      <alignment horizontal="center"/>
    </xf>
    <xf numFmtId="0" fontId="241" fillId="0" borderId="1" xfId="0" applyFont="1" applyBorder="1" applyAlignment="1">
      <alignment horizontal="center" wrapText="1"/>
    </xf>
    <xf numFmtId="14" fontId="6" fillId="14" borderId="10" xfId="0" applyNumberFormat="1" applyFont="1" applyFill="1" applyBorder="1" applyAlignment="1"/>
    <xf numFmtId="0" fontId="6" fillId="14" borderId="10" xfId="0" applyFont="1" applyFill="1" applyBorder="1" applyAlignment="1"/>
    <xf numFmtId="14" fontId="6" fillId="14" borderId="10" xfId="0" applyNumberFormat="1" applyFont="1" applyFill="1" applyBorder="1" applyAlignment="1"/>
    <xf numFmtId="0" fontId="257" fillId="3" borderId="1" xfId="0" applyFont="1" applyFill="1" applyBorder="1" applyAlignment="1"/>
    <xf numFmtId="14" fontId="41" fillId="3" borderId="0" xfId="0" applyNumberFormat="1" applyFont="1" applyFill="1" applyAlignment="1">
      <alignment horizontal="center"/>
    </xf>
    <xf numFmtId="0" fontId="258" fillId="3" borderId="0" xfId="0" applyFont="1" applyFill="1" applyAlignment="1"/>
    <xf numFmtId="0" fontId="0" fillId="3" borderId="0" xfId="0" applyFont="1" applyFill="1" applyAlignment="1"/>
    <xf numFmtId="49" fontId="207" fillId="0" borderId="1" xfId="0" applyNumberFormat="1" applyFont="1" applyBorder="1" applyAlignment="1">
      <alignment horizontal="center"/>
    </xf>
    <xf numFmtId="0" fontId="208" fillId="0" borderId="1" xfId="0" applyFont="1" applyBorder="1" applyAlignment="1">
      <alignment horizontal="left" vertical="top"/>
    </xf>
    <xf numFmtId="49" fontId="208" fillId="0" borderId="1" xfId="0" applyNumberFormat="1" applyFont="1" applyBorder="1" applyAlignment="1">
      <alignment horizontal="center" vertical="top"/>
    </xf>
    <xf numFmtId="0" fontId="62" fillId="0" borderId="1" xfId="0" applyFont="1" applyBorder="1" applyAlignment="1">
      <alignment horizontal="center"/>
    </xf>
    <xf numFmtId="0" fontId="41" fillId="2" borderId="1" xfId="0" applyFont="1" applyFill="1" applyBorder="1" applyAlignment="1">
      <alignment horizontal="center" wrapText="1"/>
    </xf>
    <xf numFmtId="0" fontId="202" fillId="0" borderId="1" xfId="0" applyFont="1" applyBorder="1" applyAlignment="1">
      <alignment horizontal="center" wrapText="1"/>
    </xf>
    <xf numFmtId="0" fontId="65" fillId="0" borderId="1" xfId="0" applyFont="1" applyBorder="1" applyAlignment="1"/>
    <xf numFmtId="0" fontId="65" fillId="0" borderId="1" xfId="0" applyFont="1" applyBorder="1" applyAlignment="1"/>
    <xf numFmtId="0" fontId="38" fillId="0" borderId="0" xfId="0" applyFont="1" applyAlignment="1">
      <alignment horizontal="center"/>
    </xf>
    <xf numFmtId="0" fontId="38" fillId="0" borderId="1" xfId="0" applyFont="1" applyBorder="1" applyAlignment="1">
      <alignment horizontal="center"/>
    </xf>
    <xf numFmtId="49" fontId="208" fillId="0" borderId="1" xfId="0" applyNumberFormat="1" applyFont="1" applyBorder="1" applyAlignment="1">
      <alignment horizontal="center"/>
    </xf>
    <xf numFmtId="0" fontId="65" fillId="2" borderId="1" xfId="0" applyFont="1" applyFill="1" applyBorder="1" applyAlignment="1">
      <alignment horizontal="left" wrapText="1"/>
    </xf>
    <xf numFmtId="0" fontId="38" fillId="0" borderId="0" xfId="0" applyFont="1" applyAlignment="1">
      <alignment horizontal="center"/>
    </xf>
    <xf numFmtId="49" fontId="100" fillId="3" borderId="1" xfId="0" applyNumberFormat="1" applyFont="1" applyFill="1" applyBorder="1" applyAlignment="1">
      <alignment horizontal="left"/>
    </xf>
    <xf numFmtId="14" fontId="6" fillId="0" borderId="1" xfId="0" applyNumberFormat="1" applyFont="1" applyBorder="1" applyAlignment="1">
      <alignment horizontal="center"/>
    </xf>
    <xf numFmtId="49" fontId="259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left" wrapText="1"/>
    </xf>
    <xf numFmtId="49" fontId="41" fillId="0" borderId="1" xfId="0" applyNumberFormat="1" applyFont="1" applyBorder="1" applyAlignment="1">
      <alignment horizontal="center"/>
    </xf>
    <xf numFmtId="0" fontId="110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Alignment="1"/>
    <xf numFmtId="14" fontId="6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13" fillId="0" borderId="0" xfId="0" applyFont="1" applyAlignment="1">
      <alignment horizontal="center"/>
    </xf>
    <xf numFmtId="49" fontId="38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260" fillId="0" borderId="1" xfId="0" applyFont="1" applyBorder="1" applyAlignment="1">
      <alignment horizontal="center"/>
    </xf>
    <xf numFmtId="0" fontId="260" fillId="0" borderId="8" xfId="0" applyFont="1" applyBorder="1" applyAlignment="1">
      <alignment horizontal="center"/>
    </xf>
    <xf numFmtId="49" fontId="260" fillId="0" borderId="1" xfId="0" applyNumberFormat="1" applyFont="1" applyBorder="1" applyAlignment="1">
      <alignment horizontal="center"/>
    </xf>
    <xf numFmtId="0" fontId="45" fillId="0" borderId="10" xfId="0" applyFont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26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45" fillId="0" borderId="1" xfId="0" applyNumberFormat="1" applyFont="1" applyBorder="1" applyAlignment="1">
      <alignment horizontal="center"/>
    </xf>
    <xf numFmtId="14" fontId="45" fillId="16" borderId="1" xfId="0" applyNumberFormat="1" applyFont="1" applyFill="1" applyBorder="1" applyAlignment="1">
      <alignment horizontal="center"/>
    </xf>
    <xf numFmtId="0" fontId="45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/>
    <xf numFmtId="0" fontId="41" fillId="27" borderId="1" xfId="0" applyFont="1" applyFill="1" applyBorder="1" applyAlignment="1">
      <alignment horizontal="center"/>
    </xf>
    <xf numFmtId="0" fontId="41" fillId="27" borderId="1" xfId="0" applyFont="1" applyFill="1" applyBorder="1" applyAlignment="1">
      <alignment horizontal="left" wrapText="1"/>
    </xf>
    <xf numFmtId="0" fontId="6" fillId="27" borderId="1" xfId="0" applyFont="1" applyFill="1" applyBorder="1" applyAlignment="1">
      <alignment horizontal="center" wrapText="1"/>
    </xf>
    <xf numFmtId="49" fontId="34" fillId="27" borderId="1" xfId="0" applyNumberFormat="1" applyFont="1" applyFill="1" applyBorder="1" applyAlignment="1">
      <alignment horizontal="center" wrapText="1"/>
    </xf>
    <xf numFmtId="0" fontId="6" fillId="27" borderId="1" xfId="0" applyFont="1" applyFill="1" applyBorder="1" applyAlignment="1">
      <alignment horizontal="center" wrapText="1"/>
    </xf>
    <xf numFmtId="0" fontId="78" fillId="27" borderId="8" xfId="0" applyFont="1" applyFill="1" applyBorder="1" applyAlignment="1">
      <alignment horizontal="center"/>
    </xf>
    <xf numFmtId="0" fontId="0" fillId="27" borderId="1" xfId="0" applyFont="1" applyFill="1" applyBorder="1" applyAlignment="1">
      <alignment horizontal="center" wrapText="1"/>
    </xf>
    <xf numFmtId="14" fontId="41" fillId="27" borderId="1" xfId="0" applyNumberFormat="1" applyFont="1" applyFill="1" applyBorder="1" applyAlignment="1">
      <alignment horizontal="center"/>
    </xf>
    <xf numFmtId="14" fontId="71" fillId="27" borderId="1" xfId="0" applyNumberFormat="1" applyFont="1" applyFill="1" applyBorder="1" applyAlignment="1">
      <alignment horizontal="center"/>
    </xf>
    <xf numFmtId="14" fontId="93" fillId="27" borderId="16" xfId="0" applyNumberFormat="1" applyFont="1" applyFill="1" applyBorder="1" applyAlignment="1">
      <alignment horizontal="center"/>
    </xf>
    <xf numFmtId="0" fontId="262" fillId="27" borderId="1" xfId="0" applyFont="1" applyFill="1" applyBorder="1" applyAlignment="1"/>
    <xf numFmtId="0" fontId="38" fillId="27" borderId="1" xfId="0" applyFont="1" applyFill="1" applyBorder="1" applyAlignment="1"/>
    <xf numFmtId="0" fontId="6" fillId="27" borderId="0" xfId="0" applyFont="1" applyFill="1"/>
    <xf numFmtId="0" fontId="215" fillId="3" borderId="1" xfId="0" applyFont="1" applyFill="1" applyBorder="1" applyAlignment="1">
      <alignment horizontal="left"/>
    </xf>
    <xf numFmtId="0" fontId="53" fillId="0" borderId="1" xfId="0" applyFont="1" applyBorder="1" applyAlignment="1"/>
    <xf numFmtId="49" fontId="215" fillId="3" borderId="0" xfId="0" applyNumberFormat="1" applyFont="1" applyFill="1" applyAlignment="1">
      <alignment horizontal="center"/>
    </xf>
    <xf numFmtId="0" fontId="38" fillId="0" borderId="0" xfId="0" applyFont="1" applyAlignment="1"/>
    <xf numFmtId="0" fontId="41" fillId="18" borderId="1" xfId="0" applyFont="1" applyFill="1" applyBorder="1" applyAlignment="1">
      <alignment horizontal="center" wrapText="1"/>
    </xf>
    <xf numFmtId="0" fontId="38" fillId="0" borderId="1" xfId="0" applyFont="1" applyBorder="1" applyAlignment="1"/>
    <xf numFmtId="0" fontId="41" fillId="0" borderId="1" xfId="0" applyFont="1" applyBorder="1" applyAlignment="1"/>
    <xf numFmtId="0" fontId="41" fillId="0" borderId="1" xfId="0" applyFont="1" applyBorder="1"/>
    <xf numFmtId="49" fontId="62" fillId="0" borderId="1" xfId="0" applyNumberFormat="1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1" fillId="24" borderId="23" xfId="0" applyFont="1" applyFill="1" applyBorder="1" applyAlignment="1">
      <alignment horizontal="center"/>
    </xf>
    <xf numFmtId="49" fontId="135" fillId="3" borderId="15" xfId="0" applyNumberFormat="1" applyFont="1" applyFill="1" applyBorder="1" applyAlignment="1">
      <alignment horizontal="center"/>
    </xf>
    <xf numFmtId="0" fontId="105" fillId="10" borderId="0" xfId="0" applyFont="1" applyFill="1" applyAlignment="1">
      <alignment horizontal="center"/>
    </xf>
    <xf numFmtId="0" fontId="135" fillId="10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49" fontId="13" fillId="3" borderId="1" xfId="0" applyNumberFormat="1" applyFont="1" applyFill="1" applyBorder="1" applyAlignment="1">
      <alignment horizontal="center"/>
    </xf>
    <xf numFmtId="0" fontId="263" fillId="0" borderId="1" xfId="0" applyFont="1" applyBorder="1" applyAlignment="1">
      <alignment horizontal="center"/>
    </xf>
    <xf numFmtId="0" fontId="6" fillId="0" borderId="1" xfId="0" applyFont="1" applyBorder="1" applyAlignment="1"/>
    <xf numFmtId="0" fontId="6" fillId="0" borderId="0" xfId="0" applyFont="1" applyAlignment="1"/>
    <xf numFmtId="14" fontId="6" fillId="14" borderId="1" xfId="0" applyNumberFormat="1" applyFont="1" applyFill="1" applyBorder="1" applyAlignment="1">
      <alignment horizontal="center"/>
    </xf>
    <xf numFmtId="0" fontId="264" fillId="0" borderId="1" xfId="0" applyFont="1" applyBorder="1" applyAlignment="1"/>
    <xf numFmtId="49" fontId="265" fillId="3" borderId="1" xfId="0" applyNumberFormat="1" applyFont="1" applyFill="1" applyBorder="1" applyAlignment="1">
      <alignment horizontal="center"/>
    </xf>
    <xf numFmtId="0" fontId="41" fillId="11" borderId="1" xfId="0" applyFont="1" applyFill="1" applyBorder="1" applyAlignment="1">
      <alignment horizontal="center"/>
    </xf>
    <xf numFmtId="0" fontId="41" fillId="0" borderId="10" xfId="0" applyFont="1" applyBorder="1" applyAlignment="1">
      <alignment wrapText="1"/>
    </xf>
    <xf numFmtId="0" fontId="41" fillId="0" borderId="10" xfId="0" applyFont="1" applyBorder="1" applyAlignment="1">
      <alignment horizontal="center" wrapText="1"/>
    </xf>
    <xf numFmtId="49" fontId="78" fillId="3" borderId="10" xfId="0" applyNumberFormat="1" applyFont="1" applyFill="1" applyBorder="1" applyAlignment="1">
      <alignment horizontal="center"/>
    </xf>
    <xf numFmtId="0" fontId="208" fillId="0" borderId="10" xfId="0" applyFont="1" applyBorder="1" applyAlignment="1">
      <alignment horizontal="center"/>
    </xf>
    <xf numFmtId="0" fontId="41" fillId="0" borderId="10" xfId="0" applyFont="1" applyBorder="1" applyAlignment="1"/>
    <xf numFmtId="11" fontId="41" fillId="0" borderId="10" xfId="0" applyNumberFormat="1" applyFont="1" applyBorder="1" applyAlignment="1">
      <alignment horizontal="right"/>
    </xf>
    <xf numFmtId="0" fontId="41" fillId="0" borderId="10" xfId="0" applyFont="1" applyBorder="1" applyAlignment="1"/>
    <xf numFmtId="164" fontId="41" fillId="0" borderId="10" xfId="0" applyNumberFormat="1" applyFont="1" applyBorder="1" applyAlignment="1">
      <alignment horizontal="center"/>
    </xf>
    <xf numFmtId="14" fontId="41" fillId="14" borderId="10" xfId="0" applyNumberFormat="1" applyFont="1" applyFill="1" applyBorder="1" applyAlignment="1">
      <alignment horizontal="center"/>
    </xf>
    <xf numFmtId="0" fontId="266" fillId="0" borderId="10" xfId="0" applyFont="1" applyBorder="1" applyAlignment="1"/>
    <xf numFmtId="0" fontId="41" fillId="0" borderId="10" xfId="0" applyFont="1" applyBorder="1" applyAlignment="1"/>
    <xf numFmtId="0" fontId="41" fillId="3" borderId="10" xfId="0" applyFont="1" applyFill="1" applyBorder="1" applyAlignment="1"/>
    <xf numFmtId="0" fontId="41" fillId="0" borderId="0" xfId="0" applyFont="1" applyAlignment="1"/>
    <xf numFmtId="0" fontId="94" fillId="3" borderId="16" xfId="0" applyFont="1" applyFill="1" applyBorder="1" applyAlignment="1">
      <alignment vertical="top"/>
    </xf>
    <xf numFmtId="49" fontId="135" fillId="3" borderId="16" xfId="0" applyNumberFormat="1" applyFont="1" applyFill="1" applyBorder="1" applyAlignment="1">
      <alignment horizontal="center"/>
    </xf>
    <xf numFmtId="0" fontId="135" fillId="10" borderId="0" xfId="0" applyFont="1" applyFill="1" applyAlignment="1">
      <alignment horizontal="center"/>
    </xf>
    <xf numFmtId="0" fontId="0" fillId="18" borderId="1" xfId="0" applyFont="1" applyFill="1" applyBorder="1" applyAlignment="1">
      <alignment horizontal="left" wrapText="1"/>
    </xf>
    <xf numFmtId="49" fontId="65" fillId="18" borderId="1" xfId="0" applyNumberFormat="1" applyFont="1" applyFill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18" borderId="1" xfId="0" applyFont="1" applyFill="1" applyBorder="1" applyAlignment="1">
      <alignment horizontal="center" wrapText="1"/>
    </xf>
    <xf numFmtId="0" fontId="34" fillId="0" borderId="1" xfId="0" applyFont="1" applyBorder="1" applyAlignment="1">
      <alignment horizontal="center"/>
    </xf>
    <xf numFmtId="49" fontId="267" fillId="3" borderId="1" xfId="0" applyNumberFormat="1" applyFont="1" applyFill="1" applyBorder="1" applyAlignment="1">
      <alignment horizontal="center"/>
    </xf>
    <xf numFmtId="49" fontId="62" fillId="0" borderId="1" xfId="0" applyNumberFormat="1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49" fontId="63" fillId="3" borderId="1" xfId="0" applyNumberFormat="1" applyFont="1" applyFill="1" applyBorder="1" applyAlignment="1">
      <alignment horizontal="center"/>
    </xf>
    <xf numFmtId="14" fontId="41" fillId="0" borderId="0" xfId="0" applyNumberFormat="1" applyFont="1"/>
    <xf numFmtId="49" fontId="237" fillId="3" borderId="1" xfId="0" applyNumberFormat="1" applyFont="1" applyFill="1" applyBorder="1" applyAlignment="1">
      <alignment horizontal="center"/>
    </xf>
    <xf numFmtId="0" fontId="124" fillId="12" borderId="0" xfId="0" applyFont="1" applyFill="1" applyAlignment="1">
      <alignment horizontal="center"/>
    </xf>
    <xf numFmtId="0" fontId="62" fillId="0" borderId="0" xfId="0" applyFont="1" applyAlignment="1">
      <alignment horizontal="center"/>
    </xf>
    <xf numFmtId="0" fontId="124" fillId="10" borderId="0" xfId="0" applyFont="1" applyFill="1" applyAlignment="1">
      <alignment horizontal="center"/>
    </xf>
    <xf numFmtId="0" fontId="62" fillId="0" borderId="1" xfId="0" applyFont="1" applyBorder="1" applyAlignment="1">
      <alignment horizontal="center"/>
    </xf>
    <xf numFmtId="49" fontId="78" fillId="0" borderId="1" xfId="0" applyNumberFormat="1" applyFont="1" applyBorder="1" applyAlignment="1">
      <alignment horizontal="center" wrapText="1"/>
    </xf>
    <xf numFmtId="49" fontId="78" fillId="3" borderId="1" xfId="0" applyNumberFormat="1" applyFont="1" applyFill="1" applyBorder="1" applyAlignment="1">
      <alignment horizontal="center" wrapText="1"/>
    </xf>
    <xf numFmtId="0" fontId="268" fillId="3" borderId="1" xfId="0" applyFont="1" applyFill="1" applyBorder="1" applyAlignment="1"/>
    <xf numFmtId="49" fontId="97" fillId="0" borderId="1" xfId="0" applyNumberFormat="1" applyFont="1" applyBorder="1" applyAlignment="1">
      <alignment horizontal="center"/>
    </xf>
    <xf numFmtId="0" fontId="38" fillId="0" borderId="1" xfId="0" applyFont="1" applyBorder="1" applyAlignment="1"/>
    <xf numFmtId="49" fontId="34" fillId="0" borderId="16" xfId="0" applyNumberFormat="1" applyFont="1" applyBorder="1" applyAlignment="1">
      <alignment horizontal="center" wrapText="1"/>
    </xf>
    <xf numFmtId="0" fontId="41" fillId="0" borderId="1" xfId="0" applyFont="1" applyBorder="1" applyAlignment="1">
      <alignment horizontal="center"/>
    </xf>
    <xf numFmtId="14" fontId="93" fillId="0" borderId="0" xfId="0" applyNumberFormat="1" applyFont="1" applyAlignment="1">
      <alignment horizontal="center"/>
    </xf>
    <xf numFmtId="14" fontId="38" fillId="0" borderId="1" xfId="0" applyNumberFormat="1" applyFont="1" applyBorder="1" applyAlignment="1"/>
    <xf numFmtId="0" fontId="0" fillId="3" borderId="1" xfId="0" applyFont="1" applyFill="1" applyBorder="1" applyAlignment="1">
      <alignment horizontal="center"/>
    </xf>
    <xf numFmtId="49" fontId="41" fillId="0" borderId="1" xfId="0" applyNumberFormat="1" applyFont="1" applyBorder="1" applyAlignment="1">
      <alignment horizontal="center" wrapText="1"/>
    </xf>
    <xf numFmtId="0" fontId="41" fillId="0" borderId="10" xfId="0" applyFont="1" applyBorder="1" applyAlignment="1">
      <alignment horizontal="left" wrapText="1"/>
    </xf>
    <xf numFmtId="0" fontId="237" fillId="0" borderId="10" xfId="0" applyFont="1" applyBorder="1" applyAlignment="1">
      <alignment horizontal="center" wrapText="1"/>
    </xf>
    <xf numFmtId="14" fontId="6" fillId="0" borderId="10" xfId="0" applyNumberFormat="1" applyFont="1" applyBorder="1" applyAlignment="1">
      <alignment horizontal="center"/>
    </xf>
    <xf numFmtId="0" fontId="62" fillId="3" borderId="1" xfId="0" applyFont="1" applyFill="1" applyBorder="1" applyAlignment="1">
      <alignment horizontal="center"/>
    </xf>
    <xf numFmtId="0" fontId="62" fillId="0" borderId="1" xfId="0" applyFont="1" applyBorder="1" applyAlignment="1">
      <alignment horizontal="center"/>
    </xf>
    <xf numFmtId="0" fontId="62" fillId="0" borderId="0" xfId="0" applyFont="1" applyAlignment="1">
      <alignment horizontal="center" wrapText="1"/>
    </xf>
    <xf numFmtId="0" fontId="110" fillId="0" borderId="1" xfId="0" applyFont="1" applyBorder="1" applyAlignment="1">
      <alignment horizontal="center"/>
    </xf>
    <xf numFmtId="0" fontId="269" fillId="3" borderId="1" xfId="0" applyFont="1" applyFill="1" applyBorder="1" applyAlignment="1">
      <alignment horizontal="center"/>
    </xf>
    <xf numFmtId="0" fontId="0" fillId="0" borderId="1" xfId="0" applyFont="1" applyBorder="1"/>
    <xf numFmtId="0" fontId="65" fillId="18" borderId="1" xfId="0" applyFont="1" applyFill="1" applyBorder="1" applyAlignment="1">
      <alignment horizontal="left" wrapText="1"/>
    </xf>
    <xf numFmtId="0" fontId="40" fillId="3" borderId="1" xfId="0" applyFont="1" applyFill="1" applyBorder="1" applyAlignment="1">
      <alignment horizontal="left"/>
    </xf>
    <xf numFmtId="0" fontId="135" fillId="12" borderId="0" xfId="0" applyFont="1" applyFill="1" applyAlignment="1">
      <alignment horizontal="center"/>
    </xf>
    <xf numFmtId="0" fontId="270" fillId="0" borderId="1" xfId="0" applyFont="1" applyBorder="1" applyAlignment="1"/>
    <xf numFmtId="14" fontId="71" fillId="0" borderId="10" xfId="0" applyNumberFormat="1" applyFont="1" applyBorder="1" applyAlignment="1">
      <alignment horizontal="center"/>
    </xf>
    <xf numFmtId="0" fontId="15" fillId="3" borderId="10" xfId="0" applyFont="1" applyFill="1" applyBorder="1"/>
    <xf numFmtId="0" fontId="176" fillId="24" borderId="1" xfId="0" applyFont="1" applyFill="1" applyBorder="1" applyAlignment="1">
      <alignment horizontal="left" wrapText="1"/>
    </xf>
    <xf numFmtId="14" fontId="176" fillId="14" borderId="1" xfId="0" applyNumberFormat="1" applyFont="1" applyFill="1" applyBorder="1" applyAlignment="1">
      <alignment horizontal="center"/>
    </xf>
    <xf numFmtId="0" fontId="78" fillId="0" borderId="1" xfId="0" applyFont="1" applyBorder="1" applyAlignment="1">
      <alignment horizontal="center"/>
    </xf>
    <xf numFmtId="0" fontId="271" fillId="0" borderId="1" xfId="0" applyFont="1" applyBorder="1" applyAlignment="1"/>
    <xf numFmtId="0" fontId="99" fillId="23" borderId="0" xfId="0" applyFont="1" applyFill="1" applyAlignment="1">
      <alignment horizontal="center"/>
    </xf>
    <xf numFmtId="49" fontId="65" fillId="0" borderId="0" xfId="0" applyNumberFormat="1" applyFont="1" applyAlignment="1">
      <alignment horizontal="center" wrapText="1"/>
    </xf>
    <xf numFmtId="14" fontId="6" fillId="2" borderId="0" xfId="0" applyNumberFormat="1" applyFont="1" applyFill="1" applyAlignment="1">
      <alignment horizontal="center"/>
    </xf>
    <xf numFmtId="0" fontId="239" fillId="3" borderId="14" xfId="0" applyFont="1" applyFill="1" applyBorder="1" applyAlignment="1">
      <alignment horizontal="left" wrapText="1"/>
    </xf>
    <xf numFmtId="1" fontId="239" fillId="3" borderId="14" xfId="0" applyNumberFormat="1" applyFont="1" applyFill="1" applyBorder="1" applyAlignment="1">
      <alignment horizontal="center" wrapText="1"/>
    </xf>
    <xf numFmtId="49" fontId="215" fillId="3" borderId="14" xfId="0" applyNumberFormat="1" applyFont="1" applyFill="1" applyBorder="1" applyAlignment="1">
      <alignment horizontal="center" wrapText="1"/>
    </xf>
    <xf numFmtId="0" fontId="239" fillId="3" borderId="14" xfId="0" applyFont="1" applyFill="1" applyBorder="1" applyAlignment="1">
      <alignment horizontal="center" wrapText="1"/>
    </xf>
    <xf numFmtId="0" fontId="239" fillId="3" borderId="1" xfId="0" applyFont="1" applyFill="1" applyBorder="1" applyAlignment="1">
      <alignment horizontal="center"/>
    </xf>
    <xf numFmtId="14" fontId="239" fillId="3" borderId="14" xfId="0" applyNumberFormat="1" applyFont="1" applyFill="1" applyBorder="1" applyAlignment="1">
      <alignment horizontal="center"/>
    </xf>
    <xf numFmtId="14" fontId="93" fillId="32" borderId="14" xfId="0" applyNumberFormat="1" applyFont="1" applyFill="1" applyBorder="1" applyAlignment="1">
      <alignment horizontal="center"/>
    </xf>
    <xf numFmtId="14" fontId="239" fillId="3" borderId="14" xfId="0" applyNumberFormat="1" applyFont="1" applyFill="1" applyBorder="1" applyAlignment="1">
      <alignment horizontal="center"/>
    </xf>
    <xf numFmtId="0" fontId="239" fillId="3" borderId="14" xfId="0" applyFont="1" applyFill="1" applyBorder="1" applyAlignment="1">
      <alignment horizontal="left"/>
    </xf>
    <xf numFmtId="0" fontId="239" fillId="3" borderId="14" xfId="0" applyFont="1" applyFill="1" applyBorder="1" applyAlignment="1">
      <alignment horizontal="left"/>
    </xf>
    <xf numFmtId="0" fontId="272" fillId="3" borderId="14" xfId="0" applyFont="1" applyFill="1" applyBorder="1" applyAlignment="1">
      <alignment horizontal="left"/>
    </xf>
    <xf numFmtId="0" fontId="239" fillId="3" borderId="14" xfId="0" applyFont="1" applyFill="1" applyBorder="1" applyAlignment="1">
      <alignment horizontal="right"/>
    </xf>
    <xf numFmtId="49" fontId="62" fillId="0" borderId="0" xfId="0" applyNumberFormat="1" applyFont="1" applyAlignment="1">
      <alignment horizontal="center" wrapText="1"/>
    </xf>
    <xf numFmtId="0" fontId="109" fillId="3" borderId="0" xfId="0" applyFont="1" applyFill="1" applyAlignment="1">
      <alignment horizontal="center"/>
    </xf>
    <xf numFmtId="0" fontId="6" fillId="18" borderId="1" xfId="0" applyFont="1" applyFill="1" applyBorder="1" applyAlignment="1">
      <alignment horizontal="center" wrapText="1"/>
    </xf>
    <xf numFmtId="0" fontId="129" fillId="2" borderId="1" xfId="0" applyFont="1" applyFill="1" applyBorder="1" applyAlignment="1">
      <alignment horizontal="center"/>
    </xf>
    <xf numFmtId="0" fontId="75" fillId="0" borderId="1" xfId="0" applyFont="1" applyBorder="1" applyAlignment="1">
      <alignment horizontal="center"/>
    </xf>
    <xf numFmtId="49" fontId="41" fillId="3" borderId="16" xfId="0" applyNumberFormat="1" applyFont="1" applyFill="1" applyBorder="1" applyAlignment="1">
      <alignment horizontal="center"/>
    </xf>
    <xf numFmtId="0" fontId="34" fillId="0" borderId="10" xfId="0" applyFont="1" applyBorder="1" applyAlignment="1">
      <alignment horizontal="center"/>
    </xf>
    <xf numFmtId="49" fontId="63" fillId="0" borderId="16" xfId="0" applyNumberFormat="1" applyFont="1" applyBorder="1" applyAlignment="1">
      <alignment horizontal="center" wrapText="1"/>
    </xf>
    <xf numFmtId="0" fontId="0" fillId="2" borderId="1" xfId="0" applyFont="1" applyFill="1" applyBorder="1" applyAlignment="1">
      <alignment horizontal="left" wrapText="1"/>
    </xf>
    <xf numFmtId="1" fontId="233" fillId="2" borderId="1" xfId="0" applyNumberFormat="1" applyFont="1" applyFill="1" applyBorder="1" applyAlignment="1">
      <alignment horizontal="center"/>
    </xf>
    <xf numFmtId="0" fontId="175" fillId="22" borderId="24" xfId="0" applyFont="1" applyFill="1" applyBorder="1" applyAlignment="1">
      <alignment horizontal="center" wrapText="1"/>
    </xf>
    <xf numFmtId="0" fontId="124" fillId="12" borderId="25" xfId="0" applyFont="1" applyFill="1" applyBorder="1" applyAlignment="1">
      <alignment horizontal="center"/>
    </xf>
    <xf numFmtId="1" fontId="41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right"/>
    </xf>
    <xf numFmtId="49" fontId="41" fillId="0" borderId="1" xfId="0" applyNumberFormat="1" applyFont="1" applyBorder="1" applyAlignment="1">
      <alignment horizontal="center" wrapText="1"/>
    </xf>
    <xf numFmtId="0" fontId="241" fillId="0" borderId="1" xfId="0" applyFont="1" applyBorder="1" applyAlignment="1">
      <alignment horizontal="center"/>
    </xf>
    <xf numFmtId="0" fontId="63" fillId="0" borderId="16" xfId="0" applyFont="1" applyBorder="1" applyAlignment="1">
      <alignment horizontal="center" wrapText="1"/>
    </xf>
    <xf numFmtId="0" fontId="87" fillId="12" borderId="1" xfId="0" applyFont="1" applyFill="1" applyBorder="1" applyAlignment="1">
      <alignment horizontal="center"/>
    </xf>
    <xf numFmtId="0" fontId="273" fillId="0" borderId="0" xfId="0" applyFont="1" applyAlignment="1"/>
    <xf numFmtId="0" fontId="170" fillId="0" borderId="0" xfId="0" applyFont="1" applyAlignment="1">
      <alignment horizontal="center"/>
    </xf>
    <xf numFmtId="49" fontId="62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129" fillId="2" borderId="1" xfId="0" applyFont="1" applyFill="1" applyBorder="1" applyAlignment="1">
      <alignment horizontal="center"/>
    </xf>
    <xf numFmtId="0" fontId="75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14" fontId="3" fillId="16" borderId="0" xfId="0" applyNumberFormat="1" applyFont="1" applyFill="1" applyAlignment="1">
      <alignment horizontal="center"/>
    </xf>
    <xf numFmtId="49" fontId="6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06" fillId="0" borderId="0" xfId="0" applyFont="1" applyAlignment="1">
      <alignment horizontal="center"/>
    </xf>
    <xf numFmtId="0" fontId="148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148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14" fontId="41" fillId="17" borderId="1" xfId="0" applyNumberFormat="1" applyFont="1" applyFill="1" applyBorder="1" applyAlignment="1">
      <alignment horizontal="center"/>
    </xf>
    <xf numFmtId="49" fontId="274" fillId="0" borderId="1" xfId="0" applyNumberFormat="1" applyFont="1" applyBorder="1" applyAlignment="1">
      <alignment horizontal="center"/>
    </xf>
    <xf numFmtId="49" fontId="140" fillId="0" borderId="1" xfId="0" applyNumberFormat="1" applyFont="1" applyBorder="1" applyAlignment="1">
      <alignment horizontal="center"/>
    </xf>
    <xf numFmtId="0" fontId="86" fillId="0" borderId="1" xfId="0" applyFont="1" applyBorder="1" applyAlignment="1"/>
    <xf numFmtId="49" fontId="275" fillId="0" borderId="1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0" fontId="34" fillId="0" borderId="0" xfId="0" applyFont="1" applyAlignment="1">
      <alignment horizontal="center" wrapText="1"/>
    </xf>
    <xf numFmtId="0" fontId="41" fillId="0" borderId="1" xfId="0" applyFont="1" applyBorder="1" applyAlignment="1">
      <alignment horizontal="center" vertical="top"/>
    </xf>
    <xf numFmtId="49" fontId="62" fillId="0" borderId="16" xfId="0" applyNumberFormat="1" applyFont="1" applyBorder="1" applyAlignment="1">
      <alignment horizontal="center" wrapText="1"/>
    </xf>
    <xf numFmtId="49" fontId="92" fillId="3" borderId="16" xfId="0" applyNumberFormat="1" applyFont="1" applyFill="1" applyBorder="1" applyAlignment="1">
      <alignment horizontal="center"/>
    </xf>
    <xf numFmtId="14" fontId="41" fillId="0" borderId="16" xfId="0" applyNumberFormat="1" applyFont="1" applyBorder="1" applyAlignment="1">
      <alignment horizontal="center"/>
    </xf>
    <xf numFmtId="49" fontId="166" fillId="3" borderId="1" xfId="0" applyNumberFormat="1" applyFont="1" applyFill="1" applyBorder="1" applyAlignment="1">
      <alignment horizontal="center"/>
    </xf>
    <xf numFmtId="49" fontId="41" fillId="18" borderId="1" xfId="0" applyNumberFormat="1" applyFont="1" applyFill="1" applyBorder="1" applyAlignment="1">
      <alignment horizontal="center" wrapText="1"/>
    </xf>
    <xf numFmtId="0" fontId="6" fillId="18" borderId="1" xfId="0" applyFont="1" applyFill="1" applyBorder="1" applyAlignment="1">
      <alignment horizontal="center" wrapText="1"/>
    </xf>
    <xf numFmtId="0" fontId="276" fillId="0" borderId="0" xfId="0" applyFont="1" applyAlignment="1"/>
    <xf numFmtId="0" fontId="124" fillId="10" borderId="25" xfId="0" applyFont="1" applyFill="1" applyBorder="1" applyAlignment="1">
      <alignment horizontal="center"/>
    </xf>
    <xf numFmtId="49" fontId="277" fillId="0" borderId="1" xfId="0" applyNumberFormat="1" applyFont="1" applyBorder="1" applyAlignment="1">
      <alignment horizontal="center"/>
    </xf>
    <xf numFmtId="0" fontId="65" fillId="2" borderId="16" xfId="0" applyFont="1" applyFill="1" applyBorder="1" applyAlignment="1">
      <alignment horizontal="left" wrapText="1"/>
    </xf>
    <xf numFmtId="49" fontId="78" fillId="0" borderId="1" xfId="0" applyNumberFormat="1" applyFont="1" applyBorder="1" applyAlignment="1">
      <alignment horizontal="center" wrapText="1"/>
    </xf>
    <xf numFmtId="0" fontId="65" fillId="16" borderId="22" xfId="0" applyFont="1" applyFill="1" applyBorder="1" applyAlignment="1">
      <alignment horizontal="center"/>
    </xf>
    <xf numFmtId="0" fontId="65" fillId="16" borderId="1" xfId="0" applyFont="1" applyFill="1" applyBorder="1" applyAlignment="1">
      <alignment horizontal="center"/>
    </xf>
    <xf numFmtId="49" fontId="62" fillId="3" borderId="1" xfId="0" applyNumberFormat="1" applyFont="1" applyFill="1" applyBorder="1" applyAlignment="1">
      <alignment horizontal="center"/>
    </xf>
    <xf numFmtId="0" fontId="6" fillId="29" borderId="1" xfId="0" applyFont="1" applyFill="1" applyBorder="1" applyAlignment="1">
      <alignment horizontal="left" wrapText="1"/>
    </xf>
    <xf numFmtId="0" fontId="6" fillId="27" borderId="8" xfId="0" applyFont="1" applyFill="1" applyBorder="1" applyAlignment="1">
      <alignment horizontal="center" wrapText="1"/>
    </xf>
    <xf numFmtId="49" fontId="63" fillId="27" borderId="1" xfId="0" applyNumberFormat="1" applyFont="1" applyFill="1" applyBorder="1" applyAlignment="1">
      <alignment horizontal="center" wrapText="1"/>
    </xf>
    <xf numFmtId="0" fontId="3" fillId="27" borderId="1" xfId="0" applyFont="1" applyFill="1" applyBorder="1" applyAlignment="1">
      <alignment horizontal="center"/>
    </xf>
    <xf numFmtId="0" fontId="110" fillId="27" borderId="1" xfId="0" applyFont="1" applyFill="1" applyBorder="1" applyAlignment="1">
      <alignment horizontal="center" wrapText="1"/>
    </xf>
    <xf numFmtId="14" fontId="41" fillId="27" borderId="1" xfId="0" applyNumberFormat="1" applyFont="1" applyFill="1" applyBorder="1" applyAlignment="1">
      <alignment horizontal="center"/>
    </xf>
    <xf numFmtId="14" fontId="138" fillId="27" borderId="1" xfId="0" applyNumberFormat="1" applyFont="1" applyFill="1" applyBorder="1" applyAlignment="1">
      <alignment horizontal="center"/>
    </xf>
    <xf numFmtId="14" fontId="41" fillId="27" borderId="0" xfId="0" applyNumberFormat="1" applyFont="1" applyFill="1" applyAlignment="1">
      <alignment horizontal="center"/>
    </xf>
    <xf numFmtId="0" fontId="278" fillId="27" borderId="0" xfId="0" applyFont="1" applyFill="1" applyAlignment="1"/>
    <xf numFmtId="0" fontId="9" fillId="27" borderId="0" xfId="0" applyFont="1" applyFill="1" applyAlignment="1"/>
    <xf numFmtId="0" fontId="9" fillId="27" borderId="0" xfId="0" applyFont="1" applyFill="1"/>
    <xf numFmtId="49" fontId="62" fillId="3" borderId="1" xfId="0" applyNumberFormat="1" applyFont="1" applyFill="1" applyBorder="1" applyAlignment="1">
      <alignment horizontal="center"/>
    </xf>
    <xf numFmtId="14" fontId="71" fillId="3" borderId="1" xfId="0" applyNumberFormat="1" applyFont="1" applyFill="1" applyBorder="1" applyAlignment="1">
      <alignment horizontal="center"/>
    </xf>
    <xf numFmtId="14" fontId="93" fillId="3" borderId="1" xfId="0" applyNumberFormat="1" applyFont="1" applyFill="1" applyBorder="1" applyAlignment="1">
      <alignment horizontal="center"/>
    </xf>
    <xf numFmtId="0" fontId="279" fillId="3" borderId="1" xfId="0" applyFont="1" applyFill="1" applyBorder="1" applyAlignment="1"/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218" fillId="0" borderId="0" xfId="0" applyFont="1" applyAlignment="1">
      <alignment horizontal="center" wrapText="1"/>
    </xf>
    <xf numFmtId="0" fontId="241" fillId="0" borderId="0" xfId="0" applyFont="1" applyAlignment="1">
      <alignment horizontal="center" wrapText="1"/>
    </xf>
    <xf numFmtId="0" fontId="129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129" fillId="0" borderId="0" xfId="0" applyFont="1" applyAlignment="1">
      <alignment horizontal="center"/>
    </xf>
    <xf numFmtId="14" fontId="9" fillId="0" borderId="0" xfId="0" applyNumberFormat="1" applyFont="1"/>
    <xf numFmtId="14" fontId="9" fillId="0" borderId="0" xfId="0" applyNumberFormat="1" applyFont="1" applyAlignment="1">
      <alignment horizontal="center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49" fontId="63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4" fontId="17" fillId="0" borderId="1" xfId="0" applyNumberFormat="1" applyFont="1" applyBorder="1"/>
    <xf numFmtId="49" fontId="94" fillId="0" borderId="0" xfId="0" applyNumberFormat="1" applyFont="1" applyAlignment="1">
      <alignment horizontal="center"/>
    </xf>
    <xf numFmtId="0" fontId="226" fillId="0" borderId="1" xfId="0" applyFont="1" applyBorder="1" applyAlignment="1">
      <alignment horizontal="left"/>
    </xf>
    <xf numFmtId="14" fontId="65" fillId="0" borderId="1" xfId="0" applyNumberFormat="1" applyFont="1" applyBorder="1" applyAlignment="1">
      <alignment horizontal="center"/>
    </xf>
    <xf numFmtId="0" fontId="41" fillId="2" borderId="1" xfId="0" applyFont="1" applyFill="1" applyBorder="1" applyAlignment="1">
      <alignment horizontal="left"/>
    </xf>
    <xf numFmtId="0" fontId="41" fillId="29" borderId="1" xfId="0" applyFont="1" applyFill="1" applyBorder="1" applyAlignment="1">
      <alignment horizontal="left" wrapText="1"/>
    </xf>
    <xf numFmtId="0" fontId="41" fillId="27" borderId="1" xfId="0" applyFont="1" applyFill="1" applyBorder="1" applyAlignment="1">
      <alignment horizontal="center" wrapText="1"/>
    </xf>
    <xf numFmtId="49" fontId="63" fillId="27" borderId="1" xfId="0" applyNumberFormat="1" applyFont="1" applyFill="1" applyBorder="1" applyAlignment="1">
      <alignment horizontal="center"/>
    </xf>
    <xf numFmtId="0" fontId="41" fillId="27" borderId="1" xfId="0" applyFont="1" applyFill="1" applyBorder="1" applyAlignment="1">
      <alignment horizontal="center" wrapText="1"/>
    </xf>
    <xf numFmtId="0" fontId="138" fillId="27" borderId="1" xfId="0" applyFont="1" applyFill="1" applyBorder="1" applyAlignment="1">
      <alignment horizontal="center" wrapText="1"/>
    </xf>
    <xf numFmtId="14" fontId="41" fillId="27" borderId="1" xfId="0" applyNumberFormat="1" applyFont="1" applyFill="1" applyBorder="1"/>
    <xf numFmtId="14" fontId="17" fillId="27" borderId="1" xfId="0" applyNumberFormat="1" applyFont="1" applyFill="1" applyBorder="1"/>
    <xf numFmtId="0" fontId="17" fillId="27" borderId="1" xfId="0" applyFont="1" applyFill="1" applyBorder="1" applyAlignment="1"/>
    <xf numFmtId="0" fontId="17" fillId="27" borderId="1" xfId="0" quotePrefix="1" applyFont="1" applyFill="1" applyBorder="1" applyAlignment="1"/>
    <xf numFmtId="0" fontId="17" fillId="27" borderId="1" xfId="0" applyFont="1" applyFill="1" applyBorder="1" applyAlignment="1">
      <alignment horizontal="center"/>
    </xf>
    <xf numFmtId="0" fontId="3" fillId="27" borderId="1" xfId="0" applyFont="1" applyFill="1" applyBorder="1" applyAlignment="1"/>
    <xf numFmtId="49" fontId="54" fillId="0" borderId="14" xfId="0" applyNumberFormat="1" applyFont="1" applyBorder="1" applyAlignment="1">
      <alignment horizontal="center"/>
    </xf>
    <xf numFmtId="14" fontId="3" fillId="0" borderId="1" xfId="0" applyNumberFormat="1" applyFont="1" applyBorder="1" applyAlignment="1"/>
    <xf numFmtId="164" fontId="3" fillId="0" borderId="1" xfId="0" applyNumberFormat="1" applyFont="1" applyBorder="1" applyAlignment="1"/>
    <xf numFmtId="0" fontId="65" fillId="30" borderId="1" xfId="0" applyFont="1" applyFill="1" applyBorder="1" applyAlignment="1">
      <alignment horizontal="left" wrapText="1"/>
    </xf>
    <xf numFmtId="0" fontId="65" fillId="30" borderId="8" xfId="0" applyFont="1" applyFill="1" applyBorder="1" applyAlignment="1">
      <alignment horizontal="center" wrapText="1"/>
    </xf>
    <xf numFmtId="1" fontId="65" fillId="30" borderId="1" xfId="0" applyNumberFormat="1" applyFont="1" applyFill="1" applyBorder="1" applyAlignment="1">
      <alignment horizontal="center"/>
    </xf>
    <xf numFmtId="0" fontId="65" fillId="30" borderId="10" xfId="0" applyFont="1" applyFill="1" applyBorder="1" applyAlignment="1">
      <alignment horizontal="center"/>
    </xf>
    <xf numFmtId="0" fontId="65" fillId="30" borderId="1" xfId="0" applyFont="1" applyFill="1" applyBorder="1" applyAlignment="1">
      <alignment horizontal="center" wrapText="1"/>
    </xf>
    <xf numFmtId="14" fontId="41" fillId="30" borderId="1" xfId="0" applyNumberFormat="1" applyFont="1" applyFill="1" applyBorder="1" applyAlignment="1">
      <alignment horizontal="center"/>
    </xf>
    <xf numFmtId="0" fontId="65" fillId="30" borderId="1" xfId="0" applyFont="1" applyFill="1" applyBorder="1" applyAlignment="1"/>
    <xf numFmtId="0" fontId="280" fillId="30" borderId="1" xfId="0" applyFont="1" applyFill="1" applyBorder="1" applyAlignment="1"/>
    <xf numFmtId="0" fontId="38" fillId="30" borderId="1" xfId="0" applyFont="1" applyFill="1" applyBorder="1" applyAlignment="1">
      <alignment horizontal="center"/>
    </xf>
    <xf numFmtId="0" fontId="38" fillId="30" borderId="1" xfId="0" applyFont="1" applyFill="1" applyBorder="1" applyAlignment="1"/>
    <xf numFmtId="0" fontId="41" fillId="30" borderId="0" xfId="0" applyFont="1" applyFill="1"/>
    <xf numFmtId="0" fontId="128" fillId="0" borderId="10" xfId="0" applyFont="1" applyBorder="1" applyAlignment="1">
      <alignment horizontal="center"/>
    </xf>
    <xf numFmtId="14" fontId="103" fillId="0" borderId="1" xfId="0" applyNumberFormat="1" applyFont="1" applyBorder="1" applyAlignment="1">
      <alignment horizontal="center"/>
    </xf>
    <xf numFmtId="49" fontId="62" fillId="2" borderId="1" xfId="0" applyNumberFormat="1" applyFont="1" applyFill="1" applyBorder="1" applyAlignment="1">
      <alignment horizontal="center"/>
    </xf>
    <xf numFmtId="0" fontId="105" fillId="12" borderId="0" xfId="0" applyFont="1" applyFill="1" applyAlignment="1">
      <alignment horizontal="center"/>
    </xf>
    <xf numFmtId="0" fontId="135" fillId="10" borderId="25" xfId="0" applyFont="1" applyFill="1" applyBorder="1" applyAlignment="1">
      <alignment horizontal="center"/>
    </xf>
    <xf numFmtId="49" fontId="63" fillId="0" borderId="0" xfId="0" applyNumberFormat="1" applyFont="1" applyAlignment="1">
      <alignment horizontal="center"/>
    </xf>
    <xf numFmtId="0" fontId="128" fillId="0" borderId="0" xfId="0" applyFont="1" applyAlignment="1">
      <alignment horizontal="center"/>
    </xf>
    <xf numFmtId="14" fontId="17" fillId="0" borderId="0" xfId="0" applyNumberFormat="1" applyFont="1"/>
    <xf numFmtId="0" fontId="17" fillId="0" borderId="0" xfId="0" applyFont="1" applyAlignment="1">
      <alignment horizontal="left"/>
    </xf>
    <xf numFmtId="0" fontId="241" fillId="0" borderId="0" xfId="0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281" fillId="11" borderId="1" xfId="0" applyFont="1" applyFill="1" applyBorder="1" applyAlignment="1">
      <alignment horizontal="center" vertical="center"/>
    </xf>
    <xf numFmtId="0" fontId="14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8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14" fontId="282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4" fontId="105" fillId="3" borderId="0" xfId="0" applyNumberFormat="1" applyFont="1" applyFill="1" applyAlignment="1">
      <alignment horizontal="center"/>
    </xf>
    <xf numFmtId="14" fontId="283" fillId="33" borderId="0" xfId="0" applyNumberFormat="1" applyFont="1" applyFill="1" applyAlignment="1"/>
    <xf numFmtId="0" fontId="138" fillId="0" borderId="1" xfId="0" applyFont="1" applyBorder="1" applyAlignment="1">
      <alignment horizontal="left" wrapText="1"/>
    </xf>
    <xf numFmtId="0" fontId="94" fillId="0" borderId="1" xfId="0" applyFont="1" applyBorder="1" applyAlignment="1">
      <alignment horizontal="left" vertical="top"/>
    </xf>
    <xf numFmtId="49" fontId="78" fillId="3" borderId="1" xfId="0" applyNumberFormat="1" applyFont="1" applyFill="1" applyBorder="1" applyAlignment="1">
      <alignment horizontal="left"/>
    </xf>
    <xf numFmtId="49" fontId="78" fillId="3" borderId="0" xfId="0" applyNumberFormat="1" applyFont="1" applyFill="1" applyAlignment="1">
      <alignment horizontal="left"/>
    </xf>
    <xf numFmtId="49" fontId="13" fillId="0" borderId="1" xfId="0" applyNumberFormat="1" applyFont="1" applyBorder="1" applyAlignment="1">
      <alignment horizontal="center"/>
    </xf>
    <xf numFmtId="0" fontId="94" fillId="0" borderId="1" xfId="0" applyFont="1" applyBorder="1" applyAlignment="1">
      <alignment horizontal="center"/>
    </xf>
    <xf numFmtId="0" fontId="241" fillId="0" borderId="1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14" fontId="6" fillId="0" borderId="10" xfId="0" applyNumberFormat="1" applyFont="1" applyBorder="1" applyAlignment="1"/>
    <xf numFmtId="0" fontId="6" fillId="0" borderId="1" xfId="0" applyFont="1" applyBorder="1" applyAlignment="1">
      <alignment horizontal="center"/>
    </xf>
    <xf numFmtId="0" fontId="138" fillId="28" borderId="1" xfId="0" applyFont="1" applyFill="1" applyBorder="1" applyAlignment="1">
      <alignment horizontal="center"/>
    </xf>
    <xf numFmtId="0" fontId="176" fillId="0" borderId="1" xfId="0" applyFont="1" applyBorder="1" applyAlignment="1">
      <alignment horizontal="left" wrapText="1"/>
    </xf>
    <xf numFmtId="0" fontId="176" fillId="0" borderId="1" xfId="0" applyFont="1" applyBorder="1" applyAlignment="1">
      <alignment horizontal="center" wrapText="1"/>
    </xf>
    <xf numFmtId="1" fontId="217" fillId="0" borderId="1" xfId="0" applyNumberFormat="1" applyFont="1" applyBorder="1" applyAlignment="1">
      <alignment horizontal="center" wrapText="1"/>
    </xf>
    <xf numFmtId="0" fontId="284" fillId="0" borderId="0" xfId="0" applyFont="1" applyAlignment="1">
      <alignment horizontal="center" wrapText="1"/>
    </xf>
    <xf numFmtId="0" fontId="284" fillId="2" borderId="1" xfId="0" applyFont="1" applyFill="1" applyBorder="1" applyAlignment="1">
      <alignment horizontal="center" wrapText="1"/>
    </xf>
    <xf numFmtId="0" fontId="285" fillId="0" borderId="1" xfId="0" applyFont="1" applyBorder="1" applyAlignment="1">
      <alignment horizontal="center" wrapText="1"/>
    </xf>
    <xf numFmtId="14" fontId="176" fillId="0" borderId="1" xfId="0" applyNumberFormat="1" applyFont="1" applyBorder="1" applyAlignment="1">
      <alignment horizontal="center"/>
    </xf>
    <xf numFmtId="14" fontId="176" fillId="0" borderId="1" xfId="0" applyNumberFormat="1" applyFont="1" applyBorder="1" applyAlignment="1">
      <alignment horizontal="center"/>
    </xf>
    <xf numFmtId="0" fontId="286" fillId="0" borderId="1" xfId="0" applyFont="1" applyBorder="1" applyAlignment="1"/>
    <xf numFmtId="0" fontId="176" fillId="0" borderId="1" xfId="0" applyFont="1" applyBorder="1" applyAlignment="1"/>
    <xf numFmtId="0" fontId="287" fillId="0" borderId="1" xfId="0" applyFont="1" applyBorder="1" applyAlignment="1">
      <alignment horizontal="center" wrapText="1"/>
    </xf>
    <xf numFmtId="0" fontId="53" fillId="0" borderId="1" xfId="0" applyFont="1" applyBorder="1" applyAlignment="1">
      <alignment horizontal="center"/>
    </xf>
    <xf numFmtId="0" fontId="53" fillId="0" borderId="1" xfId="0" applyFont="1" applyBorder="1"/>
    <xf numFmtId="0" fontId="138" fillId="0" borderId="0" xfId="0" applyFont="1"/>
    <xf numFmtId="0" fontId="13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left"/>
    </xf>
    <xf numFmtId="14" fontId="241" fillId="0" borderId="1" xfId="0" applyNumberFormat="1" applyFont="1" applyBorder="1" applyAlignment="1">
      <alignment horizontal="center"/>
    </xf>
    <xf numFmtId="49" fontId="13" fillId="0" borderId="15" xfId="0" applyNumberFormat="1" applyFont="1" applyBorder="1" applyAlignment="1">
      <alignment horizontal="left"/>
    </xf>
    <xf numFmtId="0" fontId="239" fillId="3" borderId="1" xfId="0" applyFont="1" applyFill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10" fillId="0" borderId="0" xfId="0" applyFont="1" applyAlignment="1">
      <alignment horizontal="center" wrapText="1"/>
    </xf>
    <xf numFmtId="0" fontId="288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17" fillId="0" borderId="0" xfId="0" applyFont="1" applyAlignment="1"/>
    <xf numFmtId="0" fontId="6" fillId="30" borderId="1" xfId="0" applyFont="1" applyFill="1" applyBorder="1" applyAlignment="1">
      <alignment horizontal="center" wrapText="1"/>
    </xf>
    <xf numFmtId="49" fontId="78" fillId="30" borderId="1" xfId="0" applyNumberFormat="1" applyFont="1" applyFill="1" applyBorder="1" applyAlignment="1">
      <alignment horizontal="center" wrapText="1"/>
    </xf>
    <xf numFmtId="0" fontId="34" fillId="30" borderId="1" xfId="0" applyFont="1" applyFill="1" applyBorder="1" applyAlignment="1">
      <alignment horizontal="center"/>
    </xf>
    <xf numFmtId="0" fontId="6" fillId="30" borderId="0" xfId="0" applyFont="1" applyFill="1" applyAlignment="1">
      <alignment horizontal="center" wrapText="1"/>
    </xf>
    <xf numFmtId="0" fontId="6" fillId="30" borderId="1" xfId="0" applyFont="1" applyFill="1" applyBorder="1" applyAlignment="1">
      <alignment horizontal="center" wrapText="1"/>
    </xf>
    <xf numFmtId="0" fontId="0" fillId="18" borderId="1" xfId="0" applyFont="1" applyFill="1" applyBorder="1" applyAlignment="1">
      <alignment horizontal="left" wrapText="1"/>
    </xf>
    <xf numFmtId="49" fontId="78" fillId="18" borderId="1" xfId="0" applyNumberFormat="1" applyFont="1" applyFill="1" applyBorder="1" applyAlignment="1">
      <alignment horizontal="center" wrapText="1"/>
    </xf>
    <xf numFmtId="0" fontId="75" fillId="18" borderId="1" xfId="0" applyFont="1" applyFill="1" applyBorder="1" applyAlignment="1">
      <alignment horizontal="center" wrapText="1"/>
    </xf>
    <xf numFmtId="49" fontId="78" fillId="0" borderId="16" xfId="0" applyNumberFormat="1" applyFont="1" applyBorder="1" applyAlignment="1">
      <alignment horizontal="center" wrapText="1"/>
    </xf>
    <xf numFmtId="0" fontId="129" fillId="3" borderId="1" xfId="0" applyFont="1" applyFill="1" applyBorder="1" applyAlignment="1">
      <alignment horizontal="center"/>
    </xf>
    <xf numFmtId="0" fontId="110" fillId="3" borderId="1" xfId="0" applyFont="1" applyFill="1" applyBorder="1" applyAlignment="1">
      <alignment horizontal="center" wrapText="1"/>
    </xf>
    <xf numFmtId="0" fontId="170" fillId="0" borderId="1" xfId="0" applyFont="1" applyBorder="1" applyAlignment="1">
      <alignment horizontal="center" vertical="top" wrapText="1"/>
    </xf>
    <xf numFmtId="49" fontId="78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14" fontId="41" fillId="14" borderId="1" xfId="0" applyNumberFormat="1" applyFont="1" applyFill="1" applyBorder="1" applyAlignment="1">
      <alignment horizontal="center"/>
    </xf>
    <xf numFmtId="0" fontId="289" fillId="14" borderId="1" xfId="0" applyFont="1" applyFill="1" applyBorder="1" applyAlignment="1"/>
    <xf numFmtId="0" fontId="15" fillId="14" borderId="1" xfId="0" applyFont="1" applyFill="1" applyBorder="1" applyAlignment="1">
      <alignment horizontal="center"/>
    </xf>
    <xf numFmtId="0" fontId="237" fillId="0" borderId="1" xfId="0" applyFont="1" applyBorder="1" applyAlignment="1">
      <alignment horizontal="center" wrapText="1"/>
    </xf>
    <xf numFmtId="14" fontId="41" fillId="0" borderId="1" xfId="0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 wrapText="1"/>
    </xf>
    <xf numFmtId="14" fontId="71" fillId="0" borderId="0" xfId="0" applyNumberFormat="1" applyFont="1" applyAlignment="1">
      <alignment horizontal="center"/>
    </xf>
    <xf numFmtId="0" fontId="290" fillId="3" borderId="1" xfId="0" applyFont="1" applyFill="1" applyBorder="1" applyAlignment="1">
      <alignment horizontal="center"/>
    </xf>
    <xf numFmtId="0" fontId="38" fillId="11" borderId="1" xfId="0" applyFont="1" applyFill="1" applyBorder="1" applyAlignment="1">
      <alignment horizontal="center"/>
    </xf>
    <xf numFmtId="14" fontId="291" fillId="0" borderId="1" xfId="0" applyNumberFormat="1" applyFont="1" applyBorder="1" applyAlignment="1">
      <alignment horizontal="center"/>
    </xf>
    <xf numFmtId="14" fontId="95" fillId="0" borderId="1" xfId="0" applyNumberFormat="1" applyFont="1" applyBorder="1" applyAlignment="1">
      <alignment horizontal="center"/>
    </xf>
    <xf numFmtId="0" fontId="135" fillId="3" borderId="1" xfId="0" applyFont="1" applyFill="1" applyBorder="1" applyAlignment="1">
      <alignment horizontal="left"/>
    </xf>
    <xf numFmtId="0" fontId="38" fillId="11" borderId="0" xfId="0" applyFont="1" applyFill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14" fontId="95" fillId="0" borderId="0" xfId="0" applyNumberFormat="1" applyFont="1" applyAlignment="1">
      <alignment horizontal="center"/>
    </xf>
    <xf numFmtId="0" fontId="292" fillId="0" borderId="1" xfId="0" applyFont="1" applyBorder="1" applyAlignment="1">
      <alignment horizontal="center"/>
    </xf>
    <xf numFmtId="49" fontId="110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0" fontId="65" fillId="2" borderId="1" xfId="0" applyFont="1" applyFill="1" applyBorder="1" applyAlignment="1">
      <alignment horizontal="left" wrapText="1"/>
    </xf>
    <xf numFmtId="0" fontId="128" fillId="2" borderId="1" xfId="0" applyFont="1" applyFill="1" applyBorder="1" applyAlignment="1"/>
    <xf numFmtId="1" fontId="37" fillId="0" borderId="1" xfId="0" applyNumberFormat="1" applyFont="1" applyBorder="1" applyAlignment="1">
      <alignment horizontal="center" wrapText="1"/>
    </xf>
    <xf numFmtId="0" fontId="277" fillId="0" borderId="1" xfId="0" applyFont="1" applyBorder="1" applyAlignment="1">
      <alignment horizontal="center"/>
    </xf>
    <xf numFmtId="1" fontId="63" fillId="0" borderId="1" xfId="0" applyNumberFormat="1" applyFont="1" applyBorder="1" applyAlignment="1">
      <alignment horizontal="center"/>
    </xf>
    <xf numFmtId="0" fontId="65" fillId="2" borderId="1" xfId="0" applyFont="1" applyFill="1" applyBorder="1" applyAlignment="1">
      <alignment horizontal="center"/>
    </xf>
    <xf numFmtId="0" fontId="201" fillId="34" borderId="1" xfId="0" applyFont="1" applyFill="1" applyBorder="1" applyAlignment="1">
      <alignment horizontal="left" vertical="top"/>
    </xf>
    <xf numFmtId="0" fontId="6" fillId="0" borderId="10" xfId="0" applyFont="1" applyBorder="1"/>
    <xf numFmtId="0" fontId="129" fillId="0" borderId="1" xfId="0" applyFont="1" applyBorder="1" applyAlignment="1"/>
    <xf numFmtId="0" fontId="6" fillId="0" borderId="1" xfId="0" applyFont="1" applyBorder="1" applyAlignment="1">
      <alignment horizontal="center" wrapText="1"/>
    </xf>
    <xf numFmtId="0" fontId="135" fillId="35" borderId="1" xfId="0" applyFont="1" applyFill="1" applyBorder="1"/>
    <xf numFmtId="1" fontId="63" fillId="0" borderId="1" xfId="0" applyNumberFormat="1" applyFont="1" applyBorder="1" applyAlignment="1">
      <alignment horizontal="center"/>
    </xf>
    <xf numFmtId="1" fontId="63" fillId="0" borderId="1" xfId="0" applyNumberFormat="1" applyFont="1" applyBorder="1" applyAlignment="1">
      <alignment horizontal="center" wrapText="1"/>
    </xf>
    <xf numFmtId="1" fontId="274" fillId="0" borderId="1" xfId="0" applyNumberFormat="1" applyFont="1" applyBorder="1" applyAlignment="1">
      <alignment horizontal="center"/>
    </xf>
    <xf numFmtId="0" fontId="293" fillId="0" borderId="1" xfId="0" applyFont="1" applyBorder="1" applyAlignment="1"/>
    <xf numFmtId="0" fontId="6" fillId="11" borderId="1" xfId="0" applyFont="1" applyFill="1" applyBorder="1" applyAlignment="1">
      <alignment horizontal="center"/>
    </xf>
    <xf numFmtId="0" fontId="129" fillId="0" borderId="1" xfId="0" applyFont="1" applyBorder="1" applyAlignment="1">
      <alignment wrapText="1"/>
    </xf>
    <xf numFmtId="0" fontId="41" fillId="2" borderId="1" xfId="0" applyFont="1" applyFill="1" applyBorder="1" applyAlignment="1">
      <alignment wrapText="1"/>
    </xf>
    <xf numFmtId="0" fontId="294" fillId="0" borderId="0" xfId="0" applyFont="1" applyAlignment="1">
      <alignment wrapText="1"/>
    </xf>
    <xf numFmtId="0" fontId="295" fillId="0" borderId="1" xfId="0" applyFont="1" applyBorder="1" applyAlignment="1">
      <alignment horizontal="center"/>
    </xf>
    <xf numFmtId="14" fontId="79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41" fillId="14" borderId="1" xfId="0" applyFont="1" applyFill="1" applyBorder="1" applyAlignment="1">
      <alignment horizontal="left" wrapText="1"/>
    </xf>
    <xf numFmtId="1" fontId="62" fillId="14" borderId="1" xfId="0" applyNumberFormat="1" applyFont="1" applyFill="1" applyBorder="1" applyAlignment="1">
      <alignment horizontal="center"/>
    </xf>
    <xf numFmtId="0" fontId="6" fillId="14" borderId="1" xfId="0" applyFont="1" applyFill="1" applyBorder="1" applyAlignment="1">
      <alignment wrapText="1"/>
    </xf>
    <xf numFmtId="0" fontId="6" fillId="14" borderId="1" xfId="0" applyFont="1" applyFill="1" applyBorder="1" applyAlignment="1">
      <alignment horizontal="center" wrapText="1"/>
    </xf>
    <xf numFmtId="0" fontId="86" fillId="14" borderId="1" xfId="0" applyFont="1" applyFill="1" applyBorder="1" applyAlignment="1">
      <alignment horizontal="center"/>
    </xf>
    <xf numFmtId="0" fontId="296" fillId="14" borderId="1" xfId="0" applyFont="1" applyFill="1" applyBorder="1" applyAlignment="1"/>
    <xf numFmtId="0" fontId="297" fillId="14" borderId="0" xfId="0" applyFont="1" applyFill="1" applyAlignment="1">
      <alignment wrapText="1"/>
    </xf>
    <xf numFmtId="0" fontId="3" fillId="0" borderId="1" xfId="0" applyFont="1" applyBorder="1" applyAlignment="1">
      <alignment horizontal="center"/>
    </xf>
    <xf numFmtId="49" fontId="255" fillId="0" borderId="1" xfId="0" applyNumberFormat="1" applyFont="1" applyBorder="1" applyAlignment="1">
      <alignment horizontal="left"/>
    </xf>
    <xf numFmtId="1" fontId="25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298" fillId="0" borderId="1" xfId="0" applyFont="1" applyBorder="1" applyAlignment="1">
      <alignment wrapText="1"/>
    </xf>
    <xf numFmtId="0" fontId="215" fillId="0" borderId="1" xfId="0" applyFont="1" applyBorder="1" applyAlignment="1">
      <alignment horizontal="center"/>
    </xf>
    <xf numFmtId="0" fontId="78" fillId="0" borderId="1" xfId="0" applyFont="1" applyBorder="1" applyAlignment="1">
      <alignment horizontal="center"/>
    </xf>
    <xf numFmtId="49" fontId="78" fillId="0" borderId="1" xfId="0" applyNumberFormat="1" applyFont="1" applyBorder="1" applyAlignment="1">
      <alignment horizontal="center"/>
    </xf>
    <xf numFmtId="14" fontId="41" fillId="2" borderId="1" xfId="0" applyNumberFormat="1" applyFont="1" applyFill="1" applyBorder="1" applyAlignment="1">
      <alignment horizontal="center"/>
    </xf>
    <xf numFmtId="49" fontId="37" fillId="0" borderId="1" xfId="0" applyNumberFormat="1" applyFont="1" applyBorder="1" applyAlignment="1">
      <alignment horizontal="center"/>
    </xf>
    <xf numFmtId="0" fontId="41" fillId="0" borderId="1" xfId="0" applyFont="1" applyBorder="1" applyAlignment="1"/>
    <xf numFmtId="0" fontId="41" fillId="0" borderId="1" xfId="0" applyFont="1" applyBorder="1" applyAlignment="1">
      <alignment wrapText="1"/>
    </xf>
    <xf numFmtId="0" fontId="6" fillId="2" borderId="1" xfId="0" applyFont="1" applyFill="1" applyBorder="1" applyAlignment="1"/>
    <xf numFmtId="1" fontId="166" fillId="3" borderId="1" xfId="0" applyNumberFormat="1" applyFont="1" applyFill="1" applyBorder="1" applyAlignment="1">
      <alignment horizontal="center"/>
    </xf>
    <xf numFmtId="0" fontId="128" fillId="0" borderId="1" xfId="0" applyFont="1" applyBorder="1" applyAlignment="1"/>
    <xf numFmtId="1" fontId="63" fillId="18" borderId="1" xfId="0" applyNumberFormat="1" applyFont="1" applyFill="1" applyBorder="1" applyAlignment="1">
      <alignment horizontal="center" wrapText="1"/>
    </xf>
    <xf numFmtId="1" fontId="63" fillId="0" borderId="1" xfId="0" applyNumberFormat="1" applyFont="1" applyBorder="1" applyAlignment="1">
      <alignment horizontal="center" wrapText="1"/>
    </xf>
    <xf numFmtId="0" fontId="38" fillId="2" borderId="1" xfId="0" applyFont="1" applyFill="1" applyBorder="1" applyAlignment="1"/>
    <xf numFmtId="1" fontId="57" fillId="0" borderId="1" xfId="0" applyNumberFormat="1" applyFont="1" applyBorder="1" applyAlignment="1">
      <alignment horizontal="center"/>
    </xf>
    <xf numFmtId="1" fontId="57" fillId="0" borderId="1" xfId="0" applyNumberFormat="1" applyFont="1" applyBorder="1" applyAlignment="1">
      <alignment horizontal="center" vertical="top"/>
    </xf>
    <xf numFmtId="0" fontId="299" fillId="0" borderId="1" xfId="0" applyFont="1" applyBorder="1" applyAlignment="1"/>
    <xf numFmtId="0" fontId="300" fillId="0" borderId="1" xfId="0" applyFont="1" applyBorder="1" applyAlignment="1"/>
    <xf numFmtId="0" fontId="128" fillId="0" borderId="1" xfId="0" applyFont="1" applyBorder="1" applyAlignment="1"/>
    <xf numFmtId="0" fontId="148" fillId="3" borderId="1" xfId="0" applyFont="1" applyFill="1" applyBorder="1" applyAlignment="1">
      <alignment horizontal="center"/>
    </xf>
    <xf numFmtId="0" fontId="12" fillId="0" borderId="1" xfId="0" applyFont="1" applyBorder="1" applyAlignment="1"/>
    <xf numFmtId="49" fontId="148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/>
    <xf numFmtId="0" fontId="6" fillId="21" borderId="23" xfId="0" applyFont="1" applyFill="1" applyBorder="1" applyAlignment="1">
      <alignment horizontal="center" wrapText="1"/>
    </xf>
    <xf numFmtId="0" fontId="6" fillId="21" borderId="0" xfId="0" applyFont="1" applyFill="1" applyAlignment="1">
      <alignment horizontal="center" wrapText="1"/>
    </xf>
    <xf numFmtId="1" fontId="100" fillId="3" borderId="1" xfId="0" applyNumberFormat="1" applyFont="1" applyFill="1" applyBorder="1" applyAlignment="1">
      <alignment horizontal="center"/>
    </xf>
    <xf numFmtId="14" fontId="6" fillId="0" borderId="1" xfId="0" applyNumberFormat="1" applyFont="1" applyBorder="1"/>
    <xf numFmtId="1" fontId="41" fillId="0" borderId="16" xfId="0" applyNumberFormat="1" applyFont="1" applyBorder="1" applyAlignment="1">
      <alignment horizontal="center" wrapText="1"/>
    </xf>
    <xf numFmtId="1" fontId="100" fillId="3" borderId="0" xfId="0" applyNumberFormat="1" applyFont="1" applyFill="1" applyAlignment="1">
      <alignment horizontal="center"/>
    </xf>
    <xf numFmtId="0" fontId="201" fillId="3" borderId="1" xfId="0" applyFont="1" applyFill="1" applyBorder="1" applyAlignment="1">
      <alignment horizontal="center"/>
    </xf>
    <xf numFmtId="0" fontId="6" fillId="36" borderId="1" xfId="0" applyFont="1" applyFill="1" applyBorder="1" applyAlignment="1">
      <alignment horizontal="center" wrapText="1"/>
    </xf>
    <xf numFmtId="1" fontId="41" fillId="26" borderId="1" xfId="0" applyNumberFormat="1" applyFont="1" applyFill="1" applyBorder="1" applyAlignment="1">
      <alignment horizontal="center"/>
    </xf>
    <xf numFmtId="0" fontId="6" fillId="26" borderId="1" xfId="0" applyFont="1" applyFill="1" applyBorder="1" applyAlignment="1">
      <alignment horizontal="center" wrapText="1"/>
    </xf>
    <xf numFmtId="14" fontId="41" fillId="26" borderId="1" xfId="0" applyNumberFormat="1" applyFont="1" applyFill="1" applyBorder="1" applyAlignment="1">
      <alignment horizontal="center"/>
    </xf>
    <xf numFmtId="0" fontId="6" fillId="26" borderId="1" xfId="0" applyFont="1" applyFill="1" applyBorder="1" applyAlignment="1"/>
    <xf numFmtId="0" fontId="6" fillId="26" borderId="1" xfId="0" applyFont="1" applyFill="1" applyBorder="1" applyAlignment="1"/>
    <xf numFmtId="0" fontId="301" fillId="26" borderId="1" xfId="0" applyFont="1" applyFill="1" applyBorder="1" applyAlignment="1"/>
    <xf numFmtId="0" fontId="6" fillId="27" borderId="1" xfId="0" applyFont="1" applyFill="1" applyBorder="1" applyAlignment="1"/>
    <xf numFmtId="0" fontId="6" fillId="27" borderId="1" xfId="0" applyFont="1" applyFill="1" applyBorder="1"/>
    <xf numFmtId="0" fontId="6" fillId="27" borderId="1" xfId="0" applyFont="1" applyFill="1" applyBorder="1" applyAlignment="1">
      <alignment horizontal="center"/>
    </xf>
    <xf numFmtId="49" fontId="34" fillId="0" borderId="0" xfId="0" applyNumberFormat="1" applyFont="1" applyAlignment="1">
      <alignment horizontal="center"/>
    </xf>
    <xf numFmtId="1" fontId="41" fillId="0" borderId="1" xfId="0" applyNumberFormat="1" applyFont="1" applyBorder="1" applyAlignment="1">
      <alignment horizontal="center"/>
    </xf>
    <xf numFmtId="0" fontId="302" fillId="0" borderId="0" xfId="0" applyFont="1" applyAlignment="1"/>
    <xf numFmtId="0" fontId="303" fillId="0" borderId="0" xfId="0" applyFont="1" applyAlignment="1"/>
    <xf numFmtId="14" fontId="17" fillId="0" borderId="0" xfId="0" applyNumberFormat="1" applyFont="1" applyAlignment="1">
      <alignment horizontal="center"/>
    </xf>
    <xf numFmtId="0" fontId="304" fillId="3" borderId="0" xfId="0" applyFont="1" applyFill="1" applyAlignment="1">
      <alignment horizontal="center"/>
    </xf>
    <xf numFmtId="14" fontId="255" fillId="3" borderId="1" xfId="0" applyNumberFormat="1" applyFont="1" applyFill="1" applyBorder="1" applyAlignment="1">
      <alignment horizontal="center"/>
    </xf>
    <xf numFmtId="164" fontId="255" fillId="0" borderId="1" xfId="0" applyNumberFormat="1" applyFont="1" applyBorder="1" applyAlignment="1">
      <alignment horizontal="center"/>
    </xf>
    <xf numFmtId="0" fontId="41" fillId="24" borderId="24" xfId="0" applyFont="1" applyFill="1" applyBorder="1" applyAlignment="1">
      <alignment horizontal="center"/>
    </xf>
    <xf numFmtId="14" fontId="6" fillId="14" borderId="1" xfId="0" applyNumberFormat="1" applyFont="1" applyFill="1" applyBorder="1" applyAlignment="1">
      <alignment horizontal="center"/>
    </xf>
    <xf numFmtId="49" fontId="41" fillId="0" borderId="1" xfId="0" applyNumberFormat="1" applyFont="1" applyBorder="1" applyAlignment="1">
      <alignment horizontal="center"/>
    </xf>
    <xf numFmtId="14" fontId="6" fillId="0" borderId="0" xfId="0" applyNumberFormat="1" applyFont="1"/>
    <xf numFmtId="49" fontId="41" fillId="0" borderId="0" xfId="0" applyNumberFormat="1" applyFont="1" applyAlignment="1">
      <alignment horizontal="center"/>
    </xf>
    <xf numFmtId="0" fontId="237" fillId="3" borderId="1" xfId="0" applyFont="1" applyFill="1" applyBorder="1" applyAlignment="1">
      <alignment horizontal="center"/>
    </xf>
    <xf numFmtId="49" fontId="148" fillId="0" borderId="1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48" fillId="0" borderId="0" xfId="0" applyFont="1" applyAlignment="1">
      <alignment horizontal="center"/>
    </xf>
    <xf numFmtId="0" fontId="63" fillId="0" borderId="8" xfId="0" applyFont="1" applyBorder="1" applyAlignment="1">
      <alignment horizontal="center"/>
    </xf>
    <xf numFmtId="49" fontId="41" fillId="0" borderId="0" xfId="0" applyNumberFormat="1" applyFont="1" applyAlignment="1">
      <alignment horizontal="center"/>
    </xf>
    <xf numFmtId="0" fontId="34" fillId="0" borderId="10" xfId="0" applyFont="1" applyBorder="1" applyAlignment="1">
      <alignment horizontal="center" vertical="top"/>
    </xf>
    <xf numFmtId="0" fontId="58" fillId="0" borderId="1" xfId="0" applyFont="1" applyBorder="1" applyAlignment="1"/>
    <xf numFmtId="0" fontId="110" fillId="0" borderId="0" xfId="0" applyFont="1" applyAlignment="1">
      <alignment horizontal="center"/>
    </xf>
    <xf numFmtId="0" fontId="148" fillId="2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8" fillId="3" borderId="22" xfId="0" applyFont="1" applyFill="1" applyBorder="1" applyAlignment="1">
      <alignment horizontal="center" wrapText="1"/>
    </xf>
    <xf numFmtId="0" fontId="138" fillId="3" borderId="1" xfId="0" applyFont="1" applyFill="1" applyBorder="1" applyAlignment="1">
      <alignment horizontal="left" wrapText="1"/>
    </xf>
    <xf numFmtId="0" fontId="138" fillId="3" borderId="1" xfId="0" applyFont="1" applyFill="1" applyBorder="1" applyAlignment="1">
      <alignment horizontal="center" wrapText="1"/>
    </xf>
    <xf numFmtId="1" fontId="138" fillId="3" borderId="1" xfId="0" applyNumberFormat="1" applyFont="1" applyFill="1" applyBorder="1" applyAlignment="1">
      <alignment horizontal="center"/>
    </xf>
    <xf numFmtId="0" fontId="138" fillId="3" borderId="1" xfId="0" applyFont="1" applyFill="1" applyBorder="1" applyAlignment="1">
      <alignment horizontal="center" wrapText="1"/>
    </xf>
    <xf numFmtId="0" fontId="53" fillId="3" borderId="1" xfId="0" applyFont="1" applyFill="1" applyBorder="1" applyAlignment="1">
      <alignment horizontal="center"/>
    </xf>
    <xf numFmtId="14" fontId="138" fillId="3" borderId="1" xfId="0" applyNumberFormat="1" applyFont="1" applyFill="1" applyBorder="1" applyAlignment="1">
      <alignment horizontal="center"/>
    </xf>
    <xf numFmtId="14" fontId="138" fillId="3" borderId="1" xfId="0" applyNumberFormat="1" applyFont="1" applyFill="1" applyBorder="1" applyAlignment="1">
      <alignment horizontal="center"/>
    </xf>
    <xf numFmtId="0" fontId="53" fillId="3" borderId="1" xfId="0" applyFont="1" applyFill="1" applyBorder="1"/>
    <xf numFmtId="0" fontId="138" fillId="3" borderId="1" xfId="0" applyFont="1" applyFill="1" applyBorder="1" applyAlignment="1"/>
    <xf numFmtId="0" fontId="138" fillId="3" borderId="1" xfId="0" applyFont="1" applyFill="1" applyBorder="1" applyAlignment="1"/>
    <xf numFmtId="0" fontId="138" fillId="3" borderId="1" xfId="0" applyFont="1" applyFill="1" applyBorder="1"/>
    <xf numFmtId="0" fontId="138" fillId="3" borderId="0" xfId="0" applyFont="1" applyFill="1"/>
    <xf numFmtId="0" fontId="305" fillId="3" borderId="1" xfId="0" applyFont="1" applyFill="1" applyBorder="1" applyAlignment="1">
      <alignment horizontal="center"/>
    </xf>
    <xf numFmtId="0" fontId="53" fillId="3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Font="1" applyAlignment="1"/>
    <xf numFmtId="0" fontId="5" fillId="0" borderId="8" xfId="0" applyFont="1" applyBorder="1" applyAlignment="1">
      <alignment horizontal="left" wrapText="1"/>
    </xf>
    <xf numFmtId="0" fontId="23" fillId="0" borderId="9" xfId="0" applyFont="1" applyBorder="1"/>
    <xf numFmtId="0" fontId="23" fillId="0" borderId="10" xfId="0" applyFont="1" applyBorder="1"/>
    <xf numFmtId="0" fontId="28" fillId="3" borderId="8" xfId="0" applyFont="1" applyFill="1" applyBorder="1" applyAlignment="1">
      <alignment horizont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4075"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2">
    <tableStyle name="SUMMARY-style" pivot="0" count="5">
      <tableStyleElement type="wholeTable" size="0" dxfId="4070"/>
      <tableStyleElement type="headerRow" dxfId="4074"/>
      <tableStyleElement type="totalRow" dxfId="4071"/>
      <tableStyleElement type="firstRowStripe" dxfId="4073"/>
      <tableStyleElement type="secondRowStripe" dxfId="4072"/>
    </tableStyle>
    <tableStyle name="SUMMARY-style 2" pivot="0" count="5">
      <tableStyleElement type="wholeTable" size="0" dxfId="4065"/>
      <tableStyleElement type="headerRow" dxfId="4069"/>
      <tableStyleElement type="totalRow" dxfId="4066"/>
      <tableStyleElement type="firstRowStripe" dxfId="4068"/>
      <tableStyleElement type="secondRowStripe" dxfId="4067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STAFF_POSITION" displayName="STAFF_POSITION" ref="O3:W10" totalsRowCount="1">
  <tableColumns count="9">
    <tableColumn id="1" name="Category" totalsRowLabel="Total"/>
    <tableColumn id="2" name="North" totalsRowFunction="custom">
      <totalsRowFormula>SUM(B9,B25,B35)</totalsRowFormula>
    </tableColumn>
    <tableColumn id="3" name="South" totalsRowFunction="custom">
      <totalsRowFormula>SUM(C9,C25,C35)</totalsRowFormula>
    </tableColumn>
    <tableColumn id="4" name="KOAA" totalsRowFunction="custom">
      <totalsRowFormula>SUM(D9,D25,D35)</totalsRowFormula>
    </tableColumn>
    <tableColumn id="5" name="DDJ+KRP" totalsRowFunction="custom">
      <totalsRowFormula>SUM(E9,E25,E35)</totalsRowFormula>
    </tableColumn>
    <tableColumn id="6" name="NH" totalsRowFunction="custom">
      <totalsRowFormula>SUM(F9,F25,F35)</totalsRowFormula>
    </tableColumn>
    <tableColumn id="7" name="BT" totalsRowFunction="custom">
      <totalsRowFormula>SUM(G9,G25,G35)</totalsRowFormula>
    </tableColumn>
    <tableColumn id="8" name="RHA" totalsRowFunction="custom">
      <totalsRowFormula>SUM(H9,H25,H35)</totalsRowFormula>
    </tableColumn>
    <tableColumn id="9" name="Total" totalsRowFunction="custom">
      <totalsRowFormula>SUM(P10:V10)</totalsRowFormula>
    </tableColumn>
  </tableColumns>
  <tableStyleInfo name="SUMMARY-style" showFirstColumn="1" showLastColumn="1" showRowStripes="1" showColumnStripes="0"/>
</table>
</file>

<file path=xl/tables/table2.xml><?xml version="1.0" encoding="utf-8"?>
<table xmlns="http://schemas.openxmlformats.org/spreadsheetml/2006/main" id="2" name="LADY_RUNNING_STAFF" displayName="LADY_RUNNING_STAFF" ref="O15:V23" totalsRowCount="1">
  <tableColumns count="8">
    <tableColumn id="1" name="lobby" totalsRowLabel="Total"/>
    <tableColumn id="2" name="LPM" totalsRowFunction="custom">
      <totalsRowFormula>SUM(P16:P22)</totalsRowFormula>
    </tableColumn>
    <tableColumn id="3" name="LPP(L)" totalsRowFunction="custom">
      <totalsRowFormula>SUM(Q16:Q22)</totalsRowFormula>
    </tableColumn>
    <tableColumn id="4" name="MOTORMAN" totalsRowFunction="custom">
      <totalsRowFormula>SUM(R16:R22)</totalsRowFormula>
    </tableColumn>
    <tableColumn id="5" name="LPG" totalsRowFunction="custom">
      <totalsRowFormula>SUM(S16:S22)</totalsRowFormula>
    </tableColumn>
    <tableColumn id="6" name="LPS" totalsRowFunction="custom">
      <totalsRowFormula>SUM(T16:T22)</totalsRowFormula>
    </tableColumn>
    <tableColumn id="7" name="ALP" totalsRowFunction="custom">
      <totalsRowFormula>SUM(U16:U22)</totalsRowFormula>
    </tableColumn>
    <tableColumn id="8" name="Total" totalsRowFunction="custom">
      <totalsRowFormula>SUM(V16:V22)</totalsRowFormula>
    </tableColumn>
  </tableColumns>
  <tableStyleInfo name="SUMMAR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docs.google.com/spreadsheets/d/14bLgpV-mLjdR8grF44xNiGQu_-TJh4EGNWIxttFd9_A/edit?usp=sharing" TargetMode="External"/><Relationship Id="rId1" Type="http://schemas.openxmlformats.org/officeDocument/2006/relationships/hyperlink" Target="https://docs.google.com/spreadsheets/d/1p53P7R4iR_RZM8DbmJhX9kd47T4xPR9ByN6rXBHMUvY/edit?usp=sharing" TargetMode="Externa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YQ_1d3YB7kJ3ynPjdbtPQMrUuR02zJf1/view?usp=sharing" TargetMode="External"/><Relationship Id="rId18" Type="http://schemas.openxmlformats.org/officeDocument/2006/relationships/hyperlink" Target="https://drive.google.com/file/d/1SXFOedYMtZXapMlgiB-HNSwuGiU9MTNc/view?usp=sharing" TargetMode="External"/><Relationship Id="rId26" Type="http://schemas.openxmlformats.org/officeDocument/2006/relationships/hyperlink" Target="https://drive.google.com/file/d/1LPGion-VFSDQSago4KEFc3GBTElgS10v/view?usp=sharing" TargetMode="External"/><Relationship Id="rId39" Type="http://schemas.openxmlformats.org/officeDocument/2006/relationships/hyperlink" Target="https://drive.google.com/file/d/1otP4Cg6IPCLK27BthYxw7m2O4lk2hy1a/view?usp=sharing" TargetMode="External"/><Relationship Id="rId21" Type="http://schemas.openxmlformats.org/officeDocument/2006/relationships/hyperlink" Target="https://drive.google.com/file/d/1g-islwsu30iIMPRf4EobOLdDmBa6kU0w/view?usp=sharing" TargetMode="External"/><Relationship Id="rId34" Type="http://schemas.openxmlformats.org/officeDocument/2006/relationships/hyperlink" Target="https://drive.google.com/file/d/1e_5FOXDesQKGRTJBnwM0S5swR0ljkYgR/view?usp=sharing" TargetMode="External"/><Relationship Id="rId42" Type="http://schemas.openxmlformats.org/officeDocument/2006/relationships/hyperlink" Target="https://drive.google.com/file/d/1MMrFsvS16g1jQ1xMiMtcbrpNCsE3hoWK/view?usp=sharing" TargetMode="External"/><Relationship Id="rId47" Type="http://schemas.openxmlformats.org/officeDocument/2006/relationships/hyperlink" Target="https://drive.google.com/file/d/1gJLR1yS2XUnPh--Su-XTvrBwd5mCZfR-/view?usp=sharing" TargetMode="External"/><Relationship Id="rId50" Type="http://schemas.openxmlformats.org/officeDocument/2006/relationships/hyperlink" Target="https://drive.google.com/file/d/124BePkzQHan_gfhwL7-kegRj2srxYHJD/view?usp=sharing" TargetMode="External"/><Relationship Id="rId55" Type="http://schemas.openxmlformats.org/officeDocument/2006/relationships/hyperlink" Target="https://drive.google.com/file/d/1tUXybUyGYcEca246h0tTie_SdJjgYZCQ/view?usp=sharing" TargetMode="External"/><Relationship Id="rId63" Type="http://schemas.openxmlformats.org/officeDocument/2006/relationships/hyperlink" Target="https://drive.google.com/file/d/1o1EpbrVIPVdUPde_i3l1CwzL3bgBLwaq/view?usp=sharing" TargetMode="External"/><Relationship Id="rId68" Type="http://schemas.openxmlformats.org/officeDocument/2006/relationships/hyperlink" Target="https://drive.google.com/file/d/1heROVuQ2__ljZOs2ovIixIGOT8dHPPdI/view?usp=sharing" TargetMode="External"/><Relationship Id="rId76" Type="http://schemas.openxmlformats.org/officeDocument/2006/relationships/hyperlink" Target="https://drive.google.com/file/d/1ZOzEeOj5OPDxypVWHHf33fjZfjvFwu8K/view?usp=sharing" TargetMode="External"/><Relationship Id="rId7" Type="http://schemas.openxmlformats.org/officeDocument/2006/relationships/hyperlink" Target="https://drive.google.com/file/d/144e7WRg1Yhghu4Z10zPXxpP49NsJAuYY/view?usp=sharing" TargetMode="External"/><Relationship Id="rId71" Type="http://schemas.openxmlformats.org/officeDocument/2006/relationships/hyperlink" Target="https://drive.google.com/file/d/1aNlchrdNc6fasUt6vKOAl74z9PgC_kMx/view?usp=sharing" TargetMode="External"/><Relationship Id="rId2" Type="http://schemas.openxmlformats.org/officeDocument/2006/relationships/hyperlink" Target="https://drive.google.com/file/d/110E-fNjZwaGbS-NV-lKt1MdjeBpN5kzu/view?usp=sharing" TargetMode="External"/><Relationship Id="rId16" Type="http://schemas.openxmlformats.org/officeDocument/2006/relationships/hyperlink" Target="https://drive.google.com/file/d/1CcRzL6LEqemenEISWbPwLWbcDHFHtBe-/view?usp=share_link" TargetMode="External"/><Relationship Id="rId29" Type="http://schemas.openxmlformats.org/officeDocument/2006/relationships/hyperlink" Target="https://drive.google.com/file/d/1RAv8_sp1xSd2RiF-R6dF1TyUL_FLG1WV/view?usp=sharing" TargetMode="External"/><Relationship Id="rId11" Type="http://schemas.openxmlformats.org/officeDocument/2006/relationships/hyperlink" Target="https://drive.google.com/file/d/1IDBHkdlEpiMz1hC1r4TXGC3iB0el9LQW/view?usp=share_link" TargetMode="External"/><Relationship Id="rId24" Type="http://schemas.openxmlformats.org/officeDocument/2006/relationships/hyperlink" Target="https://drive.google.com/file/d/16Xw4BqDsjt16t9W8iWzWGOUpy0Vo57B7/view?usp=sharing" TargetMode="External"/><Relationship Id="rId32" Type="http://schemas.openxmlformats.org/officeDocument/2006/relationships/hyperlink" Target="https://drive.google.com/file/d/1DkG-MqbcL3ylbUjG55cq8gUojcmsVR3p/view?usp=sharing" TargetMode="External"/><Relationship Id="rId37" Type="http://schemas.openxmlformats.org/officeDocument/2006/relationships/hyperlink" Target="https://drive.google.com/file/d/17m1h9u4PZAeLaUSsHolFemiChIL_OcGr/view?usp=sharing" TargetMode="External"/><Relationship Id="rId40" Type="http://schemas.openxmlformats.org/officeDocument/2006/relationships/hyperlink" Target="https://drive.google.com/file/d/13JBNNdr1skX1dFEOA6nuTMS5aPlZjf3T/view?usp=sharing" TargetMode="External"/><Relationship Id="rId45" Type="http://schemas.openxmlformats.org/officeDocument/2006/relationships/hyperlink" Target="https://drive.google.com/file/d/1qf2rnvtYOPkHfX30gHMuUbarnPbvwP8z/view?usp=sharing" TargetMode="External"/><Relationship Id="rId53" Type="http://schemas.openxmlformats.org/officeDocument/2006/relationships/hyperlink" Target="https://drive.google.com/file/d/1L_IpymWh8mla1dPGNMssqbh1TyOBzUe5/view?usp=sharing" TargetMode="External"/><Relationship Id="rId58" Type="http://schemas.openxmlformats.org/officeDocument/2006/relationships/hyperlink" Target="https://drive.google.com/file/d/1bWQflfyfQvVyYJco9xe98xZsGhWYOPaS/view?usp=sharing" TargetMode="External"/><Relationship Id="rId66" Type="http://schemas.openxmlformats.org/officeDocument/2006/relationships/hyperlink" Target="https://drive.google.com/file/d/1Rln8lHZOjOCD8FNbE8Qeu_QwPqQ-osD4/view?usp=share_link" TargetMode="External"/><Relationship Id="rId74" Type="http://schemas.openxmlformats.org/officeDocument/2006/relationships/hyperlink" Target="https://drive.google.com/file/d/1DZtqWg9sXKNqqjvUrwuKl_2MRL6KTTnq/view?usp=sharing" TargetMode="External"/><Relationship Id="rId79" Type="http://schemas.openxmlformats.org/officeDocument/2006/relationships/hyperlink" Target="https://drive.google.com/file/d/1FYVw087SyaM-W9MRTXDxg7upfwvQYhGp/view?usp=sharing" TargetMode="External"/><Relationship Id="rId5" Type="http://schemas.openxmlformats.org/officeDocument/2006/relationships/hyperlink" Target="https://drive.google.com/file/d/127titRODuaORqzkO3ghZwDKMUPSYEhuI/view?usp=sharing" TargetMode="External"/><Relationship Id="rId61" Type="http://schemas.openxmlformats.org/officeDocument/2006/relationships/hyperlink" Target="https://drive.google.com/file/d/15iU8T4DTZDhd5C5Sg2-HOyoQrvkAUziV/view?usp=sharing" TargetMode="External"/><Relationship Id="rId10" Type="http://schemas.openxmlformats.org/officeDocument/2006/relationships/hyperlink" Target="https://drive.google.com/file/d/1uRYUwL-0TkyRbVvx7my7J2JDVRblUHr_/view?usp=sharing" TargetMode="External"/><Relationship Id="rId19" Type="http://schemas.openxmlformats.org/officeDocument/2006/relationships/hyperlink" Target="https://drive.google.com/file/d/13pTX6Y7z-xPCRoH-Rxpt_Fb7newVOsp8/view?usp=sharing" TargetMode="External"/><Relationship Id="rId31" Type="http://schemas.openxmlformats.org/officeDocument/2006/relationships/hyperlink" Target="https://drive.google.com/file/d/1djK0OmEdvXswTKLJrXrubpAQKwAWElCF/view?usp=sharing" TargetMode="External"/><Relationship Id="rId44" Type="http://schemas.openxmlformats.org/officeDocument/2006/relationships/hyperlink" Target="https://drive.google.com/file/d/1TWexNPV3jlgX4DkaWlHg_mT6cwQnqEjt/view?usp=sharing" TargetMode="External"/><Relationship Id="rId52" Type="http://schemas.openxmlformats.org/officeDocument/2006/relationships/hyperlink" Target="https://drive.google.com/file/d/1jonoL6UWbpDKuHwggKh7MaY9GA0CYvvf/view?usp=sharing" TargetMode="External"/><Relationship Id="rId60" Type="http://schemas.openxmlformats.org/officeDocument/2006/relationships/hyperlink" Target="https://drive.google.com/file/d/1g5VZ5m0bndSD0stCWbzMQJxXxr0CBHui/view?usp=sharing" TargetMode="External"/><Relationship Id="rId65" Type="http://schemas.openxmlformats.org/officeDocument/2006/relationships/hyperlink" Target="https://drive.google.com/file/d/14t4Bp0pLoZ0LcyFpTd0PeCzFkRSXcxLG/view?usp=sharing" TargetMode="External"/><Relationship Id="rId73" Type="http://schemas.openxmlformats.org/officeDocument/2006/relationships/hyperlink" Target="https://drive.google.com/file/d/1v0mExSOMUU3aeQiXBIPxCeryARh9PCfy/view?usp=sharing" TargetMode="External"/><Relationship Id="rId78" Type="http://schemas.openxmlformats.org/officeDocument/2006/relationships/hyperlink" Target="https://drive.google.com/file/d/10GXzH3moWgZo0P6p6ZnISfpNNJqHSUet/view?usp=sharing" TargetMode="External"/><Relationship Id="rId4" Type="http://schemas.openxmlformats.org/officeDocument/2006/relationships/hyperlink" Target="https://drive.google.com/file/d/1m4yS_qgVy-hZdfRCSMXsHUr_0NqkP-Fr/view?usp=sharing" TargetMode="External"/><Relationship Id="rId9" Type="http://schemas.openxmlformats.org/officeDocument/2006/relationships/hyperlink" Target="https://drive.google.com/file/d/1tJ6faHZGva9DDrzMe9zHm50ie0JKOIFE/view?usp=sharing" TargetMode="External"/><Relationship Id="rId14" Type="http://schemas.openxmlformats.org/officeDocument/2006/relationships/hyperlink" Target="https://drive.google.com/file/d/1YsVH0L8D2LlahB0BWnZ3X0nKMhvafFpZ/view?usp=sharing" TargetMode="External"/><Relationship Id="rId22" Type="http://schemas.openxmlformats.org/officeDocument/2006/relationships/hyperlink" Target="https://drive.google.com/file/d/1rgmD_mp4gYj36EcI-N-BVSXdrW00Y5iC/view?usp=sharing" TargetMode="External"/><Relationship Id="rId27" Type="http://schemas.openxmlformats.org/officeDocument/2006/relationships/hyperlink" Target="https://drive.google.com/file/d/1HbwrPf3ed3qrnZ_NcrGSVd43lac1xOGw/view?usp=sharing" TargetMode="External"/><Relationship Id="rId30" Type="http://schemas.openxmlformats.org/officeDocument/2006/relationships/hyperlink" Target="https://drive.google.com/file/d/1xX9okSmKqo1uqM6GGriYuvhaI-ViVa61/view?usp=sharing" TargetMode="External"/><Relationship Id="rId35" Type="http://schemas.openxmlformats.org/officeDocument/2006/relationships/hyperlink" Target="https://drive.google.com/file/d/1f6swmEFtnAP6V9b6uh4iMC1kWHWxlRgf/view?usp=sharing" TargetMode="External"/><Relationship Id="rId43" Type="http://schemas.openxmlformats.org/officeDocument/2006/relationships/hyperlink" Target="https://drive.google.com/file/d/1SZFh_AoJK7M0GRYUq779ouSIc95LJR-A/view?usp=sharing" TargetMode="External"/><Relationship Id="rId48" Type="http://schemas.openxmlformats.org/officeDocument/2006/relationships/hyperlink" Target="https://drive.google.com/file/d/1WuVS49kvKZx62Ol2_iaWQKNaX2wpT1o6/view?usp=sharing" TargetMode="External"/><Relationship Id="rId56" Type="http://schemas.openxmlformats.org/officeDocument/2006/relationships/hyperlink" Target="https://drive.google.com/file/d/1NQQYnmYID8Zlpz0Yndxqe59zIFUe8-Ss/view?usp=sharing" TargetMode="External"/><Relationship Id="rId64" Type="http://schemas.openxmlformats.org/officeDocument/2006/relationships/hyperlink" Target="https://drive.google.com/file/d/1iEyCNmLuoMmv6OpiFe6U6cGxxcZzBt3-/view?usp=drive_link" TargetMode="External"/><Relationship Id="rId69" Type="http://schemas.openxmlformats.org/officeDocument/2006/relationships/hyperlink" Target="https://drive.google.com/file/d/1K2Csw2qcUupR1IiBnMS77PdyeK1W74oO/view?usp=sharing" TargetMode="External"/><Relationship Id="rId77" Type="http://schemas.openxmlformats.org/officeDocument/2006/relationships/hyperlink" Target="https://drive.google.com/file/d/1iCRkCMlN8phsq4osFz9n6TKx5VTPPAKy/view?usp=sharing" TargetMode="External"/><Relationship Id="rId8" Type="http://schemas.openxmlformats.org/officeDocument/2006/relationships/hyperlink" Target="https://drive.google.com/file/d/1tJ6faHZGva9DDrzMe9zHm50ie0JKOIFE/view?usp=sharing" TargetMode="External"/><Relationship Id="rId51" Type="http://schemas.openxmlformats.org/officeDocument/2006/relationships/hyperlink" Target="https://drive.google.com/file/d/1_4PgWuXa4SbAIjYFZKF3LeFQ6JLDAx_O/view?usp=sharing" TargetMode="External"/><Relationship Id="rId72" Type="http://schemas.openxmlformats.org/officeDocument/2006/relationships/hyperlink" Target="https://drive.google.com/file/d/1Hy1LgjHX7zWNvxwixR_Vtw9zDeDMVUTk/view?usp=sharing" TargetMode="External"/><Relationship Id="rId3" Type="http://schemas.openxmlformats.org/officeDocument/2006/relationships/hyperlink" Target="https://drive.google.com/file/d/1VNbafGCqICnnRmuGE96d806Wo_KTR-DE/view?usp=sharing" TargetMode="External"/><Relationship Id="rId12" Type="http://schemas.openxmlformats.org/officeDocument/2006/relationships/hyperlink" Target="https://drive.google.com/file/d/1YQ_1d3YB7kJ3ynPjdbtPQMrUuR02zJf1/view?usp=sharing" TargetMode="External"/><Relationship Id="rId17" Type="http://schemas.openxmlformats.org/officeDocument/2006/relationships/hyperlink" Target="https://drive.google.com/file/d/1SXFOedYMtZXapMlgiB-HNSwuGiU9MTNc/view?usp=sharing" TargetMode="External"/><Relationship Id="rId25" Type="http://schemas.openxmlformats.org/officeDocument/2006/relationships/hyperlink" Target="https://drive.google.com/file/d/1SxTv3HN5JldaPOsIPGjwFp3KAWUlKbQC/view?usp=sharing" TargetMode="External"/><Relationship Id="rId33" Type="http://schemas.openxmlformats.org/officeDocument/2006/relationships/hyperlink" Target="https://drive.google.com/file/d/1WRdIpxX0Bs-ipoI8TfMhhEGADPoOGNhG/view?usp=sharing" TargetMode="External"/><Relationship Id="rId38" Type="http://schemas.openxmlformats.org/officeDocument/2006/relationships/hyperlink" Target="https://drive.google.com/file/d/1vaxocpBNHc-HbwAzJnRSw28-eqIY2cR7/view?usp=sharing" TargetMode="External"/><Relationship Id="rId46" Type="http://schemas.openxmlformats.org/officeDocument/2006/relationships/hyperlink" Target="https://drive.google.com/file/d/1lAFUYFUBtC5TrRml9ejfIcn4IcTZUV_F/view?usp=sharing" TargetMode="External"/><Relationship Id="rId59" Type="http://schemas.openxmlformats.org/officeDocument/2006/relationships/hyperlink" Target="https://drive.google.com/file/d/17-d1Zm_pbBJzzD9YNTdfWtbB-u_t9rfn/view?usp=share_link" TargetMode="External"/><Relationship Id="rId67" Type="http://schemas.openxmlformats.org/officeDocument/2006/relationships/hyperlink" Target="https://drive.google.com/file/d/1wlaTnjFuGXM5GMRViu2qaMc63-z9HR1-/view?usp=sharing" TargetMode="External"/><Relationship Id="rId20" Type="http://schemas.openxmlformats.org/officeDocument/2006/relationships/hyperlink" Target="https://drive.google.com/file/d/1t5cgk_yOowfT9DimkjHK5jJH498lD0qI/view?usp=sharing" TargetMode="External"/><Relationship Id="rId41" Type="http://schemas.openxmlformats.org/officeDocument/2006/relationships/hyperlink" Target="https://drive.google.com/file/d/1Ssiz5znj8ov9NMo68bOEyH9CkNibyDuW/view?usp=sharing" TargetMode="External"/><Relationship Id="rId54" Type="http://schemas.openxmlformats.org/officeDocument/2006/relationships/hyperlink" Target="https://drive.google.com/file/d/1-jPPPz53_Fx8qYDkn4rDyOmD72WCiBBJ/view?usp=sharing" TargetMode="External"/><Relationship Id="rId62" Type="http://schemas.openxmlformats.org/officeDocument/2006/relationships/hyperlink" Target="https://drive.google.com/file/d/1UhO7hCVpDA219F0ncb9uTPLWKOeTqMDv/view?usp=share_link" TargetMode="External"/><Relationship Id="rId70" Type="http://schemas.openxmlformats.org/officeDocument/2006/relationships/hyperlink" Target="https://drive.google.com/file/d/1RUrjjn4KFBklZ8kSuPFdLM3u9QECuPeB/view?usp=sharing" TargetMode="External"/><Relationship Id="rId75" Type="http://schemas.openxmlformats.org/officeDocument/2006/relationships/hyperlink" Target="https://drive.google.com/file/d/1MVxKoeg_J66UViyXu7X9HkORPoI8s7CO/view?usp=sharing" TargetMode="External"/><Relationship Id="rId1" Type="http://schemas.openxmlformats.org/officeDocument/2006/relationships/hyperlink" Target="https://drive.google.com/file/d/1foEPtOsuwxEnIkPtVsjRp0HZY15nlyLz/view?usp=sharing" TargetMode="External"/><Relationship Id="rId6" Type="http://schemas.openxmlformats.org/officeDocument/2006/relationships/hyperlink" Target="https://drive.google.com/file/d/1O2Hx7nnTchoypnbJE3flj1E5uh6h1oVe/view?usp=sharing" TargetMode="External"/><Relationship Id="rId15" Type="http://schemas.openxmlformats.org/officeDocument/2006/relationships/hyperlink" Target="https://drive.google.com/file/d/1GBQ1kK3Qhewh3KBImLg5IBTZrQ8N6cyJ/view?usp=sharing" TargetMode="External"/><Relationship Id="rId23" Type="http://schemas.openxmlformats.org/officeDocument/2006/relationships/hyperlink" Target="https://drive.google.com/file/d/1PaMy5LkBNRTmHGcodflCAD38yc0XKcgE/view?usp=sharing" TargetMode="External"/><Relationship Id="rId28" Type="http://schemas.openxmlformats.org/officeDocument/2006/relationships/hyperlink" Target="https://drive.google.com/file/d/1TZHorou-J4zb4YKkFKpBCCBPoz9_PTDY/view?usp=sharing" TargetMode="External"/><Relationship Id="rId36" Type="http://schemas.openxmlformats.org/officeDocument/2006/relationships/hyperlink" Target="https://drive.google.com/file/d/16962INo2sms9VCmlO1j0a3-qNr90Suv7/view?usp=sharing" TargetMode="External"/><Relationship Id="rId49" Type="http://schemas.openxmlformats.org/officeDocument/2006/relationships/hyperlink" Target="https://drive.google.com/file/d/1NrdkqkXwV6OS3CjOqBWP8zj1homoO_GO/view?usp=sharing" TargetMode="External"/><Relationship Id="rId57" Type="http://schemas.openxmlformats.org/officeDocument/2006/relationships/hyperlink" Target="https://drive.google.com/file/d/1uxn2hmLCtRwZzeRy0PmKUdW_knEfvUXm/view?usp=share_link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_TYSin2hI8TRtR8Y8JfuP2QaLnfk7b7f/view?usp=sharing" TargetMode="External"/><Relationship Id="rId18" Type="http://schemas.openxmlformats.org/officeDocument/2006/relationships/hyperlink" Target="https://drive.google.com/file/d/1ngpr6fLoRznyT2oH8FCkWdI4tAUtdis8/view?usp=sharing" TargetMode="External"/><Relationship Id="rId26" Type="http://schemas.openxmlformats.org/officeDocument/2006/relationships/hyperlink" Target="https://drive.google.com/file/d/1WofV4QtKx3gNJy2ITK4X1TW8yVM--WY5/view?usp=sharing" TargetMode="External"/><Relationship Id="rId39" Type="http://schemas.openxmlformats.org/officeDocument/2006/relationships/hyperlink" Target="https://drive.google.com/file/d/1Ps939u8EPmfnbBlQXQ31fjDcEayYwBix/view?usp=sharing" TargetMode="External"/><Relationship Id="rId21" Type="http://schemas.openxmlformats.org/officeDocument/2006/relationships/hyperlink" Target="https://drive.google.com/file/d/17oEq-20GxKpdjjBWNnW_Y7ZWw3MNo8Ym/view?usp=sharing" TargetMode="External"/><Relationship Id="rId34" Type="http://schemas.openxmlformats.org/officeDocument/2006/relationships/hyperlink" Target="https://drive.google.com/file/d/16D4uytSjtj4OZKdYMD7jn5c_1H0Yl3TO/view?usp=sharing" TargetMode="External"/><Relationship Id="rId42" Type="http://schemas.openxmlformats.org/officeDocument/2006/relationships/hyperlink" Target="https://drive.google.com/file/d/1C1AsAPM3z6ujFGf1pffz16SYN-syPSXb/view?usp=sharing" TargetMode="External"/><Relationship Id="rId47" Type="http://schemas.openxmlformats.org/officeDocument/2006/relationships/hyperlink" Target="https://drive.google.com/file/d/1dHAe3fOiIj7kIUYuKVw6t_-hitV2e5NY/view?usp=sharing" TargetMode="External"/><Relationship Id="rId50" Type="http://schemas.openxmlformats.org/officeDocument/2006/relationships/hyperlink" Target="https://drive.google.com/file/d/1bCpLZU4J0nHJFc5v-O6qvnrSU7BwD1C_/view?usp=share_link" TargetMode="External"/><Relationship Id="rId55" Type="http://schemas.openxmlformats.org/officeDocument/2006/relationships/hyperlink" Target="https://drive.google.com/file/d/1yGi8AXveg_wU7kj8czV75bP15ogjETQ9/view?usp=sharing" TargetMode="External"/><Relationship Id="rId63" Type="http://schemas.openxmlformats.org/officeDocument/2006/relationships/hyperlink" Target="https://drive.google.com/file/d/1ShcGLNu52g7aoUMdN_GrigNFyzQwUuzf/view?usp=sharing" TargetMode="External"/><Relationship Id="rId7" Type="http://schemas.openxmlformats.org/officeDocument/2006/relationships/hyperlink" Target="https://drive.google.com/file/d/1A4MNy1Vo41-apcyaqB_WO3lGXoMBYQge/view?usp=sharing" TargetMode="External"/><Relationship Id="rId2" Type="http://schemas.openxmlformats.org/officeDocument/2006/relationships/hyperlink" Target="https://drive.google.com/file/d/13K0tKGCS-xAkq8osVj7iE90VXxeqOUnR/view?usp=sharing" TargetMode="External"/><Relationship Id="rId16" Type="http://schemas.openxmlformats.org/officeDocument/2006/relationships/hyperlink" Target="https://drive.google.com/file/d/1KhGesXJ-as7jmTB_Z80ogJ0yriW8japI/view?usp=sharing" TargetMode="External"/><Relationship Id="rId29" Type="http://schemas.openxmlformats.org/officeDocument/2006/relationships/hyperlink" Target="https://drive.google.com/file/d/1eZsZ-V_Wq5U9R-7VTdmD2T_3J_hjLAsL/view?usp=share_link" TargetMode="External"/><Relationship Id="rId1" Type="http://schemas.openxmlformats.org/officeDocument/2006/relationships/hyperlink" Target="https://drive.google.com/file/d/13K0tKGCS-xAkq8osVj7iE90VXxeqOUnR/view?usp=sharing" TargetMode="External"/><Relationship Id="rId6" Type="http://schemas.openxmlformats.org/officeDocument/2006/relationships/hyperlink" Target="https://drive.google.com/file/d/1RDouOLrXidK85ImZ5txUuaecw3W6q3IF/view?usp=sharing" TargetMode="External"/><Relationship Id="rId11" Type="http://schemas.openxmlformats.org/officeDocument/2006/relationships/hyperlink" Target="https://drive.google.com/file/d/1KG7gllv_2R36Q7RZRojoWCMleFXiwiZ7/view?usp=sharing" TargetMode="External"/><Relationship Id="rId24" Type="http://schemas.openxmlformats.org/officeDocument/2006/relationships/hyperlink" Target="https://drive.google.com/file/d/1ULPjv7wvQhNfLCfbxniUtbY2lvaFrOio/view?usp=sharing" TargetMode="External"/><Relationship Id="rId32" Type="http://schemas.openxmlformats.org/officeDocument/2006/relationships/hyperlink" Target="https://drive.google.com/file/d/16r188Cr-5h-6mraZGXWAgNyskc0XF5OX/view?usp=sharing" TargetMode="External"/><Relationship Id="rId37" Type="http://schemas.openxmlformats.org/officeDocument/2006/relationships/hyperlink" Target="https://drive.google.com/file/d/1YFAKPUxBhaVe9t0M0ZEcYKtAAvxLArGI/view?usp=sharing" TargetMode="External"/><Relationship Id="rId40" Type="http://schemas.openxmlformats.org/officeDocument/2006/relationships/hyperlink" Target="https://drive.google.com/file/d/11xvaeAX7di0OZ4oOXbDHDkr82y_6xqRn/view?usp=sharing" TargetMode="External"/><Relationship Id="rId45" Type="http://schemas.openxmlformats.org/officeDocument/2006/relationships/hyperlink" Target="https://drive.google.com/file/d/1eQSJP6AlBMF2c2krmCPtp1LmGfN-b9ut/view?usp=sharing" TargetMode="External"/><Relationship Id="rId53" Type="http://schemas.openxmlformats.org/officeDocument/2006/relationships/hyperlink" Target="https://drive.google.com/file/d/1D7xEQRgoTpMOXqtiWRg-7F2fOZtQaN3i/view?usp=sharing" TargetMode="External"/><Relationship Id="rId58" Type="http://schemas.openxmlformats.org/officeDocument/2006/relationships/hyperlink" Target="https://drive.google.com/file/d/1zFYVQ_q91fngG4kBAuwx7l0Z3jnr_LX6/view?usp=share_link" TargetMode="External"/><Relationship Id="rId66" Type="http://schemas.openxmlformats.org/officeDocument/2006/relationships/hyperlink" Target="https://drive.google.com/file/d/1GoIYkx0X9CrNdRnAEBsaJEJBnVpPJ3P1/view?usp=sharing" TargetMode="External"/><Relationship Id="rId5" Type="http://schemas.openxmlformats.org/officeDocument/2006/relationships/hyperlink" Target="https://drive.google.com/file/d/1I2I5B6BpmF37Qx24yZyujL5OUVLnY14O/view?usp=sharing" TargetMode="External"/><Relationship Id="rId15" Type="http://schemas.openxmlformats.org/officeDocument/2006/relationships/hyperlink" Target="https://drive.google.com/file/d/1KPBPrYei0LHPhXMunz-jwYLtcXUFkkcG/view?usp=sharing" TargetMode="External"/><Relationship Id="rId23" Type="http://schemas.openxmlformats.org/officeDocument/2006/relationships/hyperlink" Target="https://drive.google.com/file/d/1RxvDs-kA2ZOpDDIQECKDJ5cAkHW5WEQJ/view?usp=sharing" TargetMode="External"/><Relationship Id="rId28" Type="http://schemas.openxmlformats.org/officeDocument/2006/relationships/hyperlink" Target="https://drive.google.com/file/d/16JyxQkbnzPFVnpEyLYF3yOqqD3Tek_aJ/view?usp=sharing" TargetMode="External"/><Relationship Id="rId36" Type="http://schemas.openxmlformats.org/officeDocument/2006/relationships/hyperlink" Target="https://drive.google.com/file/d/1lGCL39cNnGIhkjJe_GmhrOvdmtNzl4uE/view?usp=drive_link" TargetMode="External"/><Relationship Id="rId49" Type="http://schemas.openxmlformats.org/officeDocument/2006/relationships/hyperlink" Target="https://drive.google.com/file/d/1boy_c-CIDBeN_V1AqSZnA-81w0DCIaUy/view?usp=sharing" TargetMode="External"/><Relationship Id="rId57" Type="http://schemas.openxmlformats.org/officeDocument/2006/relationships/hyperlink" Target="https://drive.google.com/file/d/1PXpVM9izrwz4leHAun8_4amYSA_oGg2X/view?usp=sharing" TargetMode="External"/><Relationship Id="rId61" Type="http://schemas.openxmlformats.org/officeDocument/2006/relationships/hyperlink" Target="https://drive.google.com/file/d/1dDIpMMY7KQJ6Qp_5v2GYHDh-qRChakn7/view?usp=sharing" TargetMode="External"/><Relationship Id="rId10" Type="http://schemas.openxmlformats.org/officeDocument/2006/relationships/hyperlink" Target="https://drive.google.com/file/d/1Gba5174kLQCAC2qUs2UMrnIWhk55ykL5/view?usp=sharing" TargetMode="External"/><Relationship Id="rId19" Type="http://schemas.openxmlformats.org/officeDocument/2006/relationships/hyperlink" Target="https://drive.google.com/file/d/13M06CT-1p2lXb6Zs84PtSSbFUvkfZtzC/view?usp=sharing" TargetMode="External"/><Relationship Id="rId31" Type="http://schemas.openxmlformats.org/officeDocument/2006/relationships/hyperlink" Target="https://drive.google.com/file/d/1eJVKt7NpBRE9i_QIdgo3-uJYaJmBmKec/view?usp=sharing" TargetMode="External"/><Relationship Id="rId44" Type="http://schemas.openxmlformats.org/officeDocument/2006/relationships/hyperlink" Target="https://drive.google.com/file/d/1IltIQUvNWjz57uFun_RBqLxueIcJdIgP/view?usp=sharing" TargetMode="External"/><Relationship Id="rId52" Type="http://schemas.openxmlformats.org/officeDocument/2006/relationships/hyperlink" Target="https://drive.google.com/file/d/1dOTnK_rw94pfqYD-qWnKV9SyaMHyVaOC/view?usp=sharing" TargetMode="External"/><Relationship Id="rId60" Type="http://schemas.openxmlformats.org/officeDocument/2006/relationships/hyperlink" Target="https://drive.google.com/file/d/1KyKzRooKshThBy_Vmxzm6W_y-C6QsmO_/view?usp=sharing" TargetMode="External"/><Relationship Id="rId65" Type="http://schemas.openxmlformats.org/officeDocument/2006/relationships/hyperlink" Target="https://drive.google.com/file/d/1pCMiw1EhAs1voYTm_E94TGYFq4-2Yrnq/view?usp=drive_link" TargetMode="External"/><Relationship Id="rId4" Type="http://schemas.openxmlformats.org/officeDocument/2006/relationships/hyperlink" Target="https://drive.google.com/file/d/1LXdpiv17w2-NEghJIDgV11eacHTYaqtc/view?usp=sharing" TargetMode="External"/><Relationship Id="rId9" Type="http://schemas.openxmlformats.org/officeDocument/2006/relationships/hyperlink" Target="https://drive.google.com/file/d/1Wop4nH181cpuY2bfrxrXnBecZHb7DRa4/view?usp=sharing" TargetMode="External"/><Relationship Id="rId14" Type="http://schemas.openxmlformats.org/officeDocument/2006/relationships/hyperlink" Target="https://drive.google.com/file/d/1tWNTQEukqYW5QHwYA_L9RtKiAt09VPMX/view?usp=sharing" TargetMode="External"/><Relationship Id="rId22" Type="http://schemas.openxmlformats.org/officeDocument/2006/relationships/hyperlink" Target="https://drive.google.com/file/d/1Oy35Fpes_AA-d1bmBDQ7xVvvNVwK0BXB/view?usp=sharing" TargetMode="External"/><Relationship Id="rId27" Type="http://schemas.openxmlformats.org/officeDocument/2006/relationships/hyperlink" Target="https://drive.google.com/file/d/1oGM8yTWrL1CGxFavu8clDbHII1tw6cNn/view?usp=sharing" TargetMode="External"/><Relationship Id="rId30" Type="http://schemas.openxmlformats.org/officeDocument/2006/relationships/hyperlink" Target="https://drive.google.com/file/d/1rldKAj2x19nj5AbOibBfKubqMm7ux6Q9/view?usp=sharing" TargetMode="External"/><Relationship Id="rId35" Type="http://schemas.openxmlformats.org/officeDocument/2006/relationships/hyperlink" Target="https://drive.google.com/file/d/1dAEifGEZ0HGN34g3ghcLtqTsneTDjDRf/view?usp=sharing" TargetMode="External"/><Relationship Id="rId43" Type="http://schemas.openxmlformats.org/officeDocument/2006/relationships/hyperlink" Target="https://drive.google.com/file/d/1IltIQUvNWjz57uFun_RBqLxueIcJdIgP/view?usp=sharing" TargetMode="External"/><Relationship Id="rId48" Type="http://schemas.openxmlformats.org/officeDocument/2006/relationships/hyperlink" Target="https://drive.google.com/file/d/1oMsHJm6vBGbWdvEajgTCz5l1w_wOrvnC/view?usp=sharing" TargetMode="External"/><Relationship Id="rId56" Type="http://schemas.openxmlformats.org/officeDocument/2006/relationships/hyperlink" Target="https://drive.google.com/file/d/1QDPAuBKUUa9QXPpu5TzGIQW3QcCyWhyi/view?usp=sharing" TargetMode="External"/><Relationship Id="rId64" Type="http://schemas.openxmlformats.org/officeDocument/2006/relationships/hyperlink" Target="https://drive.google.com/file/d/1jsofSApqwzr0rtsvLB9_BYdOMB_pBsub/view?usp=sharing" TargetMode="External"/><Relationship Id="rId8" Type="http://schemas.openxmlformats.org/officeDocument/2006/relationships/hyperlink" Target="https://drive.google.com/file/d/1RW1peroa_HL5AVTUF-sT3Ve_I6uNirn-/view?usp=sharing" TargetMode="External"/><Relationship Id="rId51" Type="http://schemas.openxmlformats.org/officeDocument/2006/relationships/hyperlink" Target="https://drive.google.com/file/d/1_JPHa9nKTPyQWafKLvIAfD4jYp77YWY9/view?usp=sharing" TargetMode="External"/><Relationship Id="rId3" Type="http://schemas.openxmlformats.org/officeDocument/2006/relationships/hyperlink" Target="https://drive.google.com/file/d/1FwQl479f7Gl5Z94szDju0ZbEA0hy8w52/view?usp=sharing" TargetMode="External"/><Relationship Id="rId12" Type="http://schemas.openxmlformats.org/officeDocument/2006/relationships/hyperlink" Target="https://drive.google.com/file/d/1KG7gllv_2R36Q7RZRojoWCMleFXiwiZ7/view?usp=sharing" TargetMode="External"/><Relationship Id="rId17" Type="http://schemas.openxmlformats.org/officeDocument/2006/relationships/hyperlink" Target="https://drive.google.com/file/d/1KlXcWXtRZTy3wgT4-DQnwCCWmrYxYgS2/view?usp=sharing" TargetMode="External"/><Relationship Id="rId25" Type="http://schemas.openxmlformats.org/officeDocument/2006/relationships/hyperlink" Target="https://drive.google.com/file/d/11jby2L3E-nGtwhYZ-s4Y9b_OaNTtB71x/view?usp=sharing" TargetMode="External"/><Relationship Id="rId33" Type="http://schemas.openxmlformats.org/officeDocument/2006/relationships/hyperlink" Target="https://drive.google.com/file/d/1zopFaH72k9O23ml9DwSZ7ho2sSNrXd0X/view?usp=sharing" TargetMode="External"/><Relationship Id="rId38" Type="http://schemas.openxmlformats.org/officeDocument/2006/relationships/hyperlink" Target="https://drive.google.com/file/d/1RfXZ-nerpcHxU-tF47zfDtifH2huqHsb/view?usp=sharing" TargetMode="External"/><Relationship Id="rId46" Type="http://schemas.openxmlformats.org/officeDocument/2006/relationships/hyperlink" Target="https://drive.google.com/file/d/1eQSJP6AlBMF2c2krmCPtp1LmGfN-b9ut/view?usp=sharing" TargetMode="External"/><Relationship Id="rId59" Type="http://schemas.openxmlformats.org/officeDocument/2006/relationships/hyperlink" Target="https://drive.google.com/file/d/1MQKKJJYGuQSPLqRU5Fau5rSNcDxNAoj4/view?usp=sharing" TargetMode="External"/><Relationship Id="rId67" Type="http://schemas.openxmlformats.org/officeDocument/2006/relationships/hyperlink" Target="https://drive.google.com/file/d/1jAldWRLhjvyZe5Q3bSCUqAZdr_Ia9f8l/view?usp=sharing" TargetMode="External"/><Relationship Id="rId20" Type="http://schemas.openxmlformats.org/officeDocument/2006/relationships/hyperlink" Target="https://drive.google.com/file/d/1oiGJUGjOYjUeBBGjFQb5u1QFm52alALO/view?usp=sharing" TargetMode="External"/><Relationship Id="rId41" Type="http://schemas.openxmlformats.org/officeDocument/2006/relationships/hyperlink" Target="https://drive.google.com/file/d/1cI_iyow2u84EnM4cKlNQnX_Y9VCZI6th/view?usp=sharing" TargetMode="External"/><Relationship Id="rId54" Type="http://schemas.openxmlformats.org/officeDocument/2006/relationships/hyperlink" Target="https://drive.google.com/file/d/1D7xEQRgoTpMOXqtiWRg-7F2fOZtQaN3i/view?usp=sharing" TargetMode="External"/><Relationship Id="rId62" Type="http://schemas.openxmlformats.org/officeDocument/2006/relationships/hyperlink" Target="https://drive.google.com/file/d/1dDIpMMY7KQJ6Qp_5v2GYHDh-qRChakn7/view?usp=shari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oJHTjUyf5lmgHx0aMwBNOuFowi9USpTo/view?usp=sharing" TargetMode="External"/><Relationship Id="rId13" Type="http://schemas.openxmlformats.org/officeDocument/2006/relationships/hyperlink" Target="https://drive.google.com/file/d/1OxTfZ64hosh-QYOX0bjOdPE5aYNPQp5C/view?usp=sharing" TargetMode="External"/><Relationship Id="rId18" Type="http://schemas.openxmlformats.org/officeDocument/2006/relationships/hyperlink" Target="https://drive.google.com/file/d/1JAHckmUlTgZaiPI3L4MqYQu_0bmRk8YK/view?usp=sharing" TargetMode="External"/><Relationship Id="rId3" Type="http://schemas.openxmlformats.org/officeDocument/2006/relationships/hyperlink" Target="https://drive.google.com/file/d/1uIjtGdX7yyuLoC_Do7bCtSdww4JJOhv3/view?usp=sharing" TargetMode="External"/><Relationship Id="rId7" Type="http://schemas.openxmlformats.org/officeDocument/2006/relationships/hyperlink" Target="https://drive.google.com/file/d/1uiDgiPnnV2CD0K2KJLEgSpzCVMzRit64/view?usp=sharing" TargetMode="External"/><Relationship Id="rId12" Type="http://schemas.openxmlformats.org/officeDocument/2006/relationships/hyperlink" Target="https://drive.google.com/file/d/1zM2nGZrOiKh1e5iWQJkUzLpzWGlr2Jdj/view?usp=sharing" TargetMode="External"/><Relationship Id="rId17" Type="http://schemas.openxmlformats.org/officeDocument/2006/relationships/hyperlink" Target="https://drive.google.com/file/d/15JUpKNHs372m3KQo_b2QJ3_NbCTRNiDx/view?usp=sharing" TargetMode="External"/><Relationship Id="rId2" Type="http://schemas.openxmlformats.org/officeDocument/2006/relationships/hyperlink" Target="https://drive.google.com/file/d/1TLGKIJ5sMYm_zLuj3QcrgwTE4ao6ir73/view?usp=sharing" TargetMode="External"/><Relationship Id="rId16" Type="http://schemas.openxmlformats.org/officeDocument/2006/relationships/hyperlink" Target="https://drive.google.com/file/d/13V85-Tcf9LLFqy7UwiKFYDx18jUUGxO3/view?usp=sharing" TargetMode="External"/><Relationship Id="rId1" Type="http://schemas.openxmlformats.org/officeDocument/2006/relationships/hyperlink" Target="https://drive.google.com/file/d/189mnwNamW9c-9_prx1M-ecGW01XwBeUy/view?usp=sharing" TargetMode="External"/><Relationship Id="rId6" Type="http://schemas.openxmlformats.org/officeDocument/2006/relationships/hyperlink" Target="https://drive.google.com/file/d/18QoimK3uGxizKvTqNa6FuN91M6g2riju/view?usp=sharing" TargetMode="External"/><Relationship Id="rId11" Type="http://schemas.openxmlformats.org/officeDocument/2006/relationships/hyperlink" Target="https://drive.google.com/file/d/12vrB4vnCgMLWRwnacxz2IDBuFRiIPuRz/view?usp=sharing" TargetMode="External"/><Relationship Id="rId5" Type="http://schemas.openxmlformats.org/officeDocument/2006/relationships/hyperlink" Target="https://drive.google.com/file/d/13DkqNPZRsKTqRV8M8OSQL2fSe-mEiz8D/view?usp=sharing" TargetMode="External"/><Relationship Id="rId15" Type="http://schemas.openxmlformats.org/officeDocument/2006/relationships/hyperlink" Target="https://drive.google.com/file/d/1mwlnOGLuEKqg3FdV2VQQvW2SXz-l9a6o/view?usp=sharing" TargetMode="External"/><Relationship Id="rId10" Type="http://schemas.openxmlformats.org/officeDocument/2006/relationships/hyperlink" Target="https://drive.google.com/file/d/1FAufzopYR7ipqeHFc68lbT7IfC9fMmGZ/view?usp=sharing" TargetMode="External"/><Relationship Id="rId4" Type="http://schemas.openxmlformats.org/officeDocument/2006/relationships/hyperlink" Target="https://drive.google.com/file/d/1uIjtGdX7yyuLoC_Do7bCtSdww4JJOhv3/view?usp=sharing" TargetMode="External"/><Relationship Id="rId9" Type="http://schemas.openxmlformats.org/officeDocument/2006/relationships/hyperlink" Target="https://drive.google.com/file/d/1oJHTjUyf5lmgHx0aMwBNOuFowi9USpTo/view?usp=sharing" TargetMode="External"/><Relationship Id="rId14" Type="http://schemas.openxmlformats.org/officeDocument/2006/relationships/hyperlink" Target="https://drive.google.com/file/d/1aTPBwiivXaR86CkHa8qhVy9PBxU23yrV/view?usp=sharin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sgsC22w0s7Ug7R3BgJDWpQ1Mp3OCKuT3/view?usp=sharing" TargetMode="External"/><Relationship Id="rId2" Type="http://schemas.openxmlformats.org/officeDocument/2006/relationships/hyperlink" Target="https://drive.google.com/file/d/1tOcBNdE3DrnukesMHVIEm66hheu_rzqw/view?usp=drive_link" TargetMode="External"/><Relationship Id="rId1" Type="http://schemas.openxmlformats.org/officeDocument/2006/relationships/hyperlink" Target="https://drive.google.com/file/d/1MLACdHz06sAyU0eiAWsUjvwoc0EzV7fZ/view?usp=sharing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GMUBEg6eBpJpfEBqETKkspIgZ1V2zH7u/view?usp=sharing" TargetMode="External"/><Relationship Id="rId299" Type="http://schemas.openxmlformats.org/officeDocument/2006/relationships/hyperlink" Target="https://drive.google.com/file/d/1nJoN_uIdwaXq7Su0DacwMLV5nOox8z9k/view?usp=sharing" TargetMode="External"/><Relationship Id="rId21" Type="http://schemas.openxmlformats.org/officeDocument/2006/relationships/hyperlink" Target="https://drive.google.com/file/d/14oCxTmUjpDJeegfmg8XJ3JItjijH4BpD/view?usp=sharing" TargetMode="External"/><Relationship Id="rId63" Type="http://schemas.openxmlformats.org/officeDocument/2006/relationships/hyperlink" Target="https://drive.google.com/file/d/1KBVnk-k8SVaXW3h57B6YQyo4WnggbYxR/view?usp=sharing" TargetMode="External"/><Relationship Id="rId159" Type="http://schemas.openxmlformats.org/officeDocument/2006/relationships/hyperlink" Target="https://drive.google.com/file/d/1iss8UHFcTkg5rjD9WIjED_Udg9XW8jLv/view?usp=sharing" TargetMode="External"/><Relationship Id="rId324" Type="http://schemas.openxmlformats.org/officeDocument/2006/relationships/hyperlink" Target="https://drive.google.com/file/d/1A06g3qRmeSahJpoR42oPc9vxE5uXr7pF/view?usp=sharing" TargetMode="External"/><Relationship Id="rId366" Type="http://schemas.openxmlformats.org/officeDocument/2006/relationships/hyperlink" Target="https://drive.google.com/file/d/1jV21T8LpkUVHANnJLZ_WgNwgVMv1WbNA/view?usp=sharing" TargetMode="External"/><Relationship Id="rId531" Type="http://schemas.openxmlformats.org/officeDocument/2006/relationships/hyperlink" Target="https://drive.google.com/file/d/1gtd0_x8sIwi1jDRXogY5mVIH_avixAdJ/view?usp=sharing" TargetMode="External"/><Relationship Id="rId573" Type="http://schemas.openxmlformats.org/officeDocument/2006/relationships/hyperlink" Target="https://drive.google.com/file/d/1XPbm6vQWKQqRSdi7UqMiWHmbwD9U6NfN/view?usp=sharing" TargetMode="External"/><Relationship Id="rId170" Type="http://schemas.openxmlformats.org/officeDocument/2006/relationships/hyperlink" Target="https://drive.google.com/file/d/1aS1saLWkKV0sXt_YDYyyvSgRTaMNv8_S/view?usp=sharing" TargetMode="External"/><Relationship Id="rId226" Type="http://schemas.openxmlformats.org/officeDocument/2006/relationships/hyperlink" Target="https://drive.google.com/file/d/17kj71G01wwsVcBLPm9X0tqR7OrrXbrCa/view?usp=sharing" TargetMode="External"/><Relationship Id="rId433" Type="http://schemas.openxmlformats.org/officeDocument/2006/relationships/hyperlink" Target="https://drive.google.com/file/d/1OgaeKP7__c9-rryGmXLsimdybrMdGOIo/view?usp=sharing" TargetMode="External"/><Relationship Id="rId268" Type="http://schemas.openxmlformats.org/officeDocument/2006/relationships/hyperlink" Target="https://drive.google.com/file/d/1cIpHpVjcG5zy_SPkbh64vkUF5n7RD2u_/view?usp=sharing" TargetMode="External"/><Relationship Id="rId475" Type="http://schemas.openxmlformats.org/officeDocument/2006/relationships/hyperlink" Target="https://drive.google.com/file/d/11Rrkn25lKyAcUsfO-vkJBdCTa8TuY087/view?usp=sharing" TargetMode="External"/><Relationship Id="rId32" Type="http://schemas.openxmlformats.org/officeDocument/2006/relationships/hyperlink" Target="https://drive.google.com/file/d/1KzJp47yXVDpMdhZpF2byDexLiWnDyMsm/view?usp=sharing" TargetMode="External"/><Relationship Id="rId74" Type="http://schemas.openxmlformats.org/officeDocument/2006/relationships/hyperlink" Target="https://drive.google.com/file/d/1FP684isn6ol96JG8bbNcCzkILqrV7Fyc/view?usp=sharing" TargetMode="External"/><Relationship Id="rId128" Type="http://schemas.openxmlformats.org/officeDocument/2006/relationships/hyperlink" Target="https://drive.google.com/file/d/1nf_VKMAp_SYGiIJJC35menNuTcqHdYv9/view?usp=sharing" TargetMode="External"/><Relationship Id="rId335" Type="http://schemas.openxmlformats.org/officeDocument/2006/relationships/hyperlink" Target="https://drive.google.com/file/d/1ZmpnOjYYnk2SUcO5T_te9gYaS9m1RFzZ/view?usp=sharing" TargetMode="External"/><Relationship Id="rId377" Type="http://schemas.openxmlformats.org/officeDocument/2006/relationships/hyperlink" Target="https://drive.google.com/file/d/1OVsgqyA1LaIHkbp5u-hZ3XUWUnn5wdoV/view?usp=sharing" TargetMode="External"/><Relationship Id="rId500" Type="http://schemas.openxmlformats.org/officeDocument/2006/relationships/hyperlink" Target="https://drive.google.com/file/d/1ajSOM_I7etzpAwBYlz4FDeYt8r9dDmzs/view?usp=sharing" TargetMode="External"/><Relationship Id="rId542" Type="http://schemas.openxmlformats.org/officeDocument/2006/relationships/hyperlink" Target="https://drive.google.com/file/d/1oaBnncJnRcKRpErAWn3YIL23BscgghRB/view?usp=share_link" TargetMode="External"/><Relationship Id="rId584" Type="http://schemas.openxmlformats.org/officeDocument/2006/relationships/hyperlink" Target="https://drive.google.com/file/d/1tY-4mUw02RRU1jsooEB3m2awdlZ3tW63/view?usp=sharing" TargetMode="External"/><Relationship Id="rId5" Type="http://schemas.openxmlformats.org/officeDocument/2006/relationships/hyperlink" Target="https://drive.google.com/file/d/1gkChnpsyi9spF-hm1C_5BMHaSYEm0NHV/view?usp=sharing" TargetMode="External"/><Relationship Id="rId181" Type="http://schemas.openxmlformats.org/officeDocument/2006/relationships/hyperlink" Target="https://drive.google.com/file/d/1Sj1HY4_FYSbwVpVAQO1k_emTlsaG10Hu/view?usp=sharing" TargetMode="External"/><Relationship Id="rId237" Type="http://schemas.openxmlformats.org/officeDocument/2006/relationships/hyperlink" Target="https://drive.google.com/file/d/1BVLIMyZ7ayGJcvF-lMHiZJBL8oSUQFKb/view?usp=sharing" TargetMode="External"/><Relationship Id="rId402" Type="http://schemas.openxmlformats.org/officeDocument/2006/relationships/hyperlink" Target="https://drive.google.com/file/d/1Qq5qR4pHAYmZQtjj779hReEgI7q_7V9R/view?usp=sharing" TargetMode="External"/><Relationship Id="rId279" Type="http://schemas.openxmlformats.org/officeDocument/2006/relationships/hyperlink" Target="https://drive.google.com/file/d/19sjOeudj3Hj1d1RHiKll2I3CgPIBr8kd/view?usp=sharing" TargetMode="External"/><Relationship Id="rId444" Type="http://schemas.openxmlformats.org/officeDocument/2006/relationships/hyperlink" Target="https://drive.google.com/file/d/1Jw1k-fxhdFXiGCNr6bPncQTs6LuBcUln/view?usp=sharing" TargetMode="External"/><Relationship Id="rId486" Type="http://schemas.openxmlformats.org/officeDocument/2006/relationships/hyperlink" Target="https://drive.google.com/file/d/1qEFIt4zXExYO7l0Pf6c6dq5A29ZzCNDU/view?usp=sharing" TargetMode="External"/><Relationship Id="rId43" Type="http://schemas.openxmlformats.org/officeDocument/2006/relationships/hyperlink" Target="https://drive.google.com/file/d/1F6SQiCjJ25kdwwabEA5NJLD8ZK2Ya3O5/view?usp=sharing" TargetMode="External"/><Relationship Id="rId139" Type="http://schemas.openxmlformats.org/officeDocument/2006/relationships/hyperlink" Target="https://drive.google.com/file/d/1jaJ3WjTOINir3gf1OiONCUjM8gLwksOj/view?usp=sharing" TargetMode="External"/><Relationship Id="rId290" Type="http://schemas.openxmlformats.org/officeDocument/2006/relationships/hyperlink" Target="https://drive.google.com/file/d/1KU-6nwnpW8NZ3efqFMWUbqk1eylHBaMC/view?usp=sharing" TargetMode="External"/><Relationship Id="rId304" Type="http://schemas.openxmlformats.org/officeDocument/2006/relationships/hyperlink" Target="https://drive.google.com/file/d/1Vpp_s6oxPpkVvBrQ8mz8Q96HVMfN26dx/view?usp=sharing" TargetMode="External"/><Relationship Id="rId346" Type="http://schemas.openxmlformats.org/officeDocument/2006/relationships/hyperlink" Target="https://drive.google.com/file/d/1J-JD9h7FOD6tOpGdJ9HGz8cFda0pvfsW/view?usp=sharing" TargetMode="External"/><Relationship Id="rId388" Type="http://schemas.openxmlformats.org/officeDocument/2006/relationships/hyperlink" Target="https://drive.google.com/file/d/1hFhEwD55vMF8kHjsvQAqEObbuZVc0eUW/view?usp=sharing" TargetMode="External"/><Relationship Id="rId511" Type="http://schemas.openxmlformats.org/officeDocument/2006/relationships/hyperlink" Target="https://drive.google.com/file/d/11fGHqvX602kGLxJDz7SAn_DbBHyAoKey/view?usp=sharing" TargetMode="External"/><Relationship Id="rId553" Type="http://schemas.openxmlformats.org/officeDocument/2006/relationships/hyperlink" Target="https://drive.google.com/file/d/1dwd65CKLMvcDtNadbzWHTzxGCWEEe1Sx/view?usp=sharing" TargetMode="External"/><Relationship Id="rId609" Type="http://schemas.openxmlformats.org/officeDocument/2006/relationships/hyperlink" Target="https://drive.google.com/file/d/1ZPuCtpEkH-v5kUXqPLu4vrzPndxD78MF/view?usp=sharing" TargetMode="External"/><Relationship Id="rId85" Type="http://schemas.openxmlformats.org/officeDocument/2006/relationships/hyperlink" Target="https://drive.google.com/file/d/1z4fbuEMDODoslBKIrRfyb21rIcblbxKI/view?usp=sharing" TargetMode="External"/><Relationship Id="rId150" Type="http://schemas.openxmlformats.org/officeDocument/2006/relationships/hyperlink" Target="https://drive.google.com/file/d/16thOIMequ4aBBR7Z5uZzXaRQhSSuTWtA/view?usp=sharing" TargetMode="External"/><Relationship Id="rId192" Type="http://schemas.openxmlformats.org/officeDocument/2006/relationships/hyperlink" Target="https://drive.google.com/file/d/1J0eyfxx0LzMn0z-Njrh1PuCTbFpF2dOg/view?usp=sharing" TargetMode="External"/><Relationship Id="rId206" Type="http://schemas.openxmlformats.org/officeDocument/2006/relationships/hyperlink" Target="https://drive.google.com/file/d/1Je_ajkuN5SuEaL_R6ch10OYW6C2Zg9Bs/view?usp=sharing" TargetMode="External"/><Relationship Id="rId413" Type="http://schemas.openxmlformats.org/officeDocument/2006/relationships/hyperlink" Target="https://drive.google.com/file/d/1D3oBBHAzu8_11foiJP-Cm9tfs5Fy1CsW/view?usp=sharing" TargetMode="External"/><Relationship Id="rId595" Type="http://schemas.openxmlformats.org/officeDocument/2006/relationships/hyperlink" Target="https://drive.google.com/file/d/1AgCWx2wXQ14g7oFN4RwjcnO4X_62J53U/view?usp=sharing" TargetMode="External"/><Relationship Id="rId248" Type="http://schemas.openxmlformats.org/officeDocument/2006/relationships/hyperlink" Target="https://drive.google.com/file/d/1G-9OJ6im7WugLFzKFhxRtJ0F76u84b5p/view?usp=sharing" TargetMode="External"/><Relationship Id="rId455" Type="http://schemas.openxmlformats.org/officeDocument/2006/relationships/hyperlink" Target="https://drive.google.com/file/d/1vGRFh_bkzNNDqXJlhFEgYb4wslBRbNdl/view?usp=sharing" TargetMode="External"/><Relationship Id="rId497" Type="http://schemas.openxmlformats.org/officeDocument/2006/relationships/hyperlink" Target="https://drive.google.com/file/d/1KqyRSleAaOMThCP_sgbF4vXsu87OPg2D/view?usp=sharing" TargetMode="External"/><Relationship Id="rId620" Type="http://schemas.openxmlformats.org/officeDocument/2006/relationships/hyperlink" Target="https://drive.google.com/file/d/1Oo4LrHnt3qOGFPsgNxMvlS5r5r2Sp0As/view?usp=sharing" TargetMode="External"/><Relationship Id="rId12" Type="http://schemas.openxmlformats.org/officeDocument/2006/relationships/hyperlink" Target="https://drive.google.com/file/d/1qSlnrBE8tzt7-vLIpXqZZ8m64k8m_wiF/view?usp=sharing" TargetMode="External"/><Relationship Id="rId108" Type="http://schemas.openxmlformats.org/officeDocument/2006/relationships/hyperlink" Target="https://drive.google.com/file/d/1q6cdUhVFXaM4rjM3fgfd03g9HVYXfE8k/view?usp=sharing" TargetMode="External"/><Relationship Id="rId315" Type="http://schemas.openxmlformats.org/officeDocument/2006/relationships/hyperlink" Target="https://drive.google.com/file/d/1xw2S72ZjP7l3Vb8xTeHCxVfExA-27Pr6/view?usp=sharing" TargetMode="External"/><Relationship Id="rId357" Type="http://schemas.openxmlformats.org/officeDocument/2006/relationships/hyperlink" Target="https://drive.google.com/file/d/1sefsQJ9oxSLLFqkXhrJ10OPvYwWobWjP/view?usp=share_link" TargetMode="External"/><Relationship Id="rId522" Type="http://schemas.openxmlformats.org/officeDocument/2006/relationships/hyperlink" Target="https://drive.google.com/file/d/1JsmTskKFqGNz1TY7xML5YavBWrfSIuMe/view?usp=sharing" TargetMode="External"/><Relationship Id="rId54" Type="http://schemas.openxmlformats.org/officeDocument/2006/relationships/hyperlink" Target="https://drive.google.com/file/d/1saQCgz25qhQHLifMUXZQCWzlQ7VKzNfl/view?usp=sharing" TargetMode="External"/><Relationship Id="rId96" Type="http://schemas.openxmlformats.org/officeDocument/2006/relationships/hyperlink" Target="https://drive.google.com/file/d/1A9bEEgdDPpxnPqqkGMpYwyubOEkA3ZoL/view?usp=sharing" TargetMode="External"/><Relationship Id="rId161" Type="http://schemas.openxmlformats.org/officeDocument/2006/relationships/hyperlink" Target="https://drive.google.com/file/d/1HQcGhfvMakBrKSWTiducVdxvwnzRjBMv/view?usp=sharing" TargetMode="External"/><Relationship Id="rId217" Type="http://schemas.openxmlformats.org/officeDocument/2006/relationships/hyperlink" Target="https://drive.google.com/file/d/16Em1hO2abiTxf2QYR-qrfhQkHgNNDmxq/view?usp=sharing" TargetMode="External"/><Relationship Id="rId399" Type="http://schemas.openxmlformats.org/officeDocument/2006/relationships/hyperlink" Target="https://drive.google.com/file/d/1M8xcCp9vr5ecrifz01l0rsxFUhoKmbUu/view?usp=sharing" TargetMode="External"/><Relationship Id="rId564" Type="http://schemas.openxmlformats.org/officeDocument/2006/relationships/hyperlink" Target="https://drive.google.com/file/d/1yUsw08CKjQKSpH4pZ97s1SCaXJPirtwY/view?usp=share_link" TargetMode="External"/><Relationship Id="rId259" Type="http://schemas.openxmlformats.org/officeDocument/2006/relationships/hyperlink" Target="https://drive.google.com/file/d/1wy1Gw1QNQWFdSDWaB2ijj16PYxDaBshv/view?usp=sharing" TargetMode="External"/><Relationship Id="rId424" Type="http://schemas.openxmlformats.org/officeDocument/2006/relationships/hyperlink" Target="https://drive.google.com/file/d/1Ky4djOkZ9NfQBormwjnc_stXO5ZSkeB2/view?usp=sharing" TargetMode="External"/><Relationship Id="rId466" Type="http://schemas.openxmlformats.org/officeDocument/2006/relationships/hyperlink" Target="https://drive.google.com/file/d/1J_fof8JONeMEl8GTzcKsOry40etSf_Me/view?usp=sharing" TargetMode="External"/><Relationship Id="rId23" Type="http://schemas.openxmlformats.org/officeDocument/2006/relationships/hyperlink" Target="https://drive.google.com/file/d/1juX86wUkZrZWoiB4VtFJfsU34k7flhXV/view?usp=sharing" TargetMode="External"/><Relationship Id="rId119" Type="http://schemas.openxmlformats.org/officeDocument/2006/relationships/hyperlink" Target="https://drive.google.com/file/d/1wzz6wEeUSoCYuBXVc_GQSXE1zrGxuLMp/view?usp=sharing" TargetMode="External"/><Relationship Id="rId270" Type="http://schemas.openxmlformats.org/officeDocument/2006/relationships/hyperlink" Target="https://drive.google.com/file/d/1V_ddj6ZufuprrniL2BVTpUvMBDz3J2yq/view?usp=sharing" TargetMode="External"/><Relationship Id="rId326" Type="http://schemas.openxmlformats.org/officeDocument/2006/relationships/hyperlink" Target="https://drive.google.com/file/d/1SkloaFumekfUKnCUWOnBisLOMXinsbtG/view?usp=sharing" TargetMode="External"/><Relationship Id="rId533" Type="http://schemas.openxmlformats.org/officeDocument/2006/relationships/hyperlink" Target="https://drive.google.com/file/d/1PVkINe5pi4eNYaI3vWaIZmbYG0wL6wuW/view?usp=sharing" TargetMode="External"/><Relationship Id="rId65" Type="http://schemas.openxmlformats.org/officeDocument/2006/relationships/hyperlink" Target="https://drive.google.com/file/d/1BKFWWCGoLeF7Q3-ngw0VbKTHGEigxVPA/view?usp=sharing" TargetMode="External"/><Relationship Id="rId130" Type="http://schemas.openxmlformats.org/officeDocument/2006/relationships/hyperlink" Target="https://drive.google.com/file/d/1Q-B2vjMmdTdngCNI6QUf1VK4gwd9_9Py/view?usp=sharing" TargetMode="External"/><Relationship Id="rId368" Type="http://schemas.openxmlformats.org/officeDocument/2006/relationships/hyperlink" Target="https://drive.google.com/file/d/1Ssiz5znj8ov9NMo68bOEyH9CkNibyDuW/view?usp=sharing" TargetMode="External"/><Relationship Id="rId575" Type="http://schemas.openxmlformats.org/officeDocument/2006/relationships/hyperlink" Target="https://drive.google.com/file/d/1zsnn93wmoP7QksA4Z00FwkzNHx5BMcQE/view?usp=sharing" TargetMode="External"/><Relationship Id="rId172" Type="http://schemas.openxmlformats.org/officeDocument/2006/relationships/hyperlink" Target="https://drive.google.com/file/d/1-YH1aKP3PsjmVY736R7KJGyk5cKW5e4J/view?usp=sharing" TargetMode="External"/><Relationship Id="rId228" Type="http://schemas.openxmlformats.org/officeDocument/2006/relationships/hyperlink" Target="https://drive.google.com/file/d/1NPYlCmhyx1nF0FuZmGo44ErCdt9UHfvX/view?usp=sharing" TargetMode="External"/><Relationship Id="rId435" Type="http://schemas.openxmlformats.org/officeDocument/2006/relationships/hyperlink" Target="https://drive.google.com/file/d/1QruzdacM3-d887FkeIerecpoxc3wVmSE/view?usp=share_link" TargetMode="External"/><Relationship Id="rId477" Type="http://schemas.openxmlformats.org/officeDocument/2006/relationships/hyperlink" Target="https://drive.google.com/file/d/1OxcceX6yW6Of8oZN9Fe01kdm6kO3GQgf/view?usp=sharing" TargetMode="External"/><Relationship Id="rId600" Type="http://schemas.openxmlformats.org/officeDocument/2006/relationships/hyperlink" Target="https://drive.google.com/file/d/16yJZIESUiseO1O6V4vI6-wJ4qGXSAjTo/view?usp=share_link" TargetMode="External"/><Relationship Id="rId281" Type="http://schemas.openxmlformats.org/officeDocument/2006/relationships/hyperlink" Target="https://drive.google.com/file/d/1Y_fF1mbTFyFrTvw8iSuaHUUds4YzTtV0/view?usp=sharing" TargetMode="External"/><Relationship Id="rId337" Type="http://schemas.openxmlformats.org/officeDocument/2006/relationships/hyperlink" Target="https://drive.google.com/file/d/1gOW1EYtZWnGgNRcTHriBy--vwOzT3NPw/view?usp=sharing" TargetMode="External"/><Relationship Id="rId502" Type="http://schemas.openxmlformats.org/officeDocument/2006/relationships/hyperlink" Target="https://drive.google.com/file/d/1_TkNoIJ6PSt-O9W-rbBfKJG0Sp1FL66o/view?usp=sharing" TargetMode="External"/><Relationship Id="rId34" Type="http://schemas.openxmlformats.org/officeDocument/2006/relationships/hyperlink" Target="https://drive.google.com/file/d/1zDjj8VuDdmJxVQrhkfm7NIwL_30CyFVM/view?usp=sharing" TargetMode="External"/><Relationship Id="rId76" Type="http://schemas.openxmlformats.org/officeDocument/2006/relationships/hyperlink" Target="https://drive.google.com/file/d/1wrMBYKrjIupQv9aslkSSxlJDEor1btAu/view?usp=sharing" TargetMode="External"/><Relationship Id="rId141" Type="http://schemas.openxmlformats.org/officeDocument/2006/relationships/hyperlink" Target="https://drive.google.com/file/d/1xUPCcP5VHbmsp-x7PROsmhLNf_aICNtP/view?usp=sharing" TargetMode="External"/><Relationship Id="rId379" Type="http://schemas.openxmlformats.org/officeDocument/2006/relationships/hyperlink" Target="https://drive.google.com/file/d/1b8YeR9U5cFjzRRS_te5cqBKq6L8M4VU5/view?usp=sharing" TargetMode="External"/><Relationship Id="rId544" Type="http://schemas.openxmlformats.org/officeDocument/2006/relationships/hyperlink" Target="https://drive.google.com/file/d/1jFrYPp3vjHbYKtwVVM2eLsSPqugJyvoe/view?usp=share_link" TargetMode="External"/><Relationship Id="rId586" Type="http://schemas.openxmlformats.org/officeDocument/2006/relationships/hyperlink" Target="https://drive.google.com/file/d/1SzFbb9aMnWyOIFt2zKpPKxcE3zGor9zV/view?usp=sharing" TargetMode="External"/><Relationship Id="rId7" Type="http://schemas.openxmlformats.org/officeDocument/2006/relationships/hyperlink" Target="https://drive.google.com/file/d/13E-x3GAIg7fJXU1nAq2J6L52b4_VTBuo/view?usp=sharing" TargetMode="External"/><Relationship Id="rId183" Type="http://schemas.openxmlformats.org/officeDocument/2006/relationships/hyperlink" Target="https://drive.google.com/file/d/1qRzEF0vtj_k6DMz9ch7GLMTlZ1mYVwwd/view?usp=sharing" TargetMode="External"/><Relationship Id="rId239" Type="http://schemas.openxmlformats.org/officeDocument/2006/relationships/hyperlink" Target="https://drive.google.com/file/d/1eDtkC5yg-YymkKVr34KajtrgxtQ3tpjt/view?usp=sharing" TargetMode="External"/><Relationship Id="rId390" Type="http://schemas.openxmlformats.org/officeDocument/2006/relationships/hyperlink" Target="https://drive.google.com/file/d/1edtpxJJEglZ26miD33R8C9Q4jN1jev1Y/view?usp=sharing" TargetMode="External"/><Relationship Id="rId404" Type="http://schemas.openxmlformats.org/officeDocument/2006/relationships/hyperlink" Target="https://drive.google.com/file/d/13Rfg-LHn7tEl1E-ZuQxjZTJXX-8ZgEPr/view?usp=share_link" TargetMode="External"/><Relationship Id="rId446" Type="http://schemas.openxmlformats.org/officeDocument/2006/relationships/hyperlink" Target="https://drive.google.com/file/d/13N-o8pRqXhWkb9uZ6LE3CsZHgYEXhE0S/view?usp=sharing" TargetMode="External"/><Relationship Id="rId611" Type="http://schemas.openxmlformats.org/officeDocument/2006/relationships/hyperlink" Target="https://drive.google.com/file/d/1F0cZNW9YUUEMcOnSJE9Z_th_bxDsYvDJ/view?usp=sharing" TargetMode="External"/><Relationship Id="rId250" Type="http://schemas.openxmlformats.org/officeDocument/2006/relationships/hyperlink" Target="https://drive.google.com/file/d/1xHscaov2O12Yp2awDtj_KsL9fV4O4YJG/view?usp=sharing" TargetMode="External"/><Relationship Id="rId292" Type="http://schemas.openxmlformats.org/officeDocument/2006/relationships/hyperlink" Target="https://drive.google.com/file/d/1jauexwUiK_F0YQ-kuMlLIAYnIvFz3Ff-/view?usp=sharing" TargetMode="External"/><Relationship Id="rId306" Type="http://schemas.openxmlformats.org/officeDocument/2006/relationships/hyperlink" Target="https://drive.google.com/file/d/1_lL4w7a1jPLDRBGXxaMnpJIW03al3AKS/view?usp=share_link" TargetMode="External"/><Relationship Id="rId488" Type="http://schemas.openxmlformats.org/officeDocument/2006/relationships/hyperlink" Target="https://drive.google.com/file/d/17-QPsSTIMyC2eQ5H4GPS74161FXxl3Dj/view?usp=sharing" TargetMode="External"/><Relationship Id="rId45" Type="http://schemas.openxmlformats.org/officeDocument/2006/relationships/hyperlink" Target="https://drive.google.com/file/d/14LGFDfAUWDZTE86ScHZ1Me3SqQYoYPMx/view?usp=sharing" TargetMode="External"/><Relationship Id="rId87" Type="http://schemas.openxmlformats.org/officeDocument/2006/relationships/hyperlink" Target="https://drive.google.com/file/d/16A1EHyChiGRqIIsI4tzauAgbLI0OKzcM/view?usp=sharing" TargetMode="External"/><Relationship Id="rId110" Type="http://schemas.openxmlformats.org/officeDocument/2006/relationships/hyperlink" Target="https://drive.google.com/file/d/1-ECr6wu8fov3pOKb1i1McUvssnq9FrGO/view?usp=sharing" TargetMode="External"/><Relationship Id="rId348" Type="http://schemas.openxmlformats.org/officeDocument/2006/relationships/hyperlink" Target="https://drive.google.com/file/d/1sImATUkFa4r8CC5YHuU6ebRvEfCSwaEe/view?usp=sharing" TargetMode="External"/><Relationship Id="rId513" Type="http://schemas.openxmlformats.org/officeDocument/2006/relationships/hyperlink" Target="https://drive.google.com/file/d/1el6JWGxt91PoIoQTDg5ihH4y1XwugQhC/view?usp=sharing" TargetMode="External"/><Relationship Id="rId555" Type="http://schemas.openxmlformats.org/officeDocument/2006/relationships/hyperlink" Target="https://drive.google.com/file/d/18wvxgM9A1BhI1faYJgRKLiMu7MD6A3Ri/view?usp=sharing" TargetMode="External"/><Relationship Id="rId597" Type="http://schemas.openxmlformats.org/officeDocument/2006/relationships/hyperlink" Target="https://drive.google.com/file/d/1UQd6ELboLbeLM9yUKEWefhxpUrI0TlC5/view?usp=sharing" TargetMode="External"/><Relationship Id="rId152" Type="http://schemas.openxmlformats.org/officeDocument/2006/relationships/hyperlink" Target="https://drive.google.com/file/d/14g2x0cB8HSXyuLpvLWa-GYcKc1cMDctX/view?usp=sharing" TargetMode="External"/><Relationship Id="rId194" Type="http://schemas.openxmlformats.org/officeDocument/2006/relationships/hyperlink" Target="https://drive.google.com/file/d/1Jxt5uZFa5iYVoTDqRhHx3zghqdUdjeFP/view?usp=sharing" TargetMode="External"/><Relationship Id="rId208" Type="http://schemas.openxmlformats.org/officeDocument/2006/relationships/hyperlink" Target="https://drive.google.com/file/d/16fUK2o-yfH0sukWy8PAINP7-WJO6SOIQ/view?usp=sharing" TargetMode="External"/><Relationship Id="rId415" Type="http://schemas.openxmlformats.org/officeDocument/2006/relationships/hyperlink" Target="https://drive.google.com/file/d/1Hn6vS9VMusZqO4zsLV1yE40YrRXS1y-f/view?usp=sharing" TargetMode="External"/><Relationship Id="rId457" Type="http://schemas.openxmlformats.org/officeDocument/2006/relationships/hyperlink" Target="https://drive.google.com/file/d/1YZ0_-kzaX2jSSyXRLcIWVm556drmQhg4/view?usp=sharing" TargetMode="External"/><Relationship Id="rId622" Type="http://schemas.openxmlformats.org/officeDocument/2006/relationships/hyperlink" Target="https://drive.google.com/file/d/1x_90I_DkBRa9wPpXNw713dpuajSFTseR/view?usp=share_link" TargetMode="External"/><Relationship Id="rId261" Type="http://schemas.openxmlformats.org/officeDocument/2006/relationships/hyperlink" Target="https://drive.google.com/file/d/1fZoLsonTMHjNMrbJBDRy-inXl-RwQ685/view?usp=sharing" TargetMode="External"/><Relationship Id="rId499" Type="http://schemas.openxmlformats.org/officeDocument/2006/relationships/hyperlink" Target="https://drive.google.com/file/d/1hrcpBbU7UsrhnWSGho9o5OlCw79c-Vsh/view?usp=sharing" TargetMode="External"/><Relationship Id="rId14" Type="http://schemas.openxmlformats.org/officeDocument/2006/relationships/hyperlink" Target="https://drive.google.com/file/d/1zmcNn7zorMAh_zQLqO7gm4NqKB6g5j1W/view?usp=sharing" TargetMode="External"/><Relationship Id="rId56" Type="http://schemas.openxmlformats.org/officeDocument/2006/relationships/hyperlink" Target="https://drive.google.com/file/d/1GMDp93gU5BuD2S58BaV0qbU3MUeO9MDS/view?usp=sharing" TargetMode="External"/><Relationship Id="rId317" Type="http://schemas.openxmlformats.org/officeDocument/2006/relationships/hyperlink" Target="https://drive.google.com/file/d/168jvOCZyo4SlBH6-qACPapOix6N4v5bG/view?usp=sharing" TargetMode="External"/><Relationship Id="rId359" Type="http://schemas.openxmlformats.org/officeDocument/2006/relationships/hyperlink" Target="https://drive.google.com/file/d/1gnL03Mj7GKKjIGeXnUsrhQP8V8__--NR/view?usp=sharing" TargetMode="External"/><Relationship Id="rId524" Type="http://schemas.openxmlformats.org/officeDocument/2006/relationships/hyperlink" Target="https://drive.google.com/file/d/1-zGsbEFHyGAFmkKpdKEmKQKkYrHddwMi/view?usp=sharing" TargetMode="External"/><Relationship Id="rId566" Type="http://schemas.openxmlformats.org/officeDocument/2006/relationships/hyperlink" Target="https://drive.google.com/file/d/1_js4URTa8p1XqX_Ht_CWu477gAbPZ3nL/view?usp=sharing" TargetMode="External"/><Relationship Id="rId98" Type="http://schemas.openxmlformats.org/officeDocument/2006/relationships/hyperlink" Target="https://drive.google.com/file/d/10Pv4Wa805_rHgcerZtRXtYpTZ0UWfu5p/view?usp=sharing" TargetMode="External"/><Relationship Id="rId121" Type="http://schemas.openxmlformats.org/officeDocument/2006/relationships/hyperlink" Target="https://drive.google.com/file/d/1rdwLnetXl7xoVryADfhgkFTyIY_84nfD/view?usp=sharing" TargetMode="External"/><Relationship Id="rId163" Type="http://schemas.openxmlformats.org/officeDocument/2006/relationships/hyperlink" Target="https://drive.google.com/file/d/1spOTAZe1rV43MubkzlML2wLKf9EAYqZF/view?usp=sharing" TargetMode="External"/><Relationship Id="rId219" Type="http://schemas.openxmlformats.org/officeDocument/2006/relationships/hyperlink" Target="https://drive.google.com/file/d/1onmPlfeYpfD9pk5tTiEO-U65vXWisOd3/view?usp=sharing" TargetMode="External"/><Relationship Id="rId370" Type="http://schemas.openxmlformats.org/officeDocument/2006/relationships/hyperlink" Target="https://drive.google.com/file/d/1Slxzva-CzKMLNoraSjiy8e1qdGdigBkd/view?usp=sharing" TargetMode="External"/><Relationship Id="rId426" Type="http://schemas.openxmlformats.org/officeDocument/2006/relationships/hyperlink" Target="https://drive.google.com/file/d/1g_5t1ul2-n9dPyTXwzgQtZq_oQYzE6ic/view?usp=sharing" TargetMode="External"/><Relationship Id="rId230" Type="http://schemas.openxmlformats.org/officeDocument/2006/relationships/hyperlink" Target="https://drive.google.com/file/d/1impTFISqq4I6v9Z4Q5esc1AdJD2cy2XV/view?usp=sharing" TargetMode="External"/><Relationship Id="rId468" Type="http://schemas.openxmlformats.org/officeDocument/2006/relationships/hyperlink" Target="https://drive.google.com/file/d/158_3DMjFzJjw38jG9bcjkbH_ZORczifq/view?usp=sharing" TargetMode="External"/><Relationship Id="rId25" Type="http://schemas.openxmlformats.org/officeDocument/2006/relationships/hyperlink" Target="https://drive.google.com/file/d/1gX2JUqokZLdY1Yil3o6Cu9rLM8clPE4o/view?usp=sharing" TargetMode="External"/><Relationship Id="rId67" Type="http://schemas.openxmlformats.org/officeDocument/2006/relationships/hyperlink" Target="https://drive.google.com/file/d/1xO2_Dqt7HBJaqfz4sWSUq3J-9hDseICA/view?usp=sharing" TargetMode="External"/><Relationship Id="rId272" Type="http://schemas.openxmlformats.org/officeDocument/2006/relationships/hyperlink" Target="https://drive.google.com/file/d/1VmWqXB6oCYR4VzjelxhLup_k38EIWl6D/view?usp=sharing" TargetMode="External"/><Relationship Id="rId328" Type="http://schemas.openxmlformats.org/officeDocument/2006/relationships/hyperlink" Target="https://drive.google.com/file/d/1Fql-hVnXongaIIU7YTQP79SUMdzvwkNj/view?usp=sharing" TargetMode="External"/><Relationship Id="rId535" Type="http://schemas.openxmlformats.org/officeDocument/2006/relationships/hyperlink" Target="https://drive.google.com/file/d/1qGJOKXEhfnEBrg3Ic2sUJ8d8TRU3xEae/view?usp=sharing" TargetMode="External"/><Relationship Id="rId577" Type="http://schemas.openxmlformats.org/officeDocument/2006/relationships/hyperlink" Target="https://drive.google.com/file/d/1-CPwGRPEG_On4nZWmkJF-7sFUmhMdv2I/view?usp=sharing" TargetMode="External"/><Relationship Id="rId132" Type="http://schemas.openxmlformats.org/officeDocument/2006/relationships/hyperlink" Target="https://drive.google.com/file/d/1aIrI-xz84hyfEH8BxvhmFHmMaJoTrfKC/view?usp=sharing" TargetMode="External"/><Relationship Id="rId174" Type="http://schemas.openxmlformats.org/officeDocument/2006/relationships/hyperlink" Target="https://drive.google.com/file/d/12egy8eIhqrE2KEl7YEfHzqTB92WvM9Rg/view?usp=sharing" TargetMode="External"/><Relationship Id="rId381" Type="http://schemas.openxmlformats.org/officeDocument/2006/relationships/hyperlink" Target="https://drive.google.com/file/d/1HxGV_uD25ddFeEBP7g5ImxkfPUrFkCB-/view?usp=sharing" TargetMode="External"/><Relationship Id="rId602" Type="http://schemas.openxmlformats.org/officeDocument/2006/relationships/hyperlink" Target="https://drive.google.com/file/d/1rUxHiN5n96Ofyogyhb9FuUAJau4TJTvc/view?usp=sharing" TargetMode="External"/><Relationship Id="rId241" Type="http://schemas.openxmlformats.org/officeDocument/2006/relationships/hyperlink" Target="https://drive.google.com/file/d/1owfe7cJrVfHInG9UkwVShExBSX_P9JzR/view?usp=sharing" TargetMode="External"/><Relationship Id="rId437" Type="http://schemas.openxmlformats.org/officeDocument/2006/relationships/hyperlink" Target="https://drive.google.com/file/d/1n4S_jUtI_ex6FR29hd11hHXHxVxNSr2l/view?usp=sharing" TargetMode="External"/><Relationship Id="rId479" Type="http://schemas.openxmlformats.org/officeDocument/2006/relationships/hyperlink" Target="https://drive.google.com/file/d/16G8t7M-lE4Fh6obe6W6qMeKRmxXhW_cC/view?usp=sharing" TargetMode="External"/><Relationship Id="rId36" Type="http://schemas.openxmlformats.org/officeDocument/2006/relationships/hyperlink" Target="https://drive.google.com/file/d/18jIdH1L-sbOALGzc4tfokb1eRxU_8RmH/view?usp=sharing" TargetMode="External"/><Relationship Id="rId283" Type="http://schemas.openxmlformats.org/officeDocument/2006/relationships/hyperlink" Target="https://drive.google.com/file/d/1MMslkb1z0rbuhCSpV_7Pb7KQKuLQSIzC/view?usp=sharing" TargetMode="External"/><Relationship Id="rId339" Type="http://schemas.openxmlformats.org/officeDocument/2006/relationships/hyperlink" Target="https://drive.google.com/file/d/1_Kc4R_JaA11tRx0C801Vk12s8ObZAAid/view?usp=sharing" TargetMode="External"/><Relationship Id="rId490" Type="http://schemas.openxmlformats.org/officeDocument/2006/relationships/hyperlink" Target="https://drive.google.com/file/d/1K1Rx84Mm6g9mQtZdXkzxIkT92hEbEZDA/view?usp=sharing" TargetMode="External"/><Relationship Id="rId504" Type="http://schemas.openxmlformats.org/officeDocument/2006/relationships/hyperlink" Target="https://drive.google.com/file/d/1aJEcZd4GoO4XBfcOnR6rXa81HDxHMwm5/view?usp=sharing" TargetMode="External"/><Relationship Id="rId546" Type="http://schemas.openxmlformats.org/officeDocument/2006/relationships/hyperlink" Target="https://drive.google.com/file/d/1nUmbhzb0Naxhu8Pp60Lyh_xP5rjqn1Z-/view?usp=sharing" TargetMode="External"/><Relationship Id="rId78" Type="http://schemas.openxmlformats.org/officeDocument/2006/relationships/hyperlink" Target="https://drive.google.com/file/d/1ya2JM3xIHh_56GkfMnzif1YyiG1BLSws/view?usp=sharing" TargetMode="External"/><Relationship Id="rId101" Type="http://schemas.openxmlformats.org/officeDocument/2006/relationships/hyperlink" Target="https://drive.google.com/file/d/16M5g1MlzEIWMX0rMP4hbE36cORgh-c0_/view?usp=sharing" TargetMode="External"/><Relationship Id="rId143" Type="http://schemas.openxmlformats.org/officeDocument/2006/relationships/hyperlink" Target="https://drive.google.com/file/d/1RNmMFRToZCLY_cxPWPwSdzher9NqN0lQ/view?usp=sharing" TargetMode="External"/><Relationship Id="rId185" Type="http://schemas.openxmlformats.org/officeDocument/2006/relationships/hyperlink" Target="https://drive.google.com/file/d/1xS_F5TTQKS87vXs03en7ZtxbN3S3MPXx/view?usp=sharing" TargetMode="External"/><Relationship Id="rId350" Type="http://schemas.openxmlformats.org/officeDocument/2006/relationships/hyperlink" Target="https://drive.google.com/file/d/18hMofZneVkPnE9kpzRrDHJM2dysPGpbC/view?usp=sharing" TargetMode="External"/><Relationship Id="rId406" Type="http://schemas.openxmlformats.org/officeDocument/2006/relationships/hyperlink" Target="https://drive.google.com/file/d/1innx9ESveeHSctdOoFaLN-w4OfN2SUiz/view?usp=sharing" TargetMode="External"/><Relationship Id="rId588" Type="http://schemas.openxmlformats.org/officeDocument/2006/relationships/hyperlink" Target="https://drive.google.com/file/d/15XP4od-zNR_hBgbNjwxsy4H4ZCljpncR/view?usp=share_link" TargetMode="External"/><Relationship Id="rId9" Type="http://schemas.openxmlformats.org/officeDocument/2006/relationships/hyperlink" Target="https://drive.google.com/file/d/1jVEXSAz46MtiBnr_7Fo7lgucWCymAY0D/view?usp=sharing" TargetMode="External"/><Relationship Id="rId210" Type="http://schemas.openxmlformats.org/officeDocument/2006/relationships/hyperlink" Target="https://drive.google.com/file/d/1ehvHT2Jb8ymurI4JVXr3tWmjh5mvCIPR/view?usp=sharing" TargetMode="External"/><Relationship Id="rId392" Type="http://schemas.openxmlformats.org/officeDocument/2006/relationships/hyperlink" Target="https://drive.google.com/file/d/1UQCyB0yutnZqVY2tdE6sdNWRkiEH4OCD/view?usp=sharing" TargetMode="External"/><Relationship Id="rId448" Type="http://schemas.openxmlformats.org/officeDocument/2006/relationships/hyperlink" Target="https://drive.google.com/file/d/1bKK5LuMIAi9srx4YRjDKKhLLiQFjDt-t/view?usp=sharing" TargetMode="External"/><Relationship Id="rId613" Type="http://schemas.openxmlformats.org/officeDocument/2006/relationships/hyperlink" Target="https://drive.google.com/file/d/1QdL1BrkAIGRpIRE8ebjEAcjVCpXM2a_M/view?usp=sharing" TargetMode="External"/><Relationship Id="rId252" Type="http://schemas.openxmlformats.org/officeDocument/2006/relationships/hyperlink" Target="https://drive.google.com/file/d/1iBXzzFJdnxYfPtGpZ-5pTNEt9hEFfU-9/view?usp=sharing" TargetMode="External"/><Relationship Id="rId294" Type="http://schemas.openxmlformats.org/officeDocument/2006/relationships/hyperlink" Target="https://drive.google.com/file/d/19cXwjaljzSxm1dfwgxqZGDSnyMqXZYc4/view?usp=sharing" TargetMode="External"/><Relationship Id="rId308" Type="http://schemas.openxmlformats.org/officeDocument/2006/relationships/hyperlink" Target="https://drive.google.com/file/d/16N8OB5PACW6Z_ZH9wGfXvdUjFxuxXfss/view?usp=sharing" TargetMode="External"/><Relationship Id="rId515" Type="http://schemas.openxmlformats.org/officeDocument/2006/relationships/hyperlink" Target="https://drive.google.com/file/d/1LWzeKjqHZFRhdTSxkON-lwIq-oIni77P/view?usp=sharing" TargetMode="External"/><Relationship Id="rId47" Type="http://schemas.openxmlformats.org/officeDocument/2006/relationships/hyperlink" Target="https://drive.google.com/file/d/1isGVl37ba1kiRQUbBmiA8Dv2IPVa5t0v/view?usp=sharing" TargetMode="External"/><Relationship Id="rId89" Type="http://schemas.openxmlformats.org/officeDocument/2006/relationships/hyperlink" Target="https://drive.google.com/file/d/1PzhemKa-jkY3KBZw6FHZatcWsLIAQ262/view?usp=sharing" TargetMode="External"/><Relationship Id="rId112" Type="http://schemas.openxmlformats.org/officeDocument/2006/relationships/hyperlink" Target="https://drive.google.com/file/d/14QQccljjlQg7yiyURSYmcHH6-0NlV916/view?usp=sharing" TargetMode="External"/><Relationship Id="rId154" Type="http://schemas.openxmlformats.org/officeDocument/2006/relationships/hyperlink" Target="https://drive.google.com/file/d/15OyZtk1uru9-1VQkwHpyvvSQbuuTVDC5/view?usp=sharing" TargetMode="External"/><Relationship Id="rId361" Type="http://schemas.openxmlformats.org/officeDocument/2006/relationships/hyperlink" Target="https://drive.google.com/file/d/1qWOl-BUQ3azXR8wKMAUHCD5W7bEfR4rF/view?usp=sharing" TargetMode="External"/><Relationship Id="rId557" Type="http://schemas.openxmlformats.org/officeDocument/2006/relationships/hyperlink" Target="https://drive.google.com/file/d/1uoUneYYdRcbiw5SD5I7Rq4RPjcqocjEj/view?usp=sharing" TargetMode="External"/><Relationship Id="rId599" Type="http://schemas.openxmlformats.org/officeDocument/2006/relationships/hyperlink" Target="https://drive.google.com/file/d/1KvC7oQHfmjAEb1PZDG38mxrBpgu7mUmz/view?usp=sharing" TargetMode="External"/><Relationship Id="rId196" Type="http://schemas.openxmlformats.org/officeDocument/2006/relationships/hyperlink" Target="https://drive.google.com/file/d/1-K7GI-haQF666o1Jl0oyCguxIRGXhtZh/view?usp=sharing" TargetMode="External"/><Relationship Id="rId417" Type="http://schemas.openxmlformats.org/officeDocument/2006/relationships/hyperlink" Target="https://drive.google.com/file/d/1NCRc3c6x6qkwL_AenYZvjJLbM4RL032K/view?usp=sharing" TargetMode="External"/><Relationship Id="rId459" Type="http://schemas.openxmlformats.org/officeDocument/2006/relationships/hyperlink" Target="https://drive.google.com/file/d/1znvoDXYBnN9FAqsBRPOyA-ZGbtEupUdL/view?usp=sharing" TargetMode="External"/><Relationship Id="rId624" Type="http://schemas.openxmlformats.org/officeDocument/2006/relationships/hyperlink" Target="https://drive.google.com/file/d/1dDIpMMY7KQJ6Qp_5v2GYHDh-qRChakn7/view?usp=sharing" TargetMode="External"/><Relationship Id="rId16" Type="http://schemas.openxmlformats.org/officeDocument/2006/relationships/hyperlink" Target="https://drive.google.com/file/d/1M0uCS30XzJgpdaOR2gGJZvKQ2fNWJdpE/view?usp=sharing" TargetMode="External"/><Relationship Id="rId221" Type="http://schemas.openxmlformats.org/officeDocument/2006/relationships/hyperlink" Target="https://drive.google.com/file/d/1joQD6zW6n9aa8glOAgAX2AdqD1EPRZW5/view?usp=sharing" TargetMode="External"/><Relationship Id="rId263" Type="http://schemas.openxmlformats.org/officeDocument/2006/relationships/hyperlink" Target="https://drive.google.com/file/d/1J-G5kBxn0JI8o0-6xkNcLfGlSUO_PXEL/view?usp=sharing" TargetMode="External"/><Relationship Id="rId319" Type="http://schemas.openxmlformats.org/officeDocument/2006/relationships/hyperlink" Target="https://drive.google.com/file/d/1fle88n8DVSUGNwAOw5QAe08ukoWcROQt/view?usp=sharing" TargetMode="External"/><Relationship Id="rId470" Type="http://schemas.openxmlformats.org/officeDocument/2006/relationships/hyperlink" Target="https://drive.google.com/file/d/189ScjuWe-SN8oouOh32S0VnsMAHGfFqs/view?usp=sharing" TargetMode="External"/><Relationship Id="rId526" Type="http://schemas.openxmlformats.org/officeDocument/2006/relationships/hyperlink" Target="https://drive.google.com/file/d/1rNo3035wmVPipCSEncweoopQPDTiDoNy/view?usp=sharing" TargetMode="External"/><Relationship Id="rId58" Type="http://schemas.openxmlformats.org/officeDocument/2006/relationships/hyperlink" Target="https://drive.google.com/file/d/1WyGXVtCLdIfB9WNX_dWxRV3wSnOeKOUg/view?usp=sharing" TargetMode="External"/><Relationship Id="rId123" Type="http://schemas.openxmlformats.org/officeDocument/2006/relationships/hyperlink" Target="https://drive.google.com/file/d/1rPvQP0xpAals_aEOf-XWOG-O2VESM3c4/view?usp=sharing" TargetMode="External"/><Relationship Id="rId330" Type="http://schemas.openxmlformats.org/officeDocument/2006/relationships/hyperlink" Target="https://drive.google.com/file/d/1NJnrXhNI3ZJohiSatxcf_PC7PtwmTk5Q/view?usp=sharing" TargetMode="External"/><Relationship Id="rId568" Type="http://schemas.openxmlformats.org/officeDocument/2006/relationships/hyperlink" Target="https://drive.google.com/file/d/1cKVcJ8BR4Mu6SraenCnAhdzCFm_YGeXP/view?usp=sharing" TargetMode="External"/><Relationship Id="rId165" Type="http://schemas.openxmlformats.org/officeDocument/2006/relationships/hyperlink" Target="https://drive.google.com/file/d/147RMAMOE--XA5yW0J_km8-atvFdGMbrS/view?usp=sharing" TargetMode="External"/><Relationship Id="rId372" Type="http://schemas.openxmlformats.org/officeDocument/2006/relationships/hyperlink" Target="https://drive.google.com/file/d/1nApMY4wDwHeHDa27I5rPwpvYEI_dWfsM/view?usp=share_link" TargetMode="External"/><Relationship Id="rId428" Type="http://schemas.openxmlformats.org/officeDocument/2006/relationships/hyperlink" Target="https://drive.google.com/file/d/1DHXVKR8OE8UPgzi2YLJr4uk0qYnHf1w-/view?usp=sharing" TargetMode="External"/><Relationship Id="rId232" Type="http://schemas.openxmlformats.org/officeDocument/2006/relationships/hyperlink" Target="https://drive.google.com/file/d/12V-xOVagqbGztGjSMFm4nsppHzPEz7lj/view?usp=sharing" TargetMode="External"/><Relationship Id="rId274" Type="http://schemas.openxmlformats.org/officeDocument/2006/relationships/hyperlink" Target="https://drive.google.com/file/d/1jhRqwRqowpWQT_GPptKUQHm0rot0ZRVa/view?usp=share_link" TargetMode="External"/><Relationship Id="rId481" Type="http://schemas.openxmlformats.org/officeDocument/2006/relationships/hyperlink" Target="https://drive.google.com/file/d/1a8cP_YNHRhYwQuOrS85JTrSTCLf2vThX/view?usp=sharing" TargetMode="External"/><Relationship Id="rId27" Type="http://schemas.openxmlformats.org/officeDocument/2006/relationships/hyperlink" Target="https://drive.google.com/file/d/1ajSOM_I7etzpAwBYlz4FDeYt8r9dDmzs/view?usp=sharing" TargetMode="External"/><Relationship Id="rId69" Type="http://schemas.openxmlformats.org/officeDocument/2006/relationships/hyperlink" Target="https://drive.google.com/file/d/1EjSGyuJuiF4hNNqTf9i2lLBRpytEWRWB/view?usp=sharing" TargetMode="External"/><Relationship Id="rId134" Type="http://schemas.openxmlformats.org/officeDocument/2006/relationships/hyperlink" Target="https://drive.google.com/file/d/1jJAOiMAoekKFPezHe-1GHIoGKHZ10xTY/view?usp=sharing" TargetMode="External"/><Relationship Id="rId537" Type="http://schemas.openxmlformats.org/officeDocument/2006/relationships/hyperlink" Target="https://drive.google.com/file/d/1OomQf6B_53L7vU_SWnq9r0x8KbZexGfl/view?usp=sharing" TargetMode="External"/><Relationship Id="rId579" Type="http://schemas.openxmlformats.org/officeDocument/2006/relationships/hyperlink" Target="https://drive.google.com/file/d/1PbhvLhrUfR-XEODYi7BtQl_c9ee-1Hii/view?usp=sharing" TargetMode="External"/><Relationship Id="rId80" Type="http://schemas.openxmlformats.org/officeDocument/2006/relationships/hyperlink" Target="https://drive.google.com/file/d/1WfGmnfgotHy5gc6Jh7rkNKk6lDMID8ut/view?usp=sharing" TargetMode="External"/><Relationship Id="rId155" Type="http://schemas.openxmlformats.org/officeDocument/2006/relationships/hyperlink" Target="https://drive.google.com/file/d/13_SnjzSij83cPOG3XTdrFF1ChC5ZSx1A/view?usp=sharing" TargetMode="External"/><Relationship Id="rId176" Type="http://schemas.openxmlformats.org/officeDocument/2006/relationships/hyperlink" Target="https://drive.google.com/file/d/118fKmnkZezYGfL2jOSnIkp-WyEj_clar/view?usp=sharing" TargetMode="External"/><Relationship Id="rId197" Type="http://schemas.openxmlformats.org/officeDocument/2006/relationships/hyperlink" Target="https://drive.google.com/file/d/1T3M_gB_iNt71lI_VXCYDSOdDmJ0prhMv/view?usp=sharing" TargetMode="External"/><Relationship Id="rId341" Type="http://schemas.openxmlformats.org/officeDocument/2006/relationships/hyperlink" Target="https://drive.google.com/file/d/1gKDUfTdPQfdoW-Tcq1SF_FP59xsVk1QQ/view?usp=sharing" TargetMode="External"/><Relationship Id="rId362" Type="http://schemas.openxmlformats.org/officeDocument/2006/relationships/hyperlink" Target="https://drive.google.com/file/d/1aJEcZd4GoO4XBfcOnR6rXa81HDxHMwm5/view?usp=sharing" TargetMode="External"/><Relationship Id="rId383" Type="http://schemas.openxmlformats.org/officeDocument/2006/relationships/hyperlink" Target="https://drive.google.com/file/d/1wzp-jT09L-zyUILCcVU3951CDXaTWr2y/view?usp=sharing" TargetMode="External"/><Relationship Id="rId418" Type="http://schemas.openxmlformats.org/officeDocument/2006/relationships/hyperlink" Target="https://drive.google.com/file/d/11uyYGuamxIKeHkkZZEKDTW-pMEGc1dHL/view?usp=sharing" TargetMode="External"/><Relationship Id="rId439" Type="http://schemas.openxmlformats.org/officeDocument/2006/relationships/hyperlink" Target="https://drive.google.com/file/d/1sOURXDGtzzXGdupH7TnkiJ34rgKRO7Oe/view?usp=sharing" TargetMode="External"/><Relationship Id="rId590" Type="http://schemas.openxmlformats.org/officeDocument/2006/relationships/hyperlink" Target="https://drive.google.com/file/d/15EEU44Gr2gT8-0kFcN8B7qhYsAvKN_fK/view?usp=sharing" TargetMode="External"/><Relationship Id="rId604" Type="http://schemas.openxmlformats.org/officeDocument/2006/relationships/hyperlink" Target="https://drive.google.com/file/d/1GTPahlZ_oIJe-vqupsShU6ftst8gFPeY/view?usp=sharing" TargetMode="External"/><Relationship Id="rId201" Type="http://schemas.openxmlformats.org/officeDocument/2006/relationships/hyperlink" Target="https://drive.google.com/file/d/1PtRKXqeXG-CozlQz8zArI2CGdIm3zObr/view?usp=sharing" TargetMode="External"/><Relationship Id="rId222" Type="http://schemas.openxmlformats.org/officeDocument/2006/relationships/hyperlink" Target="https://drive.google.com/file/d/1ud21MihSfJX8nBvH_RwlBgdGsvgaqGS8/view?usp=sharing" TargetMode="External"/><Relationship Id="rId243" Type="http://schemas.openxmlformats.org/officeDocument/2006/relationships/hyperlink" Target="https://drive.google.com/file/d/1RobZNDq-ujRrtCU7rF_sHzWBvnoVUBQI/view?usp=sharing" TargetMode="External"/><Relationship Id="rId264" Type="http://schemas.openxmlformats.org/officeDocument/2006/relationships/hyperlink" Target="https://drive.google.com/file/d/1J-G5kBxn0JI8o0-6xkNcLfGlSUO_PXEL/view?usp=sharing" TargetMode="External"/><Relationship Id="rId285" Type="http://schemas.openxmlformats.org/officeDocument/2006/relationships/hyperlink" Target="https://drive.google.com/file/d/1z0b5wj6j_PNrgQCYfM4GKG__GVv360tF/view?usp=sharing" TargetMode="External"/><Relationship Id="rId450" Type="http://schemas.openxmlformats.org/officeDocument/2006/relationships/hyperlink" Target="https://drive.google.com/file/d/1RHi4ZB7akBodartdOBv1uKJPl5QBflqm/view?usp=sharing" TargetMode="External"/><Relationship Id="rId471" Type="http://schemas.openxmlformats.org/officeDocument/2006/relationships/hyperlink" Target="https://drive.google.com/file/d/1oiGJUGjOYjUeBBGjFQb5u1QFm52alALO/view?usp=sharing" TargetMode="External"/><Relationship Id="rId506" Type="http://schemas.openxmlformats.org/officeDocument/2006/relationships/hyperlink" Target="https://drive.google.com/file/d/1qWOl-BUQ3azXR8wKMAUHCD5W7bEfR4rF/view?usp=sharing" TargetMode="External"/><Relationship Id="rId17" Type="http://schemas.openxmlformats.org/officeDocument/2006/relationships/hyperlink" Target="https://drive.google.com/file/d/1dTIOMvFsDFI4bNOsuh5XlFFCM4j4eIWp/view?usp=sharing" TargetMode="External"/><Relationship Id="rId38" Type="http://schemas.openxmlformats.org/officeDocument/2006/relationships/hyperlink" Target="https://drive.google.com/file/d/1TLPinadK3NnVtBOriB44PdFOXKbreq8a/view?usp=sharing" TargetMode="External"/><Relationship Id="rId59" Type="http://schemas.openxmlformats.org/officeDocument/2006/relationships/hyperlink" Target="https://drive.google.com/file/d/1ZHgTOsAFqpt0fvLiARjWkPYgLsur3NQo/view?usp=sharing" TargetMode="External"/><Relationship Id="rId103" Type="http://schemas.openxmlformats.org/officeDocument/2006/relationships/hyperlink" Target="https://drive.google.com/file/d/1blpeiC_NVU2lPrIC0T4n6iXcbnDd07OR/view?usp=sharing" TargetMode="External"/><Relationship Id="rId124" Type="http://schemas.openxmlformats.org/officeDocument/2006/relationships/hyperlink" Target="https://drive.google.com/file/d/1rPvQP0xpAals_aEOf-XWOG-O2VESM3c4/view?usp=sharing" TargetMode="External"/><Relationship Id="rId310" Type="http://schemas.openxmlformats.org/officeDocument/2006/relationships/hyperlink" Target="https://drive.google.com/file/d/1_YUYWBpKpGhYTJlWibwlR2IrZIGIukJL/view?usp=sharing" TargetMode="External"/><Relationship Id="rId492" Type="http://schemas.openxmlformats.org/officeDocument/2006/relationships/hyperlink" Target="https://drive.google.com/file/d/1T3GHDprrGGtZ1RqxZxCIFaEdJM43x88U/view?usp=sharing" TargetMode="External"/><Relationship Id="rId527" Type="http://schemas.openxmlformats.org/officeDocument/2006/relationships/hyperlink" Target="https://drive.google.com/file/d/1FE2HnbsJ8P4nq6fYyTuOTpn3xeNRD8sn/view?usp=sharing" TargetMode="External"/><Relationship Id="rId548" Type="http://schemas.openxmlformats.org/officeDocument/2006/relationships/hyperlink" Target="https://drive.google.com/file/d/1taHXxa4cgn8t9qzgfwjTZsNaTasNrq9l/view?usp=sharing" TargetMode="External"/><Relationship Id="rId569" Type="http://schemas.openxmlformats.org/officeDocument/2006/relationships/hyperlink" Target="https://drive.google.com/file/d/1cKVcJ8BR4Mu6SraenCnAhdzCFm_YGeXP/view?usp=sharing" TargetMode="External"/><Relationship Id="rId70" Type="http://schemas.openxmlformats.org/officeDocument/2006/relationships/hyperlink" Target="https://drive.google.com/file/d/1_hY_4au786UJZ-f0A7JpqsSmOYCjxIZ9/view?usp=sharing" TargetMode="External"/><Relationship Id="rId91" Type="http://schemas.openxmlformats.org/officeDocument/2006/relationships/hyperlink" Target="https://drive.google.com/file/d/1r9u68QOmedipndqCrebDVVXsOJUY8rJf/view?usp=sharing" TargetMode="External"/><Relationship Id="rId145" Type="http://schemas.openxmlformats.org/officeDocument/2006/relationships/hyperlink" Target="https://drive.google.com/file/d/1-5qw7TBZkxeSEMMeP_GVlYb-uQVnkaW1/view?usp=sharing" TargetMode="External"/><Relationship Id="rId166" Type="http://schemas.openxmlformats.org/officeDocument/2006/relationships/hyperlink" Target="https://drive.google.com/file/d/1aS1saLWkKV0sXt_YDYyyvSgRTaMNv8_S/view?usp=sharing" TargetMode="External"/><Relationship Id="rId187" Type="http://schemas.openxmlformats.org/officeDocument/2006/relationships/hyperlink" Target="https://drive.google.com/file/d/1ZtVQP3I2MCFQom7WNySgCy7QP7hV-6hF/view?usp=sharing" TargetMode="External"/><Relationship Id="rId331" Type="http://schemas.openxmlformats.org/officeDocument/2006/relationships/hyperlink" Target="https://drive.google.com/file/d/1NJnrXhNI3ZJohiSatxcf_PC7PtwmTk5Q/view?usp=sharing" TargetMode="External"/><Relationship Id="rId352" Type="http://schemas.openxmlformats.org/officeDocument/2006/relationships/hyperlink" Target="https://drive.google.com/file/d/1XgiShBr-CIL8p3o_aaoBZMlDWKIHqqAp/view?usp=sharing" TargetMode="External"/><Relationship Id="rId373" Type="http://schemas.openxmlformats.org/officeDocument/2006/relationships/hyperlink" Target="https://drive.google.com/file/d/1MQ6fm9DM0f6D_F6i3Ajkub-6SjqfrSRZ/view?usp=sharing" TargetMode="External"/><Relationship Id="rId394" Type="http://schemas.openxmlformats.org/officeDocument/2006/relationships/hyperlink" Target="https://drive.google.com/file/d/1ZWOqpxjMYkDDqtdt-Wnsxv6hbtkw_m-y/view?usp=sharing" TargetMode="External"/><Relationship Id="rId408" Type="http://schemas.openxmlformats.org/officeDocument/2006/relationships/hyperlink" Target="https://drive.google.com/file/d/1qUZ_ZObr6sYRM4kXppzzcHRZWwuxEwlo/view?usp=sharing" TargetMode="External"/><Relationship Id="rId429" Type="http://schemas.openxmlformats.org/officeDocument/2006/relationships/hyperlink" Target="https://drive.google.com/file/d/1DHXVKR8OE8UPgzi2YLJr4uk0qYnHf1w-/view?usp=sharing" TargetMode="External"/><Relationship Id="rId580" Type="http://schemas.openxmlformats.org/officeDocument/2006/relationships/hyperlink" Target="https://drive.google.com/file/d/1aAxg8rl6UVTEiQTooLPJROEhodt2DV_0/view?usp=sharing" TargetMode="External"/><Relationship Id="rId615" Type="http://schemas.openxmlformats.org/officeDocument/2006/relationships/hyperlink" Target="https://drive.google.com/file/d/1b6tbcokmKg-jijv2CBHTN9zIA_W4vSzj/view?usp=sharing" TargetMode="External"/><Relationship Id="rId1" Type="http://schemas.openxmlformats.org/officeDocument/2006/relationships/hyperlink" Target="https://drive.google.com/file/d/1TO7VqBwtPpBA6k8SARsFYdP-MXiGXIlb/view?usp=sharing" TargetMode="External"/><Relationship Id="rId212" Type="http://schemas.openxmlformats.org/officeDocument/2006/relationships/hyperlink" Target="https://drive.google.com/file/d/118fKmnkZezYGfL2jOSnIkp-WyEj_clar/view?usp=sharing" TargetMode="External"/><Relationship Id="rId233" Type="http://schemas.openxmlformats.org/officeDocument/2006/relationships/hyperlink" Target="https://drive.google.com/file/d/19QFPXaV5pJRTBoOkXy1q2gP9D5_xVjtQ/view?usp=sharing" TargetMode="External"/><Relationship Id="rId254" Type="http://schemas.openxmlformats.org/officeDocument/2006/relationships/hyperlink" Target="https://drive.google.com/file/d/1_f5WGZM0IfUjn3TtK0DsEp32AWdzNZlI/view?usp=sharing" TargetMode="External"/><Relationship Id="rId440" Type="http://schemas.openxmlformats.org/officeDocument/2006/relationships/hyperlink" Target="https://drive.google.com/file/d/1sFcleYNCFvHETh8LjD94PWA-eqWgotYt/view?usp=sharing" TargetMode="External"/><Relationship Id="rId28" Type="http://schemas.openxmlformats.org/officeDocument/2006/relationships/hyperlink" Target="https://drive.google.com/file/d/10HP8L6VL3SFiB1XRyz05KKA2bhKh7snB/view?usp=sharing" TargetMode="External"/><Relationship Id="rId49" Type="http://schemas.openxmlformats.org/officeDocument/2006/relationships/hyperlink" Target="https://drive.google.com/file/d/1sln-xKeG84EwSGEqoeAqtg8mUeqcT9tk/view?usp=sharing" TargetMode="External"/><Relationship Id="rId114" Type="http://schemas.openxmlformats.org/officeDocument/2006/relationships/hyperlink" Target="https://drive.google.com/file/d/1lJlwny1SMIeB7_-1qzB0rvvek7f5oNLk/view?usp=sharing" TargetMode="External"/><Relationship Id="rId275" Type="http://schemas.openxmlformats.org/officeDocument/2006/relationships/hyperlink" Target="https://drive.google.com/file/d/18SiLND7Q6VqxtSBEyc6LVnfGhEYUhrTr/view?usp=sharing" TargetMode="External"/><Relationship Id="rId296" Type="http://schemas.openxmlformats.org/officeDocument/2006/relationships/hyperlink" Target="https://drive.google.com/file/d/1EMx5Kt6QWKNmZmtvPCxmtDxDoypaaYQm/view?usp=share_link" TargetMode="External"/><Relationship Id="rId300" Type="http://schemas.openxmlformats.org/officeDocument/2006/relationships/hyperlink" Target="https://drive.google.com/file/d/1KSQcR8fDL4ndRWJnR-w32-BhKOA5xSCT/view?usp=sharing" TargetMode="External"/><Relationship Id="rId461" Type="http://schemas.openxmlformats.org/officeDocument/2006/relationships/hyperlink" Target="https://drive.google.com/file/d/1LLQUJV8VigS42qWVTQifAUsjAtTuLEXv/view?usp=sharing" TargetMode="External"/><Relationship Id="rId482" Type="http://schemas.openxmlformats.org/officeDocument/2006/relationships/hyperlink" Target="https://drive.google.com/file/d/13Kg4dyuSp2wcnHpV7-ngyT_PBXeNV9LL/view?usp=sharing" TargetMode="External"/><Relationship Id="rId517" Type="http://schemas.openxmlformats.org/officeDocument/2006/relationships/hyperlink" Target="https://drive.google.com/file/d/1mCatZwemDnLa4pA7GPM4Z3kkj8zCaCVh/view?usp=sharing" TargetMode="External"/><Relationship Id="rId538" Type="http://schemas.openxmlformats.org/officeDocument/2006/relationships/hyperlink" Target="https://drive.google.com/file/d/1Tn2caTJ1fiGR7LOA8VD2RX18yiWDHd7v/view?usp=sharing" TargetMode="External"/><Relationship Id="rId559" Type="http://schemas.openxmlformats.org/officeDocument/2006/relationships/hyperlink" Target="https://drive.google.com/file/d/1j-AGeB__2DXXalAVm0GjK3KZM3-AHb88/view?usp=sharing" TargetMode="External"/><Relationship Id="rId60" Type="http://schemas.openxmlformats.org/officeDocument/2006/relationships/hyperlink" Target="https://drive.google.com/file/d/1ZHgTOsAFqpt0fvLiARjWkPYgLsur3NQo/view?usp=sharing" TargetMode="External"/><Relationship Id="rId81" Type="http://schemas.openxmlformats.org/officeDocument/2006/relationships/hyperlink" Target="https://drive.google.com/file/d/1jAqtz6UrmfEDIbpc-m_GVAMyrtf7Mbzh/view?usp=sharing" TargetMode="External"/><Relationship Id="rId135" Type="http://schemas.openxmlformats.org/officeDocument/2006/relationships/hyperlink" Target="https://drive.google.com/file/d/10FWTnX8LfEsEJZhF8VLN5Th4QQo-NJH5/view?usp=sharing" TargetMode="External"/><Relationship Id="rId156" Type="http://schemas.openxmlformats.org/officeDocument/2006/relationships/hyperlink" Target="https://drive.google.com/file/d/1ep1LyC19XRPFLMn8II9xY2Nz3dNqh1G8/view?usp=sharing" TargetMode="External"/><Relationship Id="rId177" Type="http://schemas.openxmlformats.org/officeDocument/2006/relationships/hyperlink" Target="https://drive.google.com/file/d/118fKmnkZezYGfL2jOSnIkp-WyEj_clar/view?usp=sharing" TargetMode="External"/><Relationship Id="rId198" Type="http://schemas.openxmlformats.org/officeDocument/2006/relationships/hyperlink" Target="https://drive.google.com/file/d/1S3eghNLJRWbR2wBelfcwrN7N-RVGiLhr/view?usp=sharing" TargetMode="External"/><Relationship Id="rId321" Type="http://schemas.openxmlformats.org/officeDocument/2006/relationships/hyperlink" Target="https://drive.google.com/file/d/1ETw0O1R7QTaQDJoBim9wXSVkJXGBo1ob/view?usp=sharing" TargetMode="External"/><Relationship Id="rId342" Type="http://schemas.openxmlformats.org/officeDocument/2006/relationships/hyperlink" Target="https://drive.google.com/file/d/1gKDUfTdPQfdoW-Tcq1SF_FP59xsVk1QQ/view?usp=sharing" TargetMode="External"/><Relationship Id="rId363" Type="http://schemas.openxmlformats.org/officeDocument/2006/relationships/hyperlink" Target="https://drive.google.com/file/d/1aJEcZd4GoO4XBfcOnR6rXa81HDxHMwm5/view?usp=sharing" TargetMode="External"/><Relationship Id="rId384" Type="http://schemas.openxmlformats.org/officeDocument/2006/relationships/hyperlink" Target="https://drive.google.com/file/d/1HbwrPf3ed3qrnZ_NcrGSVd43lac1xOGw/view?usp=sharing" TargetMode="External"/><Relationship Id="rId419" Type="http://schemas.openxmlformats.org/officeDocument/2006/relationships/hyperlink" Target="https://drive.google.com/file/d/11uyYGuamxIKeHkkZZEKDTW-pMEGc1dHL/view?usp=sharing" TargetMode="External"/><Relationship Id="rId570" Type="http://schemas.openxmlformats.org/officeDocument/2006/relationships/hyperlink" Target="https://drive.google.com/file/d/1GN-vjBHt-ZPJs3yN1CgiT630gsAMElGb/view?usp=sharing" TargetMode="External"/><Relationship Id="rId591" Type="http://schemas.openxmlformats.org/officeDocument/2006/relationships/hyperlink" Target="https://drive.google.com/file/d/1ph5A-Bu4T-gGdeUOc8l1-FGy7N8hybK-/view?usp=sharing" TargetMode="External"/><Relationship Id="rId605" Type="http://schemas.openxmlformats.org/officeDocument/2006/relationships/hyperlink" Target="https://drive.google.com/file/d/1GTPahlZ_oIJe-vqupsShU6ftst8gFPeY/view?usp=sharing" TargetMode="External"/><Relationship Id="rId202" Type="http://schemas.openxmlformats.org/officeDocument/2006/relationships/hyperlink" Target="https://drive.google.com/file/d/17c2ajKlMHR3ybq5akfEGHpIpJCnCy6fL/view?usp=sharing" TargetMode="External"/><Relationship Id="rId223" Type="http://schemas.openxmlformats.org/officeDocument/2006/relationships/hyperlink" Target="https://drive.google.com/file/d/1lAtQqsg9ZKz36cTh48etGSLWaxW51U3b/view?usp=sharing" TargetMode="External"/><Relationship Id="rId244" Type="http://schemas.openxmlformats.org/officeDocument/2006/relationships/hyperlink" Target="https://drive.google.com/file/d/1RobZNDq-ujRrtCU7rF_sHzWBvnoVUBQI/view?usp=sharing" TargetMode="External"/><Relationship Id="rId430" Type="http://schemas.openxmlformats.org/officeDocument/2006/relationships/hyperlink" Target="https://drive.google.com/file/d/1zcpZ05in4GdFVprmYnM5HbYxzvZqMqeH/view?usp=sharing" TargetMode="External"/><Relationship Id="rId18" Type="http://schemas.openxmlformats.org/officeDocument/2006/relationships/hyperlink" Target="https://drive.google.com/file/d/1P1MwOzDqci_g0_O0FKjah6rrlIBAJPLC/view?usp=sharing" TargetMode="External"/><Relationship Id="rId39" Type="http://schemas.openxmlformats.org/officeDocument/2006/relationships/hyperlink" Target="https://drive.google.com/file/d/1WGtcVBgjYIwA4T3Q9Gn41X9se5tya18w/view?usp=sharing" TargetMode="External"/><Relationship Id="rId265" Type="http://schemas.openxmlformats.org/officeDocument/2006/relationships/hyperlink" Target="https://drive.google.com/file/d/1pqKb5zV4vOelSQFsozutLB_SeJEGoOPd/view?usp=sharing" TargetMode="External"/><Relationship Id="rId286" Type="http://schemas.openxmlformats.org/officeDocument/2006/relationships/hyperlink" Target="https://drive.google.com/file/d/1En4CfdLPcyw4N9AXQdVbv75T6nYkx4Rd/view?usp=sharing" TargetMode="External"/><Relationship Id="rId451" Type="http://schemas.openxmlformats.org/officeDocument/2006/relationships/hyperlink" Target="https://drive.google.com/file/d/1fVBTfZiD4xD-Q4L9QqSV3Y9M95TU_GR9/view?usp=drive_link" TargetMode="External"/><Relationship Id="rId472" Type="http://schemas.openxmlformats.org/officeDocument/2006/relationships/hyperlink" Target="https://drive.google.com/file/d/1zM2nGZrOiKh1e5iWQJkUzLpzWGlr2Jdj/view?usp=sharing" TargetMode="External"/><Relationship Id="rId493" Type="http://schemas.openxmlformats.org/officeDocument/2006/relationships/hyperlink" Target="https://drive.google.com/file/d/1YZ5K25Q2DbAzi9oso0AGxA4MglrE3EBV/view?usp=sharing" TargetMode="External"/><Relationship Id="rId507" Type="http://schemas.openxmlformats.org/officeDocument/2006/relationships/hyperlink" Target="https://drive.google.com/file/d/19kKiQfO3MTDg86aVZcgKA2yp5LQi9bXM/view?usp=sharing" TargetMode="External"/><Relationship Id="rId528" Type="http://schemas.openxmlformats.org/officeDocument/2006/relationships/hyperlink" Target="https://drive.google.com/file/d/1FE2HnbsJ8P4nq6fYyTuOTpn3xeNRD8sn/view?usp=sharing" TargetMode="External"/><Relationship Id="rId549" Type="http://schemas.openxmlformats.org/officeDocument/2006/relationships/hyperlink" Target="https://drive.google.com/file/d/1hmzxPgFLqjmxTdVR8qqPg4VrCntk5l-1/view?usp=sharing" TargetMode="External"/><Relationship Id="rId50" Type="http://schemas.openxmlformats.org/officeDocument/2006/relationships/hyperlink" Target="https://drive.google.com/file/d/1sln-xKeG84EwSGEqoeAqtg8mUeqcT9tk/view?usp=sharing" TargetMode="External"/><Relationship Id="rId104" Type="http://schemas.openxmlformats.org/officeDocument/2006/relationships/hyperlink" Target="https://drive.google.com/file/d/11xLOiIy_LQnThwgJeARjDgWUh3N1nQyO/view?usp=sharing" TargetMode="External"/><Relationship Id="rId125" Type="http://schemas.openxmlformats.org/officeDocument/2006/relationships/hyperlink" Target="https://drive.google.com/file/d/1zo7XUja0hXkPxL4A0g53KF4LHjgyEL2s/view?usp=sharing" TargetMode="External"/><Relationship Id="rId146" Type="http://schemas.openxmlformats.org/officeDocument/2006/relationships/hyperlink" Target="https://drive.google.com/file/d/1Ssiz5znj8ov9NMo68bOEyH9CkNibyDuW/view?usp=sharing" TargetMode="External"/><Relationship Id="rId167" Type="http://schemas.openxmlformats.org/officeDocument/2006/relationships/hyperlink" Target="https://drive.google.com/file/d/1ZeNJtvs3s9mC_QwkGb0bSyhAUYnzpzmh/view?usp=sharing" TargetMode="External"/><Relationship Id="rId188" Type="http://schemas.openxmlformats.org/officeDocument/2006/relationships/hyperlink" Target="https://drive.google.com/file/d/194cl4u6i26p3Vcwt-UUv9k8QJPWf6UMX/view?usp=sharing" TargetMode="External"/><Relationship Id="rId311" Type="http://schemas.openxmlformats.org/officeDocument/2006/relationships/hyperlink" Target="https://drive.google.com/file/d/1uBj8tNXThI2HqH0FYvtLj1Ca6zXer6ZM/view?usp=sharing" TargetMode="External"/><Relationship Id="rId332" Type="http://schemas.openxmlformats.org/officeDocument/2006/relationships/hyperlink" Target="https://drive.google.com/file/d/17cgvvaBPU2OMRIDoDQ1Q0pdyPetEW9vi/view?usp=sharing" TargetMode="External"/><Relationship Id="rId353" Type="http://schemas.openxmlformats.org/officeDocument/2006/relationships/hyperlink" Target="https://drive.google.com/file/d/1XgiShBr-CIL8p3o_aaoBZMlDWKIHqqAp/view?usp=sharing" TargetMode="External"/><Relationship Id="rId374" Type="http://schemas.openxmlformats.org/officeDocument/2006/relationships/hyperlink" Target="https://drive.google.com/file/d/1zmRB15x7KsCIQRda12OZgVxOp-WwA44O/view?usp=sharing" TargetMode="External"/><Relationship Id="rId395" Type="http://schemas.openxmlformats.org/officeDocument/2006/relationships/hyperlink" Target="https://drive.google.com/file/d/1ZWOqpxjMYkDDqtdt-Wnsxv6hbtkw_m-y/view?usp=sharing" TargetMode="External"/><Relationship Id="rId409" Type="http://schemas.openxmlformats.org/officeDocument/2006/relationships/hyperlink" Target="https://drive.google.com/file/d/1AikLZiUlXiLVjlQzQ1Qbof9EzHrlLh8O/view?usp=share_link" TargetMode="External"/><Relationship Id="rId560" Type="http://schemas.openxmlformats.org/officeDocument/2006/relationships/hyperlink" Target="https://drive.google.com/file/d/1j-AGeB__2DXXalAVm0GjK3KZM3-AHb88/view?usp=sharing" TargetMode="External"/><Relationship Id="rId581" Type="http://schemas.openxmlformats.org/officeDocument/2006/relationships/hyperlink" Target="https://drive.google.com/file/d/1XPcLENeAGy_VA0H0et2tL3izKNV1JjU7/view?usp=share_link" TargetMode="External"/><Relationship Id="rId71" Type="http://schemas.openxmlformats.org/officeDocument/2006/relationships/hyperlink" Target="https://drive.google.com/file/d/1-YK-2nbY-yR8f3ND1_bWyE9Ht_ezeerA/view?usp=sharing" TargetMode="External"/><Relationship Id="rId92" Type="http://schemas.openxmlformats.org/officeDocument/2006/relationships/hyperlink" Target="https://drive.google.com/file/d/1GStba7I-4JsX7_TOz-muqCH28aHZejxM/view?usp=sharing" TargetMode="External"/><Relationship Id="rId213" Type="http://schemas.openxmlformats.org/officeDocument/2006/relationships/hyperlink" Target="https://drive.google.com/file/d/118fKmnkZezYGfL2jOSnIkp-WyEj_clar/view?usp=sharing" TargetMode="External"/><Relationship Id="rId234" Type="http://schemas.openxmlformats.org/officeDocument/2006/relationships/hyperlink" Target="https://drive.google.com/file/d/19QFPXaV5pJRTBoOkXy1q2gP9D5_xVjtQ/view?usp=sharing" TargetMode="External"/><Relationship Id="rId420" Type="http://schemas.openxmlformats.org/officeDocument/2006/relationships/hyperlink" Target="https://drive.google.com/file/d/1SemUwMHhnKr_QdOFDBeqgaysCgZTPdN1/view?usp=sharing" TargetMode="External"/><Relationship Id="rId616" Type="http://schemas.openxmlformats.org/officeDocument/2006/relationships/hyperlink" Target="https://drive.google.com/file/d/1T0PUn1LTV11TS-iSt1O5LCyXvbEMBOC1/view?usp=sharing" TargetMode="External"/><Relationship Id="rId2" Type="http://schemas.openxmlformats.org/officeDocument/2006/relationships/hyperlink" Target="https://drive.google.com/file/d/1TO7VqBwtPpBA6k8SARsFYdP-MXiGXIlb/view?usp=sharing" TargetMode="External"/><Relationship Id="rId29" Type="http://schemas.openxmlformats.org/officeDocument/2006/relationships/hyperlink" Target="https://drive.google.com/file/d/10HP8L6VL3SFiB1XRyz05KKA2bhKh7snB/view?usp=sharing" TargetMode="External"/><Relationship Id="rId255" Type="http://schemas.openxmlformats.org/officeDocument/2006/relationships/hyperlink" Target="https://drive.google.com/file/d/14R0dW74WBVv7u_rE628I6LgGBGA_p_cB/view?usp=sharing" TargetMode="External"/><Relationship Id="rId276" Type="http://schemas.openxmlformats.org/officeDocument/2006/relationships/hyperlink" Target="https://drive.google.com/file/d/1RIAIye4dD8_mEHgpPz7Npm4m2tY7Cfl8/view?usp=sharing" TargetMode="External"/><Relationship Id="rId297" Type="http://schemas.openxmlformats.org/officeDocument/2006/relationships/hyperlink" Target="https://drive.google.com/file/d/1D9SvYSFfrvb70skPXsNnv83P8PwvvRMD/view?usp=sharing" TargetMode="External"/><Relationship Id="rId441" Type="http://schemas.openxmlformats.org/officeDocument/2006/relationships/hyperlink" Target="https://drive.google.com/file/d/17NuupMD_IRi0AkgmnlgEdUEuxaAvWfHn/view?usp=share_link" TargetMode="External"/><Relationship Id="rId462" Type="http://schemas.openxmlformats.org/officeDocument/2006/relationships/hyperlink" Target="https://drive.google.com/file/d/1QXmHVxfxw-zzBimERdRHtvouyt8oWsGf/view?usp=sharing" TargetMode="External"/><Relationship Id="rId483" Type="http://schemas.openxmlformats.org/officeDocument/2006/relationships/hyperlink" Target="https://drive.google.com/file/d/1plGgEW_YAWHkcGcqi1SPvhi4qAhVlOvG/view?usp=sharing" TargetMode="External"/><Relationship Id="rId518" Type="http://schemas.openxmlformats.org/officeDocument/2006/relationships/hyperlink" Target="https://drive.google.com/file/d/1mCatZwemDnLa4pA7GPM4Z3kkj8zCaCVh/view?usp=sharing" TargetMode="External"/><Relationship Id="rId539" Type="http://schemas.openxmlformats.org/officeDocument/2006/relationships/hyperlink" Target="https://drive.google.com/file/d/1qHXthes_tsfF_kfKufCV9ZFRydzwkse4/view?usp=sharing" TargetMode="External"/><Relationship Id="rId40" Type="http://schemas.openxmlformats.org/officeDocument/2006/relationships/hyperlink" Target="https://drive.google.com/file/d/1Cr09YgLT5BBNeeGkfP8eGFSTM4eKlYNA/view?usp=sharing" TargetMode="External"/><Relationship Id="rId115" Type="http://schemas.openxmlformats.org/officeDocument/2006/relationships/hyperlink" Target="https://drive.google.com/file/d/1OzzuRcfOCbV8OvKwKmjuAHp7hfvBhO9-/view?usp=sharing" TargetMode="External"/><Relationship Id="rId136" Type="http://schemas.openxmlformats.org/officeDocument/2006/relationships/hyperlink" Target="https://drive.google.com/file/d/10FWTnX8LfEsEJZhF8VLN5Th4QQo-NJH5/view?usp=sharing" TargetMode="External"/><Relationship Id="rId157" Type="http://schemas.openxmlformats.org/officeDocument/2006/relationships/hyperlink" Target="https://drive.google.com/file/d/1QIFRHlnAhFh_AsLq9MX1hqs1rlOMAn9p/view?usp=sharing" TargetMode="External"/><Relationship Id="rId178" Type="http://schemas.openxmlformats.org/officeDocument/2006/relationships/hyperlink" Target="https://drive.google.com/file/d/1vhViFjT-3Em2MW6MWaqc9xdy3qaesjWM/view?usp=sharing" TargetMode="External"/><Relationship Id="rId301" Type="http://schemas.openxmlformats.org/officeDocument/2006/relationships/hyperlink" Target="https://drive.google.com/file/d/1KSQcR8fDL4ndRWJnR-w32-BhKOA5xSCT/view?usp=sharing" TargetMode="External"/><Relationship Id="rId322" Type="http://schemas.openxmlformats.org/officeDocument/2006/relationships/hyperlink" Target="https://drive.google.com/file/d/1twBFFnIGRjC2KI9HNY4BwQHBvOzkoasV/view?usp=sharing" TargetMode="External"/><Relationship Id="rId343" Type="http://schemas.openxmlformats.org/officeDocument/2006/relationships/hyperlink" Target="https://drive.google.com/file/d/1ARmE-L1_6gDx85jZXiTjEtFOI15wsaGP/view?usp=sharing" TargetMode="External"/><Relationship Id="rId364" Type="http://schemas.openxmlformats.org/officeDocument/2006/relationships/hyperlink" Target="https://drive.google.com/file/d/1umhrdw54Japc2Yl9PzMpJzgoEQCsDf3F/view?usp=sharing" TargetMode="External"/><Relationship Id="rId550" Type="http://schemas.openxmlformats.org/officeDocument/2006/relationships/hyperlink" Target="https://drive.google.com/file/d/1hmzxPgFLqjmxTdVR8qqPg4VrCntk5l-1/view?usp=sharing" TargetMode="External"/><Relationship Id="rId61" Type="http://schemas.openxmlformats.org/officeDocument/2006/relationships/hyperlink" Target="https://drive.google.com/file/d/1bsMLKIIhGD5VtUNR_RDt4ew77kGopCy9/view?usp=sharing" TargetMode="External"/><Relationship Id="rId82" Type="http://schemas.openxmlformats.org/officeDocument/2006/relationships/hyperlink" Target="https://drive.google.com/file/d/1SnjVaOwPK6ZO1bzSUdcTPmzWlc3UVzCd/view?usp=sharing" TargetMode="External"/><Relationship Id="rId199" Type="http://schemas.openxmlformats.org/officeDocument/2006/relationships/hyperlink" Target="https://drive.google.com/file/d/1bhkSNjzhKgo8yzhmPsuIipq1MnJcRV1W/view?usp=sharing" TargetMode="External"/><Relationship Id="rId203" Type="http://schemas.openxmlformats.org/officeDocument/2006/relationships/hyperlink" Target="https://drive.google.com/file/d/132LNzDxt-g3ez3Hr89llM-sNjn6KArC2/view?usp=sharing" TargetMode="External"/><Relationship Id="rId385" Type="http://schemas.openxmlformats.org/officeDocument/2006/relationships/hyperlink" Target="https://drive.google.com/file/d/102UaqV2HXqHIsw1o93qqB88HN7wXTyDr/view?usp=sharing" TargetMode="External"/><Relationship Id="rId571" Type="http://schemas.openxmlformats.org/officeDocument/2006/relationships/hyperlink" Target="https://drive.google.com/file/d/1GN-vjBHt-ZPJs3yN1CgiT630gsAMElGb/view?usp=sharing" TargetMode="External"/><Relationship Id="rId592" Type="http://schemas.openxmlformats.org/officeDocument/2006/relationships/hyperlink" Target="https://drive.google.com/file/d/1ph5A-Bu4T-gGdeUOc8l1-FGy7N8hybK-/view?usp=sharing" TargetMode="External"/><Relationship Id="rId606" Type="http://schemas.openxmlformats.org/officeDocument/2006/relationships/hyperlink" Target="https://drive.google.com/file/d/1CqjXpEEdTxUdwb-X-2HKoTfNaXVRl_xa/view?usp=sharing" TargetMode="External"/><Relationship Id="rId19" Type="http://schemas.openxmlformats.org/officeDocument/2006/relationships/hyperlink" Target="https://drive.google.com/file/d/1kTigbbZNV7PL0CwOfjo9KGjOdf1yCPAh/view?usp=sharing" TargetMode="External"/><Relationship Id="rId224" Type="http://schemas.openxmlformats.org/officeDocument/2006/relationships/hyperlink" Target="https://drive.google.com/file/d/10wkB0ODQPlbkqqKXZIosMXxkCEMxNwE_/view?usp=sharing" TargetMode="External"/><Relationship Id="rId245" Type="http://schemas.openxmlformats.org/officeDocument/2006/relationships/hyperlink" Target="https://drive.google.com/file/d/1D8e_cQIz4BZ6SEBq2bZBjMLv411-WtSn/view?usp=sharing" TargetMode="External"/><Relationship Id="rId266" Type="http://schemas.openxmlformats.org/officeDocument/2006/relationships/hyperlink" Target="https://drive.google.com/file/d/1pqKb5zV4vOelSQFsozutLB_SeJEGoOPd/view?usp=sharing" TargetMode="External"/><Relationship Id="rId287" Type="http://schemas.openxmlformats.org/officeDocument/2006/relationships/hyperlink" Target="https://drive.google.com/file/d/1En4CfdLPcyw4N9AXQdVbv75T6nYkx4Rd/view?usp=sharing" TargetMode="External"/><Relationship Id="rId410" Type="http://schemas.openxmlformats.org/officeDocument/2006/relationships/hyperlink" Target="https://drive.google.com/file/d/13zZo3R3_0WjwXDCNZSCru2WX0bQw6nFS/view?usp=sharing" TargetMode="External"/><Relationship Id="rId431" Type="http://schemas.openxmlformats.org/officeDocument/2006/relationships/hyperlink" Target="https://drive.google.com/file/d/1zcpZ05in4GdFVprmYnM5HbYxzvZqMqeH/view?usp=sharing" TargetMode="External"/><Relationship Id="rId452" Type="http://schemas.openxmlformats.org/officeDocument/2006/relationships/hyperlink" Target="https://drive.google.com/file/d/1d8DK-7ZEE979t96mk_8IAda02LobDDW6/view?usp=sharing" TargetMode="External"/><Relationship Id="rId473" Type="http://schemas.openxmlformats.org/officeDocument/2006/relationships/hyperlink" Target="https://drive.google.com/file/d/1OxTfZ64hosh-QYOX0bjOdPE5aYNPQp5C/view?usp=sharing" TargetMode="External"/><Relationship Id="rId494" Type="http://schemas.openxmlformats.org/officeDocument/2006/relationships/hyperlink" Target="https://drive.google.com/file/d/1YZ5K25Q2DbAzi9oso0AGxA4MglrE3EBV/view?usp=sharing" TargetMode="External"/><Relationship Id="rId508" Type="http://schemas.openxmlformats.org/officeDocument/2006/relationships/hyperlink" Target="https://drive.google.com/file/d/1Iw2yhGaqea0D2Q3PR2hlktxDQT4ItLQP/view?usp=sharing" TargetMode="External"/><Relationship Id="rId529" Type="http://schemas.openxmlformats.org/officeDocument/2006/relationships/hyperlink" Target="https://drive.google.com/file/d/10Ppj9NiYy2whsUaE1KGyyowGVINVcns6/view?usp=sharing" TargetMode="External"/><Relationship Id="rId30" Type="http://schemas.openxmlformats.org/officeDocument/2006/relationships/hyperlink" Target="https://drive.google.com/file/d/1fSEEoIPPuDcLp6eOys9L8skR8rlO8xSI/view?usp=sharing" TargetMode="External"/><Relationship Id="rId105" Type="http://schemas.openxmlformats.org/officeDocument/2006/relationships/hyperlink" Target="https://drive.google.com/file/d/11xLOiIy_LQnThwgJeARjDgWUh3N1nQyO/view?usp=sharing" TargetMode="External"/><Relationship Id="rId126" Type="http://schemas.openxmlformats.org/officeDocument/2006/relationships/hyperlink" Target="https://drive.google.com/file/d/1zo7XUja0hXkPxL4A0g53KF4LHjgyEL2s/view?usp=sharing" TargetMode="External"/><Relationship Id="rId147" Type="http://schemas.openxmlformats.org/officeDocument/2006/relationships/hyperlink" Target="https://drive.google.com/file/d/1mznCh2FVLXsZ4IRXu0uC0DIZ93EfF1ht/view?usp=sharing" TargetMode="External"/><Relationship Id="rId168" Type="http://schemas.openxmlformats.org/officeDocument/2006/relationships/hyperlink" Target="https://drive.google.com/file/d/1jQ3mM-lNBKvt9KcM6Dvmv-xOX_JCumNU/view?usp=sharing" TargetMode="External"/><Relationship Id="rId312" Type="http://schemas.openxmlformats.org/officeDocument/2006/relationships/hyperlink" Target="https://drive.google.com/file/d/18lsdkRCZSzYmhdBV9QsG33CFKzH_vEVq/view?usp=sharing" TargetMode="External"/><Relationship Id="rId333" Type="http://schemas.openxmlformats.org/officeDocument/2006/relationships/hyperlink" Target="https://drive.google.com/file/d/17cgvvaBPU2OMRIDoDQ1Q0pdyPetEW9vi/view?usp=sharing" TargetMode="External"/><Relationship Id="rId354" Type="http://schemas.openxmlformats.org/officeDocument/2006/relationships/hyperlink" Target="https://drive.google.com/file/d/12Jal7k4vu8-u3Yk9hRPI68Z79LERTIMG/view?usp=sharing" TargetMode="External"/><Relationship Id="rId540" Type="http://schemas.openxmlformats.org/officeDocument/2006/relationships/hyperlink" Target="https://drive.google.com/file/d/1qHXthes_tsfF_kfKufCV9ZFRydzwkse4/view?usp=sharing" TargetMode="External"/><Relationship Id="rId51" Type="http://schemas.openxmlformats.org/officeDocument/2006/relationships/hyperlink" Target="https://drive.google.com/file/d/1WHtZ9cdj3M5vZX6uN_-CcuMF5V-cA44J/view?usp=sharing" TargetMode="External"/><Relationship Id="rId72" Type="http://schemas.openxmlformats.org/officeDocument/2006/relationships/hyperlink" Target="https://drive.google.com/file/d/15tTd_qmi-LfkGZVSw3a-GyuIVMkoSQG_/view?usp=sharing" TargetMode="External"/><Relationship Id="rId93" Type="http://schemas.openxmlformats.org/officeDocument/2006/relationships/hyperlink" Target="https://drive.google.com/file/d/1oSt4a_idj_d9LTw8QmCgr9mCxekCsXbF/view?usp=sharing" TargetMode="External"/><Relationship Id="rId189" Type="http://schemas.openxmlformats.org/officeDocument/2006/relationships/hyperlink" Target="https://drive.google.com/file/d/194cl4u6i26p3Vcwt-UUv9k8QJPWf6UMX/view?usp=sharing" TargetMode="External"/><Relationship Id="rId375" Type="http://schemas.openxmlformats.org/officeDocument/2006/relationships/hyperlink" Target="https://drive.google.com/file/d/1pjWr-G9qXdyMxx02Q7uGF4UfNtaLVMyd/view?usp=sharing" TargetMode="External"/><Relationship Id="rId396" Type="http://schemas.openxmlformats.org/officeDocument/2006/relationships/hyperlink" Target="https://drive.google.com/file/d/1jOlWaABpb4o2w8ftDl7GOC40SUFtzA94/view?usp=sharing" TargetMode="External"/><Relationship Id="rId561" Type="http://schemas.openxmlformats.org/officeDocument/2006/relationships/hyperlink" Target="https://drive.google.com/file/d/1DpPj950XKxxBHwJBwQ89x7uNC3hkhHc_/view?usp=sharing" TargetMode="External"/><Relationship Id="rId582" Type="http://schemas.openxmlformats.org/officeDocument/2006/relationships/hyperlink" Target="https://drive.google.com/file/d/1E1cxJzCNEc4wVlRd9fp80xYK6wWhdwLu/view?usp=sharing" TargetMode="External"/><Relationship Id="rId617" Type="http://schemas.openxmlformats.org/officeDocument/2006/relationships/hyperlink" Target="https://drive.google.com/file/d/1pYU5cbodY8nMtETCujaDchUFyoc--Mil/view?usp=sharing" TargetMode="External"/><Relationship Id="rId3" Type="http://schemas.openxmlformats.org/officeDocument/2006/relationships/hyperlink" Target="https://drive.google.com/file/d/1G6TiCBBrKTWWk6dKXErlf1mkf24PXi5s/view?usp=sharing" TargetMode="External"/><Relationship Id="rId214" Type="http://schemas.openxmlformats.org/officeDocument/2006/relationships/hyperlink" Target="https://drive.google.com/file/d/1w-IlieJmrPex_8C3PxrBe9t_t3eAGpsy/view?usp=sharing" TargetMode="External"/><Relationship Id="rId235" Type="http://schemas.openxmlformats.org/officeDocument/2006/relationships/hyperlink" Target="https://drive.google.com/file/d/1J-W3nAcodR5Gly1rivIe5jmsVDTCvOtk/view?usp=sharing" TargetMode="External"/><Relationship Id="rId256" Type="http://schemas.openxmlformats.org/officeDocument/2006/relationships/hyperlink" Target="https://drive.google.com/file/d/14R0dW74WBVv7u_rE628I6LgGBGA_p_cB/view?usp=sharing" TargetMode="External"/><Relationship Id="rId277" Type="http://schemas.openxmlformats.org/officeDocument/2006/relationships/hyperlink" Target="https://drive.google.com/file/d/1RIAIye4dD8_mEHgpPz7Npm4m2tY7Cfl8/view?usp=sharing" TargetMode="External"/><Relationship Id="rId298" Type="http://schemas.openxmlformats.org/officeDocument/2006/relationships/hyperlink" Target="https://drive.google.com/file/d/14MOXudmJj2NpTTKmZ2cebYim-lGtj0cp/view?usp=sharing" TargetMode="External"/><Relationship Id="rId400" Type="http://schemas.openxmlformats.org/officeDocument/2006/relationships/hyperlink" Target="https://drive.google.com/file/d/1M8xcCp9vr5ecrifz01l0rsxFUhoKmbUu/view?usp=sharing" TargetMode="External"/><Relationship Id="rId421" Type="http://schemas.openxmlformats.org/officeDocument/2006/relationships/hyperlink" Target="https://drive.google.com/file/d/1SemUwMHhnKr_QdOFDBeqgaysCgZTPdN1/view?usp=sharing" TargetMode="External"/><Relationship Id="rId442" Type="http://schemas.openxmlformats.org/officeDocument/2006/relationships/hyperlink" Target="https://drive.google.com/file/d/1rwz30BTbIz8lJhZsyDB57welpa9DIa7X/view?usp=sharing" TargetMode="External"/><Relationship Id="rId463" Type="http://schemas.openxmlformats.org/officeDocument/2006/relationships/hyperlink" Target="https://drive.google.com/file/d/1WxGbf1Xdv2Wfha3H-IRZehrV_iiEY8zY/view?usp=share_link" TargetMode="External"/><Relationship Id="rId484" Type="http://schemas.openxmlformats.org/officeDocument/2006/relationships/hyperlink" Target="https://drive.google.com/file/d/1QRNVLnPDN0mOtcNt5JOvfx2HPRSz3Vln/view?usp=sharing" TargetMode="External"/><Relationship Id="rId519" Type="http://schemas.openxmlformats.org/officeDocument/2006/relationships/hyperlink" Target="https://drive.google.com/file/d/1Ja_LF7RdLZ0Q_PQNFvDolucX66GtreEh/view?usp=sharing" TargetMode="External"/><Relationship Id="rId116" Type="http://schemas.openxmlformats.org/officeDocument/2006/relationships/hyperlink" Target="https://drive.google.com/file/d/1O9RvFDRGO6goKNEbYjsBtKrR6z6mmpjB/view?usp=sharing" TargetMode="External"/><Relationship Id="rId137" Type="http://schemas.openxmlformats.org/officeDocument/2006/relationships/hyperlink" Target="https://drive.google.com/file/d/1C1479lUhKl3kPx4ddMY0kbyztqtlNPRW/view?usp=sharing" TargetMode="External"/><Relationship Id="rId158" Type="http://schemas.openxmlformats.org/officeDocument/2006/relationships/hyperlink" Target="https://drive.google.com/file/d/1iss8UHFcTkg5rjD9WIjED_Udg9XW8jLv/view?usp=sharing" TargetMode="External"/><Relationship Id="rId302" Type="http://schemas.openxmlformats.org/officeDocument/2006/relationships/hyperlink" Target="https://drive.google.com/file/d/1dgYLobTSdQKetbNw6DH0sdCuIM0VgJrb/view?usp=sharing" TargetMode="External"/><Relationship Id="rId323" Type="http://schemas.openxmlformats.org/officeDocument/2006/relationships/hyperlink" Target="https://drive.google.com/file/d/1twBFFnIGRjC2KI9HNY4BwQHBvOzkoasV/view?usp=sharing" TargetMode="External"/><Relationship Id="rId344" Type="http://schemas.openxmlformats.org/officeDocument/2006/relationships/hyperlink" Target="https://drive.google.com/file/d/1ARmE-L1_6gDx85jZXiTjEtFOI15wsaGP/view?usp=sharing" TargetMode="External"/><Relationship Id="rId530" Type="http://schemas.openxmlformats.org/officeDocument/2006/relationships/hyperlink" Target="https://drive.google.com/file/d/10Ppj9NiYy2whsUaE1KGyyowGVINVcns6/view?usp=sharing" TargetMode="External"/><Relationship Id="rId20" Type="http://schemas.openxmlformats.org/officeDocument/2006/relationships/hyperlink" Target="https://drive.google.com/file/d/1kTigbbZNV7PL0CwOfjo9KGjOdf1yCPAh/view?usp=sharing" TargetMode="External"/><Relationship Id="rId41" Type="http://schemas.openxmlformats.org/officeDocument/2006/relationships/hyperlink" Target="https://drive.google.com/file/d/1Cr09YgLT5BBNeeGkfP8eGFSTM4eKlYNA/view?usp=sharing" TargetMode="External"/><Relationship Id="rId62" Type="http://schemas.openxmlformats.org/officeDocument/2006/relationships/hyperlink" Target="https://drive.google.com/file/d/1bsMLKIIhGD5VtUNR_RDt4ew77kGopCy9/view?usp=sharing" TargetMode="External"/><Relationship Id="rId83" Type="http://schemas.openxmlformats.org/officeDocument/2006/relationships/hyperlink" Target="https://drive.google.com/file/d/1SnjVaOwPK6ZO1bzSUdcTPmzWlc3UVzCd/view?usp=sharing" TargetMode="External"/><Relationship Id="rId179" Type="http://schemas.openxmlformats.org/officeDocument/2006/relationships/hyperlink" Target="https://drive.google.com/file/d/16FrBLCuuJo_XVUhhg1r-dC-c6ovc5zaW/view?usp=sharing" TargetMode="External"/><Relationship Id="rId365" Type="http://schemas.openxmlformats.org/officeDocument/2006/relationships/hyperlink" Target="https://drive.google.com/file/d/1KL_yawyt-3NlYm6yx65_CeAeD8Mz_9Mb/view?usp=sharing" TargetMode="External"/><Relationship Id="rId386" Type="http://schemas.openxmlformats.org/officeDocument/2006/relationships/hyperlink" Target="https://drive.google.com/file/d/1QQ1NI3yRUmQ7x08fm90FJsHf0gf5-XjD/view?usp=sharing" TargetMode="External"/><Relationship Id="rId551" Type="http://schemas.openxmlformats.org/officeDocument/2006/relationships/hyperlink" Target="https://drive.google.com/file/d/1qVR8ljuUSjTL70muk0P3cErP_6G0hrHL/view?usp=sharing" TargetMode="External"/><Relationship Id="rId572" Type="http://schemas.openxmlformats.org/officeDocument/2006/relationships/hyperlink" Target="https://drive.google.com/file/d/1XPbm6vQWKQqRSdi7UqMiWHmbwD9U6NfN/view?usp=sharing" TargetMode="External"/><Relationship Id="rId593" Type="http://schemas.openxmlformats.org/officeDocument/2006/relationships/hyperlink" Target="https://drive.google.com/file/d/18HAAiQ9XRQsb7M_SWBxBQGDaRd7c6LOL/view?usp=sharing" TargetMode="External"/><Relationship Id="rId607" Type="http://schemas.openxmlformats.org/officeDocument/2006/relationships/hyperlink" Target="https://drive.google.com/file/d/1CqjXpEEdTxUdwb-X-2HKoTfNaXVRl_xa/view?usp=sharing" TargetMode="External"/><Relationship Id="rId190" Type="http://schemas.openxmlformats.org/officeDocument/2006/relationships/hyperlink" Target="https://drive.google.com/file/d/1V_xmBWXu6K1bByQhQDfFw9kv2GWtsLk2/view?usp=sharing" TargetMode="External"/><Relationship Id="rId204" Type="http://schemas.openxmlformats.org/officeDocument/2006/relationships/hyperlink" Target="https://drive.google.com/file/d/13uwuulV6EZ3bte8r7HA6FSYsIDIQfLXG/view?usp=sharing" TargetMode="External"/><Relationship Id="rId225" Type="http://schemas.openxmlformats.org/officeDocument/2006/relationships/hyperlink" Target="https://drive.google.com/file/d/1CDKh7qDZd3OAU4xCV3KMWQSJmnKPVUDZ/view?usp=sharing" TargetMode="External"/><Relationship Id="rId246" Type="http://schemas.openxmlformats.org/officeDocument/2006/relationships/hyperlink" Target="https://drive.google.com/file/d/1D8e_cQIz4BZ6SEBq2bZBjMLv411-WtSn/view?usp=sharing" TargetMode="External"/><Relationship Id="rId267" Type="http://schemas.openxmlformats.org/officeDocument/2006/relationships/hyperlink" Target="https://drive.google.com/file/d/1cIpHpVjcG5zy_SPkbh64vkUF5n7RD2u_/view?usp=sharing" TargetMode="External"/><Relationship Id="rId288" Type="http://schemas.openxmlformats.org/officeDocument/2006/relationships/hyperlink" Target="https://drive.google.com/file/d/1X6JR8RkYuhiGxMN-ohbSjoWsIieHnVnF/view?usp=sharing" TargetMode="External"/><Relationship Id="rId411" Type="http://schemas.openxmlformats.org/officeDocument/2006/relationships/hyperlink" Target="https://drive.google.com/file/d/1-szxNfIUnZhQHpKVSwvqvk8D3hJPEchk/view?usp=sharing" TargetMode="External"/><Relationship Id="rId432" Type="http://schemas.openxmlformats.org/officeDocument/2006/relationships/hyperlink" Target="https://drive.google.com/file/d/1BPmscgD1rNVoNcfjFxqr-wEkYScggB3e/view?usp=sharing" TargetMode="External"/><Relationship Id="rId453" Type="http://schemas.openxmlformats.org/officeDocument/2006/relationships/hyperlink" Target="https://drive.google.com/file/d/1d8DK-7ZEE979t96mk_8IAda02LobDDW6/view?usp=sharing" TargetMode="External"/><Relationship Id="rId474" Type="http://schemas.openxmlformats.org/officeDocument/2006/relationships/hyperlink" Target="https://drive.google.com/file/d/11Rrkn25lKyAcUsfO-vkJBdCTa8TuY087/view?usp=sharing" TargetMode="External"/><Relationship Id="rId509" Type="http://schemas.openxmlformats.org/officeDocument/2006/relationships/hyperlink" Target="https://drive.google.com/file/d/1Iw2yhGaqea0D2Q3PR2hlktxDQT4ItLQP/view?usp=sharing" TargetMode="External"/><Relationship Id="rId106" Type="http://schemas.openxmlformats.org/officeDocument/2006/relationships/hyperlink" Target="https://drive.google.com/file/d/1ypVgcW5IqUpvMqoQPywZCOcgIKVafL2x/view?usp=sharing" TargetMode="External"/><Relationship Id="rId127" Type="http://schemas.openxmlformats.org/officeDocument/2006/relationships/hyperlink" Target="https://drive.google.com/file/d/1wal_3tZ8WqWOQ5Qwmw9O9Wzegs0UJaid/view?usp=sharing" TargetMode="External"/><Relationship Id="rId313" Type="http://schemas.openxmlformats.org/officeDocument/2006/relationships/hyperlink" Target="https://drive.google.com/file/d/1lIXe1he1PWqG12f3hhGCpXO-X1n0LQ5O/view?usp=share_link" TargetMode="External"/><Relationship Id="rId495" Type="http://schemas.openxmlformats.org/officeDocument/2006/relationships/hyperlink" Target="https://drive.google.com/file/d/1iWeFtKAlk9ZNvDq6bnznWM35dY_D0Vp7/view?usp=sharing" TargetMode="External"/><Relationship Id="rId10" Type="http://schemas.openxmlformats.org/officeDocument/2006/relationships/hyperlink" Target="https://drive.google.com/file/d/1EsmmRzmY1JSota9g3bx0wdCbDu1mPN1a/view?usp=sharing" TargetMode="External"/><Relationship Id="rId31" Type="http://schemas.openxmlformats.org/officeDocument/2006/relationships/hyperlink" Target="https://drive.google.com/file/d/1fSEEoIPPuDcLp6eOys9L8skR8rlO8xSI/view?usp=sharing" TargetMode="External"/><Relationship Id="rId52" Type="http://schemas.openxmlformats.org/officeDocument/2006/relationships/hyperlink" Target="https://drive.google.com/file/d/1WHtZ9cdj3M5vZX6uN_-CcuMF5V-cA44J/view?usp=sharing" TargetMode="External"/><Relationship Id="rId73" Type="http://schemas.openxmlformats.org/officeDocument/2006/relationships/hyperlink" Target="https://drive.google.com/file/d/1FP684isn6ol96JG8bbNcCzkILqrV7Fyc/view?usp=sharing" TargetMode="External"/><Relationship Id="rId94" Type="http://schemas.openxmlformats.org/officeDocument/2006/relationships/hyperlink" Target="https://drive.google.com/file/d/1oSt4a_idj_d9LTw8QmCgr9mCxekCsXbF/view?usp=sharing" TargetMode="External"/><Relationship Id="rId148" Type="http://schemas.openxmlformats.org/officeDocument/2006/relationships/hyperlink" Target="https://drive.google.com/file/d/1mznCh2FVLXsZ4IRXu0uC0DIZ93EfF1ht/view?usp=sharing" TargetMode="External"/><Relationship Id="rId169" Type="http://schemas.openxmlformats.org/officeDocument/2006/relationships/hyperlink" Target="https://drive.google.com/file/d/1zSxIaVqiS8bTOGkQ3WKfphmRLLu-S73e/view?usp=sharing" TargetMode="External"/><Relationship Id="rId334" Type="http://schemas.openxmlformats.org/officeDocument/2006/relationships/hyperlink" Target="https://drive.google.com/file/d/1zcoHwIBbtsSLDaMc2xTd9JXXM1BVF_7X/view?usp=sharing" TargetMode="External"/><Relationship Id="rId355" Type="http://schemas.openxmlformats.org/officeDocument/2006/relationships/hyperlink" Target="https://drive.google.com/file/d/12Jal7k4vu8-u3Yk9hRPI68Z79LERTIMG/view?usp=sharing" TargetMode="External"/><Relationship Id="rId376" Type="http://schemas.openxmlformats.org/officeDocument/2006/relationships/hyperlink" Target="https://drive.google.com/file/d/1OVsgqyA1LaIHkbp5u-hZ3XUWUnn5wdoV/view?usp=sharing" TargetMode="External"/><Relationship Id="rId397" Type="http://schemas.openxmlformats.org/officeDocument/2006/relationships/hyperlink" Target="https://drive.google.com/file/d/1PsAg9s0AW4l1jzHyVVw1j8O3PuVYlohG/view?usp=sharing" TargetMode="External"/><Relationship Id="rId520" Type="http://schemas.openxmlformats.org/officeDocument/2006/relationships/hyperlink" Target="https://drive.google.com/file/d/1Ja_LF7RdLZ0Q_PQNFvDolucX66GtreEh/view?usp=sharing" TargetMode="External"/><Relationship Id="rId541" Type="http://schemas.openxmlformats.org/officeDocument/2006/relationships/hyperlink" Target="https://drive.google.com/file/d/1_3qkAf-DZdswo1CdwDbCxGot_gjzZWo_/view?usp=sharing" TargetMode="External"/><Relationship Id="rId562" Type="http://schemas.openxmlformats.org/officeDocument/2006/relationships/hyperlink" Target="https://drive.google.com/file/d/1EltSADaY9R3NBmRdDAOzAXUWlIOEQoN6/view?usp=share_link" TargetMode="External"/><Relationship Id="rId583" Type="http://schemas.openxmlformats.org/officeDocument/2006/relationships/hyperlink" Target="https://drive.google.com/file/d/1E1cxJzCNEc4wVlRd9fp80xYK6wWhdwLu/view?usp=sharing" TargetMode="External"/><Relationship Id="rId618" Type="http://schemas.openxmlformats.org/officeDocument/2006/relationships/hyperlink" Target="https://drive.google.com/file/d/1DHd9ggYYVRTygKEe9MpVhHG_TjQOPYnl/view?usp=sharing" TargetMode="External"/><Relationship Id="rId4" Type="http://schemas.openxmlformats.org/officeDocument/2006/relationships/hyperlink" Target="https://drive.google.com/file/d/1G6TiCBBrKTWWk6dKXErlf1mkf24PXi5s/view?usp=sharing" TargetMode="External"/><Relationship Id="rId180" Type="http://schemas.openxmlformats.org/officeDocument/2006/relationships/hyperlink" Target="https://drive.google.com/file/d/16FrBLCuuJo_XVUhhg1r-dC-c6ovc5zaW/view?usp=sharing" TargetMode="External"/><Relationship Id="rId215" Type="http://schemas.openxmlformats.org/officeDocument/2006/relationships/hyperlink" Target="https://drive.google.com/file/d/1w-IlieJmrPex_8C3PxrBe9t_t3eAGpsy/view?usp=sharing" TargetMode="External"/><Relationship Id="rId236" Type="http://schemas.openxmlformats.org/officeDocument/2006/relationships/hyperlink" Target="https://drive.google.com/file/d/1J-W3nAcodR5Gly1rivIe5jmsVDTCvOtk/view?usp=sharing" TargetMode="External"/><Relationship Id="rId257" Type="http://schemas.openxmlformats.org/officeDocument/2006/relationships/hyperlink" Target="https://drive.google.com/file/d/1xd4ItTvGR5F6jGpX4JfeOBD9wKXDQiVl/view?usp=sharing" TargetMode="External"/><Relationship Id="rId278" Type="http://schemas.openxmlformats.org/officeDocument/2006/relationships/hyperlink" Target="https://drive.google.com/file/d/19sjOeudj3Hj1d1RHiKll2I3CgPIBr8kd/view?usp=sharing" TargetMode="External"/><Relationship Id="rId401" Type="http://schemas.openxmlformats.org/officeDocument/2006/relationships/hyperlink" Target="https://drive.google.com/file/d/1Ol1cGoMjiSbPjhg8ogeaMIGFISJnGaA4/view?usp=sharing" TargetMode="External"/><Relationship Id="rId422" Type="http://schemas.openxmlformats.org/officeDocument/2006/relationships/hyperlink" Target="https://drive.google.com/file/d/1in09OhT0V7kFXxMXm-WX-rSqBCM8vxkP/view?usp=sharing" TargetMode="External"/><Relationship Id="rId443" Type="http://schemas.openxmlformats.org/officeDocument/2006/relationships/hyperlink" Target="https://drive.google.com/file/d/16G41luh65KAhIlrgCDFPUQbN1lmhdZtf/view?usp=sharing" TargetMode="External"/><Relationship Id="rId464" Type="http://schemas.openxmlformats.org/officeDocument/2006/relationships/hyperlink" Target="https://drive.google.com/file/d/17t1haWIEJcnsATcF6ZTmaEanUVjE4jlH/view?usp=sharing" TargetMode="External"/><Relationship Id="rId303" Type="http://schemas.openxmlformats.org/officeDocument/2006/relationships/hyperlink" Target="https://drive.google.com/file/d/1hHtgSwK1bS3PuppJjSTLP69yjc_jaY78/view?usp=share_link" TargetMode="External"/><Relationship Id="rId485" Type="http://schemas.openxmlformats.org/officeDocument/2006/relationships/hyperlink" Target="https://drive.google.com/file/d/1QRNVLnPDN0mOtcNt5JOvfx2HPRSz3Vln/view?usp=sharing" TargetMode="External"/><Relationship Id="rId42" Type="http://schemas.openxmlformats.org/officeDocument/2006/relationships/hyperlink" Target="https://drive.google.com/file/d/1px4cY5xMG4GB4SHVUo5ZbHb1aVsjUNjU/view?usp=sharing" TargetMode="External"/><Relationship Id="rId84" Type="http://schemas.openxmlformats.org/officeDocument/2006/relationships/hyperlink" Target="https://drive.google.com/file/d/1z4fbuEMDODoslBKIrRfyb21rIcblbxKI/view?usp=sharing" TargetMode="External"/><Relationship Id="rId138" Type="http://schemas.openxmlformats.org/officeDocument/2006/relationships/hyperlink" Target="https://drive.google.com/file/d/1C1479lUhKl3kPx4ddMY0kbyztqtlNPRW/view?usp=sharing" TargetMode="External"/><Relationship Id="rId345" Type="http://schemas.openxmlformats.org/officeDocument/2006/relationships/hyperlink" Target="https://drive.google.com/file/d/1J-JD9h7FOD6tOpGdJ9HGz8cFda0pvfsW/view?usp=sharing" TargetMode="External"/><Relationship Id="rId387" Type="http://schemas.openxmlformats.org/officeDocument/2006/relationships/hyperlink" Target="https://drive.google.com/file/d/1QQ1NI3yRUmQ7x08fm90FJsHf0gf5-XjD/view?usp=sharing" TargetMode="External"/><Relationship Id="rId510" Type="http://schemas.openxmlformats.org/officeDocument/2006/relationships/hyperlink" Target="https://drive.google.com/file/d/14cqvVqlo3Z0bxHYiy12jJZUe1P40g5Ql/view?usp=sharing" TargetMode="External"/><Relationship Id="rId552" Type="http://schemas.openxmlformats.org/officeDocument/2006/relationships/hyperlink" Target="https://drive.google.com/file/d/1Nve-YpSTvIC2b1-7N5sSwPWgeop0KmdH/view?usp=sharing" TargetMode="External"/><Relationship Id="rId594" Type="http://schemas.openxmlformats.org/officeDocument/2006/relationships/hyperlink" Target="https://drive.google.com/file/d/1-A3JckLqmDPJg8UdgR9cR58NQjJwLfJC/view?usp=sharing" TargetMode="External"/><Relationship Id="rId608" Type="http://schemas.openxmlformats.org/officeDocument/2006/relationships/hyperlink" Target="https://drive.google.com/file/d/1mUroOOB3QOX-sT3_PS7l4twjCD4QeKPC/view?usp=sharing" TargetMode="External"/><Relationship Id="rId191" Type="http://schemas.openxmlformats.org/officeDocument/2006/relationships/hyperlink" Target="https://drive.google.com/file/d/1J0eyfxx0LzMn0z-Njrh1PuCTbFpF2dOg/view?usp=sharing" TargetMode="External"/><Relationship Id="rId205" Type="http://schemas.openxmlformats.org/officeDocument/2006/relationships/hyperlink" Target="https://drive.google.com/file/d/1Je_ajkuN5SuEaL_R6ch10OYW6C2Zg9Bs/view?usp=sharing" TargetMode="External"/><Relationship Id="rId247" Type="http://schemas.openxmlformats.org/officeDocument/2006/relationships/hyperlink" Target="https://drive.google.com/file/d/1G-9OJ6im7WugLFzKFhxRtJ0F76u84b5p/view?usp=sharing" TargetMode="External"/><Relationship Id="rId412" Type="http://schemas.openxmlformats.org/officeDocument/2006/relationships/hyperlink" Target="https://drive.google.com/file/d/1-szxNfIUnZhQHpKVSwvqvk8D3hJPEchk/view?usp=sharing" TargetMode="External"/><Relationship Id="rId107" Type="http://schemas.openxmlformats.org/officeDocument/2006/relationships/hyperlink" Target="https://drive.google.com/file/d/1q6cdUhVFXaM4rjM3fgfd03g9HVYXfE8k/view?usp=sharing" TargetMode="External"/><Relationship Id="rId289" Type="http://schemas.openxmlformats.org/officeDocument/2006/relationships/hyperlink" Target="https://drive.google.com/file/d/1X6JR8RkYuhiGxMN-ohbSjoWsIieHnVnF/view?usp=sharing" TargetMode="External"/><Relationship Id="rId454" Type="http://schemas.openxmlformats.org/officeDocument/2006/relationships/hyperlink" Target="https://drive.google.com/file/d/1mN2bai9Z4YBmXq3CG0i31_N61jTp2jIP/view?usp=sharing" TargetMode="External"/><Relationship Id="rId496" Type="http://schemas.openxmlformats.org/officeDocument/2006/relationships/hyperlink" Target="https://drive.google.com/file/d/1KqyRSleAaOMThCP_sgbF4vXsu87OPg2D/view?usp=sharing" TargetMode="External"/><Relationship Id="rId11" Type="http://schemas.openxmlformats.org/officeDocument/2006/relationships/hyperlink" Target="https://drive.google.com/file/d/1UZBqcEWIp03JZ9ZyCMXLY-jCC_9kuX_F/view?usp=sharing" TargetMode="External"/><Relationship Id="rId53" Type="http://schemas.openxmlformats.org/officeDocument/2006/relationships/hyperlink" Target="https://drive.google.com/file/d/1_HoNzzuyHdXB0-GJUuN5Z9JI1D9zwh51/view?usp=sharing" TargetMode="External"/><Relationship Id="rId149" Type="http://schemas.openxmlformats.org/officeDocument/2006/relationships/hyperlink" Target="https://drive.google.com/file/d/1bxLX5PNyJlguMvYEfTOftsDU5QEc4-bL/view?usp=sharing" TargetMode="External"/><Relationship Id="rId314" Type="http://schemas.openxmlformats.org/officeDocument/2006/relationships/hyperlink" Target="https://drive.google.com/file/d/1xw2S72ZjP7l3Vb8xTeHCxVfExA-27Pr6/view?usp=sharing" TargetMode="External"/><Relationship Id="rId356" Type="http://schemas.openxmlformats.org/officeDocument/2006/relationships/hyperlink" Target="https://drive.google.com/file/d/17YTrWEro4W8u5JwC1g9KysCCt5V8kmRs/view?usp=sharing" TargetMode="External"/><Relationship Id="rId398" Type="http://schemas.openxmlformats.org/officeDocument/2006/relationships/hyperlink" Target="https://drive.google.com/file/d/1rEZxlx5X_UpD_dTVxraqAHrjaPIde9lI/view?usp=share_link" TargetMode="External"/><Relationship Id="rId521" Type="http://schemas.openxmlformats.org/officeDocument/2006/relationships/hyperlink" Target="https://drive.google.com/file/d/1JsmTskKFqGNz1TY7xML5YavBWrfSIuMe/view?usp=sharing" TargetMode="External"/><Relationship Id="rId563" Type="http://schemas.openxmlformats.org/officeDocument/2006/relationships/hyperlink" Target="https://drive.google.com/file/d/1E_mZ0vlF8hVTbfODFyKt3DPAtOhNwLxm/view?usp=sharing" TargetMode="External"/><Relationship Id="rId619" Type="http://schemas.openxmlformats.org/officeDocument/2006/relationships/hyperlink" Target="https://drive.google.com/file/d/100kQMZfkdcmNGopPus2f5x8nxBsS4iLQ/view?usp=share_link" TargetMode="External"/><Relationship Id="rId95" Type="http://schemas.openxmlformats.org/officeDocument/2006/relationships/hyperlink" Target="https://drive.google.com/file/d/1A9bEEgdDPpxnPqqkGMpYwyubOEkA3ZoL/view?usp=sharing" TargetMode="External"/><Relationship Id="rId160" Type="http://schemas.openxmlformats.org/officeDocument/2006/relationships/hyperlink" Target="https://drive.google.com/file/d/1HQcGhfvMakBrKSWTiducVdxvwnzRjBMv/view?usp=sharing" TargetMode="External"/><Relationship Id="rId216" Type="http://schemas.openxmlformats.org/officeDocument/2006/relationships/hyperlink" Target="https://drive.google.com/file/d/16Em1hO2abiTxf2QYR-qrfhQkHgNNDmxq/view?usp=sharing" TargetMode="External"/><Relationship Id="rId423" Type="http://schemas.openxmlformats.org/officeDocument/2006/relationships/hyperlink" Target="https://drive.google.com/file/d/1RfrDeu8lblfl2GG8n0huGh9BZtYCop7E/view?usp=sharing" TargetMode="External"/><Relationship Id="rId258" Type="http://schemas.openxmlformats.org/officeDocument/2006/relationships/hyperlink" Target="https://drive.google.com/file/d/1xd4ItTvGR5F6jGpX4JfeOBD9wKXDQiVl/view?usp=sharing" TargetMode="External"/><Relationship Id="rId465" Type="http://schemas.openxmlformats.org/officeDocument/2006/relationships/hyperlink" Target="https://drive.google.com/file/d/17t1haWIEJcnsATcF6ZTmaEanUVjE4jlH/view?usp=sharing" TargetMode="External"/><Relationship Id="rId22" Type="http://schemas.openxmlformats.org/officeDocument/2006/relationships/hyperlink" Target="https://drive.google.com/file/d/13_v-H1Ei-hd3CaN9t50nuZinBJTflVsM/view?usp=sharing" TargetMode="External"/><Relationship Id="rId64" Type="http://schemas.openxmlformats.org/officeDocument/2006/relationships/hyperlink" Target="https://drive.google.com/file/d/1KBVnk-k8SVaXW3h57B6YQyo4WnggbYxR/view?usp=sharing" TargetMode="External"/><Relationship Id="rId118" Type="http://schemas.openxmlformats.org/officeDocument/2006/relationships/hyperlink" Target="https://drive.google.com/file/d/1GMUBEg6eBpJpfEBqETKkspIgZ1V2zH7u/view?usp=sharing" TargetMode="External"/><Relationship Id="rId325" Type="http://schemas.openxmlformats.org/officeDocument/2006/relationships/hyperlink" Target="https://drive.google.com/file/d/1A06g3qRmeSahJpoR42oPc9vxE5uXr7pF/view?usp=sharing" TargetMode="External"/><Relationship Id="rId367" Type="http://schemas.openxmlformats.org/officeDocument/2006/relationships/hyperlink" Target="https://drive.google.com/file/d/1jV21T8LpkUVHANnJLZ_WgNwgVMv1WbNA/view?usp=sharing" TargetMode="External"/><Relationship Id="rId532" Type="http://schemas.openxmlformats.org/officeDocument/2006/relationships/hyperlink" Target="https://drive.google.com/file/d/1gtd0_x8sIwi1jDRXogY5mVIH_avixAdJ/view?usp=sharing" TargetMode="External"/><Relationship Id="rId574" Type="http://schemas.openxmlformats.org/officeDocument/2006/relationships/hyperlink" Target="https://drive.google.com/file/d/1zsnn93wmoP7QksA4Z00FwkzNHx5BMcQE/view?usp=sharing" TargetMode="External"/><Relationship Id="rId171" Type="http://schemas.openxmlformats.org/officeDocument/2006/relationships/hyperlink" Target="https://drive.google.com/file/d/1SciF68_kPUZ55an5MQMp_LxCpmY-cT4J/view?usp=sharing" TargetMode="External"/><Relationship Id="rId227" Type="http://schemas.openxmlformats.org/officeDocument/2006/relationships/hyperlink" Target="https://drive.google.com/file/d/17kj71G01wwsVcBLPm9X0tqR7OrrXbrCa/view?usp=sharing" TargetMode="External"/><Relationship Id="rId269" Type="http://schemas.openxmlformats.org/officeDocument/2006/relationships/hyperlink" Target="https://drive.google.com/file/d/1V_ddj6ZufuprrniL2BVTpUvMBDz3J2yq/view?usp=sharing" TargetMode="External"/><Relationship Id="rId434" Type="http://schemas.openxmlformats.org/officeDocument/2006/relationships/hyperlink" Target="https://drive.google.com/file/d/11tKFGZu_Ah4Jk64xZhNl6Gps7xkbAwmt/view?usp=sharing" TargetMode="External"/><Relationship Id="rId476" Type="http://schemas.openxmlformats.org/officeDocument/2006/relationships/hyperlink" Target="https://drive.google.com/file/d/1_tkAsANE1SiUSiwdz2jZA_YAIkUqk_mH/view?usp=sharing" TargetMode="External"/><Relationship Id="rId33" Type="http://schemas.openxmlformats.org/officeDocument/2006/relationships/hyperlink" Target="https://drive.google.com/file/d/1KzJp47yXVDpMdhZpF2byDexLiWnDyMsm/view?usp=sharing" TargetMode="External"/><Relationship Id="rId129" Type="http://schemas.openxmlformats.org/officeDocument/2006/relationships/hyperlink" Target="https://drive.google.com/file/d/1gtHF4AJ6_Q0JE_MbVXtbDDsYfW1Do1BL/view?usp=sharing" TargetMode="External"/><Relationship Id="rId280" Type="http://schemas.openxmlformats.org/officeDocument/2006/relationships/hyperlink" Target="https://drive.google.com/file/d/1eZrPCOFLnaKwHJXVEHqaCn6geUcj5Ara/view?usp=share_link" TargetMode="External"/><Relationship Id="rId336" Type="http://schemas.openxmlformats.org/officeDocument/2006/relationships/hyperlink" Target="https://drive.google.com/file/d/1UNUtOBzfxZE2ws2D11S6_Wc9mS_qXf1f/view?usp=share_link" TargetMode="External"/><Relationship Id="rId501" Type="http://schemas.openxmlformats.org/officeDocument/2006/relationships/hyperlink" Target="https://drive.google.com/file/d/1ajSOM_I7etzpAwBYlz4FDeYt8r9dDmzs/view?usp=sharing" TargetMode="External"/><Relationship Id="rId543" Type="http://schemas.openxmlformats.org/officeDocument/2006/relationships/hyperlink" Target="https://drive.google.com/file/d/1qTyAyAwBJo7as4rG6gO0c30OysbFDeei/view?usp=sharing" TargetMode="External"/><Relationship Id="rId75" Type="http://schemas.openxmlformats.org/officeDocument/2006/relationships/hyperlink" Target="https://drive.google.com/file/d/1wrMBYKrjIupQv9aslkSSxlJDEor1btAu/view?usp=sharing" TargetMode="External"/><Relationship Id="rId140" Type="http://schemas.openxmlformats.org/officeDocument/2006/relationships/hyperlink" Target="https://drive.google.com/file/d/1xUPCcP5VHbmsp-x7PROsmhLNf_aICNtP/view?usp=sharing" TargetMode="External"/><Relationship Id="rId182" Type="http://schemas.openxmlformats.org/officeDocument/2006/relationships/hyperlink" Target="https://drive.google.com/file/d/1uckS35uHDLRJZnVnkGSQNiZKy0NBO-jN/view?usp=sharing" TargetMode="External"/><Relationship Id="rId378" Type="http://schemas.openxmlformats.org/officeDocument/2006/relationships/hyperlink" Target="https://drive.google.com/file/d/1WnPYKApNjSgdtcBoysA7rboymHFgUsQD/view?usp=sharing" TargetMode="External"/><Relationship Id="rId403" Type="http://schemas.openxmlformats.org/officeDocument/2006/relationships/hyperlink" Target="https://drive.google.com/file/d/1qhhE7bCYtBLp3JgP-ZtzoYEvj8ugveTm/view?usp=sharing" TargetMode="External"/><Relationship Id="rId585" Type="http://schemas.openxmlformats.org/officeDocument/2006/relationships/hyperlink" Target="https://drive.google.com/file/d/1rolG7Glp8eIh56dW-4flg02dciC4MhDv/view?usp=sharing" TargetMode="External"/><Relationship Id="rId6" Type="http://schemas.openxmlformats.org/officeDocument/2006/relationships/hyperlink" Target="https://drive.google.com/file/d/1NOSERp5J0jHEZfvCkQzPsGgFraCBmgbW/view?usp=sharing" TargetMode="External"/><Relationship Id="rId238" Type="http://schemas.openxmlformats.org/officeDocument/2006/relationships/hyperlink" Target="https://drive.google.com/file/d/1BVLIMyZ7ayGJcvF-lMHiZJBL8oSUQFKb/view?usp=sharing" TargetMode="External"/><Relationship Id="rId445" Type="http://schemas.openxmlformats.org/officeDocument/2006/relationships/hyperlink" Target="https://drive.google.com/file/d/1f5vOH8iqcv5elgFr4kW7ymTcPPO94RMN/view?usp=share_link" TargetMode="External"/><Relationship Id="rId487" Type="http://schemas.openxmlformats.org/officeDocument/2006/relationships/hyperlink" Target="https://drive.google.com/file/d/1MaUHkIJM8iymB7FEhC-Iexd0yKXMh0QA/view?usp=sharing" TargetMode="External"/><Relationship Id="rId610" Type="http://schemas.openxmlformats.org/officeDocument/2006/relationships/hyperlink" Target="https://drive.google.com/file/d/1F0cZNW9YUUEMcOnSJE9Z_th_bxDsYvDJ/view?usp=sharing" TargetMode="External"/><Relationship Id="rId291" Type="http://schemas.openxmlformats.org/officeDocument/2006/relationships/hyperlink" Target="https://drive.google.com/file/d/1KU-6nwnpW8NZ3efqFMWUbqk1eylHBaMC/view?usp=sharing" TargetMode="External"/><Relationship Id="rId305" Type="http://schemas.openxmlformats.org/officeDocument/2006/relationships/hyperlink" Target="https://drive.google.com/file/d/1DfStez0WJEeZMk1wjNUEJbKVM5KrbajA/view?usp=sharing" TargetMode="External"/><Relationship Id="rId347" Type="http://schemas.openxmlformats.org/officeDocument/2006/relationships/hyperlink" Target="https://drive.google.com/file/d/1sImATUkFa4r8CC5YHuU6ebRvEfCSwaEe/view?usp=sharing" TargetMode="External"/><Relationship Id="rId512" Type="http://schemas.openxmlformats.org/officeDocument/2006/relationships/hyperlink" Target="https://drive.google.com/file/d/11fGHqvX602kGLxJDz7SAn_DbBHyAoKey/view?usp=sharing" TargetMode="External"/><Relationship Id="rId44" Type="http://schemas.openxmlformats.org/officeDocument/2006/relationships/hyperlink" Target="https://drive.google.com/file/d/1F6SQiCjJ25kdwwabEA5NJLD8ZK2Ya3O5/view?usp=sharing" TargetMode="External"/><Relationship Id="rId86" Type="http://schemas.openxmlformats.org/officeDocument/2006/relationships/hyperlink" Target="https://drive.google.com/file/d/16A1EHyChiGRqIIsI4tzauAgbLI0OKzcM/view?usp=sharing" TargetMode="External"/><Relationship Id="rId151" Type="http://schemas.openxmlformats.org/officeDocument/2006/relationships/hyperlink" Target="https://drive.google.com/file/d/1kkvaJ4zeuaW39c2Nboj_ndF6Flulr5ca/view?usp=sharing" TargetMode="External"/><Relationship Id="rId389" Type="http://schemas.openxmlformats.org/officeDocument/2006/relationships/hyperlink" Target="https://drive.google.com/file/d/17TAdIq-PyxsNPx3rxzlczYP5VHEc7UXu/view?usp=share_link" TargetMode="External"/><Relationship Id="rId554" Type="http://schemas.openxmlformats.org/officeDocument/2006/relationships/hyperlink" Target="https://drive.google.com/file/d/1YP5up2imPAtmGGUWSD2tSqtbGX-OoAwa/view?usp=sharing" TargetMode="External"/><Relationship Id="rId596" Type="http://schemas.openxmlformats.org/officeDocument/2006/relationships/hyperlink" Target="https://drive.google.com/file/d/1CxGNKs7_VZdOUy3c1D73H0u32NoGNs-N/view?usp=sharing" TargetMode="External"/><Relationship Id="rId193" Type="http://schemas.openxmlformats.org/officeDocument/2006/relationships/hyperlink" Target="https://drive.google.com/file/d/1i0Wq_MQ-g9Jsw9ictOHaszUK2_PzlVOn/view?usp=sharing" TargetMode="External"/><Relationship Id="rId207" Type="http://schemas.openxmlformats.org/officeDocument/2006/relationships/hyperlink" Target="https://drive.google.com/file/d/1T3M_gB_iNt71lI_VXCYDSOdDmJ0prhMv/view?usp=sharing" TargetMode="External"/><Relationship Id="rId249" Type="http://schemas.openxmlformats.org/officeDocument/2006/relationships/hyperlink" Target="https://drive.google.com/file/d/1kDCtiO3IcEkO_bnp9PpxmsgTaUHQq0EG/view?usp=sharing" TargetMode="External"/><Relationship Id="rId414" Type="http://schemas.openxmlformats.org/officeDocument/2006/relationships/hyperlink" Target="https://drive.google.com/file/d/1lub0t2akwlzbaYA7CiyPQdA1KRCaZAqj/view?usp=sharing" TargetMode="External"/><Relationship Id="rId456" Type="http://schemas.openxmlformats.org/officeDocument/2006/relationships/hyperlink" Target="https://drive.google.com/file/d/1QbqrsSGV35aGaq8WtbygQjr6cuuLXShL/view?usp=share_link" TargetMode="External"/><Relationship Id="rId498" Type="http://schemas.openxmlformats.org/officeDocument/2006/relationships/hyperlink" Target="https://drive.google.com/file/d/1hrcpBbU7UsrhnWSGho9o5OlCw79c-Vsh/view?usp=sharing" TargetMode="External"/><Relationship Id="rId621" Type="http://schemas.openxmlformats.org/officeDocument/2006/relationships/hyperlink" Target="https://drive.google.com/file/d/1TxhFV2I5NdFTD4_U5W5s6MZh51qKZ_IP/view?usp=sharing" TargetMode="External"/><Relationship Id="rId13" Type="http://schemas.openxmlformats.org/officeDocument/2006/relationships/hyperlink" Target="https://drive.google.com/file/d/1P9SuqRPDNYZzGUE7wUnhT18Uy0exbUMV/view?usp=sharing" TargetMode="External"/><Relationship Id="rId109" Type="http://schemas.openxmlformats.org/officeDocument/2006/relationships/hyperlink" Target="https://drive.google.com/file/d/1-ECr6wu8fov3pOKb1i1McUvssnq9FrGO/view?usp=sharing" TargetMode="External"/><Relationship Id="rId260" Type="http://schemas.openxmlformats.org/officeDocument/2006/relationships/hyperlink" Target="https://drive.google.com/file/d/1wy1Gw1QNQWFdSDWaB2ijj16PYxDaBshv/view?usp=sharing" TargetMode="External"/><Relationship Id="rId316" Type="http://schemas.openxmlformats.org/officeDocument/2006/relationships/hyperlink" Target="https://drive.google.com/file/d/1Y0_WfiGy7vj0qVlyXtawTGOdlXdgj42l/view?usp=sharing" TargetMode="External"/><Relationship Id="rId523" Type="http://schemas.openxmlformats.org/officeDocument/2006/relationships/hyperlink" Target="https://drive.google.com/file/d/1-zGsbEFHyGAFmkKpdKEmKQKkYrHddwMi/view?usp=sharing" TargetMode="External"/><Relationship Id="rId55" Type="http://schemas.openxmlformats.org/officeDocument/2006/relationships/hyperlink" Target="https://drive.google.com/file/d/1GMDp93gU5BuD2S58BaV0qbU3MUeO9MDS/view?usp=sharing" TargetMode="External"/><Relationship Id="rId97" Type="http://schemas.openxmlformats.org/officeDocument/2006/relationships/hyperlink" Target="https://drive.google.com/file/d/10Pv4Wa805_rHgcerZtRXtYpTZ0UWfu5p/view?usp=sharing" TargetMode="External"/><Relationship Id="rId120" Type="http://schemas.openxmlformats.org/officeDocument/2006/relationships/hyperlink" Target="https://drive.google.com/file/d/1wzz6wEeUSoCYuBXVc_GQSXE1zrGxuLMp/view?usp=sharing" TargetMode="External"/><Relationship Id="rId358" Type="http://schemas.openxmlformats.org/officeDocument/2006/relationships/hyperlink" Target="https://drive.google.com/file/d/1co0V49vqEQeh5SBDNG5iN5QesuYpoGED/view?usp=sharing" TargetMode="External"/><Relationship Id="rId565" Type="http://schemas.openxmlformats.org/officeDocument/2006/relationships/hyperlink" Target="https://drive.google.com/file/d/1pfyolRD_XHovCu2vAtIJTEiuQRsE0gVi/view?usp=sharing" TargetMode="External"/><Relationship Id="rId162" Type="http://schemas.openxmlformats.org/officeDocument/2006/relationships/hyperlink" Target="https://drive.google.com/file/d/1VHCA-TeRCRF3RzvbX-eoX3rBsMQkNG7S/view?usp=sharing" TargetMode="External"/><Relationship Id="rId218" Type="http://schemas.openxmlformats.org/officeDocument/2006/relationships/hyperlink" Target="https://drive.google.com/file/d/1Ovf-DSzsV27hSrm4KmksqeAp7LxVMUQY/view?usp=sharing" TargetMode="External"/><Relationship Id="rId425" Type="http://schemas.openxmlformats.org/officeDocument/2006/relationships/hyperlink" Target="https://drive.google.com/file/d/1Ky4djOkZ9NfQBormwjnc_stXO5ZSkeB2/view?usp=sharing" TargetMode="External"/><Relationship Id="rId467" Type="http://schemas.openxmlformats.org/officeDocument/2006/relationships/hyperlink" Target="https://drive.google.com/file/d/19JOt5tAkXfthl0IS3yDh1YvrsO0HNpAM/view?usp=sharing" TargetMode="External"/><Relationship Id="rId271" Type="http://schemas.openxmlformats.org/officeDocument/2006/relationships/hyperlink" Target="https://drive.google.com/file/d/1VmWqXB6oCYR4VzjelxhLup_k38EIWl6D/view?usp=sharing" TargetMode="External"/><Relationship Id="rId24" Type="http://schemas.openxmlformats.org/officeDocument/2006/relationships/hyperlink" Target="https://drive.google.com/file/d/1gX2JUqokZLdY1Yil3o6Cu9rLM8clPE4o/view?usp=sharing" TargetMode="External"/><Relationship Id="rId66" Type="http://schemas.openxmlformats.org/officeDocument/2006/relationships/hyperlink" Target="https://drive.google.com/file/d/1xO2_Dqt7HBJaqfz4sWSUq3J-9hDseICA/view?usp=sharing" TargetMode="External"/><Relationship Id="rId131" Type="http://schemas.openxmlformats.org/officeDocument/2006/relationships/hyperlink" Target="https://drive.google.com/file/d/1aIrI-xz84hyfEH8BxvhmFHmMaJoTrfKC/view?usp=sharing" TargetMode="External"/><Relationship Id="rId327" Type="http://schemas.openxmlformats.org/officeDocument/2006/relationships/hyperlink" Target="https://drive.google.com/file/d/1SkloaFumekfUKnCUWOnBisLOMXinsbtG/view?usp=sharing" TargetMode="External"/><Relationship Id="rId369" Type="http://schemas.openxmlformats.org/officeDocument/2006/relationships/hyperlink" Target="https://drive.google.com/file/d/1Slxzva-CzKMLNoraSjiy8e1qdGdigBkd/view?usp=sharing" TargetMode="External"/><Relationship Id="rId534" Type="http://schemas.openxmlformats.org/officeDocument/2006/relationships/hyperlink" Target="https://drive.google.com/file/d/12pEbitC6fswi1pxH1GTScRPkFd5Sbk0U/view?usp=sharing" TargetMode="External"/><Relationship Id="rId576" Type="http://schemas.openxmlformats.org/officeDocument/2006/relationships/hyperlink" Target="https://drive.google.com/file/d/1kxp5eFykBYy_u_2JpTWB4zv8Nm_S3hm9/view?usp=sharing" TargetMode="External"/><Relationship Id="rId173" Type="http://schemas.openxmlformats.org/officeDocument/2006/relationships/hyperlink" Target="https://drive.google.com/file/d/1DlTMg5_D9d_G66PFGT0_ATR3ji0EHUfi/view?usp=sharing" TargetMode="External"/><Relationship Id="rId229" Type="http://schemas.openxmlformats.org/officeDocument/2006/relationships/hyperlink" Target="https://drive.google.com/file/d/18c7ceY5zz2lBB4SQX564CI0H22bopvkq/view?usp=sharing" TargetMode="External"/><Relationship Id="rId380" Type="http://schemas.openxmlformats.org/officeDocument/2006/relationships/hyperlink" Target="https://drive.google.com/file/d/1HxGV_uD25ddFeEBP7g5ImxkfPUrFkCB-/view?usp=sharing" TargetMode="External"/><Relationship Id="rId436" Type="http://schemas.openxmlformats.org/officeDocument/2006/relationships/hyperlink" Target="https://drive.google.com/file/d/1n4S_jUtI_ex6FR29hd11hHXHxVxNSr2l/view?usp=sharing" TargetMode="External"/><Relationship Id="rId601" Type="http://schemas.openxmlformats.org/officeDocument/2006/relationships/hyperlink" Target="https://drive.google.com/file/d/1rUxHiN5n96Ofyogyhb9FuUAJau4TJTvc/view?usp=sharing" TargetMode="External"/><Relationship Id="rId240" Type="http://schemas.openxmlformats.org/officeDocument/2006/relationships/hyperlink" Target="https://drive.google.com/file/d/1eDtkC5yg-YymkKVr34KajtrgxtQ3tpjt/view?usp=sharing" TargetMode="External"/><Relationship Id="rId478" Type="http://schemas.openxmlformats.org/officeDocument/2006/relationships/hyperlink" Target="https://drive.google.com/file/d/16G8t7M-lE4Fh6obe6W6qMeKRmxXhW_cC/view?usp=sharing" TargetMode="External"/><Relationship Id="rId35" Type="http://schemas.openxmlformats.org/officeDocument/2006/relationships/hyperlink" Target="https://drive.google.com/file/d/1zDjj8VuDdmJxVQrhkfm7NIwL_30CyFVM/view?usp=sharing" TargetMode="External"/><Relationship Id="rId77" Type="http://schemas.openxmlformats.org/officeDocument/2006/relationships/hyperlink" Target="https://drive.google.com/file/d/1Pku1kUWFwicAvzIpvoKMCUTb-cyLYmmu/view?usp=sharing" TargetMode="External"/><Relationship Id="rId100" Type="http://schemas.openxmlformats.org/officeDocument/2006/relationships/hyperlink" Target="https://drive.google.com/file/d/12egy8eIhqrE2KEl7YEfHzqTB92WvM9Rg/view?usp=sharing" TargetMode="External"/><Relationship Id="rId282" Type="http://schemas.openxmlformats.org/officeDocument/2006/relationships/hyperlink" Target="https://drive.google.com/file/d/1njG7dO0ILFQbAfoipl50B-LHooppSn_6/view?usp=share_link" TargetMode="External"/><Relationship Id="rId338" Type="http://schemas.openxmlformats.org/officeDocument/2006/relationships/hyperlink" Target="https://drive.google.com/file/d/1_5O3DC1Re_OMv-Uj4BHCrS4Iu7OsVGEF/view?usp=sharing" TargetMode="External"/><Relationship Id="rId503" Type="http://schemas.openxmlformats.org/officeDocument/2006/relationships/hyperlink" Target="https://drive.google.com/file/d/1aJEcZd4GoO4XBfcOnR6rXa81HDxHMwm5/view?usp=sharing" TargetMode="External"/><Relationship Id="rId545" Type="http://schemas.openxmlformats.org/officeDocument/2006/relationships/hyperlink" Target="https://drive.google.com/file/d/1nUmbhzb0Naxhu8Pp60Lyh_xP5rjqn1Z-/view?usp=sharing" TargetMode="External"/><Relationship Id="rId587" Type="http://schemas.openxmlformats.org/officeDocument/2006/relationships/hyperlink" Target="https://drive.google.com/file/d/1LMXWaqxuQ_0BNrThEUXKBEcebC7mQqxw/view?usp=sharing" TargetMode="External"/><Relationship Id="rId8" Type="http://schemas.openxmlformats.org/officeDocument/2006/relationships/hyperlink" Target="https://drive.google.com/file/d/1bpk6IcU9jh5WMwdlYhvAgBCxSZBdB0Xp/view?usp=sharing" TargetMode="External"/><Relationship Id="rId142" Type="http://schemas.openxmlformats.org/officeDocument/2006/relationships/hyperlink" Target="https://drive.google.com/file/d/1RNmMFRToZCLY_cxPWPwSdzher9NqN0lQ/view?usp=sharing" TargetMode="External"/><Relationship Id="rId184" Type="http://schemas.openxmlformats.org/officeDocument/2006/relationships/hyperlink" Target="https://drive.google.com/file/d/1xS_F5TTQKS87vXs03en7ZtxbN3S3MPXx/view?usp=sharing" TargetMode="External"/><Relationship Id="rId391" Type="http://schemas.openxmlformats.org/officeDocument/2006/relationships/hyperlink" Target="https://drive.google.com/file/d/14DKjc0_0bShPAsFng-2LbI1GAq_UUQj8/view?usp=share_link" TargetMode="External"/><Relationship Id="rId405" Type="http://schemas.openxmlformats.org/officeDocument/2006/relationships/hyperlink" Target="https://drive.google.com/file/d/1innx9ESveeHSctdOoFaLN-w4OfN2SUiz/view?usp=sharing" TargetMode="External"/><Relationship Id="rId447" Type="http://schemas.openxmlformats.org/officeDocument/2006/relationships/hyperlink" Target="https://drive.google.com/file/d/13N-o8pRqXhWkb9uZ6LE3CsZHgYEXhE0S/view?usp=sharing" TargetMode="External"/><Relationship Id="rId612" Type="http://schemas.openxmlformats.org/officeDocument/2006/relationships/hyperlink" Target="https://drive.google.com/file/d/1QdL1BrkAIGRpIRE8ebjEAcjVCpXM2a_M/view?usp=sharing" TargetMode="External"/><Relationship Id="rId251" Type="http://schemas.openxmlformats.org/officeDocument/2006/relationships/hyperlink" Target="https://drive.google.com/file/d/1iBXzzFJdnxYfPtGpZ-5pTNEt9hEFfU-9/view?usp=sharing" TargetMode="External"/><Relationship Id="rId489" Type="http://schemas.openxmlformats.org/officeDocument/2006/relationships/hyperlink" Target="https://drive.google.com/file/d/1YsS2nn3GZvuGBwKNzaeEm4kDxzphkfO0/view?usp=sharing" TargetMode="External"/><Relationship Id="rId46" Type="http://schemas.openxmlformats.org/officeDocument/2006/relationships/hyperlink" Target="https://drive.google.com/file/d/14LGFDfAUWDZTE86ScHZ1Me3SqQYoYPMx/view?usp=sharing" TargetMode="External"/><Relationship Id="rId293" Type="http://schemas.openxmlformats.org/officeDocument/2006/relationships/hyperlink" Target="https://drive.google.com/file/d/1Jyp6E2uPHG0cCDeizBOLA0SWM7_iy6Iy/view?usp=sharing" TargetMode="External"/><Relationship Id="rId307" Type="http://schemas.openxmlformats.org/officeDocument/2006/relationships/hyperlink" Target="https://drive.google.com/file/d/16N8OB5PACW6Z_ZH9wGfXvdUjFxuxXfss/view?usp=sharing" TargetMode="External"/><Relationship Id="rId349" Type="http://schemas.openxmlformats.org/officeDocument/2006/relationships/hyperlink" Target="https://drive.google.com/file/d/1dgmAvubXM1AhSV4G2r9n-cBYUUzy4FWH/view?usp=sharing" TargetMode="External"/><Relationship Id="rId514" Type="http://schemas.openxmlformats.org/officeDocument/2006/relationships/hyperlink" Target="https://drive.google.com/file/d/1ifZrOTVvikUGoy15_hcsY1LhG-sgpL7X/view?usp=share_link" TargetMode="External"/><Relationship Id="rId556" Type="http://schemas.openxmlformats.org/officeDocument/2006/relationships/hyperlink" Target="https://drive.google.com/file/d/1m4eCFhNay-tvBMyTTcCwoDpJeeyXy83n/view?usp=share_link" TargetMode="External"/><Relationship Id="rId88" Type="http://schemas.openxmlformats.org/officeDocument/2006/relationships/hyperlink" Target="https://drive.google.com/file/d/1C4SLAys8zbm3xW0f1u57Y309aCPTKFWf/view?usp=sharing" TargetMode="External"/><Relationship Id="rId111" Type="http://schemas.openxmlformats.org/officeDocument/2006/relationships/hyperlink" Target="https://drive.google.com/file/d/1m04mA05LSJofpkuTylesLJK4sRvoJIx0/view?usp=sharing" TargetMode="External"/><Relationship Id="rId153" Type="http://schemas.openxmlformats.org/officeDocument/2006/relationships/hyperlink" Target="https://drive.google.com/file/d/15OyZtk1uru9-1VQkwHpyvvSQbuuTVDC5/view?usp=sharing" TargetMode="External"/><Relationship Id="rId195" Type="http://schemas.openxmlformats.org/officeDocument/2006/relationships/hyperlink" Target="https://drive.google.com/file/d/1APvRoi4_j-e8cC8IXXEIGbnDBhIEefms/view?usp=sharing" TargetMode="External"/><Relationship Id="rId209" Type="http://schemas.openxmlformats.org/officeDocument/2006/relationships/hyperlink" Target="https://drive.google.com/file/d/16fUK2o-yfH0sukWy8PAINP7-WJO6SOIQ/view?usp=sharing" TargetMode="External"/><Relationship Id="rId360" Type="http://schemas.openxmlformats.org/officeDocument/2006/relationships/hyperlink" Target="https://drive.google.com/file/d/1qWOl-BUQ3azXR8wKMAUHCD5W7bEfR4rF/view?usp=sharing" TargetMode="External"/><Relationship Id="rId416" Type="http://schemas.openxmlformats.org/officeDocument/2006/relationships/hyperlink" Target="https://drive.google.com/file/d/1NCRc3c6x6qkwL_AenYZvjJLbM4RL032K/view?usp=sharing" TargetMode="External"/><Relationship Id="rId598" Type="http://schemas.openxmlformats.org/officeDocument/2006/relationships/hyperlink" Target="https://drive.google.com/file/d/1UQd6ELboLbeLM9yUKEWefhxpUrI0TlC5/view?usp=sharing" TargetMode="External"/><Relationship Id="rId220" Type="http://schemas.openxmlformats.org/officeDocument/2006/relationships/hyperlink" Target="https://drive.google.com/file/d/1M8fj0EzrKoEZ0d3FSAPcnkDrm0d3NFsf/view?usp=sharing" TargetMode="External"/><Relationship Id="rId458" Type="http://schemas.openxmlformats.org/officeDocument/2006/relationships/hyperlink" Target="https://drive.google.com/file/d/1DttN9GTna44f8aMf6uTKOKY08J4LYIFZ/view?usp=sharing" TargetMode="External"/><Relationship Id="rId623" Type="http://schemas.openxmlformats.org/officeDocument/2006/relationships/hyperlink" Target="https://drive.google.com/file/d/1dDIpMMY7KQJ6Qp_5v2GYHDh-qRChakn7/view?usp=sharing" TargetMode="External"/><Relationship Id="rId15" Type="http://schemas.openxmlformats.org/officeDocument/2006/relationships/hyperlink" Target="https://drive.google.com/file/d/1xhKSHOp1O2lLyfwJ9eJAaEU5uM3hjieD/view?usp=sharing" TargetMode="External"/><Relationship Id="rId57" Type="http://schemas.openxmlformats.org/officeDocument/2006/relationships/hyperlink" Target="https://drive.google.com/file/d/1WyGXVtCLdIfB9WNX_dWxRV3wSnOeKOUg/view?usp=sharing" TargetMode="External"/><Relationship Id="rId262" Type="http://schemas.openxmlformats.org/officeDocument/2006/relationships/hyperlink" Target="https://drive.google.com/file/d/1fZoLsonTMHjNMrbJBDRy-inXl-RwQ685/view?usp=sharing" TargetMode="External"/><Relationship Id="rId318" Type="http://schemas.openxmlformats.org/officeDocument/2006/relationships/hyperlink" Target="https://drive.google.com/file/d/1fle88n8DVSUGNwAOw5QAe08ukoWcROQt/view?usp=sharing" TargetMode="External"/><Relationship Id="rId525" Type="http://schemas.openxmlformats.org/officeDocument/2006/relationships/hyperlink" Target="https://drive.google.com/file/d/1JXBdy75U8RPTSKfgspNrdnO2UuUwZ69n/view?usp=sharing" TargetMode="External"/><Relationship Id="rId567" Type="http://schemas.openxmlformats.org/officeDocument/2006/relationships/hyperlink" Target="https://drive.google.com/file/d/1nqWJP8UMSfSHeQF1pU4TUFcY_Sly1jG2/view?usp=sharing" TargetMode="External"/><Relationship Id="rId99" Type="http://schemas.openxmlformats.org/officeDocument/2006/relationships/hyperlink" Target="https://drive.google.com/file/d/12egy8eIhqrE2KEl7YEfHzqTB92WvM9Rg/view?usp=sharing" TargetMode="External"/><Relationship Id="rId122" Type="http://schemas.openxmlformats.org/officeDocument/2006/relationships/hyperlink" Target="https://drive.google.com/file/d/1nm0v08kAFccI-WqznY5wlE1GHmLrhgbV/view?usp=sharing" TargetMode="External"/><Relationship Id="rId164" Type="http://schemas.openxmlformats.org/officeDocument/2006/relationships/hyperlink" Target="https://drive.google.com/file/d/1spOTAZe1rV43MubkzlML2wLKf9EAYqZF/view?usp=sharing" TargetMode="External"/><Relationship Id="rId371" Type="http://schemas.openxmlformats.org/officeDocument/2006/relationships/hyperlink" Target="https://drive.google.com/file/d/1jiY7lHhEJsFgrdHsgkKL5NRnVr30I2JA/view?usp=sharing" TargetMode="External"/><Relationship Id="rId427" Type="http://schemas.openxmlformats.org/officeDocument/2006/relationships/hyperlink" Target="https://drive.google.com/file/d/1g_5t1ul2-n9dPyTXwzgQtZq_oQYzE6ic/view?usp=sharing" TargetMode="External"/><Relationship Id="rId469" Type="http://schemas.openxmlformats.org/officeDocument/2006/relationships/hyperlink" Target="https://drive.google.com/file/d/1UjlAMdtBZItsPpDq4HAYVhXVfPw42p7r/view?usp=sharing" TargetMode="External"/><Relationship Id="rId26" Type="http://schemas.openxmlformats.org/officeDocument/2006/relationships/hyperlink" Target="https://drive.google.com/file/d/1ajSOM_I7etzpAwBYlz4FDeYt8r9dDmzs/view?usp=sharing" TargetMode="External"/><Relationship Id="rId231" Type="http://schemas.openxmlformats.org/officeDocument/2006/relationships/hyperlink" Target="https://drive.google.com/file/d/12V-xOVagqbGztGjSMFm4nsppHzPEz7lj/view?usp=sharing" TargetMode="External"/><Relationship Id="rId273" Type="http://schemas.openxmlformats.org/officeDocument/2006/relationships/hyperlink" Target="https://drive.google.com/file/d/1dwqVtqIjEnNuQXT1yZvXYXN7_c-V7wiz/view?usp=sharing" TargetMode="External"/><Relationship Id="rId329" Type="http://schemas.openxmlformats.org/officeDocument/2006/relationships/hyperlink" Target="https://drive.google.com/file/d/1Fql-hVnXongaIIU7YTQP79SUMdzvwkNj/view?usp=sharing" TargetMode="External"/><Relationship Id="rId480" Type="http://schemas.openxmlformats.org/officeDocument/2006/relationships/hyperlink" Target="https://drive.google.com/file/d/1a8cP_YNHRhYwQuOrS85JTrSTCLf2vThX/view?usp=sharing" TargetMode="External"/><Relationship Id="rId536" Type="http://schemas.openxmlformats.org/officeDocument/2006/relationships/hyperlink" Target="https://drive.google.com/file/d/1OomQf6B_53L7vU_SWnq9r0x8KbZexGfl/view?usp=sharing" TargetMode="External"/><Relationship Id="rId68" Type="http://schemas.openxmlformats.org/officeDocument/2006/relationships/hyperlink" Target="https://drive.google.com/file/d/1EjSGyuJuiF4hNNqTf9i2lLBRpytEWRWB/view?usp=sharing" TargetMode="External"/><Relationship Id="rId133" Type="http://schemas.openxmlformats.org/officeDocument/2006/relationships/hyperlink" Target="https://drive.google.com/file/d/1toT4ZSvXSObdw0vAECkYp0h7ewzDrEPb/view?usp=sharing" TargetMode="External"/><Relationship Id="rId175" Type="http://schemas.openxmlformats.org/officeDocument/2006/relationships/hyperlink" Target="https://drive.google.com/file/d/12egy8eIhqrE2KEl7YEfHzqTB92WvM9Rg/view?usp=sharing" TargetMode="External"/><Relationship Id="rId340" Type="http://schemas.openxmlformats.org/officeDocument/2006/relationships/hyperlink" Target="https://drive.google.com/file/d/1_Kc4R_JaA11tRx0C801Vk12s8ObZAAid/view?usp=sharing" TargetMode="External"/><Relationship Id="rId578" Type="http://schemas.openxmlformats.org/officeDocument/2006/relationships/hyperlink" Target="https://drive.google.com/file/d/1PbhvLhrUfR-XEODYi7BtQl_c9ee-1Hii/view?usp=sharing" TargetMode="External"/><Relationship Id="rId200" Type="http://schemas.openxmlformats.org/officeDocument/2006/relationships/hyperlink" Target="https://drive.google.com/file/d/1TSTp7Fgc4RFlTf-N703-K4kQlDJYFlwJ/view?usp=sharing" TargetMode="External"/><Relationship Id="rId382" Type="http://schemas.openxmlformats.org/officeDocument/2006/relationships/hyperlink" Target="https://drive.google.com/file/d/1wzp-jT09L-zyUILCcVU3951CDXaTWr2y/view?usp=sharing" TargetMode="External"/><Relationship Id="rId438" Type="http://schemas.openxmlformats.org/officeDocument/2006/relationships/hyperlink" Target="https://drive.google.com/file/d/1sOURXDGtzzXGdupH7TnkiJ34rgKRO7Oe/view?usp=sharing" TargetMode="External"/><Relationship Id="rId603" Type="http://schemas.openxmlformats.org/officeDocument/2006/relationships/hyperlink" Target="https://drive.google.com/file/d/1CY1vE3xLNcGtOGsXf1Z4VOfzS_f1lVTh/view?usp=sharing" TargetMode="External"/><Relationship Id="rId242" Type="http://schemas.openxmlformats.org/officeDocument/2006/relationships/hyperlink" Target="https://drive.google.com/file/d/1owfe7cJrVfHInG9UkwVShExBSX_P9JzR/view?usp=sharing" TargetMode="External"/><Relationship Id="rId284" Type="http://schemas.openxmlformats.org/officeDocument/2006/relationships/hyperlink" Target="https://drive.google.com/file/d/1z0b5wj6j_PNrgQCYfM4GKG__GVv360tF/view?usp=sharing" TargetMode="External"/><Relationship Id="rId491" Type="http://schemas.openxmlformats.org/officeDocument/2006/relationships/hyperlink" Target="https://drive.google.com/file/d/10XhUh_WDczr0F5gquadnJxVrDSO5B1AC/view?usp=sharing" TargetMode="External"/><Relationship Id="rId505" Type="http://schemas.openxmlformats.org/officeDocument/2006/relationships/hyperlink" Target="https://drive.google.com/file/d/1Y7dPeHOL6PuvKClq-BX3YqBx9mJO4CCR/view?usp=sharing" TargetMode="External"/><Relationship Id="rId37" Type="http://schemas.openxmlformats.org/officeDocument/2006/relationships/hyperlink" Target="https://drive.google.com/file/d/18jIdH1L-sbOALGzc4tfokb1eRxU_8RmH/view?usp=sharing" TargetMode="External"/><Relationship Id="rId79" Type="http://schemas.openxmlformats.org/officeDocument/2006/relationships/hyperlink" Target="https://drive.google.com/file/d/1WfGmnfgotHy5gc6Jh7rkNKk6lDMID8ut/view?usp=sharing" TargetMode="External"/><Relationship Id="rId102" Type="http://schemas.openxmlformats.org/officeDocument/2006/relationships/hyperlink" Target="https://drive.google.com/file/d/16M5g1MlzEIWMX0rMP4hbE36cORgh-c0_/view?usp=sharing" TargetMode="External"/><Relationship Id="rId144" Type="http://schemas.openxmlformats.org/officeDocument/2006/relationships/hyperlink" Target="https://drive.google.com/file/d/1-5qw7TBZkxeSEMMeP_GVlYb-uQVnkaW1/view?usp=sharing" TargetMode="External"/><Relationship Id="rId547" Type="http://schemas.openxmlformats.org/officeDocument/2006/relationships/hyperlink" Target="https://drive.google.com/file/d/1taHXxa4cgn8t9qzgfwjTZsNaTasNrq9l/view?usp=sharing" TargetMode="External"/><Relationship Id="rId589" Type="http://schemas.openxmlformats.org/officeDocument/2006/relationships/hyperlink" Target="https://drive.google.com/file/d/15EEU44Gr2gT8-0kFcN8B7qhYsAvKN_fK/view?usp=sharing" TargetMode="External"/><Relationship Id="rId90" Type="http://schemas.openxmlformats.org/officeDocument/2006/relationships/hyperlink" Target="https://drive.google.com/file/d/1Y89-aEnSxKIU4bQAZzsvVO0o9maOB4Hu/view?usp=sharing" TargetMode="External"/><Relationship Id="rId186" Type="http://schemas.openxmlformats.org/officeDocument/2006/relationships/hyperlink" Target="https://drive.google.com/file/d/1ZtVQP3I2MCFQom7WNySgCy7QP7hV-6hF/view?usp=sharing" TargetMode="External"/><Relationship Id="rId351" Type="http://schemas.openxmlformats.org/officeDocument/2006/relationships/hyperlink" Target="https://drive.google.com/file/d/1zqeE19dEf2FbPzuZkkdajveH-4eWbRon/view?usp=sharing" TargetMode="External"/><Relationship Id="rId393" Type="http://schemas.openxmlformats.org/officeDocument/2006/relationships/hyperlink" Target="https://drive.google.com/file/d/1UQCyB0yutnZqVY2tdE6sdNWRkiEH4OCD/view?usp=sharing" TargetMode="External"/><Relationship Id="rId407" Type="http://schemas.openxmlformats.org/officeDocument/2006/relationships/hyperlink" Target="https://drive.google.com/file/d/1qUZ_ZObr6sYRM4kXppzzcHRZWwuxEwlo/view?usp=sharing" TargetMode="External"/><Relationship Id="rId449" Type="http://schemas.openxmlformats.org/officeDocument/2006/relationships/hyperlink" Target="https://drive.google.com/file/d/1Bm9QvgJGiIGCHpjHyh0l8sPMlh2eGsfl/view?usp=sharing" TargetMode="External"/><Relationship Id="rId614" Type="http://schemas.openxmlformats.org/officeDocument/2006/relationships/hyperlink" Target="https://drive.google.com/file/d/1CPILEt2a0tXscYt0lwrCqW-cMo9AsWeU/view?usp=sharing" TargetMode="External"/><Relationship Id="rId211" Type="http://schemas.openxmlformats.org/officeDocument/2006/relationships/hyperlink" Target="https://drive.google.com/file/d/1MEDykCSq1ugfUf1_eG6Vx8E7c7EdREQD/view?usp=sharing" TargetMode="External"/><Relationship Id="rId253" Type="http://schemas.openxmlformats.org/officeDocument/2006/relationships/hyperlink" Target="https://drive.google.com/file/d/1_f5WGZM0IfUjn3TtK0DsEp32AWdzNZlI/view?usp=sharing" TargetMode="External"/><Relationship Id="rId295" Type="http://schemas.openxmlformats.org/officeDocument/2006/relationships/hyperlink" Target="https://drive.google.com/file/d/16CP_OeIRhwUS1q4dmJuQmqs9JTrnM83d/view?usp=share_link" TargetMode="External"/><Relationship Id="rId309" Type="http://schemas.openxmlformats.org/officeDocument/2006/relationships/hyperlink" Target="https://drive.google.com/file/d/1RGUucHa77XBOHN6Fcs9GM8E79XnMKvb1/view?usp=sharing" TargetMode="External"/><Relationship Id="rId460" Type="http://schemas.openxmlformats.org/officeDocument/2006/relationships/hyperlink" Target="https://drive.google.com/file/d/1LLQUJV8VigS42qWVTQifAUsjAtTuLEXv/view?usp=sharing" TargetMode="External"/><Relationship Id="rId516" Type="http://schemas.openxmlformats.org/officeDocument/2006/relationships/hyperlink" Target="https://drive.google.com/file/d/1FY4f_i_S3o-hC8Q0YGnXXN8pQx9HhNRI/view?usp=sharing" TargetMode="External"/><Relationship Id="rId48" Type="http://schemas.openxmlformats.org/officeDocument/2006/relationships/hyperlink" Target="https://drive.google.com/file/d/1isGVl37ba1kiRQUbBmiA8Dv2IPVa5t0v/view?usp=sharing" TargetMode="External"/><Relationship Id="rId113" Type="http://schemas.openxmlformats.org/officeDocument/2006/relationships/hyperlink" Target="https://drive.google.com/file/d/1jkBBmOngF6Bu6Xid3q6d_JjmUqYyct--/view?usp=sharing" TargetMode="External"/><Relationship Id="rId320" Type="http://schemas.openxmlformats.org/officeDocument/2006/relationships/hyperlink" Target="https://drive.google.com/file/d/1dgdI5C3r9yOYCc2sKJEPROZNS0iVYfDZ/view?usp=sharing" TargetMode="External"/><Relationship Id="rId558" Type="http://schemas.openxmlformats.org/officeDocument/2006/relationships/hyperlink" Target="https://drive.google.com/file/d/1pg4JHtEyOewKbNTTzgik9ZHBblRpTtfM/view?usp=sharing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Enf3qBfNrfjyzEytrYdY3F7FoeCAVqQi/view?usp=sharing" TargetMode="External"/><Relationship Id="rId299" Type="http://schemas.openxmlformats.org/officeDocument/2006/relationships/hyperlink" Target="https://drive.google.com/file/d/1wUMZ8nhQAX0aMaKTMiDDMabMq9C-Oq2C/view?usp=sharing" TargetMode="External"/><Relationship Id="rId303" Type="http://schemas.openxmlformats.org/officeDocument/2006/relationships/hyperlink" Target="https://drive.google.com/file/d/1nVuJqewU1cvToyLMfghyprciEcUzl0ED/view?usp=sharing" TargetMode="External"/><Relationship Id="rId21" Type="http://schemas.openxmlformats.org/officeDocument/2006/relationships/hyperlink" Target="https://drive.google.com/file/d/1qOd7Faw4Fo-zaC3kQrqquczQbtHD-CxD/view?usp=sharing" TargetMode="External"/><Relationship Id="rId42" Type="http://schemas.openxmlformats.org/officeDocument/2006/relationships/hyperlink" Target="https://drive.google.com/file/d/1x8hsyEIW2s0Znl7oJYDekEbh_uNbrIj3/view?usp=sharing" TargetMode="External"/><Relationship Id="rId63" Type="http://schemas.openxmlformats.org/officeDocument/2006/relationships/hyperlink" Target="https://drive.google.com/file/d/1fd5BPZGWDOr2gB7aE48XyfIR9LzsD21i/view?usp=share_link" TargetMode="External"/><Relationship Id="rId84" Type="http://schemas.openxmlformats.org/officeDocument/2006/relationships/hyperlink" Target="https://drive.google.com/file/d/1j3lI4HriltolRUWuGggw93q8PJQ66390/view?usp=sharing" TargetMode="External"/><Relationship Id="rId138" Type="http://schemas.openxmlformats.org/officeDocument/2006/relationships/hyperlink" Target="https://drive.google.com/file/d/16czJNzMl7gFNb89OKMAHlaFwb3yKhXhr/view?usp=drive_link" TargetMode="External"/><Relationship Id="rId159" Type="http://schemas.openxmlformats.org/officeDocument/2006/relationships/hyperlink" Target="https://drive.google.com/file/d/138U_vkNNLDUGtQDlxYIjLtdLjBBmivwz/view?usp=sharing" TargetMode="External"/><Relationship Id="rId324" Type="http://schemas.openxmlformats.org/officeDocument/2006/relationships/hyperlink" Target="https://drive.google.com/file/d/1eCJZN2Kjy6PwxTrtkmpb1R-6cPfb-tsp/view?usp=sharing" TargetMode="External"/><Relationship Id="rId170" Type="http://schemas.openxmlformats.org/officeDocument/2006/relationships/hyperlink" Target="https://drive.google.com/file/d/1z_QJmmMiz6HESr-Ua_4ml9p-dJ4wqlmr/view?usp=sharing" TargetMode="External"/><Relationship Id="rId191" Type="http://schemas.openxmlformats.org/officeDocument/2006/relationships/hyperlink" Target="https://drive.google.com/file/d/1DW2C8KBnDxmowOoLmlVVYEFzISbIzlx7/view?usp=sharing" TargetMode="External"/><Relationship Id="rId205" Type="http://schemas.openxmlformats.org/officeDocument/2006/relationships/hyperlink" Target="https://drive.google.com/file/d/1XxVEMMEw5nFf0hZ9viurZ4HLCzgxnVKM/view?usp=share_link" TargetMode="External"/><Relationship Id="rId226" Type="http://schemas.openxmlformats.org/officeDocument/2006/relationships/hyperlink" Target="https://drive.google.com/file/d/12zWo8g4IIASH2kbYV-ytLdwxQ1ytB_NW/view?usp=sharing" TargetMode="External"/><Relationship Id="rId247" Type="http://schemas.openxmlformats.org/officeDocument/2006/relationships/hyperlink" Target="https://drive.google.com/file/d/14cdCiFRXzfrP-uL3T706cqX8FuZ9jo_o/view?usp=sharing" TargetMode="External"/><Relationship Id="rId107" Type="http://schemas.openxmlformats.org/officeDocument/2006/relationships/hyperlink" Target="https://drive.google.com/file/d/1gsZgkV6uXFYXgcgsqhrFGx_APSLUo2Sb/view?usp=sharing" TargetMode="External"/><Relationship Id="rId268" Type="http://schemas.openxmlformats.org/officeDocument/2006/relationships/hyperlink" Target="https://drive.google.com/file/d/1exW-D3kJsawgqpDpsKw6thHdEGTZ7KGM/view?usp=sharing" TargetMode="External"/><Relationship Id="rId289" Type="http://schemas.openxmlformats.org/officeDocument/2006/relationships/hyperlink" Target="https://drive.google.com/file/d/1eHL8qIX1hInbKYgNA88LVKzvQVMQ_yrd/view?usp=sharing" TargetMode="External"/><Relationship Id="rId11" Type="http://schemas.openxmlformats.org/officeDocument/2006/relationships/hyperlink" Target="https://drive.google.com/file/d/1iQqMKxJArdgbbS6GlTt49JeVHqYPFVEy/view?usp=sharing" TargetMode="External"/><Relationship Id="rId32" Type="http://schemas.openxmlformats.org/officeDocument/2006/relationships/hyperlink" Target="https://drive.google.com/file/d/1eMvQybakwZB_okwkpJiqbF0XkELrp32X/view?usp=sharing" TargetMode="External"/><Relationship Id="rId53" Type="http://schemas.openxmlformats.org/officeDocument/2006/relationships/hyperlink" Target="https://drive.google.com/file/d/1oVk4fLyHdAedOl6Z7C3K5knhdT6luZg4/view?usp=sharing" TargetMode="External"/><Relationship Id="rId74" Type="http://schemas.openxmlformats.org/officeDocument/2006/relationships/hyperlink" Target="https://drive.google.com/file/d/1hQFilUUWB0YpKjy-GNuIO6IDmnLsPEoI/view?usp=share_link" TargetMode="External"/><Relationship Id="rId128" Type="http://schemas.openxmlformats.org/officeDocument/2006/relationships/hyperlink" Target="https://drive.google.com/file/d/1hx6_zcpWESnfkgzvYuOJBlijJp-gdXaX/view?usp=sharing" TargetMode="External"/><Relationship Id="rId149" Type="http://schemas.openxmlformats.org/officeDocument/2006/relationships/hyperlink" Target="https://drive.google.com/file/d/1w4Ipu0PKQwo1wFs4mgjh5e_WOGoyYj6E/view?usp=sharing" TargetMode="External"/><Relationship Id="rId314" Type="http://schemas.openxmlformats.org/officeDocument/2006/relationships/hyperlink" Target="https://drive.google.com/file/d/1rhujoDiBIve0XzSGaBW5P6a3hHIJftIj/view?usp=drive_link" TargetMode="External"/><Relationship Id="rId5" Type="http://schemas.openxmlformats.org/officeDocument/2006/relationships/hyperlink" Target="https://drive.google.com/file/d/1C7MYE5yn39QFzBRJbazM1Kl5I8P3uaKc/view?usp=sharing" TargetMode="External"/><Relationship Id="rId95" Type="http://schemas.openxmlformats.org/officeDocument/2006/relationships/hyperlink" Target="https://drive.google.com/file/d/19eDNlBwkhj4VxWCsx9c6aH9qE91VmXMF/view?usp=sharing" TargetMode="External"/><Relationship Id="rId160" Type="http://schemas.openxmlformats.org/officeDocument/2006/relationships/hyperlink" Target="https://drive.google.com/file/d/1WqGjYi9dAMsQ2Bntyax06T-vY5PpRHyx/view?usp=sharing" TargetMode="External"/><Relationship Id="rId181" Type="http://schemas.openxmlformats.org/officeDocument/2006/relationships/hyperlink" Target="https://drive.google.com/file/d/1sWvC9HiXYIi6yP4L34eEJjXW9ZkEaayp/view?usp=sharing" TargetMode="External"/><Relationship Id="rId216" Type="http://schemas.openxmlformats.org/officeDocument/2006/relationships/hyperlink" Target="https://drive.google.com/file/d/1SN5gHLsRNC0qFEkJ-c-7Q7lt8N9elhit/view?usp=sharing" TargetMode="External"/><Relationship Id="rId237" Type="http://schemas.openxmlformats.org/officeDocument/2006/relationships/hyperlink" Target="https://drive.google.com/file/d/1EbwVIiwv1CNRJJi3ks4lN_QzHqJ3hJ5p/view?usp=sharing" TargetMode="External"/><Relationship Id="rId258" Type="http://schemas.openxmlformats.org/officeDocument/2006/relationships/hyperlink" Target="https://drive.google.com/file/d/1XRy67tTdNxuRwJndxRcjaE98FcX50A-a/view?usp=sharing" TargetMode="External"/><Relationship Id="rId279" Type="http://schemas.openxmlformats.org/officeDocument/2006/relationships/hyperlink" Target="https://drive.google.com/file/d/1Q_tBMOwrNXuF4HYSb3XWKs7pHy6a00fU/view?usp=sharing" TargetMode="External"/><Relationship Id="rId22" Type="http://schemas.openxmlformats.org/officeDocument/2006/relationships/hyperlink" Target="https://drive.google.com/file/d/13oLD6dN5_q5MIAszFu2FNo7GhrRtAvvf/view?usp=sharing" TargetMode="External"/><Relationship Id="rId43" Type="http://schemas.openxmlformats.org/officeDocument/2006/relationships/hyperlink" Target="https://drive.google.com/file/d/1KVV-S5QKvrg5e9X6QyMfbDzxHNd9f83j/view?usp=share_link" TargetMode="External"/><Relationship Id="rId64" Type="http://schemas.openxmlformats.org/officeDocument/2006/relationships/hyperlink" Target="https://drive.google.com/file/d/1iBVtb16LYDbmgbwamOSdv7x3ZkfVPc6W/view?usp=share_link" TargetMode="External"/><Relationship Id="rId118" Type="http://schemas.openxmlformats.org/officeDocument/2006/relationships/hyperlink" Target="https://drive.google.com/file/d/1AR0lInsCY9vNCfNIjcssVVWJbgNRoHFs/view?usp=share_link" TargetMode="External"/><Relationship Id="rId139" Type="http://schemas.openxmlformats.org/officeDocument/2006/relationships/hyperlink" Target="https://drive.google.com/file/d/18gJSCIqqWg8okzExMHNhmWhXnVzg0qVk/view?usp=sharing" TargetMode="External"/><Relationship Id="rId290" Type="http://schemas.openxmlformats.org/officeDocument/2006/relationships/hyperlink" Target="https://drive.google.com/file/d/1YCLS8CQZVh4lGGcZUAGqUnRiB_LKsbmv/view?usp=drive_link" TargetMode="External"/><Relationship Id="rId304" Type="http://schemas.openxmlformats.org/officeDocument/2006/relationships/hyperlink" Target="https://drive.google.com/file/d/1rbbVqjvve0fjRw6-ywERHrhNd5Vbz-lU/view?usp=share_link" TargetMode="External"/><Relationship Id="rId325" Type="http://schemas.openxmlformats.org/officeDocument/2006/relationships/hyperlink" Target="https://drive.google.com/file/d/1csVlZ5NwzSxhrqEyero6EP7SbUji6KgP/view?usp=sharing" TargetMode="External"/><Relationship Id="rId85" Type="http://schemas.openxmlformats.org/officeDocument/2006/relationships/hyperlink" Target="https://drive.google.com/file/d/1YRnqhezvWg4vmcgaDI2AFu66Ph66ygoB/view?usp=sharing" TargetMode="External"/><Relationship Id="rId150" Type="http://schemas.openxmlformats.org/officeDocument/2006/relationships/hyperlink" Target="https://drive.google.com/file/d/1mRUrXlVrgbtGLF7ehKIp5g6luEl1BSzp/view?usp=drive_link" TargetMode="External"/><Relationship Id="rId171" Type="http://schemas.openxmlformats.org/officeDocument/2006/relationships/hyperlink" Target="https://drive.google.com/file/d/1dHH8kxjCereWamdepZaKK6wDlgMEmdAB/view?usp=sharing" TargetMode="External"/><Relationship Id="rId192" Type="http://schemas.openxmlformats.org/officeDocument/2006/relationships/hyperlink" Target="https://drive.google.com/file/d/1VJUQaWzpcvhVil_RGwoJP8dD9Rn5kn0Q/view?usp=sharing" TargetMode="External"/><Relationship Id="rId206" Type="http://schemas.openxmlformats.org/officeDocument/2006/relationships/hyperlink" Target="https://drive.google.com/file/d/1U7jiEzW8mOvRpwYg312zPJFJ9WV9WaTL/view?usp=sharing" TargetMode="External"/><Relationship Id="rId227" Type="http://schemas.openxmlformats.org/officeDocument/2006/relationships/hyperlink" Target="https://drive.google.com/file/d/1R_9gUW4nr3ExChZ3ype86BOMjGES229K/view?usp=sharing" TargetMode="External"/><Relationship Id="rId248" Type="http://schemas.openxmlformats.org/officeDocument/2006/relationships/hyperlink" Target="https://drive.google.com/file/d/1Wkx6214GZEeoAIt_r3XIuzNxGoR7bKF-/view?usp=sharing" TargetMode="External"/><Relationship Id="rId269" Type="http://schemas.openxmlformats.org/officeDocument/2006/relationships/hyperlink" Target="https://drive.google.com/file/d/18hHxl0WRrGpAslLm3CGWRi7i62LJtvBv/view?usp=sharing" TargetMode="External"/><Relationship Id="rId12" Type="http://schemas.openxmlformats.org/officeDocument/2006/relationships/hyperlink" Target="https://drive.google.com/file/d/1HSbJlhFErJ8SyyFb0NkBiWN4F27hudXH/view?usp=sharing" TargetMode="External"/><Relationship Id="rId33" Type="http://schemas.openxmlformats.org/officeDocument/2006/relationships/hyperlink" Target="https://drive.google.com/file/d/1ZUkyc0chpfxwBvLhT6vkwS1eIZjjweaa/view?usp=sharing" TargetMode="External"/><Relationship Id="rId108" Type="http://schemas.openxmlformats.org/officeDocument/2006/relationships/hyperlink" Target="https://drive.google.com/file/d/16DCdvgeJnavvaEOvyTTZWkK94oPFA__K/view?usp=share_link" TargetMode="External"/><Relationship Id="rId129" Type="http://schemas.openxmlformats.org/officeDocument/2006/relationships/hyperlink" Target="https://drive.google.com/file/d/1brG9ly1PjvhkgyYzFvA-IzcCjXaQ3NqJ/view?usp=sharing" TargetMode="External"/><Relationship Id="rId280" Type="http://schemas.openxmlformats.org/officeDocument/2006/relationships/hyperlink" Target="https://drive.google.com/file/d/1rN3M3KPcZDQPsec5sL-nfNPKEBPnE3yF/view?usp=sharing" TargetMode="External"/><Relationship Id="rId315" Type="http://schemas.openxmlformats.org/officeDocument/2006/relationships/hyperlink" Target="https://drive.google.com/file/d/1UHbzo3aUUYqYixAIGvWFgICNuXb76L5p/view?usp=sharing" TargetMode="External"/><Relationship Id="rId54" Type="http://schemas.openxmlformats.org/officeDocument/2006/relationships/hyperlink" Target="https://drive.google.com/file/d/1JII9uN3YH7T26CPrEDpP5D_f8rEGEcJ8/view?usp=sharing" TargetMode="External"/><Relationship Id="rId75" Type="http://schemas.openxmlformats.org/officeDocument/2006/relationships/hyperlink" Target="https://drive.google.com/file/d/14xTJON_xBRpI3x95NyJmzy62u09ppZjE/view?usp=sharing" TargetMode="External"/><Relationship Id="rId96" Type="http://schemas.openxmlformats.org/officeDocument/2006/relationships/hyperlink" Target="https://drive.google.com/file/d/1e2d1zuAAJEv0ACX00yIJKhTv7VwHntFu/view?usp=share_link" TargetMode="External"/><Relationship Id="rId140" Type="http://schemas.openxmlformats.org/officeDocument/2006/relationships/hyperlink" Target="https://drive.google.com/file/d/1nTv65o7MtaXLdqcGAhp0UP8wB0vyE4hr/view?usp=sharing" TargetMode="External"/><Relationship Id="rId161" Type="http://schemas.openxmlformats.org/officeDocument/2006/relationships/hyperlink" Target="https://drive.google.com/file/d/1JJmibAH9jaGDtYwlth2wrdqe_cVRvmxa/view?usp=sharing" TargetMode="External"/><Relationship Id="rId182" Type="http://schemas.openxmlformats.org/officeDocument/2006/relationships/hyperlink" Target="https://drive.google.com/file/d/1qOyxXh_Df2Szgt7wLuVI18g_4FYc44Ij/view?usp=sharing" TargetMode="External"/><Relationship Id="rId217" Type="http://schemas.openxmlformats.org/officeDocument/2006/relationships/hyperlink" Target="https://drive.google.com/file/d/1FFHpnNN4RSKUu4NpxwtsyZToylV9JOx9/view?usp=sharing" TargetMode="External"/><Relationship Id="rId6" Type="http://schemas.openxmlformats.org/officeDocument/2006/relationships/hyperlink" Target="https://drive.google.com/file/d/1L5uZ3Doq3joOs1Nq0oY_4Yvo65lJO9hf/view?usp=sharing" TargetMode="External"/><Relationship Id="rId238" Type="http://schemas.openxmlformats.org/officeDocument/2006/relationships/hyperlink" Target="https://drive.google.com/file/d/1xFUNMCotAaGiqO44TMm0JQmpzAv305Qa/view?usp=sharing" TargetMode="External"/><Relationship Id="rId259" Type="http://schemas.openxmlformats.org/officeDocument/2006/relationships/hyperlink" Target="https://drive.google.com/file/d/110SH-dggKV36BB1ltvMDP8fuuq2q9c6x/view?usp=sharing" TargetMode="External"/><Relationship Id="rId23" Type="http://schemas.openxmlformats.org/officeDocument/2006/relationships/hyperlink" Target="https://drive.google.com/file/d/1EfREliDt4jrwU2hiWPS7hbl6tMYKPI0k/view?usp=sharing" TargetMode="External"/><Relationship Id="rId119" Type="http://schemas.openxmlformats.org/officeDocument/2006/relationships/hyperlink" Target="https://drive.google.com/file/d/1E4xL4OQOC0pKJRMJvGWkHDWkMBHb4vuo/view?usp=sharing" TargetMode="External"/><Relationship Id="rId270" Type="http://schemas.openxmlformats.org/officeDocument/2006/relationships/hyperlink" Target="https://drive.google.com/file/d/1TjIDPj2a4ayU_eGpGQcx8cVRwKZLlycN/view?usp=sharing" TargetMode="External"/><Relationship Id="rId291" Type="http://schemas.openxmlformats.org/officeDocument/2006/relationships/hyperlink" Target="https://drive.google.com/file/d/143_6bFiQk4XEFewxMbQX64oHrf2I_f1F/view?usp=sharing" TargetMode="External"/><Relationship Id="rId305" Type="http://schemas.openxmlformats.org/officeDocument/2006/relationships/hyperlink" Target="https://drive.google.com/file/d/1FtKKBbWp4EiNcai7BPwYwNc4D5xD-UjP/view?usp=share_link" TargetMode="External"/><Relationship Id="rId326" Type="http://schemas.openxmlformats.org/officeDocument/2006/relationships/hyperlink" Target="https://drive.google.com/file/d/1j3FlQoBSSdfPgJncHEeiiONuaRcu3JXX/view?usp=sharing" TargetMode="External"/><Relationship Id="rId44" Type="http://schemas.openxmlformats.org/officeDocument/2006/relationships/hyperlink" Target="https://drive.google.com/file/d/1IGgNjFBJ2sWpU3u-FxSQXJvNGXzNUMjE/view?usp=sharing" TargetMode="External"/><Relationship Id="rId65" Type="http://schemas.openxmlformats.org/officeDocument/2006/relationships/hyperlink" Target="https://drive.google.com/file/d/1dy3n5eFE2l-gUjAY8fZoF8mSaFMvKgkg/view?usp=share_link" TargetMode="External"/><Relationship Id="rId86" Type="http://schemas.openxmlformats.org/officeDocument/2006/relationships/hyperlink" Target="https://drive.google.com/file/d/1eni-ZnAnusYpjjQIBv0sNQhU0wt2kKBm/view?usp=share_link" TargetMode="External"/><Relationship Id="rId130" Type="http://schemas.openxmlformats.org/officeDocument/2006/relationships/hyperlink" Target="https://drive.google.com/file/d/157kLXeMkGSGBt4O__GnYO04ny7ZpKEij/view?usp=sharing" TargetMode="External"/><Relationship Id="rId151" Type="http://schemas.openxmlformats.org/officeDocument/2006/relationships/hyperlink" Target="https://drive.google.com/file/d/16147ofeSLVB3F3LsNbTL20WZYK3UgDrC/view?usp=sharing" TargetMode="External"/><Relationship Id="rId172" Type="http://schemas.openxmlformats.org/officeDocument/2006/relationships/hyperlink" Target="https://drive.google.com/file/d/1Z1F1PBO8rmZrA4CjXGVaDako0ziWb4mg/view?usp=sharing" TargetMode="External"/><Relationship Id="rId193" Type="http://schemas.openxmlformats.org/officeDocument/2006/relationships/hyperlink" Target="https://drive.google.com/file/d/1dvvVQswFVUJ8MKu3LzY3cMrEhF3TI0Yd/view?usp=sharing" TargetMode="External"/><Relationship Id="rId207" Type="http://schemas.openxmlformats.org/officeDocument/2006/relationships/hyperlink" Target="https://drive.google.com/file/d/1zcIbaRs0XSpC9xU3UdM53kDaOYETb6Wg/view?usp=sharing" TargetMode="External"/><Relationship Id="rId228" Type="http://schemas.openxmlformats.org/officeDocument/2006/relationships/hyperlink" Target="https://drive.google.com/file/d/1l2Oixf8N3C6qotG-CV7zOpFUIK0Gr8-R/view?usp=sharing" TargetMode="External"/><Relationship Id="rId249" Type="http://schemas.openxmlformats.org/officeDocument/2006/relationships/hyperlink" Target="https://drive.google.com/file/d/1Se1mDKMsM4ZqhIpEupJj4PFtIEKeinri/view?usp=sharing" TargetMode="External"/><Relationship Id="rId13" Type="http://schemas.openxmlformats.org/officeDocument/2006/relationships/hyperlink" Target="https://drive.google.com/file/d/1HHbag3NqzV4z3gJ-QA2OItD-BjbsQWUw/view?usp=sharing" TargetMode="External"/><Relationship Id="rId109" Type="http://schemas.openxmlformats.org/officeDocument/2006/relationships/hyperlink" Target="https://drive.google.com/file/d/1NNJ4SHJvp_DF4iMvoxhI5Gq_u_OY_5Sc/view?usp=sharing" TargetMode="External"/><Relationship Id="rId260" Type="http://schemas.openxmlformats.org/officeDocument/2006/relationships/hyperlink" Target="https://drive.google.com/file/d/1UAZU7Y_WfS_W77Pfja-y4TPQoT_lqQkd/view?usp=sharing" TargetMode="External"/><Relationship Id="rId281" Type="http://schemas.openxmlformats.org/officeDocument/2006/relationships/hyperlink" Target="https://drive.google.com/file/d/1HubbuBu_9GuNU0EUfYptIU9CgAOi9904/view?usp=sharing" TargetMode="External"/><Relationship Id="rId316" Type="http://schemas.openxmlformats.org/officeDocument/2006/relationships/hyperlink" Target="https://drive.google.com/file/d/16XkFsDiOFP350KxvUeUDoYQueWMBHUco/view?usp=sharing" TargetMode="External"/><Relationship Id="rId34" Type="http://schemas.openxmlformats.org/officeDocument/2006/relationships/hyperlink" Target="https://drive.google.com/file/d/1Sf-Bu0mNRIlb8VXNSDJc-zvzhZMO_IPr/view?usp=sharing" TargetMode="External"/><Relationship Id="rId55" Type="http://schemas.openxmlformats.org/officeDocument/2006/relationships/hyperlink" Target="https://drive.google.com/file/d/1cxIaBbHzHS8wcufo1dePoh-qDBBPY-0f/view?usp=share_link" TargetMode="External"/><Relationship Id="rId76" Type="http://schemas.openxmlformats.org/officeDocument/2006/relationships/hyperlink" Target="https://drive.google.com/file/d/16X1TetWogTUD5zAexCUtWWGs_utI4f9c/view?usp=share_link" TargetMode="External"/><Relationship Id="rId97" Type="http://schemas.openxmlformats.org/officeDocument/2006/relationships/hyperlink" Target="https://drive.google.com/file/d/1hsCe6W2YUblhdZiwmDYA452lyyj4HUwH/view?usp=sharing" TargetMode="External"/><Relationship Id="rId120" Type="http://schemas.openxmlformats.org/officeDocument/2006/relationships/hyperlink" Target="https://drive.google.com/file/d/1OA9d908MyD6AnnhG7ODNWR585rZFpH-R/view?usp=share_link" TargetMode="External"/><Relationship Id="rId141" Type="http://schemas.openxmlformats.org/officeDocument/2006/relationships/hyperlink" Target="https://drive.google.com/file/d/1EI3p5zFUKQcGuw1ssjaB13rmC01nYGwC/view?usp=sharing" TargetMode="External"/><Relationship Id="rId7" Type="http://schemas.openxmlformats.org/officeDocument/2006/relationships/hyperlink" Target="https://drive.google.com/file/d/1wl8RE2UO-mltE9qmhNX65UkvDTuKl2fk/view?usp=sharing" TargetMode="External"/><Relationship Id="rId162" Type="http://schemas.openxmlformats.org/officeDocument/2006/relationships/hyperlink" Target="https://drive.google.com/file/d/1kXu7o7ClzM8el7kLR1GSVgCdbmSR-raW/view?usp=sharing" TargetMode="External"/><Relationship Id="rId183" Type="http://schemas.openxmlformats.org/officeDocument/2006/relationships/hyperlink" Target="https://drive.google.com/file/d/1rvpU0tDfIwdY3xaxx5Vpkps3eLohLhbi/view?usp=sharing" TargetMode="External"/><Relationship Id="rId218" Type="http://schemas.openxmlformats.org/officeDocument/2006/relationships/hyperlink" Target="https://drive.google.com/file/d/15xTC5ytdBQ4BI7wBSuaH_X2eR520p39b/view?usp=sharing" TargetMode="External"/><Relationship Id="rId239" Type="http://schemas.openxmlformats.org/officeDocument/2006/relationships/hyperlink" Target="https://drive.google.com/file/d/1skIuZiypqzFiP3BjsD8aO0dFIGHs0LUs/view?usp=sharing" TargetMode="External"/><Relationship Id="rId250" Type="http://schemas.openxmlformats.org/officeDocument/2006/relationships/hyperlink" Target="https://drive.google.com/file/d/1ReXQKcqRwGg73V_6aZKqkFrgSpQExXo2/view?usp=sharing" TargetMode="External"/><Relationship Id="rId271" Type="http://schemas.openxmlformats.org/officeDocument/2006/relationships/hyperlink" Target="https://drive.google.com/file/d/13FXqVF5b_Fu2VX_MADNMZaxSb9ceqhmN/view?usp=sharing" TargetMode="External"/><Relationship Id="rId292" Type="http://schemas.openxmlformats.org/officeDocument/2006/relationships/hyperlink" Target="https://drive.google.com/file/d/1dCdBk1ij58lcavWcPpii84h_vkjkhsCh/view?usp=sharing" TargetMode="External"/><Relationship Id="rId306" Type="http://schemas.openxmlformats.org/officeDocument/2006/relationships/hyperlink" Target="https://drive.google.com/file/d/1FO-vluFDCOsQbUpygj5gsRX1nkg5sHKI/view?usp=share_link" TargetMode="External"/><Relationship Id="rId24" Type="http://schemas.openxmlformats.org/officeDocument/2006/relationships/hyperlink" Target="https://drive.google.com/file/d/1QvNfSdCFzzqNacSjcnrwvD3BAbq98WI-/view?usp=sharing" TargetMode="External"/><Relationship Id="rId45" Type="http://schemas.openxmlformats.org/officeDocument/2006/relationships/hyperlink" Target="https://drive.google.com/file/d/14G-memlp7gDXO_voWEp1mL4C4AqICyys/view?usp=share_link" TargetMode="External"/><Relationship Id="rId66" Type="http://schemas.openxmlformats.org/officeDocument/2006/relationships/hyperlink" Target="https://drive.google.com/file/d/1TDxHZTXBZ_W7nxg8NDSrQXz_Z2nvExCF/view?usp=share_link" TargetMode="External"/><Relationship Id="rId87" Type="http://schemas.openxmlformats.org/officeDocument/2006/relationships/hyperlink" Target="https://drive.google.com/file/d/1Ez7UuwN6QHK0Jc1ubftGFzYeEN3SW20D/view?usp=sharing" TargetMode="External"/><Relationship Id="rId110" Type="http://schemas.openxmlformats.org/officeDocument/2006/relationships/hyperlink" Target="https://drive.google.com/file/d/15RCiOFFlwFcXTP7qVU-omargrUm1eQ3s/view?usp=sharing" TargetMode="External"/><Relationship Id="rId131" Type="http://schemas.openxmlformats.org/officeDocument/2006/relationships/hyperlink" Target="https://drive.google.com/file/d/1B62o8IEweJxdGwLhkZ_W9E831Ak8kWJt/view?usp=sharing" TargetMode="External"/><Relationship Id="rId152" Type="http://schemas.openxmlformats.org/officeDocument/2006/relationships/hyperlink" Target="https://drive.google.com/file/d/1DX1F7bLVRjQTpMp55hnkWX85PTAn2SVf/view?usp=sharing" TargetMode="External"/><Relationship Id="rId173" Type="http://schemas.openxmlformats.org/officeDocument/2006/relationships/hyperlink" Target="https://drive.google.com/file/d/1w1Rsit125AFrZt8njKs4CN5gf78YeTYI/view?usp=sharing" TargetMode="External"/><Relationship Id="rId194" Type="http://schemas.openxmlformats.org/officeDocument/2006/relationships/hyperlink" Target="https://drive.google.com/file/d/1xsTdzg4qlXWQWNBGLLvfDfCOvGiaPVT1/view?usp=sharing" TargetMode="External"/><Relationship Id="rId208" Type="http://schemas.openxmlformats.org/officeDocument/2006/relationships/hyperlink" Target="https://drive.google.com/file/d/1BpxLwTd7Q5u0aW1jKfQz9VgpjEJYnX3K/view?usp=sharing" TargetMode="External"/><Relationship Id="rId229" Type="http://schemas.openxmlformats.org/officeDocument/2006/relationships/hyperlink" Target="https://drive.google.com/file/d/1eTc2Pu0b_kwqPL6ulj5TgKTmj0COAzDC/view?usp=sharing" TargetMode="External"/><Relationship Id="rId240" Type="http://schemas.openxmlformats.org/officeDocument/2006/relationships/hyperlink" Target="https://drive.google.com/file/d/1KyCQ1y_fFqovutwXWjJU8RoLTfCxH7li/view?usp=sharing" TargetMode="External"/><Relationship Id="rId261" Type="http://schemas.openxmlformats.org/officeDocument/2006/relationships/hyperlink" Target="https://drive.google.com/file/d/1_9je__RaBRtVK-6Xx6XEMahKwncG7Xnt/view?usp=sharing" TargetMode="External"/><Relationship Id="rId14" Type="http://schemas.openxmlformats.org/officeDocument/2006/relationships/hyperlink" Target="https://drive.google.com/file/d/16VL-sqi-FDhQvEas2sl7rHxKVHO-6zcl/view?usp=sharing" TargetMode="External"/><Relationship Id="rId30" Type="http://schemas.openxmlformats.org/officeDocument/2006/relationships/hyperlink" Target="https://drive.google.com/file/d/1W_45KyJ_lcrXL9LTz7fDfYd5NYF4-bpi/view?usp=sharing" TargetMode="External"/><Relationship Id="rId35" Type="http://schemas.openxmlformats.org/officeDocument/2006/relationships/hyperlink" Target="https://drive.google.com/file/d/1ZFD6NXuLIWL_rzjEGiGj-R_t-HNc6HoQ/view?usp=share_link" TargetMode="External"/><Relationship Id="rId56" Type="http://schemas.openxmlformats.org/officeDocument/2006/relationships/hyperlink" Target="https://drive.google.com/file/d/1NhNC_QBOGDVo2SKhJ6ZDyj7wGBx89tNR/view?usp=sharing" TargetMode="External"/><Relationship Id="rId77" Type="http://schemas.openxmlformats.org/officeDocument/2006/relationships/hyperlink" Target="https://drive.google.com/file/d/1yIOdTCvbg-GXKj-hh2M591V9jJh4xTf0/view?usp=sharing" TargetMode="External"/><Relationship Id="rId100" Type="http://schemas.openxmlformats.org/officeDocument/2006/relationships/hyperlink" Target="https://drive.google.com/file/d/1fmCjrH3fq3r2EwCls4GbGoKf3qhK7W80/view?usp=share_link" TargetMode="External"/><Relationship Id="rId105" Type="http://schemas.openxmlformats.org/officeDocument/2006/relationships/hyperlink" Target="https://drive.google.com/file/d/1L7Jl-nzl2sHJkIHUtfZQtzJy3udOwybh/view?usp=sharing" TargetMode="External"/><Relationship Id="rId126" Type="http://schemas.openxmlformats.org/officeDocument/2006/relationships/hyperlink" Target="https://drive.google.com/file/d/1mWmNd9haw7yU1P75U2kWuYgGlQ0OMyYJ/view?usp=sharing" TargetMode="External"/><Relationship Id="rId147" Type="http://schemas.openxmlformats.org/officeDocument/2006/relationships/hyperlink" Target="https://drive.google.com/file/d/1eh21q_9nr6KaxqtMsoViav2H-wDQyW6a/view?usp=drive_link" TargetMode="External"/><Relationship Id="rId168" Type="http://schemas.openxmlformats.org/officeDocument/2006/relationships/hyperlink" Target="https://drive.google.com/file/d/15LSWjq99bVxEfjZt9VoiRRKvOZUUP_4x/view?usp=sharing" TargetMode="External"/><Relationship Id="rId282" Type="http://schemas.openxmlformats.org/officeDocument/2006/relationships/hyperlink" Target="https://drive.google.com/file/d/1TkAfCR9f5WFafx_GG1UXidwp9WBLrpYA/view?usp=sharing" TargetMode="External"/><Relationship Id="rId312" Type="http://schemas.openxmlformats.org/officeDocument/2006/relationships/hyperlink" Target="https://drive.google.com/file/d/19GwcbONPlTvXR2jEjR5YclHH4E4v99j4/view?usp=share_link" TargetMode="External"/><Relationship Id="rId317" Type="http://schemas.openxmlformats.org/officeDocument/2006/relationships/hyperlink" Target="https://drive.google.com/file/d/1KpJhwDRptmS_LYvMd7XtSrBEY7GGd4i0/view?usp=sharing" TargetMode="External"/><Relationship Id="rId8" Type="http://schemas.openxmlformats.org/officeDocument/2006/relationships/hyperlink" Target="https://drive.google.com/file/d/1mxSHATdUksE13HVkbPVk43ul2zMlX4jI/view?usp=sharing" TargetMode="External"/><Relationship Id="rId51" Type="http://schemas.openxmlformats.org/officeDocument/2006/relationships/hyperlink" Target="https://drive.google.com/file/d/1Jki0akBFWTAvjxbfwjv2m2Hq98nwtIxL/view?usp=share_link" TargetMode="External"/><Relationship Id="rId72" Type="http://schemas.openxmlformats.org/officeDocument/2006/relationships/hyperlink" Target="https://drive.google.com/file/d/1ZNyQmsvxQSDHRKvN2uMeFLXpoX_ZAUte/view?usp=share_link" TargetMode="External"/><Relationship Id="rId93" Type="http://schemas.openxmlformats.org/officeDocument/2006/relationships/hyperlink" Target="https://drive.google.com/file/d/19NfOU_zIiMAQdelZfdSG0PL7JXyvjwCw/view?usp=sharing" TargetMode="External"/><Relationship Id="rId98" Type="http://schemas.openxmlformats.org/officeDocument/2006/relationships/hyperlink" Target="https://drive.google.com/file/d/1BdVywyJ7sSG9XN0o4AjKpWfXT1uZM10E/view?usp=share_link" TargetMode="External"/><Relationship Id="rId121" Type="http://schemas.openxmlformats.org/officeDocument/2006/relationships/hyperlink" Target="https://drive.google.com/file/d/1dbsm6Sqxn0tBM_iBs8-nPS8U46nG55rb/view?usp=sharing" TargetMode="External"/><Relationship Id="rId142" Type="http://schemas.openxmlformats.org/officeDocument/2006/relationships/hyperlink" Target="https://drive.google.com/file/d/1WSYxyT7nhGdAxVRIrL0OND5LqqXNCc24/view?usp=sharing" TargetMode="External"/><Relationship Id="rId163" Type="http://schemas.openxmlformats.org/officeDocument/2006/relationships/hyperlink" Target="https://drive.google.com/file/d/1WvT7ca_BEf5eeEiTkj9xHH-Hztj1Do8K/view?usp=sharing" TargetMode="External"/><Relationship Id="rId184" Type="http://schemas.openxmlformats.org/officeDocument/2006/relationships/hyperlink" Target="https://drive.google.com/file/d/1OyTl2OvSabK-8bW65_nxdUOR_j3pKvpd/view?usp=sharing" TargetMode="External"/><Relationship Id="rId189" Type="http://schemas.openxmlformats.org/officeDocument/2006/relationships/hyperlink" Target="https://drive.google.com/file/d/1BNjNN_kWGsxi-UCfylvXWFdEPmrz5Qyt/view?usp=sharing" TargetMode="External"/><Relationship Id="rId219" Type="http://schemas.openxmlformats.org/officeDocument/2006/relationships/hyperlink" Target="https://drive.google.com/file/d/1xxIbcNT_DGnwDUhOrtXnnu0mo6J89XJ8/view?usp=sharing" TargetMode="External"/><Relationship Id="rId3" Type="http://schemas.openxmlformats.org/officeDocument/2006/relationships/hyperlink" Target="https://drive.google.com/file/d/1lF0m94QKbPvux3pSArtJQGXQ-nKsCT4j/view?usp=sharing" TargetMode="External"/><Relationship Id="rId214" Type="http://schemas.openxmlformats.org/officeDocument/2006/relationships/hyperlink" Target="https://drive.google.com/file/d/1AUXueofqW8SR9yQgaVEVJymMDidxAWFF/view?usp=sharing" TargetMode="External"/><Relationship Id="rId230" Type="http://schemas.openxmlformats.org/officeDocument/2006/relationships/hyperlink" Target="https://drive.google.com/file/d/1Vw70yBY-UoyVdYhOGL8E9w3nr02MIdtX/view?usp=sharing" TargetMode="External"/><Relationship Id="rId235" Type="http://schemas.openxmlformats.org/officeDocument/2006/relationships/hyperlink" Target="https://drive.google.com/file/d/1UOvQpAp_u6iFYrNpLv2DyOCNWKZAhJw3/view?usp=sharing" TargetMode="External"/><Relationship Id="rId251" Type="http://schemas.openxmlformats.org/officeDocument/2006/relationships/hyperlink" Target="https://drive.google.com/file/d/1UTzEpyP3rBp_mIj6btwngbRmFmJmBzeA/view?usp=sharing" TargetMode="External"/><Relationship Id="rId256" Type="http://schemas.openxmlformats.org/officeDocument/2006/relationships/hyperlink" Target="https://drive.google.com/file/d/1oeYcg8IMmdpHq0OgOwfyWE3XcHDVtg3R/view?usp=sharing" TargetMode="External"/><Relationship Id="rId277" Type="http://schemas.openxmlformats.org/officeDocument/2006/relationships/hyperlink" Target="https://drive.google.com/file/d/1l6bVxhOWkLV5NIIpAZ4qvsG1FQjXxMCw/view?usp=sharing" TargetMode="External"/><Relationship Id="rId298" Type="http://schemas.openxmlformats.org/officeDocument/2006/relationships/hyperlink" Target="https://drive.google.com/file/d/1EveI4qGiMy07Po7OBeIA1lfVzJALwBSK/view?usp=sharing" TargetMode="External"/><Relationship Id="rId25" Type="http://schemas.openxmlformats.org/officeDocument/2006/relationships/hyperlink" Target="https://drive.google.com/file/d/1Is2F754sT4NJof6OJRupZyVleu1ydiRU/view?usp=sharing" TargetMode="External"/><Relationship Id="rId46" Type="http://schemas.openxmlformats.org/officeDocument/2006/relationships/hyperlink" Target="https://drive.google.com/file/d/1TlmikNOkl9rAb-anRCzWdQW11uGD34Xg/view?usp=sharing" TargetMode="External"/><Relationship Id="rId67" Type="http://schemas.openxmlformats.org/officeDocument/2006/relationships/hyperlink" Target="https://drive.google.com/file/d/1gpQ3I2T3QPxdcmTAC1PPXJfWqWErcL6q/view?usp=sharing" TargetMode="External"/><Relationship Id="rId116" Type="http://schemas.openxmlformats.org/officeDocument/2006/relationships/hyperlink" Target="https://drive.google.com/file/d/1N2rcU50sr1iTHZZGcpU_KNz8pwF6nWc1/view?usp=share_link" TargetMode="External"/><Relationship Id="rId137" Type="http://schemas.openxmlformats.org/officeDocument/2006/relationships/hyperlink" Target="https://drive.google.com/file/d/1t4hZ57tpkUBAJV4Uig7ZwBkAA2Otp5bc/view?usp=sharing" TargetMode="External"/><Relationship Id="rId158" Type="http://schemas.openxmlformats.org/officeDocument/2006/relationships/hyperlink" Target="https://drive.google.com/file/d/1t4OjtNZogH_plbFGCd7NlFy0eqjrt-SE/view?usp=sharing" TargetMode="External"/><Relationship Id="rId272" Type="http://schemas.openxmlformats.org/officeDocument/2006/relationships/hyperlink" Target="https://drive.google.com/file/d/1HnLIKIeO5yDVQXV7I82ILDMb19X3IyIb/view?usp=sharing" TargetMode="External"/><Relationship Id="rId293" Type="http://schemas.openxmlformats.org/officeDocument/2006/relationships/hyperlink" Target="https://drive.google.com/file/d/1o6eNmEgbzVEWrrqoPzxvcla7I1kFma7b/view?usp=sharing" TargetMode="External"/><Relationship Id="rId302" Type="http://schemas.openxmlformats.org/officeDocument/2006/relationships/hyperlink" Target="https://drive.google.com/file/d/13L4qH7xxxN5jMF3CcRNpm4rK8WZYIV-w/view?usp=sharing" TargetMode="External"/><Relationship Id="rId307" Type="http://schemas.openxmlformats.org/officeDocument/2006/relationships/hyperlink" Target="https://drive.google.com/file/d/1yeRP8ERSKtmX-lRVT8G911SUCP1DaFdI/view?usp=share_link" TargetMode="External"/><Relationship Id="rId323" Type="http://schemas.openxmlformats.org/officeDocument/2006/relationships/hyperlink" Target="https://drive.google.com/file/d/1Nl09-_e3oU33kb17aG6--OLumzffalP0/view?usp=sharing" TargetMode="External"/><Relationship Id="rId20" Type="http://schemas.openxmlformats.org/officeDocument/2006/relationships/hyperlink" Target="https://drive.google.com/file/d/1qOd7Faw4Fo-zaC3kQrqquczQbtHD-CxD/view?usp=sharing" TargetMode="External"/><Relationship Id="rId41" Type="http://schemas.openxmlformats.org/officeDocument/2006/relationships/hyperlink" Target="https://drive.google.com/file/d/1UwX4W7OwD6hnzS0dH9V1hjcZHf5JIGSf/view?usp=share_link" TargetMode="External"/><Relationship Id="rId62" Type="http://schemas.openxmlformats.org/officeDocument/2006/relationships/hyperlink" Target="https://drive.google.com/file/d/1CV0tGO7k51IqFvHTtMUCLhRdybfJ5k30/view?usp=sharing" TargetMode="External"/><Relationship Id="rId83" Type="http://schemas.openxmlformats.org/officeDocument/2006/relationships/hyperlink" Target="https://drive.google.com/file/d/1ZeMXGtw_6iGokOP3DDOK-zLPkAWE2pZt/view?usp=sharing" TargetMode="External"/><Relationship Id="rId88" Type="http://schemas.openxmlformats.org/officeDocument/2006/relationships/hyperlink" Target="https://drive.google.com/file/d/11pstvZfrRRbsCSB7If5vgRUeSt7BY7Xh/view?usp=sharing" TargetMode="External"/><Relationship Id="rId111" Type="http://schemas.openxmlformats.org/officeDocument/2006/relationships/hyperlink" Target="https://drive.google.com/file/d/1GHZjIuX_LFOW3xmWlTfDgu0k_EmbAZF0/view?usp=sharing" TargetMode="External"/><Relationship Id="rId132" Type="http://schemas.openxmlformats.org/officeDocument/2006/relationships/hyperlink" Target="https://drive.google.com/file/d/1S8p3folvOUrWQlXDsOCRWcGWYbOp6fz6/view?usp=sharing" TargetMode="External"/><Relationship Id="rId153" Type="http://schemas.openxmlformats.org/officeDocument/2006/relationships/hyperlink" Target="https://drive.google.com/file/d/16alLd2lE8BkoUiNJbOlMN9fBt9AbjS1F/view?usp=sharing" TargetMode="External"/><Relationship Id="rId174" Type="http://schemas.openxmlformats.org/officeDocument/2006/relationships/hyperlink" Target="https://drive.google.com/file/d/1l31uvdQVzCVyp5z9Lz1OlvZc_8D3vrvc/view?usp=sharing" TargetMode="External"/><Relationship Id="rId179" Type="http://schemas.openxmlformats.org/officeDocument/2006/relationships/hyperlink" Target="https://drive.google.com/file/d/1QkO7coWBhiXOxeU9YCE8wgopitajAzhA/view?usp=sharing" TargetMode="External"/><Relationship Id="rId195" Type="http://schemas.openxmlformats.org/officeDocument/2006/relationships/hyperlink" Target="https://drive.google.com/file/d/1R9ntJ2-jZyJHllWRPDoqmV_Jnm2gYNNs/view?usp=sharing" TargetMode="External"/><Relationship Id="rId209" Type="http://schemas.openxmlformats.org/officeDocument/2006/relationships/hyperlink" Target="https://drive.google.com/file/d/1FB7XJ8DQJ6ee8IpJwES56zzY7kndmyR8/view?usp=sharing" TargetMode="External"/><Relationship Id="rId190" Type="http://schemas.openxmlformats.org/officeDocument/2006/relationships/hyperlink" Target="https://drive.google.com/file/d/13WGwGj-64pDBZkv8tT1WkzFDPoTpF-tw/view?usp=sharing" TargetMode="External"/><Relationship Id="rId204" Type="http://schemas.openxmlformats.org/officeDocument/2006/relationships/hyperlink" Target="https://drive.google.com/file/d/19TZUwEmLhRQ6wBaPmcHR-sJQjE4YQ1i0/view?usp=sharing" TargetMode="External"/><Relationship Id="rId220" Type="http://schemas.openxmlformats.org/officeDocument/2006/relationships/hyperlink" Target="https://drive.google.com/file/d/1YYQEdFRuxkqg2RZjyDVr0xfcQLsMoH_e/view?usp=sharing" TargetMode="External"/><Relationship Id="rId225" Type="http://schemas.openxmlformats.org/officeDocument/2006/relationships/hyperlink" Target="https://drive.google.com/file/d/1CuLENwRXdwemUsmP2MLsgJYQAAMV7Q2g/view?usp=sharing" TargetMode="External"/><Relationship Id="rId241" Type="http://schemas.openxmlformats.org/officeDocument/2006/relationships/hyperlink" Target="https://drive.google.com/file/d/1bCpwmFssmbyYUmetxDgnToF_e-3jCN5U/view?usp=sharing" TargetMode="External"/><Relationship Id="rId246" Type="http://schemas.openxmlformats.org/officeDocument/2006/relationships/hyperlink" Target="https://drive.google.com/file/d/11c--ac1Z484EJxGlHufSGR2ZvRw1W68Y/view?usp=sharing" TargetMode="External"/><Relationship Id="rId267" Type="http://schemas.openxmlformats.org/officeDocument/2006/relationships/hyperlink" Target="https://drive.google.com/file/d/1nG1y86dX9m1274DmeWG4A5QmFP0bwqLj/view?usp=sharing" TargetMode="External"/><Relationship Id="rId288" Type="http://schemas.openxmlformats.org/officeDocument/2006/relationships/hyperlink" Target="https://drive.google.com/file/d/1zAjIlAhRFSgKCH3QDNSmevgB67bMp959/view?usp=sharing" TargetMode="External"/><Relationship Id="rId15" Type="http://schemas.openxmlformats.org/officeDocument/2006/relationships/hyperlink" Target="https://drive.google.com/file/d/1pcRCDRRAKCN9IbJBrAGEPBIG7eGITwKD/view?usp=sharing" TargetMode="External"/><Relationship Id="rId36" Type="http://schemas.openxmlformats.org/officeDocument/2006/relationships/hyperlink" Target="https://drive.google.com/file/d/1Sy7VeJi3s_KzsasXnW5tDxn9i6DcRMgj/view?usp=sharing" TargetMode="External"/><Relationship Id="rId57" Type="http://schemas.openxmlformats.org/officeDocument/2006/relationships/hyperlink" Target="https://drive.google.com/file/d/17XWys6iphfmm_WMizNZfdkSH1-6EQ3hG/view?usp=share_link" TargetMode="External"/><Relationship Id="rId106" Type="http://schemas.openxmlformats.org/officeDocument/2006/relationships/hyperlink" Target="https://drive.google.com/file/d/13EhETTrBAugtf2zixPLOXlXrCvch80HM/view?usp=share_link" TargetMode="External"/><Relationship Id="rId127" Type="http://schemas.openxmlformats.org/officeDocument/2006/relationships/hyperlink" Target="https://drive.google.com/file/d/19xwk-BTtmZk_3lMlutnieL0hahEu6Ku5/view?usp=share_link" TargetMode="External"/><Relationship Id="rId262" Type="http://schemas.openxmlformats.org/officeDocument/2006/relationships/hyperlink" Target="https://drive.google.com/file/d/1PBlbF4Epfl8Tb0lMdXDeBKdZG5Nm4Npy/view?usp=sharing" TargetMode="External"/><Relationship Id="rId283" Type="http://schemas.openxmlformats.org/officeDocument/2006/relationships/hyperlink" Target="https://drive.google.com/file/d/1YXPvm4gGrHnkdSrJMrDMxT3tzzd22Jng/view?usp=sharing" TargetMode="External"/><Relationship Id="rId313" Type="http://schemas.openxmlformats.org/officeDocument/2006/relationships/hyperlink" Target="https://drive.google.com/file/d/17E9njBWfBxDZbf4JM8S5p9pMfnkXRUVC/view?usp=share_link" TargetMode="External"/><Relationship Id="rId318" Type="http://schemas.openxmlformats.org/officeDocument/2006/relationships/hyperlink" Target="https://drive.google.com/file/d/1tAeNtNScYPlkU3TwOfpWtkcQwfi7evkq/view?usp=sharing" TargetMode="External"/><Relationship Id="rId10" Type="http://schemas.openxmlformats.org/officeDocument/2006/relationships/hyperlink" Target="https://drive.google.com/file/d/1MJVaYNVk1LaXfNN6H0HttbRp9Yp8DLld/view?usp=sharing" TargetMode="External"/><Relationship Id="rId31" Type="http://schemas.openxmlformats.org/officeDocument/2006/relationships/hyperlink" Target="https://drive.google.com/file/d/1AGiU90lRFNmr8qGzKUnqER46b4GKl9vV/view?usp=share_link" TargetMode="External"/><Relationship Id="rId52" Type="http://schemas.openxmlformats.org/officeDocument/2006/relationships/hyperlink" Target="https://drive.google.com/file/d/1Acq6Zi1j6hYUb1b_qsyTgkq9uU5xEX6_/view?usp=sharing" TargetMode="External"/><Relationship Id="rId73" Type="http://schemas.openxmlformats.org/officeDocument/2006/relationships/hyperlink" Target="https://drive.google.com/file/d/1Qt5TCNhHVNYW3Pko2Vh3FIbyIZ5YkIR8/view?usp=sharing" TargetMode="External"/><Relationship Id="rId78" Type="http://schemas.openxmlformats.org/officeDocument/2006/relationships/hyperlink" Target="https://drive.google.com/file/d/18_-UTJaaxO7ybDqyutr97eesoVX6YLzO/view?usp=share_link" TargetMode="External"/><Relationship Id="rId94" Type="http://schemas.openxmlformats.org/officeDocument/2006/relationships/hyperlink" Target="https://drive.google.com/file/d/13Yjs1SskSihsNs_F6TjghICBJntWqi5F/view?usp=share_link" TargetMode="External"/><Relationship Id="rId99" Type="http://schemas.openxmlformats.org/officeDocument/2006/relationships/hyperlink" Target="https://drive.google.com/file/d/1nKjKFP1HMEDj9D4h7R3o1AfgnUH6xDNE/view?usp=sharing" TargetMode="External"/><Relationship Id="rId101" Type="http://schemas.openxmlformats.org/officeDocument/2006/relationships/hyperlink" Target="https://drive.google.com/file/d/136hU40WI3Rh3W0dgMEagrdH7UolMhNeM/view?usp=sharing" TargetMode="External"/><Relationship Id="rId122" Type="http://schemas.openxmlformats.org/officeDocument/2006/relationships/hyperlink" Target="https://drive.google.com/file/d/1W_45KyJ_lcrXL9LTz7fDfYd5NYF4-bpi/view?usp=sharing" TargetMode="External"/><Relationship Id="rId143" Type="http://schemas.openxmlformats.org/officeDocument/2006/relationships/hyperlink" Target="https://drive.google.com/file/d/1BiAA631FxAIVckwMuTTEZyXDicDTCFKv/view?usp=sharing" TargetMode="External"/><Relationship Id="rId148" Type="http://schemas.openxmlformats.org/officeDocument/2006/relationships/hyperlink" Target="https://drive.google.com/file/d/18VlpQZSYwhAJhPNkMZDYJRlhl1Of_2GJ/view?usp=sharing" TargetMode="External"/><Relationship Id="rId164" Type="http://schemas.openxmlformats.org/officeDocument/2006/relationships/hyperlink" Target="https://drive.google.com/file/d/1VKwOsoaJgU58nSdXsSHnkZ7FpzWxHMNb/view?usp=sharing" TargetMode="External"/><Relationship Id="rId169" Type="http://schemas.openxmlformats.org/officeDocument/2006/relationships/hyperlink" Target="https://drive.google.com/file/d/16oTglUMACkVcnS-sCp2_nW_b3rEtLVuS/view?usp=sharing" TargetMode="External"/><Relationship Id="rId185" Type="http://schemas.openxmlformats.org/officeDocument/2006/relationships/hyperlink" Target="https://drive.google.com/file/d/12tK6ywBkzOj0KqtRXfgWdBvyfVbijjhi/view?usp=sharing" TargetMode="External"/><Relationship Id="rId4" Type="http://schemas.openxmlformats.org/officeDocument/2006/relationships/hyperlink" Target="https://drive.google.com/file/d/1s4aRy5MuR-e6r8AeOlpZSMW504AHB4bh/view?usp=sharing" TargetMode="External"/><Relationship Id="rId9" Type="http://schemas.openxmlformats.org/officeDocument/2006/relationships/hyperlink" Target="https://drive.google.com/file/d/1h2qrE_d4IZv6agLfMWTOfE682eAI8bUS/view?usp=sharing" TargetMode="External"/><Relationship Id="rId180" Type="http://schemas.openxmlformats.org/officeDocument/2006/relationships/hyperlink" Target="https://drive.google.com/file/d/1TPn2jX0iu8WZQozu5-6BEU-4XMq6ve9N/view?usp=sharing" TargetMode="External"/><Relationship Id="rId210" Type="http://schemas.openxmlformats.org/officeDocument/2006/relationships/hyperlink" Target="https://drive.google.com/file/d/1jk87dsEx7UZ113fzRnVj_ZuchEmZUQu4/view?usp=sharing" TargetMode="External"/><Relationship Id="rId215" Type="http://schemas.openxmlformats.org/officeDocument/2006/relationships/hyperlink" Target="https://drive.google.com/file/d/1qh1Xu_zdkjSviZy0JtOdJh_GJFgVQd-5/view?usp=sharing" TargetMode="External"/><Relationship Id="rId236" Type="http://schemas.openxmlformats.org/officeDocument/2006/relationships/hyperlink" Target="https://drive.google.com/file/d/1dXSPOXDPQJktXCoo60L8Yb8OOG9Lskjg/view?usp=sharing" TargetMode="External"/><Relationship Id="rId257" Type="http://schemas.openxmlformats.org/officeDocument/2006/relationships/hyperlink" Target="https://drive.google.com/file/d/1UdgSEaq1eKbe3abfa1mtNojwiSuTMJ05/view?usp=sharing" TargetMode="External"/><Relationship Id="rId278" Type="http://schemas.openxmlformats.org/officeDocument/2006/relationships/hyperlink" Target="https://drive.google.com/file/d/1q_zQrG75nIWRBuNkQhKype4YKQQjyh6d/view?usp=sharing" TargetMode="External"/><Relationship Id="rId26" Type="http://schemas.openxmlformats.org/officeDocument/2006/relationships/hyperlink" Target="https://drive.google.com/file/d/17sml68IjARJ-yRkC_Jnqasd553jLJTqP/view?usp=sharing" TargetMode="External"/><Relationship Id="rId231" Type="http://schemas.openxmlformats.org/officeDocument/2006/relationships/hyperlink" Target="https://drive.google.com/file/d/1Dba2n9paDOcnVRxM-xf3IDHBPD20a6KA/view?usp=sharing" TargetMode="External"/><Relationship Id="rId252" Type="http://schemas.openxmlformats.org/officeDocument/2006/relationships/hyperlink" Target="https://drive.google.com/file/d/1TA4ZKxj9AuUkY_pR_gl2fYIpb-94ethO/view?usp=sharing" TargetMode="External"/><Relationship Id="rId273" Type="http://schemas.openxmlformats.org/officeDocument/2006/relationships/hyperlink" Target="https://drive.google.com/file/d/1TexDWyegCnwECZ9-dzqIQaAPDlqqAybw/view?usp=sharing" TargetMode="External"/><Relationship Id="rId294" Type="http://schemas.openxmlformats.org/officeDocument/2006/relationships/hyperlink" Target="https://drive.google.com/file/d/1baun8QqtJLui-xhNIWK2JHAP8TrfLZ-T/view?usp=sharing" TargetMode="External"/><Relationship Id="rId308" Type="http://schemas.openxmlformats.org/officeDocument/2006/relationships/hyperlink" Target="https://drive.google.com/file/d/18lnxkBYNsDYI6RZ5QpjXwAfIg1-AMsi4/view?usp=share_link" TargetMode="External"/><Relationship Id="rId47" Type="http://schemas.openxmlformats.org/officeDocument/2006/relationships/hyperlink" Target="https://drive.google.com/file/d/1SBWbqkAlb1r9nHvJz0MPt2oZlIvmna64/view?usp=share_link" TargetMode="External"/><Relationship Id="rId68" Type="http://schemas.openxmlformats.org/officeDocument/2006/relationships/hyperlink" Target="https://drive.google.com/file/d/1rFpgYj-9RHcg_1BCgORFvx6Z3USF6KBJ/view?usp=share_link" TargetMode="External"/><Relationship Id="rId89" Type="http://schemas.openxmlformats.org/officeDocument/2006/relationships/hyperlink" Target="https://drive.google.com/file/d/1qIhNBf6vXAJd6iiZrXO9FaEBgyaQ3JWK/view?usp=sharing" TargetMode="External"/><Relationship Id="rId112" Type="http://schemas.openxmlformats.org/officeDocument/2006/relationships/hyperlink" Target="https://drive.google.com/file/d/1u_nume8g3B8mxYfKvvJYuMU-11mCqzZG/view?usp=share_link" TargetMode="External"/><Relationship Id="rId133" Type="http://schemas.openxmlformats.org/officeDocument/2006/relationships/hyperlink" Target="https://drive.google.com/file/d/1v8GO9Nvd0Xu9G7sdl6o7Mqc-w2mdOnr9/view?usp=sharing" TargetMode="External"/><Relationship Id="rId154" Type="http://schemas.openxmlformats.org/officeDocument/2006/relationships/hyperlink" Target="https://drive.google.com/file/d/17fRPi2rmMFrxs51xgXJzaztiPgAqa4C-/view?usp=sharing" TargetMode="External"/><Relationship Id="rId175" Type="http://schemas.openxmlformats.org/officeDocument/2006/relationships/hyperlink" Target="https://drive.google.com/file/d/1CuLENwRXdwemUsmP2MLsgJYQAAMV7Q2g/view?usp=sharing" TargetMode="External"/><Relationship Id="rId196" Type="http://schemas.openxmlformats.org/officeDocument/2006/relationships/hyperlink" Target="https://drive.google.com/file/d/1kl7bPUw9Nmxtw79LnOtdDzBjpm0vvfDC/view?usp=sharing" TargetMode="External"/><Relationship Id="rId200" Type="http://schemas.openxmlformats.org/officeDocument/2006/relationships/hyperlink" Target="https://drive.google.com/file/d/1D1R8CuKICgdkJ8mXdGqapDvTv5OnGG9h/view?usp=sharing" TargetMode="External"/><Relationship Id="rId16" Type="http://schemas.openxmlformats.org/officeDocument/2006/relationships/hyperlink" Target="https://drive.google.com/file/d/1NldI6VmXVyxCVCqTp4N_hldR9MuOgfgJ/view?usp=sharing" TargetMode="External"/><Relationship Id="rId221" Type="http://schemas.openxmlformats.org/officeDocument/2006/relationships/hyperlink" Target="https://drive.google.com/file/d/1uWydff9FZVkaoZ4j3rWaWWAvmCSBWqs_/view?usp=sharing" TargetMode="External"/><Relationship Id="rId242" Type="http://schemas.openxmlformats.org/officeDocument/2006/relationships/hyperlink" Target="https://drive.google.com/file/d/1Ds0aByJ8WLTmDA2VgaZh6W2phb6FYH_M/view?usp=sharing" TargetMode="External"/><Relationship Id="rId263" Type="http://schemas.openxmlformats.org/officeDocument/2006/relationships/hyperlink" Target="https://drive.google.com/file/d/15htK3eRuBs70teHo0tzb0o6XbH2UHOb6/view?usp=sharing" TargetMode="External"/><Relationship Id="rId284" Type="http://schemas.openxmlformats.org/officeDocument/2006/relationships/hyperlink" Target="https://drive.google.com/file/d/16d4-poGXqxchMMBYp74y3sr_vH7Zjmnn/view?usp=sharing" TargetMode="External"/><Relationship Id="rId319" Type="http://schemas.openxmlformats.org/officeDocument/2006/relationships/hyperlink" Target="https://drive.google.com/file/d/1cm-lg6gxD9Q9Izol4n0olG3207ESZhPR/view?usp=sharing" TargetMode="External"/><Relationship Id="rId37" Type="http://schemas.openxmlformats.org/officeDocument/2006/relationships/hyperlink" Target="https://drive.google.com/file/d/19-yLE4mcMQ1ztzLxj60K_HcvApdU8MtS/view?usp=share_link" TargetMode="External"/><Relationship Id="rId58" Type="http://schemas.openxmlformats.org/officeDocument/2006/relationships/hyperlink" Target="https://drive.google.com/file/d/1Qvn2qpOIKS9k0zFuUjamwbTwrB67Nlbg/view?usp=sharing" TargetMode="External"/><Relationship Id="rId79" Type="http://schemas.openxmlformats.org/officeDocument/2006/relationships/hyperlink" Target="https://drive.google.com/file/d/1zpJ3HU8eVqlar7FwDZpGd21LLBwW_EN5/view?usp=sharing" TargetMode="External"/><Relationship Id="rId102" Type="http://schemas.openxmlformats.org/officeDocument/2006/relationships/hyperlink" Target="https://drive.google.com/file/d/1AW2F-JndR9aedf_YBCNBhXB_9S1AstXe/view?usp=share_link" TargetMode="External"/><Relationship Id="rId123" Type="http://schemas.openxmlformats.org/officeDocument/2006/relationships/hyperlink" Target="https://drive.google.com/file/d/1LddFDdOuw_QgY0RqM7gcZO3V7Bh-bi-v/view?usp=share_link" TargetMode="External"/><Relationship Id="rId144" Type="http://schemas.openxmlformats.org/officeDocument/2006/relationships/hyperlink" Target="https://drive.google.com/file/d/1jZT8Y5b5D-YsAwjQW1RIcaKHZ4YqQC-d/view?usp=share_link" TargetMode="External"/><Relationship Id="rId90" Type="http://schemas.openxmlformats.org/officeDocument/2006/relationships/hyperlink" Target="https://drive.google.com/file/d/1_7DggURN0wcEbf2MbyBT7JweObmafOWs/view?usp=sharing" TargetMode="External"/><Relationship Id="rId165" Type="http://schemas.openxmlformats.org/officeDocument/2006/relationships/hyperlink" Target="https://drive.google.com/file/d/1iAJHsqGXCy7NcVzGHcIKyII4hgpwTvKM/view?usp=sharing" TargetMode="External"/><Relationship Id="rId186" Type="http://schemas.openxmlformats.org/officeDocument/2006/relationships/hyperlink" Target="https://drive.google.com/file/d/1W3sNa4_TB7E6VRa2J80LQIYxo6HAgPI5/view?usp=sharing" TargetMode="External"/><Relationship Id="rId211" Type="http://schemas.openxmlformats.org/officeDocument/2006/relationships/hyperlink" Target="https://drive.google.com/file/d/1KPrDD-32OYxUiyV-Bp1XdoAb2a2w5MQI/view?usp=sharing" TargetMode="External"/><Relationship Id="rId232" Type="http://schemas.openxmlformats.org/officeDocument/2006/relationships/hyperlink" Target="https://drive.google.com/file/d/12_sGKULkD3EX4_eDKMygG4RnlRui7Eka/view?usp=sharing" TargetMode="External"/><Relationship Id="rId253" Type="http://schemas.openxmlformats.org/officeDocument/2006/relationships/hyperlink" Target="https://drive.google.com/file/d/1P1mMPo5Q4_fDYDznmdBSYh-WdgaAQ9ye/view?usp=sharing" TargetMode="External"/><Relationship Id="rId274" Type="http://schemas.openxmlformats.org/officeDocument/2006/relationships/hyperlink" Target="https://drive.google.com/file/d/18B8D6d_uoVvf1Q8Lrxen_T9zuvLZbIme/view?usp=sharing" TargetMode="External"/><Relationship Id="rId295" Type="http://schemas.openxmlformats.org/officeDocument/2006/relationships/hyperlink" Target="https://drive.google.com/file/d/1Qfs90NmZBVoSpZuXQNdYGPQB-i7UXIyY/view?usp=sharing" TargetMode="External"/><Relationship Id="rId309" Type="http://schemas.openxmlformats.org/officeDocument/2006/relationships/hyperlink" Target="https://drive.google.com/file/d/1syMTAWLwhuhUTOzABLHWYW1d-GMYP_r3/view?usp=share_link" TargetMode="External"/><Relationship Id="rId27" Type="http://schemas.openxmlformats.org/officeDocument/2006/relationships/hyperlink" Target="https://drive.google.com/file/d/1gqv_qSIU99eOO64nFc9wPC4Zbq02n-P0/view?usp=sharing" TargetMode="External"/><Relationship Id="rId48" Type="http://schemas.openxmlformats.org/officeDocument/2006/relationships/hyperlink" Target="https://drive.google.com/file/d/1Kzw2cQp5JexFaGE3UpACw3reRwedJH9T/view?usp=sharing" TargetMode="External"/><Relationship Id="rId69" Type="http://schemas.openxmlformats.org/officeDocument/2006/relationships/hyperlink" Target="https://drive.google.com/file/d/1Bd7mnHDx7xXGozjcKCaQKMpBA5gD_XEj/view?usp=sharing" TargetMode="External"/><Relationship Id="rId113" Type="http://schemas.openxmlformats.org/officeDocument/2006/relationships/hyperlink" Target="https://drive.google.com/file/d/1pqjrbDhq9O0zBGLEOvjLQg7Z4CYsMq8l/view?usp=sharing" TargetMode="External"/><Relationship Id="rId134" Type="http://schemas.openxmlformats.org/officeDocument/2006/relationships/hyperlink" Target="https://drive.google.com/file/d/1DP3AlZWNGmocuI2c__jPPnl3g9kfe31m/view?usp=sharing" TargetMode="External"/><Relationship Id="rId320" Type="http://schemas.openxmlformats.org/officeDocument/2006/relationships/hyperlink" Target="https://drive.google.com/file/d/1_rYDLFkVirp4RPAcjwEnM9yniuf2VQlj/view?usp=sharing" TargetMode="External"/><Relationship Id="rId80" Type="http://schemas.openxmlformats.org/officeDocument/2006/relationships/hyperlink" Target="https://drive.google.com/file/d/1yKxggq76TSz0Soe8KElY3OXOWTN90pju/view?usp=share_link" TargetMode="External"/><Relationship Id="rId155" Type="http://schemas.openxmlformats.org/officeDocument/2006/relationships/hyperlink" Target="https://drive.google.com/file/d/1Ant7Q3TBnzxiCYQAV5lohDtfTWFtNBu6/view?usp=sharing" TargetMode="External"/><Relationship Id="rId176" Type="http://schemas.openxmlformats.org/officeDocument/2006/relationships/hyperlink" Target="https://drive.google.com/file/d/1qwtX-pJ8KGm7xrRIqJFgnodQO6KW-awM/view?usp=sharing" TargetMode="External"/><Relationship Id="rId197" Type="http://schemas.openxmlformats.org/officeDocument/2006/relationships/hyperlink" Target="https://drive.google.com/file/d/1tOKmq96n8DM5HA72IM02O288w6oXQq9W/view?usp=sharing" TargetMode="External"/><Relationship Id="rId201" Type="http://schemas.openxmlformats.org/officeDocument/2006/relationships/hyperlink" Target="https://drive.google.com/file/d/1T5ESr35QKWexrTzuQeKIWr_c0xWG-poV/view?usp=sharing" TargetMode="External"/><Relationship Id="rId222" Type="http://schemas.openxmlformats.org/officeDocument/2006/relationships/hyperlink" Target="https://drive.google.com/file/d/1Je-6vDwzrrG_6RFYlDk3SUtw1ms5p_T1/view?usp=sharing" TargetMode="External"/><Relationship Id="rId243" Type="http://schemas.openxmlformats.org/officeDocument/2006/relationships/hyperlink" Target="https://drive.google.com/file/d/1CP1PCkiRrxzVupDXUPN-AFLCzBTRrM0m/view?usp=sharing" TargetMode="External"/><Relationship Id="rId264" Type="http://schemas.openxmlformats.org/officeDocument/2006/relationships/hyperlink" Target="https://drive.google.com/file/d/19Dl7sl4gapLolgcMiR_sqGbRjeCuFwRg/view?usp=sharing" TargetMode="External"/><Relationship Id="rId285" Type="http://schemas.openxmlformats.org/officeDocument/2006/relationships/hyperlink" Target="https://drive.google.com/file/d/1eJ4KaAWOAPj4sUO3tTH0F_UAEoYMrih3/view?usp=share_link" TargetMode="External"/><Relationship Id="rId17" Type="http://schemas.openxmlformats.org/officeDocument/2006/relationships/hyperlink" Target="https://drive.google.com/file/d/1FvzJLGM7nmuDSi0JPm5O16zAfTeFfuRB/view?usp=sharing" TargetMode="External"/><Relationship Id="rId38" Type="http://schemas.openxmlformats.org/officeDocument/2006/relationships/hyperlink" Target="https://drive.google.com/file/d/10FWF6c3gdTTeJss6CU5HQobUsmEF-ZvL/view?usp=share_link" TargetMode="External"/><Relationship Id="rId59" Type="http://schemas.openxmlformats.org/officeDocument/2006/relationships/hyperlink" Target="https://drive.google.com/file/d/11N_fhqMKZjGekAXeYNXhIEz1Mpqw0MPe/view?usp=share_link" TargetMode="External"/><Relationship Id="rId103" Type="http://schemas.openxmlformats.org/officeDocument/2006/relationships/hyperlink" Target="https://drive.google.com/file/d/1fjgCznjEFru8GqSyEOxgit9OizBDsGxK/view?usp=sharing" TargetMode="External"/><Relationship Id="rId124" Type="http://schemas.openxmlformats.org/officeDocument/2006/relationships/hyperlink" Target="https://drive.google.com/file/d/1bjWF3OvK7F3ILDxj7Nk_1RuSVhlnqRJ_/view?usp=sharing" TargetMode="External"/><Relationship Id="rId310" Type="http://schemas.openxmlformats.org/officeDocument/2006/relationships/hyperlink" Target="https://drive.google.com/file/d/1titEJd5n-popwKFXs-C-hwqxKgaX-ho2/view?usp=share_link" TargetMode="External"/><Relationship Id="rId70" Type="http://schemas.openxmlformats.org/officeDocument/2006/relationships/hyperlink" Target="https://drive.google.com/file/d/1ESD1M9rNi-Mcaj3J4UCnlW6QTcYxbn9e/view?usp=share_link" TargetMode="External"/><Relationship Id="rId91" Type="http://schemas.openxmlformats.org/officeDocument/2006/relationships/hyperlink" Target="https://drive.google.com/file/d/1IH-MNil7L4_gyCb8YHC4ScqwJTJ4EoQW/view?usp=sharing" TargetMode="External"/><Relationship Id="rId145" Type="http://schemas.openxmlformats.org/officeDocument/2006/relationships/hyperlink" Target="https://drive.google.com/file/d/1gksP8xUDedkzg4SlgXIs7013WXcxHv6Z/view?usp=sharing" TargetMode="External"/><Relationship Id="rId166" Type="http://schemas.openxmlformats.org/officeDocument/2006/relationships/hyperlink" Target="https://drive.google.com/file/d/1mDPF7BkzDNaackz69YydJcIZ5EX0iTqM/view?usp=sharing" TargetMode="External"/><Relationship Id="rId187" Type="http://schemas.openxmlformats.org/officeDocument/2006/relationships/hyperlink" Target="https://drive.google.com/file/d/1rpM3ckh2pD-fa41ykPO1U549OgARGVYA/view?usp=sharing" TargetMode="External"/><Relationship Id="rId1" Type="http://schemas.openxmlformats.org/officeDocument/2006/relationships/hyperlink" Target="https://drive.google.com/file/d/1q70-PSm3me6Trsj3RpYrnudBisqY218Z/view?usp=sharing" TargetMode="External"/><Relationship Id="rId212" Type="http://schemas.openxmlformats.org/officeDocument/2006/relationships/hyperlink" Target="https://drive.google.com/file/d/1N1IvJE7qxxlZxCwG7BQffxZAJqcWjpnD/view?usp=sharing" TargetMode="External"/><Relationship Id="rId233" Type="http://schemas.openxmlformats.org/officeDocument/2006/relationships/hyperlink" Target="https://drive.google.com/file/d/1sGZDIrlPQ5gL2fSxxwsGSP4afaZUW6sy/view?usp=sharing" TargetMode="External"/><Relationship Id="rId254" Type="http://schemas.openxmlformats.org/officeDocument/2006/relationships/hyperlink" Target="https://drive.google.com/file/d/1Q-mwzNuOS3Znl56C_f8ec1oPpNJF-Qc7/view?usp=sharing" TargetMode="External"/><Relationship Id="rId28" Type="http://schemas.openxmlformats.org/officeDocument/2006/relationships/hyperlink" Target="https://drive.google.com/file/d/17dOmMpI07aUaGb3MeTmCSr5nm1rmXdiG/view?usp=sharing" TargetMode="External"/><Relationship Id="rId49" Type="http://schemas.openxmlformats.org/officeDocument/2006/relationships/hyperlink" Target="https://drive.google.com/file/d/1Mcj0EXOop2MRAfAVIXst9tP2ITnZOb23/view?usp=sharing" TargetMode="External"/><Relationship Id="rId114" Type="http://schemas.openxmlformats.org/officeDocument/2006/relationships/hyperlink" Target="https://drive.google.com/file/d/1CFrT1jbSw-FreiTVg4KRWs9zXLvtyZge/view?usp=share_link" TargetMode="External"/><Relationship Id="rId275" Type="http://schemas.openxmlformats.org/officeDocument/2006/relationships/hyperlink" Target="https://drive.google.com/file/d/1nPQF4_KlHY5IxrL8DKWVof6hoiE_35EZ/view?usp=sharing" TargetMode="External"/><Relationship Id="rId296" Type="http://schemas.openxmlformats.org/officeDocument/2006/relationships/hyperlink" Target="https://drive.google.com/file/d/1BQ5WXndJgQ3zbkD5mumSaz42IvbimInZ/view?usp=sharing" TargetMode="External"/><Relationship Id="rId300" Type="http://schemas.openxmlformats.org/officeDocument/2006/relationships/hyperlink" Target="https://drive.google.com/file/d/1BQ6O5H6tRAMEqsTjpZYJc4fTWc7mcAXi/view?usp=sharing" TargetMode="External"/><Relationship Id="rId60" Type="http://schemas.openxmlformats.org/officeDocument/2006/relationships/hyperlink" Target="https://drive.google.com/file/d/1tCNmDr2sj4AzsKHtfv2iTgSEqk1s-k38/view?usp=sharing" TargetMode="External"/><Relationship Id="rId81" Type="http://schemas.openxmlformats.org/officeDocument/2006/relationships/hyperlink" Target="https://drive.google.com/file/d/1TGeU1jF4urTZNdoDXv_5bM1BruNI2tDs/view?usp=sharing" TargetMode="External"/><Relationship Id="rId135" Type="http://schemas.openxmlformats.org/officeDocument/2006/relationships/hyperlink" Target="https://drive.google.com/file/d/1b9tvBabwxZMmAa73uAl3mGjyNow2gZwC/view?usp=sharing" TargetMode="External"/><Relationship Id="rId156" Type="http://schemas.openxmlformats.org/officeDocument/2006/relationships/hyperlink" Target="https://drive.google.com/file/d/1G_30nnq_F3ar_PjfsK7hd6q1BEtMpczj/view?usp=sharing" TargetMode="External"/><Relationship Id="rId177" Type="http://schemas.openxmlformats.org/officeDocument/2006/relationships/hyperlink" Target="https://drive.google.com/file/d/1FMXBkj7uFZimhmyyH2EjWxMDsKfXF3gp/view?usp=sharing" TargetMode="External"/><Relationship Id="rId198" Type="http://schemas.openxmlformats.org/officeDocument/2006/relationships/hyperlink" Target="https://drive.google.com/file/d/1j40rmssVkUf7iF-gT7T5pgqhOi37w0Pn/view?usp=sharing" TargetMode="External"/><Relationship Id="rId321" Type="http://schemas.openxmlformats.org/officeDocument/2006/relationships/hyperlink" Target="https://drive.google.com/file/d/1_VmfIcROVF-owM-8-yWxp6-gtcobZg6G/view?usp=sharing" TargetMode="External"/><Relationship Id="rId202" Type="http://schemas.openxmlformats.org/officeDocument/2006/relationships/hyperlink" Target="https://drive.google.com/file/d/1y9IhHELzz_XQln0yV1oM5BrkGAMlixKw/view?usp=sharing" TargetMode="External"/><Relationship Id="rId223" Type="http://schemas.openxmlformats.org/officeDocument/2006/relationships/hyperlink" Target="https://drive.google.com/file/d/1uqnZA5H52hQ9iR0kcLbm0L2RRgkL-14A/view?usp=sharing" TargetMode="External"/><Relationship Id="rId244" Type="http://schemas.openxmlformats.org/officeDocument/2006/relationships/hyperlink" Target="https://drive.google.com/file/d/1yc0uNbcx1rHLiJWAx3Gw9bySoRoLmB0m/view?usp=sharing" TargetMode="External"/><Relationship Id="rId18" Type="http://schemas.openxmlformats.org/officeDocument/2006/relationships/hyperlink" Target="https://drive.google.com/file/d/1ZqB9MQC-JAmdf-zcuN245j29wuxRHO1t/view?usp=sharing" TargetMode="External"/><Relationship Id="rId39" Type="http://schemas.openxmlformats.org/officeDocument/2006/relationships/hyperlink" Target="https://drive.google.com/file/d/1e387DBQ013I1nVZZoGuBfT6d1WixMxAa/view?usp=share_link" TargetMode="External"/><Relationship Id="rId265" Type="http://schemas.openxmlformats.org/officeDocument/2006/relationships/hyperlink" Target="https://drive.google.com/file/d/1ETRGcL3lTs0wvFpZScOwoG27v8l8dZWq/view?usp=sharing" TargetMode="External"/><Relationship Id="rId286" Type="http://schemas.openxmlformats.org/officeDocument/2006/relationships/hyperlink" Target="https://drive.google.com/file/d/1zOho915zGXAOPu9LPhvlRg1mlDyDz_Ri/view?usp=sharing" TargetMode="External"/><Relationship Id="rId50" Type="http://schemas.openxmlformats.org/officeDocument/2006/relationships/hyperlink" Target="https://drive.google.com/file/d/19JPLM6iuYYPHuqV1wVKLA6K5JrlpTMOp/view?usp=sharing" TargetMode="External"/><Relationship Id="rId104" Type="http://schemas.openxmlformats.org/officeDocument/2006/relationships/hyperlink" Target="https://drive.google.com/file/d/1leaJoc0V89cSKsaUAQg99A2vxV4O_8or/view?usp=share_link" TargetMode="External"/><Relationship Id="rId125" Type="http://schemas.openxmlformats.org/officeDocument/2006/relationships/hyperlink" Target="https://drive.google.com/file/d/1rircpX9Vd1ycxTlD5bTMm00yRRCB39eB/view?usp=share_link" TargetMode="External"/><Relationship Id="rId146" Type="http://schemas.openxmlformats.org/officeDocument/2006/relationships/hyperlink" Target="https://drive.google.com/file/d/1KLBgMdUYDhaImG-7bjHEyjWuTFGQDlln/view?usp=sharing" TargetMode="External"/><Relationship Id="rId167" Type="http://schemas.openxmlformats.org/officeDocument/2006/relationships/hyperlink" Target="https://drive.google.com/file/d/1AADjTx3K1xo_Uo8VbPR-Igu5Sta8t0i-/view?usp=sharing" TargetMode="External"/><Relationship Id="rId188" Type="http://schemas.openxmlformats.org/officeDocument/2006/relationships/hyperlink" Target="https://drive.google.com/file/d/1t0Gzs-Fn839jgWoruwFDDipukEA0Jjbt/view?usp=sharing" TargetMode="External"/><Relationship Id="rId311" Type="http://schemas.openxmlformats.org/officeDocument/2006/relationships/hyperlink" Target="https://drive.google.com/file/d/1gHJWvEbZI4MSUj8cl7ZjrCsiUBZRkwo1/view?usp=share_link" TargetMode="External"/><Relationship Id="rId71" Type="http://schemas.openxmlformats.org/officeDocument/2006/relationships/hyperlink" Target="https://drive.google.com/file/d/1oPlQZ49WjnfvEM-kaGFn-xEKcFISWtX1/view?usp=sharing" TargetMode="External"/><Relationship Id="rId92" Type="http://schemas.openxmlformats.org/officeDocument/2006/relationships/hyperlink" Target="https://drive.google.com/file/d/1Gxd_X9x84mcTj_ZXJuj-swtRGc4IpYVo/view?usp=share_link" TargetMode="External"/><Relationship Id="rId213" Type="http://schemas.openxmlformats.org/officeDocument/2006/relationships/hyperlink" Target="https://drive.google.com/file/d/1hr8oEUw5-q5YJa8HCh0_3MfWM_MVjIT7/view?usp=sharing" TargetMode="External"/><Relationship Id="rId234" Type="http://schemas.openxmlformats.org/officeDocument/2006/relationships/hyperlink" Target="https://drive.google.com/file/d/1rbf7KWVuu_YvC-ciSjIvDXzRp_M-msQO/view?usp=sharing" TargetMode="External"/><Relationship Id="rId2" Type="http://schemas.openxmlformats.org/officeDocument/2006/relationships/hyperlink" Target="https://drive.google.com/file/d/1pZlaxUz6xBR-108cfV_5bIqF7-vkD1lQ/view?usp=sharing" TargetMode="External"/><Relationship Id="rId29" Type="http://schemas.openxmlformats.org/officeDocument/2006/relationships/hyperlink" Target="https://drive.google.com/file/d/1qzDT_5cwBjCFCU5jfEAJIj6g64EwsKo5/view?usp=sharing" TargetMode="External"/><Relationship Id="rId255" Type="http://schemas.openxmlformats.org/officeDocument/2006/relationships/hyperlink" Target="https://drive.google.com/file/d/1TF1AL5wFq5KCmEj33epD5Aoah1JWsHKm/view?usp=sharing" TargetMode="External"/><Relationship Id="rId276" Type="http://schemas.openxmlformats.org/officeDocument/2006/relationships/hyperlink" Target="https://drive.google.com/file/d/1KM53Q_nnwkQTNzsZo6PC5J_D5RJpO7oW/view?usp=sharing" TargetMode="External"/><Relationship Id="rId297" Type="http://schemas.openxmlformats.org/officeDocument/2006/relationships/hyperlink" Target="https://drive.google.com/file/d/1en4zcrJa_tu9Qvb6lgfSvEF5GC7oT5X6/view?usp=sharing" TargetMode="External"/><Relationship Id="rId40" Type="http://schemas.openxmlformats.org/officeDocument/2006/relationships/hyperlink" Target="https://drive.google.com/file/d/1xZ6VVdJbjuWiJNgCgevZVjLVkB-fStpL/view?usp=sharing" TargetMode="External"/><Relationship Id="rId115" Type="http://schemas.openxmlformats.org/officeDocument/2006/relationships/hyperlink" Target="https://drive.google.com/file/d/1B45341TpoKbP6MnbZ_Bw83yBktjk_EM7/view?usp=sharing" TargetMode="External"/><Relationship Id="rId136" Type="http://schemas.openxmlformats.org/officeDocument/2006/relationships/hyperlink" Target="https://drive.google.com/file/d/1VSxW6lzZIfhPkrnJ1pTEGsSahcd8loi8/view?usp=sharing" TargetMode="External"/><Relationship Id="rId157" Type="http://schemas.openxmlformats.org/officeDocument/2006/relationships/hyperlink" Target="https://drive.google.com/file/d/1Io8av0wTJwJPWm6OiaCDOwdS8gWMv1Iv/view?usp=sharing" TargetMode="External"/><Relationship Id="rId178" Type="http://schemas.openxmlformats.org/officeDocument/2006/relationships/hyperlink" Target="https://drive.google.com/file/d/1DuGXNYnu1elRF4s3Na2sroLCm4SBsh1I/view?usp=sharing" TargetMode="External"/><Relationship Id="rId301" Type="http://schemas.openxmlformats.org/officeDocument/2006/relationships/hyperlink" Target="https://drive.google.com/file/d/1C7kW_nyCi1i6_s91IO2BXCYZs_8FiZcA/view?usp=sharing" TargetMode="External"/><Relationship Id="rId322" Type="http://schemas.openxmlformats.org/officeDocument/2006/relationships/hyperlink" Target="https://drive.google.com/file/d/1n4Uwycq9ZOQFNGADx9afEiOz7Sv7a5YE/view?usp=sharing" TargetMode="External"/><Relationship Id="rId61" Type="http://schemas.openxmlformats.org/officeDocument/2006/relationships/hyperlink" Target="https://drive.google.com/file/d/1hSQ-71m2ItmM6h10iXH-_Zo8OhLIzhk-/view?usp=sharing" TargetMode="External"/><Relationship Id="rId82" Type="http://schemas.openxmlformats.org/officeDocument/2006/relationships/hyperlink" Target="https://drive.google.com/file/d/1N2gdM317MkAYfBiKt9BEWyt973SocvlY/view?usp=sharing" TargetMode="External"/><Relationship Id="rId199" Type="http://schemas.openxmlformats.org/officeDocument/2006/relationships/hyperlink" Target="https://drive.google.com/file/d/1KeVwquj5SEj1b0O_gmX0HI173V5wVXPw/view?usp=sharing" TargetMode="External"/><Relationship Id="rId203" Type="http://schemas.openxmlformats.org/officeDocument/2006/relationships/hyperlink" Target="https://drive.google.com/file/d/1HfyYXZsFtHEp-D0Cj2bTcCgesQhqTq2a/view?usp=sharing" TargetMode="External"/><Relationship Id="rId19" Type="http://schemas.openxmlformats.org/officeDocument/2006/relationships/hyperlink" Target="https://drive.google.com/file/d/1ZqB9MQC-JAmdf-zcuN245j29wuxRHO1t/view?usp=sharing" TargetMode="External"/><Relationship Id="rId224" Type="http://schemas.openxmlformats.org/officeDocument/2006/relationships/hyperlink" Target="https://drive.google.com/file/d/1F2q5jdma2XLfqLZ2e490EmBvv_fxUVBo/view?usp=sharing" TargetMode="External"/><Relationship Id="rId245" Type="http://schemas.openxmlformats.org/officeDocument/2006/relationships/hyperlink" Target="https://drive.google.com/file/d/1qeDNbfQ_nffR07pAEyduDr_Y9dOCf1wZ/view?usp=sharing" TargetMode="External"/><Relationship Id="rId266" Type="http://schemas.openxmlformats.org/officeDocument/2006/relationships/hyperlink" Target="https://drive.google.com/file/d/14fQnSniqD43_uj9HZtb3EoA1wyfwqSwW/view?usp=sharing" TargetMode="External"/><Relationship Id="rId287" Type="http://schemas.openxmlformats.org/officeDocument/2006/relationships/hyperlink" Target="https://drive.google.com/file/d/1CYayFXKS2If8qwBEOtdqgDuKP6CvCd1E/view?usp=sharing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0XuGrowsfc8Z-nvTN4LjW7dUYBhFjRQ5/view?usp=sharing" TargetMode="External"/><Relationship Id="rId299" Type="http://schemas.openxmlformats.org/officeDocument/2006/relationships/hyperlink" Target="https://drive.google.com/file/d/17pE8UZYGz-G0rUxXfTC9zRcpD3A-S6OD/view?usp=sharing" TargetMode="External"/><Relationship Id="rId21" Type="http://schemas.openxmlformats.org/officeDocument/2006/relationships/hyperlink" Target="https://drive.google.com/file/d/1ObkdxUmm74bbz8AtHFvjtfwrqkqVTwUV/view?usp=share_link" TargetMode="External"/><Relationship Id="rId63" Type="http://schemas.openxmlformats.org/officeDocument/2006/relationships/hyperlink" Target="https://drive.google.com/file/d/1IBKFaWVbuq6KfIl7cAdNcJ8oorqBCDMI/view?usp=sharing" TargetMode="External"/><Relationship Id="rId159" Type="http://schemas.openxmlformats.org/officeDocument/2006/relationships/hyperlink" Target="https://drive.google.com/file/d/1V6De-1QgpwFpkxo6GmUQdG1HzySLAA87/view?usp=sharing" TargetMode="External"/><Relationship Id="rId324" Type="http://schemas.openxmlformats.org/officeDocument/2006/relationships/hyperlink" Target="https://drive.google.com/file/d/1rzUNAkkC6tnRHsE6Ldxfe9Gg4yIDJmU4/view?usp=drive_link" TargetMode="External"/><Relationship Id="rId366" Type="http://schemas.openxmlformats.org/officeDocument/2006/relationships/hyperlink" Target="https://drive.google.com/file/d/1LXTNcMd7m6ifuIls0lR8FFC_rj_R0Dfd/view?usp=sharing" TargetMode="External"/><Relationship Id="rId531" Type="http://schemas.openxmlformats.org/officeDocument/2006/relationships/hyperlink" Target="https://drive.google.com/file/d/1xBMteLRDl2YiTJn1ZCDb9ohzmMwR9ITE/view?usp=sharing" TargetMode="External"/><Relationship Id="rId170" Type="http://schemas.openxmlformats.org/officeDocument/2006/relationships/hyperlink" Target="https://drive.google.com/file/d/1Js6pfNwE5RIbIGTYBOWAXzUde3sFLC85/view?usp=sharing" TargetMode="External"/><Relationship Id="rId226" Type="http://schemas.openxmlformats.org/officeDocument/2006/relationships/hyperlink" Target="https://drive.google.com/file/d/1Vnb28WMdq0jNbayCjRz5we_d8_F-rXsR/view?usp=sharing" TargetMode="External"/><Relationship Id="rId433" Type="http://schemas.openxmlformats.org/officeDocument/2006/relationships/hyperlink" Target="https://drive.google.com/file/d/1hO_fHyWyQbGFp74F23W_--Qr6Ii00Nf7/view?usp=sharing" TargetMode="External"/><Relationship Id="rId268" Type="http://schemas.openxmlformats.org/officeDocument/2006/relationships/hyperlink" Target="https://drive.google.com/file/d/1pp8N0YfoYg2MTALiyr2CutrG0bO0KAdG/view?usp=sharing" TargetMode="External"/><Relationship Id="rId475" Type="http://schemas.openxmlformats.org/officeDocument/2006/relationships/hyperlink" Target="https://drive.google.com/file/d/1-pfU_HZRb73JxVvR3V3FoF87X0Mky-nz/view?usp=sharing" TargetMode="External"/><Relationship Id="rId32" Type="http://schemas.openxmlformats.org/officeDocument/2006/relationships/hyperlink" Target="https://drive.google.com/file/d/12pfSCfJxppVHIFGJU5Nph5FraIVQtBML/view?usp=sharing" TargetMode="External"/><Relationship Id="rId74" Type="http://schemas.openxmlformats.org/officeDocument/2006/relationships/hyperlink" Target="https://drive.google.com/file/d/1K-fqcvCbNMsT4qvbjkysg7UkQP3U1wKK/view?usp=share_link" TargetMode="External"/><Relationship Id="rId128" Type="http://schemas.openxmlformats.org/officeDocument/2006/relationships/hyperlink" Target="https://drive.google.com/file/d/1Zc6OOuyttHWAICnpRPxMjl9XGJWW71iN/view?usp=sharing" TargetMode="External"/><Relationship Id="rId335" Type="http://schemas.openxmlformats.org/officeDocument/2006/relationships/hyperlink" Target="https://drive.google.com/file/d/1Tzd47p81PVLdrOu7W_Ag2a_T7zISV10-/view?usp=sharing" TargetMode="External"/><Relationship Id="rId377" Type="http://schemas.openxmlformats.org/officeDocument/2006/relationships/hyperlink" Target="https://www.google.com/url?q=https://drive.google.com/file/d/14Wxx4hkP3iKUE3SUGs6oRTI2bM6ntuHQ/view?usp%3Dsharing&amp;sa=D&amp;source=editors&amp;ust=1713855040806541&amp;usg=AOvVaw3cyZfCL7ESLP1dF2ye2ZWn" TargetMode="External"/><Relationship Id="rId500" Type="http://schemas.openxmlformats.org/officeDocument/2006/relationships/hyperlink" Target="https://drive.google.com/file/d/1NIFvt8pljorQm7RGe1HmHm4ddTfaaZYz/view?usp=sharing" TargetMode="External"/><Relationship Id="rId542" Type="http://schemas.openxmlformats.org/officeDocument/2006/relationships/hyperlink" Target="https://drive.google.com/file/d/1dGSDbNx_fYnU2g0oBBC3ZsQ1tQYyzkyz/view?usp=sharing" TargetMode="External"/><Relationship Id="rId5" Type="http://schemas.openxmlformats.org/officeDocument/2006/relationships/hyperlink" Target="https://drive.google.com/file/d/1WWePjHLvygedx0yl4IPvMWfI2qTycqQ9/view?usp=sharing" TargetMode="External"/><Relationship Id="rId181" Type="http://schemas.openxmlformats.org/officeDocument/2006/relationships/hyperlink" Target="https://drive.google.com/file/d/1t645cAxAg8jTpYvfRS7_TSQs_ZJOo_CF/view?usp=sharing" TargetMode="External"/><Relationship Id="rId237" Type="http://schemas.openxmlformats.org/officeDocument/2006/relationships/hyperlink" Target="https://drive.google.com/file/d/1CTzMqunGa9tnAxabKodpgOyGWf8LqglZ/view?usp=sharing" TargetMode="External"/><Relationship Id="rId402" Type="http://schemas.openxmlformats.org/officeDocument/2006/relationships/hyperlink" Target="https://drive.google.com/file/d/1VsDvRGd5a7_WRduOWIM851J5knAqepc1/view?usp=sharing" TargetMode="External"/><Relationship Id="rId279" Type="http://schemas.openxmlformats.org/officeDocument/2006/relationships/hyperlink" Target="https://drive.google.com/file/d/1mXmvdycG5hCC44CyZ9FwPF66sVxjx0c-/view?usp=drive_link" TargetMode="External"/><Relationship Id="rId444" Type="http://schemas.openxmlformats.org/officeDocument/2006/relationships/hyperlink" Target="https://drive.google.com/file/d/1Mwr1F7XFXQqcYHjXIG4cM-ZfKWh1Xbuu/view?usp=sharing" TargetMode="External"/><Relationship Id="rId486" Type="http://schemas.openxmlformats.org/officeDocument/2006/relationships/hyperlink" Target="https://drive.google.com/file/d/1j7hLXjJmXwqbASteroltFpogtMYLbTXY/view?usp=sharing" TargetMode="External"/><Relationship Id="rId43" Type="http://schemas.openxmlformats.org/officeDocument/2006/relationships/hyperlink" Target="https://drive.google.com/file/d/1GMtIC_Jd1g-ukT9M1y-uYZSPcz08DyJ6/view?usp=sharing" TargetMode="External"/><Relationship Id="rId139" Type="http://schemas.openxmlformats.org/officeDocument/2006/relationships/hyperlink" Target="https://drive.google.com/file/d/102gp2iVNGN3AcQ_couinwe-qeQ_r3lvN/view?usp=sharing" TargetMode="External"/><Relationship Id="rId290" Type="http://schemas.openxmlformats.org/officeDocument/2006/relationships/hyperlink" Target="https://drive.google.com/file/d/1BO5OXzNum8GpTWJolQ1B2as1ooTA7n3R/view?usp=sharing" TargetMode="External"/><Relationship Id="rId304" Type="http://schemas.openxmlformats.org/officeDocument/2006/relationships/hyperlink" Target="https://drive.google.com/file/d/1xdnsh5Q_vjoGIqWkM9rwZrNpCaZRSxZt/view?usp=sharing" TargetMode="External"/><Relationship Id="rId346" Type="http://schemas.openxmlformats.org/officeDocument/2006/relationships/hyperlink" Target="https://drive.google.com/file/d/1cNsOZO4_w0WRGrQgTorFExIoapiPVvDi/view?usp=sharing" TargetMode="External"/><Relationship Id="rId388" Type="http://schemas.openxmlformats.org/officeDocument/2006/relationships/hyperlink" Target="https://drive.google.com/file/d/1aOQdxLeOK4M6wOKRgrYIXRzGP1F7eqwk/view?usp=sharing" TargetMode="External"/><Relationship Id="rId511" Type="http://schemas.openxmlformats.org/officeDocument/2006/relationships/hyperlink" Target="https://drive.google.com/file/d/1atfaaMiST_mnKZS8rJwqX53ILLEEZSdL/view?usp=sharing" TargetMode="External"/><Relationship Id="rId553" Type="http://schemas.openxmlformats.org/officeDocument/2006/relationships/hyperlink" Target="https://drive.google.com/file/d/1G9JlDwW9g0ryF8dcj-jt_jHrewq3FkUG/view?usp=sharing" TargetMode="External"/><Relationship Id="rId85" Type="http://schemas.openxmlformats.org/officeDocument/2006/relationships/hyperlink" Target="https://drive.google.com/file/d/1UAZWM3eQwvfo-rAUVU3vTSi1aBO5YyDQ/view?usp=sharing" TargetMode="External"/><Relationship Id="rId150" Type="http://schemas.openxmlformats.org/officeDocument/2006/relationships/hyperlink" Target="https://drive.google.com/file/d/1FmMVWtFzUg0Pq4YXL3YeK0pml-MLKSeu/view?usp=sharing" TargetMode="External"/><Relationship Id="rId192" Type="http://schemas.openxmlformats.org/officeDocument/2006/relationships/hyperlink" Target="https://drive.google.com/file/d/1cMNWAAuvbilvj9oQtkOItbhlIO1hBEzP/view?usp=sharing" TargetMode="External"/><Relationship Id="rId206" Type="http://schemas.openxmlformats.org/officeDocument/2006/relationships/hyperlink" Target="https://drive.google.com/file/d/1oVpaR6l-ilqsbhk_pqlJObtwyOeHgoOU/view?usp=sharing" TargetMode="External"/><Relationship Id="rId413" Type="http://schemas.openxmlformats.org/officeDocument/2006/relationships/hyperlink" Target="https://drive.google.com/file/d/17htvyXAPH7azUMtAo1nnYeStKkS__q-f/view?usp=sharing" TargetMode="External"/><Relationship Id="rId248" Type="http://schemas.openxmlformats.org/officeDocument/2006/relationships/hyperlink" Target="https://drive.google.com/file/d/1xMgUbJEHD3LYtGxBCMz8whNKyhnAd_9M/view?usp=sharing" TargetMode="External"/><Relationship Id="rId455" Type="http://schemas.openxmlformats.org/officeDocument/2006/relationships/hyperlink" Target="https://drive.google.com/file/d/14Z6w1Zh38xsuocrz3I5CuYR1c4K-NNAV/view?usp=sharing" TargetMode="External"/><Relationship Id="rId497" Type="http://schemas.openxmlformats.org/officeDocument/2006/relationships/hyperlink" Target="https://drive.google.com/file/d/1F-2Mqei4p3viHLxJU588uwP08997D6Ft/view?usp=sharing" TargetMode="External"/><Relationship Id="rId12" Type="http://schemas.openxmlformats.org/officeDocument/2006/relationships/hyperlink" Target="https://drive.google.com/file/d/1_Rd7e1La4U98X0W2ptv9TOHFDvD9rkFR/view?usp=sharing" TargetMode="External"/><Relationship Id="rId108" Type="http://schemas.openxmlformats.org/officeDocument/2006/relationships/hyperlink" Target="https://drive.google.com/file/d/1If_leSGaifJkOi82HrKpDlfJXtJaF_OO/view?usp=sharing" TargetMode="External"/><Relationship Id="rId315" Type="http://schemas.openxmlformats.org/officeDocument/2006/relationships/hyperlink" Target="https://drive.google.com/file/d/17VEV45C2BpHolJ0uBqudHUKrrFHnP6Xp/view?usp=sharing" TargetMode="External"/><Relationship Id="rId357" Type="http://schemas.openxmlformats.org/officeDocument/2006/relationships/hyperlink" Target="https://drive.google.com/file/d/1dQ44mPTUd44wsRa-rtHaMa_w33dcR1iK/view?usp=sharing" TargetMode="External"/><Relationship Id="rId522" Type="http://schemas.openxmlformats.org/officeDocument/2006/relationships/hyperlink" Target="https://drive.google.com/file/d/1I7c9KGeZJwIGp3yrfce5RbpcEW-Nhpz_/view?usp=sharing" TargetMode="External"/><Relationship Id="rId54" Type="http://schemas.openxmlformats.org/officeDocument/2006/relationships/hyperlink" Target="https://drive.google.com/file/d/1iBVxmbAlMGkzlmInBGI1p83clvSoD3vM/view?usp=sharing" TargetMode="External"/><Relationship Id="rId96" Type="http://schemas.openxmlformats.org/officeDocument/2006/relationships/hyperlink" Target="https://drive.google.com/file/d/1voG70uRLZ9ep5o2l8GQNizDFWyhJlksN/view?usp=sharing" TargetMode="External"/><Relationship Id="rId161" Type="http://schemas.openxmlformats.org/officeDocument/2006/relationships/hyperlink" Target="https://drive.google.com/file/d/19UgBUm8ghMqVu8n3O-EikHLeZ9NN3wuc/view?usp=sharing" TargetMode="External"/><Relationship Id="rId217" Type="http://schemas.openxmlformats.org/officeDocument/2006/relationships/hyperlink" Target="https://drive.google.com/file/d/1jCS0E-6bIiS2Hay8XADwsZCFjHegAJzd/view?usp=sharing" TargetMode="External"/><Relationship Id="rId399" Type="http://schemas.openxmlformats.org/officeDocument/2006/relationships/hyperlink" Target="https://drive.google.com/file/d/1QIMErk6km5z8Z2WjXnOnqouJT0gbc4QX/view?usp=share_link" TargetMode="External"/><Relationship Id="rId259" Type="http://schemas.openxmlformats.org/officeDocument/2006/relationships/hyperlink" Target="https://drive.google.com/file/d/1GAap_EW8CN-WnXMmd95kin-6Zt0FxDed/view?usp=sharing" TargetMode="External"/><Relationship Id="rId424" Type="http://schemas.openxmlformats.org/officeDocument/2006/relationships/hyperlink" Target="https://drive.google.com/file/d/18ozPgf7JEeGLIHQmrPMhKipfSLsrrAf3/view?usp=sharing" TargetMode="External"/><Relationship Id="rId466" Type="http://schemas.openxmlformats.org/officeDocument/2006/relationships/hyperlink" Target="https://drive.google.com/file/d/1npXtfQe3eHpghkwa2r7J1RJ1oUN9UevJ/view?usp=sharing" TargetMode="External"/><Relationship Id="rId23" Type="http://schemas.openxmlformats.org/officeDocument/2006/relationships/hyperlink" Target="https://drive.google.com/file/d/1_7MJITNFc4CIhBLbiGztC31h8vq_zdfe/view?usp=drive_link" TargetMode="External"/><Relationship Id="rId119" Type="http://schemas.openxmlformats.org/officeDocument/2006/relationships/hyperlink" Target="https://drive.google.com/file/d/1id1kQeYXi7d1AvYKQc1MQLNL4IE1LX9Q/view?usp=sharing" TargetMode="External"/><Relationship Id="rId270" Type="http://schemas.openxmlformats.org/officeDocument/2006/relationships/hyperlink" Target="https://drive.google.com/file/d/1ZtUdLgSWGFXqiJLwIqy86ikmRY_U6Kpu/view?usp=sharing" TargetMode="External"/><Relationship Id="rId326" Type="http://schemas.openxmlformats.org/officeDocument/2006/relationships/hyperlink" Target="https://drive.google.com/file/d/1gBwC-4ZJ0qj3iaL3LZ3wdWhfCMaI4Q4O/view?usp=sharing" TargetMode="External"/><Relationship Id="rId533" Type="http://schemas.openxmlformats.org/officeDocument/2006/relationships/hyperlink" Target="https://drive.google.com/file/d/1X88QWHkOLX4uRRLpwaI95jjBh6o_Iity/view?usp=sharing" TargetMode="External"/><Relationship Id="rId65" Type="http://schemas.openxmlformats.org/officeDocument/2006/relationships/hyperlink" Target="https://drive.google.com/file/d/1bHwc1x4aj8YDG8MiEkEQbTcLAsAUJ7aw/view?usp=sharing" TargetMode="External"/><Relationship Id="rId130" Type="http://schemas.openxmlformats.org/officeDocument/2006/relationships/hyperlink" Target="https://drive.google.com/file/d/1P30MDgkoc5yYPbnkVf91OQwjZPcWOpbs/view?usp=sharing" TargetMode="External"/><Relationship Id="rId368" Type="http://schemas.openxmlformats.org/officeDocument/2006/relationships/hyperlink" Target="https://drive.google.com/file/d/118fKmnkZezYGfL2jOSnIkp-WyEj_clar/view?usp=sharing" TargetMode="External"/><Relationship Id="rId172" Type="http://schemas.openxmlformats.org/officeDocument/2006/relationships/hyperlink" Target="https://drive.google.com/file/d/19Oomp_QBd28n4CechIj_l2M2J8GeoVjn/view?usp=drive_link" TargetMode="External"/><Relationship Id="rId228" Type="http://schemas.openxmlformats.org/officeDocument/2006/relationships/hyperlink" Target="https://drive.google.com/file/d/1QC6VHP2FffcfGDRGCtH_7H_g2HEf8ucl/view?usp=sharing" TargetMode="External"/><Relationship Id="rId435" Type="http://schemas.openxmlformats.org/officeDocument/2006/relationships/hyperlink" Target="https://drive.google.com/file/d/1vI-12UO0V0IenzekOGK9cKxesrPjeyJW/view?usp=sharing" TargetMode="External"/><Relationship Id="rId477" Type="http://schemas.openxmlformats.org/officeDocument/2006/relationships/hyperlink" Target="https://drive.google.com/file/d/1HU7DJufNhnCqrYTvsP5WuqGHWad6VSqC/view?usp=sharing" TargetMode="External"/><Relationship Id="rId281" Type="http://schemas.openxmlformats.org/officeDocument/2006/relationships/hyperlink" Target="https://drive.google.com/file/d/1PCevU2S0Cb5r0K1I9kVZhMNnEoPLnetc/view?usp=sharing" TargetMode="External"/><Relationship Id="rId337" Type="http://schemas.openxmlformats.org/officeDocument/2006/relationships/hyperlink" Target="https://drive.google.com/file/d/1LiY7vwc6akkEFhiDNy3YLeCnNBUpAjE1/view?usp=sharing" TargetMode="External"/><Relationship Id="rId502" Type="http://schemas.openxmlformats.org/officeDocument/2006/relationships/hyperlink" Target="https://drive.google.com/file/d/1ARjdcd8enJ38WtqIZzoM4ihVolj6_DTW/view?usp=sharing" TargetMode="External"/><Relationship Id="rId34" Type="http://schemas.openxmlformats.org/officeDocument/2006/relationships/hyperlink" Target="https://drive.google.com/file/d/1Q__0Nz7LIqaRo9_b0eIrGf5YwQxhW_j8/view?usp=sharing" TargetMode="External"/><Relationship Id="rId76" Type="http://schemas.openxmlformats.org/officeDocument/2006/relationships/hyperlink" Target="https://drive.google.com/file/d/1A91Lf5B9ybTPxuSD9tgwFhlUehQ6_pPG/view?usp=sharing" TargetMode="External"/><Relationship Id="rId141" Type="http://schemas.openxmlformats.org/officeDocument/2006/relationships/hyperlink" Target="https://drive.google.com/file/d/1gqzoaF73fe0TIHHRskei02zkq5XxXzN7/view?usp=share_link" TargetMode="External"/><Relationship Id="rId379" Type="http://schemas.openxmlformats.org/officeDocument/2006/relationships/hyperlink" Target="https://drive.google.com/file/d/1Datv4OWj3Qpty0_zjPiFRjoqqsvnYg_F/view?usp=sharing" TargetMode="External"/><Relationship Id="rId544" Type="http://schemas.openxmlformats.org/officeDocument/2006/relationships/hyperlink" Target="https://drive.google.com/file/d/1bYdFacxpcVvjxm1U_ak-uLmlPIokvZqb/view?usp=sharing" TargetMode="External"/><Relationship Id="rId7" Type="http://schemas.openxmlformats.org/officeDocument/2006/relationships/hyperlink" Target="https://drive.google.com/file/d/1Ts4Q4Y1STMMr2wZcH1GVlL3etO2wzE3V/view?usp=sharing" TargetMode="External"/><Relationship Id="rId183" Type="http://schemas.openxmlformats.org/officeDocument/2006/relationships/hyperlink" Target="https://drive.google.com/file/d/1YYv71qrIFc_XMtc1Fsi-vTK7-GNT3u1A/view?usp=sharing" TargetMode="External"/><Relationship Id="rId239" Type="http://schemas.openxmlformats.org/officeDocument/2006/relationships/hyperlink" Target="https://drive.google.com/file/d/1XG4Qc1jl0Awjf1pmxcENuwYu5CauW2WY/view?usp=sharing" TargetMode="External"/><Relationship Id="rId390" Type="http://schemas.openxmlformats.org/officeDocument/2006/relationships/hyperlink" Target="https://drive.google.com/file/d/19YhDuHJ4L5Ft2T64MwiOrQd6GOXGCJMK/view?usp=sharing" TargetMode="External"/><Relationship Id="rId404" Type="http://schemas.openxmlformats.org/officeDocument/2006/relationships/hyperlink" Target="https://drive.google.com/file/d/1drJF_tH2Y6_BJ1MlpimQ_CTuizH9ta8O/view?usp=sharing" TargetMode="External"/><Relationship Id="rId446" Type="http://schemas.openxmlformats.org/officeDocument/2006/relationships/hyperlink" Target="https://drive.google.com/file/d/1vR2yxFw5Hl1GT7t76_SbneGfvte7P-XP/view?usp=sharing" TargetMode="External"/><Relationship Id="rId250" Type="http://schemas.openxmlformats.org/officeDocument/2006/relationships/hyperlink" Target="https://drive.google.com/file/d/1v5XCG5WTowW4PZ-PTk1J8Bru8VVU4tJA/view?usp=sharing" TargetMode="External"/><Relationship Id="rId292" Type="http://schemas.openxmlformats.org/officeDocument/2006/relationships/hyperlink" Target="https://drive.google.com/file/d/1Xh7zPCVRA5x2232_Qtm6vJKjvUy7JX-q/view?usp=sharing" TargetMode="External"/><Relationship Id="rId306" Type="http://schemas.openxmlformats.org/officeDocument/2006/relationships/hyperlink" Target="https://drive.google.com/file/d/191MkpjxW2R3_b1gYZTx2G0d-AI58nQnA/view?usp=sharing" TargetMode="External"/><Relationship Id="rId488" Type="http://schemas.openxmlformats.org/officeDocument/2006/relationships/hyperlink" Target="https://drive.google.com/file/d/11j15IQCzLNg1EANib04eBVFhw5CU0bSo/view?usp=sharing" TargetMode="External"/><Relationship Id="rId45" Type="http://schemas.openxmlformats.org/officeDocument/2006/relationships/hyperlink" Target="https://drive.google.com/file/d/1tRk7IbeWSRgr1N4Dpl0u6PHqtV8eueSZ/view?usp=sharing" TargetMode="External"/><Relationship Id="rId87" Type="http://schemas.openxmlformats.org/officeDocument/2006/relationships/hyperlink" Target="https://drive.google.com/file/d/1eMPc8ld3tscr4sD-mm4Qa31cy3ZoSFdu/view?usp=sharing" TargetMode="External"/><Relationship Id="rId110" Type="http://schemas.openxmlformats.org/officeDocument/2006/relationships/hyperlink" Target="https://drive.google.com/file/d/1vYmYqGeb61pqPwWpn-1-MUm-s0Ym4WgN/view?usp=sharing" TargetMode="External"/><Relationship Id="rId348" Type="http://schemas.openxmlformats.org/officeDocument/2006/relationships/hyperlink" Target="https://drive.google.com/file/d/1qnw6GlP_TF9lvM5IyBpBKpUGUVTjiL0T/view?usp=sharing" TargetMode="External"/><Relationship Id="rId513" Type="http://schemas.openxmlformats.org/officeDocument/2006/relationships/hyperlink" Target="https://drive.google.com/file/d/1JvzsvIkkEEbfc2mLuTz3UTT0rWG1-2r5/view?usp=sharing" TargetMode="External"/><Relationship Id="rId555" Type="http://schemas.openxmlformats.org/officeDocument/2006/relationships/hyperlink" Target="https://drive.google.com/file/d/1yfBVhIMu5LlDf6UY9cb0YDQxW6AemACG/view?usp=sharing" TargetMode="External"/><Relationship Id="rId152" Type="http://schemas.openxmlformats.org/officeDocument/2006/relationships/hyperlink" Target="https://drive.google.com/file/d/1UMk3aJo7hpzLN5UdKTtpG84jNhzPgcNt/view?usp=drive_link" TargetMode="External"/><Relationship Id="rId194" Type="http://schemas.openxmlformats.org/officeDocument/2006/relationships/hyperlink" Target="https://drive.google.com/file/d/1NSctlzxIJajvd_B6qRZaQXDW9lkAjaMa/view?usp=drive_link" TargetMode="External"/><Relationship Id="rId208" Type="http://schemas.openxmlformats.org/officeDocument/2006/relationships/hyperlink" Target="https://drive.google.com/file/d/1d_68gqPYtdDZYiYwxZ7MgxQXyTMaSc99/view?usp=sharing" TargetMode="External"/><Relationship Id="rId415" Type="http://schemas.openxmlformats.org/officeDocument/2006/relationships/hyperlink" Target="https://drive.google.com/file/d/1uxn9lZGusKSLbmRD9M7AgK70vgQrD98O/view?usp=sharing" TargetMode="External"/><Relationship Id="rId457" Type="http://schemas.openxmlformats.org/officeDocument/2006/relationships/hyperlink" Target="https://drive.google.com/file/d/1MG-pwzwxFnknX9IZHgvcfhpbZWFSAYhh/view?usp=sharing" TargetMode="External"/><Relationship Id="rId261" Type="http://schemas.openxmlformats.org/officeDocument/2006/relationships/hyperlink" Target="https://drive.google.com/file/d/1OycJZo_NArkYfJ5-qHLRnJxCT0t3d7bT/view?usp=sharing" TargetMode="External"/><Relationship Id="rId499" Type="http://schemas.openxmlformats.org/officeDocument/2006/relationships/hyperlink" Target="https://drive.google.com/file/d/199Ok_lGdJVxkanQX83klhFO2jPrMkQov/view?usp=sharing" TargetMode="External"/><Relationship Id="rId14" Type="http://schemas.openxmlformats.org/officeDocument/2006/relationships/hyperlink" Target="https://drive.google.com/file/d/1IRpUoZ_fQEdF6J-xrh35yulfSZ4Jd4zw/view?usp=sharing" TargetMode="External"/><Relationship Id="rId56" Type="http://schemas.openxmlformats.org/officeDocument/2006/relationships/hyperlink" Target="https://drive.google.com/file/d/1gzfP7LdPGUdrIint_HiXHo2kWiLJU6zd/view?usp=sharing" TargetMode="External"/><Relationship Id="rId317" Type="http://schemas.openxmlformats.org/officeDocument/2006/relationships/hyperlink" Target="https://drive.google.com/file/d/1zx26QKFdfO1agSVRqGTSPczYTrvVEZZO/view?usp=sharing" TargetMode="External"/><Relationship Id="rId359" Type="http://schemas.openxmlformats.org/officeDocument/2006/relationships/hyperlink" Target="https://drive.google.com/file/d/1jwYIFZdkQBMrY8e4nVjitdK4DbqE9YiL/view?usp=sharing" TargetMode="External"/><Relationship Id="rId524" Type="http://schemas.openxmlformats.org/officeDocument/2006/relationships/hyperlink" Target="https://drive.google.com/file/d/1j3KS09-Lp-2MbG_Wf2B_srUYSZ54s-LG/view?usp=sharing" TargetMode="External"/><Relationship Id="rId98" Type="http://schemas.openxmlformats.org/officeDocument/2006/relationships/hyperlink" Target="https://drive.google.com/file/d/1_9wfwlCEt_tGNlCdUg59UyPaGNjur4OQ/view?usp=sharing" TargetMode="External"/><Relationship Id="rId121" Type="http://schemas.openxmlformats.org/officeDocument/2006/relationships/hyperlink" Target="https://drive.google.com/file/d/1Jey-Jzq0P4lE1CwpGDCuQwFKgw4zv3fE/view?usp=sharing" TargetMode="External"/><Relationship Id="rId163" Type="http://schemas.openxmlformats.org/officeDocument/2006/relationships/hyperlink" Target="https://drive.google.com/file/d/12qunH76VzHYAfob8--6AtZxbufmP8kzD/view?usp=sharing" TargetMode="External"/><Relationship Id="rId219" Type="http://schemas.openxmlformats.org/officeDocument/2006/relationships/hyperlink" Target="https://drive.google.com/file/d/17Ehx85iXm8WwGTVPcbEmcZiroBc6Q4BF/view?usp=sharing" TargetMode="External"/><Relationship Id="rId370" Type="http://schemas.openxmlformats.org/officeDocument/2006/relationships/hyperlink" Target="https://drive.google.com/file/d/14F7g8mHMULI0lfbt3O9gm7yta8C4QjUL/view?usp=sharing" TargetMode="External"/><Relationship Id="rId426" Type="http://schemas.openxmlformats.org/officeDocument/2006/relationships/hyperlink" Target="https://drive.google.com/file/d/1zTNf70GiH2NezcapAk3lrmcDPixMoapD/view?usp=sharing" TargetMode="External"/><Relationship Id="rId230" Type="http://schemas.openxmlformats.org/officeDocument/2006/relationships/hyperlink" Target="https://drive.google.com/file/d/1ApSVv3LNQ9mkWbN6LGxrAQBxLySOKXyv/view?usp=share_link" TargetMode="External"/><Relationship Id="rId468" Type="http://schemas.openxmlformats.org/officeDocument/2006/relationships/hyperlink" Target="https://drive.google.com/file/d/1hrqJmqZPbtOFzyIbvFqM2igLfYorRaW9/view?usp=sharing" TargetMode="External"/><Relationship Id="rId25" Type="http://schemas.openxmlformats.org/officeDocument/2006/relationships/hyperlink" Target="https://drive.google.com/file/d/1jwUtz1os0ec9FWMiYeHl3qOEhlYjhgKO/view?usp=sharing" TargetMode="External"/><Relationship Id="rId67" Type="http://schemas.openxmlformats.org/officeDocument/2006/relationships/hyperlink" Target="https://drive.google.com/file/d/1WTUyyBsX2faSkqePFdUHg9G4HXB-5fS1/view?usp=share_link" TargetMode="External"/><Relationship Id="rId272" Type="http://schemas.openxmlformats.org/officeDocument/2006/relationships/hyperlink" Target="https://drive.google.com/file/d/11PbSafNzkVYLPXkVPGrwV8VELcKozThM/view?usp=sharing" TargetMode="External"/><Relationship Id="rId328" Type="http://schemas.openxmlformats.org/officeDocument/2006/relationships/hyperlink" Target="https://drive.google.com/file/d/1Tu9PuOF5h960I_KePh9AgTby_hGMM6T4/view?usp=sharing" TargetMode="External"/><Relationship Id="rId535" Type="http://schemas.openxmlformats.org/officeDocument/2006/relationships/hyperlink" Target="https://drive.google.com/file/d/1S5QOkYyDl6QZ_gu6VGYccMLrgClg7t44/view?usp=sharing" TargetMode="External"/><Relationship Id="rId132" Type="http://schemas.openxmlformats.org/officeDocument/2006/relationships/hyperlink" Target="https://drive.google.com/file/d/10k52KhGeYpb-Mht-R72YrvWOMYulSuCe/view?usp=sharing" TargetMode="External"/><Relationship Id="rId174" Type="http://schemas.openxmlformats.org/officeDocument/2006/relationships/hyperlink" Target="https://drive.google.com/file/d/1zNrMzQo_kY1GYhQ_8NeuU_30Z07RVUx6/view?usp=sharing" TargetMode="External"/><Relationship Id="rId381" Type="http://schemas.openxmlformats.org/officeDocument/2006/relationships/hyperlink" Target="https://drive.google.com/file/d/179rk-QG9AhnP6x21NyL1nb5-ROZzRNew/view?usp=sharing" TargetMode="External"/><Relationship Id="rId241" Type="http://schemas.openxmlformats.org/officeDocument/2006/relationships/hyperlink" Target="https://drive.google.com/file/d/102gsQXLW1CuBuY298EoODEYvwyUhFPVS/view?usp=sharing" TargetMode="External"/><Relationship Id="rId437" Type="http://schemas.openxmlformats.org/officeDocument/2006/relationships/hyperlink" Target="https://drive.google.com/file/d/10MKTi1oxCvJ6aBaxPeXgd_-Z1SWc_w2Q/view?usp=sharing" TargetMode="External"/><Relationship Id="rId479" Type="http://schemas.openxmlformats.org/officeDocument/2006/relationships/hyperlink" Target="https://drive.google.com/file/d/11an_ASf50X0HlOHlDokuohbKvmYsKAph/view?usp=sharing" TargetMode="External"/><Relationship Id="rId15" Type="http://schemas.openxmlformats.org/officeDocument/2006/relationships/hyperlink" Target="https://drive.google.com/file/d/1t-s8Mwnq0y6o6iDCjPSc6HOkVw4m9A7-/view?usp=sharing" TargetMode="External"/><Relationship Id="rId36" Type="http://schemas.openxmlformats.org/officeDocument/2006/relationships/hyperlink" Target="https://drive.google.com/file/d/1fGGKa1_rItP0XCHEiZxsaRFvjgy11ZRS/view?usp=sharing" TargetMode="External"/><Relationship Id="rId57" Type="http://schemas.openxmlformats.org/officeDocument/2006/relationships/hyperlink" Target="https://drive.google.com/file/d/1GlEW3VRKUvvjtDbXmUWcsaGN0KJK_bKg/view?usp=share_link" TargetMode="External"/><Relationship Id="rId262" Type="http://schemas.openxmlformats.org/officeDocument/2006/relationships/hyperlink" Target="https://drive.google.com/file/d/1V3z0mteVvYlWVtgBPI99hIK9n5Hmyz7F/view?usp=sharing" TargetMode="External"/><Relationship Id="rId283" Type="http://schemas.openxmlformats.org/officeDocument/2006/relationships/hyperlink" Target="https://drive.google.com/file/d/1nWCzRypETw9divrBFO3CLrx8AWmLHkRg/view?usp=sharing" TargetMode="External"/><Relationship Id="rId318" Type="http://schemas.openxmlformats.org/officeDocument/2006/relationships/hyperlink" Target="https://drive.google.com/file/d/1AoQUq-I-qwkQ4wsJPqC7GBTiqyuITx6i/view?usp=sharing" TargetMode="External"/><Relationship Id="rId339" Type="http://schemas.openxmlformats.org/officeDocument/2006/relationships/hyperlink" Target="https://drive.google.com/file/d/1C1A0lzgEC3dJvqQE1WMQ-3DS8zAQ72nV/view?usp=sharing" TargetMode="External"/><Relationship Id="rId490" Type="http://schemas.openxmlformats.org/officeDocument/2006/relationships/hyperlink" Target="https://drive.google.com/file/d/1V6xMnBmCkvJ3DesKFs080c2q-mxdIzTZ/view?usp=sharing" TargetMode="External"/><Relationship Id="rId504" Type="http://schemas.openxmlformats.org/officeDocument/2006/relationships/hyperlink" Target="https://drive.google.com/file/d/1dSVkdU1WOPxBNZFleeYKF6EYjl81OCLF/view?usp=sharing" TargetMode="External"/><Relationship Id="rId525" Type="http://schemas.openxmlformats.org/officeDocument/2006/relationships/hyperlink" Target="https://drive.google.com/file/d/10mkNLPKSE1MnUwIG2-Zn_2zS4NZKwY88/view?usp=sharing" TargetMode="External"/><Relationship Id="rId546" Type="http://schemas.openxmlformats.org/officeDocument/2006/relationships/hyperlink" Target="https://drive.google.com/file/d/1_Bf7RS9MZID31SFGi6Zk7ly2vlm0Os0r/view?usp=sharing" TargetMode="External"/><Relationship Id="rId78" Type="http://schemas.openxmlformats.org/officeDocument/2006/relationships/hyperlink" Target="https://drive.google.com/file/d/1KClmfDOHjGbqjXg7jEwUM61JLPHnCKaj/view?usp=sharing" TargetMode="External"/><Relationship Id="rId99" Type="http://schemas.openxmlformats.org/officeDocument/2006/relationships/hyperlink" Target="https://drive.google.com/file/d/1hw-16SNerUSrr967_UtefTGhH1-lRm5a/view?usp=sharing" TargetMode="External"/><Relationship Id="rId101" Type="http://schemas.openxmlformats.org/officeDocument/2006/relationships/hyperlink" Target="https://drive.google.com/file/d/1zZFbtDxnkvq-NZ8mn7C9UewYVIVBLkYG/view?usp=sharing" TargetMode="External"/><Relationship Id="rId122" Type="http://schemas.openxmlformats.org/officeDocument/2006/relationships/hyperlink" Target="https://drive.google.com/file/d/1irJv32oxB03dch52xrJy47yLp76LViTv/view?usp=sharing" TargetMode="External"/><Relationship Id="rId143" Type="http://schemas.openxmlformats.org/officeDocument/2006/relationships/hyperlink" Target="https://drive.google.com/file/d/14Jb_Gf0hOLaOBGptXhA_VAV8eMtdA-N2/view?usp=share_link" TargetMode="External"/><Relationship Id="rId164" Type="http://schemas.openxmlformats.org/officeDocument/2006/relationships/hyperlink" Target="https://drive.google.com/file/d/1SZjffC-qeWbs3O1T2yFiHGVtsEshWUpE/view?usp=drive_link" TargetMode="External"/><Relationship Id="rId185" Type="http://schemas.openxmlformats.org/officeDocument/2006/relationships/hyperlink" Target="https://drive.google.com/file/d/1RnFQYtBsYeD4L_2gX_qXCsJxyS-EIT9u/view?usp=sharing" TargetMode="External"/><Relationship Id="rId350" Type="http://schemas.openxmlformats.org/officeDocument/2006/relationships/hyperlink" Target="https://drive.google.com/file/d/1E7lBkSmU4Bc2f4VW0lzybq1gV0rD8EPS/view?usp=sharing" TargetMode="External"/><Relationship Id="rId371" Type="http://schemas.openxmlformats.org/officeDocument/2006/relationships/hyperlink" Target="https://drive.google.com/file/d/1Q516rSAQ_-cwYjBqg-hM7YqiyrQZucmD/view?usp=sharing" TargetMode="External"/><Relationship Id="rId406" Type="http://schemas.openxmlformats.org/officeDocument/2006/relationships/hyperlink" Target="https://drive.google.com/file/d/1tElcbMLbmWMlJE8bQdGo9C6hxvWOrq1U/view?usp=sharing" TargetMode="External"/><Relationship Id="rId9" Type="http://schemas.openxmlformats.org/officeDocument/2006/relationships/hyperlink" Target="https://drive.google.com/file/d/1zrZE-RDiE4WLacR9XFtQAmmDNPHKsHvT/view?usp=sharing" TargetMode="External"/><Relationship Id="rId210" Type="http://schemas.openxmlformats.org/officeDocument/2006/relationships/hyperlink" Target="https://drive.google.com/file/d/1YnQcmBO-feZMJ8QmoS26MORxAxZSwi0k/view?usp=sharing" TargetMode="External"/><Relationship Id="rId392" Type="http://schemas.openxmlformats.org/officeDocument/2006/relationships/hyperlink" Target="https://drive.google.com/file/d/1SIopAkhjKLNWsCNpj74PAhOCen5gG4kb/view?usp=sharing" TargetMode="External"/><Relationship Id="rId427" Type="http://schemas.openxmlformats.org/officeDocument/2006/relationships/hyperlink" Target="https://drive.google.com/file/d/1usAxM8b-rH-WghgmqrzQyr5S4h79BUqE/view?usp=sharing" TargetMode="External"/><Relationship Id="rId448" Type="http://schemas.openxmlformats.org/officeDocument/2006/relationships/hyperlink" Target="https://drive.google.com/file/d/1PJVPqXqhXEciO61UIBby5Oc_QP5P3oG-/view?usp=sharing" TargetMode="External"/><Relationship Id="rId469" Type="http://schemas.openxmlformats.org/officeDocument/2006/relationships/hyperlink" Target="https://drive.google.com/file/d/1Ro3hBqHVGhngyenDhETLK_V-_VWxXtwI/view?usp=sharing" TargetMode="External"/><Relationship Id="rId26" Type="http://schemas.openxmlformats.org/officeDocument/2006/relationships/hyperlink" Target="https://drive.google.com/file/d/1KV1T25wxDAHEk4KU2nouoEcn7lfBLThN/view?usp=sharing" TargetMode="External"/><Relationship Id="rId231" Type="http://schemas.openxmlformats.org/officeDocument/2006/relationships/hyperlink" Target="https://drive.google.com/file/d/1E7TS96A7NszQ-gsoqXW_F1zPOQ5eBiEp/view?usp=sharing" TargetMode="External"/><Relationship Id="rId252" Type="http://schemas.openxmlformats.org/officeDocument/2006/relationships/hyperlink" Target="https://drive.google.com/file/d/1wKYNfyv3wvsM9weW4Ws0-Er-DjXPBILf/view?usp=sharing" TargetMode="External"/><Relationship Id="rId273" Type="http://schemas.openxmlformats.org/officeDocument/2006/relationships/hyperlink" Target="https://drive.google.com/file/d/117Bs687jlIhXFlTQIa2jEqX9Qroeyj8w/view?usp=sharing" TargetMode="External"/><Relationship Id="rId294" Type="http://schemas.openxmlformats.org/officeDocument/2006/relationships/hyperlink" Target="https://drive.google.com/file/d/1CHhxhE5AfDsb6X2Asyq-eI1y9mwNLXrW/view?usp=sharing" TargetMode="External"/><Relationship Id="rId308" Type="http://schemas.openxmlformats.org/officeDocument/2006/relationships/hyperlink" Target="https://drive.google.com/file/d/1Y8kTxX3DQ_mOPFbIF6zgEQpp8CFiNr7f/view?usp=sharing" TargetMode="External"/><Relationship Id="rId329" Type="http://schemas.openxmlformats.org/officeDocument/2006/relationships/hyperlink" Target="https://drive.google.com/file/d/1t9nHQrDeOcWMfWM5ezJFwAyHxQ1VI_8F/view?usp=sharing" TargetMode="External"/><Relationship Id="rId480" Type="http://schemas.openxmlformats.org/officeDocument/2006/relationships/hyperlink" Target="https://drive.google.com/file/d/17vO5KQjQdipeySuML-3PidueDcvb7evc/view?usp=sharing" TargetMode="External"/><Relationship Id="rId515" Type="http://schemas.openxmlformats.org/officeDocument/2006/relationships/hyperlink" Target="https://drive.google.com/file/d/1EBgHfU_taC3ecSLHeV8DDMGxmm0Jfv1_/view?usp=sharing" TargetMode="External"/><Relationship Id="rId536" Type="http://schemas.openxmlformats.org/officeDocument/2006/relationships/hyperlink" Target="https://drive.google.com/file/d/1x2tRzTIJjsPcB6QIAVUVylkR-nvVQNfr/view?usp=sharing" TargetMode="External"/><Relationship Id="rId47" Type="http://schemas.openxmlformats.org/officeDocument/2006/relationships/hyperlink" Target="https://drive.google.com/file/d/1UgK5n_f4Z0lVpLolPeiqCQAIcbLCuXJi/view?usp=sharing" TargetMode="External"/><Relationship Id="rId68" Type="http://schemas.openxmlformats.org/officeDocument/2006/relationships/hyperlink" Target="https://drive.google.com/file/d/1MlJM4FsnlbBMs-2-i-woR4CLSAdc2KeK/view?usp=share_link" TargetMode="External"/><Relationship Id="rId89" Type="http://schemas.openxmlformats.org/officeDocument/2006/relationships/hyperlink" Target="https://drive.google.com/file/d/1AoQUq-I-qwkQ4wsJPqC7GBTiqyuITx6i/view?usp=sharing" TargetMode="External"/><Relationship Id="rId112" Type="http://schemas.openxmlformats.org/officeDocument/2006/relationships/hyperlink" Target="https://drive.google.com/file/d/1ox-5xrswWV9Rm7SkuUth9j2a3ErhGOM_/view?usp=sharing" TargetMode="External"/><Relationship Id="rId133" Type="http://schemas.openxmlformats.org/officeDocument/2006/relationships/hyperlink" Target="https://drive.google.com/file/d/1y6JmjXoIU6aF_gR7mlV36Jk-OlnJZ919/view?usp=sharing" TargetMode="External"/><Relationship Id="rId154" Type="http://schemas.openxmlformats.org/officeDocument/2006/relationships/hyperlink" Target="https://drive.google.com/file/d/1szxf3aZ3mS6Ak54Nejuc4AcduJHwWkGt/view?usp=sharing" TargetMode="External"/><Relationship Id="rId175" Type="http://schemas.openxmlformats.org/officeDocument/2006/relationships/hyperlink" Target="https://drive.google.com/file/d/1nDCaXa7a-MQUMEOl5MK2d5urT4Ici6fz/view?usp=drive_link" TargetMode="External"/><Relationship Id="rId340" Type="http://schemas.openxmlformats.org/officeDocument/2006/relationships/hyperlink" Target="https://drive.google.com/file/d/1ZeRfVJWhKHS02bw4FZOgjgqaZzRIuJ1L/view?usp=sharing" TargetMode="External"/><Relationship Id="rId361" Type="http://schemas.openxmlformats.org/officeDocument/2006/relationships/hyperlink" Target="https://drive.google.com/file/d/1qL0JmANVO_lXbcG_VxORQUecANL6ASGc/view?usp=sharing" TargetMode="External"/><Relationship Id="rId557" Type="http://schemas.openxmlformats.org/officeDocument/2006/relationships/hyperlink" Target="https://drive.google.com/file/d/1gr95HjPwlHOOREhi4Zujsvjblo3KHSuP/view?usp=sharing" TargetMode="External"/><Relationship Id="rId196" Type="http://schemas.openxmlformats.org/officeDocument/2006/relationships/hyperlink" Target="https://drive.google.com/file/d/1D2A8JaU9RbUrMhaNsuFbTE25MerVUDnh/view?usp=share_link" TargetMode="External"/><Relationship Id="rId200" Type="http://schemas.openxmlformats.org/officeDocument/2006/relationships/hyperlink" Target="https://drive.google.com/file/d/1pUBEBHokr3EJZNwcgLPcqC_1yhDPQwiF/view?usp=sharing" TargetMode="External"/><Relationship Id="rId382" Type="http://schemas.openxmlformats.org/officeDocument/2006/relationships/hyperlink" Target="https://drive.google.com/file/d/1WCygpQ-Evc4WEplpsBvW2P3F5tI2QtyD/view?usp=sharing" TargetMode="External"/><Relationship Id="rId417" Type="http://schemas.openxmlformats.org/officeDocument/2006/relationships/hyperlink" Target="https://drive.google.com/file/d/1xmo7t6etTl0ijdW6coedut6Za2jOm7eF/view?usp=sharing" TargetMode="External"/><Relationship Id="rId438" Type="http://schemas.openxmlformats.org/officeDocument/2006/relationships/hyperlink" Target="https://drive.google.com/file/d/1itde4NnjCqzKleH_j7o8P92qIs3UuG6x/view?usp=sharing" TargetMode="External"/><Relationship Id="rId459" Type="http://schemas.openxmlformats.org/officeDocument/2006/relationships/hyperlink" Target="https://drive.google.com/file/d/1XTd6oEKjQAH0AkQrtRWYZ_3ukzpt2B2Q/view?usp=sharing" TargetMode="External"/><Relationship Id="rId16" Type="http://schemas.openxmlformats.org/officeDocument/2006/relationships/hyperlink" Target="https://drive.google.com/file/d/19AyvgNyVD8Mg1HVTZSQsdLylySpUm0aM/view?usp=drive_link" TargetMode="External"/><Relationship Id="rId221" Type="http://schemas.openxmlformats.org/officeDocument/2006/relationships/hyperlink" Target="https://drive.google.com/file/d/1Jb2VSxpbTmCDR-TNvn9JlPjeFZD6k9aI/view?usp=sharing" TargetMode="External"/><Relationship Id="rId242" Type="http://schemas.openxmlformats.org/officeDocument/2006/relationships/hyperlink" Target="https://drive.google.com/file/d/1_HAd3xxCYAcZ40yKJAwxS0BGM6C4gbl1/view?usp=sharing" TargetMode="External"/><Relationship Id="rId263" Type="http://schemas.openxmlformats.org/officeDocument/2006/relationships/hyperlink" Target="https://drive.google.com/file/d/1V3z0mteVvYlWVtgBPI99hIK9n5Hmyz7F/view?usp=sharing" TargetMode="External"/><Relationship Id="rId284" Type="http://schemas.openxmlformats.org/officeDocument/2006/relationships/hyperlink" Target="https://drive.google.com/file/d/1GDrVowt1EpJ7NIOJJZhC53bKAxm12X0q/view?usp=sharing" TargetMode="External"/><Relationship Id="rId319" Type="http://schemas.openxmlformats.org/officeDocument/2006/relationships/hyperlink" Target="https://drive.google.com/file/d/1XbuUurLkv0WoIAASm_OLzjkpYbvQq_jG/view?usp=sharing" TargetMode="External"/><Relationship Id="rId470" Type="http://schemas.openxmlformats.org/officeDocument/2006/relationships/hyperlink" Target="https://drive.google.com/file/d/1-aHiVfGzjEC7K0Kv-IrGXnKUbdopY91_/view?usp=sharing" TargetMode="External"/><Relationship Id="rId491" Type="http://schemas.openxmlformats.org/officeDocument/2006/relationships/hyperlink" Target="https://drive.google.com/file/d/1UvXzy55ui7SFgpWvN-_GouukI57QVRJM/view?usp=sharing" TargetMode="External"/><Relationship Id="rId505" Type="http://schemas.openxmlformats.org/officeDocument/2006/relationships/hyperlink" Target="https://drive.google.com/file/d/1yu8aNsMyQqAheyJj3RY9RE5DEncCaBrE/view?usp=sharing" TargetMode="External"/><Relationship Id="rId526" Type="http://schemas.openxmlformats.org/officeDocument/2006/relationships/hyperlink" Target="https://drive.google.com/file/d/11sb_B9vpa8-6xxBRkM-90pDcti9lqO-m/view?usp=sharing" TargetMode="External"/><Relationship Id="rId37" Type="http://schemas.openxmlformats.org/officeDocument/2006/relationships/hyperlink" Target="https://drive.google.com/file/d/1tzs19wnR4l72K15XPkT3K6BhHvr_5hur/view?usp=sharing" TargetMode="External"/><Relationship Id="rId58" Type="http://schemas.openxmlformats.org/officeDocument/2006/relationships/hyperlink" Target="https://drive.google.com/file/d/1vGrIOKObX-Hbv1mQ8rtkLGzowXpbtRxx/view?usp=sharing" TargetMode="External"/><Relationship Id="rId79" Type="http://schemas.openxmlformats.org/officeDocument/2006/relationships/hyperlink" Target="https://drive.google.com/file/d/1KClmfDOHjGbqjXg7jEwUM61JLPHnCKaj/view?usp=sharing" TargetMode="External"/><Relationship Id="rId102" Type="http://schemas.openxmlformats.org/officeDocument/2006/relationships/hyperlink" Target="https://drive.google.com/file/d/1x9gQQDDUBjAZwyeJNOWIAJEo17xoDqTU/view?usp=sharing" TargetMode="External"/><Relationship Id="rId123" Type="http://schemas.openxmlformats.org/officeDocument/2006/relationships/hyperlink" Target="https://drive.google.com/file/d/1406RfbsBCVirZ87-fvQ4Gpr2a-gGJB2X/view?usp=sharing" TargetMode="External"/><Relationship Id="rId144" Type="http://schemas.openxmlformats.org/officeDocument/2006/relationships/hyperlink" Target="https://drive.google.com/file/d/1eW0crC_R4PTB7IMClBjy3hY_ZVfbb90G/view?usp=sharing" TargetMode="External"/><Relationship Id="rId330" Type="http://schemas.openxmlformats.org/officeDocument/2006/relationships/hyperlink" Target="https://drive.google.com/file/d/1v2wiLF3cbbJnZ45P4eAmDABF1FBqkYZq/view?usp=sharing" TargetMode="External"/><Relationship Id="rId547" Type="http://schemas.openxmlformats.org/officeDocument/2006/relationships/hyperlink" Target="https://drive.google.com/file/d/1279QuRVNkucLJMujT7gvJXczTFcz-K5c/view?usp=sharing" TargetMode="External"/><Relationship Id="rId90" Type="http://schemas.openxmlformats.org/officeDocument/2006/relationships/hyperlink" Target="https://drive.google.com/file/d/1XbuUurLkv0WoIAASm_OLzjkpYbvQq_jG/view?usp=sharing" TargetMode="External"/><Relationship Id="rId165" Type="http://schemas.openxmlformats.org/officeDocument/2006/relationships/hyperlink" Target="https://drive.google.com/file/d/17cDDiUpPfQRDE8LavKi-ljEBpQEv0tZD/view?usp=sharing" TargetMode="External"/><Relationship Id="rId186" Type="http://schemas.openxmlformats.org/officeDocument/2006/relationships/hyperlink" Target="https://drive.google.com/file/d/1D5SWgh_MEJ78kdhwlRU31AzBNethbAhY/view?usp=sharing" TargetMode="External"/><Relationship Id="rId351" Type="http://schemas.openxmlformats.org/officeDocument/2006/relationships/hyperlink" Target="https://drive.google.com/file/d/1BDSBo9zoruIfyo7Q9cnydmvzcnapC-6B/view?usp=sharing" TargetMode="External"/><Relationship Id="rId372" Type="http://schemas.openxmlformats.org/officeDocument/2006/relationships/hyperlink" Target="https://drive.google.com/file/d/1gxMBADbosVAS6IGEBiuZTXMUiHdW73dS/view?usp=sharing" TargetMode="External"/><Relationship Id="rId393" Type="http://schemas.openxmlformats.org/officeDocument/2006/relationships/hyperlink" Target="https://drive.google.com/file/d/11QLuX16KovoCNZEC7AGvf4LSsFHXnybb/view?usp=sharing" TargetMode="External"/><Relationship Id="rId407" Type="http://schemas.openxmlformats.org/officeDocument/2006/relationships/hyperlink" Target="https://drive.google.com/file/d/1YrODmv8Mlh_kMFLZNGq7IgLlaI3jqJM-/view?usp=drive_link" TargetMode="External"/><Relationship Id="rId428" Type="http://schemas.openxmlformats.org/officeDocument/2006/relationships/hyperlink" Target="https://drive.google.com/file/d/1PnBiqIz_JfvcD5_JZ05MnVhLopk0ldlO/view?usp=sharing" TargetMode="External"/><Relationship Id="rId449" Type="http://schemas.openxmlformats.org/officeDocument/2006/relationships/hyperlink" Target="https://drive.google.com/file/d/1gr5cdTCQw_Adorie91dZliXxosyvbs1C/view?usp=sharing" TargetMode="External"/><Relationship Id="rId211" Type="http://schemas.openxmlformats.org/officeDocument/2006/relationships/hyperlink" Target="https://drive.google.com/file/d/1fdg9_olEAy4hhA4yoHjeT2onmhV6pATP/view?usp=sharing" TargetMode="External"/><Relationship Id="rId232" Type="http://schemas.openxmlformats.org/officeDocument/2006/relationships/hyperlink" Target="https://drive.google.com/file/d/18F80_uGZHehudi6Yfu-sFjck6QegfuTk/view?usp=sharing" TargetMode="External"/><Relationship Id="rId253" Type="http://schemas.openxmlformats.org/officeDocument/2006/relationships/hyperlink" Target="https://drive.google.com/file/d/1wKYNfyv3wvsM9weW4Ws0-Er-DjXPBILf/view?usp=sharing" TargetMode="External"/><Relationship Id="rId274" Type="http://schemas.openxmlformats.org/officeDocument/2006/relationships/hyperlink" Target="https://drive.google.com/file/d/1y20dluteERgFz_cKxiIKNJTgw0FyLICy/view?usp=sharing" TargetMode="External"/><Relationship Id="rId295" Type="http://schemas.openxmlformats.org/officeDocument/2006/relationships/hyperlink" Target="https://drive.google.com/file/d/1bKz9Ns3LJMfG3PJ6sFzIDCKD55hfqYlo/view?usp=sharing" TargetMode="External"/><Relationship Id="rId309" Type="http://schemas.openxmlformats.org/officeDocument/2006/relationships/hyperlink" Target="https://drive.google.com/file/d/1QqgKHpGIuYQf7sHwxhLk8q7ASNkKk4X0/view?usp=sharing" TargetMode="External"/><Relationship Id="rId460" Type="http://schemas.openxmlformats.org/officeDocument/2006/relationships/hyperlink" Target="https://drive.google.com/file/d/15lSRrAOkSGE0xbcD4WpBQ-dgj0ta5sV_/view?usp=sharing" TargetMode="External"/><Relationship Id="rId481" Type="http://schemas.openxmlformats.org/officeDocument/2006/relationships/hyperlink" Target="https://drive.google.com/file/d/1VFXhZdj1CboJYYvJZaQyrggUd01v0sR0/view?usp=sharing" TargetMode="External"/><Relationship Id="rId516" Type="http://schemas.openxmlformats.org/officeDocument/2006/relationships/hyperlink" Target="https://drive.google.com/file/d/1lRgjAm58tlabRqOI6jYZdu2Tk8L0ulop/view?usp=sharing" TargetMode="External"/><Relationship Id="rId27" Type="http://schemas.openxmlformats.org/officeDocument/2006/relationships/hyperlink" Target="https://drive.google.com/file/d/1P_2mxEv3_QIzhqdllRSOCDRRD7FDeT-q/view?usp=sharing" TargetMode="External"/><Relationship Id="rId48" Type="http://schemas.openxmlformats.org/officeDocument/2006/relationships/hyperlink" Target="https://drive.google.com/file/d/1GdXN9K6kuygh2uB6h4nqXCViKCxOwnYE/view?usp=sharing" TargetMode="External"/><Relationship Id="rId69" Type="http://schemas.openxmlformats.org/officeDocument/2006/relationships/hyperlink" Target="https://drive.google.com/file/d/1mR9UDah_P7854dAz4zipSNIy64RjuvfR/view?usp=share_link" TargetMode="External"/><Relationship Id="rId113" Type="http://schemas.openxmlformats.org/officeDocument/2006/relationships/hyperlink" Target="https://drive.google.com/file/d/16Eabn0L0vfnk7HU_EFf-FURnvuc3WcCQ/view?usp=sharing" TargetMode="External"/><Relationship Id="rId134" Type="http://schemas.openxmlformats.org/officeDocument/2006/relationships/hyperlink" Target="https://drive.google.com/file/d/10m-WLHkvePVGHFCcBZ7JUCspenNyAVvK/view?usp=sharing" TargetMode="External"/><Relationship Id="rId320" Type="http://schemas.openxmlformats.org/officeDocument/2006/relationships/hyperlink" Target="https://drive.google.com/file/d/1xdm04omsJ5TDT0rLCxwp4Pr2dD7GzsM0/view?usp=sharing" TargetMode="External"/><Relationship Id="rId537" Type="http://schemas.openxmlformats.org/officeDocument/2006/relationships/hyperlink" Target="https://drive.google.com/file/d/1hhTgaThUKgm-D0tXCW5lsfkCmQMWlp-Z/view?usp=sharing" TargetMode="External"/><Relationship Id="rId558" Type="http://schemas.openxmlformats.org/officeDocument/2006/relationships/hyperlink" Target="https://drive.google.com/file/d/1LqFXmIeE37NnWjULKwbgRJmLrMESB19Q/view?usp=sharing" TargetMode="External"/><Relationship Id="rId80" Type="http://schemas.openxmlformats.org/officeDocument/2006/relationships/hyperlink" Target="https://drive.google.com/file/d/1jhUOky_UJXnHUOgx-NLXum-hUgiQll_i/view?usp=sharing" TargetMode="External"/><Relationship Id="rId155" Type="http://schemas.openxmlformats.org/officeDocument/2006/relationships/hyperlink" Target="https://drive.google.com/file/d/11D0FMVq0hRWJR_OdhnjAb-Z4QEbVt3h2/view?usp=share_link" TargetMode="External"/><Relationship Id="rId176" Type="http://schemas.openxmlformats.org/officeDocument/2006/relationships/hyperlink" Target="https://drive.google.com/file/d/1Sj1HY4_FYSbwVpVAQO1k_emTlsaG10Hu/view?usp=sharing" TargetMode="External"/><Relationship Id="rId197" Type="http://schemas.openxmlformats.org/officeDocument/2006/relationships/hyperlink" Target="https://drive.google.com/file/d/14lOVFg_qwA44D6sgcRXIcXkedQQcVPK6/view?usp=sharing" TargetMode="External"/><Relationship Id="rId341" Type="http://schemas.openxmlformats.org/officeDocument/2006/relationships/hyperlink" Target="https://drive.google.com/file/d/10l18EcwxggiCcVh02z7bMukPbm6S2VkS/view?usp=sharing" TargetMode="External"/><Relationship Id="rId362" Type="http://schemas.openxmlformats.org/officeDocument/2006/relationships/hyperlink" Target="https://drive.google.com/file/d/1csweC1__nQCFVEIiG8qQz5YDJQ08MeuV/view?usp=sharing" TargetMode="External"/><Relationship Id="rId383" Type="http://schemas.openxmlformats.org/officeDocument/2006/relationships/hyperlink" Target="https://drive.google.com/file/d/1b6aRb3dnkTHpCeQKk8wq6wt3JYg13oZ3/view?usp=sharing" TargetMode="External"/><Relationship Id="rId418" Type="http://schemas.openxmlformats.org/officeDocument/2006/relationships/hyperlink" Target="https://drive.google.com/file/d/1hUulQOtMYzHsgHXSITuMK2lwIpNbK7l7/view?usp=sharing" TargetMode="External"/><Relationship Id="rId439" Type="http://schemas.openxmlformats.org/officeDocument/2006/relationships/hyperlink" Target="https://drive.google.com/file/d/1itde4NnjCqzKleH_j7o8P92qIs3UuG6x/view?usp=sharing" TargetMode="External"/><Relationship Id="rId201" Type="http://schemas.openxmlformats.org/officeDocument/2006/relationships/hyperlink" Target="https://drive.google.com/file/d/1EoocFOexlRcJsZTqXZTpMvcX_wy4mJlf/view?usp=sharing" TargetMode="External"/><Relationship Id="rId222" Type="http://schemas.openxmlformats.org/officeDocument/2006/relationships/hyperlink" Target="https://drive.google.com/file/d/14IeWEmMTft05dEgaftCNgFePCvRR4dtA/view?usp=sharing" TargetMode="External"/><Relationship Id="rId243" Type="http://schemas.openxmlformats.org/officeDocument/2006/relationships/hyperlink" Target="https://drive.google.com/file/d/1EF6ZTeKhMKF6ymEoTIF2ZfGG1GZZ8lLa/view?usp=sharing" TargetMode="External"/><Relationship Id="rId264" Type="http://schemas.openxmlformats.org/officeDocument/2006/relationships/hyperlink" Target="https://drive.google.com/open?id=1brYZH5x5o-NRjCyH7IRYlrYb0PsONgxr" TargetMode="External"/><Relationship Id="rId285" Type="http://schemas.openxmlformats.org/officeDocument/2006/relationships/hyperlink" Target="https://drive.google.com/file/d/13cbzobs6JnSKdP0BxfDtiCDvHDXIZHo4/view?usp=sharing" TargetMode="External"/><Relationship Id="rId450" Type="http://schemas.openxmlformats.org/officeDocument/2006/relationships/hyperlink" Target="https://drive.google.com/file/d/1_PPyrpBqBijFIhYJ1TO7Y5RdBDAh8p1R/view?usp=sharing" TargetMode="External"/><Relationship Id="rId471" Type="http://schemas.openxmlformats.org/officeDocument/2006/relationships/hyperlink" Target="https://drive.google.com/file/d/1Rah5vT50DNfBzz3cU2l2DgyhLlCH_GvV/view?usp=sharing" TargetMode="External"/><Relationship Id="rId506" Type="http://schemas.openxmlformats.org/officeDocument/2006/relationships/hyperlink" Target="https://drive.google.com/file/d/1MGFAXg2fIUPtogJ5R1Tt_bhT_1CzT2sH/view?usp=sharing" TargetMode="External"/><Relationship Id="rId17" Type="http://schemas.openxmlformats.org/officeDocument/2006/relationships/hyperlink" Target="https://drive.google.com/file/d/1mWI7ZweGX45sQSlRvjRuZf78Jq7Jkiwt/view?usp=sharing" TargetMode="External"/><Relationship Id="rId38" Type="http://schemas.openxmlformats.org/officeDocument/2006/relationships/hyperlink" Target="https://drive.google.com/file/d/1FcBiyF9GPs9BQX5aRWmD6OyEsnk1AIgS/view?usp=sharing" TargetMode="External"/><Relationship Id="rId59" Type="http://schemas.openxmlformats.org/officeDocument/2006/relationships/hyperlink" Target="https://drive.google.com/file/d/1aGXmicTcoQgg9_jPH73xHbkUU41xpo_k/view?usp=share_link" TargetMode="External"/><Relationship Id="rId103" Type="http://schemas.openxmlformats.org/officeDocument/2006/relationships/hyperlink" Target="https://drive.google.com/file/d/1HAUGkCl7Z9jTCreIH-tIhBpfFRQpXs6Q/view?usp=sharing" TargetMode="External"/><Relationship Id="rId124" Type="http://schemas.openxmlformats.org/officeDocument/2006/relationships/hyperlink" Target="https://drive.google.com/file/d/10qDAE8kK3dcD6ntT0tV51sgcZHOLnmhc/view?usp=sharing" TargetMode="External"/><Relationship Id="rId310" Type="http://schemas.openxmlformats.org/officeDocument/2006/relationships/hyperlink" Target="https://drive.google.com/file/d/13Egk54jNwKm_V8ZFbO_-uG0S4AYETaP6/view?usp=sharing" TargetMode="External"/><Relationship Id="rId492" Type="http://schemas.openxmlformats.org/officeDocument/2006/relationships/hyperlink" Target="https://drive.google.com/file/d/1OHff1Y00tT6i8V2ymQNetNdXejt5LYXv/view?usp=sharing" TargetMode="External"/><Relationship Id="rId527" Type="http://schemas.openxmlformats.org/officeDocument/2006/relationships/hyperlink" Target="https://drive.google.com/file/d/1UbyOKOZ3mVnD3HR_pjNUDKxuoE1CUTLQ/view?usp=sharing" TargetMode="External"/><Relationship Id="rId548" Type="http://schemas.openxmlformats.org/officeDocument/2006/relationships/hyperlink" Target="https://drive.google.com/file/d/1_UuxpYyDlBOqsdV96-AdW-m5u-5-RWCA/view?usp=sharing" TargetMode="External"/><Relationship Id="rId70" Type="http://schemas.openxmlformats.org/officeDocument/2006/relationships/hyperlink" Target="https://drive.google.com/file/d/1geOf6S16RgwF6wYJrt7kQFDnaHpgxUDk/view?usp=share_link" TargetMode="External"/><Relationship Id="rId91" Type="http://schemas.openxmlformats.org/officeDocument/2006/relationships/hyperlink" Target="https://drive.google.com/file/d/1lyUF4FOKAYOibCQn1PwxzPcn64iSCJCj/view?usp=sharing" TargetMode="External"/><Relationship Id="rId145" Type="http://schemas.openxmlformats.org/officeDocument/2006/relationships/hyperlink" Target="https://drive.google.com/file/d/13LjU_dMwQWTIDwZ4ma_Lw2hP9P3iLB-9/view?usp=drive_link" TargetMode="External"/><Relationship Id="rId166" Type="http://schemas.openxmlformats.org/officeDocument/2006/relationships/hyperlink" Target="https://drive.google.com/file/d/1dT0_oXQ8xkW--tAh9SJXro3XtgF_jySS/view?usp=drive_link" TargetMode="External"/><Relationship Id="rId187" Type="http://schemas.openxmlformats.org/officeDocument/2006/relationships/hyperlink" Target="https://drive.google.com/file/d/104o5SdF4duIiHqRIz7HN5xJSRtxLomX7/view?usp=drive_link" TargetMode="External"/><Relationship Id="rId331" Type="http://schemas.openxmlformats.org/officeDocument/2006/relationships/hyperlink" Target="https://drive.google.com/file/d/1ORlf84acUrLZKZebBn_gdRleKzTHuspc/view?usp=sharing" TargetMode="External"/><Relationship Id="rId352" Type="http://schemas.openxmlformats.org/officeDocument/2006/relationships/hyperlink" Target="https://drive.google.com/file/d/170X4593N5Xdtd-XuPUADTJQwNZMjOCha/view?usp=share_link" TargetMode="External"/><Relationship Id="rId373" Type="http://schemas.openxmlformats.org/officeDocument/2006/relationships/hyperlink" Target="https://drive.google.com/file/d/17UePe3nw8p3mJuKVC8j6UcUs020Q_MeJ/view?usp=sharing" TargetMode="External"/><Relationship Id="rId394" Type="http://schemas.openxmlformats.org/officeDocument/2006/relationships/hyperlink" Target="https://drive.google.com/file/d/1CKobOLN7Obn4ZnCw16zImQPm8pAuCKNd/view?usp=sharing" TargetMode="External"/><Relationship Id="rId408" Type="http://schemas.openxmlformats.org/officeDocument/2006/relationships/hyperlink" Target="https://drive.google.com/file/d/11YSHe2IhL4zI3CQWGCpJ4_qomePK23LN/view?usp=sharing" TargetMode="External"/><Relationship Id="rId429" Type="http://schemas.openxmlformats.org/officeDocument/2006/relationships/hyperlink" Target="https://drive.google.com/file/d/1cotMqZXZYfcs5A4iAD3zGcI84Jfttw7k/view?usp=sharing" TargetMode="External"/><Relationship Id="rId1" Type="http://schemas.openxmlformats.org/officeDocument/2006/relationships/hyperlink" Target="https://drive.google.com/file/d/18lwUtabDgvbRL6wYO6uvdmt5xC6vgRhU/view?usp=sharing" TargetMode="External"/><Relationship Id="rId212" Type="http://schemas.openxmlformats.org/officeDocument/2006/relationships/hyperlink" Target="https://drive.google.com/file/d/14YtYsAOEQ265u1jSsqMJRb1TqbLR5Ve0/view?usp=sharing" TargetMode="External"/><Relationship Id="rId233" Type="http://schemas.openxmlformats.org/officeDocument/2006/relationships/hyperlink" Target="https://drive.google.com/file/d/15c_i4e25vY5_OqSvS_vtlhQTBLjcUYNX/view?usp=sharing" TargetMode="External"/><Relationship Id="rId254" Type="http://schemas.openxmlformats.org/officeDocument/2006/relationships/hyperlink" Target="https://drive.google.com/file/d/1-0OP8-IDn1ADLT12JR_4g8iQhvYAnvwQ/view?usp=sharing" TargetMode="External"/><Relationship Id="rId440" Type="http://schemas.openxmlformats.org/officeDocument/2006/relationships/hyperlink" Target="https://drive.google.com/file/d/1uBX2oE7H8-Pdj0yyu5NR6uvEY6fVTJde/view?usp=sharing" TargetMode="External"/><Relationship Id="rId28" Type="http://schemas.openxmlformats.org/officeDocument/2006/relationships/hyperlink" Target="https://drive.google.com/file/d/1J3ZWUtmpDdJK4q0Zhno-YybhNjHAQQ-y/view?usp=sharing" TargetMode="External"/><Relationship Id="rId49" Type="http://schemas.openxmlformats.org/officeDocument/2006/relationships/hyperlink" Target="https://drive.google.com/file/d/1HXu5vJo6KkYwpVgD9liKtDFUUgLww9nw/view?usp=sharing" TargetMode="External"/><Relationship Id="rId114" Type="http://schemas.openxmlformats.org/officeDocument/2006/relationships/hyperlink" Target="https://drive.google.com/file/d/1DasBHaa3Hihj-85VGsLVfHF6ew4vUWVd/view?usp=sharing" TargetMode="External"/><Relationship Id="rId275" Type="http://schemas.openxmlformats.org/officeDocument/2006/relationships/hyperlink" Target="https://drive.google.com/file/d/1RIWxrxAAYZsNSmgzpTrkkcFlJdTHFhaI/view?usp=sharing" TargetMode="External"/><Relationship Id="rId296" Type="http://schemas.openxmlformats.org/officeDocument/2006/relationships/hyperlink" Target="https://drive.google.com/file/d/1HQQcDylHnWPTUH0xuWoAHnKC0isWbOVc/view?usp=sharing" TargetMode="External"/><Relationship Id="rId300" Type="http://schemas.openxmlformats.org/officeDocument/2006/relationships/hyperlink" Target="https://drive.google.com/file/d/1mPkaWYXrkcYPt1vvn1gApByR9Zn71PDg/view?usp=sharing" TargetMode="External"/><Relationship Id="rId461" Type="http://schemas.openxmlformats.org/officeDocument/2006/relationships/hyperlink" Target="https://drive.google.com/file/d/1VNCH0vwPtz64s4buu2aKpeCxws5tcTBN/view?usp=sharing" TargetMode="External"/><Relationship Id="rId482" Type="http://schemas.openxmlformats.org/officeDocument/2006/relationships/hyperlink" Target="https://drive.google.com/file/d/1qaGUwJ9bi_HWndC80pelY63SspYVdlXj/view?usp=sharing" TargetMode="External"/><Relationship Id="rId517" Type="http://schemas.openxmlformats.org/officeDocument/2006/relationships/hyperlink" Target="https://drive.google.com/file/d/1q_n9gNVXzBkBCuiCI2ITmxIgvusrgoo9/view?usp=sharing" TargetMode="External"/><Relationship Id="rId538" Type="http://schemas.openxmlformats.org/officeDocument/2006/relationships/hyperlink" Target="https://drive.google.com/file/d/1k98lGiedeGbkpB940d94yt0Yyqtp8TmO/view?usp=sharing" TargetMode="External"/><Relationship Id="rId60" Type="http://schemas.openxmlformats.org/officeDocument/2006/relationships/hyperlink" Target="https://drive.google.com/file/d/1A14uFaj2cuyvS69zdWPXh4Y-E3oJLcmk/view?usp=share_link" TargetMode="External"/><Relationship Id="rId81" Type="http://schemas.openxmlformats.org/officeDocument/2006/relationships/hyperlink" Target="https://drive.google.com/file/d/1Rma-rURE1dfwRi1-mS97wL50IHiNOET7/view?usp=sharing" TargetMode="External"/><Relationship Id="rId135" Type="http://schemas.openxmlformats.org/officeDocument/2006/relationships/hyperlink" Target="https://drive.google.com/file/d/1R3EdTWkFw3Zcmc12955vUFtT2JJCDDFE/view?usp=sharing" TargetMode="External"/><Relationship Id="rId156" Type="http://schemas.openxmlformats.org/officeDocument/2006/relationships/hyperlink" Target="https://drive.google.com/file/d/1vC_PkQ6zvn9618ihRUSnl6LTPr4EHNUO/view?usp=sharing" TargetMode="External"/><Relationship Id="rId177" Type="http://schemas.openxmlformats.org/officeDocument/2006/relationships/hyperlink" Target="https://drive.google.com/file/d/1OdBgp7QS0zOkIvJt_Pa59MbuU53GuYL9/view?usp=sharing" TargetMode="External"/><Relationship Id="rId198" Type="http://schemas.openxmlformats.org/officeDocument/2006/relationships/hyperlink" Target="https://drive.google.com/file/d/1vP-CcatrLBkVWJPnMBRPnzHZuFYTBoJ6/view?usp=sharing" TargetMode="External"/><Relationship Id="rId321" Type="http://schemas.openxmlformats.org/officeDocument/2006/relationships/hyperlink" Target="https://drive.google.com/file/d/1O6vqdLMASiQ0cTk_yyHHnnZWj3J8nQkh/view?usp=share_link" TargetMode="External"/><Relationship Id="rId342" Type="http://schemas.openxmlformats.org/officeDocument/2006/relationships/hyperlink" Target="https://drive.google.com/file/d/12Ch2Pr2NdhgrieU3jGqWxdCrNj3VVqsU/view?usp=sharing" TargetMode="External"/><Relationship Id="rId363" Type="http://schemas.openxmlformats.org/officeDocument/2006/relationships/hyperlink" Target="https://drive.google.com/file/d/1qnAxxYEI74_coZ7-d83pu2XQiwslssEr/view?usp=share_link" TargetMode="External"/><Relationship Id="rId384" Type="http://schemas.openxmlformats.org/officeDocument/2006/relationships/hyperlink" Target="https://drive.google.com/file/d/1-jZAS88FXNEd7TdR43vyYBislHXF3exb/view?usp=sharing" TargetMode="External"/><Relationship Id="rId419" Type="http://schemas.openxmlformats.org/officeDocument/2006/relationships/hyperlink" Target="https://drive.google.com/file/d/1hUulQOtMYzHsgHXSITuMK2lwIpNbK7l7/view?usp=sharing" TargetMode="External"/><Relationship Id="rId202" Type="http://schemas.openxmlformats.org/officeDocument/2006/relationships/hyperlink" Target="https://drive.google.com/file/d/1QDMbbioRyr9uIt94MD3p8KHw2QmIZ0QG/view?usp=sharing" TargetMode="External"/><Relationship Id="rId223" Type="http://schemas.openxmlformats.org/officeDocument/2006/relationships/hyperlink" Target="https://drive.google.com/file/d/1y3JeoERH_nW3cW6WP8VVBcEQJYrLycvT/view?usp=sharing" TargetMode="External"/><Relationship Id="rId244" Type="http://schemas.openxmlformats.org/officeDocument/2006/relationships/hyperlink" Target="https://drive.google.com/file/d/1EF6ZTeKhMKF6ymEoTIF2ZfGG1GZZ8lLa/view?usp=sharing" TargetMode="External"/><Relationship Id="rId430" Type="http://schemas.openxmlformats.org/officeDocument/2006/relationships/hyperlink" Target="https://drive.google.com/file/d/1cotMqZXZYfcs5A4iAD3zGcI84Jfttw7k/view?usp=sharing" TargetMode="External"/><Relationship Id="rId18" Type="http://schemas.openxmlformats.org/officeDocument/2006/relationships/hyperlink" Target="https://drive.google.com/file/d/1J2l2s5YzvX3yAwGRb1KLoJCUUK4h1nLr/view?usp=sharing" TargetMode="External"/><Relationship Id="rId39" Type="http://schemas.openxmlformats.org/officeDocument/2006/relationships/hyperlink" Target="https://drive.google.com/file/d/1dg6oxiH1wrvxVOewGA9DfDGWbM7CebVf/view?usp=sharing" TargetMode="External"/><Relationship Id="rId265" Type="http://schemas.openxmlformats.org/officeDocument/2006/relationships/hyperlink" Target="https://drive.google.com/file/d/180NSWAYsN_PoNE8XP4hlZuKfdIeIvciM/view?usp=sharing" TargetMode="External"/><Relationship Id="rId286" Type="http://schemas.openxmlformats.org/officeDocument/2006/relationships/hyperlink" Target="https://drive.google.com/file/d/1VwKw4bcrd_b9oSii8yMR_uJgcx08LmSY/view?usp=sharing" TargetMode="External"/><Relationship Id="rId451" Type="http://schemas.openxmlformats.org/officeDocument/2006/relationships/hyperlink" Target="https://drive.google.com/file/d/1N0hI4ctq8qo6rIOsvKaAU-enlR0OQhRn/view?usp=sharing" TargetMode="External"/><Relationship Id="rId472" Type="http://schemas.openxmlformats.org/officeDocument/2006/relationships/hyperlink" Target="https://drive.google.com/file/d/1v5SS0LSJfZlzislmDSXTE_b5dY1ig0Gp/view?usp=sharing" TargetMode="External"/><Relationship Id="rId493" Type="http://schemas.openxmlformats.org/officeDocument/2006/relationships/hyperlink" Target="https://drive.google.com/file/d/1JmU5mgPcNO6wW4YJT9bAFjSfDR56NgoN/view?usp=sharing" TargetMode="External"/><Relationship Id="rId507" Type="http://schemas.openxmlformats.org/officeDocument/2006/relationships/hyperlink" Target="https://drive.google.com/file/d/1X_HAT5nzROc11SHaorFnJ_edzTSdkIjp/view?usp=sharing" TargetMode="External"/><Relationship Id="rId528" Type="http://schemas.openxmlformats.org/officeDocument/2006/relationships/hyperlink" Target="https://drive.google.com/file/d/1GSh6IuMbcv4h0Cez1usjgLUuQA-zx3NW/view?usp=sharing" TargetMode="External"/><Relationship Id="rId549" Type="http://schemas.openxmlformats.org/officeDocument/2006/relationships/hyperlink" Target="https://drive.google.com/file/d/1mvRmiAtuYWn3FA-BPcLsT4p6T3cxnnV-/view?usp=sharing" TargetMode="External"/><Relationship Id="rId50" Type="http://schemas.openxmlformats.org/officeDocument/2006/relationships/hyperlink" Target="https://drive.google.com/file/d/1A8-w1PF4cs5EqXkSMWLd02VKQIXCs9T2/view?usp=sharing" TargetMode="External"/><Relationship Id="rId104" Type="http://schemas.openxmlformats.org/officeDocument/2006/relationships/hyperlink" Target="https://drive.google.com/file/d/155UoFmz7yQaiiWiXwPlrV2-QeLu5_HWR/view?usp=share_link" TargetMode="External"/><Relationship Id="rId125" Type="http://schemas.openxmlformats.org/officeDocument/2006/relationships/hyperlink" Target="https://drive.google.com/file/d/1-p5sXNYJLUowkig9TwHLC6YWGkfOLu8S/view?usp=sharing" TargetMode="External"/><Relationship Id="rId146" Type="http://schemas.openxmlformats.org/officeDocument/2006/relationships/hyperlink" Target="https://drive.google.com/file/d/18PaOEAdx_e3AVpSkcFEzeZKsHRnUc1ot/view?usp=sharing" TargetMode="External"/><Relationship Id="rId167" Type="http://schemas.openxmlformats.org/officeDocument/2006/relationships/hyperlink" Target="https://drive.google.com/file/d/1VFOgOpDxkPXKAgG0xjPuIhVeYFq6tEWZ/view?usp=sharing" TargetMode="External"/><Relationship Id="rId188" Type="http://schemas.openxmlformats.org/officeDocument/2006/relationships/hyperlink" Target="https://drive.google.com/file/d/1Qh9xdht4Nw8FxR1Mkn-HiMtzwQJtV9CJ/view?usp=sharing" TargetMode="External"/><Relationship Id="rId311" Type="http://schemas.openxmlformats.org/officeDocument/2006/relationships/hyperlink" Target="https://drive.google.com/file/d/12pL-McOszfQyuSG61XVPDiup-XQEhgQ3/view?usp=sharing" TargetMode="External"/><Relationship Id="rId332" Type="http://schemas.openxmlformats.org/officeDocument/2006/relationships/hyperlink" Target="https://drive.google.com/file/d/1i30viWO7ViSJBvpa9Ug417xfsRKut16F/view?usp=sharing" TargetMode="External"/><Relationship Id="rId353" Type="http://schemas.openxmlformats.org/officeDocument/2006/relationships/hyperlink" Target="https://drive.google.com/file/d/1MIPvWDHWJ5D_k48wq5k4NtqsVE8OsWyA/view?usp=sharing" TargetMode="External"/><Relationship Id="rId374" Type="http://schemas.openxmlformats.org/officeDocument/2006/relationships/hyperlink" Target="https://drive.google.com/file/d/1KKRnNYL0W5Azy83_MKDhCl_Nc586SKc_/view?usp=sharing" TargetMode="External"/><Relationship Id="rId395" Type="http://schemas.openxmlformats.org/officeDocument/2006/relationships/hyperlink" Target="https://drive.google.com/file/d/12egy8eIhqrE2KEl7YEfHzqTB92WvM9Rg/view?usp=sharing" TargetMode="External"/><Relationship Id="rId409" Type="http://schemas.openxmlformats.org/officeDocument/2006/relationships/hyperlink" Target="https://drive.google.com/file/d/11YSHe2IhL4zI3CQWGCpJ4_qomePK23LN/view?usp=sharing" TargetMode="External"/><Relationship Id="rId71" Type="http://schemas.openxmlformats.org/officeDocument/2006/relationships/hyperlink" Target="https://drive.google.com/file/d/1SerWm8v3phv9-Ec20jDeQHCsrAuKm8Xg/view?usp=share_link" TargetMode="External"/><Relationship Id="rId92" Type="http://schemas.openxmlformats.org/officeDocument/2006/relationships/hyperlink" Target="https://drive.google.com/file/d/1ITYfX0sIUAzOWV1PLk2ERFItQ8nqyk1o/view?usp=sharing" TargetMode="External"/><Relationship Id="rId213" Type="http://schemas.openxmlformats.org/officeDocument/2006/relationships/hyperlink" Target="https://drive.google.com/file/d/10WgtfwsqiY_tY2junEuPvruWdqYH2i-A/view?usp=sharing" TargetMode="External"/><Relationship Id="rId234" Type="http://schemas.openxmlformats.org/officeDocument/2006/relationships/hyperlink" Target="https://drive.google.com/file/d/1aNcfEUZ1InKhjnMx-3o6FT-5pP2-sG9A/view?usp=sharing" TargetMode="External"/><Relationship Id="rId420" Type="http://schemas.openxmlformats.org/officeDocument/2006/relationships/hyperlink" Target="https://drive.google.com/file/d/1G9fRYoTA_nLvjDDUTh2cCSn2bR9Raf3h/view?usp=sharing" TargetMode="External"/><Relationship Id="rId2" Type="http://schemas.openxmlformats.org/officeDocument/2006/relationships/hyperlink" Target="https://drive.google.com/file/d/1ek7zoTpO6UCnshfhhpu3ospWJvNRKg1b/view?usp=sharing" TargetMode="External"/><Relationship Id="rId29" Type="http://schemas.openxmlformats.org/officeDocument/2006/relationships/hyperlink" Target="https://drive.google.com/file/d/1CuLENwRXdwemUsmP2MLsgJYQAAMV7Q2g/view?usp=sharing" TargetMode="External"/><Relationship Id="rId255" Type="http://schemas.openxmlformats.org/officeDocument/2006/relationships/hyperlink" Target="https://drive.google.com/file/d/13qwQfBK2-DeMC9JxHfy6vUO1R57scoDL/view?usp=share_link" TargetMode="External"/><Relationship Id="rId276" Type="http://schemas.openxmlformats.org/officeDocument/2006/relationships/hyperlink" Target="https://drive.google.com/file/d/1Qub1lHEj3bTLwgl-cB2K_d52s1OJLgM2/view?usp=sharing" TargetMode="External"/><Relationship Id="rId297" Type="http://schemas.openxmlformats.org/officeDocument/2006/relationships/hyperlink" Target="https://drive.google.com/file/d/13N-o8pRqXhWkb9uZ6LE3CsZHgYEXhE0S/view?usp=sharing" TargetMode="External"/><Relationship Id="rId441" Type="http://schemas.openxmlformats.org/officeDocument/2006/relationships/hyperlink" Target="https://drive.google.com/file/d/1uBX2oE7H8-Pdj0yyu5NR6uvEY6fVTJde/view?usp=sharing" TargetMode="External"/><Relationship Id="rId462" Type="http://schemas.openxmlformats.org/officeDocument/2006/relationships/hyperlink" Target="https://drive.google.com/file/d/11X-RF2GE8IC7VtXECKurmQlLe_g5jBM7/view?usp=sharing" TargetMode="External"/><Relationship Id="rId483" Type="http://schemas.openxmlformats.org/officeDocument/2006/relationships/hyperlink" Target="https://drive.google.com/file/d/11wOWMsEyZFizOnas5V6b46oOMBI0YS6w/view?usp=sharing" TargetMode="External"/><Relationship Id="rId518" Type="http://schemas.openxmlformats.org/officeDocument/2006/relationships/hyperlink" Target="https://drive.google.com/file/d/1r-o8wKQTVdq9vzmrGqYF2wqgCeARn3hp/view?usp=sharing" TargetMode="External"/><Relationship Id="rId539" Type="http://schemas.openxmlformats.org/officeDocument/2006/relationships/hyperlink" Target="https://drive.google.com/file/d/1iNyecHy0rX4btcNerXME0Y8A6sRV_vvf/view?usp=sharing" TargetMode="External"/><Relationship Id="rId40" Type="http://schemas.openxmlformats.org/officeDocument/2006/relationships/hyperlink" Target="https://drive.google.com/file/d/1jGv0-UnfMCl1RQhU6rWqPmA4vBzHfBtZ/view?usp=sharing" TargetMode="External"/><Relationship Id="rId115" Type="http://schemas.openxmlformats.org/officeDocument/2006/relationships/hyperlink" Target="https://drive.google.com/file/d/1gTEgo6T48h2xo5uVWB1xWKRRRjlWARUg/view?usp=sharing" TargetMode="External"/><Relationship Id="rId136" Type="http://schemas.openxmlformats.org/officeDocument/2006/relationships/hyperlink" Target="https://drive.google.com/file/d/1Lf4kmzxPLzw0SCRVoJbnJ_4LbCtyXq-V/view?usp=sharing" TargetMode="External"/><Relationship Id="rId157" Type="http://schemas.openxmlformats.org/officeDocument/2006/relationships/hyperlink" Target="https://drive.google.com/file/d/10zF53Vu2Jyf6hJfzSXn0rF1xAtP3eITz/view?usp=sharing" TargetMode="External"/><Relationship Id="rId178" Type="http://schemas.openxmlformats.org/officeDocument/2006/relationships/hyperlink" Target="https://drive.google.com/file/d/1OWIje1gWZ0SVFQ6BzHKQTHxh7UCW_1ky/view?usp=sharing" TargetMode="External"/><Relationship Id="rId301" Type="http://schemas.openxmlformats.org/officeDocument/2006/relationships/hyperlink" Target="https://drive.google.com/file/d/1Qz1c8yyf9RDerJuymd-co8zHfzu-s1TN/view?usp=sharing" TargetMode="External"/><Relationship Id="rId322" Type="http://schemas.openxmlformats.org/officeDocument/2006/relationships/hyperlink" Target="https://drive.google.com/file/d/1LgqvE-fEHTPIpv7MPJFs564MalPaRHQT/view?usp=sharing" TargetMode="External"/><Relationship Id="rId343" Type="http://schemas.openxmlformats.org/officeDocument/2006/relationships/hyperlink" Target="https://drive.google.com/file/d/192WxpGq3TUTK5rAiTdqvlIdWo6eTYj2_/view?usp=sharing" TargetMode="External"/><Relationship Id="rId364" Type="http://schemas.openxmlformats.org/officeDocument/2006/relationships/hyperlink" Target="https://drive.google.com/file/d/14q5udu4I7MwUF4Hy62mYxRwqb9dPYmcu/view?usp=sharing" TargetMode="External"/><Relationship Id="rId550" Type="http://schemas.openxmlformats.org/officeDocument/2006/relationships/hyperlink" Target="https://drive.google.com/file/d/135asNqnrmzkK50Smd_ORrDDOxBGOeh4a/view?usp=sharing" TargetMode="External"/><Relationship Id="rId61" Type="http://schemas.openxmlformats.org/officeDocument/2006/relationships/hyperlink" Target="https://drive.google.com/file/d/1XptsGvd1wrW14OB8PF5gLx5XM8px3F3F/view?usp=share_link" TargetMode="External"/><Relationship Id="rId82" Type="http://schemas.openxmlformats.org/officeDocument/2006/relationships/hyperlink" Target="https://drive.google.com/file/d/11xOtWJojtdaYqWy2y0CocBiS55CGV3sO/view?usp=sharing" TargetMode="External"/><Relationship Id="rId199" Type="http://schemas.openxmlformats.org/officeDocument/2006/relationships/hyperlink" Target="https://drive.google.com/file/d/122UbjPlWbX4QC9pcFifgEG0dh1odI1qp/view?usp=sharing" TargetMode="External"/><Relationship Id="rId203" Type="http://schemas.openxmlformats.org/officeDocument/2006/relationships/hyperlink" Target="https://drive.google.com/file/d/1Gcd_u8Z3oBQ8_izPlh7CKDctvMRCn8C8/view?usp=sharing" TargetMode="External"/><Relationship Id="rId385" Type="http://schemas.openxmlformats.org/officeDocument/2006/relationships/hyperlink" Target="https://drive.google.com/file/d/1FGACCcdjKyyQ58oOAwDjHKIhU7Zd6Plv/view?usp=sharing" TargetMode="External"/><Relationship Id="rId19" Type="http://schemas.openxmlformats.org/officeDocument/2006/relationships/hyperlink" Target="https://drive.google.com/file/d/1nw9UCWl_VsXVuMEtwml7Fj5WY5V2kwCz/view?usp=sharing" TargetMode="External"/><Relationship Id="rId224" Type="http://schemas.openxmlformats.org/officeDocument/2006/relationships/hyperlink" Target="https://drive.google.com/file/d/1G4XJPDb_aFJU0tbeW6C4STDNCcp42Osm/view?usp=sharing" TargetMode="External"/><Relationship Id="rId245" Type="http://schemas.openxmlformats.org/officeDocument/2006/relationships/hyperlink" Target="https://drive.google.com/file/d/14_WsKAfjYfzKdZaa7pquz-aPC34G_pBu/view?usp=sharing" TargetMode="External"/><Relationship Id="rId266" Type="http://schemas.openxmlformats.org/officeDocument/2006/relationships/hyperlink" Target="https://drive.google.com/file/d/1J2evGgHJNDCZkA6PSxwM0bmS2FLKmg_P/view?usp=drive_link" TargetMode="External"/><Relationship Id="rId287" Type="http://schemas.openxmlformats.org/officeDocument/2006/relationships/hyperlink" Target="https://drive.google.com/file/d/1kkH5rl7gD3x6wVGzjt_Ed8MSmhA6LtL5/view?usp=sharing" TargetMode="External"/><Relationship Id="rId410" Type="http://schemas.openxmlformats.org/officeDocument/2006/relationships/hyperlink" Target="https://drive.google.com/file/d/1Oqq3H1Ixgl2BqBhwrJU4GZ8ajFGyw47K/view?usp=sharing" TargetMode="External"/><Relationship Id="rId431" Type="http://schemas.openxmlformats.org/officeDocument/2006/relationships/hyperlink" Target="https://drive.google.com/file/d/19-DLW_9gKl4I5wSHc2Hjdp5js0V_rd9d/view?usp=sharing" TargetMode="External"/><Relationship Id="rId452" Type="http://schemas.openxmlformats.org/officeDocument/2006/relationships/hyperlink" Target="https://drive.google.com/file/d/1YhEzxD-GrMd718ubC1DZ-BkBjhVxX6rt/view?usp=sharing" TargetMode="External"/><Relationship Id="rId473" Type="http://schemas.openxmlformats.org/officeDocument/2006/relationships/hyperlink" Target="https://drive.google.com/file/d/1JuErZRA8gb5RPrGyjDPAAFJfW4gLHpKi/view?usp=sharing" TargetMode="External"/><Relationship Id="rId494" Type="http://schemas.openxmlformats.org/officeDocument/2006/relationships/hyperlink" Target="https://drive.google.com/file/d/1g0sJgLMAxcJWE-8JNPINjQ28-IrtzqBC/view?usp=sharing" TargetMode="External"/><Relationship Id="rId508" Type="http://schemas.openxmlformats.org/officeDocument/2006/relationships/hyperlink" Target="https://drive.google.com/file/d/1cwDtBDIL9a-j3S79eDzBvJdkG2FqFMGT/view?usp=sharing" TargetMode="External"/><Relationship Id="rId529" Type="http://schemas.openxmlformats.org/officeDocument/2006/relationships/hyperlink" Target="https://drive.google.com/file/d/17sCCKNOfWV6hoJ3ZTXDUki5hROQ4Drai/view?usp=sharing" TargetMode="External"/><Relationship Id="rId30" Type="http://schemas.openxmlformats.org/officeDocument/2006/relationships/hyperlink" Target="https://drive.google.com/file/d/18vjhRzMoUYfSZfg0ZYTRnEFvN3lZ67Yx/view?usp=sharing" TargetMode="External"/><Relationship Id="rId105" Type="http://schemas.openxmlformats.org/officeDocument/2006/relationships/hyperlink" Target="https://drive.google.com/file/d/1DKH8SuNkgCj5owXFxcBOHLyQklKeMUQY/view?usp=sharing" TargetMode="External"/><Relationship Id="rId126" Type="http://schemas.openxmlformats.org/officeDocument/2006/relationships/hyperlink" Target="https://drive.google.com/file/d/1mOONZwiZ_aPk6qmtcMU1uSuyLSikuKoU/view?usp=sharing" TargetMode="External"/><Relationship Id="rId147" Type="http://schemas.openxmlformats.org/officeDocument/2006/relationships/hyperlink" Target="https://drive.google.com/file/d/1MDy7vBq_1NP01re_aYz_94DmEWHaW6Zt/view?usp=sharing" TargetMode="External"/><Relationship Id="rId168" Type="http://schemas.openxmlformats.org/officeDocument/2006/relationships/hyperlink" Target="https://drive.google.com/file/d/1DQ-SsjIoVanHSnyozbs61-nSM2cJ0S7p/view?usp=drive_link" TargetMode="External"/><Relationship Id="rId312" Type="http://schemas.openxmlformats.org/officeDocument/2006/relationships/hyperlink" Target="https://drive.google.com/file/d/1D8xYcdrKMbs4QYPkPTTubfoBAxcXN1pq/view?usp=sharing" TargetMode="External"/><Relationship Id="rId333" Type="http://schemas.openxmlformats.org/officeDocument/2006/relationships/hyperlink" Target="https://drive.google.com/file/d/1zvGnivQ9E-4OLx563LFmVA7NQ-VHYJHA/view?usp=sharing" TargetMode="External"/><Relationship Id="rId354" Type="http://schemas.openxmlformats.org/officeDocument/2006/relationships/hyperlink" Target="https://drive.google.com/file/d/1hof9w3cCCs40kKbyZJsLkyEjZ1nf7KM8/view?usp=sharing" TargetMode="External"/><Relationship Id="rId540" Type="http://schemas.openxmlformats.org/officeDocument/2006/relationships/hyperlink" Target="https://drive.google.com/file/d/1n2Y5Tr3RaBKq2148BMoYfOeoZiHxs4VX/view?usp=sharing" TargetMode="External"/><Relationship Id="rId51" Type="http://schemas.openxmlformats.org/officeDocument/2006/relationships/hyperlink" Target="https://drive.google.com/file/d/1H5SPAZ15tpQdSmWamGu-A7R4EhuP6va_/view?usp=sharing" TargetMode="External"/><Relationship Id="rId72" Type="http://schemas.openxmlformats.org/officeDocument/2006/relationships/hyperlink" Target="https://drive.google.com/file/d/16eCYkqhbtXbs2UquwKUHApS9DaccqYIL/view?usp=share_link" TargetMode="External"/><Relationship Id="rId93" Type="http://schemas.openxmlformats.org/officeDocument/2006/relationships/hyperlink" Target="https://drive.google.com/file/d/14sfNZppjMkLtbWu08MColvWGqlBdtpFN/view?usp=sharing" TargetMode="External"/><Relationship Id="rId189" Type="http://schemas.openxmlformats.org/officeDocument/2006/relationships/hyperlink" Target="https://drive.google.com/file/d/1t4s8cFaCSd5K8SXQOVBwejMzHQn0kUBA/view?usp=sharing" TargetMode="External"/><Relationship Id="rId375" Type="http://schemas.openxmlformats.org/officeDocument/2006/relationships/hyperlink" Target="https://drive.google.com/file/d/1U3a2eOI4T_KFYsiPLTSNF3uyYfcjTKOb/view?usp=sharing" TargetMode="External"/><Relationship Id="rId396" Type="http://schemas.openxmlformats.org/officeDocument/2006/relationships/hyperlink" Target="https://drive.google.com/file/d/12egy8eIhqrE2KEl7YEfHzqTB92WvM9Rg/view?usp=sharing" TargetMode="External"/><Relationship Id="rId3" Type="http://schemas.openxmlformats.org/officeDocument/2006/relationships/hyperlink" Target="https://drive.google.com/file/d/1coymVDWjotljiY8Nl_d0Sg94E03jik1h/view?usp=sharing" TargetMode="External"/><Relationship Id="rId214" Type="http://schemas.openxmlformats.org/officeDocument/2006/relationships/hyperlink" Target="https://drive.google.com/file/d/1htKN4RiKu88w64tlYHt2clAmYKOsC7Yf/view?usp=sharing" TargetMode="External"/><Relationship Id="rId235" Type="http://schemas.openxmlformats.org/officeDocument/2006/relationships/hyperlink" Target="https://drive.google.com/file/d/1mm9KdHu-B1blfQhDDH29SxAbjepf9gVM/view?usp=sharing" TargetMode="External"/><Relationship Id="rId256" Type="http://schemas.openxmlformats.org/officeDocument/2006/relationships/hyperlink" Target="https://drive.google.com/file/d/1cd9mL5RE2viooZ8gjtlS2snOm8sjBhT_/view?usp=sharing" TargetMode="External"/><Relationship Id="rId277" Type="http://schemas.openxmlformats.org/officeDocument/2006/relationships/hyperlink" Target="https://drive.google.com/file/d/1pRpckmVYCZExqN1mYFObG_2bUGisVDNI/view?usp=sharing" TargetMode="External"/><Relationship Id="rId298" Type="http://schemas.openxmlformats.org/officeDocument/2006/relationships/hyperlink" Target="https://drive.google.com/file/d/19wwknv0v2YtxQXfowEKLDsvcmrlxkWnZ/view?usp=sharing" TargetMode="External"/><Relationship Id="rId400" Type="http://schemas.openxmlformats.org/officeDocument/2006/relationships/hyperlink" Target="https://drive.google.com/file/d/1lsGyc3OXInAj0-c9UNE1LP7_0KD3uK86/view?usp=sharing" TargetMode="External"/><Relationship Id="rId421" Type="http://schemas.openxmlformats.org/officeDocument/2006/relationships/hyperlink" Target="https://drive.google.com/file/d/1RNJoDjbhy8oRrYmxNz60C_KukzXbvqEi/view?usp=sharing" TargetMode="External"/><Relationship Id="rId442" Type="http://schemas.openxmlformats.org/officeDocument/2006/relationships/hyperlink" Target="https://drive.google.com/file/d/13X_tHJzekfLH3kueeIHp18LOQNAhIFc3/view?usp=sharing" TargetMode="External"/><Relationship Id="rId463" Type="http://schemas.openxmlformats.org/officeDocument/2006/relationships/hyperlink" Target="https://drive.google.com/file/d/1rRFer1z4RHbs1gZWbXIo_EfkITW94oDo/view?usp=sharing" TargetMode="External"/><Relationship Id="rId484" Type="http://schemas.openxmlformats.org/officeDocument/2006/relationships/hyperlink" Target="https://drive.google.com/file/d/16aIr8DgWkpymCdwbVoxl4srKkr4GNonV/view?usp=sharing" TargetMode="External"/><Relationship Id="rId519" Type="http://schemas.openxmlformats.org/officeDocument/2006/relationships/hyperlink" Target="https://drive.google.com/file/d/1UqAo1EtqWISnDHyNmDMs7yvYLexgFcXz/view?usp=sharing" TargetMode="External"/><Relationship Id="rId116" Type="http://schemas.openxmlformats.org/officeDocument/2006/relationships/hyperlink" Target="https://drive.google.com/file/d/11foSi5tXCs8LQ7bQ5a3kavKZTsx2BKqt/view?usp=sharing" TargetMode="External"/><Relationship Id="rId137" Type="http://schemas.openxmlformats.org/officeDocument/2006/relationships/hyperlink" Target="https://drive.google.com/file/d/1cLgq4F8r4rr1t2CELfI1_NuanEe8TBC-/view?usp=sharing" TargetMode="External"/><Relationship Id="rId158" Type="http://schemas.openxmlformats.org/officeDocument/2006/relationships/hyperlink" Target="https://drive.google.com/file/d/17TIdXUmpqMDddprbpPXCN9wsZup5Hl-F/view?usp=sharing" TargetMode="External"/><Relationship Id="rId302" Type="http://schemas.openxmlformats.org/officeDocument/2006/relationships/hyperlink" Target="https://drive.google.com/file/d/1FAAOEfI7pMIESeMSbxxJxIyfS-k6xkSt/view?usp=drive_link" TargetMode="External"/><Relationship Id="rId323" Type="http://schemas.openxmlformats.org/officeDocument/2006/relationships/hyperlink" Target="https://drive.google.com/file/d/1eqOyHT5qVvwiwn5fg6xHLep-r7ityqIO/view?usp=sharing" TargetMode="External"/><Relationship Id="rId344" Type="http://schemas.openxmlformats.org/officeDocument/2006/relationships/hyperlink" Target="https://drive.google.com/file/d/1bhJ6eUdn3R_jseKt04J3LQuIUVRDyS9h/view?usp=sharing" TargetMode="External"/><Relationship Id="rId530" Type="http://schemas.openxmlformats.org/officeDocument/2006/relationships/hyperlink" Target="https://drive.google.com/file/d/1v_u44STvrjmh4AuBNCT1zmVCvIkjjVpz/view?usp=sharing" TargetMode="External"/><Relationship Id="rId20" Type="http://schemas.openxmlformats.org/officeDocument/2006/relationships/hyperlink" Target="https://drive.google.com/file/d/1Z9CP0NOIsKaYvAX_wX8ols9-RViTOAkk/view?usp=sharing" TargetMode="External"/><Relationship Id="rId41" Type="http://schemas.openxmlformats.org/officeDocument/2006/relationships/hyperlink" Target="https://drive.google.com/file/d/1WnQBMJA3Sm9unU6KDEnmRw94FfqHWTO8/view?usp=sharing" TargetMode="External"/><Relationship Id="rId62" Type="http://schemas.openxmlformats.org/officeDocument/2006/relationships/hyperlink" Target="https://drive.google.com/file/d/1qqAzT7B6py17deIIKeOe9ALoGysG9bQT/view?usp=share_link" TargetMode="External"/><Relationship Id="rId83" Type="http://schemas.openxmlformats.org/officeDocument/2006/relationships/hyperlink" Target="https://drive.google.com/file/d/11xOtWJojtdaYqWy2y0CocBiS55CGV3sO/view?usp=sharing" TargetMode="External"/><Relationship Id="rId179" Type="http://schemas.openxmlformats.org/officeDocument/2006/relationships/hyperlink" Target="https://drive.google.com/file/d/1R8xVpAU0Bf1Hnq6ze5haYdpiVfA0Nwzv/view?usp=drive_link" TargetMode="External"/><Relationship Id="rId365" Type="http://schemas.openxmlformats.org/officeDocument/2006/relationships/hyperlink" Target="https://drive.google.com/file/d/14q5udu4I7MwUF4Hy62mYxRwqb9dPYmcu/view?usp=sharing" TargetMode="External"/><Relationship Id="rId386" Type="http://schemas.openxmlformats.org/officeDocument/2006/relationships/hyperlink" Target="https://drive.google.com/file/d/1nOcH2fITpTmtoTcNA8B81rbweN0OGa-y/view?usp=drive_link" TargetMode="External"/><Relationship Id="rId551" Type="http://schemas.openxmlformats.org/officeDocument/2006/relationships/hyperlink" Target="https://drive.google.com/file/d/1MSCEWmR0STI0ZigOfZicwSsJ2eXJjQ7L/view?usp=sharing" TargetMode="External"/><Relationship Id="rId190" Type="http://schemas.openxmlformats.org/officeDocument/2006/relationships/hyperlink" Target="https://drive.google.com/file/d/17-l7W1Cyph7_Rm4IISD-6JWeo84E_0tI/view?usp=drive_link" TargetMode="External"/><Relationship Id="rId204" Type="http://schemas.openxmlformats.org/officeDocument/2006/relationships/hyperlink" Target="https://drive.google.com/file/d/16fnGX_Zdyvz0ULqNMtQrVw467s7PbW8_/view?usp=sharing" TargetMode="External"/><Relationship Id="rId225" Type="http://schemas.openxmlformats.org/officeDocument/2006/relationships/hyperlink" Target="https://drive.google.com/file/d/1Q9ucMf_jooLn5LnrTroYLHuVUDy_JWAm/view?usp=sharing" TargetMode="External"/><Relationship Id="rId246" Type="http://schemas.openxmlformats.org/officeDocument/2006/relationships/hyperlink" Target="https://drive.google.com/file/d/1OYzy8w-ix-BqiFgYA67w-5wn-ITkO9ze/view?usp=sharing" TargetMode="External"/><Relationship Id="rId267" Type="http://schemas.openxmlformats.org/officeDocument/2006/relationships/hyperlink" Target="https://drive.google.com/file/d/1hWLrXtbM_KZd1YOOgGmofCKbeTB7XLpr/view?usp=sharing" TargetMode="External"/><Relationship Id="rId288" Type="http://schemas.openxmlformats.org/officeDocument/2006/relationships/hyperlink" Target="https://drive.google.com/file/d/1ACmK9Lbb58iGg86zM6RyDDAvDvRiWWrj/view?usp=sharing" TargetMode="External"/><Relationship Id="rId411" Type="http://schemas.openxmlformats.org/officeDocument/2006/relationships/hyperlink" Target="https://drive.google.com/file/d/199RAsVUACYVw2N9nFungqh3rBDua0rfA/view?usp=sharing" TargetMode="External"/><Relationship Id="rId432" Type="http://schemas.openxmlformats.org/officeDocument/2006/relationships/hyperlink" Target="https://drive.google.com/file/d/1gleFb3JXLmjnVADKXElcklkRkzH6OSDW/view?usp=sharing" TargetMode="External"/><Relationship Id="rId453" Type="http://schemas.openxmlformats.org/officeDocument/2006/relationships/hyperlink" Target="https://drive.google.com/file/d/1GwL0GggHy3kvJzCyJbRuzEAyRrrssBzb/view?usp=sharing" TargetMode="External"/><Relationship Id="rId474" Type="http://schemas.openxmlformats.org/officeDocument/2006/relationships/hyperlink" Target="https://drive.google.com/file/d/1b1lKP717tJAgPZqkgExH83dS-qpshXhj/view?usp=sharing" TargetMode="External"/><Relationship Id="rId509" Type="http://schemas.openxmlformats.org/officeDocument/2006/relationships/hyperlink" Target="https://drive.google.com/file/d/10vorK6RBBYHW_lkJDqCx-nl7ea4cNq4e/view?usp=sharing" TargetMode="External"/><Relationship Id="rId106" Type="http://schemas.openxmlformats.org/officeDocument/2006/relationships/hyperlink" Target="https://drive.google.com/file/d/1p67p-GM29AGB-NcbmmGI5gOxlh7GNhgQ/view?usp=sharing" TargetMode="External"/><Relationship Id="rId127" Type="http://schemas.openxmlformats.org/officeDocument/2006/relationships/hyperlink" Target="https://drive.google.com/file/d/19ei6YZYPEi6qmGXKK04KjE7ZZsbn7YcT/view?usp=sharing" TargetMode="External"/><Relationship Id="rId313" Type="http://schemas.openxmlformats.org/officeDocument/2006/relationships/hyperlink" Target="https://drive.google.com/file/d/1kIAMlm3TEdby2V6AjxFHsLkRa9cWI0Xf/view?usp=sharing" TargetMode="External"/><Relationship Id="rId495" Type="http://schemas.openxmlformats.org/officeDocument/2006/relationships/hyperlink" Target="https://drive.google.com/file/d/1fu86ONQ9pMbXQNR4T0fCTeuLJaQ0iz9n/view?usp=sharing" TargetMode="External"/><Relationship Id="rId10" Type="http://schemas.openxmlformats.org/officeDocument/2006/relationships/hyperlink" Target="https://drive.google.com/file/d/1EwmLQA1Og5DOeoPGGSADqucpmAb4TYjo/view?usp=sharing" TargetMode="External"/><Relationship Id="rId31" Type="http://schemas.openxmlformats.org/officeDocument/2006/relationships/hyperlink" Target="https://drive.google.com/file/d/1gwOjnK7KW7PSrI_94v7Q6jmD24KgpSen/view?usp=sharing" TargetMode="External"/><Relationship Id="rId52" Type="http://schemas.openxmlformats.org/officeDocument/2006/relationships/hyperlink" Target="https://drive.google.com/file/d/1MILA1NoGy_3ni6fZkRm0TbVmVae_zOpn/view?usp=sharing" TargetMode="External"/><Relationship Id="rId73" Type="http://schemas.openxmlformats.org/officeDocument/2006/relationships/hyperlink" Target="https://drive.google.com/file/d/1eDHvS0G9FJc7zfGIXLeHgLJcSoGpsgWr/view?usp=share_link" TargetMode="External"/><Relationship Id="rId94" Type="http://schemas.openxmlformats.org/officeDocument/2006/relationships/hyperlink" Target="https://drive.google.com/file/d/1ohMVI8lH8s6IqedanBU6qxvVahb55Fhh/view?usp=sharing" TargetMode="External"/><Relationship Id="rId148" Type="http://schemas.openxmlformats.org/officeDocument/2006/relationships/hyperlink" Target="https://drive.google.com/file/d/1HFIgow-EiYHEwrRwHJXx6OvD5bCtaEBt/view?usp=sharing" TargetMode="External"/><Relationship Id="rId169" Type="http://schemas.openxmlformats.org/officeDocument/2006/relationships/hyperlink" Target="https://drive.google.com/file/d/1_15fee1OO2SO7vMXA6OMPm5fO50Qb0LS/view?usp=sharing" TargetMode="External"/><Relationship Id="rId334" Type="http://schemas.openxmlformats.org/officeDocument/2006/relationships/hyperlink" Target="https://drive.google.com/file/d/1Zc4GXlzI5bdrpHPMgyKD9iNcBAcIjMHp/view?usp=sharing" TargetMode="External"/><Relationship Id="rId355" Type="http://schemas.openxmlformats.org/officeDocument/2006/relationships/hyperlink" Target="https://drive.google.com/file/d/1_fDAYIYLe6eFbu69Ya1_b-fAlGsR1pHP/view?usp=sharing" TargetMode="External"/><Relationship Id="rId376" Type="http://schemas.openxmlformats.org/officeDocument/2006/relationships/hyperlink" Target="https://drive.google.com/file/d/1t64hQ03dvnhlKh9ivJ7Bk6VgKwvdvxwL/view?usp=drive_link" TargetMode="External"/><Relationship Id="rId397" Type="http://schemas.openxmlformats.org/officeDocument/2006/relationships/hyperlink" Target="https://drive.google.com/file/d/1xp7YnFLAoo94AeKEpGWMu4oWtZKTrwP7/view?usp=sharing" TargetMode="External"/><Relationship Id="rId520" Type="http://schemas.openxmlformats.org/officeDocument/2006/relationships/hyperlink" Target="https://drive.google.com/file/d/1Ml9CcpXtsYi3iHcESUZVnknnLtwSPyAS/view?usp=sharing" TargetMode="External"/><Relationship Id="rId541" Type="http://schemas.openxmlformats.org/officeDocument/2006/relationships/hyperlink" Target="https://drive.google.com/file/d/1qIAbf-CcYNIAnIaFtemRpt5e6QZIqK6E/view?usp=sharing" TargetMode="External"/><Relationship Id="rId4" Type="http://schemas.openxmlformats.org/officeDocument/2006/relationships/hyperlink" Target="https://drive.google.com/file/d/1YQwhC7qUzRbFy1lNOv9-8mhzNIF7z127/view?usp=share_link" TargetMode="External"/><Relationship Id="rId180" Type="http://schemas.openxmlformats.org/officeDocument/2006/relationships/hyperlink" Target="https://drive.google.com/file/d/1Ps7zLODisndya9s3_5LTqEus7FoyKgUT/view?usp=sharing" TargetMode="External"/><Relationship Id="rId215" Type="http://schemas.openxmlformats.org/officeDocument/2006/relationships/hyperlink" Target="https://drive.google.com/file/d/1cgU64W7gemzO8hqDV86SK_cp1QjziBrV/view?usp=sharing" TargetMode="External"/><Relationship Id="rId236" Type="http://schemas.openxmlformats.org/officeDocument/2006/relationships/hyperlink" Target="https://drive.google.com/file/d/1xQWmC9nU6WeVoTXWZi3k6XfGpCN4jQzx/view?usp=sharing" TargetMode="External"/><Relationship Id="rId257" Type="http://schemas.openxmlformats.org/officeDocument/2006/relationships/hyperlink" Target="https://drive.google.com/file/d/1D8a5z3K6RyoEQuPacKo9R-eQR4UuWxfM/view?usp=sharing" TargetMode="External"/><Relationship Id="rId278" Type="http://schemas.openxmlformats.org/officeDocument/2006/relationships/hyperlink" Target="https://drive.google.com/file/d/1EYsgT7CYFtxE2lOwnaV-s3JpN7nM0rB7/view?usp=sharing" TargetMode="External"/><Relationship Id="rId401" Type="http://schemas.openxmlformats.org/officeDocument/2006/relationships/hyperlink" Target="https://drive.google.com/file/d/1lEFVjoQcOhpoEUKafU7mekiZvhdh2Wnq/view?usp=sharing" TargetMode="External"/><Relationship Id="rId422" Type="http://schemas.openxmlformats.org/officeDocument/2006/relationships/hyperlink" Target="https://drive.google.com/file/d/1mZsDQasarSLFkfoMtyZzkioAbunfONUb/view?usp=sharing" TargetMode="External"/><Relationship Id="rId443" Type="http://schemas.openxmlformats.org/officeDocument/2006/relationships/hyperlink" Target="https://drive.google.com/file/d/1cU1jBrwSAY5vtamfdVvXarecDSYPbKP3/view?usp=sharing" TargetMode="External"/><Relationship Id="rId464" Type="http://schemas.openxmlformats.org/officeDocument/2006/relationships/hyperlink" Target="https://drive.google.com/file/d/1SiXhapQHGq-GlZeFkpq1L73d_oKdzk5B/view?usp=sharing" TargetMode="External"/><Relationship Id="rId303" Type="http://schemas.openxmlformats.org/officeDocument/2006/relationships/hyperlink" Target="https://drive.google.com/file/d/1RYu1_82OiQBGi2b1gyFWvhaTOBr3xN2_/view?usp=sharing" TargetMode="External"/><Relationship Id="rId485" Type="http://schemas.openxmlformats.org/officeDocument/2006/relationships/hyperlink" Target="https://drive.google.com/file/d/1nNYPJT9pz6RJTTj5fqlIRCO8L1JHb30c/view?usp=drive_link" TargetMode="External"/><Relationship Id="rId42" Type="http://schemas.openxmlformats.org/officeDocument/2006/relationships/hyperlink" Target="https://drive.google.com/file/d/1Cjns7BZ0Isz1sgsLgORCYIYnny6fHVEV/view?usp=sharing" TargetMode="External"/><Relationship Id="rId84" Type="http://schemas.openxmlformats.org/officeDocument/2006/relationships/hyperlink" Target="https://drive.google.com/file/d/1sG7apNy5qo-Tqo1xam7vH0W4U5JZA1U9/view?usp=sharing" TargetMode="External"/><Relationship Id="rId138" Type="http://schemas.openxmlformats.org/officeDocument/2006/relationships/hyperlink" Target="https://drive.google.com/file/d/1LTusNZI7gLmFzIIZ7l3-UC5YbI4HHe6p/view?usp=drive_link" TargetMode="External"/><Relationship Id="rId345" Type="http://schemas.openxmlformats.org/officeDocument/2006/relationships/hyperlink" Target="https://drive.google.com/file/d/1KqXg9892ahs_R4Sxj1v3H_qszOay18Kt/view?usp=sharing" TargetMode="External"/><Relationship Id="rId387" Type="http://schemas.openxmlformats.org/officeDocument/2006/relationships/hyperlink" Target="https://drive.google.com/file/d/1aOQdxLeOK4M6wOKRgrYIXRzGP1F7eqwk/view?usp=sharing" TargetMode="External"/><Relationship Id="rId510" Type="http://schemas.openxmlformats.org/officeDocument/2006/relationships/hyperlink" Target="https://drive.google.com/file/d/16qk732jpDdCyjbCCgK2VE7eIHzBMlo_T/view?usp=sharing" TargetMode="External"/><Relationship Id="rId552" Type="http://schemas.openxmlformats.org/officeDocument/2006/relationships/hyperlink" Target="https://drive.google.com/file/d/14DmhU91V6cmwfRuqZilxAB0qQEjBfmPp/view?usp=sharing" TargetMode="External"/><Relationship Id="rId191" Type="http://schemas.openxmlformats.org/officeDocument/2006/relationships/hyperlink" Target="https://drive.google.com/file/d/156pQ75EYsICc5RdXzZoM4Kb8ouUMMnbM/view?usp=sharing" TargetMode="External"/><Relationship Id="rId205" Type="http://schemas.openxmlformats.org/officeDocument/2006/relationships/hyperlink" Target="https://drive.google.com/file/d/1ir65p2QOFZPZLAZZjQSUybyK2LCg2yhP/view?usp=sharing" TargetMode="External"/><Relationship Id="rId247" Type="http://schemas.openxmlformats.org/officeDocument/2006/relationships/hyperlink" Target="https://drive.google.com/file/d/1MPI6TdKZ3oC7V7D2_lH3UXFjYTTM5sxK/view?usp=sharing" TargetMode="External"/><Relationship Id="rId412" Type="http://schemas.openxmlformats.org/officeDocument/2006/relationships/hyperlink" Target="https://drive.google.com/file/d/1u1XpZLzFgIyFdnNgMJdDmG0t6PvYdNzC/view?usp=sharing" TargetMode="External"/><Relationship Id="rId107" Type="http://schemas.openxmlformats.org/officeDocument/2006/relationships/hyperlink" Target="https://drive.google.com/file/d/12egy8eIhqrE2KEl7YEfHzqTB92WvM9Rg/view?usp=sharing" TargetMode="External"/><Relationship Id="rId289" Type="http://schemas.openxmlformats.org/officeDocument/2006/relationships/hyperlink" Target="https://drive.google.com/file/d/1BO5OXzNum8GpTWJolQ1B2as1ooTA7n3R/view?usp=sharing" TargetMode="External"/><Relationship Id="rId454" Type="http://schemas.openxmlformats.org/officeDocument/2006/relationships/hyperlink" Target="https://drive.google.com/file/d/1zCW7vGIl763VhkWKOWsDMM6f-vq_wxfz/view?usp=sharing" TargetMode="External"/><Relationship Id="rId496" Type="http://schemas.openxmlformats.org/officeDocument/2006/relationships/hyperlink" Target="https://drive.google.com/file/d/1Lb-MejX6uHu6VVSBSdr6W6VuIafrN9Bg/view?usp=sharing" TargetMode="External"/><Relationship Id="rId11" Type="http://schemas.openxmlformats.org/officeDocument/2006/relationships/hyperlink" Target="https://drive.google.com/file/d/1_Cmpmzu02Gm9Dtb1j3CbsinrSs6XBB70/view?usp=sharing" TargetMode="External"/><Relationship Id="rId53" Type="http://schemas.openxmlformats.org/officeDocument/2006/relationships/hyperlink" Target="https://drive.google.com/file/d/1fB7dYxati-JoGp6i_O3RTCqDko_0FTZG/view?usp=sharing" TargetMode="External"/><Relationship Id="rId149" Type="http://schemas.openxmlformats.org/officeDocument/2006/relationships/hyperlink" Target="https://drive.google.com/file/d/1vaqfdbnzirjQSH6jkkfuKnuPoVlFidw1/view?usp=sharing" TargetMode="External"/><Relationship Id="rId314" Type="http://schemas.openxmlformats.org/officeDocument/2006/relationships/hyperlink" Target="https://drive.google.com/file/d/17VEV45C2BpHolJ0uBqudHUKrrFHnP6Xp/view?usp=sharing" TargetMode="External"/><Relationship Id="rId356" Type="http://schemas.openxmlformats.org/officeDocument/2006/relationships/hyperlink" Target="https://drive.google.com/file/d/1x5pcEt1elf9OjuCiEgfnDo0_wWbuwaQr/view?usp=sharing" TargetMode="External"/><Relationship Id="rId398" Type="http://schemas.openxmlformats.org/officeDocument/2006/relationships/hyperlink" Target="https://drive.google.com/file/d/1Cp6D1CsNxuHv_1zFUCordW_mily_CXdw/view?usp=sharing" TargetMode="External"/><Relationship Id="rId521" Type="http://schemas.openxmlformats.org/officeDocument/2006/relationships/hyperlink" Target="https://drive.google.com/file/d/1tBnOWWY24UQSdmxAUgbEp5qJmTPEFBaG/view?usp=sharing" TargetMode="External"/><Relationship Id="rId95" Type="http://schemas.openxmlformats.org/officeDocument/2006/relationships/hyperlink" Target="https://drive.google.com/file/d/1DBBu9LEl0gv9sw7AwNw3a1RuBiIxXL2l/view?usp=sharing" TargetMode="External"/><Relationship Id="rId160" Type="http://schemas.openxmlformats.org/officeDocument/2006/relationships/hyperlink" Target="https://drive.google.com/file/d/1aDOgKIvqOgaWyDr3BfxzwC3-pD6J_zWU/view?usp=drive_link" TargetMode="External"/><Relationship Id="rId216" Type="http://schemas.openxmlformats.org/officeDocument/2006/relationships/hyperlink" Target="https://drive.google.com/file/d/1uIDBek3YrYiwGZmdHvdBs4sUX8AVR-EY/view?usp=sharing" TargetMode="External"/><Relationship Id="rId423" Type="http://schemas.openxmlformats.org/officeDocument/2006/relationships/hyperlink" Target="https://drive.google.com/file/d/10wp7JnsI1dwk7o8VjzXG7j4wqlpiwLWf/view?usp=sharing" TargetMode="External"/><Relationship Id="rId258" Type="http://schemas.openxmlformats.org/officeDocument/2006/relationships/hyperlink" Target="https://drive.google.com/file/d/1Ght2_fnwLvGbVS4RTLcxunsTVSU5XwXe/view?usp=sharing" TargetMode="External"/><Relationship Id="rId465" Type="http://schemas.openxmlformats.org/officeDocument/2006/relationships/hyperlink" Target="https://drive.google.com/file/d/1R3perCenopDALPxZnVm5aKMKx8KlqWD-/view?usp=sharing" TargetMode="External"/><Relationship Id="rId22" Type="http://schemas.openxmlformats.org/officeDocument/2006/relationships/hyperlink" Target="https://drive.google.com/file/d/1k8HD-J1Ln9RmVdoPNXor0DRtUTxiSWo0/view?usp=sharing" TargetMode="External"/><Relationship Id="rId64" Type="http://schemas.openxmlformats.org/officeDocument/2006/relationships/hyperlink" Target="https://drive.google.com/file/d/16Gvo_2Cjb2IOD__zvSLW2EphlVyeL7iq/view?usp=share_link" TargetMode="External"/><Relationship Id="rId118" Type="http://schemas.openxmlformats.org/officeDocument/2006/relationships/hyperlink" Target="https://drive.google.com/file/d/1mTDjKxeEH4HTGFgohyqiqTTH4cUVE-SN/view?usp=sharing" TargetMode="External"/><Relationship Id="rId325" Type="http://schemas.openxmlformats.org/officeDocument/2006/relationships/hyperlink" Target="https://drive.google.com/file/d/17oEq-20GxKpdjjBWNnW_Y7ZWw3MNo8Ym/view?usp=sharing" TargetMode="External"/><Relationship Id="rId367" Type="http://schemas.openxmlformats.org/officeDocument/2006/relationships/hyperlink" Target="https://drive.google.com/file/d/1LXTNcMd7m6ifuIls0lR8FFC_rj_R0Dfd/view?usp=sharing" TargetMode="External"/><Relationship Id="rId532" Type="http://schemas.openxmlformats.org/officeDocument/2006/relationships/hyperlink" Target="https://drive.google.com/file/d/1GImUdqVV6ESbVnkg-CFrBkQthO3fGFka/view?usp=sharing" TargetMode="External"/><Relationship Id="rId171" Type="http://schemas.openxmlformats.org/officeDocument/2006/relationships/hyperlink" Target="https://drive.google.com/file/d/1GcvAWUmM4p54DKR_iJ5lYiAlTMctv__q/view?usp=sharing" TargetMode="External"/><Relationship Id="rId227" Type="http://schemas.openxmlformats.org/officeDocument/2006/relationships/hyperlink" Target="https://drive.google.com/file/d/1Jxv_Z9gkc6CaacjIrqwljl4zzzbQqzu7/view?usp=sharing" TargetMode="External"/><Relationship Id="rId269" Type="http://schemas.openxmlformats.org/officeDocument/2006/relationships/hyperlink" Target="https://drive.google.com/file/d/1eBCZJC_PhbpvQ8qMEolDUpemBGMfTOB_/view?usp=sharing" TargetMode="External"/><Relationship Id="rId434" Type="http://schemas.openxmlformats.org/officeDocument/2006/relationships/hyperlink" Target="https://drive.google.com/file/d/1niK1FMeTdMJwWwhB6_tONtnb9a-1Hq6l/view?usp=sharing" TargetMode="External"/><Relationship Id="rId476" Type="http://schemas.openxmlformats.org/officeDocument/2006/relationships/hyperlink" Target="https://drive.google.com/file/d/1HlpNWqEi3kzZxpqK8UT0fUi_oTxXPSRw/view?usp=sharing" TargetMode="External"/><Relationship Id="rId33" Type="http://schemas.openxmlformats.org/officeDocument/2006/relationships/hyperlink" Target="https://drive.google.com/file/d/1SdjYpybodE7efpuhEnX3nZs0YUN2M-K7/view?usp=sharing" TargetMode="External"/><Relationship Id="rId129" Type="http://schemas.openxmlformats.org/officeDocument/2006/relationships/hyperlink" Target="https://drive.google.com/file/d/1rSlZePxKY7252zdmFZpUAAr_cyOSLcU2/view?usp=sharing" TargetMode="External"/><Relationship Id="rId280" Type="http://schemas.openxmlformats.org/officeDocument/2006/relationships/hyperlink" Target="https://drive.google.com/file/d/1PCevU2S0Cb5r0K1I9kVZhMNnEoPLnetc/view?usp=sharing" TargetMode="External"/><Relationship Id="rId336" Type="http://schemas.openxmlformats.org/officeDocument/2006/relationships/hyperlink" Target="https://drive.google.com/file/d/1_xyubjd0SwQhT5UXCh2B-HDehTjDpmyY/view?usp=sharing" TargetMode="External"/><Relationship Id="rId501" Type="http://schemas.openxmlformats.org/officeDocument/2006/relationships/hyperlink" Target="https://drive.google.com/file/d/1Og6ojQ1XK2TgjHpyy0jGsmDDvEfmEs16/view?usp=sharing" TargetMode="External"/><Relationship Id="rId543" Type="http://schemas.openxmlformats.org/officeDocument/2006/relationships/hyperlink" Target="https://drive.google.com/file/d/1kpdi9AwytTtrn_w9vF5heEGRKLyK2Tou/view?usp=sharing" TargetMode="External"/><Relationship Id="rId75" Type="http://schemas.openxmlformats.org/officeDocument/2006/relationships/hyperlink" Target="https://drive.google.com/file/d/1jd8gTxZNNf6xv2TfBES_8qaCDA1yZjwb/view?usp=share_link" TargetMode="External"/><Relationship Id="rId140" Type="http://schemas.openxmlformats.org/officeDocument/2006/relationships/hyperlink" Target="https://drive.google.com/file/d/1yj8ssEhuu3mlsp8ppH1CgCc2slcQ3Bb1/view?usp=sharing" TargetMode="External"/><Relationship Id="rId182" Type="http://schemas.openxmlformats.org/officeDocument/2006/relationships/hyperlink" Target="https://drive.google.com/file/d/10mUlx6RYTb3RdPpGgpLqzX2YIPZSys5J/view?usp=sharing" TargetMode="External"/><Relationship Id="rId378" Type="http://schemas.openxmlformats.org/officeDocument/2006/relationships/hyperlink" Target="https://www.google.com/url?q=https://drive.google.com/file/d/1BNQ0mHxY217AAau6S99-YO2Vnai7IkGd/view?usp%3Dsharing&amp;sa=D&amp;source=editors&amp;ust=1713855040806617&amp;usg=AOvVaw2FFOv2rhuZOl3S7aljv1XG" TargetMode="External"/><Relationship Id="rId403" Type="http://schemas.openxmlformats.org/officeDocument/2006/relationships/hyperlink" Target="https://drive.google.com/file/d/1UlU-bJKFB5p5Yk5X6o9KlanhjfUp9GtM/view?usp=sharing" TargetMode="External"/><Relationship Id="rId6" Type="http://schemas.openxmlformats.org/officeDocument/2006/relationships/hyperlink" Target="https://drive.google.com/file/d/1SQHojqlwr_ZACVHj1XvHIoWq6mHqEh1E/view?usp=sharing" TargetMode="External"/><Relationship Id="rId238" Type="http://schemas.openxmlformats.org/officeDocument/2006/relationships/hyperlink" Target="https://drive.google.com/file/d/1b6DHBPC_qGvJYXO_HbMlZAi4EHI3SdV6/view?usp=sharing" TargetMode="External"/><Relationship Id="rId445" Type="http://schemas.openxmlformats.org/officeDocument/2006/relationships/hyperlink" Target="https://drive.google.com/file/d/160pemg6w1TgpZIZoQvRhwNVe_Pew7hfH/view?usp=sharing" TargetMode="External"/><Relationship Id="rId487" Type="http://schemas.openxmlformats.org/officeDocument/2006/relationships/hyperlink" Target="https://drive.google.com/file/d/1MR4vTKSWVcGR3D3T2SCoZM7o5dx7Vnqy/view?usp=sharing" TargetMode="External"/><Relationship Id="rId291" Type="http://schemas.openxmlformats.org/officeDocument/2006/relationships/hyperlink" Target="https://drive.google.com/file/d/10y7-VcpPE-W8i35Snl_ht_mAqo0P5MTm/view?usp=sharing" TargetMode="External"/><Relationship Id="rId305" Type="http://schemas.openxmlformats.org/officeDocument/2006/relationships/hyperlink" Target="https://drive.google.com/file/d/1DwfgUu3CWO4IrGbcxUqNxqLvuP9spGoU/view?usp=sharing" TargetMode="External"/><Relationship Id="rId347" Type="http://schemas.openxmlformats.org/officeDocument/2006/relationships/hyperlink" Target="https://drive.google.com/file/d/19HfURJEU_PO2fMKtyFvzov8nwkI4tBdy/view?usp=sharing" TargetMode="External"/><Relationship Id="rId512" Type="http://schemas.openxmlformats.org/officeDocument/2006/relationships/hyperlink" Target="https://drive.google.com/file/d/1XyYDtS5yNEBC6AdMdYx5AxitXdmhoQc2/view?usp=sharing" TargetMode="External"/><Relationship Id="rId44" Type="http://schemas.openxmlformats.org/officeDocument/2006/relationships/hyperlink" Target="https://drive.google.com/file/d/1kvQsGWqwVGhe6V-9eAzSB6gh3iHUA5aw/view?usp=sharing" TargetMode="External"/><Relationship Id="rId86" Type="http://schemas.openxmlformats.org/officeDocument/2006/relationships/hyperlink" Target="https://drive.google.com/file/d/1UAZWM3eQwvfo-rAUVU3vTSi1aBO5YyDQ/view?usp=sharing" TargetMode="External"/><Relationship Id="rId151" Type="http://schemas.openxmlformats.org/officeDocument/2006/relationships/hyperlink" Target="https://drive.google.com/file/d/1wsEoJjYbqbo_J5v-RFadUa12uE3uvaV8/view?usp=drive_link" TargetMode="External"/><Relationship Id="rId389" Type="http://schemas.openxmlformats.org/officeDocument/2006/relationships/hyperlink" Target="https://drive.google.com/file/d/1ZVnw1mkXmfKCsKTSyd9f2ZiocvnjH5iz/view?usp=sharing" TargetMode="External"/><Relationship Id="rId554" Type="http://schemas.openxmlformats.org/officeDocument/2006/relationships/hyperlink" Target="https://drive.google.com/file/d/1453nqenOm2znvYEG6CR3fYtL5JfACwE9/view?usp=sharing" TargetMode="External"/><Relationship Id="rId193" Type="http://schemas.openxmlformats.org/officeDocument/2006/relationships/hyperlink" Target="https://drive.google.com/file/d/156pQ75EYsICc5RdXzZoM4Kb8ouUMMnbM/view?usp=sharing" TargetMode="External"/><Relationship Id="rId207" Type="http://schemas.openxmlformats.org/officeDocument/2006/relationships/hyperlink" Target="https://drive.google.com/file/d/1bu80NbVmzymENUjsx0FnboSdL4Za5R4w/view?usp=sharing" TargetMode="External"/><Relationship Id="rId249" Type="http://schemas.openxmlformats.org/officeDocument/2006/relationships/hyperlink" Target="https://drive.google.com/file/d/1J7hELqNazFGtHgSVqNwETv8GkpNdBM1x/view?usp=sharing" TargetMode="External"/><Relationship Id="rId414" Type="http://schemas.openxmlformats.org/officeDocument/2006/relationships/hyperlink" Target="https://drive.google.com/file/d/1vgTcczQ18llUhtkgOGhVtorxDtDsan16/view?usp=share_link" TargetMode="External"/><Relationship Id="rId456" Type="http://schemas.openxmlformats.org/officeDocument/2006/relationships/hyperlink" Target="https://drive.google.com/file/d/1lS_LRVwVLR78KIqANbAlrBVfpRG0pSLo/view?usp=sharing" TargetMode="External"/><Relationship Id="rId498" Type="http://schemas.openxmlformats.org/officeDocument/2006/relationships/hyperlink" Target="https://drive.google.com/file/d/1sHJbhbFOPMZBcyOGUfgWEFk2R5PQwu1k/view?usp=sharing" TargetMode="External"/><Relationship Id="rId13" Type="http://schemas.openxmlformats.org/officeDocument/2006/relationships/hyperlink" Target="https://drive.google.com/file/d/1Cda0KPhOESQfAXwQRsiv6oFspdywonL9/view?usp=sharing" TargetMode="External"/><Relationship Id="rId109" Type="http://schemas.openxmlformats.org/officeDocument/2006/relationships/hyperlink" Target="https://drive.google.com/file/d/1If_leSGaifJkOi82HrKpDlfJXtJaF_OO/view?usp=sharing" TargetMode="External"/><Relationship Id="rId260" Type="http://schemas.openxmlformats.org/officeDocument/2006/relationships/hyperlink" Target="https://drive.google.com/file/d/1lhOVbCX42PUr83FjsZww3V4uOEOlG3IR/view?usp=sharing" TargetMode="External"/><Relationship Id="rId316" Type="http://schemas.openxmlformats.org/officeDocument/2006/relationships/hyperlink" Target="https://drive.google.com/file/d/1wjpWBbYLAZgpEqH9fG33IFgvg7Y7LWQ4/view?usp=sharing" TargetMode="External"/><Relationship Id="rId523" Type="http://schemas.openxmlformats.org/officeDocument/2006/relationships/hyperlink" Target="https://drive.google.com/file/d/1HmKzm1iU2I7Dm4UOsL66YuRqocbDV5e5/view?usp=sharing" TargetMode="External"/><Relationship Id="rId55" Type="http://schemas.openxmlformats.org/officeDocument/2006/relationships/hyperlink" Target="https://drive.google.com/file/d/1r77mlovHvOfSu2V6XNxuFBCW4nI73AYf/view?usp=sharing" TargetMode="External"/><Relationship Id="rId97" Type="http://schemas.openxmlformats.org/officeDocument/2006/relationships/hyperlink" Target="https://drive.google.com/file/d/1_9wfwlCEt_tGNlCdUg59UyPaGNjur4OQ/view?usp=sharing" TargetMode="External"/><Relationship Id="rId120" Type="http://schemas.openxmlformats.org/officeDocument/2006/relationships/hyperlink" Target="https://drive.google.com/file/d/1WsTv4fciIU5oKvT9Z2rsXNvzXtSS-KfK/view?usp=sharing" TargetMode="External"/><Relationship Id="rId358" Type="http://schemas.openxmlformats.org/officeDocument/2006/relationships/hyperlink" Target="https://drive.google.com/file/d/17oEq-20GxKpdjjBWNnW_Y7ZWw3MNo8Ym/view?usp=sharing" TargetMode="External"/><Relationship Id="rId162" Type="http://schemas.openxmlformats.org/officeDocument/2006/relationships/hyperlink" Target="https://drive.google.com/file/d/155Y5YtgUpnOZH8tJyRzvNDwY5OjPR-j-/view?usp=drive_link" TargetMode="External"/><Relationship Id="rId218" Type="http://schemas.openxmlformats.org/officeDocument/2006/relationships/hyperlink" Target="https://drive.google.com/file/d/11NedEahGw58ES5iDcwgEuGpNN3rawQfn/view?usp=sharing" TargetMode="External"/><Relationship Id="rId425" Type="http://schemas.openxmlformats.org/officeDocument/2006/relationships/hyperlink" Target="https://drive.google.com/file/d/1ODgFHE4v6BG9MhSi0EsRyWZTtoOp5Z84/view?usp=sharing" TargetMode="External"/><Relationship Id="rId467" Type="http://schemas.openxmlformats.org/officeDocument/2006/relationships/hyperlink" Target="https://drive.google.com/file/d/1EUJ4CEEUGjHoBCq451dGekWcQzZlOuk6/view?usp=sharing" TargetMode="External"/><Relationship Id="rId271" Type="http://schemas.openxmlformats.org/officeDocument/2006/relationships/hyperlink" Target="https://drive.google.com/file/d/1U52zeA1-_8z7n4soec5ckk5T47Ys2ky2/view?usp=sharing" TargetMode="External"/><Relationship Id="rId24" Type="http://schemas.openxmlformats.org/officeDocument/2006/relationships/hyperlink" Target="https://drive.google.com/file/d/1m0h4ZfLOuzv-NZeleRP8gQfxAWhXLy9k/view?usp=sharing" TargetMode="External"/><Relationship Id="rId66" Type="http://schemas.openxmlformats.org/officeDocument/2006/relationships/hyperlink" Target="https://drive.google.com/file/d/1W7uT0wTMJdFeEHJZviLSMLm4KWavLznu/view?usp=share_link" TargetMode="External"/><Relationship Id="rId131" Type="http://schemas.openxmlformats.org/officeDocument/2006/relationships/hyperlink" Target="https://drive.google.com/file/d/1bX4LPYmxGIzDL-4dO1oyuk_JDn1akF_q/view?usp=sharing" TargetMode="External"/><Relationship Id="rId327" Type="http://schemas.openxmlformats.org/officeDocument/2006/relationships/hyperlink" Target="https://drive.google.com/file/d/1yDmMbhwgvF2-iUp-dUIw-PnxWkhq_H0M/view?usp=sharing" TargetMode="External"/><Relationship Id="rId369" Type="http://schemas.openxmlformats.org/officeDocument/2006/relationships/hyperlink" Target="https://drive.google.com/file/d/11cCzGw3mKJ4d4jZkZ2wTU3D_5merS7od/view?usp=sharing" TargetMode="External"/><Relationship Id="rId534" Type="http://schemas.openxmlformats.org/officeDocument/2006/relationships/hyperlink" Target="https://drive.google.com/file/d/18ljvvCUZCQ3xfuNHp5IuE3Vs_FIv745g/view?usp=sharing" TargetMode="External"/><Relationship Id="rId173" Type="http://schemas.openxmlformats.org/officeDocument/2006/relationships/hyperlink" Target="https://drive.google.com/file/d/1yuRryWSAshEKunc3q9qGd4_9xdpLcwKq/view?usp=sharing" TargetMode="External"/><Relationship Id="rId229" Type="http://schemas.openxmlformats.org/officeDocument/2006/relationships/hyperlink" Target="https://drive.google.com/file/d/110kJgUyzbw6uEMttGpID-_woSHFGMZNu/view?usp=sharing" TargetMode="External"/><Relationship Id="rId380" Type="http://schemas.openxmlformats.org/officeDocument/2006/relationships/hyperlink" Target="https://drive.google.com/file/d/1xp-QRjitW3QgUvQkT3fHSCsC_-bpUuIS/view?usp=sharing" TargetMode="External"/><Relationship Id="rId436" Type="http://schemas.openxmlformats.org/officeDocument/2006/relationships/hyperlink" Target="https://drive.google.com/file/d/1kl99FX4OLnnZFeZT38WSOCmcTlJIPylL/view?usp=sharing" TargetMode="External"/><Relationship Id="rId240" Type="http://schemas.openxmlformats.org/officeDocument/2006/relationships/hyperlink" Target="https://drive.google.com/file/d/1FeJYAG5fPofE6RKFbGxAsuUZ-_ducXEu/view?usp=sharing" TargetMode="External"/><Relationship Id="rId478" Type="http://schemas.openxmlformats.org/officeDocument/2006/relationships/hyperlink" Target="https://drive.google.com/file/d/1h7Fl_hSuC94GG4iIBVcm3P4Q5EKOJqc7/view?usp=sharing" TargetMode="External"/><Relationship Id="rId35" Type="http://schemas.openxmlformats.org/officeDocument/2006/relationships/hyperlink" Target="https://drive.google.com/file/d/1BNZMVn6n1mVS7PWdliSk2LE4mUxIYxvS/view?usp=sharing" TargetMode="External"/><Relationship Id="rId77" Type="http://schemas.openxmlformats.org/officeDocument/2006/relationships/hyperlink" Target="https://drive.google.com/file/d/1A91Lf5B9ybTPxuSD9tgwFhlUehQ6_pPG/view?usp=sharing" TargetMode="External"/><Relationship Id="rId100" Type="http://schemas.openxmlformats.org/officeDocument/2006/relationships/hyperlink" Target="https://drive.google.com/file/d/1hw-16SNerUSrr967_UtefTGhH1-lRm5a/view?usp=sharing" TargetMode="External"/><Relationship Id="rId282" Type="http://schemas.openxmlformats.org/officeDocument/2006/relationships/hyperlink" Target="https://drive.google.com/file/d/1GqfMDQ1zR7vHUuv6-5E5CQBm44Dv_tOW/view?usp=sharing" TargetMode="External"/><Relationship Id="rId338" Type="http://schemas.openxmlformats.org/officeDocument/2006/relationships/hyperlink" Target="https://drive.google.com/file/d/1qK1-BB7XDbxK41AQGGYNmnL75PgpnUhb/view?usp=sharing" TargetMode="External"/><Relationship Id="rId503" Type="http://schemas.openxmlformats.org/officeDocument/2006/relationships/hyperlink" Target="https://drive.google.com/file/d/1F8wDIO8oMu0xi4jhEVN4kJtEWwpLgGaM/view?usp=sharing" TargetMode="External"/><Relationship Id="rId545" Type="http://schemas.openxmlformats.org/officeDocument/2006/relationships/hyperlink" Target="https://drive.google.com/file/d/1Lh_WCx6PpsmfFtfqPYKLrdTQYORUKtsv/view?usp=sharing" TargetMode="External"/><Relationship Id="rId8" Type="http://schemas.openxmlformats.org/officeDocument/2006/relationships/hyperlink" Target="https://drive.google.com/file/d/13FFYH4JEwREqsND_cnmmxGIvSHzv6chl/view?usp=sharing" TargetMode="External"/><Relationship Id="rId142" Type="http://schemas.openxmlformats.org/officeDocument/2006/relationships/hyperlink" Target="https://drive.google.com/file/d/1HFLIB5fkRqQRmdjb8-UsweG9fZxpYWYs/view?usp=sharing" TargetMode="External"/><Relationship Id="rId184" Type="http://schemas.openxmlformats.org/officeDocument/2006/relationships/hyperlink" Target="https://drive.google.com/file/d/1wWER5nz7hcL2r91oYQ1Jx125PS1R4L4e/view?usp=sharing" TargetMode="External"/><Relationship Id="rId391" Type="http://schemas.openxmlformats.org/officeDocument/2006/relationships/hyperlink" Target="https://drive.google.com/file/d/1kWuFeIqmxusu6KJ65FVT3P0Jnf4FldyO/view?usp=sharing" TargetMode="External"/><Relationship Id="rId405" Type="http://schemas.openxmlformats.org/officeDocument/2006/relationships/hyperlink" Target="https://drive.google.com/file/d/1IU0R993fIBbnKZWE2lVzN82fVIxOOv9m/view?usp=sharing" TargetMode="External"/><Relationship Id="rId447" Type="http://schemas.openxmlformats.org/officeDocument/2006/relationships/hyperlink" Target="https://drive.google.com/file/d/1puUqQ7NSIUz1-FQJ3wMuOO7odYoRPhQ0/view?usp=sharing" TargetMode="External"/><Relationship Id="rId251" Type="http://schemas.openxmlformats.org/officeDocument/2006/relationships/hyperlink" Target="https://drive.google.com/file/d/1v5XCG5WTowW4PZ-PTk1J8Bru8VVU4tJA/view?usp=sharing" TargetMode="External"/><Relationship Id="rId489" Type="http://schemas.openxmlformats.org/officeDocument/2006/relationships/hyperlink" Target="https://drive.google.com/file/d/1JONcmupj3BM8_d3mer48q0F34nHBlxRp/view?usp=sharing" TargetMode="External"/><Relationship Id="rId46" Type="http://schemas.openxmlformats.org/officeDocument/2006/relationships/hyperlink" Target="https://drive.google.com/file/d/1qaeI2w5qSCZ5meVd0JJEzK1t6C4zqh2M/view?usp=sharing" TargetMode="External"/><Relationship Id="rId293" Type="http://schemas.openxmlformats.org/officeDocument/2006/relationships/hyperlink" Target="https://drive.google.com/file/d/1Ku5xzI8jYCzD8s-zlm31pwkWK3m-kVJc/view?usp=sharing" TargetMode="External"/><Relationship Id="rId307" Type="http://schemas.openxmlformats.org/officeDocument/2006/relationships/hyperlink" Target="https://drive.google.com/file/d/15O6rZsdEPirHe1nZdjWNwcKNbeK5VGxu/view?usp=sharing" TargetMode="External"/><Relationship Id="rId349" Type="http://schemas.openxmlformats.org/officeDocument/2006/relationships/hyperlink" Target="https://drive.google.com/file/d/1E7lBkSmU4Bc2f4VW0lzybq1gV0rD8EPS/view?usp=sharing" TargetMode="External"/><Relationship Id="rId514" Type="http://schemas.openxmlformats.org/officeDocument/2006/relationships/hyperlink" Target="https://drive.google.com/file/d/1GLB2ZZChD5cf-4OPDNxC3Gnlda1t_WX-/view?usp=sharing" TargetMode="External"/><Relationship Id="rId556" Type="http://schemas.openxmlformats.org/officeDocument/2006/relationships/hyperlink" Target="https://drive.google.com/file/d/1sVfr8WHHV3EsgHe8By1fDhN23vL4d285/view?usp=sharing" TargetMode="External"/><Relationship Id="rId88" Type="http://schemas.openxmlformats.org/officeDocument/2006/relationships/hyperlink" Target="https://drive.google.com/file/d/1CIEV0-4qyUe62zUZVrUs01escVHe0vpp/view?usp=sharing" TargetMode="External"/><Relationship Id="rId111" Type="http://schemas.openxmlformats.org/officeDocument/2006/relationships/hyperlink" Target="https://drive.google.com/file/d/1QZ3KsKobcG0UpXIkTOXDn1hXVGoSgmbk/view?usp=sharing" TargetMode="External"/><Relationship Id="rId153" Type="http://schemas.openxmlformats.org/officeDocument/2006/relationships/hyperlink" Target="https://drive.google.com/file/d/12GSTMtzOeNfkmtG2Y94zqo152AgPy4gk/view?usp=sharing" TargetMode="External"/><Relationship Id="rId195" Type="http://schemas.openxmlformats.org/officeDocument/2006/relationships/hyperlink" Target="https://drive.google.com/file/d/1EUZ2jpd2cP0gkChLB1RTaLUP4J5Eu2de/view?usp=sharing" TargetMode="External"/><Relationship Id="rId209" Type="http://schemas.openxmlformats.org/officeDocument/2006/relationships/hyperlink" Target="https://drive.google.com/file/d/1mi5NGgcYJuzP1SeIAgrI5tEWD7ndDBI6/view?usp=sharing" TargetMode="External"/><Relationship Id="rId360" Type="http://schemas.openxmlformats.org/officeDocument/2006/relationships/hyperlink" Target="https://drive.google.com/file/d/1pYszMZ5IdIZW7iDaHqWHmABNvWHhwHmN/view?usp=sharing" TargetMode="External"/><Relationship Id="rId416" Type="http://schemas.openxmlformats.org/officeDocument/2006/relationships/hyperlink" Target="https://drive.google.com/file/d/1jE6C9IoroMuHXnwxfoj1q22GnInNBCtb/view?usp=sharing" TargetMode="External"/><Relationship Id="rId220" Type="http://schemas.openxmlformats.org/officeDocument/2006/relationships/hyperlink" Target="https://drive.google.com/file/d/1xF63D6NobkAGbaOsna0r0P689s-VWZ5I/view?usp=sharing" TargetMode="External"/><Relationship Id="rId458" Type="http://schemas.openxmlformats.org/officeDocument/2006/relationships/hyperlink" Target="https://drive.google.com/file/d/13eMfJR0BFwO0ms-htPCRSjnK_PmmI3OK/view?usp=sharing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RH4_XqnsPetIEdCCAcUVptjCLzS_SORp/view?usp=sharing" TargetMode="External"/><Relationship Id="rId299" Type="http://schemas.openxmlformats.org/officeDocument/2006/relationships/hyperlink" Target="https://drive.google.com/file/d/1eXbD6PSulNxyqiMGG42cr6JgLzw4pqPb/view?usp=share_link" TargetMode="External"/><Relationship Id="rId303" Type="http://schemas.openxmlformats.org/officeDocument/2006/relationships/hyperlink" Target="https://drive.google.com/file/d/1DCcG1HsFoqmk2UAPnc79eocbGUBrvZNQ/view?usp=sharing" TargetMode="External"/><Relationship Id="rId21" Type="http://schemas.openxmlformats.org/officeDocument/2006/relationships/hyperlink" Target="https://drive.google.com/file/d/1GN-vjBHt-ZPJs3yN1CgiT630gsAMElGb/view?usp=sharing" TargetMode="External"/><Relationship Id="rId42" Type="http://schemas.openxmlformats.org/officeDocument/2006/relationships/hyperlink" Target="https://drive.google.com/file/d/1CjoxSMZdaztRiPo9XSCKbgfHQ8XVv3KQ/view?usp=sharing" TargetMode="External"/><Relationship Id="rId63" Type="http://schemas.openxmlformats.org/officeDocument/2006/relationships/hyperlink" Target="https://drive.google.com/file/d/1dA0epGGWB36LVXiCBZeqLUomYEdcROu3/view?usp=sharing" TargetMode="External"/><Relationship Id="rId84" Type="http://schemas.openxmlformats.org/officeDocument/2006/relationships/hyperlink" Target="https://drive.google.com/file/d/1z1kUtNmCvJWrBprHJ1V-oLj4WNIVHwq5/view?usp=sharing" TargetMode="External"/><Relationship Id="rId138" Type="http://schemas.openxmlformats.org/officeDocument/2006/relationships/hyperlink" Target="https://drive.google.com/file/d/13V85-Tcf9LLFqy7UwiKFYDx18jUUGxO3/view?usp=sharing" TargetMode="External"/><Relationship Id="rId159" Type="http://schemas.openxmlformats.org/officeDocument/2006/relationships/hyperlink" Target="https://drive.google.com/file/d/1fB-YhCWz1j1yX9fNyLc_vzYFyVsBP0-w/view?usp=sharing" TargetMode="External"/><Relationship Id="rId170" Type="http://schemas.openxmlformats.org/officeDocument/2006/relationships/hyperlink" Target="https://drive.google.com/file/d/1u-e7uIzAlcyoTsyZiKL4bzQ3lFJIzI7q/view?usp=sharing" TargetMode="External"/><Relationship Id="rId191" Type="http://schemas.openxmlformats.org/officeDocument/2006/relationships/hyperlink" Target="https://drive.google.com/file/d/13y1vsPhrC_tCKKIStGV18MeNsY2aDf16/view?usp=sharing" TargetMode="External"/><Relationship Id="rId205" Type="http://schemas.openxmlformats.org/officeDocument/2006/relationships/hyperlink" Target="https://drive.google.com/file/d/1GGb08wLQz6NxAovNcuhb98kZnI-TzIA2/view?usp=sharing" TargetMode="External"/><Relationship Id="rId226" Type="http://schemas.openxmlformats.org/officeDocument/2006/relationships/hyperlink" Target="https://drive.google.com/file/d/1tICCIUg1BL9Bm8QUQfAUsNfd0qFXAZMq/view?usp=sharing" TargetMode="External"/><Relationship Id="rId247" Type="http://schemas.openxmlformats.org/officeDocument/2006/relationships/hyperlink" Target="https://drive.google.com/file/d/1dm1p2mjRPQ53ogZsGB-BXMmKLeEXP4eO/view?usp=sharing" TargetMode="External"/><Relationship Id="rId107" Type="http://schemas.openxmlformats.org/officeDocument/2006/relationships/hyperlink" Target="https://drive.google.com/file/d/1Jvkig54ZmBEPP5SEZzFBVPDegcrC5qak/view?usp=sharing" TargetMode="External"/><Relationship Id="rId268" Type="http://schemas.openxmlformats.org/officeDocument/2006/relationships/hyperlink" Target="https://drive.google.com/file/d/16VZug6JODlcfDCxy0M_6P_OE3RLjdhn1/view?usp=sharing" TargetMode="External"/><Relationship Id="rId289" Type="http://schemas.openxmlformats.org/officeDocument/2006/relationships/hyperlink" Target="https://drive.google.com/file/d/1Wdjz9hlqXQ89gUupCmIn5dHxBgUg2Ms1/view?usp=sharing" TargetMode="External"/><Relationship Id="rId11" Type="http://schemas.openxmlformats.org/officeDocument/2006/relationships/hyperlink" Target="https://drive.google.com/file/d/1G3uO7Tzneae0r2VNjdEdmECRlTQ61eL5/view?usp=sharing" TargetMode="External"/><Relationship Id="rId32" Type="http://schemas.openxmlformats.org/officeDocument/2006/relationships/hyperlink" Target="https://drive.google.com/file/d/1YUIGPAp6CZpGWSxTdBkyVi8pXVTg7Ddx/view?usp=sharing" TargetMode="External"/><Relationship Id="rId53" Type="http://schemas.openxmlformats.org/officeDocument/2006/relationships/hyperlink" Target="https://drive.google.com/file/d/1MP4TiAPm-HuddP2HzWdicnCzB904MyqO/view?usp=sharing" TargetMode="External"/><Relationship Id="rId74" Type="http://schemas.openxmlformats.org/officeDocument/2006/relationships/hyperlink" Target="https://drive.google.com/file/d/1YrwHkBXHMGTj5Wsnb9Qmfdvnrc4UwRqU/view?usp=sharing" TargetMode="External"/><Relationship Id="rId128" Type="http://schemas.openxmlformats.org/officeDocument/2006/relationships/hyperlink" Target="https://drive.google.com/file/d/12oSUboyCZ2h28qlYMnnvgnHS4fv85v2Q/view?usp=share_link" TargetMode="External"/><Relationship Id="rId149" Type="http://schemas.openxmlformats.org/officeDocument/2006/relationships/hyperlink" Target="https://drive.google.com/file/d/1YlW5FvK9WQoKYBGNvZtP4PNxIezF7lGS/view?usp=sharing" TargetMode="External"/><Relationship Id="rId314" Type="http://schemas.openxmlformats.org/officeDocument/2006/relationships/hyperlink" Target="https://drive.google.com/file/d/1vifKW7CgIrby8ESZ3Q6w0ncoN0EDoZyg/view?usp=sharing" TargetMode="External"/><Relationship Id="rId5" Type="http://schemas.openxmlformats.org/officeDocument/2006/relationships/hyperlink" Target="https://drive.google.com/file/d/1c8QeI0GOpgl5cRXG2cdGPV8ajblO_J2S/view?usp=sharing" TargetMode="External"/><Relationship Id="rId95" Type="http://schemas.openxmlformats.org/officeDocument/2006/relationships/hyperlink" Target="https://drive.google.com/file/d/1EBJwx78nzA8nkn-OOuD55JWPij-EZMrK/view?usp=sharing" TargetMode="External"/><Relationship Id="rId160" Type="http://schemas.openxmlformats.org/officeDocument/2006/relationships/hyperlink" Target="https://drive.google.com/file/d/1vMCqPovnfZLK2hkNmdxZ3GiyAfM2rYp_/view?usp=share_link" TargetMode="External"/><Relationship Id="rId181" Type="http://schemas.openxmlformats.org/officeDocument/2006/relationships/hyperlink" Target="https://drive.google.com/file/d/13rY5Z2hjORorR17SO9g8WvoST4SLNCCS/view?usp=sharing" TargetMode="External"/><Relationship Id="rId216" Type="http://schemas.openxmlformats.org/officeDocument/2006/relationships/hyperlink" Target="https://drive.google.com/file/d/1N2V1c3VKaIKl3O-ToqW-7lvus8wwc--6/view?usp=sharing" TargetMode="External"/><Relationship Id="rId237" Type="http://schemas.openxmlformats.org/officeDocument/2006/relationships/hyperlink" Target="https://drive.google.com/file/d/16FNTUJHjwIFBRhnvuk19qChL59znr_88/view?usp=sharing" TargetMode="External"/><Relationship Id="rId258" Type="http://schemas.openxmlformats.org/officeDocument/2006/relationships/hyperlink" Target="https://drive.google.com/file/d/19cRVyw_2bdgi-w1UCmDryT-QN2CtVvhU/view?usp=sharing" TargetMode="External"/><Relationship Id="rId279" Type="http://schemas.openxmlformats.org/officeDocument/2006/relationships/hyperlink" Target="https://drive.google.com/file/d/1ZlrXNM6iHd3x5aPmFY89dj3n--L-vLqx/view?usp=sharing" TargetMode="External"/><Relationship Id="rId22" Type="http://schemas.openxmlformats.org/officeDocument/2006/relationships/hyperlink" Target="https://drive.google.com/file/d/1GN-vjBHt-ZPJs3yN1CgiT630gsAMElGb/view?usp=sharing" TargetMode="External"/><Relationship Id="rId43" Type="http://schemas.openxmlformats.org/officeDocument/2006/relationships/hyperlink" Target="https://drive.google.com/file/d/1FV518ORW2gcnv-Jp9UQhNUFtvczx_g5a/view?usp=sharing" TargetMode="External"/><Relationship Id="rId64" Type="http://schemas.openxmlformats.org/officeDocument/2006/relationships/hyperlink" Target="https://drive.google.com/file/d/1Q8fDVS6vFOtqrKbx-8GdmewNTw04t_zh/view?usp=sharing" TargetMode="External"/><Relationship Id="rId118" Type="http://schemas.openxmlformats.org/officeDocument/2006/relationships/hyperlink" Target="https://drive.google.com/file/d/1iV6nCneVVFdXpN7B_h6GBDMQgHuy8XaF/view?usp=sharing" TargetMode="External"/><Relationship Id="rId139" Type="http://schemas.openxmlformats.org/officeDocument/2006/relationships/hyperlink" Target="https://drive.google.com/file/d/13V85-Tcf9LLFqy7UwiKFYDx18jUUGxO3/view?usp=sharing" TargetMode="External"/><Relationship Id="rId290" Type="http://schemas.openxmlformats.org/officeDocument/2006/relationships/hyperlink" Target="https://drive.google.com/file/d/10HiPmDxglBHzWpl6v5BxLoKxikIiLa29/view?usp=sharing" TargetMode="External"/><Relationship Id="rId304" Type="http://schemas.openxmlformats.org/officeDocument/2006/relationships/hyperlink" Target="https://drive.google.com/file/d/1ALQJMJuxiHxkh6C_o8uFFcNpbK5y8L73/view?usp=drive_link" TargetMode="External"/><Relationship Id="rId85" Type="http://schemas.openxmlformats.org/officeDocument/2006/relationships/hyperlink" Target="https://drive.google.com/file/d/1Gy0wqmRkaNArmw0MJAJRtFcaC_5EqaAw/view?usp=sharing" TargetMode="External"/><Relationship Id="rId150" Type="http://schemas.openxmlformats.org/officeDocument/2006/relationships/hyperlink" Target="https://drive.google.com/file/d/1NNWKvvQeRmJm4Jx-ZTrrr2jD8WDOB2fW/view?usp=share_link" TargetMode="External"/><Relationship Id="rId171" Type="http://schemas.openxmlformats.org/officeDocument/2006/relationships/hyperlink" Target="https://drive.google.com/file/d/13V85-Tcf9LLFqy7UwiKFYDx18jUUGxO3/view?usp=sharing" TargetMode="External"/><Relationship Id="rId192" Type="http://schemas.openxmlformats.org/officeDocument/2006/relationships/hyperlink" Target="https://drive.google.com/file/d/17htnMGBnyrs0NJ6nnYxubwP_GLy6XCKm/view?usp=sharing" TargetMode="External"/><Relationship Id="rId206" Type="http://schemas.openxmlformats.org/officeDocument/2006/relationships/hyperlink" Target="https://drive.google.com/file/d/1yCJauBh5XBk3WT_8wbW6jbuY1XGfP9Gr/view?usp=sharing" TargetMode="External"/><Relationship Id="rId227" Type="http://schemas.openxmlformats.org/officeDocument/2006/relationships/hyperlink" Target="https://drive.google.com/file/d/1SjUeypD_bFO-IFHvSNG0QZQK2xzRbOtD/view?usp=sharing" TargetMode="External"/><Relationship Id="rId248" Type="http://schemas.openxmlformats.org/officeDocument/2006/relationships/hyperlink" Target="https://drive.google.com/file/d/1EVAlxiTSZ83C6tsroyZxdGP1aXpkB5Vh/view?usp=sharing" TargetMode="External"/><Relationship Id="rId269" Type="http://schemas.openxmlformats.org/officeDocument/2006/relationships/hyperlink" Target="https://drive.google.com/file/d/1jIaJkQGjH811hRfgmSrlqInvCC6ueI98/view?usp=sharing" TargetMode="External"/><Relationship Id="rId12" Type="http://schemas.openxmlformats.org/officeDocument/2006/relationships/hyperlink" Target="https://drive.google.com/file/d/1PfIspsbWMwT06-qZOuHcTQ8VLSAUEugs/view?usp=sharing" TargetMode="External"/><Relationship Id="rId33" Type="http://schemas.openxmlformats.org/officeDocument/2006/relationships/hyperlink" Target="https://drive.google.com/file/d/1wbga2o1PRDf8f3akqEtwbWhMiJeeKoZ1/view?usp=sharing" TargetMode="External"/><Relationship Id="rId108" Type="http://schemas.openxmlformats.org/officeDocument/2006/relationships/hyperlink" Target="https://drive.google.com/file/d/14BD5Fm_EbQrOr0jMAW-i92rE-Kj4E-H6/view?usp=sharing" TargetMode="External"/><Relationship Id="rId129" Type="http://schemas.openxmlformats.org/officeDocument/2006/relationships/hyperlink" Target="https://drive.google.com/file/d/1388rSujIcfoVkRz5P48fY2JlLcMUSDWq/view?usp=sharing" TargetMode="External"/><Relationship Id="rId280" Type="http://schemas.openxmlformats.org/officeDocument/2006/relationships/hyperlink" Target="https://drive.google.com/file/d/1ntpjUM8Pm1ywh-BUql_l4eKhvRnNQioD/view?usp=sharing" TargetMode="External"/><Relationship Id="rId315" Type="http://schemas.openxmlformats.org/officeDocument/2006/relationships/hyperlink" Target="https://drive.google.com/file/d/1DiHFAfLFabPYpa6GQ7EgYDSl8XBHqO8g/view?usp=sharing" TargetMode="External"/><Relationship Id="rId54" Type="http://schemas.openxmlformats.org/officeDocument/2006/relationships/hyperlink" Target="https://drive.google.com/file/d/1MP4TiAPm-HuddP2HzWdicnCzB904MyqO/view?usp=sharing" TargetMode="External"/><Relationship Id="rId75" Type="http://schemas.openxmlformats.org/officeDocument/2006/relationships/hyperlink" Target="https://drive.google.com/file/d/1-7tBf6gcxlQwSB8mXEgU487z4MWXczjS/view?usp=sharing" TargetMode="External"/><Relationship Id="rId96" Type="http://schemas.openxmlformats.org/officeDocument/2006/relationships/hyperlink" Target="https://drive.google.com/file/d/1fPRhn-Fzdj639GidgoMV59tr1l8_YAld/view?usp=sharing" TargetMode="External"/><Relationship Id="rId140" Type="http://schemas.openxmlformats.org/officeDocument/2006/relationships/hyperlink" Target="https://drive.google.com/file/d/1fdwimAsd0VKL5QBUEBMsugpKrhJe1vS_/view?usp=sharing" TargetMode="External"/><Relationship Id="rId161" Type="http://schemas.openxmlformats.org/officeDocument/2006/relationships/hyperlink" Target="https://drive.google.com/file/d/1KAyEQYpMK7bFCiSVnxixQOg33HZ8Z5UO/view?usp=sharing" TargetMode="External"/><Relationship Id="rId182" Type="http://schemas.openxmlformats.org/officeDocument/2006/relationships/hyperlink" Target="https://drive.google.com/file/d/16AZ0ATkRADAdqqAM2yCcZZfpOeub48TI/view?usp=drive_link" TargetMode="External"/><Relationship Id="rId217" Type="http://schemas.openxmlformats.org/officeDocument/2006/relationships/hyperlink" Target="https://drive.google.com/file/d/18vjhRzMoUYfSZfg0ZYTRnEFvN3lZ67Yx/view?usp=sharing" TargetMode="External"/><Relationship Id="rId6" Type="http://schemas.openxmlformats.org/officeDocument/2006/relationships/hyperlink" Target="https://drive.google.com/file/d/1Jx7FSuegnOiNb25DpGiDeYJ8Qw_BKmFQ/view?usp=sharing" TargetMode="External"/><Relationship Id="rId238" Type="http://schemas.openxmlformats.org/officeDocument/2006/relationships/hyperlink" Target="https://drive.google.com/file/d/1Rwh5dVRH5nO84S0zgzgsu7fESKFQUhe0/view?usp=sharing" TargetMode="External"/><Relationship Id="rId259" Type="http://schemas.openxmlformats.org/officeDocument/2006/relationships/hyperlink" Target="https://drive.google.com/file/d/1V9N-g2T-4VvXKutSxTf3AFMb1hvbbQb8/view?usp=sharing" TargetMode="External"/><Relationship Id="rId23" Type="http://schemas.openxmlformats.org/officeDocument/2006/relationships/hyperlink" Target="https://drive.google.com/file/d/1m7aKkrz5EqyfkUoxQnHh8DQ8AsPpWwM5/view?usp=sharing" TargetMode="External"/><Relationship Id="rId119" Type="http://schemas.openxmlformats.org/officeDocument/2006/relationships/hyperlink" Target="https://drive.google.com/file/d/1rlPC2Z3iL2lFH5jvX6U56MrHn-TIxL-z/view?usp=sharing" TargetMode="External"/><Relationship Id="rId270" Type="http://schemas.openxmlformats.org/officeDocument/2006/relationships/hyperlink" Target="https://drive.google.com/file/d/1NwTL27d93fanb62JqOecIpJ7I7WEqWGc/view?usp=sharing" TargetMode="External"/><Relationship Id="rId291" Type="http://schemas.openxmlformats.org/officeDocument/2006/relationships/hyperlink" Target="https://drive.google.com/file/d/1IIs-rApniKg4uapa01vMVjRt-y02lS36/view?usp=sharing" TargetMode="External"/><Relationship Id="rId305" Type="http://schemas.openxmlformats.org/officeDocument/2006/relationships/hyperlink" Target="https://drive.google.com/file/d/1J4VmAwfAMRoc7YAvLgWKoue266LqniD_/view?usp=sharing" TargetMode="External"/><Relationship Id="rId44" Type="http://schemas.openxmlformats.org/officeDocument/2006/relationships/hyperlink" Target="https://drive.google.com/file/d/1ZuUCuS9LCZz0iRBrW0eEjJqQU2k00cdv/view?usp=sharing" TargetMode="External"/><Relationship Id="rId65" Type="http://schemas.openxmlformats.org/officeDocument/2006/relationships/hyperlink" Target="https://drive.google.com/file/d/1bGfQaJVBazIOnIbTMF4iaRNJNKe_vyfJ/view?usp=sharing" TargetMode="External"/><Relationship Id="rId86" Type="http://schemas.openxmlformats.org/officeDocument/2006/relationships/hyperlink" Target="https://drive.google.com/file/d/1hZsHcG1PCDoEGdiiQlBpznVtSiztKj1F/view?usp=sharing" TargetMode="External"/><Relationship Id="rId130" Type="http://schemas.openxmlformats.org/officeDocument/2006/relationships/hyperlink" Target="https://drive.google.com/file/d/1388rSujIcfoVkRz5P48fY2JlLcMUSDWq/view?usp=sharing" TargetMode="External"/><Relationship Id="rId151" Type="http://schemas.openxmlformats.org/officeDocument/2006/relationships/hyperlink" Target="https://drive.google.com/file/d/14eRxXc7w3aAKdlBex3XxX0Ow9cuzFD39/view?usp=sharing" TargetMode="External"/><Relationship Id="rId172" Type="http://schemas.openxmlformats.org/officeDocument/2006/relationships/hyperlink" Target="https://drive.google.com/file/d/19dWFSsnU-eD94BCoCbKTVTHiV1E-xyJj/view?usp=sharing" TargetMode="External"/><Relationship Id="rId193" Type="http://schemas.openxmlformats.org/officeDocument/2006/relationships/hyperlink" Target="https://drive.google.com/file/d/1SJOkugVCjkNc4XXDJ6Q6GhJneQG5aGLG/view?usp=share_link" TargetMode="External"/><Relationship Id="rId207" Type="http://schemas.openxmlformats.org/officeDocument/2006/relationships/hyperlink" Target="https://drive.google.com/file/d/1hsV2oeobesnu0f69qj9iPrx3da5RDnlm/view?usp=sharing" TargetMode="External"/><Relationship Id="rId228" Type="http://schemas.openxmlformats.org/officeDocument/2006/relationships/hyperlink" Target="https://drive.google.com/file/d/14FYky4BiqUrYWvuNRzuDmVT_DjmrHmUY/view?usp=sharing" TargetMode="External"/><Relationship Id="rId249" Type="http://schemas.openxmlformats.org/officeDocument/2006/relationships/hyperlink" Target="https://drive.google.com/file/d/1YCAGkhOs5_CP1Fy0iN2mbeRq3AtAOiW7/view?usp=sharing" TargetMode="External"/><Relationship Id="rId13" Type="http://schemas.openxmlformats.org/officeDocument/2006/relationships/hyperlink" Target="https://drive.google.com/file/d/1LnNxJt3RPrEems1OtsW0f2pzIlngi6_p/view?usp=sharing" TargetMode="External"/><Relationship Id="rId109" Type="http://schemas.openxmlformats.org/officeDocument/2006/relationships/hyperlink" Target="https://drive.google.com/file/d/1r-4gMCatjOQdXVFT09OsVmJ_Skz0BQVg/view?usp=sharing" TargetMode="External"/><Relationship Id="rId260" Type="http://schemas.openxmlformats.org/officeDocument/2006/relationships/hyperlink" Target="https://drive.google.com/file/d/18w3cl-o4xdxyS3rc7a5YbmkDwUszyU4D/view?usp=sharing" TargetMode="External"/><Relationship Id="rId281" Type="http://schemas.openxmlformats.org/officeDocument/2006/relationships/hyperlink" Target="https://drive.google.com/file/d/1u8S3jn5g__ulcb43nYrILS4IbSqrr25N/view?usp=sharing" TargetMode="External"/><Relationship Id="rId316" Type="http://schemas.openxmlformats.org/officeDocument/2006/relationships/hyperlink" Target="https://drive.google.com/file/d/1qbO6h-R8lPbNe_6hc24LVTFsM173NFDE/view?usp=sharing" TargetMode="External"/><Relationship Id="rId34" Type="http://schemas.openxmlformats.org/officeDocument/2006/relationships/hyperlink" Target="https://drive.google.com/file/d/1wbga2o1PRDf8f3akqEtwbWhMiJeeKoZ1/view?usp=sharing" TargetMode="External"/><Relationship Id="rId55" Type="http://schemas.openxmlformats.org/officeDocument/2006/relationships/hyperlink" Target="https://drive.google.com/file/d/11yY3hm8BqcnE0MA8mX3DUYK9KsdRDLEk/view?usp=sharing" TargetMode="External"/><Relationship Id="rId76" Type="http://schemas.openxmlformats.org/officeDocument/2006/relationships/hyperlink" Target="https://drive.google.com/file/d/1KNihjZY6Jlist8yNljWGgMEb-xzhUFOU/view?usp=sharing" TargetMode="External"/><Relationship Id="rId97" Type="http://schemas.openxmlformats.org/officeDocument/2006/relationships/hyperlink" Target="https://drive.google.com/file/d/12dSMdQtC49Ay9PZp0reV1rRcbTiqUH9T/view?usp=sharing" TargetMode="External"/><Relationship Id="rId120" Type="http://schemas.openxmlformats.org/officeDocument/2006/relationships/hyperlink" Target="https://drive.google.com/file/d/1vu74w_TxDrb76EOl-iUAAssrA-0NbYZ3/view?usp=sharing" TargetMode="External"/><Relationship Id="rId141" Type="http://schemas.openxmlformats.org/officeDocument/2006/relationships/hyperlink" Target="https://drive.google.com/file/d/1zt8Kc8Fbg_Po5miMe-TTzMCyvjGHcSC7/view?usp=share_link" TargetMode="External"/><Relationship Id="rId7" Type="http://schemas.openxmlformats.org/officeDocument/2006/relationships/hyperlink" Target="https://drive.google.com/file/d/1FdEOECLLw489lDRNvuD6HuZBwEtKkP-T/view?usp=sharing" TargetMode="External"/><Relationship Id="rId162" Type="http://schemas.openxmlformats.org/officeDocument/2006/relationships/hyperlink" Target="https://drive.google.com/file/d/1g0CtJvkRIrfPn3hgoftc3SMQUxaVf19U/view?usp=share_link" TargetMode="External"/><Relationship Id="rId183" Type="http://schemas.openxmlformats.org/officeDocument/2006/relationships/hyperlink" Target="https://drive.google.com/file/d/1FOuKwbslAMhrFcs4dMlo7bf81gX3_tI2/view?usp=sharing" TargetMode="External"/><Relationship Id="rId218" Type="http://schemas.openxmlformats.org/officeDocument/2006/relationships/hyperlink" Target="https://drive.google.com/file/d/14461BUV9aY5YXOzo1R5AtQvkKOuWymQz/view?usp=sharing" TargetMode="External"/><Relationship Id="rId239" Type="http://schemas.openxmlformats.org/officeDocument/2006/relationships/hyperlink" Target="https://drive.google.com/file/d/1CfDTtx6bvjcXL9disl3fi3-Z7xVg3F01/view?usp=sharing" TargetMode="External"/><Relationship Id="rId250" Type="http://schemas.openxmlformats.org/officeDocument/2006/relationships/hyperlink" Target="https://drive.google.com/file/d/1foRWzJG8D6A1c4-4p71M3RENEcg2wvZ8/view?usp=sharing" TargetMode="External"/><Relationship Id="rId271" Type="http://schemas.openxmlformats.org/officeDocument/2006/relationships/hyperlink" Target="https://drive.google.com/file/d/1yMp-GXWSir6PJvGd5fFDSm8S977bJUvk/view?usp=sharing" TargetMode="External"/><Relationship Id="rId292" Type="http://schemas.openxmlformats.org/officeDocument/2006/relationships/hyperlink" Target="https://drive.google.com/file/d/1tXc2cv-xZLxtDfzyqH-Y7qoobAgShpU9/view?usp=sharing" TargetMode="External"/><Relationship Id="rId306" Type="http://schemas.openxmlformats.org/officeDocument/2006/relationships/hyperlink" Target="https://drive.google.com/file/d/1jfRpHAKpd8LxpA8-ZYVzqMwbqJQJp3jL/view?usp=drive_link" TargetMode="External"/><Relationship Id="rId24" Type="http://schemas.openxmlformats.org/officeDocument/2006/relationships/hyperlink" Target="https://drive.google.com/file/d/1K9jnJQbXc48HQUzEz85TYnVxSU2ld3Pd/view?usp=sharing" TargetMode="External"/><Relationship Id="rId45" Type="http://schemas.openxmlformats.org/officeDocument/2006/relationships/hyperlink" Target="https://drive.google.com/file/d/1_RWemRR_pdonrkshMk1ltcxGgvX02Ow5/view?usp=sharing" TargetMode="External"/><Relationship Id="rId66" Type="http://schemas.openxmlformats.org/officeDocument/2006/relationships/hyperlink" Target="https://drive.google.com/file/d/1uW2bvZfIHuAZustiLkVLdEOWivbp6DZA/view?usp=sharing" TargetMode="External"/><Relationship Id="rId87" Type="http://schemas.openxmlformats.org/officeDocument/2006/relationships/hyperlink" Target="https://drive.google.com/file/d/1vnfnP_S6UykwUk9j6BCF4ipVNTMcqrPs/view?usp=sharing" TargetMode="External"/><Relationship Id="rId110" Type="http://schemas.openxmlformats.org/officeDocument/2006/relationships/hyperlink" Target="https://drive.google.com/file/d/1F8FEdRE4kiW2n5RwprcKs2SIrJtYywTn/view?usp=sharing" TargetMode="External"/><Relationship Id="rId131" Type="http://schemas.openxmlformats.org/officeDocument/2006/relationships/hyperlink" Target="https://drive.google.com/file/d/1KSOMrmPYND6Upeq_C7SDIO1o_UXbgS4Q/view?usp=sharing" TargetMode="External"/><Relationship Id="rId152" Type="http://schemas.openxmlformats.org/officeDocument/2006/relationships/hyperlink" Target="https://drive.google.com/file/d/1gnJJuY4U4gepk-nU6_DUV5q5PecvhTzs/view?usp=share_link" TargetMode="External"/><Relationship Id="rId173" Type="http://schemas.openxmlformats.org/officeDocument/2006/relationships/hyperlink" Target="https://drive.google.com/file/d/18n_yqmGHlFMygMxWCrCHNVhXZT08mPhh/view?usp=sharing" TargetMode="External"/><Relationship Id="rId194" Type="http://schemas.openxmlformats.org/officeDocument/2006/relationships/hyperlink" Target="https://drive.google.com/file/d/1b5kG7xqoTI_RxBKorDcgJdqycHaocBBm/view?usp=sharing" TargetMode="External"/><Relationship Id="rId208" Type="http://schemas.openxmlformats.org/officeDocument/2006/relationships/hyperlink" Target="https://drive.google.com/file/d/18oecPKeuB99B8uS9W8IyhdpjnlETTgwE/view?usp=sharing" TargetMode="External"/><Relationship Id="rId229" Type="http://schemas.openxmlformats.org/officeDocument/2006/relationships/hyperlink" Target="https://drive.google.com/file/d/14FYky4BiqUrYWvuNRzuDmVT_DjmrHmUY/view?usp=sharing" TargetMode="External"/><Relationship Id="rId19" Type="http://schemas.openxmlformats.org/officeDocument/2006/relationships/hyperlink" Target="https://drive.google.com/file/d/1RQcdbrIrWsgrUWLXV6CkshEdzL-TdHQr/view?usp=sharing" TargetMode="External"/><Relationship Id="rId224" Type="http://schemas.openxmlformats.org/officeDocument/2006/relationships/hyperlink" Target="https://drive.google.com/file/d/1eQSJP6AlBMF2c2krmCPtp1LmGfN-b9ut/view?usp=sharing" TargetMode="External"/><Relationship Id="rId240" Type="http://schemas.openxmlformats.org/officeDocument/2006/relationships/hyperlink" Target="https://drive.google.com/file/d/177_cISHhXrnxDnt_9z8lqcfFOAj-yPFu/view?usp=sharing" TargetMode="External"/><Relationship Id="rId245" Type="http://schemas.openxmlformats.org/officeDocument/2006/relationships/hyperlink" Target="https://drive.google.com/file/d/167cx3Sr8fP8Av7cS88QDJIlBzLlx25Cv/view?usp=sharing" TargetMode="External"/><Relationship Id="rId261" Type="http://schemas.openxmlformats.org/officeDocument/2006/relationships/hyperlink" Target="https://drive.google.com/file/d/11r0xBS6cxlG3GQXQ26OAswcpXAIdPWxf/view?usp=sharing" TargetMode="External"/><Relationship Id="rId266" Type="http://schemas.openxmlformats.org/officeDocument/2006/relationships/hyperlink" Target="https://drive.google.com/file/d/1uJYBdKWWFY68uRD-wBVpZsysp9qGH-kh/view?usp=sharing" TargetMode="External"/><Relationship Id="rId287" Type="http://schemas.openxmlformats.org/officeDocument/2006/relationships/hyperlink" Target="https://drive.google.com/file/d/1baTh4w68pXLNDeJYHO8kQx80dOf6ceGE/view?usp=sharing" TargetMode="External"/><Relationship Id="rId14" Type="http://schemas.openxmlformats.org/officeDocument/2006/relationships/hyperlink" Target="https://drive.google.com/file/d/1LnNxJt3RPrEems1OtsW0f2pzIlngi6_p/view?usp=sharing" TargetMode="External"/><Relationship Id="rId30" Type="http://schemas.openxmlformats.org/officeDocument/2006/relationships/hyperlink" Target="https://drive.google.com/file/d/1yjLHsaakw00gXbmh2pIosgZk6KxHU1yO/view?usp=sharing" TargetMode="External"/><Relationship Id="rId35" Type="http://schemas.openxmlformats.org/officeDocument/2006/relationships/hyperlink" Target="https://drive.google.com/file/d/1WIQtRw6HJtVLoeYuF1Ys95VsJoO1N-bq/view?usp=sharing" TargetMode="External"/><Relationship Id="rId56" Type="http://schemas.openxmlformats.org/officeDocument/2006/relationships/hyperlink" Target="https://drive.google.com/file/d/11yY3hm8BqcnE0MA8mX3DUYK9KsdRDLEk/view?usp=sharing" TargetMode="External"/><Relationship Id="rId77" Type="http://schemas.openxmlformats.org/officeDocument/2006/relationships/hyperlink" Target="https://drive.google.com/file/d/1PfxMS5-pI2w4x8Ppqe1RZoaqgxLxFf8W/view?usp=sharing" TargetMode="External"/><Relationship Id="rId100" Type="http://schemas.openxmlformats.org/officeDocument/2006/relationships/hyperlink" Target="https://drive.google.com/file/d/1ILfh0QWOmy69yaMBwssRB7EjiLLhlsOr/view?usp=sharing" TargetMode="External"/><Relationship Id="rId105" Type="http://schemas.openxmlformats.org/officeDocument/2006/relationships/hyperlink" Target="https://drive.google.com/file/d/1WyXN8iMm9z6MiPbO9PS6F6i_DbYcgvYu/view?usp=sharing" TargetMode="External"/><Relationship Id="rId126" Type="http://schemas.openxmlformats.org/officeDocument/2006/relationships/hyperlink" Target="https://drive.google.com/file/d/1zq6xyIKSIEh2Gyh959U55_3WDW0d0hvO/view?usp=sharing" TargetMode="External"/><Relationship Id="rId147" Type="http://schemas.openxmlformats.org/officeDocument/2006/relationships/hyperlink" Target="https://drive.google.com/file/d/12whDymcLJsIZseWGqlpNmaSPD14XhDxC/view?usp=sharing" TargetMode="External"/><Relationship Id="rId168" Type="http://schemas.openxmlformats.org/officeDocument/2006/relationships/hyperlink" Target="https://drive.google.com/file/d/1eYEBy-01X5Wu5OBaPIfdeLxIilAn_cZ7/view?usp=sharing" TargetMode="External"/><Relationship Id="rId282" Type="http://schemas.openxmlformats.org/officeDocument/2006/relationships/hyperlink" Target="https://drive.google.com/file/d/1-cgjDlvWghsA1rPiccDWRmHTQGQv0aCa/view?usp=share_link" TargetMode="External"/><Relationship Id="rId312" Type="http://schemas.openxmlformats.org/officeDocument/2006/relationships/hyperlink" Target="https://drive.google.com/file/d/1-C5HmI53EbS8M242Wf5EhF82hcScDZSP/view?usp=sharing" TargetMode="External"/><Relationship Id="rId317" Type="http://schemas.openxmlformats.org/officeDocument/2006/relationships/hyperlink" Target="https://drive.google.com/file/d/1D5SWgh_MEJ78kdhwlRU31AzBNethbAhY/view?usp=sharing" TargetMode="External"/><Relationship Id="rId8" Type="http://schemas.openxmlformats.org/officeDocument/2006/relationships/hyperlink" Target="https://drive.google.com/file/d/1FdEOECLLw489lDRNvuD6HuZBwEtKkP-T/view?usp=sharing" TargetMode="External"/><Relationship Id="rId51" Type="http://schemas.openxmlformats.org/officeDocument/2006/relationships/hyperlink" Target="https://drive.google.com/file/d/1Msw3AA05kRhaGAoG6YnAAkNwZwE7ZGjP/view?usp=sharing" TargetMode="External"/><Relationship Id="rId72" Type="http://schemas.openxmlformats.org/officeDocument/2006/relationships/hyperlink" Target="https://drive.google.com/file/d/13axnxxy9EeIP5g_gQWds-Faro0zO6h8x/view?usp=sharing" TargetMode="External"/><Relationship Id="rId93" Type="http://schemas.openxmlformats.org/officeDocument/2006/relationships/hyperlink" Target="https://drive.google.com/file/d/103oq1G6u12SbusZUnPVGNrZ3Q1E0up_A/view?usp=sharing" TargetMode="External"/><Relationship Id="rId98" Type="http://schemas.openxmlformats.org/officeDocument/2006/relationships/hyperlink" Target="https://drive.google.com/file/d/1XAV1viewKoCHkrmVHqL-l1vMCfSh-hJC/view?usp=sharing" TargetMode="External"/><Relationship Id="rId121" Type="http://schemas.openxmlformats.org/officeDocument/2006/relationships/hyperlink" Target="https://drive.google.com/file/d/1f7reu0VtBheRB6MMm0toYHQr2DcOOp87/view?usp=sharing" TargetMode="External"/><Relationship Id="rId142" Type="http://schemas.openxmlformats.org/officeDocument/2006/relationships/hyperlink" Target="https://drive.google.com/file/d/14Z-UwgUmSdVxtR2mSwyudfIDjbvc0Yga/view?usp=sharing" TargetMode="External"/><Relationship Id="rId163" Type="http://schemas.openxmlformats.org/officeDocument/2006/relationships/hyperlink" Target="https://drive.google.com/file/d/1NhVg7RphTWAk8BAG_W_VkGaJeFUtRI-K/view?usp=sharing" TargetMode="External"/><Relationship Id="rId184" Type="http://schemas.openxmlformats.org/officeDocument/2006/relationships/hyperlink" Target="https://drive.google.com/file/d/1NGNaYyvquXLxKuqDGkGR9aiuiQTeX2s_/view?usp=drive_link" TargetMode="External"/><Relationship Id="rId189" Type="http://schemas.openxmlformats.org/officeDocument/2006/relationships/hyperlink" Target="https://drive.google.com/file/d/1EHZs5lscTGwLnydNFJ9VtKZi3zJ9Qwsu/view?usp=drive_link" TargetMode="External"/><Relationship Id="rId219" Type="http://schemas.openxmlformats.org/officeDocument/2006/relationships/hyperlink" Target="https://drive.google.com/file/d/12_PmJ1BHDrgLKvkN_xf0utfWcmpoB29r/view?usp=sharing" TargetMode="External"/><Relationship Id="rId3" Type="http://schemas.openxmlformats.org/officeDocument/2006/relationships/hyperlink" Target="https://drive.google.com/file/d/1LTfhzOifTRCXrIYickfYeYBESSGipmVv/view?usp=sharing" TargetMode="External"/><Relationship Id="rId214" Type="http://schemas.openxmlformats.org/officeDocument/2006/relationships/hyperlink" Target="https://drive.google.com/file/d/1UAp2gJnjRPhMPcpkWQjOSBaLF3jZojC7/view?usp=sharing" TargetMode="External"/><Relationship Id="rId230" Type="http://schemas.openxmlformats.org/officeDocument/2006/relationships/hyperlink" Target="https://drive.google.com/file/d/1T4gIbj3LipePgvebNxfoLCII8Hy2EfU_/view?usp=sharing" TargetMode="External"/><Relationship Id="rId235" Type="http://schemas.openxmlformats.org/officeDocument/2006/relationships/hyperlink" Target="https://drive.google.com/file/d/16eivQy9RtJP4EO-cEZ8i6EQo2TlvTn-Z/view?usp=sharing" TargetMode="External"/><Relationship Id="rId251" Type="http://schemas.openxmlformats.org/officeDocument/2006/relationships/hyperlink" Target="https://drive.google.com/file/d/1lj3IAcwcW4isXScMxeQWnLPjhrOHZWhx/view?usp=sharing" TargetMode="External"/><Relationship Id="rId256" Type="http://schemas.openxmlformats.org/officeDocument/2006/relationships/hyperlink" Target="https://drive.google.com/file/d/13fwdlRQAsQ1ZYl5DhU0IrJXQQFmOAUyn/view?usp=sharing" TargetMode="External"/><Relationship Id="rId277" Type="http://schemas.openxmlformats.org/officeDocument/2006/relationships/hyperlink" Target="https://drive.google.com/file/d/154RmERfMjnXpt5Evycne6bT9BQgf6XNZ/view?usp=sharing" TargetMode="External"/><Relationship Id="rId298" Type="http://schemas.openxmlformats.org/officeDocument/2006/relationships/hyperlink" Target="https://drive.google.com/file/d/1xbbN191CWMSPVNIvmO2uJIpNmEi2ntWq/view?usp=sharing" TargetMode="External"/><Relationship Id="rId25" Type="http://schemas.openxmlformats.org/officeDocument/2006/relationships/hyperlink" Target="https://drive.google.com/file/d/1yjxJThCuQZgOWfbD4CvRZohFUDY9d1Nb/view?usp=sharing" TargetMode="External"/><Relationship Id="rId46" Type="http://schemas.openxmlformats.org/officeDocument/2006/relationships/hyperlink" Target="https://drive.google.com/file/d/1_RWemRR_pdonrkshMk1ltcxGgvX02Ow5/view?usp=sharing" TargetMode="External"/><Relationship Id="rId67" Type="http://schemas.openxmlformats.org/officeDocument/2006/relationships/hyperlink" Target="https://drive.google.com/file/d/1-yiNPYnizT0z691T_S7RbC1r1MpxNSin/view?usp=sharing" TargetMode="External"/><Relationship Id="rId116" Type="http://schemas.openxmlformats.org/officeDocument/2006/relationships/hyperlink" Target="https://drive.google.com/file/d/1x_83BxR_60tgIHBGlKc79snNF8P_qspK/view?usp=sharing" TargetMode="External"/><Relationship Id="rId137" Type="http://schemas.openxmlformats.org/officeDocument/2006/relationships/hyperlink" Target="https://drive.google.com/file/d/108m5NZdK6sKCXlteeSDoT0VDXgiaSJ0F/view?usp=share_link" TargetMode="External"/><Relationship Id="rId158" Type="http://schemas.openxmlformats.org/officeDocument/2006/relationships/hyperlink" Target="https://drive.google.com/file/d/1gX3fUNfqiYW4gM-EDYcKeJwBrXK0w6pZ/view?usp=share_link" TargetMode="External"/><Relationship Id="rId272" Type="http://schemas.openxmlformats.org/officeDocument/2006/relationships/hyperlink" Target="https://drive.google.com/file/d/1KcLSPxWRYgve3XGOdT5jKVaDc8FMZF9C/view?usp=sharing" TargetMode="External"/><Relationship Id="rId293" Type="http://schemas.openxmlformats.org/officeDocument/2006/relationships/hyperlink" Target="https://drive.google.com/file/d/1MmxnSfvE8jHicyxA_v-xk6LIqxdh9f9x/view?usp=sharing" TargetMode="External"/><Relationship Id="rId302" Type="http://schemas.openxmlformats.org/officeDocument/2006/relationships/hyperlink" Target="https://drive.google.com/file/d/19aQ3ilOwbN_szfjdkhXZveTi5taWKfcJ/view?usp=sharing" TargetMode="External"/><Relationship Id="rId307" Type="http://schemas.openxmlformats.org/officeDocument/2006/relationships/hyperlink" Target="https://drive.google.com/file/d/1btHO1KYyLTx7MpsqQpsVIed6_eyVQZq9/view?usp=sharing" TargetMode="External"/><Relationship Id="rId20" Type="http://schemas.openxmlformats.org/officeDocument/2006/relationships/hyperlink" Target="https://drive.google.com/file/d/1vlRr0b6ekUvIJwtYLlpHbnL_5n62yScr/view?usp=sharing" TargetMode="External"/><Relationship Id="rId41" Type="http://schemas.openxmlformats.org/officeDocument/2006/relationships/hyperlink" Target="https://drive.google.com/file/d/1W2xJfVDvSNKBquYzL39dj9vxigtodDV8/view?usp=sharing" TargetMode="External"/><Relationship Id="rId62" Type="http://schemas.openxmlformats.org/officeDocument/2006/relationships/hyperlink" Target="https://drive.google.com/file/d/1aDNwf3xOlbxt6xcj-F6aKSWGRYIM-NDi/view?usp=share_link" TargetMode="External"/><Relationship Id="rId83" Type="http://schemas.openxmlformats.org/officeDocument/2006/relationships/hyperlink" Target="https://drive.google.com/file/d/1WivhTRX8k92HboWqoXrcBm_8xeY-JczG/view?usp=sharing" TargetMode="External"/><Relationship Id="rId88" Type="http://schemas.openxmlformats.org/officeDocument/2006/relationships/hyperlink" Target="https://drive.google.com/file/d/1dCPPNIKivVXQQYQwjlcg0a2RxLwdM5dm/view?usp=sharing" TargetMode="External"/><Relationship Id="rId111" Type="http://schemas.openxmlformats.org/officeDocument/2006/relationships/hyperlink" Target="https://drive.google.com/file/d/1iDyfIZGZJSfhSVV20tzvKriH6wCLVYfQ/view?usp=sharing" TargetMode="External"/><Relationship Id="rId132" Type="http://schemas.openxmlformats.org/officeDocument/2006/relationships/hyperlink" Target="https://drive.google.com/file/d/1KSOMrmPYND6Upeq_C7SDIO1o_UXbgS4Q/view?usp=sharing" TargetMode="External"/><Relationship Id="rId153" Type="http://schemas.openxmlformats.org/officeDocument/2006/relationships/hyperlink" Target="https://drive.google.com/file/d/1ehIgpaBzk44LvHKQeBTF9ZXw3WSGwXm0/view?usp=sharing" TargetMode="External"/><Relationship Id="rId174" Type="http://schemas.openxmlformats.org/officeDocument/2006/relationships/hyperlink" Target="https://drive.google.com/file/d/1l9BsUvwVMyoYsc9P3BE2FJo1sXTeWG9S/view?usp=sharing" TargetMode="External"/><Relationship Id="rId179" Type="http://schemas.openxmlformats.org/officeDocument/2006/relationships/hyperlink" Target="https://drive.google.com/file/d/1JgNVBw3EjbyRmbXlRoWGR_D2nVlgIPmJ/view?usp=sharing" TargetMode="External"/><Relationship Id="rId195" Type="http://schemas.openxmlformats.org/officeDocument/2006/relationships/hyperlink" Target="https://drive.google.com/file/d/1aqtaFCSSiBoVOA1HzRN22UPKvnLjyCZH/view?usp=sharing" TargetMode="External"/><Relationship Id="rId209" Type="http://schemas.openxmlformats.org/officeDocument/2006/relationships/hyperlink" Target="https://drive.google.com/file/d/1Crwc_9yoq2XkqSj67Dficb_HN99RmDup/view?usp=sharing" TargetMode="External"/><Relationship Id="rId190" Type="http://schemas.openxmlformats.org/officeDocument/2006/relationships/hyperlink" Target="https://drive.google.com/file/d/1Hn6vS9VMusZqO4zsLV1yE40YrRXS1y-f/view?usp=sharing" TargetMode="External"/><Relationship Id="rId204" Type="http://schemas.openxmlformats.org/officeDocument/2006/relationships/hyperlink" Target="https://drive.google.com/file/d/1xYp4ECT8IWiUF_a2cpnuKiHQqL-dTyIg/view?usp=sharing" TargetMode="External"/><Relationship Id="rId220" Type="http://schemas.openxmlformats.org/officeDocument/2006/relationships/hyperlink" Target="https://drive.google.com/file/d/10_6y6pUQi-CH1ifIUFW90OEUfjqf_Mk4/view?usp=sharing" TargetMode="External"/><Relationship Id="rId225" Type="http://schemas.openxmlformats.org/officeDocument/2006/relationships/hyperlink" Target="https://drive.google.com/file/d/1wIAHVzYax6cULGYa2dLlqmyHvYlpvknE/view?usp=sharing" TargetMode="External"/><Relationship Id="rId241" Type="http://schemas.openxmlformats.org/officeDocument/2006/relationships/hyperlink" Target="https://drive.google.com/file/d/1xfSO-dKAib_BvQUEqMwtAo-TjOlk5CjY/view?usp=sharing" TargetMode="External"/><Relationship Id="rId246" Type="http://schemas.openxmlformats.org/officeDocument/2006/relationships/hyperlink" Target="https://drive.google.com/file/d/1YCAGkhOs5_CP1Fy0iN2mbeRq3AtAOiW7/view?usp=sharing" TargetMode="External"/><Relationship Id="rId267" Type="http://schemas.openxmlformats.org/officeDocument/2006/relationships/hyperlink" Target="https://drive.google.com/file/d/1zsxoYr2-d9mGaKxPf3fooHElcUp3OdNe/view?usp=sharing" TargetMode="External"/><Relationship Id="rId288" Type="http://schemas.openxmlformats.org/officeDocument/2006/relationships/hyperlink" Target="https://drive.google.com/file/d/1eX_lSxb_Y5sFezzB7sgC0OnU57lnHp2C/view?usp=sharing" TargetMode="External"/><Relationship Id="rId15" Type="http://schemas.openxmlformats.org/officeDocument/2006/relationships/hyperlink" Target="https://drive.google.com/file/d/1uDDSJotyiHD5aJpwKBnhH1WcFHy8KepI/view?usp=sharing" TargetMode="External"/><Relationship Id="rId36" Type="http://schemas.openxmlformats.org/officeDocument/2006/relationships/hyperlink" Target="https://drive.google.com/file/d/1WIQtRw6HJtVLoeYuF1Ys95VsJoO1N-bq/view?usp=sharing" TargetMode="External"/><Relationship Id="rId57" Type="http://schemas.openxmlformats.org/officeDocument/2006/relationships/hyperlink" Target="https://drive.google.com/file/d/1gc_yeexaTW6IytdTERy_0n7jaHj5PxaU/view?usp=sharing" TargetMode="External"/><Relationship Id="rId106" Type="http://schemas.openxmlformats.org/officeDocument/2006/relationships/hyperlink" Target="https://drive.google.com/file/d/14NncRfKeN74pZUwPE_ZBFmty7doJnJNt/view?usp=sharing" TargetMode="External"/><Relationship Id="rId127" Type="http://schemas.openxmlformats.org/officeDocument/2006/relationships/hyperlink" Target="https://drive.google.com/file/d/1LdOFN5tuaoTwzO_wiLQuGOHHxS-CQ2Jo/view?usp=sharing" TargetMode="External"/><Relationship Id="rId262" Type="http://schemas.openxmlformats.org/officeDocument/2006/relationships/hyperlink" Target="https://drive.google.com/file/d/19KurNjV_l-MiA8KR3oid6_tIlWqPvMg0/view?usp=sharing" TargetMode="External"/><Relationship Id="rId283" Type="http://schemas.openxmlformats.org/officeDocument/2006/relationships/hyperlink" Target="https://drive.google.com/file/d/1WOVnb7e6Ha_fLzTXomsYVp19u8QICp5e/view?usp=sharing" TargetMode="External"/><Relationship Id="rId313" Type="http://schemas.openxmlformats.org/officeDocument/2006/relationships/hyperlink" Target="https://drive.google.com/file/d/12rIjm90A3myxEIur608ya4DXp8MfLEiA/view?usp=drive_link" TargetMode="External"/><Relationship Id="rId318" Type="http://schemas.openxmlformats.org/officeDocument/2006/relationships/hyperlink" Target="https://drive.google.com/file/d/1IJRsCADeSJGRQ-FI7sIuaAOsWkbBgKWo/view?usp=sharing" TargetMode="External"/><Relationship Id="rId10" Type="http://schemas.openxmlformats.org/officeDocument/2006/relationships/hyperlink" Target="https://drive.google.com/file/d/1i2NEl5FCJiO6CoxsABIAo72V-0WKbsMj/view?usp=sharing" TargetMode="External"/><Relationship Id="rId31" Type="http://schemas.openxmlformats.org/officeDocument/2006/relationships/hyperlink" Target="https://drive.google.com/file/d/1YUIGPAp6CZpGWSxTdBkyVi8pXVTg7Ddx/view?usp=sharing" TargetMode="External"/><Relationship Id="rId52" Type="http://schemas.openxmlformats.org/officeDocument/2006/relationships/hyperlink" Target="https://drive.google.com/file/d/1bt6fDQoAv92vpDX-xNUHG0aM2ar3gKcE/view?usp=share_link" TargetMode="External"/><Relationship Id="rId73" Type="http://schemas.openxmlformats.org/officeDocument/2006/relationships/hyperlink" Target="https://drive.google.com/file/d/1cDaDsCthKRlbnbcxNYJ3IxRv-6235aNz/view?usp=sharing" TargetMode="External"/><Relationship Id="rId78" Type="http://schemas.openxmlformats.org/officeDocument/2006/relationships/hyperlink" Target="https://drive.google.com/file/d/16tBwlk5FuTqPVmxiYYGVIMqwi-WyEKE0/view?usp=sharing" TargetMode="External"/><Relationship Id="rId94" Type="http://schemas.openxmlformats.org/officeDocument/2006/relationships/hyperlink" Target="https://drive.google.com/file/d/1EBJwx78nzA8nkn-OOuD55JWPij-EZMrK/view?usp=sharing" TargetMode="External"/><Relationship Id="rId99" Type="http://schemas.openxmlformats.org/officeDocument/2006/relationships/hyperlink" Target="https://drive.google.com/file/d/1NfQCEZD8iCCY0bCoKI4AoqVC1q3CdwcB/view?usp=sharing" TargetMode="External"/><Relationship Id="rId101" Type="http://schemas.openxmlformats.org/officeDocument/2006/relationships/hyperlink" Target="https://drive.google.com/file/d/1ILfh0QWOmy69yaMBwssRB7EjiLLhlsOr/view?usp=sharing" TargetMode="External"/><Relationship Id="rId122" Type="http://schemas.openxmlformats.org/officeDocument/2006/relationships/hyperlink" Target="https://drive.google.com/file/d/1f7reu0VtBheRB6MMm0toYHQr2DcOOp87/view?usp=sharing" TargetMode="External"/><Relationship Id="rId143" Type="http://schemas.openxmlformats.org/officeDocument/2006/relationships/hyperlink" Target="https://drive.google.com/file/d/1oEr_VzKfQIOoDtjUiyImwX6VDWxaDAkX/view?usp=sharing" TargetMode="External"/><Relationship Id="rId148" Type="http://schemas.openxmlformats.org/officeDocument/2006/relationships/hyperlink" Target="https://drive.google.com/file/d/17t29qFy4LoAmPwApOdB7i9dgEk8ST9_s/view?usp=share_link" TargetMode="External"/><Relationship Id="rId164" Type="http://schemas.openxmlformats.org/officeDocument/2006/relationships/hyperlink" Target="https://drive.google.com/file/d/1JnEBOCjYcWyw-X7ow26sErdUjnAnENxA/view?usp=sharing" TargetMode="External"/><Relationship Id="rId169" Type="http://schemas.openxmlformats.org/officeDocument/2006/relationships/hyperlink" Target="https://drive.google.com/file/d/1bDYoBK24HZze99XYev-T8n-qxr0SQhBM/view?usp=sharing" TargetMode="External"/><Relationship Id="rId185" Type="http://schemas.openxmlformats.org/officeDocument/2006/relationships/hyperlink" Target="https://drive.google.com/file/d/1hQiewyDmCd9dIqAdcsPeWO_xtHghMsRo/view?usp=sharing" TargetMode="External"/><Relationship Id="rId4" Type="http://schemas.openxmlformats.org/officeDocument/2006/relationships/hyperlink" Target="https://drive.google.com/file/d/1gWqPvExBiLPUyxKt5MIS8cNd7Dfm0Q2P/view?usp=sharing" TargetMode="External"/><Relationship Id="rId9" Type="http://schemas.openxmlformats.org/officeDocument/2006/relationships/hyperlink" Target="https://drive.google.com/file/d/1i2NEl5FCJiO6CoxsABIAo72V-0WKbsMj/view?usp=sharing" TargetMode="External"/><Relationship Id="rId180" Type="http://schemas.openxmlformats.org/officeDocument/2006/relationships/hyperlink" Target="https://drive.google.com/file/d/1C328zjvB44W5YHHoAg8GMBOg7oGmjMP0/view?usp=sharing" TargetMode="External"/><Relationship Id="rId210" Type="http://schemas.openxmlformats.org/officeDocument/2006/relationships/hyperlink" Target="https://drive.google.com/file/d/1F-I-QKuKijWA5WrDZOPztdHU-NlTx0Pq/view?usp=sharing" TargetMode="External"/><Relationship Id="rId215" Type="http://schemas.openxmlformats.org/officeDocument/2006/relationships/hyperlink" Target="https://drive.google.com/file/d/11N-OjAa15B5TJrn8I_ax7-sjBsUa0uJF/view?usp=sharing" TargetMode="External"/><Relationship Id="rId236" Type="http://schemas.openxmlformats.org/officeDocument/2006/relationships/hyperlink" Target="https://drive.google.com/file/d/1vHtxk4SwZVCtocwHYsF5dPot0wkmMuek/view?usp=sharing" TargetMode="External"/><Relationship Id="rId257" Type="http://schemas.openxmlformats.org/officeDocument/2006/relationships/hyperlink" Target="https://drive.google.com/file/d/1Io4IbTNgBQD_PT6lxB61tjDJ4GCiDxjN/view?usp=sharing" TargetMode="External"/><Relationship Id="rId278" Type="http://schemas.openxmlformats.org/officeDocument/2006/relationships/hyperlink" Target="https://drive.google.com/file/d/1xPBS-qNI5lCmV2Pyu0bJOpMDdW9Y-gEs/view?usp=sharing" TargetMode="External"/><Relationship Id="rId26" Type="http://schemas.openxmlformats.org/officeDocument/2006/relationships/hyperlink" Target="https://drive.google.com/file/d/1cJSsYclm2EvZmI-9bPMl9Qypj8EKccsi/view?usp=sharing" TargetMode="External"/><Relationship Id="rId231" Type="http://schemas.openxmlformats.org/officeDocument/2006/relationships/hyperlink" Target="https://drive.google.com/file/d/1DXh9Osmg5VPg4uK87h_TTTv_ATxXewOZ/view?usp=sharing" TargetMode="External"/><Relationship Id="rId252" Type="http://schemas.openxmlformats.org/officeDocument/2006/relationships/hyperlink" Target="https://drive.google.com/file/d/18Vxbl5gWXNkPt7e8foe15Kyp1h6PrVuU/view?usp=sharing" TargetMode="External"/><Relationship Id="rId273" Type="http://schemas.openxmlformats.org/officeDocument/2006/relationships/hyperlink" Target="https://drive.google.com/file/d/1MRWUbt2W1KNFkM3XmvKWgiHjhtrpwQex/view?usp=sharing" TargetMode="External"/><Relationship Id="rId294" Type="http://schemas.openxmlformats.org/officeDocument/2006/relationships/hyperlink" Target="https://drive.google.com/file/d/1W26Mm1YvXaazxGlxDZoi5ZLttrgV0eKa/view?usp=sharing" TargetMode="External"/><Relationship Id="rId308" Type="http://schemas.openxmlformats.org/officeDocument/2006/relationships/hyperlink" Target="https://drive.google.com/file/d/1t645cAxAg8jTpYvfRS7_TSQs_ZJOo_CF/view?usp=sharing" TargetMode="External"/><Relationship Id="rId47" Type="http://schemas.openxmlformats.org/officeDocument/2006/relationships/hyperlink" Target="https://drive.google.com/file/d/1xidpAyD5rHAV_gm0ApBkL5dbrxe6cLcj/view?usp=sharing" TargetMode="External"/><Relationship Id="rId68" Type="http://schemas.openxmlformats.org/officeDocument/2006/relationships/hyperlink" Target="https://drive.google.com/file/d/17LWm--xoJYwz47MBFdZ7tYTd-ewut3EC/view?usp=sharing" TargetMode="External"/><Relationship Id="rId89" Type="http://schemas.openxmlformats.org/officeDocument/2006/relationships/hyperlink" Target="https://drive.google.com/file/d/1jOkn5r6huCGcjsWwChQ7Fohgd-HYtIbU/view?usp=sharing" TargetMode="External"/><Relationship Id="rId112" Type="http://schemas.openxmlformats.org/officeDocument/2006/relationships/hyperlink" Target="https://drive.google.com/file/d/1iDyfIZGZJSfhSVV20tzvKriH6wCLVYfQ/view?usp=sharing" TargetMode="External"/><Relationship Id="rId133" Type="http://schemas.openxmlformats.org/officeDocument/2006/relationships/hyperlink" Target="https://drive.google.com/file/d/1erFXu9JvkVICvAnOFmFH7DOtO2NxH_X3/view?usp=sharing" TargetMode="External"/><Relationship Id="rId154" Type="http://schemas.openxmlformats.org/officeDocument/2006/relationships/hyperlink" Target="https://drive.google.com/file/d/1BFMpM_S3h7uUZFMl2bkVg8v7XG7h0XsA/view?usp=sharing" TargetMode="External"/><Relationship Id="rId175" Type="http://schemas.openxmlformats.org/officeDocument/2006/relationships/hyperlink" Target="https://drive.google.com/file/d/1eWPJMx-lnTkJMxwbl35EvIaPRJb8QpZ7/view?usp=drive_link" TargetMode="External"/><Relationship Id="rId196" Type="http://schemas.openxmlformats.org/officeDocument/2006/relationships/hyperlink" Target="https://drive.google.com/file/d/1-861Fx3dh7ZLNobrluWUZaHBHI8KHtRi/view?usp=sharing" TargetMode="External"/><Relationship Id="rId200" Type="http://schemas.openxmlformats.org/officeDocument/2006/relationships/hyperlink" Target="https://drive.google.com/file/d/1EYa0DirC_bki_GkkSZY25yUV314qFwXb/view?usp=sharing" TargetMode="External"/><Relationship Id="rId16" Type="http://schemas.openxmlformats.org/officeDocument/2006/relationships/hyperlink" Target="https://drive.google.com/file/d/11JpnRC61ADorSLwMU-kso_Xl6LN4j8f-/view?usp=sharing" TargetMode="External"/><Relationship Id="rId221" Type="http://schemas.openxmlformats.org/officeDocument/2006/relationships/hyperlink" Target="https://drive.google.com/file/d/1vi47C-YHy6Caoas1ocFvkUCK8FTACo0X/view?usp=sharing" TargetMode="External"/><Relationship Id="rId242" Type="http://schemas.openxmlformats.org/officeDocument/2006/relationships/hyperlink" Target="https://drive.google.com/file/d/1KuPrqFru-1XoCsZ8MTtIaUrUsaSfBsz1/view?usp=sharing" TargetMode="External"/><Relationship Id="rId263" Type="http://schemas.openxmlformats.org/officeDocument/2006/relationships/hyperlink" Target="https://drive.google.com/file/d/1chahu_oJSzbPmm-65M75Sb3tzgaFa2nD/view?usp=sharing" TargetMode="External"/><Relationship Id="rId284" Type="http://schemas.openxmlformats.org/officeDocument/2006/relationships/hyperlink" Target="https://drive.google.com/file/d/1ZJq03YBiByq14hphBCl3PeOzCP2al97H/view?usp=sharing" TargetMode="External"/><Relationship Id="rId319" Type="http://schemas.openxmlformats.org/officeDocument/2006/relationships/hyperlink" Target="https://drive.google.com/file/d/10GomHXk5HDWv4Z4YVd8Hks4J36zLME4B/view?usp=sharing" TargetMode="External"/><Relationship Id="rId37" Type="http://schemas.openxmlformats.org/officeDocument/2006/relationships/hyperlink" Target="https://drive.google.com/file/d/1CYsBzWwj_jaEQSDH5c7oVZCCddPjBsTP/view?usp=sharing" TargetMode="External"/><Relationship Id="rId58" Type="http://schemas.openxmlformats.org/officeDocument/2006/relationships/hyperlink" Target="https://drive.google.com/file/d/1SHwwn_lUoz8tSKlEev06AvHuI3sMX_zX/view?usp=sharing" TargetMode="External"/><Relationship Id="rId79" Type="http://schemas.openxmlformats.org/officeDocument/2006/relationships/hyperlink" Target="https://drive.google.com/file/d/1x1uM6VxHc05cQn2tNKlOq9Tgmkm2T6jW/view?usp=sharing" TargetMode="External"/><Relationship Id="rId102" Type="http://schemas.openxmlformats.org/officeDocument/2006/relationships/hyperlink" Target="https://drive.google.com/file/d/1NLXpkF2o4aXbK1gIHsRbKUQRTRTy13xu/view?usp=sharing" TargetMode="External"/><Relationship Id="rId123" Type="http://schemas.openxmlformats.org/officeDocument/2006/relationships/hyperlink" Target="https://drive.google.com/file/d/1fK7Avp-8BFCeIqnAidEgD2oa6bf2uyXn/view?usp=sharing" TargetMode="External"/><Relationship Id="rId144" Type="http://schemas.openxmlformats.org/officeDocument/2006/relationships/hyperlink" Target="https://drive.google.com/file/d/1-ND0-Yke6jSx-_CjWlXsZ3SxEfWL1Nnl/view?usp=share_link" TargetMode="External"/><Relationship Id="rId90" Type="http://schemas.openxmlformats.org/officeDocument/2006/relationships/hyperlink" Target="https://drive.google.com/file/d/1EBgHfU_taC3ecSLHeV8DDMGxmm0Jfv1_/view?usp=sharing" TargetMode="External"/><Relationship Id="rId165" Type="http://schemas.openxmlformats.org/officeDocument/2006/relationships/hyperlink" Target="https://drive.google.com/file/d/1zSQ_0j4EAv3AxYiXUwXKLQ6irimc5MdU/view?usp=sharing" TargetMode="External"/><Relationship Id="rId186" Type="http://schemas.openxmlformats.org/officeDocument/2006/relationships/hyperlink" Target="https://drive.google.com/file/d/11-uo34o74UcxfOPi8GnKxmve_oamozXD/view?usp=drive_link" TargetMode="External"/><Relationship Id="rId211" Type="http://schemas.openxmlformats.org/officeDocument/2006/relationships/hyperlink" Target="https://drive.google.com/file/d/1K7mdZCo9d2Tg3BA-OqZ4wA4Ujwc1Q38X/view?usp=sharing" TargetMode="External"/><Relationship Id="rId232" Type="http://schemas.openxmlformats.org/officeDocument/2006/relationships/hyperlink" Target="https://drive.google.com/file/d/1Sj1HY4_FYSbwVpVAQO1k_emTlsaG10Hu/view?usp=sharing" TargetMode="External"/><Relationship Id="rId253" Type="http://schemas.openxmlformats.org/officeDocument/2006/relationships/hyperlink" Target="https://drive.google.com/file/d/1YCAGkhOs5_CP1Fy0iN2mbeRq3AtAOiW7/view?usp=sharing" TargetMode="External"/><Relationship Id="rId274" Type="http://schemas.openxmlformats.org/officeDocument/2006/relationships/hyperlink" Target="https://drive.google.com/file/d/12G1K0oR6etb7wzyQCk6q3cPGOd7apOAE/view?usp=sharing" TargetMode="External"/><Relationship Id="rId295" Type="http://schemas.openxmlformats.org/officeDocument/2006/relationships/hyperlink" Target="https://drive.google.com/file/d/13siWcO-CQK4pILZReK4qgQpsKxN7iVBC/view?usp=sharing" TargetMode="External"/><Relationship Id="rId309" Type="http://schemas.openxmlformats.org/officeDocument/2006/relationships/hyperlink" Target="https://drive.google.com/file/d/1qNu_A3kPMKkbGFUnpCoMnnz5Bu4gdRez/view?usp=drive_link" TargetMode="External"/><Relationship Id="rId27" Type="http://schemas.openxmlformats.org/officeDocument/2006/relationships/hyperlink" Target="https://drive.google.com/file/d/1YnKq-SvPhWwTuZ08ze0F1p7J2DEMJ_XJ/view?usp=sharing" TargetMode="External"/><Relationship Id="rId48" Type="http://schemas.openxmlformats.org/officeDocument/2006/relationships/hyperlink" Target="https://drive.google.com/file/d/1lDRBWLekq-BLxJQaJJzcjTAh9w1nqZpS/view?usp=share_link" TargetMode="External"/><Relationship Id="rId69" Type="http://schemas.openxmlformats.org/officeDocument/2006/relationships/hyperlink" Target="https://drive.google.com/file/d/1jDONqJiwE0VVquk7vNf39h9emm2bisxW/view?usp=drive_link" TargetMode="External"/><Relationship Id="rId113" Type="http://schemas.openxmlformats.org/officeDocument/2006/relationships/hyperlink" Target="https://drive.google.com/file/d/1OWsk0z-fdVPqeKX4hNoiZemgRgFmTdje/view?usp=sharing" TargetMode="External"/><Relationship Id="rId134" Type="http://schemas.openxmlformats.org/officeDocument/2006/relationships/hyperlink" Target="https://drive.google.com/file/d/1H4GPnwpaDlqqr38PswuKu-7w-TtCBsWC/view?usp=sharing" TargetMode="External"/><Relationship Id="rId320" Type="http://schemas.openxmlformats.org/officeDocument/2006/relationships/hyperlink" Target="https://drive.google.com/file/d/1boXpnatl_MhDp1gzP2LddYWN4tAnMg1m/view?usp=sharing" TargetMode="External"/><Relationship Id="rId80" Type="http://schemas.openxmlformats.org/officeDocument/2006/relationships/hyperlink" Target="https://drive.google.com/file/d/1HIAcgqXpqvGx5UKkURDMyPgPApT1lBWu/view?usp=sharing" TargetMode="External"/><Relationship Id="rId155" Type="http://schemas.openxmlformats.org/officeDocument/2006/relationships/hyperlink" Target="https://drive.google.com/file/d/10z0jecVUhZOZFFkPKSX8F7IMLaLiZ70z/view?usp=sharing" TargetMode="External"/><Relationship Id="rId176" Type="http://schemas.openxmlformats.org/officeDocument/2006/relationships/hyperlink" Target="https://drive.google.com/file/d/1K0JbZ2akMvjbhcQBvFiiRv-U7RtrFWbE/view?usp=sharing" TargetMode="External"/><Relationship Id="rId197" Type="http://schemas.openxmlformats.org/officeDocument/2006/relationships/hyperlink" Target="https://drive.google.com/file/d/1iiZUdcwvNShTgswNC_tiJ1BBX-e5C6R6/view?usp=sharing" TargetMode="External"/><Relationship Id="rId201" Type="http://schemas.openxmlformats.org/officeDocument/2006/relationships/hyperlink" Target="https://drive.google.com/file/d/19hIPAesy_Z7an7DLA2AIuZ4M8Qs5c2QD/view?usp=sharing" TargetMode="External"/><Relationship Id="rId222" Type="http://schemas.openxmlformats.org/officeDocument/2006/relationships/hyperlink" Target="https://drive.google.com/file/d/1VovdqlP25T0aTmsMc14_SE5p9PLF1mcS/view?usp=sharing" TargetMode="External"/><Relationship Id="rId243" Type="http://schemas.openxmlformats.org/officeDocument/2006/relationships/hyperlink" Target="https://drive.google.com/file/d/1sAsMNP1fBMmlyjGEwhnwLzc4Ta4taW8a/view?usp=sharing" TargetMode="External"/><Relationship Id="rId264" Type="http://schemas.openxmlformats.org/officeDocument/2006/relationships/hyperlink" Target="https://drive.google.com/file/d/1ifTCVCOGryxgVG-S-w6TjyibdVsUqJF-/view?usp=sharing" TargetMode="External"/><Relationship Id="rId285" Type="http://schemas.openxmlformats.org/officeDocument/2006/relationships/hyperlink" Target="https://drive.google.com/file/d/1RK2XLklB9oiAv3rqelauMCMr1jPqZ35q/view?usp=sharing" TargetMode="External"/><Relationship Id="rId17" Type="http://schemas.openxmlformats.org/officeDocument/2006/relationships/hyperlink" Target="https://drive.google.com/file/d/1jdZu-zhEQSIzfMYaKfP-NzuS0a0ChhJJ/view?usp=sharing" TargetMode="External"/><Relationship Id="rId38" Type="http://schemas.openxmlformats.org/officeDocument/2006/relationships/hyperlink" Target="https://drive.google.com/file/d/19F6Ie-cpd27HH7lCcCl-0TowLTyGkcGa/view?usp=share_link" TargetMode="External"/><Relationship Id="rId59" Type="http://schemas.openxmlformats.org/officeDocument/2006/relationships/hyperlink" Target="https://drive.google.com/file/d/1_H6C1wEKnN7vmmqNfE7D837eMRKg8STl/view?usp=sharing" TargetMode="External"/><Relationship Id="rId103" Type="http://schemas.openxmlformats.org/officeDocument/2006/relationships/hyperlink" Target="https://drive.google.com/file/d/1dCjfIyotkI6DF0XLHQ6g-6Z600Uv-OGv/view?usp=sharing" TargetMode="External"/><Relationship Id="rId124" Type="http://schemas.openxmlformats.org/officeDocument/2006/relationships/hyperlink" Target="https://drive.google.com/file/d/1rEwAr1SNxHRpznd4GwDVYb49hGuNpMUK/view?usp=sharing" TargetMode="External"/><Relationship Id="rId310" Type="http://schemas.openxmlformats.org/officeDocument/2006/relationships/hyperlink" Target="https://drive.google.com/file/d/1fAAetCL-E5ENGHJ68eYrlaNHltpeHTB1/view?usp=sharing" TargetMode="External"/><Relationship Id="rId70" Type="http://schemas.openxmlformats.org/officeDocument/2006/relationships/hyperlink" Target="https://drive.google.com/file/d/1Sityyyt9_dUUslwE0c3cxl_rcBFhVang/view?usp=sharing" TargetMode="External"/><Relationship Id="rId91" Type="http://schemas.openxmlformats.org/officeDocument/2006/relationships/hyperlink" Target="https://drive.google.com/file/d/1yg73qu-BPtyjZJtG4bYRjzLBpPR4KT4J/view?usp=sharing" TargetMode="External"/><Relationship Id="rId145" Type="http://schemas.openxmlformats.org/officeDocument/2006/relationships/hyperlink" Target="https://drive.google.com/file/d/1Ppun2QFtcTX42aHPkID-p7VhpoZJhu7P/view?usp=sharing" TargetMode="External"/><Relationship Id="rId166" Type="http://schemas.openxmlformats.org/officeDocument/2006/relationships/hyperlink" Target="https://drive.google.com/file/d/1oYhILoXMJtRBKbG93RWZT13y5swD5th_/view?usp=drive_link" TargetMode="External"/><Relationship Id="rId187" Type="http://schemas.openxmlformats.org/officeDocument/2006/relationships/hyperlink" Target="https://drive.google.com/file/d/19GPZOTcAe6Z-W2XC2OJVxqbZtSsV1cbx/view?usp=sharing" TargetMode="External"/><Relationship Id="rId1" Type="http://schemas.openxmlformats.org/officeDocument/2006/relationships/hyperlink" Target="https://drive.google.com/file/d/1bvvGumy8TjNZUEHQcAMpZwdcEExZVT4S/view?usp=sharing" TargetMode="External"/><Relationship Id="rId212" Type="http://schemas.openxmlformats.org/officeDocument/2006/relationships/hyperlink" Target="https://drive.google.com/file/d/1mo_CcuOPiPP9jQrCkOkNCHYPmv5R9OYF/view?usp=sharing" TargetMode="External"/><Relationship Id="rId233" Type="http://schemas.openxmlformats.org/officeDocument/2006/relationships/hyperlink" Target="https://drive.google.com/file/d/1lhN0CdAQ3snAkKGQJR8pnuZmZ8tkbzat/view?usp=sharing" TargetMode="External"/><Relationship Id="rId254" Type="http://schemas.openxmlformats.org/officeDocument/2006/relationships/hyperlink" Target="https://drive.google.com/file/d/1KixS9i8xiaHW_wVeKNGL8IWO4eSCn2IZ/view?usp=sharing" TargetMode="External"/><Relationship Id="rId28" Type="http://schemas.openxmlformats.org/officeDocument/2006/relationships/hyperlink" Target="https://drive.google.com/file/d/1YnKq-SvPhWwTuZ08ze0F1p7J2DEMJ_XJ/view?usp=sharing" TargetMode="External"/><Relationship Id="rId49" Type="http://schemas.openxmlformats.org/officeDocument/2006/relationships/hyperlink" Target="https://drive.google.com/file/d/1eAi-C1IfaWRUCZmBs-Al_0HkCbNIMzL3/view?usp=sharing" TargetMode="External"/><Relationship Id="rId114" Type="http://schemas.openxmlformats.org/officeDocument/2006/relationships/hyperlink" Target="https://drive.google.com/file/d/1OWsk0z-fdVPqeKX4hNoiZemgRgFmTdje/view?usp=sharing" TargetMode="External"/><Relationship Id="rId275" Type="http://schemas.openxmlformats.org/officeDocument/2006/relationships/hyperlink" Target="https://drive.google.com/file/d/1kuo59ZLkTTc0zzxkgFx1UMHy469AD9ov/view?usp=sharing" TargetMode="External"/><Relationship Id="rId296" Type="http://schemas.openxmlformats.org/officeDocument/2006/relationships/hyperlink" Target="https://drive.google.com/file/d/1-kAf9nd-E_8Rz8HPMt55NMlxcY5k1XV-/view?usp=sharing" TargetMode="External"/><Relationship Id="rId300" Type="http://schemas.openxmlformats.org/officeDocument/2006/relationships/hyperlink" Target="https://drive.google.com/file/d/1SDUWkZ1KqaHavrfvog3HUR7ldWZBqCWn/view?usp=sharing" TargetMode="External"/><Relationship Id="rId60" Type="http://schemas.openxmlformats.org/officeDocument/2006/relationships/hyperlink" Target="https://drive.google.com/file/d/1X10M8I0AF-4WKyC03lHlQr2mTUgbVNQB/view?usp=sharing" TargetMode="External"/><Relationship Id="rId81" Type="http://schemas.openxmlformats.org/officeDocument/2006/relationships/hyperlink" Target="https://drive.google.com/file/d/1Och12zHKOpQWPIH5EyMp57uWSaMl2hzi/view?usp=sharing" TargetMode="External"/><Relationship Id="rId135" Type="http://schemas.openxmlformats.org/officeDocument/2006/relationships/hyperlink" Target="https://drive.google.com/file/d/19o-EDJiDuUyvfSM69Z7MAmHcINiuaUTb/view?usp=sharing" TargetMode="External"/><Relationship Id="rId156" Type="http://schemas.openxmlformats.org/officeDocument/2006/relationships/hyperlink" Target="https://drive.google.com/file/d/1L3Y_VV_eEdBiyYDiB0gB6nxO4JO8fT_-/view?usp=share_link" TargetMode="External"/><Relationship Id="rId177" Type="http://schemas.openxmlformats.org/officeDocument/2006/relationships/hyperlink" Target="https://drive.google.com/file/d/1Sj1HY4_FYSbwVpVAQO1k_emTlsaG10Hu/view?usp=sharing" TargetMode="External"/><Relationship Id="rId198" Type="http://schemas.openxmlformats.org/officeDocument/2006/relationships/hyperlink" Target="https://drive.google.com/file/d/1sb3Fvz6dEd0M86RToN66-Ufgb2x9CzWn/view?usp=sharing" TargetMode="External"/><Relationship Id="rId321" Type="http://schemas.openxmlformats.org/officeDocument/2006/relationships/hyperlink" Target="https://drive.google.com/file/d/1Sflkbl0Y9mf7X8_tWUyA3z7baJ5HtKX-/view?usp=sharing" TargetMode="External"/><Relationship Id="rId202" Type="http://schemas.openxmlformats.org/officeDocument/2006/relationships/hyperlink" Target="https://drive.google.com/file/d/1KLVwkI0QWu5eZ7qzE08txTjHY7Hbb8I_/view?usp=sharing" TargetMode="External"/><Relationship Id="rId223" Type="http://schemas.openxmlformats.org/officeDocument/2006/relationships/hyperlink" Target="https://drive.google.com/file/d/1XAu8BG5RqGNEoh3w6fysudEEoxE5d-KU/view?usp=sharing" TargetMode="External"/><Relationship Id="rId244" Type="http://schemas.openxmlformats.org/officeDocument/2006/relationships/hyperlink" Target="https://drive.google.com/file/d/1grGm-jgPGEoK8FsnL0BMMaVGNfSbiXO4/view?usp=sharing" TargetMode="External"/><Relationship Id="rId18" Type="http://schemas.openxmlformats.org/officeDocument/2006/relationships/hyperlink" Target="https://drive.google.com/file/d/1XDCGtFxFPBO7_ocwHobgX_Rb6DglTPGn/view?usp=sharing" TargetMode="External"/><Relationship Id="rId39" Type="http://schemas.openxmlformats.org/officeDocument/2006/relationships/hyperlink" Target="https://drive.google.com/file/d/1jS11rAha2S2BJC8fGNNsHu9Qp4nE7WNx/view?usp=sharing" TargetMode="External"/><Relationship Id="rId265" Type="http://schemas.openxmlformats.org/officeDocument/2006/relationships/hyperlink" Target="https://drive.google.com/file/d/1mj-DhotmgOU1136PmytzwhaZJg0LDR7X/view?usp=sharing" TargetMode="External"/><Relationship Id="rId286" Type="http://schemas.openxmlformats.org/officeDocument/2006/relationships/hyperlink" Target="https://drive.google.com/file/d/1KWlwe-7_xQ8XLTamJZIxNpEiQZi5UXTC/view?usp=sharing" TargetMode="External"/><Relationship Id="rId50" Type="http://schemas.openxmlformats.org/officeDocument/2006/relationships/hyperlink" Target="https://drive.google.com/file/d/1eAi-C1IfaWRUCZmBs-Al_0HkCbNIMzL3/view?usp=sharing" TargetMode="External"/><Relationship Id="rId104" Type="http://schemas.openxmlformats.org/officeDocument/2006/relationships/hyperlink" Target="https://drive.google.com/file/d/1dCjfIyotkI6DF0XLHQ6g-6Z600Uv-OGv/view?usp=sharing" TargetMode="External"/><Relationship Id="rId125" Type="http://schemas.openxmlformats.org/officeDocument/2006/relationships/hyperlink" Target="https://drive.google.com/file/d/1f_DpxLTbLG2lBVl_vZpT5D8wXRS-fr9R/view?usp=sharing" TargetMode="External"/><Relationship Id="rId146" Type="http://schemas.openxmlformats.org/officeDocument/2006/relationships/hyperlink" Target="https://drive.google.com/file/d/1GeX00EVv8gWlA7KudfKzn9nTK-cJpZ07/view?usp=sharing" TargetMode="External"/><Relationship Id="rId167" Type="http://schemas.openxmlformats.org/officeDocument/2006/relationships/hyperlink" Target="https://drive.google.com/file/d/1Sj1HY4_FYSbwVpVAQO1k_emTlsaG10Hu/view?usp=sharing" TargetMode="External"/><Relationship Id="rId188" Type="http://schemas.openxmlformats.org/officeDocument/2006/relationships/hyperlink" Target="https://drive.google.com/file/d/1vtvdfcDiJN_BwEXsPBTyl2qWkgE-2NPb/view?usp=sharing" TargetMode="External"/><Relationship Id="rId311" Type="http://schemas.openxmlformats.org/officeDocument/2006/relationships/hyperlink" Target="https://drive.google.com/file/d/1jEUCs4cAHg0VcScbmGyTVh7rjygvJ8ZP/view?usp=sharing" TargetMode="External"/><Relationship Id="rId71" Type="http://schemas.openxmlformats.org/officeDocument/2006/relationships/hyperlink" Target="https://drive.google.com/file/d/1qhv8ZXgmBEBpoOtrXUDOpXb0ruYZF5Wx/view?usp=sharing" TargetMode="External"/><Relationship Id="rId92" Type="http://schemas.openxmlformats.org/officeDocument/2006/relationships/hyperlink" Target="https://drive.google.com/file/d/1M3rxaRB_LsvqDdhYxnZITvGFxefGmhLB/view?usp=sharing" TargetMode="External"/><Relationship Id="rId213" Type="http://schemas.openxmlformats.org/officeDocument/2006/relationships/hyperlink" Target="https://drive.google.com/file/d/1HuC_IQle8otpo_ypPel-wx4tqI59CKR1/view?usp=sharing" TargetMode="External"/><Relationship Id="rId234" Type="http://schemas.openxmlformats.org/officeDocument/2006/relationships/hyperlink" Target="https://drive.google.com/file/d/1you1rL4CpsNm1KoxdLzAk8Dn33Nt7Y-M/view?usp=sharing" TargetMode="External"/><Relationship Id="rId2" Type="http://schemas.openxmlformats.org/officeDocument/2006/relationships/hyperlink" Target="https://drive.google.com/file/d/1bvvGumy8TjNZUEHQcAMpZwdcEExZVT4S/view?usp=sharing" TargetMode="External"/><Relationship Id="rId29" Type="http://schemas.openxmlformats.org/officeDocument/2006/relationships/hyperlink" Target="https://drive.google.com/file/d/1GcBe0Km5PBz5p0vyk0KBAhKF1n5RtR2-/view?usp=sharing" TargetMode="External"/><Relationship Id="rId255" Type="http://schemas.openxmlformats.org/officeDocument/2006/relationships/hyperlink" Target="https://drive.google.com/file/d/1XPsN4jSH2J7pWx8XVFUeTNdQ2ds3o9YY/view?usp=sharing" TargetMode="External"/><Relationship Id="rId276" Type="http://schemas.openxmlformats.org/officeDocument/2006/relationships/hyperlink" Target="https://drive.google.com/file/d/1tPq2bnCHJFEW28TocqJFufZ4Kst7ckmv/view?usp=sharing" TargetMode="External"/><Relationship Id="rId297" Type="http://schemas.openxmlformats.org/officeDocument/2006/relationships/hyperlink" Target="https://drive.google.com/file/d/1dnUHul7-ZtbDBrt9iNcE-uzDGa_Qx3k5/view?usp=sharing" TargetMode="External"/><Relationship Id="rId40" Type="http://schemas.openxmlformats.org/officeDocument/2006/relationships/hyperlink" Target="https://drive.google.com/file/d/1lI7DBYkltdZJbm_wBcUbpqqrUymnW0eR/view?usp=sharing" TargetMode="External"/><Relationship Id="rId115" Type="http://schemas.openxmlformats.org/officeDocument/2006/relationships/hyperlink" Target="https://drive.google.com/file/d/1xTkykJRYONegC3AO1JOPqKjvexuJTpWp/view?usp=sharing" TargetMode="External"/><Relationship Id="rId136" Type="http://schemas.openxmlformats.org/officeDocument/2006/relationships/hyperlink" Target="https://drive.google.com/file/d/1PkH6Dzb0QHO-HsI6NekedM8rzpbUkm15/view?usp=sharing" TargetMode="External"/><Relationship Id="rId157" Type="http://schemas.openxmlformats.org/officeDocument/2006/relationships/hyperlink" Target="https://drive.google.com/file/d/1FOmBjevsldR3epx0yGK1lfQMyKy1xbhJ/view?usp=sharing" TargetMode="External"/><Relationship Id="rId178" Type="http://schemas.openxmlformats.org/officeDocument/2006/relationships/hyperlink" Target="https://drive.google.com/file/d/1YHdBHDvc5xzK3ZLTgV1skia829rA515d/view?usp=sharing" TargetMode="External"/><Relationship Id="rId301" Type="http://schemas.openxmlformats.org/officeDocument/2006/relationships/hyperlink" Target="https://drive.google.com/file/d/1gdNsJRoq2DqH4EMpRrgnYE2TdxzUtPL5/view?usp=share_link" TargetMode="External"/><Relationship Id="rId61" Type="http://schemas.openxmlformats.org/officeDocument/2006/relationships/hyperlink" Target="https://drive.google.com/file/d/1qNV74qOBKSH6AHqM4usHxMxWFbBovZhQ/view?usp=sharing" TargetMode="External"/><Relationship Id="rId82" Type="http://schemas.openxmlformats.org/officeDocument/2006/relationships/hyperlink" Target="https://drive.google.com/file/d/1kloWkr2akUeqsdZfTbWsSU4Jwzao15yl/view?usp=sharing" TargetMode="External"/><Relationship Id="rId199" Type="http://schemas.openxmlformats.org/officeDocument/2006/relationships/hyperlink" Target="https://drive.google.com/file/d/1u1qn5BeHokwDtOwvcAcsK7TA8MRd01Z1/view?usp=sharing" TargetMode="External"/><Relationship Id="rId203" Type="http://schemas.openxmlformats.org/officeDocument/2006/relationships/hyperlink" Target="https://drive.google.com/file/d/1l7A_mP0JOaROpIdvN4m_12q9sBsZzWK5/view?usp=sharing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GoOfsVfv-0ZtDeS8rpTfwE43y10fWKnH/view?usp=sharing" TargetMode="External"/><Relationship Id="rId18" Type="http://schemas.openxmlformats.org/officeDocument/2006/relationships/hyperlink" Target="https://drive.google.com/file/d/1TMSOBEg0LwYYSeaa-u-VpV063Yvt2fz_/view?usp=sharing" TargetMode="External"/><Relationship Id="rId26" Type="http://schemas.openxmlformats.org/officeDocument/2006/relationships/hyperlink" Target="https://drive.google.com/file/d/1oWHH0gkO9e22Ws-O9RlwMUyJon28Aj3s/view?usp=sharing" TargetMode="External"/><Relationship Id="rId39" Type="http://schemas.openxmlformats.org/officeDocument/2006/relationships/hyperlink" Target="https://drive.google.com/file/d/1U-fgkw5MnOTh1nzjags5Ce2X-Pwoy7NC/view?usp=sharing" TargetMode="External"/><Relationship Id="rId21" Type="http://schemas.openxmlformats.org/officeDocument/2006/relationships/hyperlink" Target="https://drive.google.com/file/d/1cLqjv4pd-RCrDmDs2CxOm7CowS2dJDtD/view?usp=sharing" TargetMode="External"/><Relationship Id="rId34" Type="http://schemas.openxmlformats.org/officeDocument/2006/relationships/hyperlink" Target="https://drive.google.com/file/d/1pKiZoOhWYexa-nXkTH4EbnwEuAWrkoIb/view?usp=sharing" TargetMode="External"/><Relationship Id="rId42" Type="http://schemas.openxmlformats.org/officeDocument/2006/relationships/hyperlink" Target="https://drive.google.com/file/d/1x7qnJqyocn2Ur9LClppHjhURx5IL3RHO/view?usp=sharing" TargetMode="External"/><Relationship Id="rId47" Type="http://schemas.openxmlformats.org/officeDocument/2006/relationships/hyperlink" Target="https://drive.google.com/file/d/1EbHmUc902itIH_b3MgfbOIU27GiRf-6G/view?usp=sharing" TargetMode="External"/><Relationship Id="rId50" Type="http://schemas.openxmlformats.org/officeDocument/2006/relationships/hyperlink" Target="https://drive.google.com/file/d/1WnbK-RBF_krT5adhSAHLAqNiUHP_gUqX/view?usp=sharing" TargetMode="External"/><Relationship Id="rId55" Type="http://schemas.openxmlformats.org/officeDocument/2006/relationships/hyperlink" Target="https://drive.google.com/file/d/1IIUs8sUN3Qu8rjz-nShbYvAb6ZB5I5dB/view?usp=sharing" TargetMode="External"/><Relationship Id="rId63" Type="http://schemas.openxmlformats.org/officeDocument/2006/relationships/hyperlink" Target="https://drive.google.com/file/d/1JPZYecZfOwuX7vBWCM2SkLSrQtiD_WWS/view?usp=share_link" TargetMode="External"/><Relationship Id="rId68" Type="http://schemas.openxmlformats.org/officeDocument/2006/relationships/hyperlink" Target="https://drive.google.com/file/d/1yoSQeRfW7tnN1b9s7zxCUXcKh430g1DM/view?usp=sharing" TargetMode="External"/><Relationship Id="rId76" Type="http://schemas.openxmlformats.org/officeDocument/2006/relationships/hyperlink" Target="https://drive.google.com/file/d/1nXp4DH3wNarUkx90jBEEKOoEACXPxVdu/view?usp=sharing" TargetMode="External"/><Relationship Id="rId84" Type="http://schemas.openxmlformats.org/officeDocument/2006/relationships/hyperlink" Target="https://drive.google.com/file/d/1FuUDuSsjs7PjAkgAt_CHwBS1Q3NZHY0X/view?usp=sharing" TargetMode="External"/><Relationship Id="rId89" Type="http://schemas.openxmlformats.org/officeDocument/2006/relationships/hyperlink" Target="https://drive.google.com/file/d/1W_45KyJ_lcrXL9LTz7fDfYd5NYF4-bpi/view?usp=sharing" TargetMode="External"/><Relationship Id="rId7" Type="http://schemas.openxmlformats.org/officeDocument/2006/relationships/hyperlink" Target="https://drive.google.com/file/d/18zETxXlI4l_WOujH_YZgJV2VCq18FbRl/view?usp=sharing" TargetMode="External"/><Relationship Id="rId71" Type="http://schemas.openxmlformats.org/officeDocument/2006/relationships/hyperlink" Target="https://drive.google.com/file/d/1ILzPOeq1l0rOqL1TZEExIpwh0XqabgYJ/view?usp=sharing" TargetMode="External"/><Relationship Id="rId2" Type="http://schemas.openxmlformats.org/officeDocument/2006/relationships/hyperlink" Target="https://drive.google.com/file/d/1SylaTJiCBVsqtrfwRZogYp7rw7rlvyN5/view?usp=share_link" TargetMode="External"/><Relationship Id="rId16" Type="http://schemas.openxmlformats.org/officeDocument/2006/relationships/hyperlink" Target="https://drive.google.com/file/d/1Y-ek_hSDvDfdJmoUutdLyTFIMCW2cIHR/view?usp=share_link" TargetMode="External"/><Relationship Id="rId29" Type="http://schemas.openxmlformats.org/officeDocument/2006/relationships/hyperlink" Target="https://drive.google.com/file/d/1OvhgaynaknR0clS9e39hndhp5hlj3d61/view?usp=sharing" TargetMode="External"/><Relationship Id="rId11" Type="http://schemas.openxmlformats.org/officeDocument/2006/relationships/hyperlink" Target="https://drive.google.com/file/d/1xzob25YZSwEVbjKngmVn21EPbp_1YZK-/view?usp=sharing" TargetMode="External"/><Relationship Id="rId24" Type="http://schemas.openxmlformats.org/officeDocument/2006/relationships/hyperlink" Target="https://drive.google.com/file/d/1q4b6WI2bgdHOJZwyfH-obL_ypBExQP8m/view?usp=sharing" TargetMode="External"/><Relationship Id="rId32" Type="http://schemas.openxmlformats.org/officeDocument/2006/relationships/hyperlink" Target="https://drive.google.com/file/d/18wfXYQBodw6Uu57SDIc5WjRM4kd6dE5M/view?usp=sharing" TargetMode="External"/><Relationship Id="rId37" Type="http://schemas.openxmlformats.org/officeDocument/2006/relationships/hyperlink" Target="https://drive.google.com/file/d/1Ok175TCuYtKb0XzkTxRDHqII3yClpjOy/view?usp=sharing" TargetMode="External"/><Relationship Id="rId40" Type="http://schemas.openxmlformats.org/officeDocument/2006/relationships/hyperlink" Target="https://drive.google.com/file/d/1NVC1faF9kkZrALv6sWArJiOffud15TWf/view?usp=sharing" TargetMode="External"/><Relationship Id="rId45" Type="http://schemas.openxmlformats.org/officeDocument/2006/relationships/hyperlink" Target="https://drive.google.com/file/d/1JTbHlV0qxkNvVZRLkFZ2eIYPO9XOSSK0/view?usp=sharing" TargetMode="External"/><Relationship Id="rId53" Type="http://schemas.openxmlformats.org/officeDocument/2006/relationships/hyperlink" Target="https://drive.google.com/file/d/1aZy5WPSEEt9DVfRcaDaX2qucEWLiWo8D/view?usp=sharing" TargetMode="External"/><Relationship Id="rId58" Type="http://schemas.openxmlformats.org/officeDocument/2006/relationships/hyperlink" Target="https://drive.google.com/file/d/1tmdZiF0yf3H-EUaMuBC4mFD8w-XjfI0B/view?usp=sharing" TargetMode="External"/><Relationship Id="rId66" Type="http://schemas.openxmlformats.org/officeDocument/2006/relationships/hyperlink" Target="https://drive.google.com/file/d/1VgQ06vzzLgUvRCYLFBvhPlnYAonu6wZd/view?usp=sharing" TargetMode="External"/><Relationship Id="rId74" Type="http://schemas.openxmlformats.org/officeDocument/2006/relationships/hyperlink" Target="https://drive.google.com/file/d/1exG9Z3SHa4PoRIYJSXsfG2bviB9qkQiS/view?usp=sharing" TargetMode="External"/><Relationship Id="rId79" Type="http://schemas.openxmlformats.org/officeDocument/2006/relationships/hyperlink" Target="https://drive.google.com/file/d/10EYVL0rTmSr6DoLXJ-mRZZvxAuy0yGUA/view?usp=drive_link" TargetMode="External"/><Relationship Id="rId87" Type="http://schemas.openxmlformats.org/officeDocument/2006/relationships/hyperlink" Target="https://drive.google.com/file/d/1BBQleU9lTeDt1mz2l7WftSiEz9-qRhy8/view?usp=sharing" TargetMode="External"/><Relationship Id="rId5" Type="http://schemas.openxmlformats.org/officeDocument/2006/relationships/hyperlink" Target="https://drive.google.com/file/d/1HM7qe3ls7WKgG8vMEjgpBfQPqsTS7DZ9/view?usp=sharing" TargetMode="External"/><Relationship Id="rId61" Type="http://schemas.openxmlformats.org/officeDocument/2006/relationships/hyperlink" Target="https://drive.google.com/file/d/1mmbiRJ7UxOTk0KkvhIvN_2PLEpRrw0t-/view?usp=share_link" TargetMode="External"/><Relationship Id="rId82" Type="http://schemas.openxmlformats.org/officeDocument/2006/relationships/hyperlink" Target="https://drive.google.com/file/d/1zc7j7b_xF2kW1kic31_3C9r0JUvwXEnR/view?usp=sharing" TargetMode="External"/><Relationship Id="rId90" Type="http://schemas.openxmlformats.org/officeDocument/2006/relationships/hyperlink" Target="https://drive.google.com/file/d/1hIJXeprWcmU2meTU7QadVh7cJBz4nCc3/view?usp=sharing" TargetMode="External"/><Relationship Id="rId19" Type="http://schemas.openxmlformats.org/officeDocument/2006/relationships/hyperlink" Target="https://drive.google.com/file/d/1TMSOBEg0LwYYSeaa-u-VpV063Yvt2fz_/view?usp=sharing" TargetMode="External"/><Relationship Id="rId4" Type="http://schemas.openxmlformats.org/officeDocument/2006/relationships/hyperlink" Target="https://drive.google.com/file/d/1WbpyC1Gg06btHpQbzRv1cphDpEFKMKA0/view?usp=sharing" TargetMode="External"/><Relationship Id="rId9" Type="http://schemas.openxmlformats.org/officeDocument/2006/relationships/hyperlink" Target="https://drive.google.com/file/d/1ymbkBiCtZDt8kWTEaNKo__zEnAt2edXY/view?usp=sharing" TargetMode="External"/><Relationship Id="rId14" Type="http://schemas.openxmlformats.org/officeDocument/2006/relationships/hyperlink" Target="https://drive.google.com/file/d/1sI5oOBMOlFJJbbH0x2l3OmXcrA2ZARrW/view?usp=sharing" TargetMode="External"/><Relationship Id="rId22" Type="http://schemas.openxmlformats.org/officeDocument/2006/relationships/hyperlink" Target="https://drive.google.com/file/d/1PgvtbigpaWgZ9B27NPhtFMZjGtff3lyG/view?usp=sharing" TargetMode="External"/><Relationship Id="rId27" Type="http://schemas.openxmlformats.org/officeDocument/2006/relationships/hyperlink" Target="https://drive.google.com/file/d/18w-2YM2EDvo6OfdveFumrJIwFVvy1XB4/view?usp=sharing" TargetMode="External"/><Relationship Id="rId30" Type="http://schemas.openxmlformats.org/officeDocument/2006/relationships/hyperlink" Target="https://drive.google.com/file/d/13NOYAq0frjuCd4Mbh_tCGEnUNVruYdVy/view?usp=sharing" TargetMode="External"/><Relationship Id="rId35" Type="http://schemas.openxmlformats.org/officeDocument/2006/relationships/hyperlink" Target="https://drive.google.com/file/d/13n-RCftTELsDDNkD3BGm0vjVqcyM1v7Q/view?usp=sharing" TargetMode="External"/><Relationship Id="rId43" Type="http://schemas.openxmlformats.org/officeDocument/2006/relationships/hyperlink" Target="https://drive.google.com/file/d/1z_qGZYokzOBcnucT_uu50BO0sDLktSmE/view?usp=sharing" TargetMode="External"/><Relationship Id="rId48" Type="http://schemas.openxmlformats.org/officeDocument/2006/relationships/hyperlink" Target="https://drive.google.com/file/d/1lhj8WoptqxHpeJNkKBjDcWMI5WcxXsKn/view?usp=sharing" TargetMode="External"/><Relationship Id="rId56" Type="http://schemas.openxmlformats.org/officeDocument/2006/relationships/hyperlink" Target="https://drive.google.com/file/d/1CyXF8v1FikJLJ4AZxdUyOWCI5GsDdCm2/view?usp=sharing" TargetMode="External"/><Relationship Id="rId64" Type="http://schemas.openxmlformats.org/officeDocument/2006/relationships/hyperlink" Target="https://drive.google.com/file/d/1MJ0qTIR7RLd6xDvmEpHVy1L-DxK7ON5d/view?usp=sharing" TargetMode="External"/><Relationship Id="rId69" Type="http://schemas.openxmlformats.org/officeDocument/2006/relationships/hyperlink" Target="https://drive.google.com/file/d/1V_xmBWXu6K1bByQhQDfFw9kv2GWtsLk2/view?usp=sharing" TargetMode="External"/><Relationship Id="rId77" Type="http://schemas.openxmlformats.org/officeDocument/2006/relationships/hyperlink" Target="https://drive.google.com/file/d/1DIb1AsteMC6ES1scMAjJe0t_c_gYPRv-/view?usp=sharing" TargetMode="External"/><Relationship Id="rId8" Type="http://schemas.openxmlformats.org/officeDocument/2006/relationships/hyperlink" Target="https://drive.google.com/file/d/1VoyqJ8pqc21SqzJIzDasr0NEgIDSL5Yu/view?usp=sharing" TargetMode="External"/><Relationship Id="rId51" Type="http://schemas.openxmlformats.org/officeDocument/2006/relationships/hyperlink" Target="https://drive.google.com/file/d/1LXKQDAu176cPLKa1HDoeS8V9hkapee8k/view?usp=sharing" TargetMode="External"/><Relationship Id="rId72" Type="http://schemas.openxmlformats.org/officeDocument/2006/relationships/hyperlink" Target="https://drive.google.com/file/d/1ngmaSMNmczA5q62TiiPkueadtliHBK0f/view?usp=sharing" TargetMode="External"/><Relationship Id="rId80" Type="http://schemas.openxmlformats.org/officeDocument/2006/relationships/hyperlink" Target="https://drive.google.com/file/d/1gGYykTbatcnPFLWw4gfxyyNxI6-LNQPI/view?usp=sharing" TargetMode="External"/><Relationship Id="rId85" Type="http://schemas.openxmlformats.org/officeDocument/2006/relationships/hyperlink" Target="https://drive.google.com/file/d/1t-pzAdGXIuXQWRl-s48pabQBORFrZcpt/view?usp=drive_link" TargetMode="External"/><Relationship Id="rId3" Type="http://schemas.openxmlformats.org/officeDocument/2006/relationships/hyperlink" Target="https://drive.google.com/file/d/1fxsEwfpoFBlLuxop7TS73GompEFqAZsk/view?usp=sharing" TargetMode="External"/><Relationship Id="rId12" Type="http://schemas.openxmlformats.org/officeDocument/2006/relationships/hyperlink" Target="https://drive.google.com/file/d/1T8fnIlmdLu9xaxJF-H5YO1sVNrPesfBn/view?usp=sharing" TargetMode="External"/><Relationship Id="rId17" Type="http://schemas.openxmlformats.org/officeDocument/2006/relationships/hyperlink" Target="https://drive.google.com/file/d/1eQikKFed42vibpycbGLVLiti2jyXnZqi/view?usp=share_link" TargetMode="External"/><Relationship Id="rId25" Type="http://schemas.openxmlformats.org/officeDocument/2006/relationships/hyperlink" Target="https://drive.google.com/file/d/1jHlBiejCGyA83JePegrqCWsTcQl1qQcr/view?usp=sharing" TargetMode="External"/><Relationship Id="rId33" Type="http://schemas.openxmlformats.org/officeDocument/2006/relationships/hyperlink" Target="https://drive.google.com/file/d/1pKiZoOhWYexa-nXkTH4EbnwEuAWrkoIb/view?usp=sharing" TargetMode="External"/><Relationship Id="rId38" Type="http://schemas.openxmlformats.org/officeDocument/2006/relationships/hyperlink" Target="https://drive.google.com/file/d/1Ok175TCuYtKb0XzkTxRDHqII3yClpjOy/view?usp=sharing" TargetMode="External"/><Relationship Id="rId46" Type="http://schemas.openxmlformats.org/officeDocument/2006/relationships/hyperlink" Target="https://drive.google.com/file/d/15Yc4-SmAE2JTMznNP5s0zjLLmbBM9VM4/view?usp=sharing" TargetMode="External"/><Relationship Id="rId59" Type="http://schemas.openxmlformats.org/officeDocument/2006/relationships/hyperlink" Target="https://drive.google.com/file/d/1WSjhRsn4PiaUMp51PhR3Qc0WZEdNmPMw/view?usp=sharing" TargetMode="External"/><Relationship Id="rId67" Type="http://schemas.openxmlformats.org/officeDocument/2006/relationships/hyperlink" Target="https://drive.google.com/file/d/1WSKfSW3kl0XSmhpR70zdZYXnhOY7OsBH/view?usp=sharing" TargetMode="External"/><Relationship Id="rId20" Type="http://schemas.openxmlformats.org/officeDocument/2006/relationships/hyperlink" Target="https://drive.google.com/file/d/1Ao8TtRxGNCvqYURNFLG9l6cDBfPuc5yl/view?usp=sharing" TargetMode="External"/><Relationship Id="rId41" Type="http://schemas.openxmlformats.org/officeDocument/2006/relationships/hyperlink" Target="https://drive.google.com/file/d/1tBnOWWY24UQSdmxAUgbEp5qJmTPEFBaG/view?usp=sharing" TargetMode="External"/><Relationship Id="rId54" Type="http://schemas.openxmlformats.org/officeDocument/2006/relationships/hyperlink" Target="https://drive.google.com/file/d/1vxzRO1XngX7-HVdIL5nN54FPgl5N7Rh0/view?usp=sharing" TargetMode="External"/><Relationship Id="rId62" Type="http://schemas.openxmlformats.org/officeDocument/2006/relationships/hyperlink" Target="https://drive.google.com/file/d/1HbwrPf3ed3qrnZ_NcrGSVd43lac1xOGw/view?usp=sharing" TargetMode="External"/><Relationship Id="rId70" Type="http://schemas.openxmlformats.org/officeDocument/2006/relationships/hyperlink" Target="https://drive.google.com/file/d/1st42BLEwHz_yG9oFOmEwmyNOB16Yk9io/view?usp=sharing" TargetMode="External"/><Relationship Id="rId75" Type="http://schemas.openxmlformats.org/officeDocument/2006/relationships/hyperlink" Target="https://drive.google.com/file/d/1RpUjBNLkCkOmvxB-cMcAXOnZPRZd_Ysy/view?usp=drive_link" TargetMode="External"/><Relationship Id="rId83" Type="http://schemas.openxmlformats.org/officeDocument/2006/relationships/hyperlink" Target="https://drive.google.com/file/d/14SleVLMMRWz-b5q2Nt1eYltZJDwuAtNr/view?usp=sharing" TargetMode="External"/><Relationship Id="rId88" Type="http://schemas.openxmlformats.org/officeDocument/2006/relationships/hyperlink" Target="https://drive.google.com/file/d/13mS5aBJv3OSJTLBjqQ-b5OWR42a-XhR7/view?usp=sharing" TargetMode="External"/><Relationship Id="rId1" Type="http://schemas.openxmlformats.org/officeDocument/2006/relationships/hyperlink" Target="https://drive.google.com/file/d/1p32JW5Rvp1-oyCe6inkdRDax_3NIgSNV/view?usp=sharing" TargetMode="External"/><Relationship Id="rId6" Type="http://schemas.openxmlformats.org/officeDocument/2006/relationships/hyperlink" Target="https://drive.google.com/file/d/1mAklLh6vAdP8uEARiTNfMLy_GDYQ9XdQ/view?usp=sharing" TargetMode="External"/><Relationship Id="rId15" Type="http://schemas.openxmlformats.org/officeDocument/2006/relationships/hyperlink" Target="https://drive.google.com/file/d/12OlOgELM0gnbZsvD6n_G6mGgFNSiEuLb/view?usp=sharing" TargetMode="External"/><Relationship Id="rId23" Type="http://schemas.openxmlformats.org/officeDocument/2006/relationships/hyperlink" Target="https://drive.google.com/file/d/1k5oceCS3bX1LqREmq7gk7P8OgOhYr_F6/view?usp=sharing" TargetMode="External"/><Relationship Id="rId28" Type="http://schemas.openxmlformats.org/officeDocument/2006/relationships/hyperlink" Target="https://drive.google.com/file/d/1g8E_Dr4cTqd_8S0VHdlcxhcp2AdS9CP8/view?usp=share_link" TargetMode="External"/><Relationship Id="rId36" Type="http://schemas.openxmlformats.org/officeDocument/2006/relationships/hyperlink" Target="https://drive.google.com/file/d/1jOq2UFPEqfffWlynPe5FAKUyKiRElIDP/view?usp=sharing" TargetMode="External"/><Relationship Id="rId49" Type="http://schemas.openxmlformats.org/officeDocument/2006/relationships/hyperlink" Target="https://drive.google.com/file/d/18d51EAhxY5DLssaBOsVKTVYUWzzgkeMP/view?usp=sharing" TargetMode="External"/><Relationship Id="rId57" Type="http://schemas.openxmlformats.org/officeDocument/2006/relationships/hyperlink" Target="https://drive.google.com/file/d/1gD5hBxbGwQqO8hslz-QWSKjlkz9p94Aj/view?usp=sharing" TargetMode="External"/><Relationship Id="rId10" Type="http://schemas.openxmlformats.org/officeDocument/2006/relationships/hyperlink" Target="https://drive.google.com/file/d/1UKzhYCegew95xiWUFB4KyvEzSZzq6Feq/view?usp=sharing" TargetMode="External"/><Relationship Id="rId31" Type="http://schemas.openxmlformats.org/officeDocument/2006/relationships/hyperlink" Target="https://drive.google.com/file/d/109_fYYDbOt_zhj9SMkYAKWXRDsEWBfGP/view?usp=sharing" TargetMode="External"/><Relationship Id="rId44" Type="http://schemas.openxmlformats.org/officeDocument/2006/relationships/hyperlink" Target="https://drive.google.com/file/d/1h3tt7RLIbap61wIq7kb_96R0pdeipLNe/view?usp=sharing" TargetMode="External"/><Relationship Id="rId52" Type="http://schemas.openxmlformats.org/officeDocument/2006/relationships/hyperlink" Target="https://drive.google.com/file/d/1aZy5WPSEEt9DVfRcaDaX2qucEWLiWo8D/view?usp=sharing" TargetMode="External"/><Relationship Id="rId60" Type="http://schemas.openxmlformats.org/officeDocument/2006/relationships/hyperlink" Target="https://drive.google.com/file/d/15rOwfF_3j7pS0g_ZcxsR4CEiJO0nPn08/view?usp=sharing" TargetMode="External"/><Relationship Id="rId65" Type="http://schemas.openxmlformats.org/officeDocument/2006/relationships/hyperlink" Target="https://drive.google.com/file/d/1YOvV76xnjzvjkviidmbi1Dv9dm8DgbO6/view?usp=sharing" TargetMode="External"/><Relationship Id="rId73" Type="http://schemas.openxmlformats.org/officeDocument/2006/relationships/hyperlink" Target="https://drive.google.com/file/d/1EsRFKL0BBH3e-DLlP0W028ocvnRs3QqD/view?usp=sharing" TargetMode="External"/><Relationship Id="rId78" Type="http://schemas.openxmlformats.org/officeDocument/2006/relationships/hyperlink" Target="https://drive.google.com/file/d/1dRvWo1L-G9k7gEQsMVdxYnwh4G3xHhJP/view?usp=sharing" TargetMode="External"/><Relationship Id="rId81" Type="http://schemas.openxmlformats.org/officeDocument/2006/relationships/hyperlink" Target="https://drive.google.com/file/d/1SvABeVE2BOkPVMFAcQ6Vy9vITzYJskQu/view?usp=sharing" TargetMode="External"/><Relationship Id="rId86" Type="http://schemas.openxmlformats.org/officeDocument/2006/relationships/hyperlink" Target="https://drive.google.com/file/d/1oQ6fsdEJFrsrXybdQcquofBymBA6zaGl/view?usp=sharing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ID5wH8GZyQNs8hdGAr6uODMJst-8e2Kn/view?usp=sharing" TargetMode="External"/><Relationship Id="rId21" Type="http://schemas.openxmlformats.org/officeDocument/2006/relationships/hyperlink" Target="https://drive.google.com/file/d/16P6ndl7VnmRAxCzDnDli3lvOAgX_5Gky/view?usp=sharing" TargetMode="External"/><Relationship Id="rId42" Type="http://schemas.openxmlformats.org/officeDocument/2006/relationships/hyperlink" Target="https://drive.google.com/file/d/16pPI65gfU5VyUUrlXJcq0epOGMl6pV2h/view?usp=sharing" TargetMode="External"/><Relationship Id="rId63" Type="http://schemas.openxmlformats.org/officeDocument/2006/relationships/hyperlink" Target="https://drive.google.com/file/d/1fsc54df-PjL5_Fa3SKadKa1dCfiFhYwf/view?usp=sharing" TargetMode="External"/><Relationship Id="rId84" Type="http://schemas.openxmlformats.org/officeDocument/2006/relationships/hyperlink" Target="https://drive.google.com/file/d/1QZBaTXHgVZdgUhzmjVak29e3yX7zR3PL/view?usp=share_link" TargetMode="External"/><Relationship Id="rId138" Type="http://schemas.openxmlformats.org/officeDocument/2006/relationships/hyperlink" Target="https://drive.google.com/file/d/1xs2p-LZddWvfuDjekEP6rle88twT7znc/view?usp=sharing" TargetMode="External"/><Relationship Id="rId159" Type="http://schemas.openxmlformats.org/officeDocument/2006/relationships/hyperlink" Target="https://drive.google.com/file/d/1vJYpuIeun1yI1raiaUkvWyrZ8EcQb0o6/view?usp=sharing" TargetMode="External"/><Relationship Id="rId170" Type="http://schemas.openxmlformats.org/officeDocument/2006/relationships/hyperlink" Target="https://drive.google.com/file/d/14fIH1G-LxuImBQcbq-YBox1_5evIQly_/view?usp=sharing" TargetMode="External"/><Relationship Id="rId191" Type="http://schemas.openxmlformats.org/officeDocument/2006/relationships/hyperlink" Target="https://drive.google.com/file/d/1e1x0c8NKzHqaBOgToW6CoV8IuZm4TIai/view?usp=sharing" TargetMode="External"/><Relationship Id="rId205" Type="http://schemas.openxmlformats.org/officeDocument/2006/relationships/hyperlink" Target="https://drive.google.com/file/d/1_rCpbqP2TjWBttNGWHIg7sg-3h3z1xQN/view?usp=sharing" TargetMode="External"/><Relationship Id="rId226" Type="http://schemas.openxmlformats.org/officeDocument/2006/relationships/hyperlink" Target="https://drive.google.com/file/d/1HzgmGc_QijzXWYl8oribX7tV-qMd_QHh/view?usp=sharing" TargetMode="External"/><Relationship Id="rId107" Type="http://schemas.openxmlformats.org/officeDocument/2006/relationships/hyperlink" Target="https://drive.google.com/file/d/1bBLQkNIrPIQ6ZC3pj-btasgPdunF2fs2/view?usp=sharing" TargetMode="External"/><Relationship Id="rId11" Type="http://schemas.openxmlformats.org/officeDocument/2006/relationships/hyperlink" Target="https://drive.google.com/file/d/1WQjtHnb6AjixL2RHMSF_6iBh_k0Hd1Bw/view?usp=sharing" TargetMode="External"/><Relationship Id="rId32" Type="http://schemas.openxmlformats.org/officeDocument/2006/relationships/hyperlink" Target="https://drive.google.com/file/d/1V4oGAe0lXfK2Ht6-iHEAk9xPj9qAP_sn/view?usp=sharing" TargetMode="External"/><Relationship Id="rId53" Type="http://schemas.openxmlformats.org/officeDocument/2006/relationships/hyperlink" Target="https://drive.google.com/file/d/1kBhreblymjxEs6lTS1yL7cNofkcZ0kB_/view?usp=sharing" TargetMode="External"/><Relationship Id="rId74" Type="http://schemas.openxmlformats.org/officeDocument/2006/relationships/hyperlink" Target="https://drive.google.com/file/d/1OL6lkZSj5UV5Kv_VY5tScpYDwQv5vFOK/view?usp=sharing" TargetMode="External"/><Relationship Id="rId128" Type="http://schemas.openxmlformats.org/officeDocument/2006/relationships/hyperlink" Target="https://drive.google.com/file/d/1pluuWDbfZv7w4jgWuqHwkc0xd9WwytLx/view?usp=share_link" TargetMode="External"/><Relationship Id="rId149" Type="http://schemas.openxmlformats.org/officeDocument/2006/relationships/hyperlink" Target="https://drive.google.com/file/d/1sKwhrp_pDo4FHmEgDn4YT-_Wn-DPniQj/view?usp=sharing" TargetMode="External"/><Relationship Id="rId5" Type="http://schemas.openxmlformats.org/officeDocument/2006/relationships/hyperlink" Target="https://drive.google.com/file/d/1YCLS8CQZVh4lGGcZUAGqUnRiB_LKsbmv/view?usp=drive_link" TargetMode="External"/><Relationship Id="rId95" Type="http://schemas.openxmlformats.org/officeDocument/2006/relationships/hyperlink" Target="https://drive.google.com/file/d/1gxHFLm6pPQwsLvgp0Q__qRCVx3ngt4op/view?usp=sharing" TargetMode="External"/><Relationship Id="rId160" Type="http://schemas.openxmlformats.org/officeDocument/2006/relationships/hyperlink" Target="https://drive.google.com/file/d/1tsXsadVtDSGUe5_RdNb2vIdSCEys78jj/view?usp=share_link" TargetMode="External"/><Relationship Id="rId181" Type="http://schemas.openxmlformats.org/officeDocument/2006/relationships/hyperlink" Target="https://drive.google.com/file/d/174kO__aBZHcsQ60m690Nc7xTQseCtMTr/view?usp=sharing" TargetMode="External"/><Relationship Id="rId216" Type="http://schemas.openxmlformats.org/officeDocument/2006/relationships/hyperlink" Target="https://drive.google.com/file/d/10BK4wIVXKkIYPPNNh3KB1xrBRibD8nS_/view?usp=sharing" TargetMode="External"/><Relationship Id="rId211" Type="http://schemas.openxmlformats.org/officeDocument/2006/relationships/hyperlink" Target="https://drive.google.com/file/d/1plhlQQ3lLniwygGqAW2bQqmixL7FBwUB/view?usp=sharing" TargetMode="External"/><Relationship Id="rId22" Type="http://schemas.openxmlformats.org/officeDocument/2006/relationships/hyperlink" Target="https://drive.google.com/file/d/10Xw1MBm44_6jNbqz75z7rHVIryreC12v/view?usp=sharing" TargetMode="External"/><Relationship Id="rId27" Type="http://schemas.openxmlformats.org/officeDocument/2006/relationships/hyperlink" Target="https://drive.google.com/file/d/1kYUUbjPXMK1DHW78c72iNNhc4YWRc-gX/view?usp=sharing" TargetMode="External"/><Relationship Id="rId43" Type="http://schemas.openxmlformats.org/officeDocument/2006/relationships/hyperlink" Target="https://drive.google.com/file/d/1WQ6lUgiqJfEkVsRk3Hjfzkg4oqSj0RHg/view?usp=sharing" TargetMode="External"/><Relationship Id="rId48" Type="http://schemas.openxmlformats.org/officeDocument/2006/relationships/hyperlink" Target="https://drive.google.com/file/d/1c7CYDPbixsuGlEq1JZPoviHpXJrpVjOM/view?usp=sharing" TargetMode="External"/><Relationship Id="rId64" Type="http://schemas.openxmlformats.org/officeDocument/2006/relationships/hyperlink" Target="https://drive.google.com/file/d/1uDtBiE4e5J_fWqQAyUpo04f0ZQFCpMGO/view?usp=sharing" TargetMode="External"/><Relationship Id="rId69" Type="http://schemas.openxmlformats.org/officeDocument/2006/relationships/hyperlink" Target="https://drive.google.com/file/d/1Jy9mjkNeOz3ru2xGqaqr9fb657DFEv6R/view?usp=share_link" TargetMode="External"/><Relationship Id="rId113" Type="http://schemas.openxmlformats.org/officeDocument/2006/relationships/hyperlink" Target="https://drive.google.com/file/d/12softxndQcYKuKXpNKGSPUt2NoCw4f_o/view?usp=sharing" TargetMode="External"/><Relationship Id="rId118" Type="http://schemas.openxmlformats.org/officeDocument/2006/relationships/hyperlink" Target="https://drive.google.com/file/d/1fw95FbDZC9wyQFhw5fJcjVyQVr2bTjhk/view?usp=sharing" TargetMode="External"/><Relationship Id="rId134" Type="http://schemas.openxmlformats.org/officeDocument/2006/relationships/hyperlink" Target="https://drive.google.com/file/d/1OrnQxWGCTTKE7EpMwWDxdehEYByntIrj/view?usp=sharing" TargetMode="External"/><Relationship Id="rId139" Type="http://schemas.openxmlformats.org/officeDocument/2006/relationships/hyperlink" Target="https://drive.google.com/file/d/15EvNqBU5PbjVsRCdk7fvUngJ48Dxp5Pd/view?usp=sharing" TargetMode="External"/><Relationship Id="rId80" Type="http://schemas.openxmlformats.org/officeDocument/2006/relationships/hyperlink" Target="https://drive.google.com/file/d/1_u17gE4nuBzl_5mlU-m7Xy43HYSrIopz/view?usp=sharing" TargetMode="External"/><Relationship Id="rId85" Type="http://schemas.openxmlformats.org/officeDocument/2006/relationships/hyperlink" Target="https://drive.google.com/file/d/16Is9kPlqJgwcg_14aZ1YLVsds1KvdVCg/view?usp=sharing" TargetMode="External"/><Relationship Id="rId150" Type="http://schemas.openxmlformats.org/officeDocument/2006/relationships/hyperlink" Target="https://drive.google.com/file/d/1d1H57BTfRr8wUBRDhycMJsFhSt6C5Uf4/view?usp=sharing" TargetMode="External"/><Relationship Id="rId155" Type="http://schemas.openxmlformats.org/officeDocument/2006/relationships/hyperlink" Target="https://drive.google.com/file/d/1opVKS0LMYTiO7XyBtCRg8IRxkJhlfSkB/view?usp=sharing" TargetMode="External"/><Relationship Id="rId171" Type="http://schemas.openxmlformats.org/officeDocument/2006/relationships/hyperlink" Target="https://drive.google.com/file/d/1SfkQ4wit0FrhDZmpF2_x_hhdmN8OU_ks/view?usp=share_link" TargetMode="External"/><Relationship Id="rId176" Type="http://schemas.openxmlformats.org/officeDocument/2006/relationships/hyperlink" Target="https://drive.google.com/file/d/1UVYrr3Fq0BM55HLGZQb3vVDiwSXNXN0w/view?usp=sharing" TargetMode="External"/><Relationship Id="rId192" Type="http://schemas.openxmlformats.org/officeDocument/2006/relationships/hyperlink" Target="https://drive.google.com/file/d/1EJte-lYenco1CwamVEtn8FiPCtfl-Gp7/view?usp=sharing" TargetMode="External"/><Relationship Id="rId197" Type="http://schemas.openxmlformats.org/officeDocument/2006/relationships/hyperlink" Target="https://drive.google.com/file/d/1j7rgo5W_2SZzhZnAFGofC43f3zJeUviw/view?usp=sharing" TargetMode="External"/><Relationship Id="rId206" Type="http://schemas.openxmlformats.org/officeDocument/2006/relationships/hyperlink" Target="https://drive.google.com/file/d/1otAbSSgKxSI1hJBtWkExl4dYOqG8BbpD/view?usp=sharing" TargetMode="External"/><Relationship Id="rId227" Type="http://schemas.openxmlformats.org/officeDocument/2006/relationships/hyperlink" Target="https://drive.google.com/file/d/1GYMIeQbZUbcQ7p29oL3fnm-roDACesje/view?usp=sharing" TargetMode="External"/><Relationship Id="rId201" Type="http://schemas.openxmlformats.org/officeDocument/2006/relationships/hyperlink" Target="https://drive.google.com/file/d/14o5weVID3zy-t0ZGM4h95k0iqBnj_QYf/view?usp=sharing" TargetMode="External"/><Relationship Id="rId222" Type="http://schemas.openxmlformats.org/officeDocument/2006/relationships/hyperlink" Target="https://drive.google.com/file/d/19ZBmWtXHUZX9q22TBFPSOkxTjpKq66_1/view?usp=sharing" TargetMode="External"/><Relationship Id="rId12" Type="http://schemas.openxmlformats.org/officeDocument/2006/relationships/hyperlink" Target="https://drive.google.com/file/d/1iTP8YYEbF25mWaFHYsPb4q4hA3DSWCni/view?usp=sharing" TargetMode="External"/><Relationship Id="rId17" Type="http://schemas.openxmlformats.org/officeDocument/2006/relationships/hyperlink" Target="https://drive.google.com/file/d/1PkCQffYf1tk1mGFIuR7XMNrnjmr69dO4/view?usp=sharing" TargetMode="External"/><Relationship Id="rId33" Type="http://schemas.openxmlformats.org/officeDocument/2006/relationships/hyperlink" Target="https://drive.google.com/file/d/10EPpbgVh9YS4AZB8ZHU-yHZsXwmV6p-m/view?usp=sharing" TargetMode="External"/><Relationship Id="rId38" Type="http://schemas.openxmlformats.org/officeDocument/2006/relationships/hyperlink" Target="https://drive.google.com/file/d/1hEbjrVTz3xCDT12jKDfxNAUdpkTPsvP1/view?usp=sharing" TargetMode="External"/><Relationship Id="rId59" Type="http://schemas.openxmlformats.org/officeDocument/2006/relationships/hyperlink" Target="https://drive.google.com/file/d/16PV2wQhZlhB0OVaks_9urCduBl3opWGa/view?usp=sharing" TargetMode="External"/><Relationship Id="rId103" Type="http://schemas.openxmlformats.org/officeDocument/2006/relationships/hyperlink" Target="https://drive.google.com/file/d/1zUtrBQP1wXhZzUr9KQkptBFdoITTGuen/view?usp=sharing" TargetMode="External"/><Relationship Id="rId108" Type="http://schemas.openxmlformats.org/officeDocument/2006/relationships/hyperlink" Target="https://drive.google.com/file/d/1HXNOI09ddahv5owYorVwRMqHFu9UD5v3/view?usp=sharing" TargetMode="External"/><Relationship Id="rId124" Type="http://schemas.openxmlformats.org/officeDocument/2006/relationships/hyperlink" Target="https://drive.google.com/file/d/1n7Yr5yHntXnA50f6x15BKo8N8cBohn8k/view?usp=sharing" TargetMode="External"/><Relationship Id="rId129" Type="http://schemas.openxmlformats.org/officeDocument/2006/relationships/hyperlink" Target="https://drive.google.com/file/d/18DjhHiTIVe4qZ_Z41SjOhOEYqpdplMBN/view?usp=sharing" TargetMode="External"/><Relationship Id="rId54" Type="http://schemas.openxmlformats.org/officeDocument/2006/relationships/hyperlink" Target="https://drive.google.com/file/d/19xI1Qy9MLiWRza70RpI2o3l2XDumcYxf/view?usp=sharing" TargetMode="External"/><Relationship Id="rId70" Type="http://schemas.openxmlformats.org/officeDocument/2006/relationships/hyperlink" Target="https://drive.google.com/file/d/1EEhT5nJOEuSmFW_dxr5tf-ulUlB1-Fp5/view?usp=sharing" TargetMode="External"/><Relationship Id="rId75" Type="http://schemas.openxmlformats.org/officeDocument/2006/relationships/hyperlink" Target="https://drive.google.com/file/d/1LXTtyCdivtp3BxgRBduiX0GH3IyMeXZQ/view?usp=sharing" TargetMode="External"/><Relationship Id="rId91" Type="http://schemas.openxmlformats.org/officeDocument/2006/relationships/hyperlink" Target="https://drive.google.com/file/d/1l-_26jxQF3ZlXQ3_oGrBTIkSVwnzOTJL/view?usp=sharing" TargetMode="External"/><Relationship Id="rId96" Type="http://schemas.openxmlformats.org/officeDocument/2006/relationships/hyperlink" Target="https://drive.google.com/file/d/1oGPKb2mFNZfiKVYGnJzsvQICDmDOhAeB/view?usp=sharing" TargetMode="External"/><Relationship Id="rId140" Type="http://schemas.openxmlformats.org/officeDocument/2006/relationships/hyperlink" Target="https://drive.google.com/file/d/1APgs8taH-CvptgDfaloSLXGLSEpKQjhS/view?usp=sharing" TargetMode="External"/><Relationship Id="rId145" Type="http://schemas.openxmlformats.org/officeDocument/2006/relationships/hyperlink" Target="https://drive.google.com/file/d/1QEKsukzw3umAs7NgW7lzdhRGrtWGudB7/view?usp=sharing" TargetMode="External"/><Relationship Id="rId161" Type="http://schemas.openxmlformats.org/officeDocument/2006/relationships/hyperlink" Target="https://drive.google.com/file/d/1YVKbesp9L5KiHR8DnZNTWnRdb0B1YmgE/view?usp=sharing" TargetMode="External"/><Relationship Id="rId166" Type="http://schemas.openxmlformats.org/officeDocument/2006/relationships/hyperlink" Target="https://drive.google.com/file/d/1tXZuNcVIRjNxRCIUIZsX0rhfZUPFFhrl/view?usp=sharing" TargetMode="External"/><Relationship Id="rId182" Type="http://schemas.openxmlformats.org/officeDocument/2006/relationships/hyperlink" Target="https://drive.google.com/file/d/15APc9XyS8E6Pg-0uyaz4hosFlqE1dBhz/view?usp=sharing" TargetMode="External"/><Relationship Id="rId187" Type="http://schemas.openxmlformats.org/officeDocument/2006/relationships/hyperlink" Target="https://drive.google.com/file/d/1O_AZCCEntZvqafoYsOFmpi-QmhsOIvqs/view?usp=sharing" TargetMode="External"/><Relationship Id="rId217" Type="http://schemas.openxmlformats.org/officeDocument/2006/relationships/hyperlink" Target="https://drive.google.com/file/d/1OfbelNI2NaEJLz9O-rSPcabNkbgvK3Qu/view?usp=sharing" TargetMode="External"/><Relationship Id="rId1" Type="http://schemas.openxmlformats.org/officeDocument/2006/relationships/hyperlink" Target="http://sl.no/" TargetMode="External"/><Relationship Id="rId6" Type="http://schemas.openxmlformats.org/officeDocument/2006/relationships/hyperlink" Target="https://drive.google.com/file/d/1dz5FLMB0kLM-RRFYi3ZqDdapzQhyTvgc/view?usp=drive_link" TargetMode="External"/><Relationship Id="rId212" Type="http://schemas.openxmlformats.org/officeDocument/2006/relationships/hyperlink" Target="https://drive.google.com/file/d/1HaWSYdmuE5h2FK6i8TJK6AC4XY5anA_g/view?usp=share_link" TargetMode="External"/><Relationship Id="rId23" Type="http://schemas.openxmlformats.org/officeDocument/2006/relationships/hyperlink" Target="https://drive.google.com/file/d/1hFJp13sZJ422wWe6EjfCrpML1RU4JAZn/view?usp=sharing" TargetMode="External"/><Relationship Id="rId28" Type="http://schemas.openxmlformats.org/officeDocument/2006/relationships/hyperlink" Target="https://drive.google.com/file/d/1njlE56yYMWPxtYALjeZ3Ru2CWp8GUrCr/view?usp=sharing" TargetMode="External"/><Relationship Id="rId49" Type="http://schemas.openxmlformats.org/officeDocument/2006/relationships/hyperlink" Target="https://drive.google.com/file/d/1hRw4tSkvmhGZxvI-FsT61OhIPXscHhjk/view?usp=sharing" TargetMode="External"/><Relationship Id="rId114" Type="http://schemas.openxmlformats.org/officeDocument/2006/relationships/hyperlink" Target="https://drive.google.com/file/d/1SYdwraa3gRUhcBrC9kukAMXfYkYeDMvK/view?usp=sharing" TargetMode="External"/><Relationship Id="rId119" Type="http://schemas.openxmlformats.org/officeDocument/2006/relationships/hyperlink" Target="https://drive.google.com/file/d/1YpfVStG9vxvwNA_GIMlM19qJJYBoKncb/view?usp=sharing" TargetMode="External"/><Relationship Id="rId44" Type="http://schemas.openxmlformats.org/officeDocument/2006/relationships/hyperlink" Target="https://drive.google.com/file/d/1fFUE59eWr0Og-5mxG6916lSiDTqIsEqC/view?usp=sharing" TargetMode="External"/><Relationship Id="rId60" Type="http://schemas.openxmlformats.org/officeDocument/2006/relationships/hyperlink" Target="https://drive.google.com/file/d/1VpYxp03xQxWS2oKvr8vkkIj2HoEQ_lMZ/view?usp=sharing" TargetMode="External"/><Relationship Id="rId65" Type="http://schemas.openxmlformats.org/officeDocument/2006/relationships/hyperlink" Target="https://drive.google.com/file/d/1p_PU9Z_9m0NNrRJQ3vrIVTRwVVdE_fMj/view?usp=sharing" TargetMode="External"/><Relationship Id="rId81" Type="http://schemas.openxmlformats.org/officeDocument/2006/relationships/hyperlink" Target="https://drive.google.com/file/d/1-bu8x_7vSDJE9wY6PY26FwmZ0_Jol4m8/view?usp=share_link" TargetMode="External"/><Relationship Id="rId86" Type="http://schemas.openxmlformats.org/officeDocument/2006/relationships/hyperlink" Target="https://drive.google.com/file/d/1-iPRTNklVZklNlRODbRxSVKIhC91zZ1l/view?usp=sharing" TargetMode="External"/><Relationship Id="rId130" Type="http://schemas.openxmlformats.org/officeDocument/2006/relationships/hyperlink" Target="https://drive.google.com/file/d/1F4lUe-L63RBSe5UhyWeeo-OK0K7yD94Y/view?usp=share_link" TargetMode="External"/><Relationship Id="rId135" Type="http://schemas.openxmlformats.org/officeDocument/2006/relationships/hyperlink" Target="https://drive.google.com/file/d/14tyEmVrSe-ryDg2_nrQ3GRUio6q0z9zW/view?usp=sharing" TargetMode="External"/><Relationship Id="rId151" Type="http://schemas.openxmlformats.org/officeDocument/2006/relationships/hyperlink" Target="https://drive.google.com/file/d/1_jNzUXg8EI5gz3fn9nsnqeC5yXXiok1L/view?usp=sharing" TargetMode="External"/><Relationship Id="rId156" Type="http://schemas.openxmlformats.org/officeDocument/2006/relationships/hyperlink" Target="https://drive.google.com/file/d/1msJSU1yaPPSTk4DcqDlCEqKrQbebdGyj/view?usp=sharing" TargetMode="External"/><Relationship Id="rId177" Type="http://schemas.openxmlformats.org/officeDocument/2006/relationships/hyperlink" Target="https://drive.google.com/file/d/1PuGEYhrkVY2mCfxirolY2FVTtU426Eyc/view?usp=share_link" TargetMode="External"/><Relationship Id="rId198" Type="http://schemas.openxmlformats.org/officeDocument/2006/relationships/hyperlink" Target="https://drive.google.com/file/d/1Yp8CLbdHqFwH3x1qLX78mLQ0dk9cm3Og/view?usp=sharing" TargetMode="External"/><Relationship Id="rId172" Type="http://schemas.openxmlformats.org/officeDocument/2006/relationships/hyperlink" Target="https://drive.google.com/file/d/1Us9XCUZUnQbFe4o0RqVlHRnsSGzMk7yj/view?usp=sharing" TargetMode="External"/><Relationship Id="rId193" Type="http://schemas.openxmlformats.org/officeDocument/2006/relationships/hyperlink" Target="https://drive.google.com/file/d/1W_45KyJ_lcrXL9LTz7fDfYd5NYF4-bpi/view?usp=sharing" TargetMode="External"/><Relationship Id="rId202" Type="http://schemas.openxmlformats.org/officeDocument/2006/relationships/hyperlink" Target="https://drive.google.com/file/d/1v2M3du-Vema9USnI7NqDFqNWkHzMveiz/view?usp=sharing" TargetMode="External"/><Relationship Id="rId207" Type="http://schemas.openxmlformats.org/officeDocument/2006/relationships/hyperlink" Target="https://drive.google.com/file/d/1QDMbbioRyr9uIt94MD3p8KHw2QmIZ0QG/view?usp=sharing" TargetMode="External"/><Relationship Id="rId223" Type="http://schemas.openxmlformats.org/officeDocument/2006/relationships/hyperlink" Target="https://drive.google.com/file/d/1vBqNaWfLzeVozoo9CeJ8dTGh6L9b2ZWn/view?usp=sharing" TargetMode="External"/><Relationship Id="rId13" Type="http://schemas.openxmlformats.org/officeDocument/2006/relationships/hyperlink" Target="https://drive.google.com/file/d/1ykFbNlqcHUnlWSpy8mWhCDgPGOnHHb2r/view?usp=sharing" TargetMode="External"/><Relationship Id="rId18" Type="http://schemas.openxmlformats.org/officeDocument/2006/relationships/hyperlink" Target="https://drive.google.com/file/d/1xoirw0QESpNVSnefqjHf9hqM9UEyQawv/view?usp=sharing" TargetMode="External"/><Relationship Id="rId39" Type="http://schemas.openxmlformats.org/officeDocument/2006/relationships/hyperlink" Target="https://drive.google.com/file/d/1f2L_gdGbW-UbkBFXy1b9j2HqAivANU-a/view?usp=sharing" TargetMode="External"/><Relationship Id="rId109" Type="http://schemas.openxmlformats.org/officeDocument/2006/relationships/hyperlink" Target="https://drive.google.com/file/d/1njIzTSNpNA0tSl2ipwNRmkivJoWvAP25/view?usp=sharing" TargetMode="External"/><Relationship Id="rId34" Type="http://schemas.openxmlformats.org/officeDocument/2006/relationships/hyperlink" Target="https://drive.google.com/file/d/11PoQUaDX60Cwztabv6bES7ITPvsFYZ2w/view?usp=sharing" TargetMode="External"/><Relationship Id="rId50" Type="http://schemas.openxmlformats.org/officeDocument/2006/relationships/hyperlink" Target="https://drive.google.com/file/d/1W4NoBEAP58-eKUgracONhGrvtzR-XMU3/view?usp=sharing" TargetMode="External"/><Relationship Id="rId55" Type="http://schemas.openxmlformats.org/officeDocument/2006/relationships/hyperlink" Target="https://drive.google.com/file/d/109eqjrnFgXZAh2icA8iWMcSd7aejYmWm/view?usp=sharing" TargetMode="External"/><Relationship Id="rId76" Type="http://schemas.openxmlformats.org/officeDocument/2006/relationships/hyperlink" Target="https://drive.google.com/file/d/1_L8YP6cx6eE-cpIf0mocaguqJ2F-hYxt/view?usp=share_link" TargetMode="External"/><Relationship Id="rId97" Type="http://schemas.openxmlformats.org/officeDocument/2006/relationships/hyperlink" Target="https://drive.google.com/file/d/1-jDvwVQUl7k1JBV9uPVRYhbVV6tPlpkH/view?usp=sharing" TargetMode="External"/><Relationship Id="rId104" Type="http://schemas.openxmlformats.org/officeDocument/2006/relationships/hyperlink" Target="https://drive.google.com/file/d/1oJpI47kwkwDJ45sDGkC9v9InJ5FiQVDm/view?usp=sharing" TargetMode="External"/><Relationship Id="rId120" Type="http://schemas.openxmlformats.org/officeDocument/2006/relationships/hyperlink" Target="https://drive.google.com/file/d/1A6USFkAMzTwJAjTSCVr7gJUDv-kzwOHO/view?usp=sharing" TargetMode="External"/><Relationship Id="rId125" Type="http://schemas.openxmlformats.org/officeDocument/2006/relationships/hyperlink" Target="https://drive.google.com/file/d/1nu4rugJnzj3Uv3m0bA-fE9LM10Uw0bsm/view?usp=share_link" TargetMode="External"/><Relationship Id="rId141" Type="http://schemas.openxmlformats.org/officeDocument/2006/relationships/hyperlink" Target="https://drive.google.com/file/d/1pUc9hJtenSWR4EW1wfCJHVPFVNXHxhxL/view?usp=sharing" TargetMode="External"/><Relationship Id="rId146" Type="http://schemas.openxmlformats.org/officeDocument/2006/relationships/hyperlink" Target="https://drive.google.com/file/d/1IBlnm9B1rmG6y1RcJADmc3nm-PCjk1Kt/view?usp=sharing" TargetMode="External"/><Relationship Id="rId167" Type="http://schemas.openxmlformats.org/officeDocument/2006/relationships/hyperlink" Target="https://drive.google.com/file/d/1UL5RaShsd6m5-4u23fBcttbatcxZcZrN/view?usp=sharing" TargetMode="External"/><Relationship Id="rId188" Type="http://schemas.openxmlformats.org/officeDocument/2006/relationships/hyperlink" Target="https://drive.google.com/file/d/1Q1g2CCWzn-IYgr6XGHlvNoLmzGbGEWcT/view?usp=share_link" TargetMode="External"/><Relationship Id="rId7" Type="http://schemas.openxmlformats.org/officeDocument/2006/relationships/hyperlink" Target="https://drive.google.com/file/d/153SbKw5AMZG2jqLhWPIAS9Air48XXDqG/view?usp=sharing" TargetMode="External"/><Relationship Id="rId71" Type="http://schemas.openxmlformats.org/officeDocument/2006/relationships/hyperlink" Target="https://drive.google.com/file/d/1S-VcBx7FXFM6Lx9eRB_sJE17J2LysRTl/view?usp=sharing" TargetMode="External"/><Relationship Id="rId92" Type="http://schemas.openxmlformats.org/officeDocument/2006/relationships/hyperlink" Target="https://drive.google.com/file/d/124BePkzQHan_gfhwL7-kegRj2srxYHJD/view?usp=sharing" TargetMode="External"/><Relationship Id="rId162" Type="http://schemas.openxmlformats.org/officeDocument/2006/relationships/hyperlink" Target="https://drive.google.com/file/d/1m-r1hVUd9CorY1n3iyZIkp_ZNvuB0q9-/view?usp=sharing" TargetMode="External"/><Relationship Id="rId183" Type="http://schemas.openxmlformats.org/officeDocument/2006/relationships/hyperlink" Target="https://drive.google.com/file/d/1YnlJxxd8i_g0xyD33JQL_mxcSurr-feM/view?usp=share_link" TargetMode="External"/><Relationship Id="rId213" Type="http://schemas.openxmlformats.org/officeDocument/2006/relationships/hyperlink" Target="https://drive.google.com/file/d/16c8Q9reX0H-0_eXSqNsW7IoOA9hjHVe5/view?usp=sharing" TargetMode="External"/><Relationship Id="rId218" Type="http://schemas.openxmlformats.org/officeDocument/2006/relationships/hyperlink" Target="https://drive.google.com/file/d/1CPjC0XjjYqC1yUtgvE4nzeb239DiUEsw/view?usp=sharing" TargetMode="External"/><Relationship Id="rId2" Type="http://schemas.openxmlformats.org/officeDocument/2006/relationships/hyperlink" Target="https://drive.google.com/file/d/1h6iXjqRaCmKVxpU97cdT88ydOKRlrEbU/view?usp=drive_link" TargetMode="External"/><Relationship Id="rId29" Type="http://schemas.openxmlformats.org/officeDocument/2006/relationships/hyperlink" Target="https://drive.google.com/file/d/1MWPxNIri7zgIvLeNveV-nOO1qMOBz9SO/view?usp=sharing" TargetMode="External"/><Relationship Id="rId24" Type="http://schemas.openxmlformats.org/officeDocument/2006/relationships/hyperlink" Target="https://drive.google.com/file/d/1ENNupBCjuhuGjXcHIFTTx7o75n3BBJJs/view?usp=sharing" TargetMode="External"/><Relationship Id="rId40" Type="http://schemas.openxmlformats.org/officeDocument/2006/relationships/hyperlink" Target="https://drive.google.com/file/d/1MH8dysoATxC8pe6puJF76qjRFNhXp1ae/view?usp=sharing" TargetMode="External"/><Relationship Id="rId45" Type="http://schemas.openxmlformats.org/officeDocument/2006/relationships/hyperlink" Target="https://drive.google.com/file/d/1H-gzpLqfn4sMnUEEHrArU9QRCrnILwrr/view?usp=sharing" TargetMode="External"/><Relationship Id="rId66" Type="http://schemas.openxmlformats.org/officeDocument/2006/relationships/hyperlink" Target="https://drive.google.com/file/d/185k6Jdt6T9lhCNPh3bQLtMJ75yDaRhnA/view?usp=drive_link" TargetMode="External"/><Relationship Id="rId87" Type="http://schemas.openxmlformats.org/officeDocument/2006/relationships/hyperlink" Target="https://drive.google.com/file/d/1UYSPgUy8_ibkRwedIiJI16Fle4JvSGIG/view?usp=sharing" TargetMode="External"/><Relationship Id="rId110" Type="http://schemas.openxmlformats.org/officeDocument/2006/relationships/hyperlink" Target="https://drive.google.com/file/d/1fn1UnR3KDYIzt_iV35-J9w6w5FUKnTp_/view?usp=sharing" TargetMode="External"/><Relationship Id="rId115" Type="http://schemas.openxmlformats.org/officeDocument/2006/relationships/hyperlink" Target="https://drive.google.com/file/d/15UmEARMEAF9e7UbhF7cS5AalRlmrmF5a/view?usp=sharing" TargetMode="External"/><Relationship Id="rId131" Type="http://schemas.openxmlformats.org/officeDocument/2006/relationships/hyperlink" Target="https://drive.google.com/file/d/17StjUaCZLt8nzyuY0OBh00d7XtB7CGum/view?usp=sharing" TargetMode="External"/><Relationship Id="rId136" Type="http://schemas.openxmlformats.org/officeDocument/2006/relationships/hyperlink" Target="https://drive.google.com/file/d/1X2NXGtdJJ0cpQjc22JyUKZzm_iUG8Xzl/view?usp=share_link" TargetMode="External"/><Relationship Id="rId157" Type="http://schemas.openxmlformats.org/officeDocument/2006/relationships/hyperlink" Target="https://drive.google.com/file/d/1EUZ2jpd2cP0gkChLB1RTaLUP4J5Eu2de/view?usp=sharing" TargetMode="External"/><Relationship Id="rId178" Type="http://schemas.openxmlformats.org/officeDocument/2006/relationships/hyperlink" Target="https://drive.google.com/file/d/1eRwr77oP6CnYvKC6UomWuvctK-UYtQ_b/view?usp=sharing" TargetMode="External"/><Relationship Id="rId61" Type="http://schemas.openxmlformats.org/officeDocument/2006/relationships/hyperlink" Target="https://drive.google.com/file/d/13y6xvZ9zdjdcnhWpfXA-SKmMY1-yNi-Q/view?usp=sharing" TargetMode="External"/><Relationship Id="rId82" Type="http://schemas.openxmlformats.org/officeDocument/2006/relationships/hyperlink" Target="https://drive.google.com/file/d/13JI_8983XISwkSt7Zxg3l0Fl1QZU9ja2/view?usp=sharing" TargetMode="External"/><Relationship Id="rId152" Type="http://schemas.openxmlformats.org/officeDocument/2006/relationships/hyperlink" Target="https://drive.google.com/file/d/1Tt3_j-GVwCtmX4xN2fGCTp4XI_1RHnWf/view?usp=sharing" TargetMode="External"/><Relationship Id="rId173" Type="http://schemas.openxmlformats.org/officeDocument/2006/relationships/hyperlink" Target="https://drive.google.com/file/d/1vhJQIgnZjVc9ZO35LDTRru2HsNU1NCT4/view?usp=sharing" TargetMode="External"/><Relationship Id="rId194" Type="http://schemas.openxmlformats.org/officeDocument/2006/relationships/hyperlink" Target="https://drive.google.com/file/d/1OYj3MT_MK8VAoLepMzaLaMuRiQxmUBiX/view?usp=sharing" TargetMode="External"/><Relationship Id="rId199" Type="http://schemas.openxmlformats.org/officeDocument/2006/relationships/hyperlink" Target="https://drive.google.com/file/d/10QCExydLkTlGTT4Hk1bi8HqMMYs855HY/view?usp=sharing" TargetMode="External"/><Relationship Id="rId203" Type="http://schemas.openxmlformats.org/officeDocument/2006/relationships/hyperlink" Target="https://drive.google.com/file/d/12fQMBWvPoZ3U8nXXfcZR0ivf1dTby6od/view?usp=sharing" TargetMode="External"/><Relationship Id="rId208" Type="http://schemas.openxmlformats.org/officeDocument/2006/relationships/hyperlink" Target="https://drive.google.com/file/d/1PN-PPJ2td5k2zygHHbLaBUizuPrwncnk/view?usp=sharing" TargetMode="External"/><Relationship Id="rId19" Type="http://schemas.openxmlformats.org/officeDocument/2006/relationships/hyperlink" Target="https://drive.google.com/file/d/1GjKcpsoEB11Q8d2kjhqK77UGKNuXupps/view?usp=sharing" TargetMode="External"/><Relationship Id="rId224" Type="http://schemas.openxmlformats.org/officeDocument/2006/relationships/hyperlink" Target="https://drive.google.com/file/d/1JKVx6ZpA4irkkPVpXJCnQOnnKWtV1YzX/view?usp=sharing" TargetMode="External"/><Relationship Id="rId14" Type="http://schemas.openxmlformats.org/officeDocument/2006/relationships/hyperlink" Target="https://drive.google.com/file/d/1aHvx58vqpi3q8kwDQBpXIGPaS49sOiDM/view?usp=sharing" TargetMode="External"/><Relationship Id="rId30" Type="http://schemas.openxmlformats.org/officeDocument/2006/relationships/hyperlink" Target="https://drive.google.com/file/d/1eQg-P6geHKUjKtc7lSxktOrT7ZTnFC8w/view?usp=sharing" TargetMode="External"/><Relationship Id="rId35" Type="http://schemas.openxmlformats.org/officeDocument/2006/relationships/hyperlink" Target="https://drive.google.com/file/d/19S1aYZRXQ2FhFwOVNK4TJnq04mjtizTp/view?usp=sharing" TargetMode="External"/><Relationship Id="rId56" Type="http://schemas.openxmlformats.org/officeDocument/2006/relationships/hyperlink" Target="https://drive.google.com/file/d/1sG8bEcKRMWaYqqoSQ_UugEuTw_eFZrVa/view?usp=sharing" TargetMode="External"/><Relationship Id="rId77" Type="http://schemas.openxmlformats.org/officeDocument/2006/relationships/hyperlink" Target="https://drive.google.com/file/d/1nQ4cy7CQU2qScl8XgLMvskS_R4sh65gJ/view?usp=sharing" TargetMode="External"/><Relationship Id="rId100" Type="http://schemas.openxmlformats.org/officeDocument/2006/relationships/hyperlink" Target="https://drive.google.com/file/d/1DKj8hCrou2GA3M94FGk9kYHkaaMuqrfC/view?usp=sharing" TargetMode="External"/><Relationship Id="rId105" Type="http://schemas.openxmlformats.org/officeDocument/2006/relationships/hyperlink" Target="https://drive.google.com/file/d/1UYAERX1j78EZTIvo2okCTQUjR1xlfkq7/view?usp=share_link" TargetMode="External"/><Relationship Id="rId126" Type="http://schemas.openxmlformats.org/officeDocument/2006/relationships/hyperlink" Target="https://drive.google.com/file/d/10ZIMDOAeK0mt1XRYwmJh4prdCQ0s0fX8/view?usp=sharing" TargetMode="External"/><Relationship Id="rId147" Type="http://schemas.openxmlformats.org/officeDocument/2006/relationships/hyperlink" Target="https://drive.google.com/file/d/1vVDZzxHcjbVntha4xzmpT84RKo5G08xb/view?usp=sharing" TargetMode="External"/><Relationship Id="rId168" Type="http://schemas.openxmlformats.org/officeDocument/2006/relationships/hyperlink" Target="https://drive.google.com/file/d/1KyOIEuq3GuX8myRKYaEB4soJ3FKimUEw/view?usp=share_link" TargetMode="External"/><Relationship Id="rId8" Type="http://schemas.openxmlformats.org/officeDocument/2006/relationships/hyperlink" Target="https://drive.google.com/file/d/1NSxNoftXmfisGOOQahmYJPOmflCsuDZX/view?usp=sharing" TargetMode="External"/><Relationship Id="rId51" Type="http://schemas.openxmlformats.org/officeDocument/2006/relationships/hyperlink" Target="https://drive.google.com/file/d/1OtRwiF3CiV4yXc6SfnK9zZwe_i0Q6iBo/view?usp=sharing" TargetMode="External"/><Relationship Id="rId72" Type="http://schemas.openxmlformats.org/officeDocument/2006/relationships/hyperlink" Target="https://drive.google.com/file/d/13xs2siUgNdS0NOEJ0HnPfSqGEabhUezr/view?usp=sharing" TargetMode="External"/><Relationship Id="rId93" Type="http://schemas.openxmlformats.org/officeDocument/2006/relationships/hyperlink" Target="https://drive.google.com/file/d/1ufkI9AjXMCbraeKeR-CHVLAUYmK0k4XK/view?usp=sharing" TargetMode="External"/><Relationship Id="rId98" Type="http://schemas.openxmlformats.org/officeDocument/2006/relationships/hyperlink" Target="https://drive.google.com/file/d/1EMFR2kb-G6XHkjZ-42SRhx4JUq6buyH2/view?usp=sharing" TargetMode="External"/><Relationship Id="rId121" Type="http://schemas.openxmlformats.org/officeDocument/2006/relationships/hyperlink" Target="https://drive.google.com/file/d/1W_45KyJ_lcrXL9LTz7fDfYd5NYF4-bpi/view?usp=sharing" TargetMode="External"/><Relationship Id="rId142" Type="http://schemas.openxmlformats.org/officeDocument/2006/relationships/hyperlink" Target="https://drive.google.com/file/d/1Goy0bHu8OaUZMPiUtYiEMJJvAMdIcEsS/view?usp=sharing" TargetMode="External"/><Relationship Id="rId163" Type="http://schemas.openxmlformats.org/officeDocument/2006/relationships/hyperlink" Target="https://drive.google.com/file/d/1OctnZo0lN0nP9o6ZOfOsdT2EzZd7sPqt/view?usp=sharing" TargetMode="External"/><Relationship Id="rId184" Type="http://schemas.openxmlformats.org/officeDocument/2006/relationships/hyperlink" Target="https://drive.google.com/file/d/1oTZkHtmiv0o6gNyGjdvW2BGUK-jmNaTp/view?usp=sharing" TargetMode="External"/><Relationship Id="rId189" Type="http://schemas.openxmlformats.org/officeDocument/2006/relationships/hyperlink" Target="https://drive.google.com/file/d/1ppEyY-CvvxnUapzo52Rxacjsc1fhouDb/view?usp=sharing" TargetMode="External"/><Relationship Id="rId219" Type="http://schemas.openxmlformats.org/officeDocument/2006/relationships/hyperlink" Target="https://drive.google.com/file/d/1RAv8_sp1xSd2RiF-R6dF1TyUL_FLG1WV/view?usp=sharing" TargetMode="External"/><Relationship Id="rId3" Type="http://schemas.openxmlformats.org/officeDocument/2006/relationships/hyperlink" Target="https://drive.google.com/file/d/1-xjAU3nuaMuLiD3VYhiMXRMN_pdsBdpd/view?usp=drive_link" TargetMode="External"/><Relationship Id="rId214" Type="http://schemas.openxmlformats.org/officeDocument/2006/relationships/hyperlink" Target="https://drive.google.com/file/d/1vfy7rwyi72ki6KUOZXQ9CnJzKjI3XY6I/view?usp=sharing" TargetMode="External"/><Relationship Id="rId25" Type="http://schemas.openxmlformats.org/officeDocument/2006/relationships/hyperlink" Target="https://drive.google.com/file/d/1wd5mgxn0tIMmR_2zNTyIPo5XJq-wlbfX/view?usp=sharing" TargetMode="External"/><Relationship Id="rId46" Type="http://schemas.openxmlformats.org/officeDocument/2006/relationships/hyperlink" Target="https://drive.google.com/file/d/1P-vn6hct9eOodNp3-5D3KENmCfkQUfVk/view?usp=sharing" TargetMode="External"/><Relationship Id="rId67" Type="http://schemas.openxmlformats.org/officeDocument/2006/relationships/hyperlink" Target="https://drive.google.com/file/d/1wRO4_t9ztH9YBVbQ4U9Wr7d9Uz_fFkiY/view?usp=sharing" TargetMode="External"/><Relationship Id="rId116" Type="http://schemas.openxmlformats.org/officeDocument/2006/relationships/hyperlink" Target="https://drive.google.com/file/d/121hJWZk04QErc9atHIcmOJJXCDEfxqRN/view?usp=sharing" TargetMode="External"/><Relationship Id="rId137" Type="http://schemas.openxmlformats.org/officeDocument/2006/relationships/hyperlink" Target="https://drive.google.com/file/d/1vMxwLsgdmDpeeeQfOu0brCwAaiCk2k4J/view?usp=sharing" TargetMode="External"/><Relationship Id="rId158" Type="http://schemas.openxmlformats.org/officeDocument/2006/relationships/hyperlink" Target="https://drive.google.com/file/d/1K_AE7cJb4Ll6LCVd4tcTiGAeN8sbtCzI/view?usp=sharing" TargetMode="External"/><Relationship Id="rId20" Type="http://schemas.openxmlformats.org/officeDocument/2006/relationships/hyperlink" Target="https://drive.google.com/file/d/1-kY42F_awXn-UoR-keLShpXo3KUrHHlJ/view?usp=sharing" TargetMode="External"/><Relationship Id="rId41" Type="http://schemas.openxmlformats.org/officeDocument/2006/relationships/hyperlink" Target="https://drive.google.com/file/d/1jO1UsJypTph2GCPrLA8lE4_ttyRJ6jQ9/view?usp=sharing" TargetMode="External"/><Relationship Id="rId62" Type="http://schemas.openxmlformats.org/officeDocument/2006/relationships/hyperlink" Target="https://drive.google.com/file/d/1JOWQXVUVCw--XGEqUrubbhBommg6D1SI/view?usp=share_link" TargetMode="External"/><Relationship Id="rId83" Type="http://schemas.openxmlformats.org/officeDocument/2006/relationships/hyperlink" Target="https://drive.google.com/file/d/1gFQ0ykHGzmZig1SLSgK8HBR4sRvOYtC6/view?usp=sharing" TargetMode="External"/><Relationship Id="rId88" Type="http://schemas.openxmlformats.org/officeDocument/2006/relationships/hyperlink" Target="https://drive.google.com/file/d/1N8iM2GDsjiRAmlH4AzGtuGHP8siTCVwr/view?usp=sharing" TargetMode="External"/><Relationship Id="rId111" Type="http://schemas.openxmlformats.org/officeDocument/2006/relationships/hyperlink" Target="https://drive.google.com/file/d/1OEMJLkCwEhR33rwOkmG52xqkN6rr977K/view?usp=sharing" TargetMode="External"/><Relationship Id="rId132" Type="http://schemas.openxmlformats.org/officeDocument/2006/relationships/hyperlink" Target="https://drive.google.com/file/d/1o0tieu5-N1rMTiI1Wpk0pQGDg3gcHZS2/view?usp=sharing" TargetMode="External"/><Relationship Id="rId153" Type="http://schemas.openxmlformats.org/officeDocument/2006/relationships/hyperlink" Target="https://drive.google.com/file/d/1CriXISNroNLp1HBfrGmhq6m8AsWVZoQy/view?usp=share_link" TargetMode="External"/><Relationship Id="rId174" Type="http://schemas.openxmlformats.org/officeDocument/2006/relationships/hyperlink" Target="https://drive.google.com/file/d/17WLDektCF9n5TeM1mfcy-PAgvPisFLHd/view?usp=share_link" TargetMode="External"/><Relationship Id="rId179" Type="http://schemas.openxmlformats.org/officeDocument/2006/relationships/hyperlink" Target="https://drive.google.com/file/d/1_ipu7DtJ3yszglG8JVmHHNfv3ttAlYkY/view?usp=sharing" TargetMode="External"/><Relationship Id="rId195" Type="http://schemas.openxmlformats.org/officeDocument/2006/relationships/hyperlink" Target="https://drive.google.com/file/d/1D1WDr7VXLAr5_vaMUmqRH3nCqa8Hu1YV/view?usp=share_link" TargetMode="External"/><Relationship Id="rId209" Type="http://schemas.openxmlformats.org/officeDocument/2006/relationships/hyperlink" Target="https://drive.google.com/file/d/1odAiuMET2Cuqt8-dBF3AHr62VI8W8S3A/view?usp=sharing" TargetMode="External"/><Relationship Id="rId190" Type="http://schemas.openxmlformats.org/officeDocument/2006/relationships/hyperlink" Target="https://drive.google.com/file/d/1X5EN9sPAJaLFqx50P23gRUcC40uXsL1A/view?usp=sharing" TargetMode="External"/><Relationship Id="rId204" Type="http://schemas.openxmlformats.org/officeDocument/2006/relationships/hyperlink" Target="https://drive.google.com/file/d/1nYiHlSI5qHPg-iXBFMUgnG4n-_AWDrMh/view?usp=sharing" TargetMode="External"/><Relationship Id="rId220" Type="http://schemas.openxmlformats.org/officeDocument/2006/relationships/hyperlink" Target="https://drive.google.com/file/d/1EHoQRcJgNgjfkiMzbUr00l7KMO3WhR7l/view?usp=sharing" TargetMode="External"/><Relationship Id="rId225" Type="http://schemas.openxmlformats.org/officeDocument/2006/relationships/hyperlink" Target="https://drive.google.com/file/d/1DrH2u8-4p0ZoDukTnz9dPt7E36nV_h4r/view?usp=sharing" TargetMode="External"/><Relationship Id="rId15" Type="http://schemas.openxmlformats.org/officeDocument/2006/relationships/hyperlink" Target="https://drive.google.com/file/d/1nDshZJVOzpACM7z684ZYMUwNPDu-7u8-/view?usp=sharing" TargetMode="External"/><Relationship Id="rId36" Type="http://schemas.openxmlformats.org/officeDocument/2006/relationships/hyperlink" Target="https://drive.google.com/file/d/1jP79Ew5wFCwb8UY-7GAsQDrHXBKlyASL/view?usp=sharing" TargetMode="External"/><Relationship Id="rId57" Type="http://schemas.openxmlformats.org/officeDocument/2006/relationships/hyperlink" Target="https://drive.google.com/file/d/1MINafaOQKroum7e4SvvrVuaTtx5I90RQ/view?usp=sharing" TargetMode="External"/><Relationship Id="rId106" Type="http://schemas.openxmlformats.org/officeDocument/2006/relationships/hyperlink" Target="https://drive.google.com/file/d/1XuHn2Yzo8unxv_y6CoU8UwUTB9YrQnBG/view?usp=sharing" TargetMode="External"/><Relationship Id="rId127" Type="http://schemas.openxmlformats.org/officeDocument/2006/relationships/hyperlink" Target="https://drive.google.com/file/d/1FAiGdFQd0LbBVWT-LKtGljAy57WRgBki/view?usp=sharing" TargetMode="External"/><Relationship Id="rId10" Type="http://schemas.openxmlformats.org/officeDocument/2006/relationships/hyperlink" Target="https://drive.google.com/file/d/1Iek55_WWJhcK-9tE8EPV6NOY74ZrTHec/view?usp=sharing" TargetMode="External"/><Relationship Id="rId31" Type="http://schemas.openxmlformats.org/officeDocument/2006/relationships/hyperlink" Target="https://drive.google.com/file/d/1IgWaiKTHyBiOG5Sjp-cLwskqTOTqWG5m/view?usp=sharing" TargetMode="External"/><Relationship Id="rId52" Type="http://schemas.openxmlformats.org/officeDocument/2006/relationships/hyperlink" Target="https://drive.google.com/file/d/1hgtWi5gd4KdDfEmc1S22dAfRdpAGJQcu/view?usp=sharing" TargetMode="External"/><Relationship Id="rId73" Type="http://schemas.openxmlformats.org/officeDocument/2006/relationships/hyperlink" Target="https://drive.google.com/file/d/1CriXISNroNLp1HBfrGmhq6m8AsWVZoQy/view?usp=sharing" TargetMode="External"/><Relationship Id="rId78" Type="http://schemas.openxmlformats.org/officeDocument/2006/relationships/hyperlink" Target="https://drive.google.com/file/d/1vu6e-plD8cXdhytIYXxu6La3o9zw2GDM/view?usp=sharing" TargetMode="External"/><Relationship Id="rId94" Type="http://schemas.openxmlformats.org/officeDocument/2006/relationships/hyperlink" Target="https://drive.google.com/file/d/1RuLQJ0DkuZ-3igZnibIa0TpsgOqIjE26/view?usp=sharing" TargetMode="External"/><Relationship Id="rId99" Type="http://schemas.openxmlformats.org/officeDocument/2006/relationships/hyperlink" Target="https://drive.google.com/file/d/1fjccocPAFbD_exvE-4a-tSofja6aR4I-/view?usp=share_link" TargetMode="External"/><Relationship Id="rId101" Type="http://schemas.openxmlformats.org/officeDocument/2006/relationships/hyperlink" Target="https://drive.google.com/file/d/1Ot4-K9xs2xjKuLjbT6K46BanCJ_4GwyX/view?usp=sharing" TargetMode="External"/><Relationship Id="rId122" Type="http://schemas.openxmlformats.org/officeDocument/2006/relationships/hyperlink" Target="https://drive.google.com/file/d/165ysNYSog3p9vRA-3oco1UhRojeiu4jw/view?usp=sharing" TargetMode="External"/><Relationship Id="rId143" Type="http://schemas.openxmlformats.org/officeDocument/2006/relationships/hyperlink" Target="https://drive.google.com/file/d/1Pg892CfQNVQR2Un25f2WexQrQxAAOl05/view?usp=sharing" TargetMode="External"/><Relationship Id="rId148" Type="http://schemas.openxmlformats.org/officeDocument/2006/relationships/hyperlink" Target="https://drive.google.com/file/d/1d_c8ZMU-viX5dBENTakHYntqv_bX215s/view?usp=sharing" TargetMode="External"/><Relationship Id="rId164" Type="http://schemas.openxmlformats.org/officeDocument/2006/relationships/hyperlink" Target="https://drive.google.com/file/d/1rS1B-xZajdAneVMXD0rOlnEqnK9n00DT/view?usp=sharing" TargetMode="External"/><Relationship Id="rId169" Type="http://schemas.openxmlformats.org/officeDocument/2006/relationships/hyperlink" Target="https://drive.google.com/file/d/197kPzRa1Ywt4gJF2gb8r6MmyQjfwwMtT/view?usp=sharing" TargetMode="External"/><Relationship Id="rId185" Type="http://schemas.openxmlformats.org/officeDocument/2006/relationships/hyperlink" Target="https://drive.google.com/file/d/1AIg_N9O--_c70QJUYLSOIO18JIlVp3xp/view?usp=sharing" TargetMode="External"/><Relationship Id="rId4" Type="http://schemas.openxmlformats.org/officeDocument/2006/relationships/hyperlink" Target="https://drive.google.com/file/d/1iopBlfqwuIcuElJiohk6tI-Kw4x7LuJZ/view?usp=drive_link" TargetMode="External"/><Relationship Id="rId9" Type="http://schemas.openxmlformats.org/officeDocument/2006/relationships/hyperlink" Target="https://drive.google.com/file/d/1tnEkHHdTSPCsiazNLE5fp-A6ToiXXnfm/view?usp=sharing" TargetMode="External"/><Relationship Id="rId180" Type="http://schemas.openxmlformats.org/officeDocument/2006/relationships/hyperlink" Target="https://drive.google.com/file/d/1RaPGzeb2MOhi6iVQjRM9EEWCRc8358LD/view?usp=share_link" TargetMode="External"/><Relationship Id="rId210" Type="http://schemas.openxmlformats.org/officeDocument/2006/relationships/hyperlink" Target="https://drive.google.com/file/d/1XHaax4ugpZxGLBljjXv1aPAr2M2jEffs/view?usp=sharing" TargetMode="External"/><Relationship Id="rId215" Type="http://schemas.openxmlformats.org/officeDocument/2006/relationships/hyperlink" Target="https://drive.google.com/file/d/1noLVLWBjBICWhF0IGYhQRIFuEn-vtaoU/view?usp=sharing" TargetMode="External"/><Relationship Id="rId26" Type="http://schemas.openxmlformats.org/officeDocument/2006/relationships/hyperlink" Target="https://drive.google.com/file/d/1QuGTFInufxy5FpYZKBi0zgNwqXkFsGJw/view?usp=sharing" TargetMode="External"/><Relationship Id="rId47" Type="http://schemas.openxmlformats.org/officeDocument/2006/relationships/hyperlink" Target="https://drive.google.com/file/d/1tasId_PUjbJch0HyGJ5OACdH2QTtB1d5/view?usp=sharing" TargetMode="External"/><Relationship Id="rId68" Type="http://schemas.openxmlformats.org/officeDocument/2006/relationships/hyperlink" Target="https://drive.google.com/file/d/11Z2IhOO3xoIWh8Phzj30fd3fvfxWRnF9/view?usp=sharing" TargetMode="External"/><Relationship Id="rId89" Type="http://schemas.openxmlformats.org/officeDocument/2006/relationships/hyperlink" Target="https://drive.google.com/file/d/1V23ZDCgdHapS9dgSBNzgrIH8p0WTstte/view?usp=sharing" TargetMode="External"/><Relationship Id="rId112" Type="http://schemas.openxmlformats.org/officeDocument/2006/relationships/hyperlink" Target="https://drive.google.com/file/d/1HT_-1UjDuYbq9FQI9wbWTaQxbdPoxzOB/view?usp=sharing" TargetMode="External"/><Relationship Id="rId133" Type="http://schemas.openxmlformats.org/officeDocument/2006/relationships/hyperlink" Target="https://drive.google.com/file/d/1LqsBshREK1jQH-ZfHaZLdZ4nHR9tk-Ha/view?usp=share_link" TargetMode="External"/><Relationship Id="rId154" Type="http://schemas.openxmlformats.org/officeDocument/2006/relationships/hyperlink" Target="https://drive.google.com/file/d/1C18oXBgXkZmTk5u4F-VQ7BVyWnqxI-R5/view?usp=sharing" TargetMode="External"/><Relationship Id="rId175" Type="http://schemas.openxmlformats.org/officeDocument/2006/relationships/hyperlink" Target="https://drive.google.com/file/d/1__FvF9e2IMG81hNYFpAmZEw-WtvStfAw/view?usp=sharing" TargetMode="External"/><Relationship Id="rId196" Type="http://schemas.openxmlformats.org/officeDocument/2006/relationships/hyperlink" Target="https://drive.google.com/file/d/1xJ0VClCvbEbBfVLj1w5JkDOXXVoiX0_v/view?usp=sharing" TargetMode="External"/><Relationship Id="rId200" Type="http://schemas.openxmlformats.org/officeDocument/2006/relationships/hyperlink" Target="https://drive.google.com/file/d/1VkwwOjhmMduX66BBlzs5iejG1qK_xMcZ/view?usp=share_link" TargetMode="External"/><Relationship Id="rId16" Type="http://schemas.openxmlformats.org/officeDocument/2006/relationships/hyperlink" Target="https://drive.google.com/file/d/16BxYJ0VX-PVwjUMB6v9VkPy0VpfPa_K9/view?usp=sharing" TargetMode="External"/><Relationship Id="rId221" Type="http://schemas.openxmlformats.org/officeDocument/2006/relationships/hyperlink" Target="https://drive.google.com/file/d/1h003gjKWNvActcmAZZvF9lQe2MtrA9GN/view?usp=sharing" TargetMode="External"/><Relationship Id="rId37" Type="http://schemas.openxmlformats.org/officeDocument/2006/relationships/hyperlink" Target="https://drive.google.com/file/d/1mFyYLa9mMc3EOBNEujgQWqi_Nvm4ReIk/view?usp=sharing" TargetMode="External"/><Relationship Id="rId58" Type="http://schemas.openxmlformats.org/officeDocument/2006/relationships/hyperlink" Target="https://drive.google.com/file/d/1a17k5thfPGQw5kpvknL2Yya9IzkiEFal/view?usp=share_link" TargetMode="External"/><Relationship Id="rId79" Type="http://schemas.openxmlformats.org/officeDocument/2006/relationships/hyperlink" Target="https://drive.google.com/file/d/1SV8CrqwO3d1fUkYjt-rftAivYC2-veDz/view?usp=sharing" TargetMode="External"/><Relationship Id="rId102" Type="http://schemas.openxmlformats.org/officeDocument/2006/relationships/hyperlink" Target="https://drive.google.com/file/d/1kaInXqkn4dI3wZjyAMA0bEG-WI94s_Ny/view?usp=sharing" TargetMode="External"/><Relationship Id="rId123" Type="http://schemas.openxmlformats.org/officeDocument/2006/relationships/hyperlink" Target="https://drive.google.com/file/d/1wgD8QcIgCLaOZQ49OKuAtPIqBw0hgzRW/view?usp=sharing" TargetMode="External"/><Relationship Id="rId144" Type="http://schemas.openxmlformats.org/officeDocument/2006/relationships/hyperlink" Target="https://drive.google.com/file/d/1uKewEAws0fd7VemIC5VcquwZl6n4tncX/view?usp=sharing" TargetMode="External"/><Relationship Id="rId90" Type="http://schemas.openxmlformats.org/officeDocument/2006/relationships/hyperlink" Target="https://drive.google.com/file/d/1K7kDYca-yueMF5XmDZQUf0OT83BM32Xh/view?usp=share_link" TargetMode="External"/><Relationship Id="rId165" Type="http://schemas.openxmlformats.org/officeDocument/2006/relationships/hyperlink" Target="https://drive.google.com/file/d/1U_tQezIKtSsqrWfKL8EHUEo3V_Ert1xH/view?usp=share_link" TargetMode="External"/><Relationship Id="rId186" Type="http://schemas.openxmlformats.org/officeDocument/2006/relationships/hyperlink" Target="https://drive.google.com/file/d/1jP3usDN6VTsQI0bWpsC7PMr_SjWqpfON/view?usp=sharing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v4FxZENicFVgiLyQYh8lR5D_R2naxWZV/view?usp=drive_link" TargetMode="External"/><Relationship Id="rId21" Type="http://schemas.openxmlformats.org/officeDocument/2006/relationships/hyperlink" Target="https://drive.google.com/file/d/1YswL8SLWIwuXwjECCl-DyIXtZdyPtQx7/view?usp=sharing" TargetMode="External"/><Relationship Id="rId42" Type="http://schemas.openxmlformats.org/officeDocument/2006/relationships/hyperlink" Target="https://drive.google.com/file/d/1zT-z-KaMLFXlfk_XJgH8ciw-Vi0Dtc55/view?usp=sharing" TargetMode="External"/><Relationship Id="rId63" Type="http://schemas.openxmlformats.org/officeDocument/2006/relationships/hyperlink" Target="https://drive.google.com/file/d/1A4aSoaQ3glzT1S2AWMEsjdk1rmU5g5hp/view?usp=sharing" TargetMode="External"/><Relationship Id="rId84" Type="http://schemas.openxmlformats.org/officeDocument/2006/relationships/hyperlink" Target="https://drive.google.com/file/d/1pw4HG-LxOIsstoYOHEVkoCeo2d_t6ESM/view?usp=sharing" TargetMode="External"/><Relationship Id="rId138" Type="http://schemas.openxmlformats.org/officeDocument/2006/relationships/hyperlink" Target="https://drive.google.com/file/d/18TshnJABVXeTKzDrHYy81gTsn_eFd4AV/view?usp=sharing" TargetMode="External"/><Relationship Id="rId159" Type="http://schemas.openxmlformats.org/officeDocument/2006/relationships/hyperlink" Target="https://drive.google.com/file/d/1vvFNZ7NjJGTHovst5zDQr_n9u0yuBNOv/view?usp=sharing" TargetMode="External"/><Relationship Id="rId170" Type="http://schemas.openxmlformats.org/officeDocument/2006/relationships/hyperlink" Target="https://drive.google.com/file/d/1iiR1uYKa-fEgrtUeZN-pR5k6Ndd6UaSB/view?usp=sharing" TargetMode="External"/><Relationship Id="rId191" Type="http://schemas.openxmlformats.org/officeDocument/2006/relationships/hyperlink" Target="https://drive.google.com/file/d/15Go5M8Lgno9vPVXyjlBZI0rceaYnfb5a/view?usp=drive_link" TargetMode="External"/><Relationship Id="rId205" Type="http://schemas.openxmlformats.org/officeDocument/2006/relationships/hyperlink" Target="https://drive.google.com/file/d/1FE7jQbMCzDfpHk2xi4KXThQPhOV0m6-e/view?usp=sharing" TargetMode="External"/><Relationship Id="rId16" Type="http://schemas.openxmlformats.org/officeDocument/2006/relationships/hyperlink" Target="https://drive.google.com/file/d/1b34tKZ-PgAG0f0kNFlkHtNHw92goCSgM/view?usp=sharing" TargetMode="External"/><Relationship Id="rId107" Type="http://schemas.openxmlformats.org/officeDocument/2006/relationships/hyperlink" Target="https://drive.google.com/file/d/1NgRcgjY93QJgbFp4uKu6uHlhUg01-gqA/view?usp=sharing" TargetMode="External"/><Relationship Id="rId11" Type="http://schemas.openxmlformats.org/officeDocument/2006/relationships/hyperlink" Target="https://drive.google.com/file/d/1Rg-501st9V8-e8rwRk8ueZ6jVfbl0xEg/view?usp=sharing" TargetMode="External"/><Relationship Id="rId32" Type="http://schemas.openxmlformats.org/officeDocument/2006/relationships/hyperlink" Target="https://drive.google.com/file/d/1KBQfPEHnKYlfxe-UIR-u5yoQKZvHNbQP/view?usp=sharing" TargetMode="External"/><Relationship Id="rId37" Type="http://schemas.openxmlformats.org/officeDocument/2006/relationships/hyperlink" Target="https://drive.google.com/file/d/1daOugPVIwPE3KyCyRP_mDEPH-fYQqB0O/view?usp=sharing" TargetMode="External"/><Relationship Id="rId53" Type="http://schemas.openxmlformats.org/officeDocument/2006/relationships/hyperlink" Target="https://drive.google.com/file/d/1A3Gz1uejPVo1puxbZGKEHcI_BxjyL1Sf/view?usp=sharing" TargetMode="External"/><Relationship Id="rId58" Type="http://schemas.openxmlformats.org/officeDocument/2006/relationships/hyperlink" Target="https://drive.google.com/file/d/125KctaNyMCuoAtWL94bCHlukiuzc2VZq/view?usp=sharing" TargetMode="External"/><Relationship Id="rId74" Type="http://schemas.openxmlformats.org/officeDocument/2006/relationships/hyperlink" Target="https://drive.google.com/file/d/1aSf2SY2K9qQ6HJRkUIuTX7hoXyKz7bmK/view?usp=sharing" TargetMode="External"/><Relationship Id="rId79" Type="http://schemas.openxmlformats.org/officeDocument/2006/relationships/hyperlink" Target="https://drive.google.com/file/d/1EWf-akM7VqdIkSSxVOQtIKY7Mp0v-AOb/view?usp=sharing" TargetMode="External"/><Relationship Id="rId102" Type="http://schemas.openxmlformats.org/officeDocument/2006/relationships/hyperlink" Target="https://drive.google.com/file/d/1stz06WESKGoVERAe-4-5GfxRlEGQMqRn/view?usp=sharing" TargetMode="External"/><Relationship Id="rId123" Type="http://schemas.openxmlformats.org/officeDocument/2006/relationships/hyperlink" Target="https://drive.google.com/file/d/1KCM5r3AVKB6WgWxTo5UAssTBlq-G9Med/view?usp=sharing" TargetMode="External"/><Relationship Id="rId128" Type="http://schemas.openxmlformats.org/officeDocument/2006/relationships/hyperlink" Target="https://drive.google.com/file/d/1kEaAAMYcKwVwWYlu9ZqMx8E11AnEn1vh/view?usp=sharing" TargetMode="External"/><Relationship Id="rId144" Type="http://schemas.openxmlformats.org/officeDocument/2006/relationships/hyperlink" Target="https://drive.google.com/file/d/1iNivXCXppNYfR3Ta7K8O-x_lSPLQe5fK/view?usp=share_link" TargetMode="External"/><Relationship Id="rId149" Type="http://schemas.openxmlformats.org/officeDocument/2006/relationships/hyperlink" Target="https://drive.google.com/file/d/1D5SWgh_MEJ78kdhwlRU31AzBNethbAhY/view?usp=sharing" TargetMode="External"/><Relationship Id="rId5" Type="http://schemas.openxmlformats.org/officeDocument/2006/relationships/hyperlink" Target="https://drive.google.com/file/d/1jTUR2cXXbaCYySdi54zOFUdkb58Qdhs3/view?usp=sharing" TargetMode="External"/><Relationship Id="rId90" Type="http://schemas.openxmlformats.org/officeDocument/2006/relationships/hyperlink" Target="https://drive.google.com/file/d/15vd5gSoJc_RRIZHAssy25IfSkLN4yqqR/view?usp=sharing" TargetMode="External"/><Relationship Id="rId95" Type="http://schemas.openxmlformats.org/officeDocument/2006/relationships/hyperlink" Target="https://drive.google.com/file/d/1vptRImG9cgLgYBENvjgzVxjuuFs0vbVB/view?usp=sharing" TargetMode="External"/><Relationship Id="rId160" Type="http://schemas.openxmlformats.org/officeDocument/2006/relationships/hyperlink" Target="https://drive.google.com/file/d/1dUaqg6j2LAoh2cG-HV86qfQSElFDP4K0/view?usp=sharing" TargetMode="External"/><Relationship Id="rId165" Type="http://schemas.openxmlformats.org/officeDocument/2006/relationships/hyperlink" Target="https://drive.google.com/file/d/1UV4-RFvSK2hOm-iGBnJSbfnxPCqRzD66/view?usp=sharing" TargetMode="External"/><Relationship Id="rId181" Type="http://schemas.openxmlformats.org/officeDocument/2006/relationships/hyperlink" Target="https://drive.google.com/file/d/1WpNn_x32HlWjaZN2Nvn-hp6pHfrEJLio/view?usp=sharing" TargetMode="External"/><Relationship Id="rId186" Type="http://schemas.openxmlformats.org/officeDocument/2006/relationships/hyperlink" Target="https://drive.google.com/file/d/1N-pPxykQA5WnHC3v3tjhThSwmo5epHDX/view?usp=sharing" TargetMode="External"/><Relationship Id="rId22" Type="http://schemas.openxmlformats.org/officeDocument/2006/relationships/hyperlink" Target="https://drive.google.com/file/d/15WzuE_fMzA5Y6vC5xNol5p1NegToiINN/view?usp=sharing" TargetMode="External"/><Relationship Id="rId27" Type="http://schemas.openxmlformats.org/officeDocument/2006/relationships/hyperlink" Target="https://drive.google.com/file/d/1fu36Kz3aBGoa-QGM7Nd9f-G3aAI7lMQT/view?usp=sharing" TargetMode="External"/><Relationship Id="rId43" Type="http://schemas.openxmlformats.org/officeDocument/2006/relationships/hyperlink" Target="https://drive.google.com/file/d/1kxLNsnl9DccCSJpTixC55h6lW7dXeZuy/view?usp=sharing" TargetMode="External"/><Relationship Id="rId48" Type="http://schemas.openxmlformats.org/officeDocument/2006/relationships/hyperlink" Target="https://drive.google.com/file/d/1WNI_p8ubw6QiHUyR6Wi4owlP-eSum2to/view?usp=share_link" TargetMode="External"/><Relationship Id="rId64" Type="http://schemas.openxmlformats.org/officeDocument/2006/relationships/hyperlink" Target="https://drive.google.com/file/d/1GJcKWTHBcsAO4WRff4bWUJCH01xTfYE2/view?usp=sharing" TargetMode="External"/><Relationship Id="rId69" Type="http://schemas.openxmlformats.org/officeDocument/2006/relationships/hyperlink" Target="https://drive.google.com/file/d/1AJV92cZQxw8UkYCe7WUqsXpfaQlCGjxl/view?usp=sharing" TargetMode="External"/><Relationship Id="rId113" Type="http://schemas.openxmlformats.org/officeDocument/2006/relationships/hyperlink" Target="https://drive.google.com/file/d/18XWbsSvYJnXintQRV6yDMUe1bBNknHWn/view?usp=sharing" TargetMode="External"/><Relationship Id="rId118" Type="http://schemas.openxmlformats.org/officeDocument/2006/relationships/hyperlink" Target="https://drive.google.com/file/d/128-h_bhJOxzH1qO89hBZufsFblFhtSJt/view?usp=sharing" TargetMode="External"/><Relationship Id="rId134" Type="http://schemas.openxmlformats.org/officeDocument/2006/relationships/hyperlink" Target="https://drive.google.com/file/d/1yARkzFW613CNiOIb_bYcTFxuyaiB0cvE/view?usp=share_link" TargetMode="External"/><Relationship Id="rId139" Type="http://schemas.openxmlformats.org/officeDocument/2006/relationships/hyperlink" Target="https://drive.google.com/file/d/1ZlNzKYmJrnsFzg_A01R6pf_2bFpG6iw3/view?usp=drive_link" TargetMode="External"/><Relationship Id="rId80" Type="http://schemas.openxmlformats.org/officeDocument/2006/relationships/hyperlink" Target="https://drive.google.com/file/d/1KkdzvArbvHN22IqEGkltGpVbHGDf-q89/view?usp=sharing" TargetMode="External"/><Relationship Id="rId85" Type="http://schemas.openxmlformats.org/officeDocument/2006/relationships/hyperlink" Target="https://drive.google.com/file/d/1YBqrfiJ9LWH2Mt47o9NxAWOvY9E4zyKz/view?usp=sharing" TargetMode="External"/><Relationship Id="rId150" Type="http://schemas.openxmlformats.org/officeDocument/2006/relationships/hyperlink" Target="https://drive.google.com/file/d/1iOm0l-CrM-ZTXoq9XFJeq7xw6cZFPg2x/view?usp=sharing" TargetMode="External"/><Relationship Id="rId155" Type="http://schemas.openxmlformats.org/officeDocument/2006/relationships/hyperlink" Target="https://drive.google.com/file/d/1z1vH7mRT3ruUg0W6XIMFYhvgvy6bxvZr/view?usp=sharing" TargetMode="External"/><Relationship Id="rId171" Type="http://schemas.openxmlformats.org/officeDocument/2006/relationships/hyperlink" Target="https://drive.google.com/file/d/1bSdkzIV-SEwnpNhpD-XkkXS3L34jxLzT/view?usp=share_link" TargetMode="External"/><Relationship Id="rId176" Type="http://schemas.openxmlformats.org/officeDocument/2006/relationships/hyperlink" Target="https://drive.google.com/file/d/1BsLl-mCfDq38dD5OmBL7DHBgmELloWBi/view?usp=sharing" TargetMode="External"/><Relationship Id="rId192" Type="http://schemas.openxmlformats.org/officeDocument/2006/relationships/hyperlink" Target="https://drive.google.com/file/d/1dRaTPm9mMFeg4aZnQwPwI9Qj7e2KFRDQ/view?usp=drive_link" TargetMode="External"/><Relationship Id="rId197" Type="http://schemas.openxmlformats.org/officeDocument/2006/relationships/hyperlink" Target="https://drive.google.com/file/d/18R90Oovf6oy4uKHTMh1pHA8yhFcNjau1/view?usp=sharing" TargetMode="External"/><Relationship Id="rId206" Type="http://schemas.openxmlformats.org/officeDocument/2006/relationships/hyperlink" Target="https://drive.google.com/file/d/1u3py8igviXweywH6CLVpJR2J41PfG_Eq/view?usp=sharing" TargetMode="External"/><Relationship Id="rId201" Type="http://schemas.openxmlformats.org/officeDocument/2006/relationships/hyperlink" Target="https://drive.google.com/file/d/1G3GW9lkl3rIq7WuEBKqAAThGw8-8zSl1/view?usp=sharing" TargetMode="External"/><Relationship Id="rId12" Type="http://schemas.openxmlformats.org/officeDocument/2006/relationships/hyperlink" Target="https://drive.google.com/file/d/1mtuShwoHDx7vL1xJ02nOQdU55gdQlAhT/view?usp=sharing" TargetMode="External"/><Relationship Id="rId17" Type="http://schemas.openxmlformats.org/officeDocument/2006/relationships/hyperlink" Target="https://drive.google.com/file/d/1UTLfvVGfCrJ7j03wrEkB4-nIUqb_ElF2/view?usp=sharing" TargetMode="External"/><Relationship Id="rId33" Type="http://schemas.openxmlformats.org/officeDocument/2006/relationships/hyperlink" Target="https://drive.google.com/file/d/1brOBKIFMNqaOzG5PTJUBio3Ef-A5JkMb/view?usp=sharing" TargetMode="External"/><Relationship Id="rId38" Type="http://schemas.openxmlformats.org/officeDocument/2006/relationships/hyperlink" Target="https://drive.google.com/file/d/1TEINDG-RswNAzJ7FZGpB1iqfArHCsMmd/view?usp=sharing" TargetMode="External"/><Relationship Id="rId59" Type="http://schemas.openxmlformats.org/officeDocument/2006/relationships/hyperlink" Target="https://drive.google.com/file/d/1UXHW3Uj0z-hvZnq_jaS0bNKUaq4JmOTo/view?usp=sharing" TargetMode="External"/><Relationship Id="rId103" Type="http://schemas.openxmlformats.org/officeDocument/2006/relationships/hyperlink" Target="https://drive.google.com/file/d/1D5SWgh_MEJ78kdhwlRU31AzBNethbAhY/view?usp=sharing" TargetMode="External"/><Relationship Id="rId108" Type="http://schemas.openxmlformats.org/officeDocument/2006/relationships/hyperlink" Target="https://drive.google.com/file/d/1W_45KyJ_lcrXL9LTz7fDfYd5NYF4-bpi/view?usp=sharing" TargetMode="External"/><Relationship Id="rId124" Type="http://schemas.openxmlformats.org/officeDocument/2006/relationships/hyperlink" Target="https://drive.google.com/file/d/1zNDr9I0dsv0XqQJZqV6o4p4xFgp_g9ei/view?usp=sharing" TargetMode="External"/><Relationship Id="rId129" Type="http://schemas.openxmlformats.org/officeDocument/2006/relationships/hyperlink" Target="https://drive.google.com/file/d/1OOJ_Am5m01lEl45U2kGZVEJy8idB8xVi/view?usp=sharing" TargetMode="External"/><Relationship Id="rId54" Type="http://schemas.openxmlformats.org/officeDocument/2006/relationships/hyperlink" Target="https://drive.google.com/file/d/1Tier8JBcDFGCU7y3uqJf4_QFOI7hi2hE/view?usp=sharing" TargetMode="External"/><Relationship Id="rId70" Type="http://schemas.openxmlformats.org/officeDocument/2006/relationships/hyperlink" Target="https://drive.google.com/file/d/1VixUob79HEnt2fKGLbPtanp_wEScVjL_/view?usp=sharing" TargetMode="External"/><Relationship Id="rId75" Type="http://schemas.openxmlformats.org/officeDocument/2006/relationships/hyperlink" Target="https://drive.google.com/file/d/1SWFrYbClfVdra-n3oFx1P1TyH4SF0zya/view?usp=sharing" TargetMode="External"/><Relationship Id="rId91" Type="http://schemas.openxmlformats.org/officeDocument/2006/relationships/hyperlink" Target="https://drive.google.com/file/d/11vp8rtsIMSxWpj58rGY8JjDKtoZbdCrB/view?usp=sharing" TargetMode="External"/><Relationship Id="rId96" Type="http://schemas.openxmlformats.org/officeDocument/2006/relationships/hyperlink" Target="https://drive.google.com/file/d/1JCgDBp03pO9_at0iGm9uNBEgtBPX4bGI/view?usp=sharing" TargetMode="External"/><Relationship Id="rId140" Type="http://schemas.openxmlformats.org/officeDocument/2006/relationships/hyperlink" Target="https://drive.google.com/file/d/1zHuoem5Dre_AyzUS3ncrBBmdsUfdNEUz/view?usp=sharing" TargetMode="External"/><Relationship Id="rId145" Type="http://schemas.openxmlformats.org/officeDocument/2006/relationships/hyperlink" Target="https://drive.google.com/file/d/13pUOBGlrPKyQFfzNMMiODjmUQjYWCKVp/view?usp=sharing" TargetMode="External"/><Relationship Id="rId161" Type="http://schemas.openxmlformats.org/officeDocument/2006/relationships/hyperlink" Target="https://drive.google.com/file/d/1gE0VhJ51SDxUfj2Vc5Ty4UM3NEoVotL0/view?usp=sharing" TargetMode="External"/><Relationship Id="rId166" Type="http://schemas.openxmlformats.org/officeDocument/2006/relationships/hyperlink" Target="https://drive.google.com/file/d/1iEnLf77x7g6Avpi-O2R6zuUXEdRnmQEL/view?usp=sharing" TargetMode="External"/><Relationship Id="rId182" Type="http://schemas.openxmlformats.org/officeDocument/2006/relationships/hyperlink" Target="https://drive.google.com/file/d/1peJufRoMdj3gMsPnXvg2hwApc8-rB4U7/view?usp=sharing" TargetMode="External"/><Relationship Id="rId187" Type="http://schemas.openxmlformats.org/officeDocument/2006/relationships/hyperlink" Target="https://drive.google.com/file/d/11mVOqMvgUT2t45ft0uKAh3qfrZv0TWkP/view?usp=sharing" TargetMode="External"/><Relationship Id="rId1" Type="http://schemas.openxmlformats.org/officeDocument/2006/relationships/hyperlink" Target="https://drive.google.com/file/d/1Y0_H9uaKWayZRw8m7qGE89dRSzdt2YAY/view?usp=sharing" TargetMode="External"/><Relationship Id="rId6" Type="http://schemas.openxmlformats.org/officeDocument/2006/relationships/hyperlink" Target="https://drive.google.com/file/d/1caK9x3Uzybu4JpnAfO4KRpj6HwbF7Ikc/view?usp=sharing" TargetMode="External"/><Relationship Id="rId23" Type="http://schemas.openxmlformats.org/officeDocument/2006/relationships/hyperlink" Target="https://drive.google.com/file/d/1IKyVg0tOBXn4tbHAQKQZMipfgY3ZA1XV/view?usp=sharing" TargetMode="External"/><Relationship Id="rId28" Type="http://schemas.openxmlformats.org/officeDocument/2006/relationships/hyperlink" Target="https://drive.google.com/file/d/1PZkYqWV7BQdXyVFc5KMfFgfzMTUkX720/view?usp=sharing" TargetMode="External"/><Relationship Id="rId49" Type="http://schemas.openxmlformats.org/officeDocument/2006/relationships/hyperlink" Target="https://drive.google.com/file/d/1ihdwba0vV4i8uOkSsIXFWq8oxenIqQNV/view?usp=sharing" TargetMode="External"/><Relationship Id="rId114" Type="http://schemas.openxmlformats.org/officeDocument/2006/relationships/hyperlink" Target="https://drive.google.com/file/d/1SWFivIkd0zotLL_ffOrlTMdIS3RjZLoK/view?usp=sharing" TargetMode="External"/><Relationship Id="rId119" Type="http://schemas.openxmlformats.org/officeDocument/2006/relationships/hyperlink" Target="https://drive.google.com/file/d/1oCNzvCp-GIT3onWvyojKSY8_EZhw0p2V/view?usp=sharing" TargetMode="External"/><Relationship Id="rId44" Type="http://schemas.openxmlformats.org/officeDocument/2006/relationships/hyperlink" Target="https://drive.google.com/file/d/1V5wzj_RnzVAlQoLGobiJvSkTO1YUvMau/view?usp=sharing" TargetMode="External"/><Relationship Id="rId60" Type="http://schemas.openxmlformats.org/officeDocument/2006/relationships/hyperlink" Target="https://drive.google.com/file/d/1k0dbDDt4xzuC1ocFrOVcN1osN3RV9fU_/view?usp=sharing" TargetMode="External"/><Relationship Id="rId65" Type="http://schemas.openxmlformats.org/officeDocument/2006/relationships/hyperlink" Target="https://drive.google.com/file/d/1WtbbmTDQD3Jccf1bHisfSW6J5ydNIw-f/view?usp=sharing" TargetMode="External"/><Relationship Id="rId81" Type="http://schemas.openxmlformats.org/officeDocument/2006/relationships/hyperlink" Target="https://drive.google.com/file/d/19qWunNes0jLA6pxgP_buQSPtNGARAePN/view?usp=sharing" TargetMode="External"/><Relationship Id="rId86" Type="http://schemas.openxmlformats.org/officeDocument/2006/relationships/hyperlink" Target="https://drive.google.com/file/d/1YBqrfiJ9LWH2Mt47o9NxAWOvY9E4zyKz/view?usp=sharing" TargetMode="External"/><Relationship Id="rId130" Type="http://schemas.openxmlformats.org/officeDocument/2006/relationships/hyperlink" Target="https://drive.google.com/file/d/1nF-7m40URqrfCjUtJlpuGYv13FKmOmrN/view?usp=share_link" TargetMode="External"/><Relationship Id="rId135" Type="http://schemas.openxmlformats.org/officeDocument/2006/relationships/hyperlink" Target="https://drive.google.com/file/d/1YYyq57g6AZpGefsn89-poS74HCRhEFIE/view?usp=sharing" TargetMode="External"/><Relationship Id="rId151" Type="http://schemas.openxmlformats.org/officeDocument/2006/relationships/hyperlink" Target="https://drive.google.com/file/d/1IOGGxYzEJ2KkcFNs1r7FSpbxgA5QOrsj/view?usp=sharing" TargetMode="External"/><Relationship Id="rId156" Type="http://schemas.openxmlformats.org/officeDocument/2006/relationships/hyperlink" Target="https://drive.google.com/file/d/1B708mZFC4ivb1Jg43qr6yHiKrWQgIJ8q/view?usp=sharing" TargetMode="External"/><Relationship Id="rId177" Type="http://schemas.openxmlformats.org/officeDocument/2006/relationships/hyperlink" Target="https://drive.google.com/file/d/1O1w-mnszHQQrS9WCIexnDLvKxQgSJlm_/view?usp=sharing" TargetMode="External"/><Relationship Id="rId198" Type="http://schemas.openxmlformats.org/officeDocument/2006/relationships/hyperlink" Target="https://drive.google.com/file/d/1MAfgPls-d4uEv4HEXSlrZRhvj20nvwTd/view?usp=sharing" TargetMode="External"/><Relationship Id="rId172" Type="http://schemas.openxmlformats.org/officeDocument/2006/relationships/hyperlink" Target="https://drive.google.com/file/d/1IuS6WT1Da927khNRxO9AFyuGO51vLzjx/view?usp=sharing" TargetMode="External"/><Relationship Id="rId193" Type="http://schemas.openxmlformats.org/officeDocument/2006/relationships/hyperlink" Target="https://drive.google.com/file/d/1zmu48abMwEXPgCJ0_JjduA7Pz6Rbr4A2/view?usp=sharing" TargetMode="External"/><Relationship Id="rId202" Type="http://schemas.openxmlformats.org/officeDocument/2006/relationships/hyperlink" Target="https://drive.google.com/file/d/13m6KCAVeWhjTa-S4lLFEOZbKA2tOAKMa/view?usp=sharing" TargetMode="External"/><Relationship Id="rId207" Type="http://schemas.openxmlformats.org/officeDocument/2006/relationships/hyperlink" Target="https://drive.google.com/file/d/1tjxpK-7Mt0ZoJ2IFZy-6Mh7KcUdBJ1TG/view?usp=sharing" TargetMode="External"/><Relationship Id="rId13" Type="http://schemas.openxmlformats.org/officeDocument/2006/relationships/hyperlink" Target="https://drive.google.com/file/d/1MozAYeDlun-rR3_Gv6UX9OhnY_sSvNib/view?usp=sharing" TargetMode="External"/><Relationship Id="rId18" Type="http://schemas.openxmlformats.org/officeDocument/2006/relationships/hyperlink" Target="https://drive.google.com/file/d/1setVsJUnsICkoLuz6FLKbA1ucy4Krauz/view?usp=sharing" TargetMode="External"/><Relationship Id="rId39" Type="http://schemas.openxmlformats.org/officeDocument/2006/relationships/hyperlink" Target="https://drive.google.com/file/d/1Td8_mB_zPL2_zNGhUWCsQg4gNE810811/view?usp=sharing" TargetMode="External"/><Relationship Id="rId109" Type="http://schemas.openxmlformats.org/officeDocument/2006/relationships/hyperlink" Target="https://drive.google.com/file/d/1q2rPi-5eotoqBWoYu8IWUrubnM1vqgO1/view?usp=sharing" TargetMode="External"/><Relationship Id="rId34" Type="http://schemas.openxmlformats.org/officeDocument/2006/relationships/hyperlink" Target="https://drive.google.com/file/d/16ADv97c9fmrFtfCLdy0BoipYohBGR1nb/view?usp=sharing" TargetMode="External"/><Relationship Id="rId50" Type="http://schemas.openxmlformats.org/officeDocument/2006/relationships/hyperlink" Target="https://drive.google.com/file/d/1H-SrETzCpTS5f2WAh-OP2fEbsR9iQOhZ/view?usp=sharing" TargetMode="External"/><Relationship Id="rId55" Type="http://schemas.openxmlformats.org/officeDocument/2006/relationships/hyperlink" Target="https://drive.google.com/file/d/1nhKCxWbg925xUp27IYsS2BaJjG2vJi_3/view?usp=sharing" TargetMode="External"/><Relationship Id="rId76" Type="http://schemas.openxmlformats.org/officeDocument/2006/relationships/hyperlink" Target="https://drive.google.com/file/d/1rf1HLUFnRntiIOINUQmdc4D2_31F6F9u/view?usp=sharing" TargetMode="External"/><Relationship Id="rId97" Type="http://schemas.openxmlformats.org/officeDocument/2006/relationships/hyperlink" Target="https://drive.google.com/file/d/1XJmO-AzcLtgQdIwApkiTIEI8VqoBFYZJ/view?usp=sharing" TargetMode="External"/><Relationship Id="rId104" Type="http://schemas.openxmlformats.org/officeDocument/2006/relationships/hyperlink" Target="https://drive.google.com/file/d/1AMnFyVDDYbXDKaBxQxP2G8N0ODA__wHY/view?usp=share_link" TargetMode="External"/><Relationship Id="rId120" Type="http://schemas.openxmlformats.org/officeDocument/2006/relationships/hyperlink" Target="https://drive.google.com/file/d/1K3anQkIAfN_ixFw8UmVttpYxb51Nak4e/view?usp=sharing" TargetMode="External"/><Relationship Id="rId125" Type="http://schemas.openxmlformats.org/officeDocument/2006/relationships/hyperlink" Target="https://drive.google.com/file/d/1TSewLM5OFJERXiq91sUfcnyXC9e4ggwJ/view?usp=sharing" TargetMode="External"/><Relationship Id="rId141" Type="http://schemas.openxmlformats.org/officeDocument/2006/relationships/hyperlink" Target="https://drive.google.com/file/d/1gmKkO_FdoRzXL3t82Qkcp7I5j9lBxIqU/view?usp=sharing" TargetMode="External"/><Relationship Id="rId146" Type="http://schemas.openxmlformats.org/officeDocument/2006/relationships/hyperlink" Target="https://drive.google.com/file/d/1e5aFjOkpM4ppENKcvczUcrQOHvXNP2u2/view?usp=sharing" TargetMode="External"/><Relationship Id="rId167" Type="http://schemas.openxmlformats.org/officeDocument/2006/relationships/hyperlink" Target="https://drive.google.com/file/d/121A-3JU18s0TFzuKE3deCoF5m5xopWPQ/view?usp=sharing" TargetMode="External"/><Relationship Id="rId188" Type="http://schemas.openxmlformats.org/officeDocument/2006/relationships/hyperlink" Target="https://drive.google.com/file/d/1HN09K_DBmWW1cxHr5Otqf9PBq2qLA3Kf/view?usp=sharing" TargetMode="External"/><Relationship Id="rId7" Type="http://schemas.openxmlformats.org/officeDocument/2006/relationships/hyperlink" Target="https://drive.google.com/file/d/1GNZG5YFLf-HOrpVjtFcp2xj0mai_R-IV/view?usp=sharing" TargetMode="External"/><Relationship Id="rId71" Type="http://schemas.openxmlformats.org/officeDocument/2006/relationships/hyperlink" Target="https://drive.google.com/file/d/1ZE5oVEvNppCPJxXpf1d2iHIB4IRZ6aT5/view?usp=sharing" TargetMode="External"/><Relationship Id="rId92" Type="http://schemas.openxmlformats.org/officeDocument/2006/relationships/hyperlink" Target="https://drive.google.com/file/d/1DsGHhssuf-oyMk7wKenY5WLy5bk-OW8S/view?usp=sharing" TargetMode="External"/><Relationship Id="rId162" Type="http://schemas.openxmlformats.org/officeDocument/2006/relationships/hyperlink" Target="https://drive.google.com/file/d/1mdcnXvRxNHr8I_DfSFAgy4v_oONcRWJ9/view?usp=sharing" TargetMode="External"/><Relationship Id="rId183" Type="http://schemas.openxmlformats.org/officeDocument/2006/relationships/hyperlink" Target="https://drive.google.com/file/d/15KieSYHFXJ5vJ7jpaHNtLO-VYPxx547e/view?usp=sharing" TargetMode="External"/><Relationship Id="rId2" Type="http://schemas.openxmlformats.org/officeDocument/2006/relationships/hyperlink" Target="https://drive.google.com/file/d/1Z6V_FGJrcfgFHemPCVK4J7a9oCdM-u6U/view?usp=sharing" TargetMode="External"/><Relationship Id="rId29" Type="http://schemas.openxmlformats.org/officeDocument/2006/relationships/hyperlink" Target="https://drive.google.com/file/d/1lA9Gh5zREFmpS4XUY5970eOBXaY_9znP/view?usp=sharing" TargetMode="External"/><Relationship Id="rId24" Type="http://schemas.openxmlformats.org/officeDocument/2006/relationships/hyperlink" Target="https://drive.google.com/file/d/1K9D4f486tlru3ECtmVLHRtOG4CId_FU0/view?usp=sharing" TargetMode="External"/><Relationship Id="rId40" Type="http://schemas.openxmlformats.org/officeDocument/2006/relationships/hyperlink" Target="https://drive.google.com/file/d/1Wvq7EiTVSLL9HMZv6Fi_LcDwuwB7fOPe/view?usp=sharing" TargetMode="External"/><Relationship Id="rId45" Type="http://schemas.openxmlformats.org/officeDocument/2006/relationships/hyperlink" Target="https://drive.google.com/file/d/1Nq8vCNV-qpTF6K0S_bEWBs14A1J53iCK/view?usp=sharing" TargetMode="External"/><Relationship Id="rId66" Type="http://schemas.openxmlformats.org/officeDocument/2006/relationships/hyperlink" Target="https://drive.google.com/file/d/1jhfWakpIVORAQN_jOhYbvu0DO4s_WjQ4/view?usp=share_link" TargetMode="External"/><Relationship Id="rId87" Type="http://schemas.openxmlformats.org/officeDocument/2006/relationships/hyperlink" Target="https://drive.google.com/file/d/1MrmVKmMG5LOgTMBOh0uPovuxjJGxsuAL/view?usp=sharing" TargetMode="External"/><Relationship Id="rId110" Type="http://schemas.openxmlformats.org/officeDocument/2006/relationships/hyperlink" Target="https://drive.google.com/file/d/12rqcLhEM3cvdbHHnwAHDfk8Q1nboJ9zs/view?usp=share_link" TargetMode="External"/><Relationship Id="rId115" Type="http://schemas.openxmlformats.org/officeDocument/2006/relationships/hyperlink" Target="https://drive.google.com/file/d/1745q6dHhw3mmg_xZpvUEXe8ZqKwqs9pd/view?usp=drive_link" TargetMode="External"/><Relationship Id="rId131" Type="http://schemas.openxmlformats.org/officeDocument/2006/relationships/hyperlink" Target="https://drive.google.com/file/d/1InE49vEZVfFwc5xsdtb3ZRzOukDBwwFd/view?usp=sharing" TargetMode="External"/><Relationship Id="rId136" Type="http://schemas.openxmlformats.org/officeDocument/2006/relationships/hyperlink" Target="https://drive.google.com/file/d/17-9zkBJKeglK7nZlUjLJY70NLSw5bcuS/view?usp=sharing" TargetMode="External"/><Relationship Id="rId157" Type="http://schemas.openxmlformats.org/officeDocument/2006/relationships/hyperlink" Target="https://drive.google.com/file/d/1XTn3X5WgNTLeiuuDt8b9IQhTSEi8H_UB/view?usp=sharing" TargetMode="External"/><Relationship Id="rId178" Type="http://schemas.openxmlformats.org/officeDocument/2006/relationships/hyperlink" Target="https://drive.google.com/file/d/1G3qbVjAmVdeDdPSSbU6r3moR6LO9NahR/view?usp=sharing" TargetMode="External"/><Relationship Id="rId61" Type="http://schemas.openxmlformats.org/officeDocument/2006/relationships/hyperlink" Target="https://drive.google.com/file/d/1fmAixWbEvnD0imD7PznF4DdjbmNPPaV1/view?usp=sharing" TargetMode="External"/><Relationship Id="rId82" Type="http://schemas.openxmlformats.org/officeDocument/2006/relationships/hyperlink" Target="https://drive.google.com/file/d/1Kza304OyK-cm0-LCQjb4ZJTsMFPStxvL/view?usp=sharing" TargetMode="External"/><Relationship Id="rId152" Type="http://schemas.openxmlformats.org/officeDocument/2006/relationships/hyperlink" Target="https://drive.google.com/file/d/1QxmAL6UNYY8Dy2SmTGfkxjxyJLNQQT_g/view?usp=sharing" TargetMode="External"/><Relationship Id="rId173" Type="http://schemas.openxmlformats.org/officeDocument/2006/relationships/hyperlink" Target="https://drive.google.com/file/d/1NzbxlEZ8eDLWDtBHSHtjp1DjQP8hBV_m/view?usp=sharing" TargetMode="External"/><Relationship Id="rId194" Type="http://schemas.openxmlformats.org/officeDocument/2006/relationships/hyperlink" Target="https://drive.google.com/file/d/1_LqdlmmQdk1svFGWrKghzz4fAzCYXBlq/view?usp=share_link" TargetMode="External"/><Relationship Id="rId199" Type="http://schemas.openxmlformats.org/officeDocument/2006/relationships/hyperlink" Target="https://drive.google.com/file/d/1x4rYSEnBajO5gX9XgTXUxaReC2SSQ4lG/view?usp=sharing" TargetMode="External"/><Relationship Id="rId203" Type="http://schemas.openxmlformats.org/officeDocument/2006/relationships/hyperlink" Target="https://drive.google.com/file/d/1reEQDJFPk65lVBclmlipuJsHIjNRSjMc/view?usp=sharing" TargetMode="External"/><Relationship Id="rId208" Type="http://schemas.openxmlformats.org/officeDocument/2006/relationships/hyperlink" Target="https://drive.google.com/file/d/1w3xSqo_TSuabRVhb7uzwsnFavstziD62/view?usp=sharing" TargetMode="External"/><Relationship Id="rId19" Type="http://schemas.openxmlformats.org/officeDocument/2006/relationships/hyperlink" Target="https://drive.google.com/file/d/1BiFG0LOs1PokOHKlRkTLdHWwixPtxenN/view?usp=sharing" TargetMode="External"/><Relationship Id="rId14" Type="http://schemas.openxmlformats.org/officeDocument/2006/relationships/hyperlink" Target="https://drive.google.com/file/d/18yU-A8xwtp0UxccE3a5TTENaBttda2yT/view?usp=sharing" TargetMode="External"/><Relationship Id="rId30" Type="http://schemas.openxmlformats.org/officeDocument/2006/relationships/hyperlink" Target="https://drive.google.com/file/d/1Y7ZVDfc2EQMWUsqKrBkXULZobJVNoFVn/view?usp=sharing" TargetMode="External"/><Relationship Id="rId35" Type="http://schemas.openxmlformats.org/officeDocument/2006/relationships/hyperlink" Target="https://drive.google.com/file/d/10aStTgqhVBEB_7yWKYj16aUj-kRCwiO9/view?usp=sharing" TargetMode="External"/><Relationship Id="rId56" Type="http://schemas.openxmlformats.org/officeDocument/2006/relationships/hyperlink" Target="https://drive.google.com/file/d/1GgvCpAxk3r1zKrhRCizoWLKAwX5CB2To/view?usp=sharing" TargetMode="External"/><Relationship Id="rId77" Type="http://schemas.openxmlformats.org/officeDocument/2006/relationships/hyperlink" Target="https://drive.google.com/file/d/1KjneMx-85CvJwDrZpHoStONX-iQjAB90/view?usp=sharing" TargetMode="External"/><Relationship Id="rId100" Type="http://schemas.openxmlformats.org/officeDocument/2006/relationships/hyperlink" Target="https://drive.google.com/file/d/1aJPHq_jn7uFcs7bX7xewcLO9V9zF_9ek/view?usp=sharing" TargetMode="External"/><Relationship Id="rId105" Type="http://schemas.openxmlformats.org/officeDocument/2006/relationships/hyperlink" Target="https://drive.google.com/file/d/1RceXjA_mOtMXub845zPsZB5KVCOPyFf0/view?usp=sharing" TargetMode="External"/><Relationship Id="rId126" Type="http://schemas.openxmlformats.org/officeDocument/2006/relationships/hyperlink" Target="https://drive.google.com/file/d/1ZSwzAzr_9JCVweTAXYt25d5Iu75mJgSX/view?usp=sharing" TargetMode="External"/><Relationship Id="rId147" Type="http://schemas.openxmlformats.org/officeDocument/2006/relationships/hyperlink" Target="https://drive.google.com/file/d/1BXLkuNgFQ80bn4GMyeagcC6FvhTKdNO9/view?usp=sharing" TargetMode="External"/><Relationship Id="rId168" Type="http://schemas.openxmlformats.org/officeDocument/2006/relationships/hyperlink" Target="https://drive.google.com/file/d/1FejSbLHEZF0mExphlh8qoDqlMbFpS1cx/view?usp=sharing" TargetMode="External"/><Relationship Id="rId8" Type="http://schemas.openxmlformats.org/officeDocument/2006/relationships/hyperlink" Target="https://drive.google.com/file/d/1oiYZ-1xJGu_ra594xkRhqMVobTavaU-j/view?usp=drive_link" TargetMode="External"/><Relationship Id="rId51" Type="http://schemas.openxmlformats.org/officeDocument/2006/relationships/hyperlink" Target="https://drive.google.com/file/d/1V-9IaBa6MmZ1yUGFD7lAyzBQueh_tZDv/view?usp=sharing" TargetMode="External"/><Relationship Id="rId72" Type="http://schemas.openxmlformats.org/officeDocument/2006/relationships/hyperlink" Target="https://drive.google.com/file/d/1gssv4MPjGTaP6ftfxlMzoq4dJpCipq-Q/view?usp=sharing" TargetMode="External"/><Relationship Id="rId93" Type="http://schemas.openxmlformats.org/officeDocument/2006/relationships/hyperlink" Target="https://drive.google.com/file/d/1fpnSW3YZOCTmXxzqLc8VvKpuap377f-c/view?usp=sharing" TargetMode="External"/><Relationship Id="rId98" Type="http://schemas.openxmlformats.org/officeDocument/2006/relationships/hyperlink" Target="https://drive.google.com/file/d/1sksfFgpZWa3c-9o883OmZoyYBl738fe-/view?usp=share_link" TargetMode="External"/><Relationship Id="rId121" Type="http://schemas.openxmlformats.org/officeDocument/2006/relationships/hyperlink" Target="https://drive.google.com/file/d/1TlFll8hvw5ROJSfWu7FWXVTQlWVZ83--/view?usp=sharing" TargetMode="External"/><Relationship Id="rId142" Type="http://schemas.openxmlformats.org/officeDocument/2006/relationships/hyperlink" Target="https://drive.google.com/file/d/1mGcKd1rYYJcPQBPbCcPgrcFv7CrdhFGH/view?usp=sharing" TargetMode="External"/><Relationship Id="rId163" Type="http://schemas.openxmlformats.org/officeDocument/2006/relationships/hyperlink" Target="https://drive.google.com/file/d/1rbyMOZwZgGk7Jq7urL6t0aoAYYwH1TGf/view?usp=sharing" TargetMode="External"/><Relationship Id="rId184" Type="http://schemas.openxmlformats.org/officeDocument/2006/relationships/hyperlink" Target="https://drive.google.com/file/d/1QAMJG9DFgOZ1SGNDZtQGAB97q808ZSd1/view?usp=sharing" TargetMode="External"/><Relationship Id="rId189" Type="http://schemas.openxmlformats.org/officeDocument/2006/relationships/hyperlink" Target="https://drive.google.com/file/d/17x6qSz4PZ7lUmdwffl_OI2bVQejlQB20/view?usp=share_link" TargetMode="External"/><Relationship Id="rId3" Type="http://schemas.openxmlformats.org/officeDocument/2006/relationships/hyperlink" Target="https://drive.google.com/file/d/1nK4-5llhhx_6K_sZwaOm9GR1Tu3c6iM6/view?usp=sharing" TargetMode="External"/><Relationship Id="rId25" Type="http://schemas.openxmlformats.org/officeDocument/2006/relationships/hyperlink" Target="https://drive.google.com/file/d/1SgRpZeuXfObkFh73lIEgGr1oCu1HuSHV/view?usp=sharing" TargetMode="External"/><Relationship Id="rId46" Type="http://schemas.openxmlformats.org/officeDocument/2006/relationships/hyperlink" Target="https://drive.google.com/file/d/16XM084edeTVmeVyl21qkHARz9ehjHOVR/view?usp=sharing" TargetMode="External"/><Relationship Id="rId67" Type="http://schemas.openxmlformats.org/officeDocument/2006/relationships/hyperlink" Target="https://drive.google.com/file/d/10y0s2x0nFYLIDvkklvlwFGDiHLOLbokC/view?usp=sharing" TargetMode="External"/><Relationship Id="rId116" Type="http://schemas.openxmlformats.org/officeDocument/2006/relationships/hyperlink" Target="https://drive.google.com/file/d/1eMPc8ld3tscr4sD-mm4Qa31cy3ZoSFdu/view?usp=sharing" TargetMode="External"/><Relationship Id="rId137" Type="http://schemas.openxmlformats.org/officeDocument/2006/relationships/hyperlink" Target="https://drive.google.com/file/d/1a1aoHb8K74Nzvx1wmJrplunWt8QSQG84/view?usp=sharing" TargetMode="External"/><Relationship Id="rId158" Type="http://schemas.openxmlformats.org/officeDocument/2006/relationships/hyperlink" Target="https://drive.google.com/file/d/1n0O4jcJW5mLGlq2j28MrBzncWfYzGf5i/view?usp=sharing" TargetMode="External"/><Relationship Id="rId20" Type="http://schemas.openxmlformats.org/officeDocument/2006/relationships/hyperlink" Target="https://drive.google.com/file/d/18vqJq6otKepeNyclm96EoUjcFY2UucJE/view?usp=sharing" TargetMode="External"/><Relationship Id="rId41" Type="http://schemas.openxmlformats.org/officeDocument/2006/relationships/hyperlink" Target="https://drive.google.com/file/d/1x9tK0zWtcpSxUnDsrUzcAyNW0L8kS5BE/view?usp=sharing" TargetMode="External"/><Relationship Id="rId62" Type="http://schemas.openxmlformats.org/officeDocument/2006/relationships/hyperlink" Target="https://drive.google.com/file/d/1A4aSoaQ3glzT1S2AWMEsjdk1rmU5g5hp/view?usp=sharing" TargetMode="External"/><Relationship Id="rId83" Type="http://schemas.openxmlformats.org/officeDocument/2006/relationships/hyperlink" Target="https://drive.google.com/file/d/1kjmhHYV5qOGEwSKjJH2mS_MX3_ewl_3j/view?usp=share_link" TargetMode="External"/><Relationship Id="rId88" Type="http://schemas.openxmlformats.org/officeDocument/2006/relationships/hyperlink" Target="https://drive.google.com/file/d/1Ssiz5znj8ov9NMo68bOEyH9CkNibyDuW/view?usp=sharing" TargetMode="External"/><Relationship Id="rId111" Type="http://schemas.openxmlformats.org/officeDocument/2006/relationships/hyperlink" Target="https://drive.google.com/file/d/1QlH5Iro003OQOgzqGo58n0BAruNRsRNZ/view?usp=share_link" TargetMode="External"/><Relationship Id="rId132" Type="http://schemas.openxmlformats.org/officeDocument/2006/relationships/hyperlink" Target="https://drive.google.com/file/d/1q8ACKEaxbwav_3KyOcxGCA0m5Ew-tDLz/view?usp=sharing" TargetMode="External"/><Relationship Id="rId153" Type="http://schemas.openxmlformats.org/officeDocument/2006/relationships/hyperlink" Target="https://drive.google.com/file/d/1pZab0fETz7L6rYawNb94GnmXEc9M1E8o/view?usp=share_link" TargetMode="External"/><Relationship Id="rId174" Type="http://schemas.openxmlformats.org/officeDocument/2006/relationships/hyperlink" Target="https://drive.google.com/file/d/1g9GCJnbUNVw5fsYg54vsLKp01vMoXbqJ/view?usp=sharing" TargetMode="External"/><Relationship Id="rId179" Type="http://schemas.openxmlformats.org/officeDocument/2006/relationships/hyperlink" Target="https://drive.google.com/file/d/1Z4Fj3Fx7grpFG1YUnvLJ43L18GqNLh0K/view?usp=sharing" TargetMode="External"/><Relationship Id="rId195" Type="http://schemas.openxmlformats.org/officeDocument/2006/relationships/hyperlink" Target="https://drive.google.com/file/d/1gm9WPiNUVncx0WjEGjyLtwYDJ6rJBcuu/view?usp=sharing" TargetMode="External"/><Relationship Id="rId190" Type="http://schemas.openxmlformats.org/officeDocument/2006/relationships/hyperlink" Target="https://drive.google.com/file/d/1UN5rGArc5JasPu7yv4eecyrfckl_AWtV/view?usp=drive_link" TargetMode="External"/><Relationship Id="rId204" Type="http://schemas.openxmlformats.org/officeDocument/2006/relationships/hyperlink" Target="https://drive.google.com/file/d/17wbMEC9rkVLTnLS_q6GiDntVLRJMf0Im/view?usp=sharing" TargetMode="External"/><Relationship Id="rId15" Type="http://schemas.openxmlformats.org/officeDocument/2006/relationships/hyperlink" Target="https://drive.google.com/file/d/1xLYJz7zY6WYFXh4tSFoV1vXX3F0NxuLW/view?usp=sharing" TargetMode="External"/><Relationship Id="rId36" Type="http://schemas.openxmlformats.org/officeDocument/2006/relationships/hyperlink" Target="https://drive.google.com/file/d/1N3IX-89HnjhoZF54sEat6fepb_qysfcF/view?usp=sharing" TargetMode="External"/><Relationship Id="rId57" Type="http://schemas.openxmlformats.org/officeDocument/2006/relationships/hyperlink" Target="https://drive.google.com/file/d/1totpJ-FFkugI5OhOuYGrzpMKXu9pIBlv/view?usp=share_link" TargetMode="External"/><Relationship Id="rId106" Type="http://schemas.openxmlformats.org/officeDocument/2006/relationships/hyperlink" Target="https://drive.google.com/file/d/1GzT032FLgwncD0f48ppQhSiabwsTGyLF/view?usp=sharing" TargetMode="External"/><Relationship Id="rId127" Type="http://schemas.openxmlformats.org/officeDocument/2006/relationships/hyperlink" Target="https://drive.google.com/file/d/1zc_adf-oem0qN2P-kcnyED7ZyCAW4cAi/view?usp=sharing" TargetMode="External"/><Relationship Id="rId10" Type="http://schemas.openxmlformats.org/officeDocument/2006/relationships/hyperlink" Target="https://drive.google.com/file/d/1Z68T4QRLrE4Jb4AW9JKeDR9KTtieM91R/view?usp=sharing" TargetMode="External"/><Relationship Id="rId31" Type="http://schemas.openxmlformats.org/officeDocument/2006/relationships/hyperlink" Target="https://drive.google.com/file/d/1vBGTPebWf5fR4x12xFdaQI_eAjpa65VS/view?usp=sharing" TargetMode="External"/><Relationship Id="rId52" Type="http://schemas.openxmlformats.org/officeDocument/2006/relationships/hyperlink" Target="https://drive.google.com/file/d/1jwgkJbuxNYKuHpvja1Nw5MuTYMJb1URm/view?usp=sharing" TargetMode="External"/><Relationship Id="rId73" Type="http://schemas.openxmlformats.org/officeDocument/2006/relationships/hyperlink" Target="https://drive.google.com/file/d/1brG9ly1PjvhkgyYzFvA-IzcCjXaQ3NqJ/view?usp=sharing" TargetMode="External"/><Relationship Id="rId78" Type="http://schemas.openxmlformats.org/officeDocument/2006/relationships/hyperlink" Target="https://drive.google.com/file/d/1jZelQWppZKpYNQU4nMPOhbZqMM817oik/view?usp=sharing" TargetMode="External"/><Relationship Id="rId94" Type="http://schemas.openxmlformats.org/officeDocument/2006/relationships/hyperlink" Target="https://drive.google.com/file/d/1oQixQPaIuOg01ANrcieapwjMYxyHvE1J/view?usp=drive_link" TargetMode="External"/><Relationship Id="rId99" Type="http://schemas.openxmlformats.org/officeDocument/2006/relationships/hyperlink" Target="https://drive.google.com/file/d/1MUyM1TJzVJ6aiKWXvdwzNBhXZp-Xch_M/view?usp=sharing" TargetMode="External"/><Relationship Id="rId101" Type="http://schemas.openxmlformats.org/officeDocument/2006/relationships/hyperlink" Target="https://drive.google.com/file/d/18N0iCOAFY_4SIj0aqwJr01MB4-SP0AWg/view?usp=sharing" TargetMode="External"/><Relationship Id="rId122" Type="http://schemas.openxmlformats.org/officeDocument/2006/relationships/hyperlink" Target="https://drive.google.com/file/d/111KkP3YnIfMsGAX44OIqReL2jpBql0Q8/view?usp=sharing" TargetMode="External"/><Relationship Id="rId143" Type="http://schemas.openxmlformats.org/officeDocument/2006/relationships/hyperlink" Target="https://drive.google.com/file/d/176akyrYiyL0luEkDxezxdS3vAy2YaYG0/view?usp=sharing" TargetMode="External"/><Relationship Id="rId148" Type="http://schemas.openxmlformats.org/officeDocument/2006/relationships/hyperlink" Target="https://drive.google.com/file/d/1Bpr0SfcNiByf41GwtKTnus_DzbAhh86N/view?usp=sharing" TargetMode="External"/><Relationship Id="rId164" Type="http://schemas.openxmlformats.org/officeDocument/2006/relationships/hyperlink" Target="https://drive.google.com/file/d/16xh_PH6qaOIE_Eckrh0ShdRsnpzdEuIH/view?usp=sharing" TargetMode="External"/><Relationship Id="rId169" Type="http://schemas.openxmlformats.org/officeDocument/2006/relationships/hyperlink" Target="https://drive.google.com/file/d/1g9himpoPsnythH8JumA685YQjlqfPSE9/view?usp=share_link" TargetMode="External"/><Relationship Id="rId185" Type="http://schemas.openxmlformats.org/officeDocument/2006/relationships/hyperlink" Target="https://drive.google.com/file/d/1AS37uIMPYqQ1lI5s0WLPlTCUNLTbErrH/view?usp=sharing" TargetMode="External"/><Relationship Id="rId4" Type="http://schemas.openxmlformats.org/officeDocument/2006/relationships/hyperlink" Target="https://drive.google.com/file/d/1LjnbK2BtEM9rAy8Pyzx6QpCupoC1pnOa/view?usp=sharing" TargetMode="External"/><Relationship Id="rId9" Type="http://schemas.openxmlformats.org/officeDocument/2006/relationships/hyperlink" Target="https://drive.google.com/file/d/1Z68T4QRLrE4Jb4AW9JKeDR9KTtieM91R/view?usp=sharing" TargetMode="External"/><Relationship Id="rId180" Type="http://schemas.openxmlformats.org/officeDocument/2006/relationships/hyperlink" Target="https://drive.google.com/file/d/10ntwIwr-BcOVERw8ZD6nvdm-KAOaUpjD/view?usp=sharing" TargetMode="External"/><Relationship Id="rId26" Type="http://schemas.openxmlformats.org/officeDocument/2006/relationships/hyperlink" Target="https://drive.google.com/file/d/1TUwPfEFr2p-7YZHbP3hog_07PKo9dJNS/view?usp=sharing" TargetMode="External"/><Relationship Id="rId47" Type="http://schemas.openxmlformats.org/officeDocument/2006/relationships/hyperlink" Target="https://drive.google.com/file/d/1aieym6lrt1_RjZ7IIV78XX0B09vS-Fbl/view?usp=sharing" TargetMode="External"/><Relationship Id="rId68" Type="http://schemas.openxmlformats.org/officeDocument/2006/relationships/hyperlink" Target="https://drive.google.com/file/d/1ayA5EQ16c3pd6tRdx4zYt0yi8NPZHIHp/view?usp=sharing" TargetMode="External"/><Relationship Id="rId89" Type="http://schemas.openxmlformats.org/officeDocument/2006/relationships/hyperlink" Target="https://drive.google.com/file/d/15kBmP6wTK0-f0Bj0feFZwiqmtwOtqWIR/view?usp=sharing" TargetMode="External"/><Relationship Id="rId112" Type="http://schemas.openxmlformats.org/officeDocument/2006/relationships/hyperlink" Target="https://drive.google.com/file/d/1T4h-GFEs7W8f5ZQYwF0yJzBNxo1eF0jB/view?usp=sharing" TargetMode="External"/><Relationship Id="rId133" Type="http://schemas.openxmlformats.org/officeDocument/2006/relationships/hyperlink" Target="https://drive.google.com/file/d/1IyTysQKtWzTXQaCsytyAzN9fV2QOABya/view?usp=share_link" TargetMode="External"/><Relationship Id="rId154" Type="http://schemas.openxmlformats.org/officeDocument/2006/relationships/hyperlink" Target="https://drive.google.com/file/d/1j-CR_XJtybDeFqUFwYoykT03aDQDJcRv/view?usp=sharing" TargetMode="External"/><Relationship Id="rId175" Type="http://schemas.openxmlformats.org/officeDocument/2006/relationships/hyperlink" Target="https://drive.google.com/file/d/1EjiXSat70l10whAEfPkI8Wx7hfCwe89n/view?usp=sharing" TargetMode="External"/><Relationship Id="rId196" Type="http://schemas.openxmlformats.org/officeDocument/2006/relationships/hyperlink" Target="https://drive.google.com/file/d/1ANht9slXlxLd2riM_R3OWNB2ziC845aJ/view?usp=sharing" TargetMode="External"/><Relationship Id="rId200" Type="http://schemas.openxmlformats.org/officeDocument/2006/relationships/hyperlink" Target="https://drive.google.com/file/d/1myJKwEe_e7K8KkQaWu0EOJOSJRoQQgP1/view?usp=sharing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NnR-yGywA6XtSaVY99akgVKQeYL0KHkA/view?usp=sharing" TargetMode="External"/><Relationship Id="rId117" Type="http://schemas.openxmlformats.org/officeDocument/2006/relationships/hyperlink" Target="https://drive.google.com/file/d/1s3FHZAhLFEp1Q0SLeIjZUmEHVy4edHP6/view?usp=sharing" TargetMode="External"/><Relationship Id="rId21" Type="http://schemas.openxmlformats.org/officeDocument/2006/relationships/hyperlink" Target="https://drive.google.com/file/d/1fvBhBDr1euhNXECmRM5IrqV7-T_PolXi/view?usp=sharing" TargetMode="External"/><Relationship Id="rId42" Type="http://schemas.openxmlformats.org/officeDocument/2006/relationships/hyperlink" Target="https://drive.google.com/file/d/1jXNNelDG7JnkXJFGNj9qI_ru6dyxx7hS/view?usp=sharing" TargetMode="External"/><Relationship Id="rId47" Type="http://schemas.openxmlformats.org/officeDocument/2006/relationships/hyperlink" Target="https://drive.google.com/file/d/1aTkxGhtr5RSSqLAB1nTYMsLK_GZWxKlk/view?usp=sharing" TargetMode="External"/><Relationship Id="rId63" Type="http://schemas.openxmlformats.org/officeDocument/2006/relationships/hyperlink" Target="https://drive.google.com/file/d/19Te-t9_TDJnEKANYtSR_2w-yYUKk_jmQ/view?usp=sharing" TargetMode="External"/><Relationship Id="rId68" Type="http://schemas.openxmlformats.org/officeDocument/2006/relationships/hyperlink" Target="https://drive.google.com/file/d/1-x8m_Yk-8DQlqlKlPORpf5o-QVVF9kLo/view?usp=sharing" TargetMode="External"/><Relationship Id="rId84" Type="http://schemas.openxmlformats.org/officeDocument/2006/relationships/hyperlink" Target="https://drive.google.com/file/d/155UoFmz7yQaiiWiXwPlrV2-QeLu5_HWR/view?usp=share_link" TargetMode="External"/><Relationship Id="rId89" Type="http://schemas.openxmlformats.org/officeDocument/2006/relationships/hyperlink" Target="https://drive.google.com/file/d/1ymv2ibCH3lc7YGqibXn6pHXC_AyQS3P3/view?usp=sharing" TargetMode="External"/><Relationship Id="rId112" Type="http://schemas.openxmlformats.org/officeDocument/2006/relationships/hyperlink" Target="https://drive.google.com/file/d/1Aw8r6eGxnqjuREWyDXY261CPL7JCSmyG/view?usp=sharing" TargetMode="External"/><Relationship Id="rId133" Type="http://schemas.openxmlformats.org/officeDocument/2006/relationships/hyperlink" Target="https://drive.google.com/file/d/1RvvRhCL8n8gn4F2o9OABcDBav6Y5bfeA/view?usp=sharing" TargetMode="External"/><Relationship Id="rId138" Type="http://schemas.openxmlformats.org/officeDocument/2006/relationships/hyperlink" Target="https://drive.google.com/file/d/16fwppSG8Vh2JFZyhRKazOzf6yLSfyQIf/view?usp=sharing" TargetMode="External"/><Relationship Id="rId154" Type="http://schemas.openxmlformats.org/officeDocument/2006/relationships/hyperlink" Target="https://drive.google.com/file/d/1AGKR1K0oL1sXgjd-iu3aBdkgxus8XE7m/view?usp=sharing" TargetMode="External"/><Relationship Id="rId159" Type="http://schemas.openxmlformats.org/officeDocument/2006/relationships/hyperlink" Target="https://drive.google.com/file/d/1C9EVczrVvNG1uSClMr2YTGMMfo_KoX0G/view?usp=sharing" TargetMode="External"/><Relationship Id="rId16" Type="http://schemas.openxmlformats.org/officeDocument/2006/relationships/hyperlink" Target="https://drive.google.com/file/d/1qlWuHydhtQ5QQWsCSBQTlPfbj28FIrsI/view?usp=sharing" TargetMode="External"/><Relationship Id="rId107" Type="http://schemas.openxmlformats.org/officeDocument/2006/relationships/hyperlink" Target="https://drive.google.com/file/d/1AFPaVx9yalfdGnXZsW4HCC9IpuhwsAMs/view?usp=share_link" TargetMode="External"/><Relationship Id="rId11" Type="http://schemas.openxmlformats.org/officeDocument/2006/relationships/hyperlink" Target="https://drive.google.com/file/d/1i-uPxxRsiK0YN9CbChZ76WZmo3CvpNdw/view?usp=share_link" TargetMode="External"/><Relationship Id="rId32" Type="http://schemas.openxmlformats.org/officeDocument/2006/relationships/hyperlink" Target="https://drive.google.com/file/d/1ManTJM-zg0VIBco2jN3xN4-OBayPqzZE/view?usp=sharing" TargetMode="External"/><Relationship Id="rId37" Type="http://schemas.openxmlformats.org/officeDocument/2006/relationships/hyperlink" Target="https://drive.google.com/file/d/1AsxqohtPL3o6k_RfYoRVwnAcuDL2j8Zy/view?usp=share_link" TargetMode="External"/><Relationship Id="rId53" Type="http://schemas.openxmlformats.org/officeDocument/2006/relationships/hyperlink" Target="https://drive.google.com/file/d/1v55prH3E9qnhVSbjLGkiAMy7bookEr1S/view?usp=share_link" TargetMode="External"/><Relationship Id="rId58" Type="http://schemas.openxmlformats.org/officeDocument/2006/relationships/hyperlink" Target="https://drive.google.com/file/d/1Ws3Z5QAdTiSn1jvhq4gKQfy90-XXKJ8_/view?usp=sharing" TargetMode="External"/><Relationship Id="rId74" Type="http://schemas.openxmlformats.org/officeDocument/2006/relationships/hyperlink" Target="https://drive.google.com/file/d/1QVbZgtEto7qI6tcLUcDckq0vVQmFioeU/view?usp=sharing" TargetMode="External"/><Relationship Id="rId79" Type="http://schemas.openxmlformats.org/officeDocument/2006/relationships/hyperlink" Target="https://drive.google.com/file/d/1jZhExxlBHqpc8nuKdwnZztalYttQvL1j/view?usp=sharing" TargetMode="External"/><Relationship Id="rId102" Type="http://schemas.openxmlformats.org/officeDocument/2006/relationships/hyperlink" Target="https://drive.google.com/file/d/1TSQ-w-B7kpveGoZxqbtaGjpPNOx_tWjX/view?usp=sharing" TargetMode="External"/><Relationship Id="rId123" Type="http://schemas.openxmlformats.org/officeDocument/2006/relationships/hyperlink" Target="https://drive.google.com/file/d/1Nd79NxHpcTmH_uACuyPfYiKHbz9I4rXZ/view?usp=sharing" TargetMode="External"/><Relationship Id="rId128" Type="http://schemas.openxmlformats.org/officeDocument/2006/relationships/hyperlink" Target="https://drive.google.com/file/d/1J5CuapkR_HMNpYwqk8aLjW4O7W3w7Wku/view?usp=sharing" TargetMode="External"/><Relationship Id="rId144" Type="http://schemas.openxmlformats.org/officeDocument/2006/relationships/hyperlink" Target="https://drive.google.com/file/d/1gqFuYB06to8E7K5Q2QSz0AAZuuDbLArY/view?usp=sharing" TargetMode="External"/><Relationship Id="rId149" Type="http://schemas.openxmlformats.org/officeDocument/2006/relationships/hyperlink" Target="https://drive.google.com/file/d/1yL6nJP-4VWD3-AO02pSqnxH7SQk82A7l/view?usp=sharing" TargetMode="External"/><Relationship Id="rId5" Type="http://schemas.openxmlformats.org/officeDocument/2006/relationships/hyperlink" Target="https://drive.google.com/file/d/1Wkpvzi6iaTjHm8-YLSJ3JUB1vcCA7ZvT/view?usp=sharing" TargetMode="External"/><Relationship Id="rId90" Type="http://schemas.openxmlformats.org/officeDocument/2006/relationships/hyperlink" Target="https://drive.google.com/file/d/1ymv2ibCH3lc7YGqibXn6pHXC_AyQS3P3/view?usp=sharing" TargetMode="External"/><Relationship Id="rId95" Type="http://schemas.openxmlformats.org/officeDocument/2006/relationships/hyperlink" Target="https://drive.google.com/file/d/1ynea0dtQZYoXx0fif0cxoGRmXVruVI_P/view?usp=share_link" TargetMode="External"/><Relationship Id="rId160" Type="http://schemas.openxmlformats.org/officeDocument/2006/relationships/hyperlink" Target="https://drive.google.com/file/d/1VP5-LG9Mrs8u3-OgOlWbvzqUd3nQ3_FM/view?usp=sharing" TargetMode="External"/><Relationship Id="rId165" Type="http://schemas.openxmlformats.org/officeDocument/2006/relationships/hyperlink" Target="https://drive.google.com/file/d/1lr1IpkpsN12s9jtFGmcwJLYCgyLyXwA3/view?usp=sharing" TargetMode="External"/><Relationship Id="rId22" Type="http://schemas.openxmlformats.org/officeDocument/2006/relationships/hyperlink" Target="https://drive.google.com/file/d/1sUDXgWDL7lffva7JbtM6c_Yd8_I6hMwY/view?usp=share_link" TargetMode="External"/><Relationship Id="rId27" Type="http://schemas.openxmlformats.org/officeDocument/2006/relationships/hyperlink" Target="https://drive.google.com/file/d/1_wG3cQDRBO6QMJW5AFsLo7JJKf-EGogS/view?usp=sharing" TargetMode="External"/><Relationship Id="rId43" Type="http://schemas.openxmlformats.org/officeDocument/2006/relationships/hyperlink" Target="https://drive.google.com/file/d/1rQO_PM2m89lvNEFDauHxPiOpujs9eSwl/view?usp=share_link" TargetMode="External"/><Relationship Id="rId48" Type="http://schemas.openxmlformats.org/officeDocument/2006/relationships/hyperlink" Target="https://drive.google.com/file/d/1rgfN3UuuXGshUlbgpbI3rsgN3DF4S5kn/view?usp=sharing" TargetMode="External"/><Relationship Id="rId64" Type="http://schemas.openxmlformats.org/officeDocument/2006/relationships/hyperlink" Target="https://drive.google.com/file/d/1_fiXgq_T2WW0ONBM623_XCpj6zQCZ1qp/view?usp=sharing" TargetMode="External"/><Relationship Id="rId69" Type="http://schemas.openxmlformats.org/officeDocument/2006/relationships/hyperlink" Target="https://drive.google.com/file/d/1-x8m_Yk-8DQlqlKlPORpf5o-QVVF9kLo/view?usp=sharing" TargetMode="External"/><Relationship Id="rId113" Type="http://schemas.openxmlformats.org/officeDocument/2006/relationships/hyperlink" Target="https://drive.google.com/file/d/1OPwrqhCk5Bq4N2E4ixW2zHnsG775r-0q/view?usp=sharing" TargetMode="External"/><Relationship Id="rId118" Type="http://schemas.openxmlformats.org/officeDocument/2006/relationships/hyperlink" Target="https://drive.google.com/file/d/1Y8YOU44gBO-5bpzmgkEEHFOEtOKIAGdL/view?usp=sharing" TargetMode="External"/><Relationship Id="rId134" Type="http://schemas.openxmlformats.org/officeDocument/2006/relationships/hyperlink" Target="https://drive.google.com/file/d/1QWbFoHLL_o0QyJWYy2KjVR3GHqqaz5mA/view?usp=sharing" TargetMode="External"/><Relationship Id="rId139" Type="http://schemas.openxmlformats.org/officeDocument/2006/relationships/hyperlink" Target="https://drive.google.com/file/d/14oOiTTnGj0hAn9CDeWiav2j_11Pfy1gI/view?usp=sharing" TargetMode="External"/><Relationship Id="rId80" Type="http://schemas.openxmlformats.org/officeDocument/2006/relationships/hyperlink" Target="https://drive.google.com/file/d/1SCgLyc1ps_BOrCUewV4epHfTSLJV4pCM/view?usp=sharing" TargetMode="External"/><Relationship Id="rId85" Type="http://schemas.openxmlformats.org/officeDocument/2006/relationships/hyperlink" Target="https://drive.google.com/file/d/1iss8UHFcTkg5rjD9WIjED_Udg9XW8jLv/view?usp=sharing" TargetMode="External"/><Relationship Id="rId150" Type="http://schemas.openxmlformats.org/officeDocument/2006/relationships/hyperlink" Target="https://drive.google.com/file/d/1inxyJIEai9ThjUCC5bSd9Rgl-DlpBfvy/view?usp=sharing" TargetMode="External"/><Relationship Id="rId155" Type="http://schemas.openxmlformats.org/officeDocument/2006/relationships/hyperlink" Target="https://drive.google.com/file/d/1qUZJMvH-9EGktJ8ux_D8MhDO2fPRd9oj/view?usp=sharing" TargetMode="External"/><Relationship Id="rId12" Type="http://schemas.openxmlformats.org/officeDocument/2006/relationships/hyperlink" Target="https://drive.google.com/file/d/1XFwdSf6iLDXy75wgXdVB_h8rHo0qhgbG/view?usp=sharing" TargetMode="External"/><Relationship Id="rId17" Type="http://schemas.openxmlformats.org/officeDocument/2006/relationships/hyperlink" Target="https://drive.google.com/file/d/1tb_wx6wFTyXZW_0nK_tv90DcMOJLWE42/view?usp=sharing" TargetMode="External"/><Relationship Id="rId33" Type="http://schemas.openxmlformats.org/officeDocument/2006/relationships/hyperlink" Target="https://drive.google.com/file/d/1ANOHYCT8hWMNqwLJ2t4UGFg-3W6SFzyy/view?usp=share_link" TargetMode="External"/><Relationship Id="rId38" Type="http://schemas.openxmlformats.org/officeDocument/2006/relationships/hyperlink" Target="https://drive.google.com/file/d/1bJF-sUPxUyV3ZwNq0VECDq3xDhZU1Tbp/view?usp=sharing" TargetMode="External"/><Relationship Id="rId59" Type="http://schemas.openxmlformats.org/officeDocument/2006/relationships/hyperlink" Target="https://drive.google.com/file/d/1Ws3Z5QAdTiSn1jvhq4gKQfy90-XXKJ8_/view?usp=sharing" TargetMode="External"/><Relationship Id="rId103" Type="http://schemas.openxmlformats.org/officeDocument/2006/relationships/hyperlink" Target="https://drive.google.com/file/d/1xxXPIgwKWZ50vRpwvgzM9xLEwK8khQ7L/view?usp=sharing" TargetMode="External"/><Relationship Id="rId108" Type="http://schemas.openxmlformats.org/officeDocument/2006/relationships/hyperlink" Target="https://drive.google.com/file/d/1UowE06OG_C8A0JhiuMSVG2IZNgGfnJ1p/view?usp=sharing" TargetMode="External"/><Relationship Id="rId124" Type="http://schemas.openxmlformats.org/officeDocument/2006/relationships/hyperlink" Target="https://drive.google.com/file/d/1KdeKNryujGsdbsL7o5vhrx6gd42--Bn_/view?usp=share_link" TargetMode="External"/><Relationship Id="rId129" Type="http://schemas.openxmlformats.org/officeDocument/2006/relationships/hyperlink" Target="https://drive.google.com/file/d/1s0g5VwwwKh37hT2hWr7rrIO_Ny7rKSPJ/view?usp=sharing" TargetMode="External"/><Relationship Id="rId54" Type="http://schemas.openxmlformats.org/officeDocument/2006/relationships/hyperlink" Target="https://drive.google.com/file/d/1wnPn6FQCtCqN-j53xjmg5gOJW0Fh8ETM/view?usp=sharing" TargetMode="External"/><Relationship Id="rId70" Type="http://schemas.openxmlformats.org/officeDocument/2006/relationships/hyperlink" Target="https://drive.google.com/file/d/1nq5F-J5RTbEdn53Hn98epKxU3t73m44q/view?usp=sharing" TargetMode="External"/><Relationship Id="rId75" Type="http://schemas.openxmlformats.org/officeDocument/2006/relationships/hyperlink" Target="https://drive.google.com/file/d/1LXsNaM5WFTfZVmX47s95WjvZBUn04n7s/view?usp=sharing" TargetMode="External"/><Relationship Id="rId91" Type="http://schemas.openxmlformats.org/officeDocument/2006/relationships/hyperlink" Target="https://drive.google.com/file/d/1R7b7SmhnPv7DyffTEwTnyD_3P9VOALP1/view?usp=sharing" TargetMode="External"/><Relationship Id="rId96" Type="http://schemas.openxmlformats.org/officeDocument/2006/relationships/hyperlink" Target="https://drive.google.com/file/d/1ZNy-erjcemH2yINCnnQthvHB-y5QXl_n/view?usp=share_link" TargetMode="External"/><Relationship Id="rId140" Type="http://schemas.openxmlformats.org/officeDocument/2006/relationships/hyperlink" Target="https://drive.google.com/file/d/1ewPBPW7TLpNFWsNe-nCHqnoMkPQ_8swO/view?usp=share_link" TargetMode="External"/><Relationship Id="rId145" Type="http://schemas.openxmlformats.org/officeDocument/2006/relationships/hyperlink" Target="https://drive.google.com/file/d/1gf7HrFcLNi7YVPS1NI3pIs4tKi-G5zzQ/view?usp=sharing" TargetMode="External"/><Relationship Id="rId161" Type="http://schemas.openxmlformats.org/officeDocument/2006/relationships/hyperlink" Target="https://drive.google.com/file/d/1eIZHF9WwxZm2HDAHmD3P8W9XrPiGbJiZ/view?usp=sharing" TargetMode="External"/><Relationship Id="rId1" Type="http://schemas.openxmlformats.org/officeDocument/2006/relationships/hyperlink" Target="https://drive.google.com/file/d/1UQd6ELboLbeLM9yUKEWefhxpUrI0TlC5/view?usp=sharing" TargetMode="External"/><Relationship Id="rId6" Type="http://schemas.openxmlformats.org/officeDocument/2006/relationships/hyperlink" Target="https://drive.google.com/file/d/18YuQS_nSqKmuCbx7AHt7WrjpeCLg-Dbw/view?usp=sharing" TargetMode="External"/><Relationship Id="rId15" Type="http://schemas.openxmlformats.org/officeDocument/2006/relationships/hyperlink" Target="https://drive.google.com/file/d/1V3gCyMcqLFhkiy7vx2IlVXtlvaUKRno0/view?usp=sharing" TargetMode="External"/><Relationship Id="rId23" Type="http://schemas.openxmlformats.org/officeDocument/2006/relationships/hyperlink" Target="https://drive.google.com/file/d/1SzQLPUIyEIy9knTC5hYkMAdHVDFfufwB/view?usp=sharing" TargetMode="External"/><Relationship Id="rId28" Type="http://schemas.openxmlformats.org/officeDocument/2006/relationships/hyperlink" Target="https://drive.google.com/file/d/1C1OHUgbuUVdZIBmEXLdPfvsxzK9SpcvD/view?usp=sharing" TargetMode="External"/><Relationship Id="rId36" Type="http://schemas.openxmlformats.org/officeDocument/2006/relationships/hyperlink" Target="https://drive.google.com/file/d/1rmklXOwBhQjrwyaJDq4Vb4JDXHRUlHEs/view?usp=sharing" TargetMode="External"/><Relationship Id="rId49" Type="http://schemas.openxmlformats.org/officeDocument/2006/relationships/hyperlink" Target="https://drive.google.com/file/d/1Tf7MGfgm0Ktutz8GETCbSnms_H0ex-rg/view?usp=sharing" TargetMode="External"/><Relationship Id="rId57" Type="http://schemas.openxmlformats.org/officeDocument/2006/relationships/hyperlink" Target="https://drive.google.com/file/d/1i_lerG0Yfa3c4Vncz1aIlE1PdR2Q4Ux_/view?usp=sharing" TargetMode="External"/><Relationship Id="rId106" Type="http://schemas.openxmlformats.org/officeDocument/2006/relationships/hyperlink" Target="https://drive.google.com/file/d/1ZGPYKEsw1DZVkDmXnOrXrTJySkgOTdGf/view?usp=sharing" TargetMode="External"/><Relationship Id="rId114" Type="http://schemas.openxmlformats.org/officeDocument/2006/relationships/hyperlink" Target="https://drive.google.com/file/d/1OPwrqhCk5Bq4N2E4ixW2zHnsG775r-0q/view?usp=sharing" TargetMode="External"/><Relationship Id="rId119" Type="http://schemas.openxmlformats.org/officeDocument/2006/relationships/hyperlink" Target="https://drive.google.com/file/d/1KS8F_7FoRZlpWraUBC9hrohmcFAoJZA1/view?usp=sharing" TargetMode="External"/><Relationship Id="rId127" Type="http://schemas.openxmlformats.org/officeDocument/2006/relationships/hyperlink" Target="https://drive.google.com/file/d/1tvofEAqyRfeU6obc7wPQ5MtGExHdUNw8/view?usp=share_link" TargetMode="External"/><Relationship Id="rId10" Type="http://schemas.openxmlformats.org/officeDocument/2006/relationships/hyperlink" Target="https://drive.google.com/file/d/1Gu56kLUzV3PpmAYcR5eF9M896b0-tXU1/view?usp=sharing" TargetMode="External"/><Relationship Id="rId31" Type="http://schemas.openxmlformats.org/officeDocument/2006/relationships/hyperlink" Target="https://drive.google.com/file/d/1B04rrJcGJbwph4ZOEI8jwgQ5R7e1Fq06/view?usp=sharing" TargetMode="External"/><Relationship Id="rId44" Type="http://schemas.openxmlformats.org/officeDocument/2006/relationships/hyperlink" Target="https://drive.google.com/file/d/1JOUOuHNRFnE6NIGhCstotsfyjcajN6me/view?usp=sharing" TargetMode="External"/><Relationship Id="rId52" Type="http://schemas.openxmlformats.org/officeDocument/2006/relationships/hyperlink" Target="https://drive.google.com/file/d/1JROIFHBGNPvOduXWNJeNcciTrIR03Ra-/view?usp=sharing" TargetMode="External"/><Relationship Id="rId60" Type="http://schemas.openxmlformats.org/officeDocument/2006/relationships/hyperlink" Target="https://drive.google.com/file/d/1gW_n95tRi7GEp7BEKrfxrtsx-5F768Kd/view?usp=sharing" TargetMode="External"/><Relationship Id="rId65" Type="http://schemas.openxmlformats.org/officeDocument/2006/relationships/hyperlink" Target="https://drive.google.com/file/d/1lTOd2gB8P42yOZatGYn87WL0xPizEoBW/view?usp=share_link" TargetMode="External"/><Relationship Id="rId73" Type="http://schemas.openxmlformats.org/officeDocument/2006/relationships/hyperlink" Target="https://drive.google.com/file/d/1QVbZgtEto7qI6tcLUcDckq0vVQmFioeU/view?usp=sharing" TargetMode="External"/><Relationship Id="rId78" Type="http://schemas.openxmlformats.org/officeDocument/2006/relationships/hyperlink" Target="https://drive.google.com/file/d/1lU2A8M7wsS4aqgp69nMcqx58Q2C-achn/view?usp=sharing" TargetMode="External"/><Relationship Id="rId81" Type="http://schemas.openxmlformats.org/officeDocument/2006/relationships/hyperlink" Target="https://drive.google.com/file/d/1zXcEtUXuu2jxIMu5oOXhMFs91CdgxjKa/view?usp=sharing" TargetMode="External"/><Relationship Id="rId86" Type="http://schemas.openxmlformats.org/officeDocument/2006/relationships/hyperlink" Target="https://drive.google.com/file/d/1P8_VUVlLM3bpxPd7w2CyoOUwJzeqq8_3/view?usp=share_link" TargetMode="External"/><Relationship Id="rId94" Type="http://schemas.openxmlformats.org/officeDocument/2006/relationships/hyperlink" Target="https://drive.google.com/file/d/18XjtPdPwuIrnHHjxzgl9ZqCjuKig4eww/view?usp=sharing" TargetMode="External"/><Relationship Id="rId99" Type="http://schemas.openxmlformats.org/officeDocument/2006/relationships/hyperlink" Target="https://drive.google.com/file/d/1sdWRe-WgJOnZ5rOXevLY2EeicmSul5JH/view?usp=sharing" TargetMode="External"/><Relationship Id="rId101" Type="http://schemas.openxmlformats.org/officeDocument/2006/relationships/hyperlink" Target="https://drive.google.com/file/d/1CTXJiklm4YhrboOi0zd-kDau74xJAs3W/view?usp=sharing" TargetMode="External"/><Relationship Id="rId122" Type="http://schemas.openxmlformats.org/officeDocument/2006/relationships/hyperlink" Target="https://drive.google.com/file/d/1P-Nqua6Rqj3tpsLii_rPqM_MNfxqdnLN/view?usp=sharing" TargetMode="External"/><Relationship Id="rId130" Type="http://schemas.openxmlformats.org/officeDocument/2006/relationships/hyperlink" Target="https://drive.google.com/file/d/1ZCjSG9iLnL73rWiwsHNThWLg-APfbJR8/view?usp=share_link" TargetMode="External"/><Relationship Id="rId135" Type="http://schemas.openxmlformats.org/officeDocument/2006/relationships/hyperlink" Target="https://drive.google.com/file/d/13ueCO5qMiquqkq-x66rq7JvgSgsDkM3k/view?usp=sharing" TargetMode="External"/><Relationship Id="rId143" Type="http://schemas.openxmlformats.org/officeDocument/2006/relationships/hyperlink" Target="https://drive.google.com/file/d/1K3o5KlWAnBvjhxPuJeJhehEQePAaGXD8/view?usp=sharing" TargetMode="External"/><Relationship Id="rId148" Type="http://schemas.openxmlformats.org/officeDocument/2006/relationships/hyperlink" Target="https://drive.google.com/file/d/1ya8kVB-zVYLmvOhwk6rN7Tst9socM0jo/view?usp=drive_link" TargetMode="External"/><Relationship Id="rId151" Type="http://schemas.openxmlformats.org/officeDocument/2006/relationships/hyperlink" Target="https://drive.google.com/file/d/14dj4LCBEYS_OBlEmP7BgLaV-VFezAANO/view?usp=sharing" TargetMode="External"/><Relationship Id="rId156" Type="http://schemas.openxmlformats.org/officeDocument/2006/relationships/hyperlink" Target="https://drive.google.com/file/d/1F6jSHxznavkSEgpn2_gbXH0i5-jBz4lH/view?usp=sharing" TargetMode="External"/><Relationship Id="rId164" Type="http://schemas.openxmlformats.org/officeDocument/2006/relationships/hyperlink" Target="https://drive.google.com/file/d/1RreTDQmJ3AyAlM6qlAIqXwJfubl7gJjy/view?usp=sharing" TargetMode="External"/><Relationship Id="rId4" Type="http://schemas.openxmlformats.org/officeDocument/2006/relationships/hyperlink" Target="https://drive.google.com/file/d/11YVjm8Phz1BTwyujqzCQPQSOBwGDgJzC/view?usp=share_link" TargetMode="External"/><Relationship Id="rId9" Type="http://schemas.openxmlformats.org/officeDocument/2006/relationships/hyperlink" Target="https://drive.google.com/file/d/1LK45y9t-cpOxwPVStm-taviy9uMPzFzf/view?usp=sharing" TargetMode="External"/><Relationship Id="rId13" Type="http://schemas.openxmlformats.org/officeDocument/2006/relationships/hyperlink" Target="https://drive.google.com/file/d/1XFwdSf6iLDXy75wgXdVB_h8rHo0qhgbG/view?usp=sharing" TargetMode="External"/><Relationship Id="rId18" Type="http://schemas.openxmlformats.org/officeDocument/2006/relationships/hyperlink" Target="https://drive.google.com/file/d/1tb_wx6wFTyXZW_0nK_tv90DcMOJLWE42/view?usp=sharing" TargetMode="External"/><Relationship Id="rId39" Type="http://schemas.openxmlformats.org/officeDocument/2006/relationships/hyperlink" Target="https://drive.google.com/file/d/10DLGOkbbOU1DV2D1Z3-aoHOkC0BenCYK/view?usp=share_link" TargetMode="External"/><Relationship Id="rId109" Type="http://schemas.openxmlformats.org/officeDocument/2006/relationships/hyperlink" Target="https://drive.google.com/file/d/1LobyKUrTjQPfh_FM1JGig7lJuDyuxZbw/view?usp=sharing" TargetMode="External"/><Relationship Id="rId34" Type="http://schemas.openxmlformats.org/officeDocument/2006/relationships/hyperlink" Target="https://drive.google.com/file/d/1EhVvlQ9Ln3mZTSWHvWd5lOPuOF59TaMz/view?usp=sharing" TargetMode="External"/><Relationship Id="rId50" Type="http://schemas.openxmlformats.org/officeDocument/2006/relationships/hyperlink" Target="https://drive.google.com/file/d/1THJI6OjLy0fzgP3_yaujsPByiNj-E1wB/view?usp=sharing" TargetMode="External"/><Relationship Id="rId55" Type="http://schemas.openxmlformats.org/officeDocument/2006/relationships/hyperlink" Target="https://drive.google.com/file/d/1dBVIdGnvr7bO5Quren_3xgH8ngjMe_zk/view?usp=sharing" TargetMode="External"/><Relationship Id="rId76" Type="http://schemas.openxmlformats.org/officeDocument/2006/relationships/hyperlink" Target="https://drive.google.com/file/d/1OBQVQGWGcTUJ7wMffToNtsXzdm3X4h1O/view?usp=sharing" TargetMode="External"/><Relationship Id="rId97" Type="http://schemas.openxmlformats.org/officeDocument/2006/relationships/hyperlink" Target="https://drive.google.com/file/d/1hbRFOSdCglc5CCmLP_-VE5HpzBSjaqsE/view?usp=sharing" TargetMode="External"/><Relationship Id="rId104" Type="http://schemas.openxmlformats.org/officeDocument/2006/relationships/hyperlink" Target="https://drive.google.com/file/d/1F6w_GPv8yJ1ob-iJvpGYBlpt-WfmwRvO/view?usp=sharing" TargetMode="External"/><Relationship Id="rId120" Type="http://schemas.openxmlformats.org/officeDocument/2006/relationships/hyperlink" Target="https://drive.google.com/file/d/1E-Ic7CBfVrbgQF2Ibt6mSr55YYb7zAN8/view?usp=sharing" TargetMode="External"/><Relationship Id="rId125" Type="http://schemas.openxmlformats.org/officeDocument/2006/relationships/hyperlink" Target="https://drive.google.com/file/d/1TnVZN4XJjQsHzsBGbDR37hLR6evFyoXW/view?usp=sharing" TargetMode="External"/><Relationship Id="rId141" Type="http://schemas.openxmlformats.org/officeDocument/2006/relationships/hyperlink" Target="https://drive.google.com/file/d/1KfIe7cS6mRn0vu8jLII3MNTQUtA-Yq3P/view?usp=sharing" TargetMode="External"/><Relationship Id="rId146" Type="http://schemas.openxmlformats.org/officeDocument/2006/relationships/hyperlink" Target="https://drive.google.com/file/d/1YcAn6JZsJH1iePHUhLsNeCrTN_bAgBv5/view?usp=share_link" TargetMode="External"/><Relationship Id="rId7" Type="http://schemas.openxmlformats.org/officeDocument/2006/relationships/hyperlink" Target="https://drive.google.com/file/d/1PlKtbYA-C0BFkCZzbEoFh2kpYD03XohA/view?usp=sharing" TargetMode="External"/><Relationship Id="rId71" Type="http://schemas.openxmlformats.org/officeDocument/2006/relationships/hyperlink" Target="https://drive.google.com/file/d/1y04wnk_nuNlQvh6JN5ihM4byb4tIDF9O/view?usp=sharing" TargetMode="External"/><Relationship Id="rId92" Type="http://schemas.openxmlformats.org/officeDocument/2006/relationships/hyperlink" Target="https://drive.google.com/file/d/1R7b7SmhnPv7DyffTEwTnyD_3P9VOALP1/view?usp=sharing" TargetMode="External"/><Relationship Id="rId162" Type="http://schemas.openxmlformats.org/officeDocument/2006/relationships/hyperlink" Target="https://drive.google.com/file/d/1TrvJF7yw2cDZg-u7rnWnSPULJPiU2YSf/view?usp=sharing" TargetMode="External"/><Relationship Id="rId2" Type="http://schemas.openxmlformats.org/officeDocument/2006/relationships/hyperlink" Target="https://drive.google.com/file/d/17HIYQ3ywkl80hHLW5W5n_GQAeKX1Q7AW/view?usp=share_link" TargetMode="External"/><Relationship Id="rId29" Type="http://schemas.openxmlformats.org/officeDocument/2006/relationships/hyperlink" Target="https://drive.google.com/file/d/14-C_d6WOZyIzN0AdOeVR72XUuyZhQwMT/view?usp=sharing" TargetMode="External"/><Relationship Id="rId24" Type="http://schemas.openxmlformats.org/officeDocument/2006/relationships/hyperlink" Target="https://drive.google.com/file/d/1SzQLPUIyEIy9knTC5hYkMAdHVDFfufwB/view?usp=sharing" TargetMode="External"/><Relationship Id="rId40" Type="http://schemas.openxmlformats.org/officeDocument/2006/relationships/hyperlink" Target="https://drive.google.com/file/d/1E2cpfEgxu9wctghNzfmDooU2HgGHNpwf/view?usp=sharing" TargetMode="External"/><Relationship Id="rId45" Type="http://schemas.openxmlformats.org/officeDocument/2006/relationships/hyperlink" Target="https://drive.google.com/file/d/1JOUOuHNRFnE6NIGhCstotsfyjcajN6me/view?usp=sharing" TargetMode="External"/><Relationship Id="rId66" Type="http://schemas.openxmlformats.org/officeDocument/2006/relationships/hyperlink" Target="https://drive.google.com/file/d/1nT5POBckzuDAMzFxRxTDFKIrsvEE7iuY/view?usp=sharing" TargetMode="External"/><Relationship Id="rId87" Type="http://schemas.openxmlformats.org/officeDocument/2006/relationships/hyperlink" Target="https://drive.google.com/file/d/1Vj7Lfc_DwjsGPpPEhIqwt8ngrclyCOuE/view?usp=sharing" TargetMode="External"/><Relationship Id="rId110" Type="http://schemas.openxmlformats.org/officeDocument/2006/relationships/hyperlink" Target="https://drive.google.com/file/d/10-nMMFDBiJkrYM9wZMvugPh3SY0_dqQ0/view?usp=sharing" TargetMode="External"/><Relationship Id="rId115" Type="http://schemas.openxmlformats.org/officeDocument/2006/relationships/hyperlink" Target="https://drive.google.com/file/d/1puPSLN-STcMgFVev8blrkTk3u2KAPsHf/view?usp=sharing" TargetMode="External"/><Relationship Id="rId131" Type="http://schemas.openxmlformats.org/officeDocument/2006/relationships/hyperlink" Target="https://drive.google.com/file/d/1zaLj5cCQ1PPUztGrr8Cq3WYhSl5gj0oN/view?usp=sharing" TargetMode="External"/><Relationship Id="rId136" Type="http://schemas.openxmlformats.org/officeDocument/2006/relationships/hyperlink" Target="https://drive.google.com/file/d/1tlJ8NApynmZx5mhkenEQBPbbGsUphgI0/view?usp=sharing" TargetMode="External"/><Relationship Id="rId157" Type="http://schemas.openxmlformats.org/officeDocument/2006/relationships/hyperlink" Target="https://drive.google.com/file/d/18rSrOqEJAPVDKJKNjAVakoGYx3qInnII/view?usp=sharing" TargetMode="External"/><Relationship Id="rId61" Type="http://schemas.openxmlformats.org/officeDocument/2006/relationships/hyperlink" Target="https://drive.google.com/file/d/1eNUlxJ6K4-myv4ygyXLKVb7ijcXrlNVj/view?usp=share_link" TargetMode="External"/><Relationship Id="rId82" Type="http://schemas.openxmlformats.org/officeDocument/2006/relationships/hyperlink" Target="https://drive.google.com/file/d/1zXcEtUXuu2jxIMu5oOXhMFs91CdgxjKa/view?usp=sharing" TargetMode="External"/><Relationship Id="rId152" Type="http://schemas.openxmlformats.org/officeDocument/2006/relationships/hyperlink" Target="https://drive.google.com/file/d/1Yo5gfngJ_KxPfdk4XewNZYnOIfrxz7zz/view?usp=sharing" TargetMode="External"/><Relationship Id="rId19" Type="http://schemas.openxmlformats.org/officeDocument/2006/relationships/hyperlink" Target="https://drive.google.com/file/d/1JV1zBlJydfikrdWWtlCKJCmkmivO8zLP/view?usp=sharing" TargetMode="External"/><Relationship Id="rId14" Type="http://schemas.openxmlformats.org/officeDocument/2006/relationships/hyperlink" Target="https://drive.google.com/file/d/15zpBrojQ-he8d8muM1HWxo43DNxVIGxM/view?usp=sharing" TargetMode="External"/><Relationship Id="rId30" Type="http://schemas.openxmlformats.org/officeDocument/2006/relationships/hyperlink" Target="https://drive.google.com/file/d/1B04rrJcGJbwph4ZOEI8jwgQ5R7e1Fq06/view?usp=sharing" TargetMode="External"/><Relationship Id="rId35" Type="http://schemas.openxmlformats.org/officeDocument/2006/relationships/hyperlink" Target="https://drive.google.com/file/d/1EhVvlQ9Ln3mZTSWHvWd5lOPuOF59TaMz/view?usp=sharing" TargetMode="External"/><Relationship Id="rId56" Type="http://schemas.openxmlformats.org/officeDocument/2006/relationships/hyperlink" Target="https://drive.google.com/file/d/1i_lerG0Yfa3c4Vncz1aIlE1PdR2Q4Ux_/view?usp=sharing" TargetMode="External"/><Relationship Id="rId77" Type="http://schemas.openxmlformats.org/officeDocument/2006/relationships/hyperlink" Target="https://drive.google.com/file/d/1OBQVQGWGcTUJ7wMffToNtsXzdm3X4h1O/view?usp=sharing" TargetMode="External"/><Relationship Id="rId100" Type="http://schemas.openxmlformats.org/officeDocument/2006/relationships/hyperlink" Target="https://drive.google.com/file/d/1CTXJiklm4YhrboOi0zd-kDau74xJAs3W/view?usp=sharing" TargetMode="External"/><Relationship Id="rId105" Type="http://schemas.openxmlformats.org/officeDocument/2006/relationships/hyperlink" Target="https://drive.google.com/file/d/1_RX-Y_hy0F9-Kke-CD8UBRxW4GzCmvIb/view?usp=sharing" TargetMode="External"/><Relationship Id="rId126" Type="http://schemas.openxmlformats.org/officeDocument/2006/relationships/hyperlink" Target="https://drive.google.com/file/d/1b71Ev_bneNJMwCvpHUyKzhzkZulrvu7Y/view?usp=sharing" TargetMode="External"/><Relationship Id="rId147" Type="http://schemas.openxmlformats.org/officeDocument/2006/relationships/hyperlink" Target="https://drive.google.com/file/d/11A_kDUF2iyl_AURiYGlq41FKL0NGZNfF/view?usp=drive_link" TargetMode="External"/><Relationship Id="rId8" Type="http://schemas.openxmlformats.org/officeDocument/2006/relationships/hyperlink" Target="https://drive.google.com/file/d/1PlKtbYA-C0BFkCZzbEoFh2kpYD03XohA/view?usp=sharing" TargetMode="External"/><Relationship Id="rId51" Type="http://schemas.openxmlformats.org/officeDocument/2006/relationships/hyperlink" Target="https://drive.google.com/file/d/1THJI6OjLy0fzgP3_yaujsPByiNj-E1wB/view?usp=sharing" TargetMode="External"/><Relationship Id="rId72" Type="http://schemas.openxmlformats.org/officeDocument/2006/relationships/hyperlink" Target="https://drive.google.com/file/d/1y04wnk_nuNlQvh6JN5ihM4byb4tIDF9O/view?usp=sharing" TargetMode="External"/><Relationship Id="rId93" Type="http://schemas.openxmlformats.org/officeDocument/2006/relationships/hyperlink" Target="https://drive.google.com/file/d/1paYmHl-hIRjcUSnTzvAAU77tJblUOFaC/view?usp=sharing" TargetMode="External"/><Relationship Id="rId98" Type="http://schemas.openxmlformats.org/officeDocument/2006/relationships/hyperlink" Target="https://drive.google.com/file/d/1xsc78cGRV4EpwVv2UCL8M8qLyRfQ_3gA/view?usp=sharing" TargetMode="External"/><Relationship Id="rId121" Type="http://schemas.openxmlformats.org/officeDocument/2006/relationships/hyperlink" Target="https://drive.google.com/file/d/1744jfNIwbnuRy2_pdLSnlfAsswmZ_L0S/view?usp=sharing" TargetMode="External"/><Relationship Id="rId142" Type="http://schemas.openxmlformats.org/officeDocument/2006/relationships/hyperlink" Target="https://drive.google.com/file/d/1D6F4Vs9tfMuJ0sMVSztpojoeMpyNkzvB/view?usp=sharing" TargetMode="External"/><Relationship Id="rId163" Type="http://schemas.openxmlformats.org/officeDocument/2006/relationships/hyperlink" Target="https://drive.google.com/file/d/1ts1ZeuSFEsPNv6ZlpeYrAk7xMaupQDhb/view?usp=sharing" TargetMode="External"/><Relationship Id="rId3" Type="http://schemas.openxmlformats.org/officeDocument/2006/relationships/hyperlink" Target="https://drive.google.com/file/d/1SxeG1l7kddxwyGx3EcxRA7osPAPYLhVp/view?usp=sharing" TargetMode="External"/><Relationship Id="rId25" Type="http://schemas.openxmlformats.org/officeDocument/2006/relationships/hyperlink" Target="https://drive.google.com/file/d/1R7dMJ9GkOQo8I5GrkG5YyglzKZueZCZd/view?usp=sharing" TargetMode="External"/><Relationship Id="rId46" Type="http://schemas.openxmlformats.org/officeDocument/2006/relationships/hyperlink" Target="https://drive.google.com/file/d/1aTkxGhtr5RSSqLAB1nTYMsLK_GZWxKlk/view?usp=sharing" TargetMode="External"/><Relationship Id="rId67" Type="http://schemas.openxmlformats.org/officeDocument/2006/relationships/hyperlink" Target="https://drive.google.com/file/d/1nT5POBckzuDAMzFxRxTDFKIrsvEE7iuY/view?usp=sharing" TargetMode="External"/><Relationship Id="rId116" Type="http://schemas.openxmlformats.org/officeDocument/2006/relationships/hyperlink" Target="https://drive.google.com/file/d/1uA_p0F-XTYcgsEur1lPuSPuC2LrESXt7/view?usp=sharing" TargetMode="External"/><Relationship Id="rId137" Type="http://schemas.openxmlformats.org/officeDocument/2006/relationships/hyperlink" Target="https://drive.google.com/file/d/1gpOCpUCTnjhVaw8Y5jOw2nAHT1DbxXge/view?usp=sharing" TargetMode="External"/><Relationship Id="rId158" Type="http://schemas.openxmlformats.org/officeDocument/2006/relationships/hyperlink" Target="https://drive.google.com/file/d/1TN0UIYXNVhBXFlkcrn2GcCUdZBij4ZPV/view?usp=sharing" TargetMode="External"/><Relationship Id="rId20" Type="http://schemas.openxmlformats.org/officeDocument/2006/relationships/hyperlink" Target="https://drive.google.com/file/d/1KEAAusnh1WEfzCmTzHytZEN1zwZ0bXKP/view?usp=sharing" TargetMode="External"/><Relationship Id="rId41" Type="http://schemas.openxmlformats.org/officeDocument/2006/relationships/hyperlink" Target="https://drive.google.com/file/d/1E2cpfEgxu9wctghNzfmDooU2HgGHNpwf/view?usp=sharing" TargetMode="External"/><Relationship Id="rId62" Type="http://schemas.openxmlformats.org/officeDocument/2006/relationships/hyperlink" Target="https://drive.google.com/file/d/1nqKfjWWnHyvDMRs3F_kWaK8_53Li9p-m/view?usp=sharing" TargetMode="External"/><Relationship Id="rId83" Type="http://schemas.openxmlformats.org/officeDocument/2006/relationships/hyperlink" Target="https://drive.google.com/file/d/1nLWIlGQGhehIxvDuzTU8Ti5aFP-iSrzQ/view?usp=sharing" TargetMode="External"/><Relationship Id="rId88" Type="http://schemas.openxmlformats.org/officeDocument/2006/relationships/hyperlink" Target="https://drive.google.com/file/d/1143k1jlfqjb6e9qNHd4hfnMsQZi4V4nJ/view?usp=share_link" TargetMode="External"/><Relationship Id="rId111" Type="http://schemas.openxmlformats.org/officeDocument/2006/relationships/hyperlink" Target="https://drive.google.com/file/d/1OFZWIFLQddkQ4GoZQwA2M6h4-9FlfYcH/view?usp=sharing" TargetMode="External"/><Relationship Id="rId132" Type="http://schemas.openxmlformats.org/officeDocument/2006/relationships/hyperlink" Target="https://drive.google.com/file/d/1rzYEohgkTZvJ4JMoxgTn_AN9W9L2JO6C/view?usp=sharing" TargetMode="External"/><Relationship Id="rId153" Type="http://schemas.openxmlformats.org/officeDocument/2006/relationships/hyperlink" Target="https://drive.google.com/file/d/1Jolxg1QyN2mboeIv1yTbA2599rOwsJjn/view?usp=sharing" TargetMode="Externa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k2ApaG_0rfFafsOQ1pEWV2nafqPzBJlj/view?usp=sharing" TargetMode="External"/><Relationship Id="rId117" Type="http://schemas.openxmlformats.org/officeDocument/2006/relationships/hyperlink" Target="https://drive.google.com/file/d/1VNhd0SDd5Cp_B7KXNzo1d8WTybXQ-6hJ/view?usp=sharing" TargetMode="External"/><Relationship Id="rId21" Type="http://schemas.openxmlformats.org/officeDocument/2006/relationships/hyperlink" Target="https://drive.google.com/file/d/1Xcn0anJyeI2YamXzH51lvwn2lhMpSb8D/view?usp=sharing" TargetMode="External"/><Relationship Id="rId42" Type="http://schemas.openxmlformats.org/officeDocument/2006/relationships/hyperlink" Target="https://drive.google.com/file/d/10_0bxLOf7cedumG1bSkFqnWcGulpmdR0/view?usp=sharing" TargetMode="External"/><Relationship Id="rId47" Type="http://schemas.openxmlformats.org/officeDocument/2006/relationships/hyperlink" Target="https://drive.google.com/file/d/1wogudEDfEzaDRhtHrkkMiuVjy8DTgsh1/view?usp=sharing" TargetMode="External"/><Relationship Id="rId63" Type="http://schemas.openxmlformats.org/officeDocument/2006/relationships/hyperlink" Target="https://drive.google.com/file/d/1FOsgFiCv2xpPfvhUT-xzpPVaVFJsMeGh/view?usp=sharing" TargetMode="External"/><Relationship Id="rId68" Type="http://schemas.openxmlformats.org/officeDocument/2006/relationships/hyperlink" Target="https://drive.google.com/file/d/1XSSayIXmXMZX7EIZTlRjFgpTjtY1yxlB/view?usp=sharing" TargetMode="External"/><Relationship Id="rId84" Type="http://schemas.openxmlformats.org/officeDocument/2006/relationships/hyperlink" Target="https://drive.google.com/file/d/1SZI7WPnH0gQgJaI0vuKOYoLynHGSxIST/view?usp=sharing" TargetMode="External"/><Relationship Id="rId89" Type="http://schemas.openxmlformats.org/officeDocument/2006/relationships/hyperlink" Target="https://drive.google.com/file/d/1FCjny7NqfHa_EYIWPkW_szV6QOLGe9hn/view?usp=sharing" TargetMode="External"/><Relationship Id="rId112" Type="http://schemas.openxmlformats.org/officeDocument/2006/relationships/hyperlink" Target="https://drive.google.com/file/d/1yPZCjO8f6-NEkTsSV8xeZ0BeEKKL5KT7/view?usp=sharing" TargetMode="External"/><Relationship Id="rId16" Type="http://schemas.openxmlformats.org/officeDocument/2006/relationships/hyperlink" Target="https://drive.google.com/file/d/1JAHckmUlTgZaiPI3L4MqYQu_0bmRk8YK/view?usp=sharing" TargetMode="External"/><Relationship Id="rId107" Type="http://schemas.openxmlformats.org/officeDocument/2006/relationships/hyperlink" Target="https://drive.google.com/file/d/1yuRryWSAshEKunc3q9qGd4_9xdpLcwKq/view?usp=sharing" TargetMode="External"/><Relationship Id="rId11" Type="http://schemas.openxmlformats.org/officeDocument/2006/relationships/hyperlink" Target="https://drive.google.com/file/d/1hxbo3Sx3YNukUjZelyYUB6hmWdAD5tUP/view?usp=sharing" TargetMode="External"/><Relationship Id="rId32" Type="http://schemas.openxmlformats.org/officeDocument/2006/relationships/hyperlink" Target="https://drive.google.com/file/d/1KU66Ck16ZcqpK7FVGXJaokmONDVqJh1A/view?usp=sharing" TargetMode="External"/><Relationship Id="rId37" Type="http://schemas.openxmlformats.org/officeDocument/2006/relationships/hyperlink" Target="https://drive.google.com/file/d/15yIMX1ABEDEnvrEFAFe4CfRmy8yPf0hN/view?usp=sharing" TargetMode="External"/><Relationship Id="rId53" Type="http://schemas.openxmlformats.org/officeDocument/2006/relationships/hyperlink" Target="https://drive.google.com/file/d/1a0D_hoQdj355NIdeDyzdaVH6b0urLAz4/view?usp=sharing" TargetMode="External"/><Relationship Id="rId58" Type="http://schemas.openxmlformats.org/officeDocument/2006/relationships/hyperlink" Target="https://drive.google.com/file/d/13skmF5gfrjVFgUs5J0rRkcH_apj_IbMa/view?usp=sharing" TargetMode="External"/><Relationship Id="rId74" Type="http://schemas.openxmlformats.org/officeDocument/2006/relationships/hyperlink" Target="https://drive.google.com/file/d/1Vq7MYCMzg_fJTSbzJSMRK5aHCrgeafwZ/view?usp=sharing" TargetMode="External"/><Relationship Id="rId79" Type="http://schemas.openxmlformats.org/officeDocument/2006/relationships/hyperlink" Target="https://drive.google.com/file/d/124rzh7QwMLsiyE8IMgswPu-qs0EOMNRK/view?usp=sharing" TargetMode="External"/><Relationship Id="rId102" Type="http://schemas.openxmlformats.org/officeDocument/2006/relationships/hyperlink" Target="https://drive.google.com/file/d/1gCvywNMFW03YcHpKC0rfV1TAA9vrnEwB/view?usp=sharing" TargetMode="External"/><Relationship Id="rId123" Type="http://schemas.openxmlformats.org/officeDocument/2006/relationships/hyperlink" Target="https://drive.google.com/file/d/1XJsLt7hYCpnButK10rj7G4K5O0sWd254/view?usp=drive_link" TargetMode="External"/><Relationship Id="rId5" Type="http://schemas.openxmlformats.org/officeDocument/2006/relationships/hyperlink" Target="https://drive.google.com/file/d/1pz-_v90NUYNUEIsFgUf535_G53ZnxUcN/view?usp=sharing" TargetMode="External"/><Relationship Id="rId61" Type="http://schemas.openxmlformats.org/officeDocument/2006/relationships/hyperlink" Target="https://drive.google.com/file/d/1LyZv0fEJ3etxeM74xCWXhfR1IH1SfIld/view?usp=sharing" TargetMode="External"/><Relationship Id="rId82" Type="http://schemas.openxmlformats.org/officeDocument/2006/relationships/hyperlink" Target="https://drive.google.com/file/d/1PIC8KvpKeh8qOcEiSCA7XSbUs4pSneMc/view?usp=sharing" TargetMode="External"/><Relationship Id="rId90" Type="http://schemas.openxmlformats.org/officeDocument/2006/relationships/hyperlink" Target="https://drive.google.com/file/d/1AfjE0H1o8tfK0NrrZYaf8okEuD6m2A1w/view?usp=share_link" TargetMode="External"/><Relationship Id="rId95" Type="http://schemas.openxmlformats.org/officeDocument/2006/relationships/hyperlink" Target="https://drive.google.com/file/d/1zdw4O4GeNlh4NgAFy9EAqAzUT_t9Aksc/view?usp=sharing" TargetMode="External"/><Relationship Id="rId19" Type="http://schemas.openxmlformats.org/officeDocument/2006/relationships/hyperlink" Target="https://drive.google.com/file/d/1MypAv3tlyWtdgOVdrNtMPLiZ6mJ4YArg/view?usp=sharing" TargetMode="External"/><Relationship Id="rId14" Type="http://schemas.openxmlformats.org/officeDocument/2006/relationships/hyperlink" Target="https://drive.google.com/file/d/1qL7d75el1CphHYMOZB5HPIGVjHsj6V5a/view?usp=sharing" TargetMode="External"/><Relationship Id="rId22" Type="http://schemas.openxmlformats.org/officeDocument/2006/relationships/hyperlink" Target="https://drive.google.com/file/d/1YULNbnQ4IEzfGn_CNSlkppMqnZcfMy4H/view?usp=sharing" TargetMode="External"/><Relationship Id="rId27" Type="http://schemas.openxmlformats.org/officeDocument/2006/relationships/hyperlink" Target="https://drive.google.com/file/d/1WHtZ9cdj3M5vZX6uN_-CcuMF5V-cA44J/view?usp=sharing" TargetMode="External"/><Relationship Id="rId30" Type="http://schemas.openxmlformats.org/officeDocument/2006/relationships/hyperlink" Target="https://drive.google.com/file/d/18m-qArmQ3UMQWSJ6JjZuFc4Wnb4CGNnu/view?usp=sharing" TargetMode="External"/><Relationship Id="rId35" Type="http://schemas.openxmlformats.org/officeDocument/2006/relationships/hyperlink" Target="https://drive.google.com/file/d/1sOURXDGtzzXGdupH7TnkiJ34rgKRO7Oe/view?usp=sharing" TargetMode="External"/><Relationship Id="rId43" Type="http://schemas.openxmlformats.org/officeDocument/2006/relationships/hyperlink" Target="https://drive.google.com/file/d/1MmmJ8ZeDpY0jFCVlr_I2UxcCbvH9tppJ/view?usp=sharing" TargetMode="External"/><Relationship Id="rId48" Type="http://schemas.openxmlformats.org/officeDocument/2006/relationships/hyperlink" Target="https://drive.google.com/file/d/1Q_yQxMrsgnxoNiIj2unC0ZPYgIBVrGuy/view?usp=share_link" TargetMode="External"/><Relationship Id="rId56" Type="http://schemas.openxmlformats.org/officeDocument/2006/relationships/hyperlink" Target="https://drive.google.com/file/d/1QOkMNIBSF9Wi6HllnP1ev-g4Lqar5h6K/view?usp=sharing" TargetMode="External"/><Relationship Id="rId64" Type="http://schemas.openxmlformats.org/officeDocument/2006/relationships/hyperlink" Target="https://drive.google.com/file/d/1_URVgX1Fd35ekuAulfUf-XvySWeD87zc/view?usp=sharing" TargetMode="External"/><Relationship Id="rId69" Type="http://schemas.openxmlformats.org/officeDocument/2006/relationships/hyperlink" Target="https://drive.google.com/file/d/1tX_I-N9D5bhEmyXSZNHnyEEb7-mdZdRt/view?usp=sharing" TargetMode="External"/><Relationship Id="rId77" Type="http://schemas.openxmlformats.org/officeDocument/2006/relationships/hyperlink" Target="https://drive.google.com/file/d/1S08GbZU8i-9pSbCmPXFdRuiVgHcL0OkX/view?usp=share_link" TargetMode="External"/><Relationship Id="rId100" Type="http://schemas.openxmlformats.org/officeDocument/2006/relationships/hyperlink" Target="https://drive.google.com/file/d/1XtOeqbuzyBbXb5li1DnbU8K-JuOXMGdk/view?usp=sharing" TargetMode="External"/><Relationship Id="rId105" Type="http://schemas.openxmlformats.org/officeDocument/2006/relationships/hyperlink" Target="https://drive.google.com/file/d/1NtuOyFY3PT-g8NR36an7lq13espgi0be/view?usp=sharing" TargetMode="External"/><Relationship Id="rId113" Type="http://schemas.openxmlformats.org/officeDocument/2006/relationships/hyperlink" Target="https://drive.google.com/file/d/1yLtQdQIbrZTh2a4IUmsM671rnC4w3JJJ/view?usp=sharing" TargetMode="External"/><Relationship Id="rId118" Type="http://schemas.openxmlformats.org/officeDocument/2006/relationships/hyperlink" Target="https://drive.google.com/file/d/1myiCKFwWF3xgTpFHQfaMY2PwU2rdkdAc/view?usp=sharing" TargetMode="External"/><Relationship Id="rId126" Type="http://schemas.openxmlformats.org/officeDocument/2006/relationships/hyperlink" Target="https://drive.google.com/file/d/16Sq3niTR2OfAF84lxJ1sC0m7mKvVLTHK/view?usp=sharing" TargetMode="External"/><Relationship Id="rId8" Type="http://schemas.openxmlformats.org/officeDocument/2006/relationships/hyperlink" Target="https://drive.google.com/file/d/10oitE0doo6UaEaknxy80BDDrAnrBTmZT/view?usp=drive_link" TargetMode="External"/><Relationship Id="rId51" Type="http://schemas.openxmlformats.org/officeDocument/2006/relationships/hyperlink" Target="https://drive.google.com/file/d/1ZUk62ETFnsG72Q4XqwjEwyOaS7cKAfiA/view?usp=sharing" TargetMode="External"/><Relationship Id="rId72" Type="http://schemas.openxmlformats.org/officeDocument/2006/relationships/hyperlink" Target="https://drive.google.com/file/d/1-Y6msN00FiuQCvZfEi42KY8vw2P0Nq2H/view?usp=sharing" TargetMode="External"/><Relationship Id="rId80" Type="http://schemas.openxmlformats.org/officeDocument/2006/relationships/hyperlink" Target="https://drive.google.com/file/d/180NSWAYsN_PoNE8XP4hlZuKfdIeIvciM/view?usp=sharing" TargetMode="External"/><Relationship Id="rId85" Type="http://schemas.openxmlformats.org/officeDocument/2006/relationships/hyperlink" Target="https://drive.google.com/file/d/1_eJULjK2eBq8U1Uh4xz4chu_DMRu3IAP/view?usp=sharing" TargetMode="External"/><Relationship Id="rId93" Type="http://schemas.openxmlformats.org/officeDocument/2006/relationships/hyperlink" Target="https://drive.google.com/file/d/19qvXQ7PU-O7fDt1Q2bXIf8eR0hojHx4j/view?usp=drive_link" TargetMode="External"/><Relationship Id="rId98" Type="http://schemas.openxmlformats.org/officeDocument/2006/relationships/hyperlink" Target="https://drive.google.com/file/d/1Zmg0dwN_m0gxT4C0MqPVX74wkfWntkG1/view?usp=sharing" TargetMode="External"/><Relationship Id="rId121" Type="http://schemas.openxmlformats.org/officeDocument/2006/relationships/hyperlink" Target="https://drive.google.com/file/d/161kqyFTgYzX4hVw6NrG2YhtCoV_PlJfX/view?usp=sharing" TargetMode="External"/><Relationship Id="rId3" Type="http://schemas.openxmlformats.org/officeDocument/2006/relationships/hyperlink" Target="https://drive.google.com/file/d/1DVwbvORUoBjFH7nYfyV3jXwwqYwNbJbM/view?usp=sharing" TargetMode="External"/><Relationship Id="rId12" Type="http://schemas.openxmlformats.org/officeDocument/2006/relationships/hyperlink" Target="https://drive.google.com/file/d/1wyhEreHdc47wSQjNDIEDqVpaukC6vz8A/view?usp=sharing" TargetMode="External"/><Relationship Id="rId17" Type="http://schemas.openxmlformats.org/officeDocument/2006/relationships/hyperlink" Target="https://drive.google.com/file/d/1Ap3ZZD6aXCMCr-qG3M0abT7BXLJGyvYi/view?usp=sharing" TargetMode="External"/><Relationship Id="rId25" Type="http://schemas.openxmlformats.org/officeDocument/2006/relationships/hyperlink" Target="https://drive.google.com/file/d/1k2ApaG_0rfFafsOQ1pEWV2nafqPzBJlj/view?usp=sharing" TargetMode="External"/><Relationship Id="rId33" Type="http://schemas.openxmlformats.org/officeDocument/2006/relationships/hyperlink" Target="https://drive.google.com/file/d/1e6E-afOpRxUiGafT1Q-Z_OiORqvu6q1V/view?usp=share_link" TargetMode="External"/><Relationship Id="rId38" Type="http://schemas.openxmlformats.org/officeDocument/2006/relationships/hyperlink" Target="https://drive.google.com/file/d/1ayZAc1rOt-YMvgbjUY5nIcF9ffRqQcz1/view?usp=sharing" TargetMode="External"/><Relationship Id="rId46" Type="http://schemas.openxmlformats.org/officeDocument/2006/relationships/hyperlink" Target="https://drive.google.com/file/d/19lD86tOLhnwzsqo8WT_NKK0DBobtUYuj/view?usp=sharing" TargetMode="External"/><Relationship Id="rId59" Type="http://schemas.openxmlformats.org/officeDocument/2006/relationships/hyperlink" Target="https://drive.google.com/file/d/1UWXcddTqyPR2NveOYQRiRIKMmubnnPB7/view?usp=sharing" TargetMode="External"/><Relationship Id="rId67" Type="http://schemas.openxmlformats.org/officeDocument/2006/relationships/hyperlink" Target="https://drive.google.com/file/d/10Sn2Yr0oduh7rFk4eQVtCbDVpx1oBSRs/view?usp=sharing" TargetMode="External"/><Relationship Id="rId103" Type="http://schemas.openxmlformats.org/officeDocument/2006/relationships/hyperlink" Target="https://drive.google.com/file/d/14NN-_KXPFe0wYX2Nt-BQ6jQWSUQRPsnU/view?usp=sharing" TargetMode="External"/><Relationship Id="rId108" Type="http://schemas.openxmlformats.org/officeDocument/2006/relationships/hyperlink" Target="https://drive.google.com/file/d/1YQbaM6LVTEosFWROaXG_ADZld2GE3m4H/view?usp=sharing" TargetMode="External"/><Relationship Id="rId116" Type="http://schemas.openxmlformats.org/officeDocument/2006/relationships/hyperlink" Target="https://drive.google.com/file/d/1ppGa83xjXtM6WieoPk2AGlp0UEAetVCO/view?usp=sharing" TargetMode="External"/><Relationship Id="rId124" Type="http://schemas.openxmlformats.org/officeDocument/2006/relationships/hyperlink" Target="https://drive.google.com/file/d/1CuLENwRXdwemUsmP2MLsgJYQAAMV7Q2g/view?usp=sharing" TargetMode="External"/><Relationship Id="rId20" Type="http://schemas.openxmlformats.org/officeDocument/2006/relationships/hyperlink" Target="https://drive.google.com/file/d/1JvMeZoxQx22Z33dp9uiuJcIAxYUzFP1G/view?usp=drive_link" TargetMode="External"/><Relationship Id="rId41" Type="http://schemas.openxmlformats.org/officeDocument/2006/relationships/hyperlink" Target="https://drive.google.com/file/d/10_0bxLOf7cedumG1bSkFqnWcGulpmdR0/view?usp=sharing" TargetMode="External"/><Relationship Id="rId54" Type="http://schemas.openxmlformats.org/officeDocument/2006/relationships/hyperlink" Target="https://drive.google.com/file/d/1rOhNsKCPvsUxQ9o7odhzh6Jyimjk9-OX/view?usp=sharing" TargetMode="External"/><Relationship Id="rId62" Type="http://schemas.openxmlformats.org/officeDocument/2006/relationships/hyperlink" Target="https://drive.google.com/file/d/1YsxHVxFO0-I17E9IwwHjZgjn-WK_1OIo/view?usp=sharing" TargetMode="External"/><Relationship Id="rId70" Type="http://schemas.openxmlformats.org/officeDocument/2006/relationships/hyperlink" Target="https://drive.google.com/file/d/11crCuaNhmZfFp0f-SFAhePDc_GSR7HGC/view?usp=sharing" TargetMode="External"/><Relationship Id="rId75" Type="http://schemas.openxmlformats.org/officeDocument/2006/relationships/hyperlink" Target="https://drive.google.com/file/d/1CeBpIl_5mjTnR3Dz5mtLmQtZlAoJHyAJ/view?usp=sharing" TargetMode="External"/><Relationship Id="rId83" Type="http://schemas.openxmlformats.org/officeDocument/2006/relationships/hyperlink" Target="https://drive.google.com/file/d/1KeKjdb_F9l2chwSPXv48hmGxKVsLP8ie/view?usp=sharing" TargetMode="External"/><Relationship Id="rId88" Type="http://schemas.openxmlformats.org/officeDocument/2006/relationships/hyperlink" Target="https://drive.google.com/file/d/1dI3WVAq3dqTF31pbI6LXd9jt3GY5eFE7/view?usp=sharing" TargetMode="External"/><Relationship Id="rId91" Type="http://schemas.openxmlformats.org/officeDocument/2006/relationships/hyperlink" Target="https://drive.google.com/file/d/1ll-xZHKu4vRAOKbYUtfP8dX-PxGO9CG2/view?usp=sharing" TargetMode="External"/><Relationship Id="rId96" Type="http://schemas.openxmlformats.org/officeDocument/2006/relationships/hyperlink" Target="https://drive.google.com/file/d/1Swok9aCrC--5BPA2j2MgWixEWg4fJTKF/view?usp=drive_link" TargetMode="External"/><Relationship Id="rId111" Type="http://schemas.openxmlformats.org/officeDocument/2006/relationships/hyperlink" Target="https://drive.google.com/file/d/1H0ddC4fqmVUKJtgWvMPzk7vD_vGL8qjx/view?usp=sharing" TargetMode="External"/><Relationship Id="rId1" Type="http://schemas.openxmlformats.org/officeDocument/2006/relationships/hyperlink" Target="https://drive.google.com/file/d/1uY62O4RgDDNtCcPWsAxjpjwZ2hkyg3vT/view?usp=sharing" TargetMode="External"/><Relationship Id="rId6" Type="http://schemas.openxmlformats.org/officeDocument/2006/relationships/hyperlink" Target="https://drive.google.com/file/d/1pz-_v90NUYNUEIsFgUf535_G53ZnxUcN/view?usp=sharing" TargetMode="External"/><Relationship Id="rId15" Type="http://schemas.openxmlformats.org/officeDocument/2006/relationships/hyperlink" Target="https://drive.google.com/file/d/1JAHckmUlTgZaiPI3L4MqYQu_0bmRk8YK/view?usp=sharing" TargetMode="External"/><Relationship Id="rId23" Type="http://schemas.openxmlformats.org/officeDocument/2006/relationships/hyperlink" Target="https://drive.google.com/file/d/1OIRc4MZRXJcWi2MCoJwnAiyLxa3d_iZl/view?usp=sharing" TargetMode="External"/><Relationship Id="rId28" Type="http://schemas.openxmlformats.org/officeDocument/2006/relationships/hyperlink" Target="https://drive.google.com/file/d/1n0m_MwSIYZDIwXk5Om5Gfo5_CUSpdvvx/view?usp=share_link" TargetMode="External"/><Relationship Id="rId36" Type="http://schemas.openxmlformats.org/officeDocument/2006/relationships/hyperlink" Target="https://drive.google.com/file/d/15yIMX1ABEDEnvrEFAFe4CfRmy8yPf0hN/view?usp=sharing" TargetMode="External"/><Relationship Id="rId49" Type="http://schemas.openxmlformats.org/officeDocument/2006/relationships/hyperlink" Target="https://drive.google.com/file/d/1UOXzWosujo-zG12cdG7ZRt9wUJZle0WP/view?usp=sharing" TargetMode="External"/><Relationship Id="rId57" Type="http://schemas.openxmlformats.org/officeDocument/2006/relationships/hyperlink" Target="https://drive.google.com/file/d/1Hx7Uwpm8zmVN2HHsAYvs68zNeEA-2vQV/view?usp=sharing" TargetMode="External"/><Relationship Id="rId106" Type="http://schemas.openxmlformats.org/officeDocument/2006/relationships/hyperlink" Target="https://drive.google.com/file/d/1NFwm9g2-XyG5Xtvy82_ZcZW6whWobxHw/view?usp=sharing" TargetMode="External"/><Relationship Id="rId114" Type="http://schemas.openxmlformats.org/officeDocument/2006/relationships/hyperlink" Target="https://drive.google.com/file/d/1PCeQELyaoCp_TiaNSmuH-E87nrc4FnVF/view?usp=sharing" TargetMode="External"/><Relationship Id="rId119" Type="http://schemas.openxmlformats.org/officeDocument/2006/relationships/hyperlink" Target="https://drive.google.com/file/d/1vJnjS9f3qcOTISzCPj7QU6r12mY5aarE/view?usp=sharing" TargetMode="External"/><Relationship Id="rId10" Type="http://schemas.openxmlformats.org/officeDocument/2006/relationships/hyperlink" Target="https://drive.google.com/file/d/17rgqAnkmA1JVl5W5uOO8D87IVH7h6REJ/view?usp=drive_link" TargetMode="External"/><Relationship Id="rId31" Type="http://schemas.openxmlformats.org/officeDocument/2006/relationships/hyperlink" Target="https://drive.google.com/file/d/1MFLS0nVZ0SgMUEfN-F6zCQC1i4DfqQDl/view?usp=sharing" TargetMode="External"/><Relationship Id="rId44" Type="http://schemas.openxmlformats.org/officeDocument/2006/relationships/hyperlink" Target="https://drive.google.com/file/d/1cvPRuBrPW6A85h_Td5vNDxdMIrXdTFjx/view?usp=sharing" TargetMode="External"/><Relationship Id="rId52" Type="http://schemas.openxmlformats.org/officeDocument/2006/relationships/hyperlink" Target="https://drive.google.com/file/d/19dVw05WnErXp28AwzUujmv7iLR0s2Us2/view?usp=share_link" TargetMode="External"/><Relationship Id="rId60" Type="http://schemas.openxmlformats.org/officeDocument/2006/relationships/hyperlink" Target="https://drive.google.com/file/d/15MnMihilHmq_Ptyy_ZPmfuKQflytOzB8/view?usp=sharing" TargetMode="External"/><Relationship Id="rId65" Type="http://schemas.openxmlformats.org/officeDocument/2006/relationships/hyperlink" Target="https://drive.google.com/file/d/1PplZEeqGh1Gspmc3pawDZuf7JXwld5iO/view?usp=sharing" TargetMode="External"/><Relationship Id="rId73" Type="http://schemas.openxmlformats.org/officeDocument/2006/relationships/hyperlink" Target="https://drive.google.com/file/d/1rx9w9oTSMT7XSkeikzjBCXwo-fVn7wEl/view?usp=sharing" TargetMode="External"/><Relationship Id="rId78" Type="http://schemas.openxmlformats.org/officeDocument/2006/relationships/hyperlink" Target="https://drive.google.com/file/d/1hs1MIoURukQ1SKfcNQa1TCKAPDMmsLDy/view?usp=sharing" TargetMode="External"/><Relationship Id="rId81" Type="http://schemas.openxmlformats.org/officeDocument/2006/relationships/hyperlink" Target="https://drive.google.com/file/d/1PBYnDGdpCyYcI5DXFTg6VAZwqtlgJNV_/view?usp=sharing" TargetMode="External"/><Relationship Id="rId86" Type="http://schemas.openxmlformats.org/officeDocument/2006/relationships/hyperlink" Target="https://drive.google.com/file/d/1200iGL7m2qbER2LnZMM66gXccmiS72Ja/view?usp=share_link" TargetMode="External"/><Relationship Id="rId94" Type="http://schemas.openxmlformats.org/officeDocument/2006/relationships/hyperlink" Target="https://drive.google.com/file/d/15_Aa_-0xGoRqplK8eiBohqGUSrQY8G_a/view?usp=sharing" TargetMode="External"/><Relationship Id="rId99" Type="http://schemas.openxmlformats.org/officeDocument/2006/relationships/hyperlink" Target="https://drive.google.com/file/d/18xnl9oSjhCbJOHvJ4-lzruDcrYwuKtNB/view?usp=sharing" TargetMode="External"/><Relationship Id="rId101" Type="http://schemas.openxmlformats.org/officeDocument/2006/relationships/hyperlink" Target="https://drive.google.com/file/d/1XtOeqbuzyBbXb5li1DnbU8K-JuOXMGdk/view?usp=sharing" TargetMode="External"/><Relationship Id="rId122" Type="http://schemas.openxmlformats.org/officeDocument/2006/relationships/hyperlink" Target="https://drive.google.com/file/d/1ko74HbvAieQMkMnCRaneAxXYWJas0JSp/view?usp=sharing" TargetMode="External"/><Relationship Id="rId4" Type="http://schemas.openxmlformats.org/officeDocument/2006/relationships/hyperlink" Target="https://drive.google.com/file/d/1DVwbvORUoBjFH7nYfyV3jXwwqYwNbJbM/view?usp=sharing" TargetMode="External"/><Relationship Id="rId9" Type="http://schemas.openxmlformats.org/officeDocument/2006/relationships/hyperlink" Target="https://drive.google.com/file/d/1gh70-5gMcou4hTUD02j6Lvx94qb_Ncqx/view?usp=sharing" TargetMode="External"/><Relationship Id="rId13" Type="http://schemas.openxmlformats.org/officeDocument/2006/relationships/hyperlink" Target="https://drive.google.com/file/d/1XUr7N51t1Sd8hoZ5j3IPgKrQ0Rbtqq7i/view?usp=sharing" TargetMode="External"/><Relationship Id="rId18" Type="http://schemas.openxmlformats.org/officeDocument/2006/relationships/hyperlink" Target="https://drive.google.com/file/d/1_RavFs6rpe9PsS-mcqZe6oEGNWG5xVvD/view?usp=sharing" TargetMode="External"/><Relationship Id="rId39" Type="http://schemas.openxmlformats.org/officeDocument/2006/relationships/hyperlink" Target="https://drive.google.com/file/d/1ayZAc1rOt-YMvgbjUY5nIcF9ffRqQcz1/view?usp=sharing" TargetMode="External"/><Relationship Id="rId109" Type="http://schemas.openxmlformats.org/officeDocument/2006/relationships/hyperlink" Target="https://drive.google.com/file/d/1GXYVsavIKCmz9T1ZHLb0bheHFXF4RFWf/view?usp=sharing" TargetMode="External"/><Relationship Id="rId34" Type="http://schemas.openxmlformats.org/officeDocument/2006/relationships/hyperlink" Target="https://drive.google.com/file/d/1HbwrPf3ed3qrnZ_NcrGSVd43lac1xOGw/view?usp=sharing" TargetMode="External"/><Relationship Id="rId50" Type="http://schemas.openxmlformats.org/officeDocument/2006/relationships/hyperlink" Target="https://drive.google.com/file/d/1UOXzWosujo-zG12cdG7ZRt9wUJZle0WP/view?usp=sharing" TargetMode="External"/><Relationship Id="rId55" Type="http://schemas.openxmlformats.org/officeDocument/2006/relationships/hyperlink" Target="https://drive.google.com/file/d/1QOkMNIBSF9Wi6HllnP1ev-g4Lqar5h6K/view?usp=sharing" TargetMode="External"/><Relationship Id="rId76" Type="http://schemas.openxmlformats.org/officeDocument/2006/relationships/hyperlink" Target="https://drive.google.com/file/d/1HbwrPf3ed3qrnZ_NcrGSVd43lac1xOGw/view?usp=sharing" TargetMode="External"/><Relationship Id="rId97" Type="http://schemas.openxmlformats.org/officeDocument/2006/relationships/hyperlink" Target="https://drive.google.com/file/d/1tg6kGS8vowB3UtOnQVyLAGefqYPbUQjL/view?usp=sharing" TargetMode="External"/><Relationship Id="rId104" Type="http://schemas.openxmlformats.org/officeDocument/2006/relationships/hyperlink" Target="https://drive.google.com/file/d/1lCaWuAMor_0bG9GuWjrHVd8c-w-3gQUS/view?usp=sharing" TargetMode="External"/><Relationship Id="rId120" Type="http://schemas.openxmlformats.org/officeDocument/2006/relationships/hyperlink" Target="https://drive.google.com/file/d/1YVqHCifUPjzBuTygaLdo3Dg3YelAZWTP/view?usp=sharing" TargetMode="External"/><Relationship Id="rId125" Type="http://schemas.openxmlformats.org/officeDocument/2006/relationships/hyperlink" Target="https://drive.google.com/file/d/1uLT9RvF0fehmbRB16YfB9KvOpbLAW2VG/view?usp=sharing" TargetMode="External"/><Relationship Id="rId7" Type="http://schemas.openxmlformats.org/officeDocument/2006/relationships/hyperlink" Target="https://drive.google.com/file/d/1L8h8VOxhLSDi1zlMb35GA32QhArxxV0t/view?usp=sharing" TargetMode="External"/><Relationship Id="rId71" Type="http://schemas.openxmlformats.org/officeDocument/2006/relationships/hyperlink" Target="https://drive.google.com/file/d/1T4HwPUhq8m7fVhiRVAIYVZlAb7yJXRJh/view?usp=sharing" TargetMode="External"/><Relationship Id="rId92" Type="http://schemas.openxmlformats.org/officeDocument/2006/relationships/hyperlink" Target="https://drive.google.com/file/d/1NMdYNK1jEEYuVPNnsCyyvXlqNYmoY_5X/view?usp=sharing" TargetMode="External"/><Relationship Id="rId2" Type="http://schemas.openxmlformats.org/officeDocument/2006/relationships/hyperlink" Target="https://drive.google.com/file/d/1WwPBrNJkRc8VKewSfIbv5reSS1EY8IxE/view?usp=sharing" TargetMode="External"/><Relationship Id="rId29" Type="http://schemas.openxmlformats.org/officeDocument/2006/relationships/hyperlink" Target="https://drive.google.com/file/d/1bFsmDUXw6TkFJf-BgtsCFF7tx0Pn1rnZ/view?usp=sharing" TargetMode="External"/><Relationship Id="rId24" Type="http://schemas.openxmlformats.org/officeDocument/2006/relationships/hyperlink" Target="https://drive.google.com/file/d/1vAUF1vrUrJhWViDn26zcg0rQwIxt0S6z/view?usp=drive_link" TargetMode="External"/><Relationship Id="rId40" Type="http://schemas.openxmlformats.org/officeDocument/2006/relationships/hyperlink" Target="https://drive.google.com/file/d/1xmOeoGFd66aYT67IGlsN0xjuV-e3Oq3V/view?usp=sharing" TargetMode="External"/><Relationship Id="rId45" Type="http://schemas.openxmlformats.org/officeDocument/2006/relationships/hyperlink" Target="https://drive.google.com/file/d/19lD86tOLhnwzsqo8WT_NKK0DBobtUYuj/view?usp=sharing" TargetMode="External"/><Relationship Id="rId66" Type="http://schemas.openxmlformats.org/officeDocument/2006/relationships/hyperlink" Target="https://drive.google.com/file/d/1PplZEeqGh1Gspmc3pawDZuf7JXwld5iO/view?usp=sharing" TargetMode="External"/><Relationship Id="rId87" Type="http://schemas.openxmlformats.org/officeDocument/2006/relationships/hyperlink" Target="https://drive.google.com/file/d/1OuuYEiVa-uiIWfhVXcFdc4MXwHwz__B4/view?usp=sharing" TargetMode="External"/><Relationship Id="rId110" Type="http://schemas.openxmlformats.org/officeDocument/2006/relationships/hyperlink" Target="https://drive.google.com/file/d/1Z4SlrtdZe_56F8jJMFTf_u1x-KVCGTYG/view?usp=sharing" TargetMode="External"/><Relationship Id="rId115" Type="http://schemas.openxmlformats.org/officeDocument/2006/relationships/hyperlink" Target="https://drive.google.com/file/d/1-ISDhaEt4yBiJ4jqIeqxuIa5zADaZuKC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AP968"/>
  <sheetViews>
    <sheetView topLeftCell="A10" workbookViewId="0"/>
  </sheetViews>
  <sheetFormatPr defaultColWidth="14.42578125" defaultRowHeight="15" customHeight="1"/>
  <cols>
    <col min="1" max="1" width="17.42578125" customWidth="1"/>
    <col min="2" max="2" width="9.42578125" customWidth="1"/>
    <col min="3" max="3" width="12.7109375" customWidth="1"/>
    <col min="4" max="6" width="13.28515625" customWidth="1"/>
    <col min="7" max="7" width="10.5703125" customWidth="1"/>
    <col min="8" max="8" width="12.85546875" customWidth="1"/>
    <col min="9" max="9" width="7" customWidth="1"/>
    <col min="10" max="10" width="10.140625" customWidth="1"/>
    <col min="11" max="11" width="7.42578125" customWidth="1"/>
    <col min="12" max="12" width="7.85546875" customWidth="1"/>
    <col min="13" max="13" width="11" customWidth="1"/>
    <col min="14" max="14" width="8.28515625" customWidth="1"/>
    <col min="15" max="15" width="12.140625" customWidth="1"/>
    <col min="16" max="16" width="23" customWidth="1"/>
    <col min="17" max="17" width="11.42578125" customWidth="1"/>
    <col min="18" max="18" width="11.28515625" customWidth="1"/>
    <col min="19" max="19" width="14.140625" customWidth="1"/>
    <col min="20" max="20" width="9" customWidth="1"/>
    <col min="21" max="21" width="8.42578125" customWidth="1"/>
    <col min="22" max="23" width="10.5703125" customWidth="1"/>
    <col min="24" max="24" width="9.85546875" customWidth="1"/>
    <col min="25" max="25" width="8" customWidth="1"/>
    <col min="26" max="26" width="14" customWidth="1"/>
    <col min="28" max="28" width="12.5703125" customWidth="1"/>
    <col min="29" max="29" width="7.5703125" customWidth="1"/>
    <col min="30" max="30" width="5.7109375" customWidth="1"/>
    <col min="31" max="31" width="6.85546875" customWidth="1"/>
    <col min="32" max="32" width="10" customWidth="1"/>
    <col min="33" max="33" width="11.5703125" customWidth="1"/>
    <col min="34" max="34" width="10.140625" customWidth="1"/>
    <col min="35" max="35" width="12.42578125" customWidth="1"/>
    <col min="36" max="36" width="14.140625" customWidth="1"/>
    <col min="37" max="37" width="12.42578125" customWidth="1"/>
    <col min="38" max="38" width="10.140625" customWidth="1"/>
    <col min="39" max="39" width="6.85546875" customWidth="1"/>
    <col min="40" max="40" width="10.85546875" customWidth="1"/>
    <col min="41" max="41" width="7.5703125" customWidth="1"/>
    <col min="42" max="42" width="6.85546875" customWidth="1"/>
  </cols>
  <sheetData>
    <row r="1" spans="1:42" ht="18.7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O1" s="2205" t="s">
        <v>1</v>
      </c>
      <c r="P1" s="2206"/>
      <c r="Q1" s="2206"/>
      <c r="R1" s="2206"/>
      <c r="S1" s="2206"/>
      <c r="T1" s="2206"/>
      <c r="U1" s="2206"/>
      <c r="V1" s="2206"/>
      <c r="W1" s="2206"/>
      <c r="X1" s="4"/>
      <c r="Y1" s="5"/>
      <c r="Z1" s="6"/>
      <c r="AA1" s="7"/>
      <c r="AB1" s="7"/>
      <c r="AC1" s="6"/>
      <c r="AD1" s="6"/>
      <c r="AE1" s="6"/>
      <c r="AF1" s="8"/>
      <c r="AG1" s="6"/>
      <c r="AH1" s="6"/>
      <c r="AI1" s="6"/>
      <c r="AJ1" s="7"/>
      <c r="AK1" s="7"/>
      <c r="AL1" s="6"/>
      <c r="AM1" s="6"/>
      <c r="AN1" s="6"/>
      <c r="AO1" s="8"/>
      <c r="AP1" s="8"/>
    </row>
    <row r="2" spans="1:42">
      <c r="A2" s="9" t="s">
        <v>2</v>
      </c>
      <c r="B2" s="10" t="s">
        <v>3</v>
      </c>
      <c r="C2" s="10" t="s">
        <v>4</v>
      </c>
      <c r="D2" s="10" t="s">
        <v>5</v>
      </c>
      <c r="E2" s="11" t="s">
        <v>6</v>
      </c>
      <c r="F2" s="10" t="s">
        <v>7</v>
      </c>
      <c r="G2" s="10" t="s">
        <v>8</v>
      </c>
      <c r="H2" s="12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N2" s="6"/>
      <c r="O2" s="6"/>
      <c r="P2" s="13"/>
      <c r="Q2" s="6"/>
      <c r="R2" s="7"/>
      <c r="S2" s="7"/>
      <c r="T2" s="6"/>
      <c r="U2" s="6"/>
      <c r="V2" s="6"/>
      <c r="W2" s="6"/>
      <c r="X2" s="5"/>
      <c r="Y2" s="5"/>
      <c r="Z2" s="6"/>
      <c r="AA2" s="7"/>
      <c r="AB2" s="7"/>
      <c r="AC2" s="6"/>
      <c r="AD2" s="6"/>
      <c r="AE2" s="6"/>
      <c r="AF2" s="14"/>
      <c r="AG2" s="6"/>
      <c r="AH2" s="6"/>
      <c r="AI2" s="6"/>
      <c r="AJ2" s="7"/>
      <c r="AK2" s="7"/>
      <c r="AL2" s="6"/>
      <c r="AM2" s="6"/>
      <c r="AN2" s="6"/>
      <c r="AO2" s="14"/>
      <c r="AP2" s="14"/>
    </row>
    <row r="3" spans="1:42" ht="22.5" customHeight="1">
      <c r="A3" s="15" t="s">
        <v>14</v>
      </c>
      <c r="B3" s="16">
        <f>COUNTIF(North!C:C,"LPM")</f>
        <v>23</v>
      </c>
      <c r="C3" s="16">
        <f>COUNTIF(South!C:C,"LPM")</f>
        <v>0</v>
      </c>
      <c r="D3" s="16">
        <f>COUNTIF(KOAA!C:C,"LPM")</f>
        <v>27</v>
      </c>
      <c r="E3" s="16">
        <f>COUNTIF(DDJ!C:C,"LPM")</f>
        <v>0</v>
      </c>
      <c r="F3" s="16">
        <f>COUNTIF(NH!C:C,"LPM")</f>
        <v>0</v>
      </c>
      <c r="G3" s="16">
        <f>COUNTIF(BT!C:C,"LPM")</f>
        <v>0</v>
      </c>
      <c r="H3" s="17">
        <f>COUNTIF(RHA!C:C,"LPM")</f>
        <v>0</v>
      </c>
      <c r="I3" s="18">
        <v>0</v>
      </c>
      <c r="J3" s="18">
        <v>0</v>
      </c>
      <c r="K3" s="18">
        <v>0</v>
      </c>
      <c r="L3" s="3">
        <f t="shared" ref="L3:L8" si="0">SUM(B3:K3)</f>
        <v>50</v>
      </c>
      <c r="N3" s="6"/>
      <c r="O3" s="19" t="s">
        <v>15</v>
      </c>
      <c r="P3" s="20" t="s">
        <v>3</v>
      </c>
      <c r="Q3" s="20" t="s">
        <v>4</v>
      </c>
      <c r="R3" s="20" t="s">
        <v>5</v>
      </c>
      <c r="S3" s="21" t="s">
        <v>16</v>
      </c>
      <c r="T3" s="20" t="s">
        <v>7</v>
      </c>
      <c r="U3" s="20" t="s">
        <v>8</v>
      </c>
      <c r="V3" s="22" t="s">
        <v>9</v>
      </c>
      <c r="W3" s="20" t="s">
        <v>17</v>
      </c>
      <c r="X3" s="23"/>
      <c r="Y3" s="24"/>
      <c r="Z3" s="25"/>
      <c r="AA3" s="26"/>
      <c r="AB3" s="27"/>
      <c r="AC3" s="28"/>
      <c r="AD3" s="8"/>
      <c r="AE3" s="8"/>
      <c r="AF3" s="29"/>
      <c r="AG3" s="30"/>
      <c r="AH3" s="25"/>
      <c r="AI3" s="25"/>
      <c r="AJ3" s="26"/>
      <c r="AK3" s="27"/>
      <c r="AL3" s="28"/>
      <c r="AM3" s="8"/>
      <c r="AN3" s="8"/>
      <c r="AO3" s="29"/>
      <c r="AP3" s="29"/>
    </row>
    <row r="4" spans="1:42" ht="22.5" customHeight="1">
      <c r="A4" s="15" t="s">
        <v>18</v>
      </c>
      <c r="B4" s="16">
        <f>COUNTIF(North!C:C,"MOTORMAN")</f>
        <v>151</v>
      </c>
      <c r="C4" s="16">
        <f>COUNTIF(South!C:C,"MOTORMAN")</f>
        <v>133</v>
      </c>
      <c r="D4" s="16">
        <f>COUNTIF(KOAA!C:C,"MOTORMAN")</f>
        <v>0</v>
      </c>
      <c r="E4" s="16">
        <f>COUNTIF(DDJ!C:C,"MOTORMAN")</f>
        <v>0</v>
      </c>
      <c r="F4" s="16">
        <f>COUNTIF(NH!C:C,"MOTORMAN")</f>
        <v>55</v>
      </c>
      <c r="G4" s="16">
        <f>COUNTIF(BT!C:C,"Motorman")</f>
        <v>49</v>
      </c>
      <c r="H4" s="17">
        <f>COUNTIF(RHA!C:C,"MOTORMAN")</f>
        <v>46</v>
      </c>
      <c r="I4" s="18">
        <v>0</v>
      </c>
      <c r="J4" s="18">
        <v>0</v>
      </c>
      <c r="K4" s="18">
        <v>0</v>
      </c>
      <c r="L4" s="3">
        <f t="shared" si="0"/>
        <v>434</v>
      </c>
      <c r="N4" s="6"/>
      <c r="O4" s="31" t="s">
        <v>14</v>
      </c>
      <c r="P4" s="32">
        <f t="shared" ref="P4:V4" si="1">SUM(B3,B19,B29)</f>
        <v>39</v>
      </c>
      <c r="Q4" s="32">
        <f t="shared" si="1"/>
        <v>0</v>
      </c>
      <c r="R4" s="32">
        <f t="shared" si="1"/>
        <v>28</v>
      </c>
      <c r="S4" s="32">
        <f t="shared" si="1"/>
        <v>0</v>
      </c>
      <c r="T4" s="32">
        <f t="shared" si="1"/>
        <v>0</v>
      </c>
      <c r="U4" s="32">
        <f t="shared" si="1"/>
        <v>0</v>
      </c>
      <c r="V4" s="32">
        <f t="shared" si="1"/>
        <v>0</v>
      </c>
      <c r="W4" s="33">
        <f t="shared" ref="W4:W10" si="2">SUM(P4:V4)</f>
        <v>67</v>
      </c>
      <c r="X4" s="34"/>
      <c r="Y4" s="24"/>
      <c r="Z4" s="14"/>
      <c r="AA4" s="14"/>
      <c r="AB4" s="34"/>
      <c r="AC4" s="14"/>
      <c r="AD4" s="14"/>
      <c r="AE4" s="14"/>
      <c r="AF4" s="29"/>
      <c r="AG4" s="34"/>
      <c r="AH4" s="34"/>
      <c r="AI4" s="34"/>
      <c r="AJ4" s="34"/>
      <c r="AK4" s="34"/>
      <c r="AL4" s="34"/>
      <c r="AM4" s="34"/>
      <c r="AN4" s="34"/>
      <c r="AO4" s="29"/>
      <c r="AP4" s="29"/>
    </row>
    <row r="5" spans="1:42" ht="22.5" customHeight="1">
      <c r="A5" s="15" t="s">
        <v>19</v>
      </c>
      <c r="B5" s="16">
        <f>COUNTIF(North!C:C,"LPP(Loco)")</f>
        <v>11</v>
      </c>
      <c r="C5" s="16">
        <f>COUNTIF(South!C:C,"LPP(Loco)")</f>
        <v>0</v>
      </c>
      <c r="D5" s="35">
        <f>COUNTIF(KOAA!C:C,"LPP(Loco)")</f>
        <v>0</v>
      </c>
      <c r="E5" s="16">
        <f>COUNTIF(DDJ!C:C,"LPP(Loco)")</f>
        <v>0</v>
      </c>
      <c r="F5" s="16">
        <f>COUNTIF(NH!C:C,"LPP(Loco)")</f>
        <v>0</v>
      </c>
      <c r="G5" s="16">
        <f>COUNTIF(BT!C:C,"LPP(Loco)")</f>
        <v>0</v>
      </c>
      <c r="H5" s="17">
        <f>COUNTIF(RHA!C:C,"LPP(LOCO)")</f>
        <v>0</v>
      </c>
      <c r="I5" s="18">
        <v>0</v>
      </c>
      <c r="J5" s="18">
        <v>0</v>
      </c>
      <c r="K5" s="18">
        <v>0</v>
      </c>
      <c r="L5" s="3">
        <f t="shared" si="0"/>
        <v>11</v>
      </c>
      <c r="N5" s="6"/>
      <c r="O5" s="31" t="s">
        <v>18</v>
      </c>
      <c r="P5" s="32">
        <f t="shared" ref="P5:V5" si="3">SUM(B4,B20,B30)</f>
        <v>160</v>
      </c>
      <c r="Q5" s="32">
        <f t="shared" si="3"/>
        <v>145</v>
      </c>
      <c r="R5" s="32">
        <f t="shared" si="3"/>
        <v>0</v>
      </c>
      <c r="S5" s="32">
        <f t="shared" si="3"/>
        <v>0</v>
      </c>
      <c r="T5" s="32">
        <f t="shared" si="3"/>
        <v>56</v>
      </c>
      <c r="U5" s="32">
        <f t="shared" si="3"/>
        <v>49</v>
      </c>
      <c r="V5" s="32">
        <f t="shared" si="3"/>
        <v>48</v>
      </c>
      <c r="W5" s="33">
        <f t="shared" si="2"/>
        <v>458</v>
      </c>
      <c r="X5" s="34"/>
      <c r="Y5" s="36"/>
      <c r="Z5" s="14"/>
      <c r="AA5" s="37"/>
      <c r="AB5" s="37"/>
      <c r="AC5" s="37"/>
      <c r="AD5" s="37"/>
      <c r="AE5" s="37"/>
      <c r="AF5" s="29"/>
      <c r="AG5" s="38"/>
      <c r="AH5" s="37"/>
      <c r="AI5" s="37"/>
      <c r="AJ5" s="37"/>
      <c r="AK5" s="37"/>
      <c r="AL5" s="37"/>
      <c r="AM5" s="37"/>
      <c r="AN5" s="37"/>
      <c r="AO5" s="29"/>
      <c r="AP5" s="29"/>
    </row>
    <row r="6" spans="1:42" ht="22.5" customHeight="1">
      <c r="A6" s="15" t="s">
        <v>20</v>
      </c>
      <c r="B6" s="16">
        <f>COUNTIF(North!C:C,"LPG")</f>
        <v>19</v>
      </c>
      <c r="C6" s="16">
        <f>COUNTIF(South!C:C,"LPG")</f>
        <v>5</v>
      </c>
      <c r="D6" s="16">
        <f>COUNTIF(KOAA!C:C,"LPG")</f>
        <v>0</v>
      </c>
      <c r="E6" s="16">
        <f>COUNTIF(DDJ!C:C,"LPG")</f>
        <v>65</v>
      </c>
      <c r="F6" s="16">
        <f>COUNTIF(NH!C:C,"LPG")</f>
        <v>12</v>
      </c>
      <c r="G6" s="16">
        <f>COUNTIF(BT!C:C,"LPG")</f>
        <v>7</v>
      </c>
      <c r="H6" s="17">
        <f>COUNTIF(RHA!C:C,"LPG")</f>
        <v>28</v>
      </c>
      <c r="I6" s="18">
        <v>0</v>
      </c>
      <c r="J6" s="18">
        <v>0</v>
      </c>
      <c r="K6" s="18">
        <v>0</v>
      </c>
      <c r="L6" s="3">
        <f t="shared" si="0"/>
        <v>136</v>
      </c>
      <c r="N6" s="6"/>
      <c r="O6" s="31" t="s">
        <v>19</v>
      </c>
      <c r="P6" s="32">
        <f t="shared" ref="P6:V6" si="4">SUM(B5,B21,B31)</f>
        <v>14</v>
      </c>
      <c r="Q6" s="32">
        <f t="shared" si="4"/>
        <v>0</v>
      </c>
      <c r="R6" s="32">
        <f t="shared" si="4"/>
        <v>0</v>
      </c>
      <c r="S6" s="32">
        <f t="shared" si="4"/>
        <v>0</v>
      </c>
      <c r="T6" s="32">
        <f t="shared" si="4"/>
        <v>0</v>
      </c>
      <c r="U6" s="32">
        <f t="shared" si="4"/>
        <v>0</v>
      </c>
      <c r="V6" s="32">
        <f t="shared" si="4"/>
        <v>0</v>
      </c>
      <c r="W6" s="33">
        <f t="shared" si="2"/>
        <v>14</v>
      </c>
      <c r="X6" s="34"/>
      <c r="Y6" s="36"/>
      <c r="Z6" s="14"/>
      <c r="AA6" s="37"/>
      <c r="AB6" s="37"/>
      <c r="AC6" s="37"/>
      <c r="AD6" s="37"/>
      <c r="AE6" s="37"/>
      <c r="AF6" s="29"/>
      <c r="AG6" s="38"/>
      <c r="AH6" s="37"/>
      <c r="AI6" s="37"/>
      <c r="AJ6" s="37"/>
      <c r="AK6" s="37"/>
      <c r="AL6" s="37"/>
      <c r="AM6" s="37"/>
      <c r="AN6" s="37"/>
      <c r="AO6" s="29"/>
      <c r="AP6" s="29"/>
    </row>
    <row r="7" spans="1:42" ht="22.5" customHeight="1">
      <c r="A7" s="15" t="s">
        <v>21</v>
      </c>
      <c r="B7" s="16">
        <f>COUNTIF(North!C:C,"LPS")</f>
        <v>56</v>
      </c>
      <c r="C7" s="16">
        <f>COUNTIF(South!C:C,"LPS")</f>
        <v>24</v>
      </c>
      <c r="D7" s="16">
        <f>COUNTIF(KOAA!C:C,"LPS")</f>
        <v>25</v>
      </c>
      <c r="E7" s="16">
        <f>COUNTIF(DDJ!C:C,"LPS")</f>
        <v>10</v>
      </c>
      <c r="F7" s="16">
        <f>COUNTIF(NH!C:C,"LPS")</f>
        <v>13</v>
      </c>
      <c r="G7" s="39">
        <f>COUNTIF(BT!C:C,"LPS")</f>
        <v>11</v>
      </c>
      <c r="H7" s="17">
        <f>COUNTIF(RHA!C:C,"LPS")</f>
        <v>17</v>
      </c>
      <c r="I7" s="18">
        <v>0</v>
      </c>
      <c r="J7" s="18">
        <v>0</v>
      </c>
      <c r="K7" s="18">
        <v>0</v>
      </c>
      <c r="L7" s="3">
        <f t="shared" si="0"/>
        <v>156</v>
      </c>
      <c r="N7" s="6"/>
      <c r="O7" s="31" t="s">
        <v>20</v>
      </c>
      <c r="P7" s="32">
        <f t="shared" ref="P7:V7" si="5">SUM(B6,B22,B32)</f>
        <v>21</v>
      </c>
      <c r="Q7" s="32">
        <f t="shared" si="5"/>
        <v>6</v>
      </c>
      <c r="R7" s="32">
        <f t="shared" si="5"/>
        <v>0</v>
      </c>
      <c r="S7" s="32">
        <f t="shared" si="5"/>
        <v>165</v>
      </c>
      <c r="T7" s="32">
        <f t="shared" si="5"/>
        <v>45</v>
      </c>
      <c r="U7" s="32">
        <f t="shared" si="5"/>
        <v>9</v>
      </c>
      <c r="V7" s="32">
        <f t="shared" si="5"/>
        <v>47</v>
      </c>
      <c r="W7" s="33">
        <f t="shared" si="2"/>
        <v>293</v>
      </c>
      <c r="X7" s="34"/>
      <c r="Y7" s="36"/>
      <c r="Z7" s="14"/>
      <c r="AA7" s="37"/>
      <c r="AB7" s="37"/>
      <c r="AC7" s="37"/>
      <c r="AD7" s="37"/>
      <c r="AE7" s="37"/>
      <c r="AF7" s="29"/>
      <c r="AG7" s="38"/>
      <c r="AH7" s="37"/>
      <c r="AI7" s="37"/>
      <c r="AJ7" s="37"/>
      <c r="AK7" s="37"/>
      <c r="AL7" s="37"/>
      <c r="AM7" s="37"/>
      <c r="AN7" s="37"/>
      <c r="AO7" s="29"/>
      <c r="AP7" s="29"/>
    </row>
    <row r="8" spans="1:42" ht="22.5" customHeight="1">
      <c r="A8" s="15" t="s">
        <v>22</v>
      </c>
      <c r="B8" s="16">
        <f>COUNTIF(North!C:C,"ALP")</f>
        <v>62</v>
      </c>
      <c r="C8" s="16">
        <f>COUNTIF(South!C:C,"ALP")</f>
        <v>0</v>
      </c>
      <c r="D8" s="16">
        <f>COUNTIF(KOAA!C:C,"ALP")</f>
        <v>16</v>
      </c>
      <c r="E8" s="16">
        <f>COUNTIF(DDJ!C:C,"ALP")</f>
        <v>78</v>
      </c>
      <c r="F8" s="16">
        <f>COUNTIF(NH!C:C,"ALP")</f>
        <v>30</v>
      </c>
      <c r="G8" s="16">
        <f>COUNTIF(BT!C:C,"ALP")</f>
        <v>0</v>
      </c>
      <c r="H8" s="17">
        <f>COUNTIF(RHA!C:C,"ALP")</f>
        <v>24</v>
      </c>
      <c r="I8" s="18">
        <v>0</v>
      </c>
      <c r="J8" s="18">
        <v>0</v>
      </c>
      <c r="K8" s="18">
        <v>0</v>
      </c>
      <c r="L8" s="3">
        <f t="shared" si="0"/>
        <v>210</v>
      </c>
      <c r="N8" s="6"/>
      <c r="O8" s="31" t="s">
        <v>21</v>
      </c>
      <c r="P8" s="32">
        <f t="shared" ref="P8:V8" si="6">SUM(B7,B23,B33)</f>
        <v>65</v>
      </c>
      <c r="Q8" s="32">
        <f t="shared" si="6"/>
        <v>26</v>
      </c>
      <c r="R8" s="32">
        <f t="shared" si="6"/>
        <v>37</v>
      </c>
      <c r="S8" s="32">
        <f t="shared" si="6"/>
        <v>16</v>
      </c>
      <c r="T8" s="32">
        <f t="shared" si="6"/>
        <v>26</v>
      </c>
      <c r="U8" s="32">
        <f t="shared" si="6"/>
        <v>15</v>
      </c>
      <c r="V8" s="32">
        <f t="shared" si="6"/>
        <v>26</v>
      </c>
      <c r="W8" s="33">
        <f t="shared" si="2"/>
        <v>211</v>
      </c>
      <c r="X8" s="34"/>
      <c r="Y8" s="36"/>
      <c r="Z8" s="14"/>
      <c r="AA8" s="37"/>
      <c r="AB8" s="37"/>
      <c r="AC8" s="37"/>
      <c r="AD8" s="37"/>
      <c r="AE8" s="37"/>
      <c r="AF8" s="29"/>
      <c r="AG8" s="38"/>
      <c r="AH8" s="37"/>
      <c r="AI8" s="37"/>
      <c r="AJ8" s="37"/>
      <c r="AK8" s="37"/>
      <c r="AL8" s="37"/>
      <c r="AM8" s="37"/>
      <c r="AN8" s="37"/>
      <c r="AO8" s="29"/>
      <c r="AP8" s="29"/>
    </row>
    <row r="9" spans="1:42" ht="22.5" customHeight="1">
      <c r="A9" s="40" t="s">
        <v>17</v>
      </c>
      <c r="B9" s="41">
        <f t="shared" ref="B9:L9" si="7">SUM(B3:B8)</f>
        <v>322</v>
      </c>
      <c r="C9" s="41">
        <f t="shared" si="7"/>
        <v>162</v>
      </c>
      <c r="D9" s="41">
        <f t="shared" si="7"/>
        <v>68</v>
      </c>
      <c r="E9" s="41">
        <f t="shared" si="7"/>
        <v>153</v>
      </c>
      <c r="F9" s="41">
        <f t="shared" si="7"/>
        <v>110</v>
      </c>
      <c r="G9" s="41">
        <f t="shared" si="7"/>
        <v>67</v>
      </c>
      <c r="H9" s="41">
        <f t="shared" si="7"/>
        <v>115</v>
      </c>
      <c r="I9" s="41">
        <f t="shared" si="7"/>
        <v>0</v>
      </c>
      <c r="J9" s="41">
        <f t="shared" si="7"/>
        <v>0</v>
      </c>
      <c r="K9" s="41">
        <f t="shared" si="7"/>
        <v>0</v>
      </c>
      <c r="L9" s="41">
        <f t="shared" si="7"/>
        <v>997</v>
      </c>
      <c r="N9" s="6"/>
      <c r="O9" s="31" t="s">
        <v>22</v>
      </c>
      <c r="P9" s="32">
        <f t="shared" ref="P9:V9" si="8">SUM(B8,B24,B34)</f>
        <v>88</v>
      </c>
      <c r="Q9" s="32">
        <f t="shared" si="8"/>
        <v>0</v>
      </c>
      <c r="R9" s="32">
        <f t="shared" si="8"/>
        <v>32</v>
      </c>
      <c r="S9" s="32">
        <f t="shared" si="8"/>
        <v>127</v>
      </c>
      <c r="T9" s="32">
        <f t="shared" si="8"/>
        <v>45</v>
      </c>
      <c r="U9" s="32">
        <f t="shared" si="8"/>
        <v>0</v>
      </c>
      <c r="V9" s="32">
        <f t="shared" si="8"/>
        <v>45</v>
      </c>
      <c r="W9" s="33">
        <f t="shared" si="2"/>
        <v>337</v>
      </c>
      <c r="X9" s="34"/>
      <c r="Y9" s="36"/>
      <c r="Z9" s="14"/>
      <c r="AA9" s="37"/>
      <c r="AB9" s="37"/>
      <c r="AC9" s="37"/>
      <c r="AD9" s="37"/>
      <c r="AE9" s="37"/>
      <c r="AF9" s="42"/>
      <c r="AG9" s="38"/>
      <c r="AH9" s="37"/>
      <c r="AI9" s="37"/>
      <c r="AJ9" s="37"/>
      <c r="AK9" s="37"/>
      <c r="AL9" s="37"/>
      <c r="AM9" s="37"/>
      <c r="AN9" s="37"/>
      <c r="AO9" s="42"/>
      <c r="AP9" s="42"/>
    </row>
    <row r="10" spans="1:42" ht="22.5" customHeight="1">
      <c r="A10" s="43" t="s">
        <v>23</v>
      </c>
      <c r="B10" s="3">
        <f>COUNTIF(SUPV!F:F,"CLI")</f>
        <v>36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3">
        <f t="shared" ref="L10:L13" si="9">SUM(B10:K10)</f>
        <v>36</v>
      </c>
      <c r="N10" s="6"/>
      <c r="O10" s="44" t="s">
        <v>17</v>
      </c>
      <c r="P10" s="45">
        <f t="shared" ref="P10:V10" si="10">SUM(B9,B25,B35)</f>
        <v>387</v>
      </c>
      <c r="Q10" s="45">
        <f t="shared" si="10"/>
        <v>177</v>
      </c>
      <c r="R10" s="45">
        <f t="shared" si="10"/>
        <v>97</v>
      </c>
      <c r="S10" s="45">
        <f t="shared" si="10"/>
        <v>308</v>
      </c>
      <c r="T10" s="45">
        <f t="shared" si="10"/>
        <v>172</v>
      </c>
      <c r="U10" s="45">
        <f t="shared" si="10"/>
        <v>73</v>
      </c>
      <c r="V10" s="45">
        <f t="shared" si="10"/>
        <v>166</v>
      </c>
      <c r="W10" s="46">
        <f t="shared" si="2"/>
        <v>1380</v>
      </c>
      <c r="X10" s="34"/>
      <c r="Y10" s="36"/>
      <c r="Z10" s="14"/>
      <c r="AA10" s="37"/>
      <c r="AB10" s="37"/>
      <c r="AC10" s="37"/>
      <c r="AD10" s="37"/>
      <c r="AE10" s="37"/>
      <c r="AF10" s="6"/>
      <c r="AG10" s="38"/>
      <c r="AH10" s="37"/>
      <c r="AI10" s="37"/>
      <c r="AJ10" s="37"/>
      <c r="AK10" s="37"/>
      <c r="AL10" s="37"/>
      <c r="AM10" s="37"/>
      <c r="AN10" s="37"/>
      <c r="AO10" s="6"/>
      <c r="AP10" s="6"/>
    </row>
    <row r="11" spans="1:42" ht="13.5" customHeight="1">
      <c r="A11" s="47" t="s">
        <v>24</v>
      </c>
      <c r="B11" s="3">
        <f>COUNTIF(SUPV!I:I,"CC(R) NORTH")</f>
        <v>12</v>
      </c>
      <c r="C11" s="48">
        <f>COUNTIF(SUPV!I:I,"CC(R) SOUTH")</f>
        <v>3</v>
      </c>
      <c r="D11" s="48">
        <f>COUNTIF(SUPV!I:I,"CC(R) KOAA")</f>
        <v>2</v>
      </c>
      <c r="E11" s="48">
        <f>COUNTIF(SUPV!I:I,"CC(R) DDJ")</f>
        <v>6</v>
      </c>
      <c r="F11" s="48">
        <f>COUNTIF(SUPV!I:I,"CC(R) NH")</f>
        <v>4</v>
      </c>
      <c r="G11" s="48">
        <f>COUNTIF(SUPV!I:I,"CC(R) BT")</f>
        <v>5</v>
      </c>
      <c r="H11" s="3">
        <f>COUNTIF(SUPV!I:I,"CC(R) RHA")</f>
        <v>4</v>
      </c>
      <c r="I11" s="18">
        <v>0</v>
      </c>
      <c r="J11" s="18">
        <v>0</v>
      </c>
      <c r="K11" s="18">
        <v>0</v>
      </c>
      <c r="L11" s="3">
        <f t="shared" si="9"/>
        <v>36</v>
      </c>
      <c r="N11" s="6"/>
      <c r="O11" s="49"/>
      <c r="P11" s="50"/>
      <c r="Q11" s="50"/>
      <c r="R11" s="50"/>
      <c r="S11" s="50"/>
      <c r="T11" s="50"/>
      <c r="U11" s="50"/>
      <c r="V11" s="37"/>
      <c r="W11" s="6"/>
      <c r="X11" s="7"/>
      <c r="Y11" s="50"/>
      <c r="Z11" s="50"/>
      <c r="AA11" s="50"/>
      <c r="AB11" s="50"/>
      <c r="AC11" s="50"/>
      <c r="AD11" s="50"/>
      <c r="AE11" s="37"/>
      <c r="AF11" s="6"/>
      <c r="AG11" s="51"/>
      <c r="AH11" s="50"/>
      <c r="AI11" s="50"/>
      <c r="AJ11" s="50"/>
      <c r="AK11" s="50"/>
      <c r="AL11" s="50"/>
      <c r="AM11" s="50"/>
      <c r="AN11" s="37"/>
      <c r="AO11" s="6"/>
      <c r="AP11" s="6"/>
    </row>
    <row r="12" spans="1:42">
      <c r="A12" s="47" t="s">
        <v>25</v>
      </c>
      <c r="B12" s="3">
        <f>COUNTIFS(Ministerial!H:H,"CC(R) NORTH")</f>
        <v>10</v>
      </c>
      <c r="C12" s="48">
        <f>COUNTIFS(Ministerial!H:H,"CC(R) SOUTH")</f>
        <v>0</v>
      </c>
      <c r="D12" s="48">
        <f>COUNTIFS(Ministerial!H:H,"CC(R) KOAA")</f>
        <v>0</v>
      </c>
      <c r="E12" s="48">
        <f>COUNTIFS(Ministerial!H:H,"CC(R) DDJ")</f>
        <v>8</v>
      </c>
      <c r="F12" s="48">
        <f>COUNTIFS(Ministerial!H:H,"CC(R) NH")</f>
        <v>2</v>
      </c>
      <c r="G12" s="48">
        <f>COUNTIFS(Ministerial!H:H,"CC(R) BT")</f>
        <v>0</v>
      </c>
      <c r="H12" s="52">
        <f>COUNTIFS(Ministerial!H:H,"CC(R) RHA")</f>
        <v>0</v>
      </c>
      <c r="I12" s="18">
        <v>0</v>
      </c>
      <c r="J12" s="53">
        <f>COUNTIF(Ministerial!H:H,"CP")</f>
        <v>0</v>
      </c>
      <c r="K12" s="3">
        <f>COUNTIF(Ministerial!H:H,"HQ")</f>
        <v>14</v>
      </c>
      <c r="L12" s="3">
        <f t="shared" si="9"/>
        <v>34</v>
      </c>
      <c r="N12" s="6"/>
      <c r="O12" s="54"/>
      <c r="P12" s="5"/>
      <c r="Q12" s="5"/>
      <c r="R12" s="5"/>
      <c r="S12" s="5"/>
      <c r="T12" s="5"/>
      <c r="U12" s="5"/>
      <c r="V12" s="5"/>
      <c r="W12" s="6"/>
      <c r="X12" s="55"/>
      <c r="Y12" s="5"/>
      <c r="Z12" s="5"/>
      <c r="AA12" s="5"/>
      <c r="AB12" s="5"/>
      <c r="AC12" s="5"/>
      <c r="AD12" s="5"/>
      <c r="AE12" s="5"/>
      <c r="AF12" s="6"/>
      <c r="AG12" s="51"/>
      <c r="AH12" s="5"/>
      <c r="AI12" s="5"/>
      <c r="AJ12" s="5"/>
      <c r="AK12" s="5"/>
      <c r="AL12" s="5"/>
      <c r="AM12" s="5"/>
      <c r="AN12" s="5"/>
      <c r="AO12" s="6"/>
      <c r="AP12" s="6"/>
    </row>
    <row r="13" spans="1:42" ht="18.75">
      <c r="A13" s="43" t="s">
        <v>26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3">
        <f>COUNTIF('Trip Shed'!E:E,"CP")</f>
        <v>31</v>
      </c>
      <c r="J13" s="48">
        <f>COUNTIF('Trip Shed'!E:E,"NKG")</f>
        <v>45</v>
      </c>
      <c r="K13" s="18">
        <v>0</v>
      </c>
      <c r="L13" s="3">
        <f t="shared" si="9"/>
        <v>76</v>
      </c>
      <c r="N13" s="6"/>
      <c r="O13" s="56"/>
      <c r="P13" s="57"/>
      <c r="Q13" s="57"/>
      <c r="R13" s="57"/>
      <c r="S13" s="57"/>
      <c r="T13" s="57"/>
      <c r="U13" s="58"/>
      <c r="V13" s="57"/>
      <c r="X13" s="6"/>
      <c r="Y13" s="5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18.75">
      <c r="A14" s="43" t="s">
        <v>27</v>
      </c>
      <c r="B14" s="3">
        <f t="shared" ref="B14:L14" si="11">SUM(B9:B13)</f>
        <v>380</v>
      </c>
      <c r="C14" s="3">
        <f t="shared" si="11"/>
        <v>165</v>
      </c>
      <c r="D14" s="3">
        <f t="shared" si="11"/>
        <v>70</v>
      </c>
      <c r="E14" s="3">
        <f t="shared" si="11"/>
        <v>167</v>
      </c>
      <c r="F14" s="3">
        <f t="shared" si="11"/>
        <v>116</v>
      </c>
      <c r="G14" s="3">
        <f t="shared" si="11"/>
        <v>72</v>
      </c>
      <c r="H14" s="3">
        <f t="shared" si="11"/>
        <v>119</v>
      </c>
      <c r="I14" s="3">
        <f t="shared" si="11"/>
        <v>31</v>
      </c>
      <c r="J14" s="3">
        <f t="shared" si="11"/>
        <v>45</v>
      </c>
      <c r="K14" s="3">
        <f t="shared" si="11"/>
        <v>14</v>
      </c>
      <c r="L14" s="59">
        <f t="shared" si="11"/>
        <v>1179</v>
      </c>
      <c r="N14" s="6"/>
      <c r="O14" s="60"/>
      <c r="P14" s="61"/>
      <c r="Q14" s="62"/>
      <c r="R14" s="61"/>
      <c r="S14" s="61"/>
      <c r="T14" s="61"/>
      <c r="U14" s="61"/>
      <c r="V14" s="62"/>
      <c r="X14" s="63"/>
      <c r="Y14" s="5"/>
      <c r="Z14" s="6"/>
      <c r="AA14" s="7"/>
      <c r="AB14" s="7"/>
      <c r="AC14" s="6"/>
      <c r="AD14" s="6"/>
      <c r="AE14" s="6"/>
      <c r="AF14" s="6"/>
      <c r="AG14" s="64"/>
      <c r="AH14" s="6"/>
      <c r="AI14" s="6"/>
      <c r="AJ14" s="7"/>
      <c r="AK14" s="7"/>
      <c r="AL14" s="6"/>
      <c r="AM14" s="6"/>
      <c r="AN14" s="6"/>
      <c r="AO14" s="6"/>
      <c r="AP14" s="6"/>
    </row>
    <row r="15" spans="1:42" ht="26.25" customHeight="1">
      <c r="A15" s="2207" t="s">
        <v>28</v>
      </c>
      <c r="B15" s="2208"/>
      <c r="C15" s="2208"/>
      <c r="D15" s="2208"/>
      <c r="E15" s="2208"/>
      <c r="F15" s="2208"/>
      <c r="G15" s="2208"/>
      <c r="H15" s="2208"/>
      <c r="I15" s="2208"/>
      <c r="J15" s="2208"/>
      <c r="K15" s="2208"/>
      <c r="L15" s="2209"/>
      <c r="M15" s="65"/>
      <c r="N15" s="6"/>
      <c r="O15" s="66" t="s">
        <v>29</v>
      </c>
      <c r="P15" s="67" t="s">
        <v>14</v>
      </c>
      <c r="Q15" s="68" t="s">
        <v>30</v>
      </c>
      <c r="R15" s="67" t="s">
        <v>31</v>
      </c>
      <c r="S15" s="67" t="s">
        <v>20</v>
      </c>
      <c r="T15" s="67" t="s">
        <v>21</v>
      </c>
      <c r="U15" s="67" t="s">
        <v>22</v>
      </c>
      <c r="V15" s="69" t="s">
        <v>17</v>
      </c>
      <c r="AA15" s="26"/>
      <c r="AB15" s="27"/>
      <c r="AC15" s="28"/>
      <c r="AD15" s="8"/>
      <c r="AE15" s="8"/>
      <c r="AF15" s="6"/>
      <c r="AG15" s="23"/>
      <c r="AH15" s="24"/>
      <c r="AI15" s="24"/>
      <c r="AJ15" s="70"/>
      <c r="AK15" s="71"/>
      <c r="AL15" s="72"/>
      <c r="AM15" s="23"/>
      <c r="AN15" s="23"/>
      <c r="AO15" s="6"/>
      <c r="AP15" s="6"/>
    </row>
    <row r="16" spans="1:42" ht="22.5" customHeight="1">
      <c r="N16" s="6"/>
      <c r="O16" s="73" t="s">
        <v>32</v>
      </c>
      <c r="P16" s="74">
        <f>SUM(COUNTIFS(North!C:C,"lpm",North!F:F,"F"),COUNTIFS(CONV!C:C,"lpm",CONV!F:F,"f"))</f>
        <v>0</v>
      </c>
      <c r="Q16" s="75">
        <f>SUM(COUNTIFS(North!C:C,"lpP(LOCO)",North!F:F,"F"),COUNTIFS(CONV!C:C,"LPP(Loco)",CONV!F:F,"f"))</f>
        <v>0</v>
      </c>
      <c r="R16" s="75">
        <f>SUM(COUNTIFS(North!C:C,"MOTORMAN",North!F:F,"F"),COUNTIFS(CONV!C:C,"motorman",CONV!K:K,"CC(R) north",CONV!F:F,"F"))</f>
        <v>6</v>
      </c>
      <c r="S16" s="75">
        <f>SUM(COUNTIFS(North!C:C,"lpg",North!F:F,"F"),COUNTIFS(CONV!C:C,"lpg",CONV!K:K,"CC(R) north",CONV!F:F,"F"))</f>
        <v>0</v>
      </c>
      <c r="T16" s="75">
        <f>SUM(COUNTIFS(North!C:C,"LPS",North!F:F,"F"),COUNTIFS(CONV!C:C,"lps",CONV!K:K,"cc(r) north",CONV!F:F,"f"))</f>
        <v>6</v>
      </c>
      <c r="U16" s="75">
        <f>SUM(COUNTIFS(North!C:C,"alp",North!F:F,"F"),COUNTIFS(CONV!C:C,"alp",CONV!K:K,"cc(r) north",CONV!F:F,"f"))</f>
        <v>6</v>
      </c>
      <c r="V16" s="76">
        <f t="shared" ref="V16:V22" si="12">SUM(P16:U16)</f>
        <v>18</v>
      </c>
      <c r="AA16" s="34"/>
      <c r="AB16" s="34"/>
      <c r="AC16" s="34"/>
      <c r="AD16" s="34"/>
      <c r="AE16" s="34"/>
      <c r="AF16" s="6"/>
      <c r="AG16" s="34"/>
      <c r="AH16" s="34"/>
      <c r="AI16" s="34"/>
      <c r="AJ16" s="34"/>
      <c r="AK16" s="34"/>
      <c r="AL16" s="34"/>
      <c r="AM16" s="34"/>
      <c r="AN16" s="34"/>
      <c r="AO16" s="6"/>
      <c r="AP16" s="6"/>
    </row>
    <row r="17" spans="1:42" ht="22.5" customHeight="1">
      <c r="A17" s="1" t="s">
        <v>33</v>
      </c>
      <c r="B17" s="77" t="s">
        <v>34</v>
      </c>
      <c r="C17" s="78"/>
      <c r="D17" s="79"/>
      <c r="E17" s="3"/>
      <c r="F17" s="79"/>
      <c r="G17" s="3"/>
      <c r="H17" s="3"/>
      <c r="I17" s="79"/>
      <c r="N17" s="6"/>
      <c r="O17" s="73" t="s">
        <v>35</v>
      </c>
      <c r="P17" s="75">
        <f>SUM(COUNTIFS(South!C:C,"lpm",South!F:F,"F"),COUNTIFS(CONV!C:C,"lpm",CONV!F:F,"f"))</f>
        <v>0</v>
      </c>
      <c r="Q17" s="75">
        <f>SUM(COUNTIFS(South!C:C,"lpP(LOCO)",South!F:F,"F"),COUNTIFS(CONV!C:C,"LPP(Loco)",CONV!F:F,"f"))</f>
        <v>0</v>
      </c>
      <c r="R17" s="75">
        <f>SUM(COUNTIFS(South!C:C,"MOTORMAN",South!F:F,"F"),COUNTIFS(CONV!C:C,"motorman",CONV!K:K,"CC(R) SOUTH",CONV!F:F,"F"))</f>
        <v>6</v>
      </c>
      <c r="S17" s="75">
        <f>SUM(COUNTIFS(South!C:C,"lpg",South!F:F,"F"),COUNTIFS(CONV!C:C,"lpg",CONV!K:K,"CC(R) SOUTH",CONV!F:F,"F"))</f>
        <v>0</v>
      </c>
      <c r="T17" s="75">
        <f>SUM(COUNTIFS(South!C:C,"LPS",South!F:F,"F"),COUNTIFS(CONV!C:C,"lps",CONV!K:K,"cc(r) south",CONV!F:F,"f"))</f>
        <v>2</v>
      </c>
      <c r="U17" s="75">
        <f>SUM(COUNTIFS(South!C:C,"alp",South!F:F,"F"),COUNTIFS(CONV!C:C,"alp",CONV!K:K,"cc(r) south",CONV!F:F,"f"))</f>
        <v>0</v>
      </c>
      <c r="V17" s="76">
        <f t="shared" si="12"/>
        <v>8</v>
      </c>
      <c r="AA17" s="80"/>
      <c r="AB17" s="80"/>
      <c r="AC17" s="80"/>
      <c r="AD17" s="80"/>
      <c r="AE17" s="37"/>
      <c r="AF17" s="6"/>
      <c r="AG17" s="34"/>
      <c r="AH17" s="80"/>
      <c r="AI17" s="80"/>
      <c r="AJ17" s="80"/>
      <c r="AK17" s="80"/>
      <c r="AL17" s="80"/>
      <c r="AM17" s="80"/>
      <c r="AN17" s="37"/>
      <c r="AO17" s="6"/>
      <c r="AP17" s="6"/>
    </row>
    <row r="18" spans="1:42" ht="22.5" customHeight="1">
      <c r="A18" s="81"/>
      <c r="B18" s="10" t="s">
        <v>3</v>
      </c>
      <c r="C18" s="10" t="s">
        <v>4</v>
      </c>
      <c r="D18" s="10" t="s">
        <v>5</v>
      </c>
      <c r="E18" s="11" t="s">
        <v>16</v>
      </c>
      <c r="F18" s="10" t="s">
        <v>7</v>
      </c>
      <c r="G18" s="10" t="s">
        <v>8</v>
      </c>
      <c r="H18" s="12" t="s">
        <v>9</v>
      </c>
      <c r="I18" s="10" t="s">
        <v>17</v>
      </c>
      <c r="N18" s="6"/>
      <c r="O18" s="73" t="s">
        <v>5</v>
      </c>
      <c r="P18" s="75">
        <f>SUM(COUNTIFS(KOAA!C:C,"lpm",KOAA!F:F,"F"),COUNTIFS(CONV!C:C,"lpm",CONV!F:F,"f"))</f>
        <v>0</v>
      </c>
      <c r="Q18" s="75">
        <f>SUM(COUNTIFS(South!C:C,"lpP(LOCO)",South!F:F,"F"),COUNTIFS(CONV!C:C,"LPP(Loco)",CONV!F:F,"f"))</f>
        <v>0</v>
      </c>
      <c r="R18" s="75">
        <f>SUM(COUNTIFS(KOAA!C:C,"MOTORMAN",KOAA!F:F,"F"),COUNTIFS(CONV!C:C,"motorman",CONV!F:F,"f"))</f>
        <v>0</v>
      </c>
      <c r="S18" s="75">
        <f>SUM(COUNTIFS(KOAA!C:C,"lpg",KOAA!F:F,"F"),COUNTIFS(CONV!C:C,"lpg",CONV!K:K,"CC(R) koaa",CONV!F:F,"F"))</f>
        <v>0</v>
      </c>
      <c r="T18" s="75">
        <f>SUM(COUNTIFS(KOAA!C:C,"LPS",KOAA!F:F,"F"),COUNTIFS(CONV!C:C,"lps",CONV!K:K,"cc(r) koaa",CONV!F:F,"f"))</f>
        <v>2</v>
      </c>
      <c r="U18" s="75">
        <f>SUM(COUNTIFS(KOAA!C:C,"alp",KOAA!F:F,"F"),COUNTIFS(CONV!C:C,"alp",CONV!K:K,"cc(r) koaa",CONV!F:F,"f"))</f>
        <v>1</v>
      </c>
      <c r="V18" s="76">
        <f t="shared" si="12"/>
        <v>3</v>
      </c>
      <c r="X18" s="23"/>
      <c r="Y18" s="24"/>
      <c r="Z18" s="25"/>
      <c r="AA18" s="80"/>
      <c r="AB18" s="80"/>
      <c r="AC18" s="80"/>
      <c r="AD18" s="80"/>
      <c r="AE18" s="37"/>
      <c r="AF18" s="6"/>
      <c r="AG18" s="34"/>
      <c r="AH18" s="80"/>
      <c r="AI18" s="80"/>
      <c r="AJ18" s="80"/>
      <c r="AK18" s="80"/>
      <c r="AL18" s="80"/>
      <c r="AM18" s="80"/>
      <c r="AN18" s="37"/>
      <c r="AO18" s="6"/>
      <c r="AP18" s="6"/>
    </row>
    <row r="19" spans="1:42" ht="22.5" customHeight="1">
      <c r="A19" s="15" t="s">
        <v>14</v>
      </c>
      <c r="B19" s="16">
        <f>COUNTIFS(CONV!C:C,"LPM",CONV!K:K,"CC(R) NORTH",CONV!R:R,"Elect")</f>
        <v>16</v>
      </c>
      <c r="C19" s="82">
        <f>COUNTIFS(CONV!C:C,"LPM",CONV!K:K,"CC(R) South")</f>
        <v>0</v>
      </c>
      <c r="D19" s="82">
        <f>COUNTIFS(CONV!C:C,"LPM",CONV!K:K,"CC(R) KOAA",CONV!R:R,"Elect")</f>
        <v>1</v>
      </c>
      <c r="E19" s="82">
        <f>COUNTIFS(CONV!C:C,"LPM",CONV!K:K,"CC(R) DDJ")</f>
        <v>0</v>
      </c>
      <c r="F19" s="82">
        <f>COUNTIFS(CONV!C:C,"LPM",CONV!K:K,"CC(R) NH")</f>
        <v>0</v>
      </c>
      <c r="G19" s="82">
        <f>COUNTIFS(CONV!C:C,"LPM",CONV!K:K,"CC(R) BT")</f>
        <v>0</v>
      </c>
      <c r="H19" s="83">
        <f>COUNTIFS(CONV!C:C,"LPM",CONV!K:K,"CC(R) RHA")</f>
        <v>0</v>
      </c>
      <c r="I19" s="16">
        <f t="shared" ref="I19:I25" si="13">SUM(B19:H19)</f>
        <v>17</v>
      </c>
      <c r="N19" s="6"/>
      <c r="O19" s="73" t="s">
        <v>36</v>
      </c>
      <c r="P19" s="75">
        <f>SUM(COUNTIFS(DDJ!C:C,"lpm",DDJ!F:F,"F"),COUNTIFS(CONV!C:C,"lpm",CONV!F:F,"f"))</f>
        <v>0</v>
      </c>
      <c r="Q19" s="75">
        <f>SUM(COUNTIFS(DDJ!C:C,"lpP(LOCO)",DDJ!F:F,"F"),COUNTIFS(CONV!C:C,"LPP(Loco)",CONV!F:F,"f"))</f>
        <v>0</v>
      </c>
      <c r="R19" s="75">
        <f>SUM(COUNTIFS(DDJ!C:C,"MOTORMAN",DDJ!F:F,"F"),COUNTIFS(CONV!C:C,"motorman",CONV!F:F,"f"))</f>
        <v>0</v>
      </c>
      <c r="S19" s="75">
        <f>SUM(COUNTIFS(DDJ!C:C,"lpg",DDJ!F:F,"F"),COUNTIFS(CONV!C:C,"lpg",CONV!K:K,"CC(R) ddj",CONV!F:F,"F"))</f>
        <v>2</v>
      </c>
      <c r="T19" s="75">
        <f>SUM(COUNTIFS(DDJ!C:C,"LPS",DDJ!F:F,"F"),COUNTIFS(CONV!C:C,"lps",CONV!K:K,"cc(r) ddj",CONV!F:F,"f"))</f>
        <v>1</v>
      </c>
      <c r="U19" s="75">
        <f>SUM(COUNTIFS(DDJ!C:C,"alp",DDJ!F:F,"F"),COUNTIFS(CONV!C:C,"alp",CONV!K:K,"cc(r) ddj",CONV!F:F,"f"))</f>
        <v>7</v>
      </c>
      <c r="V19" s="76">
        <f t="shared" si="12"/>
        <v>10</v>
      </c>
      <c r="X19" s="34"/>
      <c r="Y19" s="34"/>
      <c r="Z19" s="34"/>
      <c r="AA19" s="80"/>
      <c r="AB19" s="80"/>
      <c r="AC19" s="80"/>
      <c r="AD19" s="80"/>
      <c r="AE19" s="37"/>
      <c r="AF19" s="6"/>
      <c r="AG19" s="34"/>
      <c r="AH19" s="80"/>
      <c r="AI19" s="80"/>
      <c r="AJ19" s="80"/>
      <c r="AK19" s="80"/>
      <c r="AL19" s="80"/>
      <c r="AM19" s="80"/>
      <c r="AN19" s="37"/>
      <c r="AO19" s="6"/>
      <c r="AP19" s="6"/>
    </row>
    <row r="20" spans="1:42" ht="22.5" customHeight="1">
      <c r="A20" s="15" t="s">
        <v>18</v>
      </c>
      <c r="B20" s="82">
        <f>COUNTIFS(CONV!C:C,"MOTORMAN",CONV!K:K,"CC(R) NORTH",CONV!R:R,"Elect")</f>
        <v>9</v>
      </c>
      <c r="C20" s="82">
        <f>COUNTIFS(CONV!C:C,"motorman",CONV!K:K,"CC(R) South",CONV!R:R,"Elect")</f>
        <v>12</v>
      </c>
      <c r="D20" s="82">
        <f>COUNTIFS(CONV!C:C,"MOTORMAN",CONV!K:K,"CC(R) KOAA",CONV!R:R,"Elect")</f>
        <v>0</v>
      </c>
      <c r="E20" s="82">
        <f>COUNTIFS(CONV!C:C,"MOTORMAN",CONV!K:K,"CC(R) DDJ",CONV!R:R,"Elect")</f>
        <v>0</v>
      </c>
      <c r="F20" s="82">
        <f>COUNTIFS(CONV!C:C,"MOTORMAN",CONV!K:K,"CC(R) NH",CONV!R:R,"Elect")</f>
        <v>1</v>
      </c>
      <c r="G20" s="82">
        <f>COUNTIFS(CONV!C:C,"MOTORMAN",CONV!K:K,"CC(R) BT",CONV!R:R,"Elect")</f>
        <v>0</v>
      </c>
      <c r="H20" s="83">
        <f>COUNTIFS(CONV!C:C,"MOTORMAN",CONV!K:K,"CC(R) RHA",CONV!R:R,"Elect")</f>
        <v>2</v>
      </c>
      <c r="I20" s="16">
        <f t="shared" si="13"/>
        <v>24</v>
      </c>
      <c r="N20" s="6"/>
      <c r="O20" s="73" t="s">
        <v>7</v>
      </c>
      <c r="P20" s="75">
        <f>SUM(COUNTIFS(NH!C:C,"lpm",NH!F:F,"F"),COUNTIFS(CONV!C:C,"lpm",CONV!F:F,"f"))</f>
        <v>0</v>
      </c>
      <c r="Q20" s="75">
        <f>SUM(COUNTIFS(NH!C:C,"lpP(LOCO)",NH!F:F,"F"),COUNTIFS(CONV!C:C,"LPP(Loco)",CONV!F:F,"f"))</f>
        <v>0</v>
      </c>
      <c r="R20" s="75">
        <f>SUM(COUNTIFS(NH!C:C,"MOTORMAN",NH!F:F,"F"),COUNTIFS(CONV!C:C,"motorman",CONV!K:K,"CC(R) nh",CONV!F:F,"F"))</f>
        <v>1</v>
      </c>
      <c r="S20" s="75">
        <f>SUM(COUNTIFS(NH!C:C,"lpg",NH!F:F,"F"),COUNTIFS(CONV!C:C,"lpg",CONV!K:K,"CC(R) nh",CONV!F:F,"F"))</f>
        <v>2</v>
      </c>
      <c r="T20" s="75">
        <f>SUM(COUNTIFS(NH!C:C,"LPS",NH!F:F,"F"),COUNTIFS(CONV!C:C,"lps",CONV!K:K,"cc(r) nh",CONV!F:F,"f"))</f>
        <v>0</v>
      </c>
      <c r="U20" s="75">
        <f>SUM(COUNTIFS(NH!C:C,"alp",NH!F:F,"F"),COUNTIFS(CONV!C:C,"alp",CONV!K:K,"cc(r) nh",CONV!F:F,"f"))</f>
        <v>3</v>
      </c>
      <c r="V20" s="76">
        <f t="shared" si="12"/>
        <v>6</v>
      </c>
      <c r="Z20" s="80"/>
      <c r="AA20" s="80"/>
      <c r="AB20" s="80"/>
      <c r="AC20" s="80"/>
      <c r="AD20" s="80"/>
      <c r="AE20" s="37"/>
      <c r="AF20" s="6"/>
      <c r="AG20" s="34"/>
      <c r="AH20" s="80"/>
      <c r="AI20" s="80"/>
      <c r="AJ20" s="80"/>
      <c r="AK20" s="80"/>
      <c r="AL20" s="80"/>
      <c r="AM20" s="80"/>
      <c r="AN20" s="37"/>
      <c r="AO20" s="6"/>
      <c r="AP20" s="6"/>
    </row>
    <row r="21" spans="1:42" ht="15.75" customHeight="1">
      <c r="A21" s="15" t="s">
        <v>19</v>
      </c>
      <c r="B21" s="82">
        <f>COUNTIFS(CONV!C:C,"LPP(LOCO)",CONV!K:K,"CC(R) NORTH",CONV!R:R,"Elect")</f>
        <v>3</v>
      </c>
      <c r="C21" s="82">
        <f>COUNTIFS(CONV!C:C,"LPP(loco)",CONV!K:K,"CC(R) South",CONV!R:R,"Elect")</f>
        <v>0</v>
      </c>
      <c r="D21" s="82">
        <f>COUNTIFS(CONV!C:C,"LPP(LOCO)",CONV!K:K,"CC(R) KOAA",CONV!R:R,"Elect")</f>
        <v>0</v>
      </c>
      <c r="E21" s="82">
        <f>COUNTIFS(CONV!C:C,"LPP(LOCO)",CONV!K:K,"CC(R) DDJ",CONV!R:R,"Elect")</f>
        <v>0</v>
      </c>
      <c r="F21" s="82">
        <f>COUNTIFS(CONV!C:C,"LPP(LOCO)",CONV!K:K,"CC(R) NH",CONV!R:R,"Elect")</f>
        <v>0</v>
      </c>
      <c r="G21" s="82">
        <f>COUNTIFS(CONV!C:C,"LPP(LOCO)",CONV!K:K,"CC(R) BT",CONV!R:R,"Elect")</f>
        <v>0</v>
      </c>
      <c r="H21" s="83">
        <f>COUNTIFS(CONV!C:C,"LPP(LOCO)",CONV!K:K,"CC(R) RHA",CONV!R:R,"Elect")</f>
        <v>0</v>
      </c>
      <c r="I21" s="16">
        <f t="shared" si="13"/>
        <v>3</v>
      </c>
      <c r="N21" s="6"/>
      <c r="O21" s="84" t="s">
        <v>9</v>
      </c>
      <c r="P21" s="85">
        <f>SUM(COUNTIFS(RHA!C:C,"lpm",RHA!F:F,"F"),COUNTIFS(CONV!C:C,"lpm",CONV!F:F,"f"))</f>
        <v>0</v>
      </c>
      <c r="Q21" s="85">
        <f>SUM(COUNTIFS(RHA!C:C,"lpP(LOCO)",RHA!F:F,"F"),COUNTIFS(CONV!C:C,"LPP(Loco)",CONV!F:F,"f"))</f>
        <v>0</v>
      </c>
      <c r="R21" s="85">
        <f>SUM(COUNTIFS(RHA!C:C,"MOTORMAN",RHA!F:F,"F"),COUNTIFS(CONV!C:C,"motorman",CONV!K:K,"CC(R) rha",CONV!F:F,"F"))</f>
        <v>0</v>
      </c>
      <c r="S21" s="85">
        <f>SUM(COUNTIFS(RHA!C:C,"lpg",RHA!F:F,"F"),COUNTIFS(CONV!C:C,"lpg",CONV!K:K,"CC(R) rha",CONV!F:F,"F"))</f>
        <v>3</v>
      </c>
      <c r="T21" s="85">
        <f>SUM(COUNTIFS(RHA!C:C,"LPS",RHA!F:F,"F"),COUNTIFS(CONV!C:C,"lps",CONV!K:K,"cc(r) rha",CONV!F:F,"f"))</f>
        <v>0</v>
      </c>
      <c r="U21" s="85">
        <f>SUM(COUNTIFS(RHA!C:C,"alp",RHA!F:F,"F"),COUNTIFS(CONV!C:C,"alp",CONV!K:K,"cc(r) rha",CONV!F:F,"f"))</f>
        <v>1</v>
      </c>
      <c r="V21" s="76">
        <f t="shared" si="12"/>
        <v>4</v>
      </c>
      <c r="Y21" s="34"/>
      <c r="Z21" s="80"/>
      <c r="AA21" s="80"/>
      <c r="AB21" s="80"/>
      <c r="AC21" s="80"/>
      <c r="AD21" s="80"/>
      <c r="AE21" s="37"/>
      <c r="AF21" s="6"/>
      <c r="AG21" s="34"/>
      <c r="AH21" s="80"/>
      <c r="AI21" s="80"/>
      <c r="AJ21" s="80"/>
      <c r="AK21" s="80"/>
      <c r="AL21" s="80"/>
      <c r="AM21" s="80"/>
      <c r="AN21" s="37"/>
      <c r="AO21" s="6"/>
      <c r="AP21" s="6"/>
    </row>
    <row r="22" spans="1:42" ht="15.75" customHeight="1">
      <c r="A22" s="15" t="s">
        <v>20</v>
      </c>
      <c r="B22" s="82">
        <f>COUNTIFS(CONV!C:C,"LPG",CONV!K:K,"CC(R) NORTH",CONV!R:R,"Elect")</f>
        <v>2</v>
      </c>
      <c r="C22" s="82">
        <f>COUNTIFS(CONV!C:C,"LPG",CONV!K:K,"CC(R) South",CONV!R:R,"Elect")</f>
        <v>1</v>
      </c>
      <c r="D22" s="82">
        <f>COUNTIFS(CONV!C:C,"LPG",CONV!K:K,"CC(R) KOAA",CONV!R:R,"Elect")</f>
        <v>0</v>
      </c>
      <c r="E22" s="82">
        <f>COUNTIFS(CONV!C:C,"LPG",CONV!K:K,"CC(R) DDJ",CONV!R:R,"Elect")</f>
        <v>23</v>
      </c>
      <c r="F22" s="82">
        <f>COUNTIFS(CONV!C:C,"LPG",CONV!K:K,"CC(R) NH",CONV!R:R,"Elect")</f>
        <v>12</v>
      </c>
      <c r="G22" s="82">
        <f>COUNTIFS(CONV!C:C,"LPG",CONV!K:K,"CC(R) BT",CONV!R:R,"Elect")</f>
        <v>2</v>
      </c>
      <c r="H22" s="83">
        <f>COUNTIFS(CONV!C:C,"LPG",CONV!K:K,"CC(R) RHA",CONV!R:R,"Elect")</f>
        <v>6</v>
      </c>
      <c r="I22" s="16">
        <f t="shared" si="13"/>
        <v>46</v>
      </c>
      <c r="N22" s="6"/>
      <c r="O22" s="73" t="s">
        <v>8</v>
      </c>
      <c r="P22" s="75">
        <f>SUM(COUNTIFS(BT!C:C,"lpm",BT!F:F,"F"),COUNTIFS(CONV!C:C,"lpm",CONV!F:F,"f"))</f>
        <v>0</v>
      </c>
      <c r="Q22" s="75">
        <f>SUM(COUNTIFS(BT!C:C,"lpP(LOCO)",BT!F:F,"F"),COUNTIFS(CONV!C:C,"LPP(Loco)",CONV!F:F,"f"))</f>
        <v>0</v>
      </c>
      <c r="R22" s="75">
        <f>SUM(COUNTIFS(BT!C:C,"MOTORMAN",BT!F:F,"F"),COUNTIFS(CONV!C:C,"motorman",CONV!K:K,"CC(R) bt",CONV!F:F,"F"))</f>
        <v>0</v>
      </c>
      <c r="S22" s="75">
        <f>SUM(COUNTIFS(BT!C:C,"lpg",BT!F:F,"F"),COUNTIFS(CONV!C:C,"lpg",CONV!K:K,"CC(R) bt",CONV!F:F,"F"))</f>
        <v>0</v>
      </c>
      <c r="T22" s="75">
        <f>SUM(COUNTIFS(BT!C:C,"LPS",BT!F:F,"F"),COUNTIFS(CONV!C:C,"lps",CONV!K:K,"cc(r) bt",CONV!F:F,"f"))</f>
        <v>0</v>
      </c>
      <c r="U22" s="75">
        <f>SUM(COUNTIFS(BT!C:C,"alp",BT!F:F,"F"),COUNTIFS(CONV!C:C,"alp",CONV!K:K,"cc(r) bt",CONV!F:F,"f"))</f>
        <v>0</v>
      </c>
      <c r="V22" s="76">
        <f t="shared" si="12"/>
        <v>0</v>
      </c>
      <c r="Y22" s="34"/>
      <c r="Z22" s="80"/>
      <c r="AA22" s="80"/>
      <c r="AB22" s="80"/>
      <c r="AC22" s="80"/>
      <c r="AD22" s="80"/>
      <c r="AE22" s="37"/>
      <c r="AF22" s="6"/>
      <c r="AG22" s="34"/>
      <c r="AH22" s="80"/>
      <c r="AI22" s="80"/>
      <c r="AJ22" s="80"/>
      <c r="AK22" s="80"/>
      <c r="AL22" s="80"/>
      <c r="AM22" s="80"/>
      <c r="AN22" s="37"/>
      <c r="AO22" s="6"/>
      <c r="AP22" s="6"/>
    </row>
    <row r="23" spans="1:42" ht="15.75" customHeight="1">
      <c r="A23" s="15" t="s">
        <v>21</v>
      </c>
      <c r="B23" s="53">
        <f>COUNTIFS(CONV!C:C,"LPS",CONV!K:K,"CC(R) NORTH",CONV!R:R,"Elect")</f>
        <v>9</v>
      </c>
      <c r="C23" s="82">
        <f>COUNTIFS(CONV!C:C,"LPS",CONV!K:K,"CC(R) South",CONV!R:R,"Elect")</f>
        <v>2</v>
      </c>
      <c r="D23" s="82">
        <f>COUNTIFS(CONV!C:C,"LPS",CONV!K:K,"CC(R) KOAA",CONV!R:R,"Elect")</f>
        <v>10</v>
      </c>
      <c r="E23" s="82">
        <f>COUNTIFS(CONV!C:C,"LPS",CONV!K:K,"CC(R) DDJ",CONV!R:R,"Elect")</f>
        <v>1</v>
      </c>
      <c r="F23" s="82">
        <f>COUNTIFS(CONV!C:C,"LPS",CONV!K:K,"CC(R) NH",CONV!R:R,"Elect")</f>
        <v>7</v>
      </c>
      <c r="G23" s="82">
        <f>COUNTIFS(CONV!C:C,"LPS",CONV!K:K,"CC(R) BT",CONV!R:R,"Elect")</f>
        <v>4</v>
      </c>
      <c r="H23" s="83">
        <f>COUNTIFS(CONV!C:C,"LPS",CONV!K:K,"CC(R) RHA",CONV!R:R,"Elect")</f>
        <v>5</v>
      </c>
      <c r="I23" s="16">
        <f t="shared" si="13"/>
        <v>38</v>
      </c>
      <c r="N23" s="6"/>
      <c r="O23" s="86" t="s">
        <v>17</v>
      </c>
      <c r="P23" s="87">
        <f t="shared" ref="P23:V23" si="14">SUM(P16:P22)</f>
        <v>0</v>
      </c>
      <c r="Q23" s="87">
        <f t="shared" si="14"/>
        <v>0</v>
      </c>
      <c r="R23" s="87">
        <f t="shared" si="14"/>
        <v>13</v>
      </c>
      <c r="S23" s="87">
        <f t="shared" si="14"/>
        <v>7</v>
      </c>
      <c r="T23" s="87">
        <f t="shared" si="14"/>
        <v>11</v>
      </c>
      <c r="U23" s="87">
        <f t="shared" si="14"/>
        <v>18</v>
      </c>
      <c r="V23" s="88">
        <f t="shared" si="14"/>
        <v>49</v>
      </c>
      <c r="Y23" s="34"/>
      <c r="Z23" s="80"/>
      <c r="AA23" s="50"/>
      <c r="AB23" s="50"/>
      <c r="AC23" s="50"/>
      <c r="AD23" s="50"/>
      <c r="AE23" s="37"/>
      <c r="AF23" s="6"/>
      <c r="AG23" s="7"/>
      <c r="AH23" s="50"/>
      <c r="AI23" s="50"/>
      <c r="AJ23" s="50"/>
      <c r="AK23" s="50"/>
      <c r="AL23" s="50"/>
      <c r="AM23" s="50"/>
      <c r="AN23" s="37"/>
      <c r="AO23" s="6"/>
      <c r="AP23" s="6"/>
    </row>
    <row r="24" spans="1:42" ht="15.75" customHeight="1">
      <c r="A24" s="15" t="s">
        <v>22</v>
      </c>
      <c r="B24" s="82">
        <f>COUNTIFS(CONV!C:C,"ALP",CONV!K:K,"CC(R) NORTH",CONV!R:R,"Elect")</f>
        <v>26</v>
      </c>
      <c r="C24" s="82">
        <f>COUNTIFS(CONV!C:C,"ALP",CONV!K:K,"CC(R) South",CONV!R:R,"Elect")</f>
        <v>0</v>
      </c>
      <c r="D24" s="82">
        <f>COUNTIFS(CONV!C:C,"ALP",CONV!K:K,"CC(R) KOAA",CONV!R:R,"Elect")</f>
        <v>16</v>
      </c>
      <c r="E24" s="82">
        <f>COUNTIFS(CONV!C:C,"ALP",CONV!K:K,"CC(R) DDJ",CONV!R:R,"Elect")</f>
        <v>10</v>
      </c>
      <c r="F24" s="82">
        <f>COUNTIFS(CONV!C:C,"ALP",CONV!K:K,"CC(R) NH",CONV!R:R,"Elect")</f>
        <v>4</v>
      </c>
      <c r="G24" s="82">
        <f>COUNTIFS(CONV!C:C,"ALP",CONV!K:K,"CC(R) BT",CONV!R:R,"Elect")</f>
        <v>0</v>
      </c>
      <c r="H24" s="83">
        <f>COUNTIFS(CONV!C:C,"ALP",CONV!K:K,"CC(R) RHA",CONV!R:R,"Elect")</f>
        <v>10</v>
      </c>
      <c r="I24" s="16">
        <f t="shared" si="13"/>
        <v>66</v>
      </c>
      <c r="N24" s="6"/>
      <c r="U24" s="89"/>
      <c r="X24" s="34"/>
      <c r="Y24" s="34"/>
      <c r="Z24" s="80"/>
      <c r="AA24" s="5"/>
      <c r="AB24" s="5"/>
      <c r="AC24" s="5"/>
      <c r="AD24" s="5"/>
      <c r="AE24" s="5"/>
      <c r="AF24" s="6"/>
      <c r="AG24" s="55"/>
      <c r="AH24" s="5"/>
      <c r="AI24" s="5"/>
      <c r="AJ24" s="5"/>
      <c r="AK24" s="5"/>
      <c r="AL24" s="5"/>
      <c r="AM24" s="5"/>
      <c r="AN24" s="5"/>
      <c r="AO24" s="6"/>
      <c r="AP24" s="6"/>
    </row>
    <row r="25" spans="1:42" ht="15.75" customHeight="1">
      <c r="A25" s="15" t="s">
        <v>17</v>
      </c>
      <c r="B25" s="16">
        <f t="shared" ref="B25:H25" si="15">SUM(B19:B24)</f>
        <v>65</v>
      </c>
      <c r="C25" s="16">
        <f t="shared" si="15"/>
        <v>15</v>
      </c>
      <c r="D25" s="16">
        <f t="shared" si="15"/>
        <v>27</v>
      </c>
      <c r="E25" s="16">
        <f t="shared" si="15"/>
        <v>34</v>
      </c>
      <c r="F25" s="16">
        <f t="shared" si="15"/>
        <v>24</v>
      </c>
      <c r="G25" s="16">
        <f t="shared" si="15"/>
        <v>6</v>
      </c>
      <c r="H25" s="16">
        <f t="shared" si="15"/>
        <v>23</v>
      </c>
      <c r="I25" s="16">
        <f t="shared" si="13"/>
        <v>194</v>
      </c>
      <c r="N25" s="6"/>
      <c r="O25" s="6"/>
      <c r="P25" s="13"/>
      <c r="Q25" s="6"/>
      <c r="R25" s="6"/>
      <c r="S25" s="6"/>
      <c r="T25" s="6"/>
      <c r="U25" s="6"/>
      <c r="V25" s="6"/>
      <c r="W25" s="6"/>
      <c r="X25" s="6"/>
      <c r="Y25" s="5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ht="15.75" customHeight="1">
      <c r="P26" s="89"/>
      <c r="Y26" s="90"/>
    </row>
    <row r="27" spans="1:42" ht="15.75" customHeight="1">
      <c r="A27" s="1" t="s">
        <v>33</v>
      </c>
      <c r="B27" s="77" t="s">
        <v>37</v>
      </c>
      <c r="C27" s="78"/>
      <c r="D27" s="79"/>
      <c r="E27" s="3"/>
      <c r="F27" s="79"/>
      <c r="G27" s="3"/>
      <c r="H27" s="3"/>
      <c r="I27" s="79"/>
      <c r="O27" s="2210" t="s">
        <v>38</v>
      </c>
      <c r="P27" s="2208"/>
      <c r="Q27" s="2208"/>
      <c r="R27" s="2208"/>
      <c r="S27" s="2208"/>
      <c r="T27" s="2208"/>
      <c r="U27" s="2208"/>
      <c r="V27" s="2208"/>
      <c r="W27" s="2208"/>
      <c r="X27" s="2209"/>
      <c r="Y27" s="12" t="s">
        <v>39</v>
      </c>
      <c r="Z27" s="91">
        <f ca="1">TODAY()</f>
        <v>46099</v>
      </c>
    </row>
    <row r="28" spans="1:42" ht="15.75" customHeight="1">
      <c r="A28" s="81"/>
      <c r="B28" s="10" t="s">
        <v>3</v>
      </c>
      <c r="C28" s="10" t="s">
        <v>4</v>
      </c>
      <c r="D28" s="10" t="s">
        <v>5</v>
      </c>
      <c r="E28" s="11" t="s">
        <v>16</v>
      </c>
      <c r="F28" s="10" t="s">
        <v>7</v>
      </c>
      <c r="G28" s="10" t="s">
        <v>8</v>
      </c>
      <c r="H28" s="12" t="s">
        <v>9</v>
      </c>
      <c r="I28" s="10" t="s">
        <v>17</v>
      </c>
      <c r="O28" s="92" t="s">
        <v>40</v>
      </c>
      <c r="P28" s="93" t="s">
        <v>23</v>
      </c>
      <c r="Q28" s="94" t="s">
        <v>14</v>
      </c>
      <c r="R28" s="94" t="s">
        <v>19</v>
      </c>
      <c r="S28" s="94" t="s">
        <v>31</v>
      </c>
      <c r="T28" s="94" t="s">
        <v>20</v>
      </c>
      <c r="U28" s="94" t="s">
        <v>21</v>
      </c>
      <c r="V28" s="94" t="s">
        <v>22</v>
      </c>
      <c r="W28" s="95" t="s">
        <v>41</v>
      </c>
      <c r="X28" s="96" t="s">
        <v>13</v>
      </c>
      <c r="Y28" s="12" t="s">
        <v>42</v>
      </c>
    </row>
    <row r="29" spans="1:42" ht="15.75" customHeight="1">
      <c r="A29" s="15" t="s">
        <v>14</v>
      </c>
      <c r="B29" s="16">
        <f>COUNTIFS(CONV!C:C,"LPM",CONV!K:K,"CC(R) NORTH",CONV!R:R,"DSL")</f>
        <v>0</v>
      </c>
      <c r="C29" s="82">
        <f>COUNTIFS(CONV!C:C,"LPM",CONV!K:K,"CC(R) South",CONV!R:R,"DSL")</f>
        <v>0</v>
      </c>
      <c r="D29" s="82">
        <f>COUNTIFS(CONV!C:C,"LPM",CONV!K:K,"CC(R) KOAA",CONV!R:R,"DSL")</f>
        <v>0</v>
      </c>
      <c r="E29" s="82">
        <f>COUNTIFS(CONV!C:C,"LPM",CONV!K:K,"CC(R) DDJ")</f>
        <v>0</v>
      </c>
      <c r="F29" s="82">
        <f>COUNTIFS(CONV!C:C,"LPM",CONV!K:K,"CC(R) NH")</f>
        <v>0</v>
      </c>
      <c r="G29" s="82">
        <f>COUNTIFS(CONV!C:C,"LPM",CONV!K:K,"CC(R) BT")</f>
        <v>0</v>
      </c>
      <c r="H29" s="83">
        <f>COUNTIFS(CONV!C:C,"LPM",CONV!K:K,"CC(R) RHA")</f>
        <v>0</v>
      </c>
      <c r="I29" s="16">
        <f t="shared" ref="I29:I35" si="16">SUM(B29:H29)</f>
        <v>0</v>
      </c>
      <c r="O29" s="97">
        <v>1</v>
      </c>
      <c r="P29" s="98" t="s">
        <v>43</v>
      </c>
      <c r="Q29" s="99">
        <f>SUM(COUNTIFS(North!C:C,"LPM",North!L:L,"AMITAV TARAFDER"),COUNTIFS(KOAA!C:C,"LPM",KOAA!L:L,"AMITAV TARAFDER"),COUNTIFS(South!C:C,"LPM",South!L:L,"AMITAV TARAFDER"),COUNTIFS(DDJ!C:C,"LPM",DDJ!L:L,"AMITAV TARAFDER"),COUNTIFS(BT!C:C,"LPM",BT!L:L,"AMITAV TARAFDER"),COUNTIFS(NH!C:C,"LPM",NH!L:L,"AMITAV TARAFDER"),COUNTIFS(CONV!C:C,"LPM",CONV!L:L,"AMITAV TARAFDER"))</f>
        <v>0</v>
      </c>
      <c r="R29" s="100">
        <f>SUM(COUNTIFS(North!C:C,"LPP(LOCO)",North!L:L,"AMITAV TARAFDER"),COUNTIFS(KOAA!C:C,"LPP(LOCO)",KOAA!L:L,"AMITAV TARAFDER"),COUNTIFS(South!C:C,"LPP(LOCO)",South!L:L,"AMITAV TARAFDER"),COUNTIFS(DDJ!C:C,"LPP(LOCO)",DDJ!L:L,"AMITAV TARAFDER"),COUNTIFS(BT!C:C,"LPP(LOCO)",BT!L:L,"AMITAV TARAFDER"),COUNTIFS(NH!C:C,"LPP(LOCO)",NH!L:L,"AMITAV TARAFDER"),COUNTIFS(CONV!C:C,"LPP(LOCO)",CONV!L:L,"AMITAV TARAFDER"))</f>
        <v>0</v>
      </c>
      <c r="S29" s="100">
        <f>SUM(COUNTIFS(North!C:C,"Motorman",North!L:L,"AMITAV TARAFDER"),COUNTIFS(KOAA!C:C,"Motorman",KOAA!L:L,"AMITAV TARAFDER"),COUNTIFS(South!C:C,"Motorman",South!L:L,"AMITAV TARAFDER"),COUNTIFS(DDJ!C:C,"Motorman",DDJ!L:L,"AMITAV TARAFDER"),COUNTIFS(BT!C:C,"Motorman",BT!L:L,"AMITAV TARAFDER"),COUNTIFS(NH!C:C,"Motorman",NH!L:L,"AMITAV TARAFDER"),COUNTIFS(CONV!C:C,"MOTORMAN",CONV!L:L,"AMITAV TARAFDER"),COUNTIFS(RHA!C:C,"MOTORMAN",RHA!L:L,"AMITAV TARAFDER"))</f>
        <v>36</v>
      </c>
      <c r="T29" s="100">
        <f>SUM(COUNTIFS(North!C:C,"LPG",North!L:L,"AMITAV TARAFDER"),COUNTIFS(KOAA!C:C,"LPG",KOAA!L:L,"AMITAV TARAFDER"),COUNTIFS(South!C:C,"LPG",South!L:L,"AMITAV TARAFDER"),COUNTIFS(DDJ!C:C,"LPG",DDJ!L:L,"AMITAV TARAFDER"),COUNTIFS(BT!C:C,"LPG",BT!L:L,"AMITAV TARAFDER"),COUNTIFS(NH!C:C,"LPG",NH!L:L,"AMITAV TARAFDER"),COUNTIFS(CONV!C:C,"LPG",CONV!L:L,"AMITAV TARAFDER",CONV!R:R,"Elect"),COUNTIFS(RHA!C:C,"LPG",RHA!L:L,"AMITAV TARAFDER"))</f>
        <v>6</v>
      </c>
      <c r="U29" s="100">
        <f>SUM(COUNTIFS(North!C:C,"LPS",North!L:L,"AMITAV TARAFDER"),COUNTIFS(KOAA!C:C,"LPS",KOAA!L:L,"AMITAV TARAFDER"),COUNTIFS(South!C:C,"LPS",South!L:L,"AMITAV TARAFDER"),COUNTIFS(DDJ!C:C,"LPS",DDJ!L:L,"AMITAV TARAFDER"),COUNTIFS(BT!C:C,"LPS",BT!L:L,"AMITAV TARAFDER"),COUNTIFS(NH!C:C,"LPS",NH!L:L,"AMITAV TARAFDER"),COUNTIFS(CONV!C:C,"LPS",CONV!L:L,"AMITAV TARAFDER",CONV!R:R,"Elect"))</f>
        <v>5</v>
      </c>
      <c r="V29" s="100">
        <f>SUM(COUNTIFS(North!C:C,"ALP",North!L:L,"AMITAV TARAFDER"),COUNTIFS(KOAA!C:C,"ALP",KOAA!L:L,"AMITAV TARAFDER"),COUNTIFS(South!C:C,"ALP",South!L:L,"AMITAV TARAFDER"),COUNTIFS(DDJ!C:C,"ALP",DDJ!L:L,"AMITAV TARAFDER"),COUNTIFS(BT!C:C,"ALP",BT!L:L,"AMITAV TARAFDER"),COUNTIFS(NH!C:C,"ALP",NH!L:L,"AMITAV TARAFDER"),COUNTIFS(CONV!C:C,"ALP",CONV!L:L,"AMITAV TARAFDER"),COUNTIFS(RHA!C:C,"ALP",RHA!L:L,"AMITAV TARAFDER"))</f>
        <v>17</v>
      </c>
      <c r="W29" s="99">
        <f ca="1">IFERROR(__xludf.DUMMYFUNCTION("IMPORTRANGE(""https://docs.google.com/spreadsheets/d/1mJewmOL7uFLOZntlUxVr1CaPuLkVrP0Vw3DUi9u3slk/edit?usp=sharing"",""SUMMARY!C2"")"),0)</f>
        <v>0</v>
      </c>
      <c r="X29" s="101">
        <f t="shared" ref="X29:X52" ca="1" si="17">SUM(Q29:W29)</f>
        <v>64</v>
      </c>
      <c r="Y29" s="102">
        <f t="shared" ref="Y29:Y52" si="18">SUM(Q29:T29)</f>
        <v>42</v>
      </c>
    </row>
    <row r="30" spans="1:42" ht="15.75" customHeight="1">
      <c r="A30" s="15" t="s">
        <v>18</v>
      </c>
      <c r="B30" s="82">
        <f>COUNTIFS(CONV!C:C,"MOTORMAN",CONV!K:K,"CC(R) NORTH",CONV!R:R,"DSL")</f>
        <v>0</v>
      </c>
      <c r="C30" s="82">
        <f>COUNTIFS(CONV!C:C,"motorman",CONV!K:K,"CC(R) South",CONV!R:R,"DSL")</f>
        <v>0</v>
      </c>
      <c r="D30" s="82">
        <f>COUNTIFS(CONV!C:C,"MOTORMAN",CONV!K:K,"CC(R) KOAA",CONV!R:R,"DSL")</f>
        <v>0</v>
      </c>
      <c r="E30" s="82">
        <f>COUNTIFS(CONV!C:C,"MOTORMAN",CONV!K:K,"CC(R) DDJ",CONV!R:R,"DSL")</f>
        <v>0</v>
      </c>
      <c r="F30" s="82">
        <f>COUNTIFS(CONV!C:C,"MOTORMAN",CONV!K:K,"CC(R) NH",CONV!R:R,"DSL")</f>
        <v>0</v>
      </c>
      <c r="G30" s="82">
        <f>COUNTIFS(CONV!C:C,"MOTORMAN",CONV!K:K,"CC(R) BT",CONV!R:R,"DSL")</f>
        <v>0</v>
      </c>
      <c r="H30" s="83">
        <f>COUNTIFS(CONV!C:C,"MOTORMAN",CONV!K:K,"CC(R) RHA",CONV!R:R,"DSL")</f>
        <v>0</v>
      </c>
      <c r="I30" s="16">
        <f t="shared" si="16"/>
        <v>0</v>
      </c>
      <c r="O30" s="97">
        <v>2</v>
      </c>
      <c r="P30" s="103" t="s">
        <v>44</v>
      </c>
      <c r="Q30" s="99">
        <f>SUM(COUNTIFS(North!C:C,"LPM",North!L:L,"SWAPAN KUMAR MONDAL"),COUNTIFS(KOAA!C:C,"LPM",KOAA!L:L,"SWAPAN KUMAR MONDAL"),COUNTIFS(South!C:C,"LPM",South!L:L,"SWAPAN KUMAR MONDAL"),COUNTIFS(DDJ!C:C,"LPM",DDJ!L:L,"SWAPAN KUMAR MONDAL"),COUNTIFS(BT!C:C,"LPM",BT!L:L,"SWAPAN KUMAR MONDAL"),COUNTIFS(NH!C:C,"LPM",NH!L:L,"SWAPAN KUMAR MONDAL"),COUNTIFS(CONV!C:C,"LPM",CONV!L:L,"SWAPAN KUMAR MONDAL"))</f>
        <v>0</v>
      </c>
      <c r="R30" s="100">
        <f>SUM(COUNTIFS(North!C:C,"LPP(LOCO)",North!L:L,"SWAPAN KUMAR MONDAL"),COUNTIFS(KOAA!C:C,"LPP(LOCO)",KOAA!L:L,"SWAPAN KUMAR MONDAL"),COUNTIFS(South!C:C,"LPP(LOCO)",South!L:L,"SWAPAN KUMAR MONDAL"),COUNTIFS(DDJ!C:C,"LPP(LOCO)",DDJ!L:L,"SWAPAN KUMAR MONDAL"),COUNTIFS(BT!C:C,"LPP(LOCO)",BT!L:L,"SWAPAN KUMAR MONDAL"),COUNTIFS(NH!C:C,"LPP(LOCO)",NH!L:L,"SWAPAN KUMAR MONDAL"),COUNTIFS(CONV!C:C,"LPP(LOCO)",CONV!L:L,"SWAPAN KUMAR MONDAL"))</f>
        <v>0</v>
      </c>
      <c r="S30" s="100">
        <f>SUM(COUNTIFS(North!C:C,"Motorman",North!L:L,"SWAPAN KUMAR MONDAL"),COUNTIFS(KOAA!C:C,"Motorman",KOAA!L:L,"SWAPAN KUMAR MONDAL"),COUNTIFS(South!C:C,"Motorman",South!L:L,"SWAPAN KUMAR MONDAL"),COUNTIFS(DDJ!C:C,"Motorman",DDJ!L:L,"SWAPAN KUMAR MONDAL"),COUNTIFS(BT!C:C,"Motorman",BT!L:L,"SWAPAN KUMAR MONDAL"),COUNTIFS(NH!C:C,"Motorman",NH!L:L,"SWAPAN KUMAR MONDAL"),COUNTIFS(CONV!C:C,"MOTORMAN",CONV!L:L,"SWAPAN KUMAR MONDAL"),COUNTIFS(RHA!C:C,"MOTORMAN",RHA!L:L,"SWAPAN KUMAR MONDAL"))</f>
        <v>36</v>
      </c>
      <c r="T30" s="100">
        <f>SUM(COUNTIFS(North!C:C,"LPG",North!L:L,"SWAPAN KUMAR MONDAL"),COUNTIFS(KOAA!C:C,"LPG",KOAA!L:L,"SWAPAN KUMAR MONDAL"),COUNTIFS(South!C:C,"LPG",South!L:L,"SWAPAN KUMAR MONDAL"),COUNTIFS(DDJ!C:C,"LPG",DDJ!L:L,"SWAPAN KUMAR MONDAL"),COUNTIFS(BT!C:C,"LPG",BT!L:L,"SWAPAN KUMAR MONDAL"),COUNTIFS(NH!C:C,"LPG",NH!L:L,"SWAPAN KUMAR MONDAL"),COUNTIFS(CONV!C:C,"LPG",CONV!L:L,"SWAPAN KUMAR MONDAL",CONV!R:R,"Elect"),,COUNTIFS(RHA!C:C,"LPG",RHA!L:L,"SWAPAN KUMAR MONDAL"))</f>
        <v>9</v>
      </c>
      <c r="U30" s="100">
        <f>SUM(COUNTIFS(North!C:C,"LPS",North!L:L,"SWAPAN KUMAR MONDAL"),COUNTIFS(KOAA!C:C,"LPS",KOAA!L:L,"SWAPAN KUMAR MONDAL"),COUNTIFS(South!C:C,"LPS",South!L:L,"SWAPAN KUMAR MONDAL"),COUNTIFS(DDJ!C:C,"LPS",DDJ!L:L,"SWAPAN KUMAR MONDAL"),COUNTIFS(BT!C:C,"LPS",BT!L:L,"SWAPAN KUMAR MONDAL"),COUNTIFS(NH!C:C,"LPS",NH!L:L,"SWAPAN KUMAR MONDAL"),COUNTIFS(CONV!C:C,"LPS",CONV!L:L,"SWAPAN KUMAR MONDAL",CONV!R:R,"Elect"),COUNTIFS(RHA!C:C,"LPS",RHA!L:L,"SWAPAN KUMAR MONDAL"))</f>
        <v>6</v>
      </c>
      <c r="V30" s="100">
        <f>SUM(COUNTIFS(North!C:C,"ALP",North!L:L,"SWAPAN KUMAR MONDAL"),COUNTIFS(KOAA!C:C,"ALP",KOAA!L:L,"SWAPAN KUMAR MONDAL"),COUNTIFS(South!C:C,"ALP",South!L:L,"SWAPAN KUMAR MONDAL"),COUNTIFS(DDJ!C:C,"ALP",DDJ!L:L,"SWAPAN KUMAR MONDAL"),COUNTIFS(BT!C:C,"ALP",BT!L:L,"SWAPAN KUMAR MONDAL"),COUNTIFS(NH!C:C,"ALP",NH!L:L,"SWAPAN KUMAR MONDAL"),COUNTIFS(CONV!C:C,"ALP",CONV!L:L,"SWAPAN KUMAR MONDAL"),COUNTIFS(RHA!C:C,"ALP",RHA!L:L,"SWAPAN KUMAR MONDAL"))</f>
        <v>14</v>
      </c>
      <c r="W30" s="104">
        <v>0</v>
      </c>
      <c r="X30" s="101">
        <f t="shared" si="17"/>
        <v>65</v>
      </c>
      <c r="Y30" s="102">
        <f t="shared" si="18"/>
        <v>45</v>
      </c>
    </row>
    <row r="31" spans="1:42" ht="15.75" customHeight="1">
      <c r="A31" s="15" t="s">
        <v>19</v>
      </c>
      <c r="B31" s="82">
        <f>COUNTIFS(CONV!C:C,"LPP(LOCO)",CONV!K:K,"CC(R) NORTH",CONV!R:R,"DSL")</f>
        <v>0</v>
      </c>
      <c r="C31" s="82">
        <f>COUNTIFS(CONV!C:C,"LPP(loco)",CONV!K:K,"CC(R) South",CONV!R:R,"DSL")</f>
        <v>0</v>
      </c>
      <c r="D31" s="82">
        <f>COUNTIFS(CONV!C:C,"LPP(LOCO)",CONV!K:K,"CC(R) KOAA",CONV!R:R,"DSL")</f>
        <v>0</v>
      </c>
      <c r="E31" s="82">
        <f>COUNTIFS(CONV!C:C,"LPP(LOCO)",CONV!K:K,"CC(R) DDJ",CONV!R:R,"DSL")</f>
        <v>0</v>
      </c>
      <c r="F31" s="82">
        <f>COUNTIFS(CONV!C:C,"LPP(LOCO)",CONV!K:K,"CC(R) NH",CONV!R:R,"DSL")</f>
        <v>0</v>
      </c>
      <c r="G31" s="82">
        <f>COUNTIFS(CONV!C:C,"LPP(LOCO)",CONV!K:K,"CC(R) BT",CONV!R:R,"DSL")</f>
        <v>0</v>
      </c>
      <c r="H31" s="83">
        <f>COUNTIFS(CONV!C:C,"LPP(LOCO)",CONV!K:K,"CC(R) RHA",CONV!R:R,"DSL")</f>
        <v>0</v>
      </c>
      <c r="I31" s="16">
        <f t="shared" si="16"/>
        <v>0</v>
      </c>
      <c r="O31" s="97">
        <v>3</v>
      </c>
      <c r="P31" s="98" t="s">
        <v>45</v>
      </c>
      <c r="Q31" s="100">
        <f>SUM(COUNTIFS(North!C:C,"LPM",North!L:L,"Ruwel Murmu"),COUNTIFS(KOAA!C:C,"LPM",KOAA!L:L,"ruwel murmu"),COUNTIFS(South!C:C,"LPM",South!L:L,"ruwel murmu"),COUNTIFS(DDJ!C:C,"LPM",DDJ!L:L,"ruwel murmu"),COUNTIFS(BT!C:C,"LPM",BT!L:L,"ruwel murmu"),COUNTIFS(NH!C:C,"LPM",NH!L:L,"ruwel murmu"),COUNTIFS(CONV!C:C,"LPM",CONV!L:L,"RUWEL MURMU"))</f>
        <v>14</v>
      </c>
      <c r="R31" s="100">
        <f>SUM(COUNTIFS(North!C:C,"LPP(LOCO)",North!L:L,"Ruwel Murmu"),COUNTIFS(KOAA!C:C,"LPP(LOCO)",KOAA!L:L,"ruwel murmu"),COUNTIFS(South!C:C,"LPP(LOCO)",South!L:L,"ruwel murmu"),COUNTIFS(DDJ!C:C,"LPP(LOCO)",DDJ!L:L,"ruwel murmu"),COUNTIFS(BT!C:C,"LPP(LOCO)",BT!L:L,"ruwel murmu"),COUNTIFS(NH!C:C,"LPP(LOCO)",NH!L:L,"ruwel murmu"),COUNTIFS(CONV!C:C,"LPP(LOCO)",CONV!L:L,"RUWEL MURMU"))</f>
        <v>0</v>
      </c>
      <c r="S31" s="100">
        <f>SUM(COUNTIFS(North!C:C,"MOTORMAN",North!L:L,"Ruwel Murmu"),COUNTIFS(KOAA!C:C,"MOTORMAN",KOAA!L:L,"ruwel murmu"),COUNTIFS(South!C:C,"MOTORMAN",South!L:L,"ruwel murmu"),COUNTIFS(DDJ!C:C,"MOTORMAN",DDJ!L:L,"ruwel murmu"),COUNTIFS(BT!C:C,"MOTORMAN",BT!L:L,"ruwel murmu"),COUNTIFS(NH!C:C,"MOTORMAN",NH!L:L,"ruwel murmu"),COUNTIFS(CONV!C:C,"MOTORMAN",CONV!L:L,"RUWEL MURMU"),COUNTIFS(RHA!C:C,"MOTORMAN",RHA!L:L,"ruwel murmu"))</f>
        <v>9</v>
      </c>
      <c r="T31" s="100">
        <f>SUM(COUNTIFS(North!C:C,"LPG",North!L:L,"Ruwel Murmu"),COUNTIFS(KOAA!C:C,"LPG",KOAA!L:L,"ruwel murmu"),COUNTIFS(South!C:C,"LPG",South!L:L,"ruwel murmu"),COUNTIFS(DDJ!C:C,"LPG",DDJ!L:L,"ruwel murmu"),COUNTIFS(BT!C:C,"LPG",BT!L:L,"ruwel murmu"),COUNTIFS(NH!C:C,"LPG",NH!L:L,"ruwel murmu"),COUNTIFS(CONV!C:C,"LPG",CONV!L:L,"RUWEL MURMU",CONV!R:R,"Elect"),COUNTIFS(RHA!C:C,"LPG",RHA!L:L,"RUWEL MURMU"))</f>
        <v>4</v>
      </c>
      <c r="U31" s="100">
        <f>SUM(COUNTIFS(North!C:C,"LPS",North!L:L,"Ruwel Murmu"),COUNTIFS(KOAA!C:C,"LPS",KOAA!L:L,"ruwel murmu"),COUNTIFS(South!C:C,"LPS",South!L:L,"ruwel murmu"),COUNTIFS(DDJ!C:C,"LPS",DDJ!L:L,"ruwel murmu"),COUNTIFS(BT!C:C,"LPS",BT!L:L,"ruwel murmu"),COUNTIFS(NH!C:C,"LPS",NH!L:L,"ruwel murmu"),COUNTIFS(CONV!C:C,"LPS",CONV!L:L,"RUWEL MURMU",CONV!R:R,"Elect"),COUNTIFS(RHA!C:C,"LPS",RHA!L:L,"RUWEL MURMU"))</f>
        <v>1</v>
      </c>
      <c r="V31" s="100">
        <f>SUM(COUNTIFS(North!C:C,"ALP",North!L:L,"Ruwel Murmu"),COUNTIFS(KOAA!C:C,"ALP",KOAA!L:L,"ruwel murmu"),COUNTIFS(South!C:C,"ALP",South!L:L,"ruwel murmu"),COUNTIFS(DDJ!C:C,"ALP",DDJ!L:L,"ruwel murmu"),COUNTIFS(BT!C:C,"ALP",BT!L:L,"ruwel murmu"),COUNTIFS(NH!C:C,"ALP",NH!L:L,"ruwel murmu"),COUNTIFS(CONV!C:C,"ALP",CONV!L:L,"RUWEL MURMU"),COUNTIFS(RHA!C:C,"ALP",RHA!L:L,"RUWEL MURMU"))</f>
        <v>17</v>
      </c>
      <c r="W31" s="104">
        <v>0</v>
      </c>
      <c r="X31" s="101">
        <f t="shared" si="17"/>
        <v>45</v>
      </c>
      <c r="Y31" s="102">
        <f t="shared" si="18"/>
        <v>27</v>
      </c>
    </row>
    <row r="32" spans="1:42" ht="15.75" customHeight="1">
      <c r="A32" s="15" t="s">
        <v>20</v>
      </c>
      <c r="B32" s="82">
        <f>COUNTIFS(CONV!C:C,"LPG",CONV!K:K,"CC(R) NORTH",CONV!R:R,"DSL")</f>
        <v>0</v>
      </c>
      <c r="C32" s="82">
        <f>COUNTIFS(CONV!C:C,"LPG",CONV!K:K,"CC(R) South",CONV!R:R,"DSL")</f>
        <v>0</v>
      </c>
      <c r="D32" s="82">
        <f>COUNTIFS(CONV!C:C,"LPG",CONV!K:K,"CC(R) KOAA",CONV!R:R,"DSL")</f>
        <v>0</v>
      </c>
      <c r="E32" s="82">
        <f>COUNTIFS(CONV!C:C,"LPG",CONV!K:K,"CC(R) DDJ",CONV!R:R,"DSL")</f>
        <v>77</v>
      </c>
      <c r="F32" s="82">
        <f>COUNTIFS(CONV!C:C,"LPG",CONV!K:K,"CC(R) NH",CONV!R:R,"DSL")</f>
        <v>21</v>
      </c>
      <c r="G32" s="82">
        <f>COUNTIFS(CONV!C:C,"LPG",CONV!K:K,"CC(R) BT",CONV!R:R,"DSL")</f>
        <v>0</v>
      </c>
      <c r="H32" s="83">
        <f>COUNTIFS(CONV!C:C,"LPG",CONV!K:K,"CC(R) RHA",CONV!R:R,"DSL")</f>
        <v>13</v>
      </c>
      <c r="I32" s="16">
        <f t="shared" si="16"/>
        <v>111</v>
      </c>
      <c r="O32" s="97">
        <v>4</v>
      </c>
      <c r="P32" s="98" t="s">
        <v>46</v>
      </c>
      <c r="Q32" s="100">
        <f>SUM(COUNTIFS(North!C:C,"LPM",North!L:L,"R K Sabherwal"),COUNTIFS(KOAA!C:C,"LPM",KOAA!L:L,"R K Sabherwal"),COUNTIFS(South!C:C,"LPM",South!L:L,"R K Sabherwal"),COUNTIFS(DDJ!C:C,"LPM",DDJ!L:L,"R K Sabherwal"),COUNTIFS(BT!C:C,"LPM",BT!L:L,"R K Sabherwal"),COUNTIFS(NH!C:C,"LPM",NH!L:L,"R K Sabherwal"),COUNTIFS(CONV!C:C,"LPM",CONV!L:L,"R K SABHERWAL"))</f>
        <v>15</v>
      </c>
      <c r="R32" s="100">
        <f>SUM(COUNTIFS(North!C:C,"LPp(loco)",North!L:L,"R K Sabherwal"),COUNTIFS(KOAA!C:C,"LPp(loco)",KOAA!L:L,"R K Sabherwal"),COUNTIFS(South!C:C,"LPp(loco)",South!L:L,"R K Sabherwal"),COUNTIFS(DDJ!C:C,"LPp(loco)",DDJ!L:L,"R K Sabherwal"),COUNTIFS(BT!C:C,"LPp(loco)",BT!L:L,"R K Sabherwal"),COUNTIFS(NH!C:C,"LPp(loco)",NH!L:L,"R K Sabherwal"),COUNTIFS(CONV!C:C,"LPP(LOCO)",CONV!L:L,"R K SABHERWAL"))</f>
        <v>0</v>
      </c>
      <c r="S32" s="105">
        <f>SUM(COUNTIFS(North!C:C,"motorman",North!L:L,"R K Sabherwal"),COUNTIFS(KOAA!C:C,"motorman",KOAA!L:L,"R K Sabherwal"),COUNTIFS(South!C:C,"motorman",South!L:L,"R K Sabherwal"),COUNTIFS(DDJ!C:C,"motorman",DDJ!L:L,"R K Sabherwal"),COUNTIFS(BT!C:C,"motorman",BT!L:L,"R K Sabherwal"),COUNTIFS(NH!C:C,"motorman",NH!L:L,"R K Sabherwal"),COUNTIFS(CONV!C:C,"MOTORMAN",CONV!L:L,"R K SABHERWAL"),COUNTIFS(RHA!C:C,"MOTORMAN",RHA!L:L,"R K SABHERWAL"))</f>
        <v>11</v>
      </c>
      <c r="T32" s="100">
        <f>SUM(COUNTIFS(North!C:C,"lpg",North!L:L,"R K Sabherwal"),COUNTIFS(KOAA!C:C,"lpg",KOAA!L:L,"R K Sabherwal"),COUNTIFS(South!C:C,"lpg",South!L:L,"R K Sabherwal"),COUNTIFS(DDJ!C:C,"lpg",DDJ!L:L,"R K Sabherwal"),COUNTIFS(BT!C:C,"lpg",BT!L:L,"R K Sabherwal"),COUNTIFS(NH!C:C,"lpg",NH!L:L,"R K Sabherwal"),COUNTIFS(CONV!C:C,"LPG",CONV!L:L,"R K SABHERWAL",CONV!R:R,"Elect"),COUNTIFS(RHA!C:C,"LPG",RHA!L:L,"R K SABHERWAL"))</f>
        <v>4</v>
      </c>
      <c r="U32" s="100">
        <f>SUM(COUNTIFS(North!C:C,"lps",North!L:L,"R K Sabherwal"),COUNTIFS(KOAA!C:C,"lps",KOAA!L:L,"R K Sabherwal"),COUNTIFS(South!C:C,"lps",South!L:L,"R K Sabherwal"),COUNTIFS(DDJ!C:C,"lps",DDJ!L:L,"R K Sabherwal"),COUNTIFS(BT!C:C,"lps",BT!L:L,"R K Sabherwal"),COUNTIFS(NH!C:C,"lps",NH!L:L,"R K Sabherwal"),COUNTIFS(CONV!C:C,"LPS",CONV!L:L,"R K SABHERWAL",CONV!R:R,"Elect"),COUNTIFS(RHA!C:C,"LPS",RHA!L:L,"R K SABHERWAL"))</f>
        <v>5</v>
      </c>
      <c r="V32" s="100">
        <f>SUM(COUNTIFS(North!C:C,"alp",North!L:L,"R K Sabherwal"),COUNTIFS(KOAA!C:C,"alp",KOAA!L:L,"R K Sabherwal"),COUNTIFS(South!C:C,"alp",South!L:L,"R K Sabherwal"),COUNTIFS(DDJ!C:C,"alp",DDJ!L:L,"R K Sabherwal"),COUNTIFS(BT!C:C,"alp",BT!L:L,"R K Sabherwal"),COUNTIFS(NH!C:C,"alp",NH!L:L,"R K Sabherwal"),COUNTIFS(CONV!C:C,"ALP",CONV!L:L,"R K SABHERWAL"),COUNTIFS(RHA!C:C,"ALP",RHA!L:L,"R K SABHERWAL"))</f>
        <v>12</v>
      </c>
      <c r="W32" s="104">
        <v>0</v>
      </c>
      <c r="X32" s="101">
        <f t="shared" si="17"/>
        <v>47</v>
      </c>
      <c r="Y32" s="102">
        <f t="shared" si="18"/>
        <v>30</v>
      </c>
    </row>
    <row r="33" spans="1:41" ht="15.75" customHeight="1">
      <c r="A33" s="15" t="s">
        <v>21</v>
      </c>
      <c r="B33" s="53">
        <f>COUNTIFS(CONV!C:C,"LPS",CONV!K:K,"CC(R) NORTH",CONV!R:R,"DSL")</f>
        <v>0</v>
      </c>
      <c r="C33" s="82">
        <f>COUNTIFS(CONV!C:C,"LPS",CONV!K:K,"CC(R) South",CONV!R:R,"DSL")</f>
        <v>0</v>
      </c>
      <c r="D33" s="82">
        <f>COUNTIFS(CONV!C:C,"LPS",CONV!K:K,"CC(R) KOAA",CONV!R:R,"DSL")</f>
        <v>2</v>
      </c>
      <c r="E33" s="82">
        <f>COUNTIFS(CONV!C:C,"LPS",CONV!K:K,"CC(R) DDJ",CONV!R:R,"DSL")</f>
        <v>5</v>
      </c>
      <c r="F33" s="82">
        <f>COUNTIFS(CONV!C:C,"LPS",CONV!K:K,"CC(R) NH",CONV!R:R,"DSL")</f>
        <v>6</v>
      </c>
      <c r="G33" s="82">
        <f>COUNTIFS(CONV!C:C,"LPS",CONV!K:K,"CC(R) BT",CONV!R:R,"DSL")</f>
        <v>0</v>
      </c>
      <c r="H33" s="83">
        <f>COUNTIFS(CONV!C:C,"LPS",CONV!K:K,"CC(R) RHA",CONV!R:R,"DSL")</f>
        <v>4</v>
      </c>
      <c r="I33" s="16">
        <f t="shared" si="16"/>
        <v>17</v>
      </c>
      <c r="O33" s="97">
        <v>5</v>
      </c>
      <c r="P33" s="98" t="s">
        <v>47</v>
      </c>
      <c r="Q33" s="100">
        <f>SUM(COUNTIFS(North!C:C,"LPM",North!L:L,"kalyan das"),COUNTIFS(KOAA!C:C,"LPM",KOAA!L:L,"kalyan das"),COUNTIFS(South!C:C,"LPM",South!L:L,"kalyan das"),COUNTIFS(DDJ!C:C,"LPM",DDJ!L:L,"kalyan das"),COUNTIFS(BT!C:C,"LPM",BT!L:L,"kalyan das"),COUNTIFS(NH!C:C,"LPM",NH!L:L,"kalyan das"),COUNTIFS(CONV!C:C,"LPM",CONV!L:L,"KALYAN DAS"))</f>
        <v>0</v>
      </c>
      <c r="R33" s="100">
        <f>SUM(COUNTIFS(North!C:C,"LPp(loco)",North!L:L,"kalyan das"),COUNTIFS(KOAA!C:C,"LPp(loco)",KOAA!L:L,"kalyan das"),COUNTIFS(South!C:C,"LPp(loco)",South!L:L,"kalyan das"),COUNTIFS(DDJ!C:C,"LPp(loco)",DDJ!L:L,"kalyan das"),COUNTIFS(BT!C:C,"LPp(loco)",BT!L:L,"kalyan das"),COUNTIFS(NH!C:C,"LPp(loco)",NH!L:L,"kalyan das"),COUNTIFS(CONV!C:C,"LPP(LOCO)",CONV!L:L,"KALYAN DAS"))</f>
        <v>0</v>
      </c>
      <c r="S33" s="105">
        <f>SUM(COUNTIFS(North!C:C,"motorman",North!L:L,"kalyan das"),COUNTIFS(KOAA!C:C,"motorman",KOAA!L:L,"kalyan das"),COUNTIFS(South!C:C,"motorman",South!L:L,"kalyan das"),COUNTIFS(DDJ!C:C,"motorman",DDJ!L:L,"kalyan das"),COUNTIFS(BT!C:C,"motorman",BT!L:L,"kalyan das"),COUNTIFS(NH!C:C,"motorman",NH!L:L,"kalyan das"),COUNTIFS(CONV!C:C,"MOTORMAN",CONV!L:L,"KALYAN DAS"),COUNTIFS(RHA!C:C,"motorman",RHA!L:L,"kalyan das"))</f>
        <v>35</v>
      </c>
      <c r="T33" s="100">
        <f>SUM(COUNTIFS(North!C:C,"lpg",North!L:L,"kalyan das"),COUNTIFS(KOAA!C:C,"lpg",KOAA!L:L,"kalyan das"),COUNTIFS(South!C:C,"lpg",South!L:L,"kalyan das"),COUNTIFS(DDJ!C:C,"lpg",DDJ!L:L,"kalyan das"),COUNTIFS(BT!C:C,"lpg",BT!L:L,"kalyan das"),COUNTIFS(NH!C:C,"lpg",NH!L:L,"kalyan das"),COUNTIFS(CONV!C:C,"LPG",CONV!L:L,"KALYAN DAS",CONV!R:R,"Elect"),COUNTIFS(RHA!C:C,"LPG",RHA!L:L,"KALYAN DAS"))</f>
        <v>10</v>
      </c>
      <c r="U33" s="100">
        <f>SUM(COUNTIFS(North!C:C,"lps",North!L:L,"kalyan das"),COUNTIFS(KOAA!C:C,"lps",KOAA!L:L,"kalyan das"),COUNTIFS(South!C:C,"lps",South!L:L,"kalyan das"),COUNTIFS(DDJ!C:C,"lps",DDJ!L:L,"kalyan das"),COUNTIFS(BT!C:C,"lps",BT!L:L,"kalyan das"),COUNTIFS(NH!C:C,"lps",NH!L:L,"kalyan das"),COUNTIFS(CONV!C:C,"lps",CONV!L:L,"kalyan das",CONV!R:R,"Elect"),COUNTIFS(RHA!C:C,"lps",RHA!L:L,"kalyan das"))</f>
        <v>7</v>
      </c>
      <c r="V33" s="100">
        <f>SUM(COUNTIFS(North!C:C,"alp",North!L:L,"Kalyan Das"),COUNTIFS(KOAA!C:C,"alp",KOAA!L:L,"Kalyan Das"),COUNTIFS(South!C:C,"alp",South!L:L,"Kalyan Das"),COUNTIFS(DDJ!C:C,"alp",DDJ!L:L,"Kalyan Das"),COUNTIFS(BT!C:C,"alp",BT!L:L,"Kalyan Das"),COUNTIFS(NH!C:C,"alp",NH!L:L,"Kalyan Das"),COUNTIFS(CONV!C:C,"ALP",CONV!L:L,"Kalyan Das"),COUNTIFS(RHA!C:C,"ALP",RHA!L:L,"Kalyan Das"))</f>
        <v>15</v>
      </c>
      <c r="W33" s="104">
        <v>0</v>
      </c>
      <c r="X33" s="101">
        <f t="shared" si="17"/>
        <v>67</v>
      </c>
      <c r="Y33" s="102">
        <f t="shared" si="18"/>
        <v>45</v>
      </c>
    </row>
    <row r="34" spans="1:41" ht="15.75" customHeight="1">
      <c r="A34" s="15" t="s">
        <v>22</v>
      </c>
      <c r="B34" s="82">
        <f>COUNTIFS(CONV!C:C,"ALP",CONV!K:K,"CC(R) NORTH",CONV!R:R,"DSL")</f>
        <v>0</v>
      </c>
      <c r="C34" s="82">
        <f>COUNTIFS(CONV!C:C,"ALP",CONV!K:K,"CC(R) South",CONV!R:R,"DSL")</f>
        <v>0</v>
      </c>
      <c r="D34" s="82">
        <f>COUNTIFS(CONV!C:C,"ALP",CONV!K:K,"CC(R) KOAA",CONV!R:R,"DSL")</f>
        <v>0</v>
      </c>
      <c r="E34" s="82">
        <f>COUNTIFS(CONV!C:C,"ALP",CONV!K:K,"CC(R) DDJ",CONV!R:R,"DSL")</f>
        <v>39</v>
      </c>
      <c r="F34" s="82">
        <f>COUNTIFS(CONV!C:C,"ALP",CONV!K:K,"CC(R) NH",CONV!R:R,"DSL")</f>
        <v>11</v>
      </c>
      <c r="G34" s="82">
        <f>COUNTIFS(CONV!C:C,"ALP",CONV!K:K,"CC(R) BT",CONV!R:R,"DSL")</f>
        <v>0</v>
      </c>
      <c r="H34" s="83">
        <f>COUNTIFS(CONV!C:C,"ALP",CONV!K:K,"CC(R) RHA",CONV!R:R,"DSL")</f>
        <v>11</v>
      </c>
      <c r="I34" s="16">
        <f t="shared" si="16"/>
        <v>61</v>
      </c>
      <c r="N34" s="6"/>
      <c r="O34" s="97">
        <v>6</v>
      </c>
      <c r="P34" s="106" t="s">
        <v>48</v>
      </c>
      <c r="Q34" s="107">
        <f>SUM(COUNTIFS(North!C:C,"LPM",North!L:L,"UTPAL HALDER"),COUNTIFS(KOAA!C:C,"LPM",KOAA!L:L,"UTPAL HALDER"),COUNTIFS(South!C:C,"LPM",South!L:L,"UTPAL HALDER"),COUNTIFS(DDJ!C:C,"LPM",DDJ!L:L,"UTPAL HALDER"),COUNTIFS(BT!C:C,"LPM",BT!L:L,"UTPAL HALDER"),COUNTIFS(NH!C:C,"LPM",NH!L:L,"UTPAL HALDER"),COUNTIFS(CONV!C:C,"LPM",CONV!L:L,"UTPAL HALDER"))</f>
        <v>0</v>
      </c>
      <c r="R34" s="100">
        <f>SUM(COUNTIFS(North!C:C,"lpp(loco)",North!L:L,"UTPAL HALDER"),COUNTIFS(KOAA!C:C,"lpp(loco)",KOAA!L:L,"UTPAL HALDER"),COUNTIFS(South!C:C,"lpp(loco)",South!L:L,"UTPAL HALDER"),COUNTIFS(DDJ!C:C,"lpp(loco)",DDJ!L:L,"UTPAL HALDER"),COUNTIFS(BT!C:C,"lpp(loco)",BT!L:L,"UTPAL HALDER"),COUNTIFS(NH!C:C,"lpp(loco)",NH!L:L,"UTPAL HALDER"),COUNTIFS(CONV!C:C,"LPP(LOCO)",CONV!L:L,"UTPAL HALDER"))</f>
        <v>2</v>
      </c>
      <c r="S34" s="105">
        <f>SUM(COUNTIFS(North!C:C,"motorman",North!L:L,"UTPAL HALDER"),COUNTIFS(KOAA!C:C,"motorman",KOAA!L:L,"UTPAL HALDER"),COUNTIFS(South!C:C,"motorman",South!L:L,"UTPAL HALDER"),COUNTIFS(DDJ!C:C,"motorman",DDJ!L:L,"UTPAL HALDER"),COUNTIFS(BT!C:C,"motorman",BT!L:L,"UTPAL HALDER"),COUNTIFS(NH!C:C,"motorman",NH!L:L,"UTPAL HALDER"),COUNTIFS(CONV!C:C,"MOTORMAN",CONV!L:L,"UTPAL HALDER"),COUNTIFS(RHA!C:C,"motorman",RHA!L:L,"UTPAL HALDER"))</f>
        <v>7</v>
      </c>
      <c r="T34" s="105">
        <f>SUM(COUNTIFS(North!C:C,"lpg",North!L:L,"UTPAL HALDER"),COUNTIFS(KOAA!C:C,"lpg",KOAA!L:L,"UTPAL HALDER"),COUNTIFS(South!C:C,"lpg",South!L:L,"UTPAL HALDER"),COUNTIFS(DDJ!C:C,"lpg",DDJ!L:L,"UTPAL HALDER"),COUNTIFS(BT!C:C,"lpg",BT!L:L,"sibasis roy"),COUNTIFS(NH!C:C,"lpg",NH!L:L,"UTPAL HALDER"),COUNTIFS(CONV!C:C,"LPG",CONV!L:L,"UTPAL HALDER",CONV!R:R,"Elect"),COUNTIFS(RHA!C:C,"LPG",RHA!L:L,"UTPAL HALDER"))</f>
        <v>2</v>
      </c>
      <c r="U34" s="100">
        <f>SUM(COUNTIFS(North!C:C,"lps",North!L:L,"UTPAL HALDER"),COUNTIFS(KOAA!C:C,"lps",KOAA!L:L,"UTPAL HALDER"),COUNTIFS(South!C:C,"lps",South!L:L,"UTPAL HALDER"),COUNTIFS(DDJ!C:C,"lps",DDJ!L:L,"UTPAL HALDER"),COUNTIFS(BT!C:C,"lps",BT!L:L,"UTPAL HALDER"),COUNTIFS(NH!C:C,"lps",NH!L:L,"UTPAL HALDER"),COUNTIFS(CONV!C:C,"LPS",CONV!L:L,"UTPAL HALDER",CONV!R:R,"Elect"),COUNTIFS(CONV!C:C,"ALP",CONV!L:L,"UTPAL HALDER",CONV!R:R,"Elect"),COUNTIFS(RHA!C:C,"ALP",RHA!L:L,"UTPAL HALDER"))</f>
        <v>1</v>
      </c>
      <c r="V34" s="100">
        <f>SUM(COUNTIFS(North!C:C,"alp",North!L:L,"UTPAL HALDER"),COUNTIFS(KOAA!C:C,"alp",KOAA!L:L,"UTPAL HALDER"),COUNTIFS(South!C:C,"alp",South!L:L,"UTPAL HALDER"),COUNTIFS(DDJ!C:C,"alp",DDJ!L:L,"UTPAL HALDER"),COUNTIFS(BT!C:C,"alp",BT!L:L,"sibasis roy"),COUNTIFS(NH!C:C,"alp",NH!L:L,"UTPAL HALDER"),COUNTIFS(RHA!C:C,"alp",RHA!L:L,"UTPAL HALDER"))</f>
        <v>1</v>
      </c>
      <c r="W34" s="104">
        <v>0</v>
      </c>
      <c r="X34" s="101">
        <f t="shared" si="17"/>
        <v>13</v>
      </c>
      <c r="Y34" s="102">
        <f t="shared" si="18"/>
        <v>11</v>
      </c>
      <c r="AF34" s="6"/>
      <c r="AG34" s="6"/>
      <c r="AH34" s="6"/>
      <c r="AI34" s="6"/>
      <c r="AJ34" s="7"/>
      <c r="AK34" s="7"/>
      <c r="AL34" s="6"/>
      <c r="AM34" s="6"/>
      <c r="AN34" s="6"/>
      <c r="AO34" s="6"/>
    </row>
    <row r="35" spans="1:41" ht="15.75" customHeight="1">
      <c r="A35" s="15" t="s">
        <v>17</v>
      </c>
      <c r="B35" s="16">
        <f t="shared" ref="B35:H35" si="19">SUM(B29:B34)</f>
        <v>0</v>
      </c>
      <c r="C35" s="16">
        <f t="shared" si="19"/>
        <v>0</v>
      </c>
      <c r="D35" s="16">
        <f t="shared" si="19"/>
        <v>2</v>
      </c>
      <c r="E35" s="16">
        <f t="shared" si="19"/>
        <v>121</v>
      </c>
      <c r="F35" s="16">
        <f t="shared" si="19"/>
        <v>38</v>
      </c>
      <c r="G35" s="16">
        <f t="shared" si="19"/>
        <v>0</v>
      </c>
      <c r="H35" s="16">
        <f t="shared" si="19"/>
        <v>28</v>
      </c>
      <c r="I35" s="16">
        <f t="shared" si="16"/>
        <v>189</v>
      </c>
      <c r="N35" s="6"/>
      <c r="O35" s="97">
        <v>7</v>
      </c>
      <c r="P35" s="108" t="s">
        <v>49</v>
      </c>
      <c r="Q35" s="100">
        <f>SUM(COUNTIFS(North!C:C,"lpm",North!L:L,"S S MUNDA"),COUNTIFS(KOAA!C:C,"lpm",KOAA!L:L,"S S MUNDA"),COUNTIFS(South!C:C,"lpm",South!L:L,"S S MUNDA"),COUNTIFS(DDJ!C:C,"lpm",DDJ!L:L,"S S MUNDA"),COUNTIFS(BT!C:C,"lpm",BT!L:L,"S S MUNDA"),COUNTIFS(NH!C:C,"lpm",NH!L:L,"S S MUNDA"),COUNTIFS(CONV!C:C,"LPM",CONV!L:L,"S S MUNDA"))</f>
        <v>1</v>
      </c>
      <c r="R35" s="100">
        <f>SUM(COUNTIFS(North!C:C,"LPP(LOCO)",North!L:L,"S S MUNDA"),COUNTIFS(KOAA!C:C,"LPP(LOCO)",KOAA!L:L,"S S MUNDA"),COUNTIFS(South!C:C,"LPP(LOCO)",South!L:L,"S S MUNDA"),COUNTIFS(DDJ!C:C,"LPP(LOCO)",DDJ!L:L,"S S MUNDA"),COUNTIFS(BT!C:C,"LPP(LOCO)",BT!L:L,"S S MUNDA"),COUNTIFS(NH!C:C,"LPP(LOCO)",NH!L:L,"S S MUNDA"),COUNTIFS(CONV!C:C,"LPP(LOCO)",CONV!L:L,"S S MUNDA"))</f>
        <v>0</v>
      </c>
      <c r="S35" s="100">
        <f>SUM(COUNTIFS(North!C:C,"MOTORMAN",North!L:L,"S S MUNDA"),COUNTIFS(KOAA!C:C,"MOTORMAN",KOAA!L:L,"S S MUNDA"),COUNTIFS(South!C:C,"MOTORMAN",South!L:L,"S S MUNDA"),COUNTIFS(DDJ!C:C,"MOTORMAN",DDJ!L:L,"S S MUNDA"),COUNTIFS(BT!C:C,"MOTORMAN",BT!L:L,"S S MUNDA"),COUNTIFS(NH!C:C,"MOTORMAN",NH!L:L,"S S MUNDA"),COUNTIFS(CONV!C:C,"MOTORMAN",CONV!L:L,"S S MUNDA"),COUNTIFS(RHA!C:C,"MOTORMAN",RHA!L:L,"S S MUNDA"))</f>
        <v>15</v>
      </c>
      <c r="T35" s="105">
        <f>SUM(COUNTIFS(North!C:C,"LPG",North!L:L,"S S MUNDA"),COUNTIFS(KOAA!C:C,"LPG",KOAA!L:L,"S S MUNDA"),COUNTIFS(South!C:C,"LPG",South!L:L,"S S MUNDA"),COUNTIFS(DDJ!C:C,"LPG",DDJ!L:L,"S S MUNDA"),COUNTIFS(BT!C:C,"LPG",BT!L:L,"S S MUNDA"),COUNTIFS(NH!C:C,"LPG",NH!L:L,"S S MUNDA"),COUNTIFS(CONV!C:C,"LPG",CONV!L:L,"S S MUNDA",CONV!R:R,"Elect"),COUNTIFS(RHA!C:C,"LPG",RHA!L:L,"S S MUNDA"))</f>
        <v>5</v>
      </c>
      <c r="U35" s="100">
        <f>SUM(COUNTIFS(North!C:C,"LPS",North!L:L,"S S MUNDA"),COUNTIFS(KOAA!C:C,"LPS",KOAA!L:L,"S S MUNDA"),COUNTIFS(South!C:C,"LPS",South!L:L,"S S MUNDA"),COUNTIFS(DDJ!C:C,"LPS",DDJ!L:L,"S S MUNDA"),COUNTIFS(BT!C:C,"LPS",BT!L:L,"S S MUNDA"),COUNTIFS(NH!C:C,"LPS",NH!L:L,"S S MUNDA"),COUNTIFS(CONV!C:C,"LPS",CONV!L:L,"S S MUNDA",CONV!R:R,"Elect"),COUNTIFS(RHA!C:C,"LPS",RHA!L:L,"S S MUNDA"))</f>
        <v>1</v>
      </c>
      <c r="V35" s="100">
        <f>SUM(COUNTIFS(North!C:C,"ALP",North!L:L,"S S MUNDA"),COUNTIFS(KOAA!C:C,"ALP",KOAA!L:L,"S S MUNDA"),COUNTIFS(South!C:C,"ALP",South!L:L,"S S MUNDA"),COUNTIFS(DDJ!C:C,"ALP",DDJ!L:L,"S S MUNDA"),COUNTIFS(BT!C:C,"ALP",BT!L:L,"S S MUNDA"),COUNTIFS(NH!C:C,"ALP",NH!L:L,"S S MUNDA"),COUNTIFS(CONV!C:C,"ALP",CONV!L:L,"S S MUNDA"),COUNTIFS(RHA!C:C,"ALP",RHA!L:L,"S S MUNDA"))</f>
        <v>8</v>
      </c>
      <c r="W35" s="104">
        <f ca="1">IFERROR(__xludf.DUMMYFUNCTION("IMPORTRANGE(""https://docs.google.com/spreadsheets/d/1mJewmOL7uFLOZntlUxVr1CaPuLkVrP0Vw3DUi9u3slk/edit?usp=sharing"",""SUMMARY!C34"")"),42)</f>
        <v>42</v>
      </c>
      <c r="X35" s="101">
        <f t="shared" ca="1" si="17"/>
        <v>72</v>
      </c>
      <c r="Y35" s="102">
        <f t="shared" si="18"/>
        <v>21</v>
      </c>
      <c r="AO35" s="6"/>
    </row>
    <row r="36" spans="1:41" ht="15.75" customHeight="1">
      <c r="B36" s="109"/>
      <c r="C36" s="109"/>
      <c r="D36" s="109"/>
      <c r="E36" s="109"/>
      <c r="F36" s="109"/>
      <c r="G36" s="109"/>
      <c r="H36" s="109"/>
      <c r="I36" s="109"/>
      <c r="O36" s="97">
        <v>8</v>
      </c>
      <c r="P36" s="110" t="s">
        <v>50</v>
      </c>
      <c r="Q36" s="111">
        <f>SUM(COUNTIFS(North!C:C,"lpm",North!L:L,"SANJAY KR GUPTA"),COUNTIFS(KOAA!C:C,"lpm",KOAA!L:L,"SANJAY KR GUPTA"),COUNTIFS(South!C:C,"lpm",South!L:L,"SANJAY KR GUPTA"),COUNTIFS(DDJ!C:C,"lpm",DDJ!L:L,"SANJAY KR GUPTA"),COUNTIFS(BT!C:C,"lpm",BT!L:L,"SANJAY KR GUPTA"),COUNTIFS(NH!C:C,"lpm",NH!L:L,"SANJAY KR GUPTA"),COUNTIFS(CONV!C:C,"LPM",CONV!L:L,"SANJAY KR GUPTA"))</f>
        <v>11</v>
      </c>
      <c r="R36" s="111">
        <f>SUM(COUNTIFS(North!C:C,"lpp(loco)",North!L:L,"SANJAY KR GUPTA"),COUNTIFS(KOAA!C:C,"lpp(loco)",KOAA!L:L,"SANJAY KR GUPTA"),COUNTIFS(South!C:C,"lpp(loco)",South!L:L,"SANJAY KR GUPTA"),COUNTIFS(DDJ!C:C,"lpp(loco)",DDJ!L:L,"SANJAY KR GUPTA"),COUNTIFS(BT!C:C,"lpp(loco)",BT!L:L,"SANJAY KR GUPTA"),COUNTIFS(NH!C:C,"lpp(loco)",NH!L:L,"SANJAY KR GUPTA"),COUNTIFS(CONV!C:C,"LPP(LOCO)",CONV!L:L,"SANJAY KR GUPTA"))</f>
        <v>7</v>
      </c>
      <c r="S36" s="111">
        <f>SUM(COUNTIFS(North!C:C,"motorman",North!L:L,"SANJAY KR GUPTA"),COUNTIFS(KOAA!C:C,"motorman",KOAA!L:L,"SANJAY KR GUPTA"),COUNTIFS(South!C:C,"motorman",South!L:L,"SANJAY KR GUPTA"),COUNTIFS(DDJ!C:C,"motorman",DDJ!L:L,"SANJAY KR GUPTA"),COUNTIFS(BT!C:C,"motorman",BT!L:L,"SANJAY KR GUPTA"),COUNTIFS(NH!C:C,"motorman",NH!L:L,"SANJAY KR GUPTA"),COUNTIFS(CONV!C:C,"MOTORMAN",CONV!L:L,"SANJAY KR GUPTA"),COUNTIFS(RHA!C:C,"MOTORMAN",RHA!L:L,"SANJAY KR GUPTA"))</f>
        <v>0</v>
      </c>
      <c r="T36" s="111">
        <f>SUM(COUNTIFS(North!C:C,"lpg",North!L:L,"SANJAY KR GUPTA"),COUNTIFS(KOAA!C:C,"lpg",KOAA!L:L,"SANJAY KR GUPTA"),COUNTIFS(South!C:C,"lpg",South!L:L,"SANJAY KR GUPTA"),COUNTIFS(DDJ!C:C,"lpg",DDJ!L:L,"SANJAY KR GUPTA"),COUNTIFS(BT!C:C,"lpg",BT!L:L,"SANJAY KR GUPTA"),COUNTIFS(NH!C:C,"lpg",NH!L:L,"SANJAY KR GUPTA"),COUNTIFS(CONV!C:C,"LPG",CONV!L:L,"SANJAY KR GUPTA",CONV!R:R,"Elect"),,COUNTIFS(RHA!C:C,"LPG",RHA!L:L,"SANJAY KR GUPTA"))</f>
        <v>1</v>
      </c>
      <c r="U36" s="111">
        <f>SUM(COUNTIFS(North!C:C,"lps",North!L:L,"SANJAY KR GUPTA"),COUNTIFS(KOAA!C:C,"lps",KOAA!L:L,"SANJAY KR GUPTA"),COUNTIFS(South!C:C,"lps",South!L:L,"SANJAY KR GUPTA"),COUNTIFS(DDJ!C:C,"lps",DDJ!L:L,"SANJAY KR GUPTA"),COUNTIFS(BT!C:C,"lps",BT!L:L,"SANJAY KR GUPTA"),COUNTIFS(NH!C:C,"lps",NH!L:L,"SANJAY KR GUPTA"),COUNTIFS(CONV!C:C,"LPS",CONV!L:L,"SANJAY KR GUPTA",CONV!R:R,"Elect"),COUNTIFS(RHA!C:C,"LPS",RHA!L:L,"SANJAY KR GUPTA"))</f>
        <v>13</v>
      </c>
      <c r="V36" s="111">
        <f>SUM(COUNTIFS(North!C:C,"alp",North!L:L,"SANJAY KR GUPTA"),COUNTIFS(KOAA!C:C,"alp",KOAA!L:L,"SANJAY KR GUPTA"),COUNTIFS(South!C:C,"alp",South!L:L,"SANJAY KR GUPTA"),COUNTIFS(DDJ!C:C,"alp",DDJ!L:L,"SANJAY KR GUPTA"),COUNTIFS(BT!C:C,"alp",BT!L:L,"SANJAY KR GUPTA"),COUNTIFS(NH!C:C,"alp",NH!L:L,"SANJAY KR GUPTA"),COUNTIFS(CONV!C:C,"ALP",CONV!L:L,"SANJAY KR GUPTA"),COUNTIFS(RHA!C:C,"alp",RHA!L:L,"SANJAY KR GUPTA"))</f>
        <v>35</v>
      </c>
      <c r="W36" s="104">
        <v>0</v>
      </c>
      <c r="X36" s="102">
        <f t="shared" si="17"/>
        <v>67</v>
      </c>
      <c r="Y36" s="102">
        <f t="shared" si="18"/>
        <v>19</v>
      </c>
      <c r="AO36" s="6"/>
    </row>
    <row r="37" spans="1:41" ht="15.75" customHeight="1">
      <c r="A37" s="112" t="s">
        <v>51</v>
      </c>
      <c r="B37" s="2" t="s">
        <v>0</v>
      </c>
      <c r="C37" s="113">
        <v>51226</v>
      </c>
      <c r="D37" s="3"/>
      <c r="E37" s="3"/>
      <c r="F37" s="3"/>
      <c r="G37" s="3"/>
      <c r="H37" s="3"/>
      <c r="I37" s="3"/>
      <c r="J37" s="3"/>
      <c r="K37" s="3"/>
      <c r="L37" s="3"/>
      <c r="N37" s="6"/>
      <c r="O37" s="97">
        <v>9</v>
      </c>
      <c r="P37" s="114" t="s">
        <v>52</v>
      </c>
      <c r="Q37" s="102">
        <f>SUM(COUNTIFS(North!C:C,"lpm",North!L:L,"SIDDHARTHA BISWAS"),COUNTIFS(KOAA!C:C,"lpm",KOAA!L:L,"SIDDHARTHA BISWAS"),COUNTIFS(South!C:C,"lpm",South!L:L,"SIDDHARTHA BISWAS"),COUNTIFS(DDJ!C:C,"lpm",DDJ!L:L,"SIDDHARTHA BISWAS"),COUNTIFS(BT!C:C,"lpm",BT!L:L,"SIDDHARTHA BISWAS"),COUNTIFS(NH!C:C,"lpm",NH!L:L,"SIDDHARTHA BISWAS"),COUNTIFS(CONV!C:C,"LPM",CONV!L:L,"SIDDHARTHA BISWAS"))</f>
        <v>0</v>
      </c>
      <c r="R37" s="102">
        <f>SUM(COUNTIFS(North!C:C,"lpp(loco)",North!L:L,"SIDDHARTHA BISWAS"),COUNTIFS(KOAA!C:C,"lpp(loco)",KOAA!L:L,"SIDDHARTHA BISWAS"),COUNTIFS(South!C:C,"lpp(loco)",South!L:L,"SIDDHARTHA BISWAS"),COUNTIFS(DDJ!C:C,"lpp(loco)",DDJ!L:L,"SIDDHARTHA BISWAS"),COUNTIFS(BT!C:C,"lpp(loco)",BT!L:L,"SIDDHARTHA BISWAS"),COUNTIFS(NH!C:C,"lpp(loco)",NH!L:L,"SIDDHARTHA BISWAS"),COUNTIFS(CONV!C:C,"LPP(LOCO)",CONV!L:L,"SIDDHARTHA BISWAS"))</f>
        <v>0</v>
      </c>
      <c r="S37" s="115">
        <f>SUM(COUNTIFS(North!C:C,"motorman",North!L:L,"SIDDHARTHA BISWAS"),COUNTIFS(KOAA!C:C,"motorman",KOAA!L:L,"SIDDHARTHA BISWAS"),COUNTIFS(South!C:C,"motorman",South!L:L,"SIDDHARTHA BISWAS"),COUNTIFS(DDJ!C:C,"motorman",DDJ!L:L,"SIDDHARTHA BISWAS"),COUNTIFS(BT!C:C,"motorman",BT!L:L,"SIDDHARTHA BISWAS"),COUNTIFS(NH!C:C,"motorman",NH!L:L,"SIDDHARTHA BISWAS"),COUNTIFS(CONV!C:C,"MOTORMAN",CONV!L:L,"SIDDHARTHA BISWAS"),COUNTIFS(RHA!C:C,"MOTORMAN",RHA!L:L,"SIDDHARTHA BISWAS"))</f>
        <v>36</v>
      </c>
      <c r="T37" s="116">
        <f>SUM(COUNTIFS(North!C:C,"lpg",North!L:L,"SIDDHARTHA BISWAS"),COUNTIFS(KOAA!C:C,"lpg",KOAA!L:L,"SIDDHARTHA BISWAS"),COUNTIFS(South!C:C,"lpg",South!L:L,"SIDDHARTHA BISWAS"),COUNTIFS(DDJ!C:C,"lpg",DDJ!L:L,"SIDDHARTHA BISWAS"),COUNTIFS(BT!C:C,"lpg",BT!L:L,"SIDDHARTHA BISWAS"),COUNTIFS(NH!C:C,"lpg",NH!L:L,"SIDDHARTHA BISWAS"),COUNTIFS(CONV!C:C,"LPG",CONV!L:L,"SIDDHARTHA BISWAS",CONV!R:R,"Elect"),COUNTIFS(RHA!C:C,"LPG",RHA!L:L,"SIDDHARTHA BISWAS"))</f>
        <v>11</v>
      </c>
      <c r="U37" s="117">
        <f>SUM(COUNTIFS(North!C:C,"lps",North!L:L,"SIDDHARTHA BISWAS"),COUNTIFS(KOAA!C:C,"lps",KOAA!L:L,"SIDDHARTHA BISWAS"),COUNTIFS(South!C:C,"lps",South!L:L,"SIDDHARTHA BISWAS"),COUNTIFS(DDJ!C:C,"lps",DDJ!L:L,"SIDDHARTHA BISWAS"),COUNTIFS(BT!C:C,"lps",BT!L:L,"SIDDHARTHA BISWAS"),COUNTIFS(NH!C:C,"lps",NH!L:L,"SIDDHARTHA BISWAS"),COUNTIFS(CONV!C:C,"LPS",CONV!L:L,"SIDDHARTHA BISWAS",CONV!R:R,"Elect"),COUNTIFS(RHA!C:C,"LPS",RHA!L:L,"SIDDHARTHA BISWAS"))</f>
        <v>6</v>
      </c>
      <c r="V37" s="102">
        <f>SUM(COUNTIFS(North!C:C,"alp",North!L:L,"SIDDHARTHA BISWAS"),COUNTIFS(KOAA!C:C,"alp",KOAA!L:L,"SIDDHARTHA BISWAS"),COUNTIFS(South!C:C,"alp",South!L:L,"SIDDHARTHA BISWAS"),COUNTIFS(DDJ!C:C,"alp",DDJ!L:L,"SIDDHARTHA BISWAS"),COUNTIFS(BT!C:C,"alp",BT!L:L,"SIDDHARTHA BISWAS"),COUNTIFS(NH!C:C,"alp",NH!L:L,"SIDDHARTHA BISWAS"),COUNTIFS(CONV!C:C,"ALP",CONV!L:L,"SIDDHARTHA BISWAS"),COUNTIFS(RHA!C:C,"ALP",RHA!L:L,"SIDDHARTHA BISWAS"))</f>
        <v>16</v>
      </c>
      <c r="W37" s="104">
        <v>0</v>
      </c>
      <c r="X37" s="102">
        <f t="shared" si="17"/>
        <v>69</v>
      </c>
      <c r="Y37" s="102">
        <f t="shared" si="18"/>
        <v>47</v>
      </c>
      <c r="AC37" s="7"/>
      <c r="AO37" s="6"/>
    </row>
    <row r="38" spans="1:41" ht="15.75" customHeight="1">
      <c r="A38" s="10"/>
      <c r="B38" s="10" t="s">
        <v>3</v>
      </c>
      <c r="C38" s="10" t="s">
        <v>4</v>
      </c>
      <c r="D38" s="10" t="s">
        <v>5</v>
      </c>
      <c r="E38" s="10" t="s">
        <v>36</v>
      </c>
      <c r="F38" s="10" t="s">
        <v>7</v>
      </c>
      <c r="G38" s="10" t="s">
        <v>8</v>
      </c>
      <c r="H38" s="12" t="s">
        <v>9</v>
      </c>
      <c r="I38" s="12" t="s">
        <v>10</v>
      </c>
      <c r="J38" s="12" t="s">
        <v>11</v>
      </c>
      <c r="K38" s="12" t="s">
        <v>12</v>
      </c>
      <c r="L38" s="18" t="s">
        <v>13</v>
      </c>
      <c r="O38" s="97">
        <v>10</v>
      </c>
      <c r="P38" s="98" t="s">
        <v>53</v>
      </c>
      <c r="Q38" s="102">
        <f>SUM(COUNTIFS(North!C:C,"lpm",North!L:L,"BIBHAS SARKAR"),COUNTIFS(KOAA!C:C,"lpm",KOAA!L:L,"BIBHAS SARKAR"),COUNTIFS(South!C:C,"lpm",South!L:L,"BIBHAS SARKAR"),COUNTIFS(DDJ!C:C,"lpm",DDJ!L:L,"BIBHAS SARKAR"),COUNTIFS(BT!C:C,"lpm",BT!L:L,"BIBHAS SARKAR"),COUNTIFS(NH!C:C,"lpm",NH!L:L,"BIBHAS SARKAR"),COUNTIFS(CONV!C:C,"LPM",CONV!L:L,"BIBHAS SARKAR"))</f>
        <v>0</v>
      </c>
      <c r="R38" s="102">
        <f>SUM(COUNTIFS(North!C:C,"lpp(loco)",North!L:L,"BIBHAS SARKAR"),COUNTIFS(KOAA!C:C,"lpp(loco)",KOAA!L:L,"BIBHAS SARKAR"),COUNTIFS(South!C:C,"lpp(loco)",South!L:L,"BIBHAS SARKAR"),COUNTIFS(DDJ!C:C,"lpp(loco)",DDJ!L:L,"BIBHAS SARKAR"),COUNTIFS(BT!C:C,"lpp(loco)",BT!L:L,"BIBHAS SARKAR"),COUNTIFS(NH!C:C,"lpp(loco)",NH!L:L,"BIBHAS SARKAR"),COUNTIFS(CONV!C:C,"LPP(LOCO)",CONV!L:L,"BIBHAS SARKAR"))</f>
        <v>0</v>
      </c>
      <c r="S38" s="115">
        <f>SUM(COUNTIFS(North!C:C,"motorman",North!L:L,"BIBHAS SARKAR"),COUNTIFS(KOAA!C:C,"motorman",KOAA!L:L,"BIBHAS SARKAR"),COUNTIFS(South!C:C,"motorman",South!L:L,"BIBHAS SARKAR"),COUNTIFS(DDJ!C:C,"motorman",DDJ!L:L,"BIBHAS SARKAR"),COUNTIFS(BT!C:C,"motorman",BT!L:L,"BIBHAS SARKAR"),COUNTIFS(NH!C:C,"motorman",NH!L:L,"BIBHAS SARKAR"),COUNTIFS(CONV!C:C,"MOTORMAN",CONV!L:L,"BIBHAS SARKAR"),COUNTIFS(RHA!C:C,"MOTORMAN",RHA!L:L,"BIBHAS SARKAR"))</f>
        <v>37</v>
      </c>
      <c r="T38" s="116">
        <f>SUM(COUNTIFS(North!C:C,"lpg",North!L:L,"BIBHAS SARKAR"),COUNTIFS(KOAA!C:C,"lpg",KOAA!L:L,"BIBHAS SARKAR"),COUNTIFS(South!C:C,"lpg",South!L:L,"BIBHAS SARKAR"),COUNTIFS(DDJ!C:C,"lpg",DDJ!L:L,"BIBHAS SARKAR"),COUNTIFS(BT!C:C,"lpg",BT!L:L,"BIBHAS SARKAR"),COUNTIFS(NH!C:C,"lpg",NH!L:L,"BIBHAS SARKAR"),COUNTIFS(CONV!C:C,"LPG",CONV!L:L,"BIBHAS SARKAR",CONV!R:R,"Elect"),COUNTIFS(RHA!C:C,"LPG",RHA!L:L,"BIBHAS SARKAR"))</f>
        <v>10</v>
      </c>
      <c r="U38" s="117">
        <f>SUM(COUNTIFS(North!C:C,"lps",North!L:L,"BIBHAS SARKAR"),COUNTIFS(KOAA!C:C,"lps",KOAA!L:L,"BIBHAS SARKAR"),COUNTIFS(South!C:C,"lps",South!L:L,"BIBHAS SARKAR"),COUNTIFS(DDJ!C:C,"lps",DDJ!L:L,"BIBHAS SARKAR"),COUNTIFS(BT!C:C,"lps",BT!L:L,"BIBHAS SARKAR"),COUNTIFS(NH!C:C,"lps",NH!L:L,"BIBHAS SARKAR"),COUNTIFS(CONV!C:C,"LPS",CONV!L:L,"BIBHAS SARKAR",CONV!R:R,"Elect"),COUNTIFS(RHA!C:C,"LPS",RHA!L:L,"BIBHAS SARKAR"))</f>
        <v>4</v>
      </c>
      <c r="V38" s="102">
        <f>SUM(COUNTIFS(North!C:C,"alp",North!L:L,"BIBHAS SARKAR"),COUNTIFS(KOAA!C:C,"alp",KOAA!L:L,"BIBHAS SARKAR"),COUNTIFS(South!C:C,"alp",South!L:L,"BIBHAS SARKAR"),COUNTIFS(DDJ!C:C,"alp",DDJ!L:L,"BIBHAS SARKAR"),COUNTIFS(BT!C:C,"alp",BT!L:L,"BIBHAS SARKAR"),COUNTIFS(NH!C:C,"alp",NH!L:L,"BIBHAS SARKAR"),COUNTIFS(CONV!C:C,"ALP",CONV!L:L,"BIBHAS SARKAR"),COUNTIFS(RHA!C:C,"ALP",RHA!L:L,"BIBHAS SARKAR"))</f>
        <v>16</v>
      </c>
      <c r="W38" s="104">
        <v>0</v>
      </c>
      <c r="X38" s="102">
        <f t="shared" si="17"/>
        <v>67</v>
      </c>
      <c r="Y38" s="102">
        <f t="shared" si="18"/>
        <v>47</v>
      </c>
      <c r="AO38" s="6"/>
    </row>
    <row r="39" spans="1:41" ht="15.75" customHeight="1">
      <c r="A39" s="15" t="s">
        <v>14</v>
      </c>
      <c r="B39" s="16">
        <f>COUNTIFS(North!C:C,"LPM",North!N:N,"&lt;="&amp;C37)</f>
        <v>15</v>
      </c>
      <c r="C39" s="16">
        <f>COUNTIFS(South!C:C,"LPM",South!N:N,"&lt;="&amp;C37)</f>
        <v>0</v>
      </c>
      <c r="D39" s="16">
        <f>COUNTIFS(KOAA!C:C,"LPM",KOAA!N:N,"&lt;="&amp;C37)</f>
        <v>14</v>
      </c>
      <c r="E39" s="16">
        <f>COUNTIFS(DDJ!C:C,"LPM",DDJ!N:N,"&lt;="&amp;C37)</f>
        <v>0</v>
      </c>
      <c r="F39" s="16">
        <f>COUNTIFS(NH!C:C,"LPM",NH!N:N,"&lt;="&amp;C37)</f>
        <v>0</v>
      </c>
      <c r="G39" s="16">
        <f>COUNTIFS(BT!C:C,"LPM",BT!N:N,"&lt;="&amp;C37)</f>
        <v>0</v>
      </c>
      <c r="H39" s="17">
        <f>COUNTIFS(RHA!C:C,"LPM",RHA!N:N,"&lt;="&amp;C37)</f>
        <v>0</v>
      </c>
      <c r="I39" s="18">
        <v>0</v>
      </c>
      <c r="J39" s="18">
        <v>0</v>
      </c>
      <c r="K39" s="18">
        <v>0</v>
      </c>
      <c r="L39" s="3">
        <f t="shared" ref="L39:L50" si="20">SUM(B39:K39)</f>
        <v>29</v>
      </c>
      <c r="N39" s="6"/>
      <c r="O39" s="97">
        <v>11</v>
      </c>
      <c r="P39" s="114" t="s">
        <v>54</v>
      </c>
      <c r="Q39" s="118">
        <f>SUM(COUNTIFS(North!C:C,"lpm",North!L:L,"TAPAS KR DE"),COUNTIFS(KOAA!C:C,"lpm",KOAA!L:L,"TAPAS KR DE"),COUNTIFS(South!C:C,"lpm",South!L:L,"TAPAS KR DE"),COUNTIFS(DDJ!C:C,"lpm",DDJ!L:L,"TAPAS KR DE"),COUNTIFS(BT!C:C,"lpm",BT!L:L,"TAPAS KR DE"),COUNTIFS(NH!C:C,"lpm",NH!L:L,"TAPAS KR DE"),COUNTIFS(CONV!C:C,"LPM",CONV!L:L,"TAPAS KR DE"))</f>
        <v>0</v>
      </c>
      <c r="R39" s="118">
        <f>SUM(COUNTIFS(North!C:C,"lpp(loco)",North!L:L,"TAPAS KR DE"),COUNTIFS(KOAA!C:C,"lpp(loco)",KOAA!L:L,"TAPAS KR DE"),COUNTIFS(South!C:C,"lpp(loco)",South!L:L,"TAPAS KR DE"),COUNTIFS(DDJ!C:C,"lpp(loco)",DDJ!L:L,"TAPAS KR DE"),COUNTIFS(BT!C:C,"lpp(loco)",BT!L:L,"TAPAS KR DE"),COUNTIFS(NH!C:C,"lpp(loco)",NH!L:L,"TAPAS KR DE"),COUNTIFS(CONV!C:C,"LPP(LOCO)",CONV!L:L,"TAPAS KR DE"))</f>
        <v>0</v>
      </c>
      <c r="S39" s="118">
        <f>SUM(COUNTIFS(North!C:C,"motorman",North!L:L,"TAPAS KR DE"),COUNTIFS(KOAA!C:C,"motorman",KOAA!L:L,"TAPAS KR DE"),COUNTIFS(South!C:C,"motorman",South!L:L,"TAPAS KR DE"),COUNTIFS(DDJ!C:C,"motorman",DDJ!L:L,"TAPAS KR DE"),COUNTIFS(BT!C:C,"motorman",BT!L:L,"TAPAS KR DE"),COUNTIFS(NH!C:C,"motorman",NH!L:L,"TAPAS KR DE"),COUNTIFS(CONV!C:C,"MOTORMAN",CONV!L:L,"TAPAS KR DE"),COUNTIFS(RHA!C:C,"motorman",RHA!L:L,"TAPAS KR DE"))</f>
        <v>36</v>
      </c>
      <c r="T39" s="119">
        <f>SUM(COUNTIFS(North!C:C,"lpg",North!L:L,"TAPAS KR DE"),COUNTIFS(KOAA!C:C,"lpg",KOAA!L:L,"TAPAS KR DE"),COUNTIFS(South!C:C,"lpg",South!L:L,"TAPAS KR DE"),COUNTIFS(DDJ!C:C,"lpg",DDJ!L:L,"TAPAS KR DE"),COUNTIFS(BT!C:C,"lpg",BT!L:L,"TAPAS KR DE"),COUNTIFS(NH!C:C,"lpg",NH!L:L,"TAPAS KR DE"),COUNTIFS(CONV!C:C,"LPG",CONV!L:L,"TAPAS KR DE",CONV!R:R,"Elect"),COUNTIFS(RHA!C:C,"LPG",RHA!L:L,"TAPAS KR DE"))</f>
        <v>11</v>
      </c>
      <c r="U39" s="119">
        <f>SUM(COUNTIFS(North!C:C,"lps",North!L:L,"TAPAS KR DE"),COUNTIFS(KOAA!C:C,"lps",KOAA!L:L,"TAPAS KR DE"),COUNTIFS(South!C:C,"lps",South!L:L,"TAPAS KR DE"),COUNTIFS(DDJ!C:C,"lps",DDJ!L:L,"TAPAS KR DE"),COUNTIFS(BT!C:C,"lps",BT!L:L,"TAPAS KR DE"),COUNTIFS(NH!C:C,"lps",NH!L:L,"TAPAS KR DE"),COUNTIFS(CONV!C:C,"LPS",CONV!L:L,"TAPAS KR DE",CONV!R:R,"Elect"),COUNTIFS(RHA!C:C,"LPS",RHA!L:L,"TAPAS KR DE"))</f>
        <v>6</v>
      </c>
      <c r="V39" s="118">
        <f>SUM(COUNTIFS(North!C:C,"alp",North!L:L,"TAPAS KR DE"),COUNTIFS(KOAA!C:C,"alp",KOAA!L:L,"TAPAS KR DE"),COUNTIFS(South!C:C,"alp",South!L:L,"TAPAS KR DE"),COUNTIFS(DDJ!C:C,"alp",DDJ!L:L,"TAPAS KR DE"),COUNTIFS(BT!C:C,"alp",BT!L:L,"TAPAS KR DE"),COUNTIFS(NH!C:C,"alp",NH!L:L,"TAPAS KR DE"),COUNTIFS(CONV!C:C,"ALP",CONV!L:L,"TAPAS KR DE"),COUNTIFS(RHA!C:C,"ALP",RHA!L:L,"TAPAS KR DE"))</f>
        <v>17</v>
      </c>
      <c r="W39" s="104">
        <v>0</v>
      </c>
      <c r="X39" s="118">
        <f t="shared" si="17"/>
        <v>70</v>
      </c>
      <c r="Y39" s="118">
        <f t="shared" si="18"/>
        <v>47</v>
      </c>
      <c r="AO39" s="6"/>
    </row>
    <row r="40" spans="1:41" ht="15.75" customHeight="1">
      <c r="A40" s="15" t="s">
        <v>18</v>
      </c>
      <c r="B40" s="82">
        <f>COUNTIFS(North!C:C,"MOTORMAN",North!N:N,"&lt;="&amp;C37)</f>
        <v>42</v>
      </c>
      <c r="C40" s="82">
        <f>COUNTIFS(South!C:C,"MOTORMAN",South!N:N,"&lt;="&amp;C37)</f>
        <v>33</v>
      </c>
      <c r="D40" s="82">
        <f>COUNTIFS(KOAA!C:C,"MOTORMAN",KOAA!N:N,"&lt;="&amp;C37)</f>
        <v>0</v>
      </c>
      <c r="E40" s="82">
        <f>COUNTIFS(DDJ!C:C,"MOTORMAN",DDJ!N:N,"&lt;="&amp;C37)</f>
        <v>0</v>
      </c>
      <c r="F40" s="82">
        <f>COUNTIFS(NH!C:C,"MOTORMAN",NH!N:N,"&lt;="&amp;C37)</f>
        <v>41</v>
      </c>
      <c r="G40" s="82">
        <f>COUNTIFS(BT!C:C,"MOTORMAN",BT!N:N,"&lt;="&amp;C37)</f>
        <v>28</v>
      </c>
      <c r="H40" s="17">
        <f>COUNTIFS(RHA!C:C,"MOTORMAN",RHA!N:N,"&lt;="&amp;C37)</f>
        <v>7</v>
      </c>
      <c r="I40" s="18">
        <v>0</v>
      </c>
      <c r="J40" s="18">
        <v>0</v>
      </c>
      <c r="K40" s="18">
        <v>0</v>
      </c>
      <c r="L40" s="3">
        <f t="shared" si="20"/>
        <v>151</v>
      </c>
      <c r="N40" s="6"/>
      <c r="O40" s="97">
        <v>12</v>
      </c>
      <c r="P40" s="110" t="s">
        <v>55</v>
      </c>
      <c r="Q40" s="120">
        <f>SUM(COUNTIFS(North!C:C,"lpm",North!L:L,"A T KHAN"),COUNTIFS(KOAA!C:C,"lpm",KOAA!L:L,"A T KHAN"),COUNTIFS(South!C:C,"lpm",South!L:L,"A T KHAN"),COUNTIFS(DDJ!C:C,"lpm",DDJ!L:L,"A T KHAN"),COUNTIFS(BT!C:C,"lpm",BT!L:L,"A T KHAN"),COUNTIFS(NH!C:C,"lpm",NH!L:L,"A T KHAN"),COUNTIFS(CONV!C:C,"LPM",CONV!L:L,"A T KHAN"))</f>
        <v>1</v>
      </c>
      <c r="R40" s="120">
        <f>SUM(COUNTIFS(North!C:C,"lpp(loco)",North!L:L,"A T KHAN"),COUNTIFS(KOAA!C:C,"lpp(loco)",KOAA!L:L,"A T KHAN"),COUNTIFS(South!C:C,"lpp(loco)",South!L:L,"A T KHAN"),COUNTIFS(DDJ!C:C,"lpp(loco)",DDJ!L:L,"A T KHAN"),COUNTIFS(BT!C:C,"lpp(loco)",BT!L:L,"SUBHASIS MAITY"),COUNTIFS(NH!C:C,"lpp(loco)",NH!L:L,"A T KHAN"),COUNTIFS(CONV!C:C,"LPP(LOCO)",CONV!L:L,"A T KHAN"))</f>
        <v>0</v>
      </c>
      <c r="S40" s="120">
        <f>SUM(COUNTIFS(North!C:C,"motorman",North!L:L,"A T KHAN"),COUNTIFS(KOAA!C:C,"motorman",KOAA!L:L,"A T KHAN"),COUNTIFS(South!C:C,"motorman",South!L:L,"A T KHAN"),COUNTIFS(DDJ!C:C,"motorman",DDJ!L:L,"A T KHAN"),COUNTIFS(BT!C:C,"motorman",BT!L:L,"A T KHAN"),COUNTIFS(NH!C:C,"motorman",NH!L:L,"A T KHAN"),COUNTIFS(CONV!C:C,"MOTORMAN",CONV!L:L,"A T KHAN"),COUNTIFS(RHA!C:C,"MOTORMAN",RHA!L:L,"A T KHAN"))</f>
        <v>36</v>
      </c>
      <c r="T40" s="120">
        <f>SUM(COUNTIFS(North!C:C,"lpg",North!L:L,"A T KHAN"),COUNTIFS(KOAA!C:C,"lpg",KOAA!L:L,"A T KHAN"),COUNTIFS(South!C:C,"lpg",South!L:L,"A T KHAN"),COUNTIFS(DDJ!C:C,"lpg",DDJ!L:L,"A T KHAN"),COUNTIFS(BT!C:C,"lpg",BT!L:L,"A T KHAN"),COUNTIFS(NH!C:C,"lpg",NH!L:L,"A T KHAN"),COUNTIFS(CONV!C:C,"LPG",CONV!L:L,"A T KHAN",CONV!R:R,"Elect"),COUNTIFS(RHA!C:C,"LPG",RHA!L:L,"A T KHAN"))</f>
        <v>10</v>
      </c>
      <c r="U40" s="120">
        <f>SUM(COUNTIFS(North!C:C,"lps",North!L:L,"A T KHAN"),COUNTIFS(KOAA!C:C,"lps",KOAA!L:L,"A T KHAN"),COUNTIFS(South!C:C,"lps",South!L:L,"A T KHAN"),COUNTIFS(DDJ!C:C,"lps",DDJ!L:L,"A T KHAN"),COUNTIFS(BT!C:C,"lps",BT!L:L,"A T KHAN"),COUNTIFS(NH!C:C,"lps",NH!L:L,"A T KHAN"),COUNTIFS(CONV!C:C,"LPS",CONV!L:L,"A T KHAN",CONV!R:R,"Elect"),COUNTIFS(RHA!C:C,"LPS",RHA!L:L,"A T KHAN"))</f>
        <v>7</v>
      </c>
      <c r="V40" s="120">
        <f>SUM(COUNTIFS(North!C:C,"alp",North!L:L,"A T KHAN"),COUNTIFS(KOAA!C:C,"alp",KOAA!L:L,"A T KHAN"),COUNTIFS(South!C:C,"alp",South!L:L,"A T KHAN"),COUNTIFS(DDJ!C:C,"alp",DDJ!L:L,"A T KHAN"),COUNTIFS(BT!C:C,"alp",BT!L:L,"A T KHAN"),COUNTIFS(NH!C:C,"alp",NH!L:L,"A T KHAN"),COUNTIFS(CONV!C:C,"ALP",CONV!L:L,"A T KHAN"),COUNTIFS(RHA!C:C,"ALP",RHA!L:L,"A T KHAN"))</f>
        <v>14</v>
      </c>
      <c r="W40" s="104">
        <v>0</v>
      </c>
      <c r="X40" s="102">
        <f t="shared" si="17"/>
        <v>68</v>
      </c>
      <c r="Y40" s="102">
        <f t="shared" si="18"/>
        <v>47</v>
      </c>
      <c r="AO40" s="6"/>
    </row>
    <row r="41" spans="1:41" ht="15.75" customHeight="1">
      <c r="A41" s="15" t="s">
        <v>19</v>
      </c>
      <c r="B41" s="82">
        <f>COUNTIFS(North!C:C,"LPP(LOCO)",North!N:N,"&lt;="&amp;C37)</f>
        <v>5</v>
      </c>
      <c r="C41" s="82">
        <f>COUNTIFS(South!C:C,"LPP(LOCO)",South!N:N,"&lt;="&amp;C37)</f>
        <v>0</v>
      </c>
      <c r="D41" s="82">
        <f>COUNTIFS(KOAA!C:C,"LPP(LOCO)",KOAA!N:N,"&lt;="&amp;C37)</f>
        <v>0</v>
      </c>
      <c r="E41" s="82">
        <f>COUNTIFS(DDJ!C:C,"LPP(LOCO)",DDJ!N:N,"&lt;="&amp;C37)</f>
        <v>0</v>
      </c>
      <c r="F41" s="82">
        <f>COUNTIFS(NH!C:C,"LPP(LOCO)",NH!N:N,"&lt;="&amp;C37)</f>
        <v>0</v>
      </c>
      <c r="G41" s="82">
        <f>COUNTIFS(BT!C:C,"LPP(LOCO)",BT!N:N,"&lt;="&amp;C37)</f>
        <v>0</v>
      </c>
      <c r="H41" s="17">
        <f>COUNTIFS(RHA!C:C,"LPP(LOCO)",RHA!N:N,"&lt;="&amp;C37)</f>
        <v>0</v>
      </c>
      <c r="I41" s="18">
        <v>0</v>
      </c>
      <c r="J41" s="18">
        <v>0</v>
      </c>
      <c r="K41" s="18">
        <v>0</v>
      </c>
      <c r="L41" s="3">
        <f t="shared" si="20"/>
        <v>5</v>
      </c>
      <c r="N41" s="6"/>
      <c r="O41" s="97">
        <v>13</v>
      </c>
      <c r="P41" s="121" t="s">
        <v>56</v>
      </c>
      <c r="Q41" s="120">
        <f>SUM(COUNTIFS(North!C:C,"lpm",North!L:L,"SUSOVAN KAR"),COUNTIFS(KOAA!C:C,"lpm",KOAA!L:L,"SUSOVAN KAR"),COUNTIFS(South!C:C,"lpm",South!L:L,"SUSOVAN KAR"),COUNTIFS(DDJ!C:C,"lpm",DDJ!L:L,"SUSOVAN KAR"),COUNTIFS(BT!C:C,"lpm",BT!L:L,"SUSOVAN KAR"),COUNTIFS(NH!C:C,"lpm",NH!L:L,"SUSOVAN KAR"),COUNTIFS(CONV!C:C,"LPM",CONV!L:L,"SUSOVAN KAR"))</f>
        <v>0</v>
      </c>
      <c r="R41" s="120">
        <f>SUM(COUNTIFS(North!C:C,"lpp(loco)",North!L:L,"SUSOVAN KAR"),COUNTIFS(KOAA!C:C,"lpp(loco)",KOAA!L:L,"SUSOVAN KAR"),COUNTIFS(South!C:C,"lpp(loco)",South!L:L,"SUSOVAN KAR"),COUNTIFS(DDJ!C:C,"lpp(loco)",DDJ!L:L,"SUSOVAN KAR"),COUNTIFS(BT!C:C,"lpp(loco)",BT!L:L,"SUSOVAN KAR"),COUNTIFS(NH!C:C,"lpp(loco)",NH!L:L,"SUSOVAN KAR"),COUNTIFS(CONV!C:C,"LPP(LOCO)",CONV!L:L,"SUSOVAN KAR"))</f>
        <v>0</v>
      </c>
      <c r="S41" s="120">
        <f>SUM(COUNTIFS(North!C:C,"motorman",North!L:L,"SUSOVAN KAR"),COUNTIFS(KOAA!C:C,"motorman",KOAA!L:L,"SUSOVAN KAR"),COUNTIFS(South!C:C,"motorman",South!L:L,"SUSOVAN KAR"),COUNTIFS(DDJ!C:C,"motorman",DDJ!L:L,"SUSOVAN KAR"),COUNTIFS(BT!C:C,"motorman",BT!L:L,"SUSOVAN KAR"),COUNTIFS(NH!C:C,"motorman",NH!L:L,"SUSOVAN KAR"),COUNTIFS(CONV!C:C,"MOTORMAN",CONV!L:L,"susovan kar"),COUNTIFS(RHA!C:C,"MOTORMAN",RHA!L:L,"SUSOVAN KAR"))</f>
        <v>36</v>
      </c>
      <c r="T41" s="120">
        <f>SUM(COUNTIFS(North!C:C,"lpg",North!L:L,"SUSOVAN KAR"),COUNTIFS(KOAA!C:C,"lpg",KOAA!L:L,"SUSOVAN KAR"),COUNTIFS(South!C:C,"lpg",South!L:L,"SUSOVAN KAR"),COUNTIFS(DDJ!C:C,"lpg",DDJ!L:L,"SUSOVAN KAR"),COUNTIFS(BT!C:C,"lpg",BT!L:L,"SUSOVAN KAR"),COUNTIFS(NH!C:C,"lpg",NH!L:L,"SUSOVAN KAR"),COUNTIFS(CONV!C:C,"LPG",CONV!L:L,"SUSOVAN KAR",CONV!R:R,"Elect"),COUNTIFS(RHA!C:C,"LPG",RHA!L:L,"SUSOVAN KAR"))</f>
        <v>10</v>
      </c>
      <c r="U41" s="120">
        <f>SUM(COUNTIFS(North!C:C,"lps",North!L:L,"SUSOVAN KAR"),COUNTIFS(KOAA!C:C,"lps",KOAA!L:L,"SUSOVAN KAR"),COUNTIFS(South!C:C,"lps",South!L:L,"SUSOVAN KAR"),COUNTIFS(DDJ!C:C,"lps",DDJ!L:L,"SUSOVAN KAR"),COUNTIFS(BT!C:C,"lps",BT!L:L,"SUSOVAN KAR"),COUNTIFS(NH!C:C,"lps",NH!L:L,"SUSOVAN KAR"),COUNTIFS(CONV!C:C,"LPS",CONV!L:L,"SUSOVAN KAR",CONV!R:R,"Elect"),COUNTIFS(RHA!C:C,"LPS",RHA!L:L,"SUSOVAN KAR"))</f>
        <v>6</v>
      </c>
      <c r="V41" s="120">
        <f>SUM(COUNTIFS(North!C:C,"alp",North!L:L,"SUSOVAN KAR"),COUNTIFS(KOAA!C:C,"alp",KOAA!L:L,"SUSOVAN KAR"),COUNTIFS(South!C:C,"alp",South!L:L,"SUSOVAN KAR"),COUNTIFS(DDJ!C:C,"alp",DDJ!L:L,"SUSOVAN KAR"),COUNTIFS(BT!C:C,"alp",BT!L:L,"SUSOVAN KAR"),COUNTIFS(NH!C:C,"alp",NH!L:L,"SUSOVAN KAR"),COUNTIFS(CONV!C:C,"ALP",CONV!L:L,"SUSOVAN KAR"),COUNTIFS(RHA!C:C,"ALP",RHA!L:L,"SUSOVAN KAR"))</f>
        <v>15</v>
      </c>
      <c r="W41" s="104">
        <v>0</v>
      </c>
      <c r="X41" s="102">
        <f t="shared" si="17"/>
        <v>67</v>
      </c>
      <c r="Y41" s="102">
        <f t="shared" si="18"/>
        <v>46</v>
      </c>
      <c r="AO41" s="6"/>
    </row>
    <row r="42" spans="1:41" ht="15.75" customHeight="1">
      <c r="A42" s="15" t="s">
        <v>20</v>
      </c>
      <c r="B42" s="82">
        <f>COUNTIFS(North!C:C,"LPG",North!N:N,"&lt;="&amp;C37)</f>
        <v>2</v>
      </c>
      <c r="C42" s="82">
        <f>COUNTIFS(South!C:C,"LPG",South!N:N,"&lt;="&amp;C37)</f>
        <v>1</v>
      </c>
      <c r="D42" s="82">
        <f>COUNTIFS(KOAA!C:C,"LPG",KOAA!N:N,"&lt;="&amp;C37)</f>
        <v>0</v>
      </c>
      <c r="E42" s="82">
        <f>COUNTIFS(DDJ!C:C,"LPG",DDJ!N:N,"&lt;="&amp;C37)</f>
        <v>17</v>
      </c>
      <c r="F42" s="82">
        <f>COUNTIFS(NH!C:C,"LPG",NH!N:N,"&lt;="&amp;C37)</f>
        <v>2</v>
      </c>
      <c r="G42" s="82">
        <f>COUNTIFS(BT!C:C,"LPG",BT!N:N,"&lt;="&amp;C37)</f>
        <v>0</v>
      </c>
      <c r="H42" s="17">
        <f>COUNTIFS(RHA!C:C,"LPG",RHA!N:N,"&lt;="&amp;C37)</f>
        <v>1</v>
      </c>
      <c r="I42" s="18">
        <v>0</v>
      </c>
      <c r="J42" s="18">
        <v>0</v>
      </c>
      <c r="K42" s="18">
        <v>0</v>
      </c>
      <c r="L42" s="3">
        <f t="shared" si="20"/>
        <v>23</v>
      </c>
      <c r="N42" s="6"/>
      <c r="O42" s="97">
        <v>14</v>
      </c>
      <c r="P42" s="114" t="s">
        <v>57</v>
      </c>
      <c r="Q42" s="102">
        <f>SUM(COUNTIFS(North!C:C,"lpm",North!L:L,"TAMOJIT NANDY"),COUNTIFS(KOAA!C:C,"lpm",KOAA!L:L,"TAMOJIT NANDY"),COUNTIFS(South!C:C,"lpm",South!L:L,"TAMOJIT NANDY"),COUNTIFS(DDJ!C:C,"lpm",DDJ!L:L,"TAMOJIT NANDY"),COUNTIFS(BT!C:C,"lpm",BT!L:L,"TAMOJIT NANDY"),COUNTIFS(NH!C:C,"lpm",NH!L:L,"TAMOJIT NANDY"),COUNTIFS(CONV!C:C,"LPM",CONV!L:L,"TAMOJIT NANDY"))</f>
        <v>0</v>
      </c>
      <c r="R42" s="102">
        <f>SUM(COUNTIFS(North!C:C,"lpp(loco)",North!L:L,"TAMOJIT NANDY"),COUNTIFS(KOAA!C:C,"lpp(loco)",KOAA!L:L,"TAMOJIT NANDY"),COUNTIFS(South!C:C,"lpp(loco)",South!L:L,"TAMOJIT NANDY"),COUNTIFS(DDJ!C:C,"lpp(loco)",DDJ!L:L,"TAMOJIT NANDY"),COUNTIFS(BT!C:C,"lpp(loco)",BT!L:L,"TAMOJIT NANDY"),COUNTIFS(NH!C:C,"lpp(loco)",NH!L:L,"TAMOJIT NANDY"),COUNTIFS(CONV!C:C,"LPP(LOCO)",CONV!L:L,"TAMOJIT NANDY"))</f>
        <v>0</v>
      </c>
      <c r="S42" s="102">
        <f>SUM(COUNTIFS(North!C:C,"motorman",North!L:L,"TAMOJIT NANDY"),COUNTIFS(KOAA!C:C,"motorman",KOAA!L:L,"TAMOJIT NANDY"),COUNTIFS(South!C:C,"motorman",South!L:L,"TAMOJIT NANDY"),COUNTIFS(DDJ!C:C,"motorman",DDJ!L:L,"TAMOJIT NANDY"),COUNTIFS(BT!C:C,"motorman",BT!L:L,"TAMOJIT NANDY"),COUNTIFS(NH!C:C,"motorman",NH!L:L,"TAMOJIT NANDY"),COUNTIFS(CONV!C:C,"MOTORMAN",CONV!L:L,"TAMOJIT NANDY"),COUNTIFS(RHA!C:C,"MOTORMAN",RHA!L:L,"TAMOJIT NANDY"))</f>
        <v>0</v>
      </c>
      <c r="T42" s="116">
        <f>SUM(COUNTIFS(North!C:C,"lpg",North!L:L,"TAMOJIT NANDY"),COUNTIFS(KOAA!C:C,"lpg",KOAA!L:L,"TAMOJIT NANDY"),COUNTIFS(South!C:C,"lpg",South!L:L,"TAMOJIT NANDY"),COUNTIFS(DDJ!C:C,"lpg",DDJ!L:L,"TAMOJIT NANDY"),COUNTIFS(BT!C:C,"lpg",BT!L:L,"TAMOJIT NANDY"),COUNTIFS(NH!C:C,"lpg",NH!L:L,"TAMOJIT NANDY"),COUNTIFS(CONV!C:C,"LPG",CONV!L:L,"TAMOJIT NANDY"),COUNTIFS(RHA!C:C,"LPG",RHA!L:L,"TAMOJIT NANDY"))</f>
        <v>36</v>
      </c>
      <c r="U42" s="116">
        <f>SUM(COUNTIFS(North!C:C,"lps",North!L:L,"TAMOJIT NANDY"),COUNTIFS(KOAA!C:C,"lps",KOAA!L:L,"TAMOJIT NANDY"),COUNTIFS(South!C:C,"lps",South!L:L,"TAMOJIT NANDY"),COUNTIFS(DDJ!C:C,"lps",DDJ!L:L,"TAMOJIT NANDY"),COUNTIFS(BT!C:C,"lps",BT!L:L,"TAMOJIT NANDY"),COUNTIFS(NH!C:C,"lps",NH!L:L,"TAMOJIT NANDY"),COUNTIFS(CONV!C:C,"LPS",CONV!L:L,"TAMOJIT NANDY"),COUNTIFS(RHA!C:C,"LPS",RHA!L:L,"TAMOJIT NANDY"))</f>
        <v>8</v>
      </c>
      <c r="V42" s="102">
        <f>SUM(COUNTIFS(North!C:C,"alp",North!L:L,"TAMOJIT NANDY"),COUNTIFS(KOAA!C:C,"alp",KOAA!L:L,"TAMOJIT NANDY"),COUNTIFS(South!C:C,"alp",South!L:L,"TAMOJIT NANDY"),COUNTIFS(DDJ!C:C,"alp",DDJ!L:L,"TAMOJIT NANDY"),COUNTIFS(BT!C:C,"alp",BT!L:L,"TAMOJIT NANDY"),COUNTIFS(NH!C:C,"alp",NH!L:L,"TAMOJIT NANDY"),COUNTIFS(CONV!C:C,"ALP",CONV!L:L,"TAMOJIT NANDY"),COUNTIFS(RHA!C:C,"ALP",RHA!L:L,"TAMOJIT NANDY"))</f>
        <v>17</v>
      </c>
      <c r="W42" s="102">
        <v>0</v>
      </c>
      <c r="X42" s="102">
        <f t="shared" si="17"/>
        <v>61</v>
      </c>
      <c r="Y42" s="102">
        <f t="shared" si="18"/>
        <v>36</v>
      </c>
      <c r="AO42" s="6"/>
    </row>
    <row r="43" spans="1:41" ht="24.75" customHeight="1">
      <c r="A43" s="15" t="s">
        <v>21</v>
      </c>
      <c r="B43" s="82">
        <f>COUNTIFS(North!C:C,"LPS",North!N:N,"&lt;="&amp;C37)</f>
        <v>8</v>
      </c>
      <c r="C43" s="82">
        <f>COUNTIFS(South!C:C,"LPS",South!N:N,"&lt;="&amp;C37)</f>
        <v>12</v>
      </c>
      <c r="D43" s="82">
        <f>COUNTIFS(KOAA!C:C,"LPS",KOAA!N:N,"&lt;="&amp;C37)</f>
        <v>7</v>
      </c>
      <c r="E43" s="82">
        <f>COUNTIFS(DDJ!C:C,"LPS",DDJ!N:N,"&lt;="&amp;C37)</f>
        <v>1</v>
      </c>
      <c r="F43" s="82">
        <f>COUNTIFS(NH!C:C,"LPS",NH!N:N,"&lt;="&amp;C37)</f>
        <v>3</v>
      </c>
      <c r="G43" s="122">
        <f>COUNTIFS(BT!C:C,"LPS",BT!N:N,"&lt;="&amp;C37)</f>
        <v>5</v>
      </c>
      <c r="H43" s="17">
        <f>COUNTIFS(RHA!C:C,"LPS",RHA!N:N,"&lt;="&amp;C37)</f>
        <v>0</v>
      </c>
      <c r="I43" s="18">
        <v>0</v>
      </c>
      <c r="J43" s="18">
        <v>0</v>
      </c>
      <c r="K43" s="18">
        <v>0</v>
      </c>
      <c r="L43" s="3">
        <f t="shared" si="20"/>
        <v>36</v>
      </c>
      <c r="N43" s="6"/>
      <c r="O43" s="97">
        <v>15</v>
      </c>
      <c r="P43" s="114" t="s">
        <v>58</v>
      </c>
      <c r="Q43" s="102">
        <f>SUM(COUNTIFS(North!C:C,"lpm",North!L:L,"SUMIT BHATTACHARJEE"),COUNTIFS(KOAA!C:C,"lpm",KOAA!L:L,"SUMIT BHATTACHARJEE"),COUNTIFS(South!C:C,"lpm",South!L:L,"SUMIT BHATTACHARJEE"),COUNTIFS(DDJ!C:C,"lpm",DDJ!L:L,"SUMIT BHATTACHARJEE"),COUNTIFS(BT!C:C,"lpm",BT!L:L,"SUMIT BHATTACHARJEE"),COUNTIFS(NH!C:C,"lpm",NH!L:L,"SUMIT BHATTACHARJEE"),COUNTIFS(CONV!C:C,"LPM",CONV!L:L,"SUMIT BHATTACHARJEE"))</f>
        <v>0</v>
      </c>
      <c r="R43" s="102">
        <f>SUM(COUNTIFS(North!C:C,"lpp(loco)",North!L:L,"SUMIT BHATTACHARJEE"),COUNTIFS(KOAA!C:C,"lpp(loco)",KOAA!L:L,"SUMIT BHATTACHARJEE"),COUNTIFS(South!C:C,"lpp(loco)",South!L:L,"SUMIT BHATTACHARJEE"),COUNTIFS(DDJ!C:C,"lpp(loco)",DDJ!L:L,"SUMIT BHATTACHARJEE"),COUNTIFS(BT!C:C,"lpp(loco)",BT!L:L,"SUMIT BHATTACHARJEE"),COUNTIFS(NH!C:C,"lpp(loco)",NH!L:L,"SUMIT BHATTACHARJEE"),COUNTIFS(CONV!C:C,"LPP(LOCO)",CONV!L:L,"SUMIT BHATTACHARJEE"))</f>
        <v>0</v>
      </c>
      <c r="S43" s="102">
        <f>SUM(COUNTIFS(North!C:C,"motorman",North!L:L,"SUMIT BHATTACHARJEE"),COUNTIFS(KOAA!C:C,"motorman",KOAA!L:L,"SUMIT BHATTACHARJEE"),COUNTIFS(South!C:C,"motorman",South!L:L,"SUMIT BHATTACHARJEE"),COUNTIFS(DDJ!C:C,"motorman",DDJ!L:L,"SUMIT BHATTACHARJEE"),COUNTIFS(BT!C:C,"motorman",BT!L:L,"SUMIT BHATTACHARJEE"),COUNTIFS(NH!C:C,"motorman",NH!L:L,"SUMIT BHATTACHARJEE"),COUNTIFS(CONV!C:C,"MOTORMAN",CONV!L:L,"SUMIT BHATTACHARJEE"),COUNTIFS(RHA!C:C,"MOTORMAN",RHA!L:L,"SUMIT BHATTACHARJEE"))</f>
        <v>0</v>
      </c>
      <c r="T43" s="116">
        <f>SUM(COUNTIFS(North!C:C,"lpg",North!L:L,"SUMIT BHATTACHARJEE"),COUNTIFS(KOAA!C:C,"lpg",KOAA!L:L,"SUMIT BHATTACHARJEE"),COUNTIFS(South!C:C,"lpg",South!L:L,"SUMIT BHATTACHARJEE"),COUNTIFS(DDJ!C:C,"lpg",DDJ!L:L,"SUMIT BHATTACHARJEE"),COUNTIFS(BT!C:C,"lpg",BT!L:L,"SUMIT BHATTACHARJEE"),COUNTIFS(NH!C:C,"lpg",NH!L:L,"SUMIT BHATTACHARJEE"),COUNTIFS(CONV!C:C,"LPG",CONV!L:L,"SUMIT BHATTACHARJEE"),COUNTIFS(RHA!C:C,"LPG",RHA!L:L,"SUMIT BHATTACHARJEE"))</f>
        <v>36</v>
      </c>
      <c r="U43" s="116">
        <f>SUM(COUNTIFS(North!C:C,"lps",North!L:L,"SUMIT BHATTACHARJEE"),COUNTIFS(KOAA!C:C,"lps",KOAA!L:L,"SUMIT BHATTACHARJEE"),COUNTIFS(South!C:C,"lps",South!L:L,"SUMIT BHATTACHARJEE"),COUNTIFS(DDJ!C:C,"lps",DDJ!L:L,"SUMIT BHATTACHARJEE"),COUNTIFS(BT!C:C,"lps",BT!L:L,"SUMIT BHATTACHARJEE"),COUNTIFS(NH!C:C,"lps",NH!L:L,"SUMIT BHATTACHARJEE"),COUNTIFS(CONV!C:C,"LPS",CONV!L:L,"SUMIT BHATTACHARJEE"),COUNTIFS(RHA!C:C,"LPS",RHA!L:L,"SUMIT BHATTACHARJEE"))</f>
        <v>8</v>
      </c>
      <c r="V43" s="102">
        <f>SUM(COUNTIFS(North!C:C,"alp",North!L:L,"SUMIT BHATTACHARJEE"),COUNTIFS(KOAA!C:C,"alp",KOAA!L:L,"SUMIT BHATTACHARJEE"),COUNTIFS(South!C:C,"alp",South!L:L,"SUMIT BHATTACHARJEE"),COUNTIFS(DDJ!C:C,"alp",DDJ!L:L,"SUMIT BHATTACHARJEE"),COUNTIFS(BT!C:C,"alp",BT!L:L,"SUMIT BHATTACHARJEE"),COUNTIFS(NH!C:C,"alp",NH!L:L,"SUMIT BHATTACHARJEE"),COUNTIFS(CONV!C:C,"ALP",CONV!L:L,"SUMIT BHATTACHARJEE"),COUNTIFS(RHA!C:C,"ALP",RHA!L:L,"SUMIT BHATTACHARJEE"))</f>
        <v>21</v>
      </c>
      <c r="W43" s="102">
        <v>0</v>
      </c>
      <c r="X43" s="102">
        <f t="shared" si="17"/>
        <v>65</v>
      </c>
      <c r="Y43" s="102">
        <f t="shared" si="18"/>
        <v>36</v>
      </c>
      <c r="AO43" s="6"/>
    </row>
    <row r="44" spans="1:41" ht="15.75" customHeight="1">
      <c r="A44" s="15" t="s">
        <v>22</v>
      </c>
      <c r="B44" s="82">
        <f>COUNTIFS(North!C:C,"ALP",North!N:N,"&lt;="&amp;C37)</f>
        <v>3</v>
      </c>
      <c r="C44" s="82">
        <f>COUNTIFS(South!C:C,"ALP",South!N:N,"&lt;="&amp;C37)</f>
        <v>0</v>
      </c>
      <c r="D44" s="82">
        <f>COUNTIFS(KOAA!C:C,"ALP",KOAA!N:N,"&lt;="&amp;C37)</f>
        <v>0</v>
      </c>
      <c r="E44" s="82">
        <f>COUNTIFS(DDJ!C:C,"ALP",DDJ!N:N,"&lt;="&amp;C37)</f>
        <v>1</v>
      </c>
      <c r="F44" s="82">
        <f>COUNTIFS(NH!C:C,"ALP",NH!N:N,"&lt;="&amp;C37)</f>
        <v>0</v>
      </c>
      <c r="G44" s="82">
        <f>COUNTIFS(BT!C:C,"ALP",BT!N:N,"&lt;="&amp;C37)</f>
        <v>0</v>
      </c>
      <c r="H44" s="17">
        <f>COUNTIFS(RHA!C:C,"ALP",RHA!N:N,"&lt;="&amp;C37)</f>
        <v>0</v>
      </c>
      <c r="I44" s="18">
        <v>0</v>
      </c>
      <c r="J44" s="18">
        <v>0</v>
      </c>
      <c r="K44" s="18">
        <v>0</v>
      </c>
      <c r="L44" s="3">
        <f t="shared" si="20"/>
        <v>4</v>
      </c>
      <c r="N44" s="6"/>
      <c r="O44" s="97">
        <v>16</v>
      </c>
      <c r="P44" s="114" t="s">
        <v>59</v>
      </c>
      <c r="Q44" s="102">
        <f>SUM(COUNTIFS(North!C:C,"lpm",North!L:L,"SUBRATA SAHA"),COUNTIFS(KOAA!C:C,"lpm",KOAA!L:L,"SUBRATA SAHA"),COUNTIFS(South!C:C,"lpm",South!L:L,"SUBRATA SAHA"),COUNTIFS(DDJ!C:C,"lpm",DDJ!L:L,"SUBRATA SAHA"),COUNTIFS(BT!C:C,"lpm",BT!L:L,"SUBRATA SAHA"),COUNTIFS(NH!C:C,"lpm",NH!L:L,"SUBRATA SAHA"),COUNTIFS(CONV!C:C,"LPM",CONV!L:L,"SUBRATA SAHA"))</f>
        <v>0</v>
      </c>
      <c r="R44" s="102">
        <f>SUM(COUNTIFS(North!C:C,"lpp(loco)",North!L:L,"SUBRATA SAHA"),COUNTIFS(KOAA!C:C,"lpp(loco)",KOAA!L:L,"SUBRATA SAHA"),COUNTIFS(South!C:C,"lpp(loco)",South!L:L,"SUBRATA SAHA"),COUNTIFS(DDJ!C:C,"lpp(loco)",DDJ!L:L,"SUBRATA SAHA"),COUNTIFS(BT!C:C,"lpp(loco)",BT!L:L,"SUBRATA SAHA"),COUNTIFS(NH!C:C,"lpp(loco)",NH!L:L,"SUBRATA SAHA"),COUNTIFS(CONV!C:C,"LPP(LOCO)",CONV!L:L,"SUBRATA SAHA"))</f>
        <v>0</v>
      </c>
      <c r="S44" s="102">
        <f>SUM(COUNTIFS(North!C:C,"motorman",North!L:L,"SUBRATA SAHA"),COUNTIFS(KOAA!C:C,"motorman",KOAA!L:L,"SUBRATA SAHA"),COUNTIFS(South!C:C,"motorman",South!L:L,"SUBRATA SAHA"),COUNTIFS(DDJ!C:C,"motorman",DDJ!L:L,"SUBRATA SAHA"),COUNTIFS(BT!C:C,"motorman",BT!L:L,"SUBRATA SAHA"),COUNTIFS(NH!C:C,"motorman",NH!L:L,"SUBRATA SAHA"),COUNTIFS(CONV!C:C,"MOTORMAN",CONV!L:L,"SUBRATA SAHA"),COUNTIFS(RHA!C:C,"MOTORMAN",RHA!L:L,"SUBRATA SAHA"))</f>
        <v>0</v>
      </c>
      <c r="T44" s="116">
        <f>SUM(COUNTIFS(North!C:C,"lpg",North!L:L,"SUBRATA SAHA"),COUNTIFS(KOAA!C:C,"lpg",KOAA!L:L,"SUBRATA SAHA"),COUNTIFS(South!C:C,"lpg",South!L:L,"SUBRATA SAHA"),COUNTIFS(DDJ!C:C,"lpg",DDJ!L:L,"SUBRATA SAHA"),COUNTIFS(BT!C:C,"lpg",BT!L:L,"SUBRATA SAHA"),COUNTIFS(NH!C:C,"lpg",NH!L:L,"SUBRATA SAHA"),COUNTIFS(CONV!C:C,"LPG",CONV!L:L,"SUBRATA SAHA"),COUNTIFS(RHA!C:C,"LPG",RHA!L:L,"SUBRATA SAHA"))</f>
        <v>38</v>
      </c>
      <c r="U44" s="116">
        <f>SUM(COUNTIFS(North!C:C,"lps",North!L:L,"SUBRATA SAHA"),COUNTIFS(KOAA!C:C,"lps",KOAA!L:L,"SUBRATA SAHA"),COUNTIFS(South!C:C,"lps",South!L:L,"SUBRATA SAHA"),COUNTIFS(DDJ!C:C,"lps",DDJ!L:L,"SUBRATA SAHA"),COUNTIFS(BT!C:C,"lps",BT!L:L,"SUBRATA SAHA"),COUNTIFS(NH!C:C,"lps",NH!L:L,"SUBRATA SAHA"),COUNTIFS(CONV!C:C,"LPS",CONV!L:L,"SUBRATA SAHA"),COUNTIFS(RHA!C:C,"LPS",RHA!L:L,"SUBRATA SAHA"))</f>
        <v>7</v>
      </c>
      <c r="V44" s="115">
        <f>SUM(COUNTIFS(North!C:C,"alp",North!L:L,"SUBRATA SAHA"),COUNTIFS(KOAA!C:C,"alp",KOAA!L:L,"SUBRATA SAHA"),COUNTIFS(South!C:C,"alp",South!L:L,"SUBRATA SAHA"),COUNTIFS(DDJ!C:C,"alp",DDJ!L:L,"SUBRATA SAHA"),COUNTIFS(BT!C:C,"alp",BT!L:L,"SUBRATA SAHA"),COUNTIFS(NH!C:C,"alp",NH!L:L,"SUBRATA SAHA"),COUNTIFS(CONV!C:C,"ALP",CONV!L:L,"SUBRATA SAHA"),COUNTIFS(RHA!C:C,"ALP",RHA!L:L,"SUBRATA SAHA"))</f>
        <v>16</v>
      </c>
      <c r="W44" s="102">
        <v>0</v>
      </c>
      <c r="X44" s="102">
        <f t="shared" si="17"/>
        <v>61</v>
      </c>
      <c r="Y44" s="102">
        <f t="shared" si="18"/>
        <v>38</v>
      </c>
    </row>
    <row r="45" spans="1:41" ht="15.75" customHeight="1">
      <c r="A45" s="40" t="s">
        <v>17</v>
      </c>
      <c r="B45" s="41">
        <f t="shared" ref="B45:K45" si="21">SUM(B39:B44)</f>
        <v>75</v>
      </c>
      <c r="C45" s="41">
        <f t="shared" si="21"/>
        <v>46</v>
      </c>
      <c r="D45" s="41">
        <f t="shared" si="21"/>
        <v>21</v>
      </c>
      <c r="E45" s="41">
        <f t="shared" si="21"/>
        <v>19</v>
      </c>
      <c r="F45" s="41">
        <f t="shared" si="21"/>
        <v>46</v>
      </c>
      <c r="G45" s="41">
        <f t="shared" si="21"/>
        <v>33</v>
      </c>
      <c r="H45" s="41">
        <f t="shared" si="21"/>
        <v>8</v>
      </c>
      <c r="I45" s="41">
        <f t="shared" si="21"/>
        <v>0</v>
      </c>
      <c r="J45" s="41">
        <f t="shared" si="21"/>
        <v>0</v>
      </c>
      <c r="K45" s="41">
        <f t="shared" si="21"/>
        <v>0</v>
      </c>
      <c r="L45" s="123">
        <f t="shared" si="20"/>
        <v>248</v>
      </c>
      <c r="O45" s="97">
        <v>17</v>
      </c>
      <c r="P45" s="114" t="s">
        <v>60</v>
      </c>
      <c r="Q45" s="102">
        <f>SUM(COUNTIFS(North!C:C,"lpm",North!L:L,"SOUBHAGYA SARDAR"),COUNTIFS(KOAA!C:C,"lpm",KOAA!L:L,"SOUBHAGYA SARDAR"),COUNTIFS(South!C:C,"lpm",South!L:L,"SOUBHAGYA SARDAR"),COUNTIFS(DDJ!C:C,"lpm",DDJ!L:L,"SOUBHAGYA SARDAR"),COUNTIFS(BT!C:C,"lpm",BT!L:L,"SOUBHAGYA SARDAR"),COUNTIFS(NH!C:C,"lpm",NH!L:L,"SOUBHAGYA SARDAR"),COUNTIFS(CONV!C:C,"LPM",CONV!L:L,"SOUBHAGYA SARDAR"))</f>
        <v>0</v>
      </c>
      <c r="R45" s="124">
        <f>SUM(COUNTIFS(North!C:C,"lpp(loco)",North!L:L,"SOUBHAGYA SARDAR"),COUNTIFS(KOAA!C:C,"lpp(loco)",KOAA!L:L,"SOUBHAGYA SARDAR"),COUNTIFS(South!C:C,"lpp(loco)",South!L:L,"SOUBHAGYA SARDAR"),COUNTIFS(DDJ!C:C,"lpp(loco)",DDJ!L:L,"SOUBHAGYA SARDAR"),COUNTIFS(BT!C:C,"lpp(loco)",BT!L:L,"SOUBHAGYA SARDAR"),COUNTIFS(NH!C:C,"lpp(loco)",NH!L:L,"SOUBHAGYA SARDAR"),COUNTIFS(CONV!C:C,"LPP(LOCO)",CONV!L:L,"SOUBHAGYA SARDAR"))</f>
        <v>0</v>
      </c>
      <c r="S45" s="118">
        <f>SUM(COUNTIFS(North!C:C,"motorman",North!L:L,"SOUBHAGYA SARDAR"),COUNTIFS(KOAA!C:C,"motorman",KOAA!L:L,"SOUBHAGYA SARDAR"),COUNTIFS(South!C:C,"motorman",South!L:L,"SOUBHAGYA SARDAR"),COUNTIFS(DDJ!C:C,"motorman",DDJ!L:L,"SOUBHAGYA SARDAR"),COUNTIFS(BT!C:C,"motorman",BT!L:L,"SOUBHAGYA SARDAR"),COUNTIFS(NH!C:C,"motorman",NH!L:L,"SOUBHAGYA SARDAR"),COUNTIFS(CONV!C:C,"MOTORMAN",CONV!L:L,"SOUBHAGYA SARDAR"),COUNTIFS(RHA!C:C,"MOTORMAN",RHA!L:L,"SOUBHAGYA SARDAR"))</f>
        <v>0</v>
      </c>
      <c r="T45" s="116">
        <f>SUM(COUNTIFS(North!C:C,"lpg",North!L:L,"SOUBHAGYA SARDAR"),COUNTIFS(KOAA!C:C,"lpg",KOAA!L:L,"SOUBHAGYA SARDAR"),COUNTIFS(South!C:C,"lpg",South!L:L,"SOUBHAGYA SARDAR"),COUNTIFS(DDJ!C:C,"lpg",DDJ!L:L,"SOUBHAGYA SARDAR"),COUNTIFS(BT!C:C,"lpg",BT!L:L,"SOUBHAGYA SARDAR"),COUNTIFS(NH!C:C,"lpg",NH!L:L,"SOUBHAGYA SARDAR"),COUNTIFS(CONV!C:C,"LPG",CONV!L:L,"SOUBHAGYA SARDAR"),COUNTIFS(RHA!C:C,"LPG",RHA!L:L,"SOUBHAGYA SARDAR"))</f>
        <v>38</v>
      </c>
      <c r="U45" s="116">
        <f>SUM(COUNTIFS(North!C:C,"lps",North!L:L,"SOUBHAGYA SARDAR"),COUNTIFS(KOAA!C:C,"lps",KOAA!L:L,"SOUBHAGYA SARDAR"),COUNTIFS(South!C:C,"lps",South!L:L,"SOUBHAGYA SARDAR"),COUNTIFS(DDJ!C:C,"lps",DDJ!L:L,"SOUBHAGYA SARDAR"),COUNTIFS(BT!C:C,"lps",BT!L:L,"SOUBHAGYA SARDAR"),COUNTIFS(NH!C:C,"lps",NH!L:L,"SOUBHAGYA SARDAR"),COUNTIFS(CONV!C:C,"LPS",CONV!L:L,"SOUBHAGYA SARDAR"),COUNTIFS(RHA!C:C,"LPS",RHA!L:L,"SOUBHAGYA SARDAR"))</f>
        <v>8</v>
      </c>
      <c r="V45" s="102">
        <f>SUM(COUNTIFS(North!C:C,"alp",North!L:L,"SOUBHAGYA SARDAR"),COUNTIFS(KOAA!C:C,"alp",KOAA!L:L,"SOUBHAGYA SARDAR"),COUNTIFS(South!C:C,"alp",South!L:L,"SOUBHAGYA SARDAR"),COUNTIFS(DDJ!C:C,"alp",DDJ!L:L,"SOUBHAGYA SARDAR"),COUNTIFS(BT!C:C,"alp",BT!L:L,"SOUBHAGYA SARDAR"),COUNTIFS(NH!C:C,"alp",NH!L:L,"SOUBHAGYA SARDAR"),COUNTIFS(CONV!C:C,"ALP",CONV!L:L,"SOUBHAGYA SARDAR"),COUNTIFS(RHA!C:C,"ALP",RHA!L:L,"SOUBHAGYA SARDAR"))</f>
        <v>14</v>
      </c>
      <c r="W45" s="118">
        <v>0</v>
      </c>
      <c r="X45" s="102">
        <f t="shared" si="17"/>
        <v>60</v>
      </c>
      <c r="Y45" s="102">
        <f t="shared" si="18"/>
        <v>38</v>
      </c>
      <c r="AG45" s="6"/>
      <c r="AH45" s="6"/>
      <c r="AI45" s="6"/>
      <c r="AJ45" s="6"/>
      <c r="AK45" s="6"/>
      <c r="AL45" s="6"/>
      <c r="AM45" s="6"/>
      <c r="AN45" s="6"/>
      <c r="AO45" s="6"/>
    </row>
    <row r="46" spans="1:41" ht="15.75" customHeight="1">
      <c r="A46" s="43" t="s">
        <v>23</v>
      </c>
      <c r="B46" s="3">
        <f>COUNTIFS(SUPV!H43:H82,"&lt;="&amp;C37,SUPV!F43:F82,"CLI")</f>
        <v>36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3">
        <f t="shared" si="20"/>
        <v>36</v>
      </c>
      <c r="O46" s="97">
        <v>18</v>
      </c>
      <c r="P46" s="110" t="s">
        <v>61</v>
      </c>
      <c r="Q46" s="120">
        <f>SUM(COUNTIFS(North!C:C,"lpm",North!L:L,"SUDIP ROY"),COUNTIFS(KOAA!C:C,"lpm",KOAA!L:L,"SUDIP ROY"),COUNTIFS(South!C:C,"lpm",South!L:L,"SUDIP ROY"),COUNTIFS(DDJ!C:C,"lpm",DDJ!L:L,"SUDIP ROY"),COUNTIFS(BT!C:C,"lpm",BT!L:L,"SUDIP ROY"),COUNTIFS(NH!C:C,"lpm",NH!L:L,"SUDIP ROY"),COUNTIFS(CONV!C:C,"LPM",CONV!L:L,"SUDIP ROY"))</f>
        <v>13</v>
      </c>
      <c r="R46" s="120">
        <f>SUM(COUNTIFS(North!C:C,"lpp(loco)",North!L:L,"SUDIP ROY"),COUNTIFS(KOAA!C:C,"lpp(loco)",KOAA!L:L,"SUDIP ROY"),COUNTIFS(South!C:C,"lpp(loco)",South!L:L,"SUDIP ROY"),COUNTIFS(DDJ!C:C,"lpp(loco)",DDJ!L:L,"SUDIP ROY"),COUNTIFS(BT!C:C,"lpp(loco)",BT!L:L,"SUDIP ROY"),COUNTIFS(NH!C:C,"lpp(loco)",NH!L:L,"SUDIP ROY"),COUNTIFS(CONV!C:C,"LPP(LOCO)",CONV!L:L,"SUDIP ROY"))</f>
        <v>3</v>
      </c>
      <c r="S46" s="120">
        <f>SUM(COUNTIFS(North!C:C,"motorman",North!L:L,"SUDIP ROY"),COUNTIFS(KOAA!C:C,"motorman",KOAA!L:L,"SUDIP ROY"),COUNTIFS(South!C:C,"motorman",South!L:L,"SUDIP ROY"),COUNTIFS(DDJ!C:C,"motorman",DDJ!L:L,"SUDIP ROY"),COUNTIFS(BT!C:C,"motorman",BT!L:L,"SUDIP ROY"),COUNTIFS(NH!C:C,"motorman",NH!L:L,"SUDIP ROY"),COUNTIFS(CONV!C:C,"MOTORMAN",CONV!L:L,"SUDIP ROY"),COUNTIFS(RHA!C:C,"MOTORMAN",RHA!L:L,"SUDIP ROY"))</f>
        <v>10</v>
      </c>
      <c r="T46" s="120">
        <f>SUM(COUNTIFS(North!C:C,"lpg",North!L:L,"SUDIP ROY"),COUNTIFS(KOAA!C:C,"lpg",KOAA!L:L,"SUDIP ROY"),COUNTIFS(South!C:C,"lpg",South!L:L,"SUDIP ROY"),COUNTIFS(DDJ!C:C,"lpg",DDJ!L:L,"SUDIP ROY"),COUNTIFS(BT!C:C,"lpg",BT!L:L,"SUDIP ROY"),COUNTIFS(NH!C:C,"lpg",NH!L:L,"SUDIP ROY"),COUNTIFS(CONV!C:C,"LPG",CONV!L:L,"SUDIP ROY",CONV!R:R,"Elect"),COUNTIFS(RHA!C:C,"LPG",RHA!L:L,"SUDIP ROY"))</f>
        <v>1</v>
      </c>
      <c r="U46" s="120">
        <f>SUM(COUNTIFS(North!C:C,"lps",North!L:L,"SUDIP ROY"),COUNTIFS(KOAA!C:C,"lps",KOAA!L:L,"SUDIP ROY"),COUNTIFS(South!C:C,"lps",South!L:L,"SUDIP ROY"),COUNTIFS(DDJ!C:C,"lps",DDJ!L:L,"SUDIP ROY"),COUNTIFS(BT!C:C,"lps",BT!L:L,"SUDIP ROY"),COUNTIFS(NH!C:C,"lps",NH!L:L,"SUDIP ROY"),COUNTIFS(CONV!C:C,"LPS",CONV!L:L,"SUDIP ROY",CONV!R:R,"Elect"),COUNTIFS(RHA!C:C,"LPS",RHA!L:L,"SUDIP ROY"))</f>
        <v>10</v>
      </c>
      <c r="V46" s="120">
        <f>SUM(COUNTIFS(North!C:C,"alp",North!L:L,"SUDIP ROY"),COUNTIFS(KOAA!C:C,"alp",KOAA!L:L,"SUDIP ROY"),COUNTIFS(South!C:C,"alp",South!L:L,"SUDIP ROY"),COUNTIFS(DDJ!C:C,"alp",DDJ!L:L,"SUDIP ROY"),COUNTIFS(BT!C:C,"alp",BT!L:L,"SUDIP ROY"),COUNTIFS(NH!C:C,"alp",NH!L:L,"SUDIP ROY"),COUNTIFS(CONV!C:C,"ALP",CONV!L:L,"SUDIP ROY"),COUNTIFS(RHA!C:C,"ALP",RHA!L:L,"SUDIP ROY"))</f>
        <v>13</v>
      </c>
      <c r="W46" s="125">
        <v>0</v>
      </c>
      <c r="X46" s="102">
        <f t="shared" si="17"/>
        <v>50</v>
      </c>
      <c r="Y46" s="102">
        <f t="shared" si="18"/>
        <v>27</v>
      </c>
      <c r="AB46" s="7"/>
      <c r="AG46" s="6"/>
      <c r="AH46" s="6"/>
      <c r="AI46" s="6"/>
      <c r="AJ46" s="7"/>
      <c r="AK46" s="7"/>
      <c r="AL46" s="6"/>
      <c r="AM46" s="6"/>
      <c r="AN46" s="6"/>
      <c r="AO46" s="6"/>
    </row>
    <row r="47" spans="1:41" ht="15.75" customHeight="1">
      <c r="A47" s="47" t="s">
        <v>24</v>
      </c>
      <c r="B47" s="3">
        <f>COUNTIFS(SUPV!I3:I33,"CC(R) NORTH",SUPV!H3:H33,"&lt;="&amp;C37)</f>
        <v>6</v>
      </c>
      <c r="C47" s="48">
        <f>COUNTIFS(SUPV!I3:I33,"CC(R) SOUTH",SUPV!H3:H33,"&lt;="&amp;C37)</f>
        <v>3</v>
      </c>
      <c r="D47" s="48">
        <f>COUNTIFS(SUPV!I3:I33,"CC(R) KOAA",SUPV!H3:H33,"&lt;="&amp;C37)</f>
        <v>0</v>
      </c>
      <c r="E47" s="48">
        <f>COUNTIFS(SUPV!I3:I33,"CC(R) DDJ",SUPV!H3:H33,"&lt;="&amp;C37)</f>
        <v>1</v>
      </c>
      <c r="F47" s="48">
        <f>COUNTIFS(SUPV!I3:I33,"CC(R) NH",SUPV!H3:H33,"&lt;="&amp;C37)</f>
        <v>3</v>
      </c>
      <c r="G47" s="48">
        <f>COUNTIFS(SUPV!I3:I33,"CC(R) BT",SUPV!H3:H33,"&lt;="&amp;C37)</f>
        <v>4</v>
      </c>
      <c r="H47" s="17">
        <f>COUNTIFS(SUPV!I3:I33,"CC(R) RHA",SUPV!H3:H33,"&lt;="&amp;C37)</f>
        <v>3</v>
      </c>
      <c r="I47" s="18">
        <v>0</v>
      </c>
      <c r="J47" s="18">
        <v>0</v>
      </c>
      <c r="K47" s="18">
        <v>0</v>
      </c>
      <c r="L47" s="3">
        <f t="shared" si="20"/>
        <v>20</v>
      </c>
      <c r="O47" s="97">
        <v>19</v>
      </c>
      <c r="P47" s="110" t="s">
        <v>62</v>
      </c>
      <c r="Q47" s="120">
        <f>SUM(COUNTIFS(North!C:C,"lpm",North!L:L,"B M KALUNDIA"),COUNTIFS(KOAA!C:C,"lpm",KOAA!L:L,"B M KALUNDIA"),COUNTIFS(South!C:C,"lpm",South!L:L,"B M KALUNDIA"),COUNTIFS(DDJ!C:C,"lpm",DDJ!L:L,"B M KALUNDIA"),COUNTIFS(BT!C:C,"lpm",BT!L:L,"B M KALUNDIA"),COUNTIFS(NH!C:C,"lpm",NH!L:L,"B M KALUNDIA"),COUNTIFS(CONV!C:C,"LPM",CONV!L:L,"B M KALUNDIA"))</f>
        <v>0</v>
      </c>
      <c r="R47" s="120">
        <f>SUM(COUNTIFS(North!C:C,"lpp(loco)",North!L:L,"B M KALUNDIA"),COUNTIFS(KOAA!C:C,"lpp(loco)",KOAA!L:L,"B M KALUNDIA"),COUNTIFS(South!C:C,"lpp(loco)",South!L:L,"B M KALUNDIA"),COUNTIFS(DDJ!C:C,"lpp(loco)",DDJ!L:L,"B M KALUNDIA"),COUNTIFS(BT!C:C,"lpp(loco)",BT!L:L,"B M KALUNDIA"),COUNTIFS(NH!C:C,"lpp(loco)",NH!L:L,"B M KALUNDIA"),COUNTIFS(CONV!C:C,"LPP(LOCO)",CONV!L:L,"B M KALUNDIA"))</f>
        <v>0</v>
      </c>
      <c r="S47" s="120">
        <f>SUM(COUNTIFS(North!C:C,"motorman",North!L:L,"B M KALUNDIA"),COUNTIFS(KOAA!C:C,"motorman",KOAA!L:L,"B M KALUNDIA"),COUNTIFS(South!C:C,"motorman",South!L:L,"B M KALUNDIA"),COUNTIFS(DDJ!C:C,"motorman",DDJ!L:L,"B M KALUNDIA"),COUNTIFS(BT!C:C,"motorman",BT!L:L,"B M KALUNDIA"),COUNTIFS(NH!C:C,"motorman",NH!L:L,"B M KALUNDIA"),COUNTIFS(CONV!C:C,"MOTORMAN",CONV!L:L,"B M KALUNDIA"),COUNTIFS(RHA!C:C,"MOTORMAN",RHA!L:L,"B M KALUNDIA"))</f>
        <v>33</v>
      </c>
      <c r="T47" s="120">
        <f>SUM(COUNTIFS(North!C:C,"lpg",North!L:L,"B M KALUNDIA"),COUNTIFS(KOAA!C:C,"lpg",KOAA!L:L,"B M KALUNDIA"),COUNTIFS(South!C:C,"lpg",South!L:L,"B M KALUNDIA"),COUNTIFS(DDJ!C:C,"lpg",DDJ!L:L,"B M KALUNDIA"),COUNTIFS(BT!C:C,"lpg",BT!L:L,"B M KALUNDIA"),COUNTIFS(NH!C:C,"lpg",NH!L:L,"B M KALUNDIA"),COUNTIFS(CONV!C:C,"LPG",CONV!L:L,"B M KALUNDIA",CONV!R:R,"Elect"),COUNTIFS(RHA!C:C,"LPG",RHA!L:L,"B M KALUNDIA"))</f>
        <v>13</v>
      </c>
      <c r="U47" s="120">
        <f>SUM(COUNTIFS(North!C:C,"lps",North!L:L,"B M KALUNDIA"),COUNTIFS(KOAA!C:C,"lps",KOAA!L:L,"B M KALUNDIA"),COUNTIFS(South!C:C,"lps",South!L:L,"B M KALUNDIA"),COUNTIFS(DDJ!C:C,"lps",DDJ!L:L,"B M KALUNDIA"),COUNTIFS(BT!C:C,"lps",BT!L:L,"B M KALUNDIA"),COUNTIFS(NH!C:C,"lps",NH!L:L,"B M KALUNDIA"),COUNTIFS(CONV!C:C,"LPS",CONV!L:L,"B M KALUNDIA",CONV!R:R,"Elect"),COUNTIFS(RHA!C:C,"LPS",RHA!L:L,"B M KALUNDIA"))</f>
        <v>7</v>
      </c>
      <c r="V47" s="120">
        <f>SUM(COUNTIFS(North!C:C,"alp",North!L:L,"B M KALUNDIA"),COUNTIFS(KOAA!C:C,"alp",KOAA!L:L,"B M KALUNDIA"),COUNTIFS(South!C:C,"alp",South!L:L,"B M KALUNDIA"),COUNTIFS(DDJ!C:C,"alp",DDJ!L:L,"B M KALUNDIA"),COUNTIFS(BT!C:C,"alp",BT!L:L,"B M KALUNDIA"),COUNTIFS(NH!C:C,"alp",NH!L:L,"B M KALUNDIA"),COUNTIFS(CONV!C:C,"ALP",CONV!L:L,"B M KALUNDIA"),COUNTIFS(RHA!C:C,"ALP",RHA!L:L,"B M KALUNDIA"))</f>
        <v>16</v>
      </c>
      <c r="W47" s="125">
        <v>0</v>
      </c>
      <c r="X47" s="102">
        <f t="shared" si="17"/>
        <v>69</v>
      </c>
      <c r="Y47" s="102">
        <f t="shared" si="18"/>
        <v>46</v>
      </c>
      <c r="AB47" s="34"/>
      <c r="AG47" s="30"/>
      <c r="AH47" s="25"/>
      <c r="AI47" s="25"/>
      <c r="AJ47" s="26"/>
      <c r="AK47" s="27"/>
      <c r="AL47" s="28"/>
      <c r="AM47" s="8"/>
      <c r="AN47" s="8"/>
      <c r="AO47" s="6"/>
    </row>
    <row r="48" spans="1:41" ht="15.75" customHeight="1">
      <c r="A48" s="47" t="s">
        <v>63</v>
      </c>
      <c r="B48" s="3">
        <f>COUNTIFS(Ministerial!H:H,"CC(R) NORTH",Ministerial!K:K,"&lt;="&amp;C37)</f>
        <v>7</v>
      </c>
      <c r="C48" s="48">
        <f>COUNTIFS(Ministerial!H:H,"CC(R) SOUTH",Ministerial!K:K,"&lt;="&amp;C37)</f>
        <v>0</v>
      </c>
      <c r="D48" s="48">
        <f>COUNTIFS(Ministerial!H:H,"CC(R) KOAA",Ministerial!K:K,"&lt;="&amp;C37)</f>
        <v>0</v>
      </c>
      <c r="E48" s="48">
        <f>COUNTIFS(Ministerial!H:H,"CC(R) DDJ",Ministerial!K:K,"&lt;="&amp;C37)</f>
        <v>4</v>
      </c>
      <c r="F48" s="48">
        <f>COUNTIFS(Ministerial!H:H,"CC(R) NH",Ministerial!K:K,"&lt;="&amp;C37)</f>
        <v>1</v>
      </c>
      <c r="G48" s="48">
        <f>COUNTIFS(Ministerial!H:H,"CC(R) BT",Ministerial!K:K,"&lt;="&amp;C37)</f>
        <v>0</v>
      </c>
      <c r="H48" s="17">
        <f>COUNTIFS(Ministerial!H:H,"CC(R) RHA",Ministerial!K:K,"&lt;="&amp;C37)</f>
        <v>0</v>
      </c>
      <c r="I48" s="122">
        <f>COUNTIFS(Ministerial!H:H,"CP",Ministerial!K:K,"&lt;="&amp;C37)</f>
        <v>0</v>
      </c>
      <c r="J48" s="122">
        <f>COUNTIFS(Ministerial!H:H,"NKG",Ministerial!K:K,"&lt;="&amp;C37)</f>
        <v>0</v>
      </c>
      <c r="K48" s="48">
        <f>COUNTIFS(Ministerial!H:H,"HQ",Ministerial!K:K,"&lt;="&amp;C37)</f>
        <v>6</v>
      </c>
      <c r="L48" s="3">
        <f t="shared" si="20"/>
        <v>18</v>
      </c>
      <c r="O48" s="97">
        <v>20</v>
      </c>
      <c r="P48" s="110" t="s">
        <v>64</v>
      </c>
      <c r="Q48" s="120">
        <f>SUM(COUNTIFS(North!C:C,"lpm",North!L:L,"MAHADEO MANJHI"),COUNTIFS(KOAA!C:C,"lpm",KOAA!L:L,"MAHADEO MANJHI"),COUNTIFS(South!C:C,"lpm",South!L:L,"MAHADEO MANJHI"),COUNTIFS(DDJ!C:C,"lpm",DDJ!L:L,"MAHADEO MANJHI"),COUNTIFS(BT!C:C,"lpm",BT!L:L,"MAHADEO MANJHI"),COUNTIFS(NH!C:C,"lpm",NH!L:L,"MAHADEO MANJHI"),COUNTIFS(CONV!C:C,"LPM",CONV!L:L,"MAHADEO MANJHI"))</f>
        <v>1</v>
      </c>
      <c r="R48" s="120">
        <f>SUM(COUNTIFS(North!C:C,"lpp(loco)",North!L:L,"MAHADEO MANJHI"),COUNTIFS(KOAA!C:C,"lpp(loco)",KOAA!L:L,"MAHADEO MANJHI"),COUNTIFS(South!C:C,"lpp(loco)",South!L:L,"MAHADEO MANJHI"),COUNTIFS(DDJ!C:C,"lpp(loco)",DDJ!L:L,"MAHADEO MANJHI"),COUNTIFS(BT!C:C,"lpp(loco)",BT!L:L,"MAHADEO MANJHI"),COUNTIFS(NH!C:C,"lpp(loco)",NH!L:L,"MAHADEO MANJHI"),COUNTIFS(CONV!C:C,"LPP(LOCO)",CONV!L:L,"MAHADEO MANJHI"))</f>
        <v>0</v>
      </c>
      <c r="S48" s="120">
        <f>SUM(COUNTIFS(North!C:C,"motorman",North!L:L,"MAHADEO MANJHI"),COUNTIFS(KOAA!C:C,"motorman",KOAA!L:L,"MAHADEO MANJHI"),COUNTIFS(South!C:C,"motorman",South!L:L,"MAHADEO MANJHI"),COUNTIFS(DDJ!C:C,"motorman",DDJ!L:L,"MAHADEO MANJHI"),COUNTIFS(BT!C:C,"motorman",BT!L:L,"MAHADEO MANJHI"),COUNTIFS(NH!C:C,"motorman",NH!L:L,"MAHADEO MANJHI"),COUNTIFS(CONV!C:C,"MOTORMAN",CONV!L:L,"MAHADEO MANJHI"),COUNTIFS(RHA!C:C,"MOTORMAN",RHA!L:L,"MAHADEO MANJHI"))</f>
        <v>35</v>
      </c>
      <c r="T48" s="120">
        <f>SUM(COUNTIFS(North!C:C,"lpg",North!L:L,"MAHADEO MANJHI"),COUNTIFS(KOAA!C:C,"lpg",KOAA!L:L,"MAHADEO MANJHI"),COUNTIFS(South!C:C,"lpg",South!L:L,"MAHADEO MANJHI"),COUNTIFS(DDJ!C:C,"lpg",DDJ!L:L,"MAHADEO MANJHI"),COUNTIFS(BT!C:C,"lpg",BT!L:L,"MAHADEO MANJHI"),COUNTIFS(NH!C:C,"lpg",NH!L:L,"MAHADEO MANJHI"),COUNTIFS(CONV!C:C,"LPG",CONV!L:L,"MAHADEO MANJHI",CONV!R:R,"Elect"),COUNTIFS(RHA!C:C,"LPG",RHA!L:L,"MAHADEO MANJHI"))</f>
        <v>7</v>
      </c>
      <c r="U48" s="120">
        <f>SUM(COUNTIFS(North!C:C,"lps",North!L:L,"MAHADEO MANJHI"),COUNTIFS(KOAA!C:C,"lps",KOAA!L:L,"MAHADEO MANJHI"),COUNTIFS(South!C:C,"lps",South!L:L,"MAHADEO MANJHI"),COUNTIFS(DDJ!C:C,"lps",DDJ!L:L,"MAHADEO MANJHI"),COUNTIFS(BT!C:C,"lps",BT!L:L,"MAHADEO MANJHI"),COUNTIFS(NH!C:C,"lps",NH!L:L,"MAHADEO MANJHI"),COUNTIFS(CONV!C:C,"LPS",CONV!L:L,"MAHADEO MANJHI",CONV!R:R,"Elect"),COUNTIFS(RHA!C:C,"LPS",RHA!L:L,"MAHADEO MANJHI"))</f>
        <v>9</v>
      </c>
      <c r="V48" s="120">
        <f>SUM(COUNTIFS(North!C:C,"alp",North!L:L,"MAHADEO MANJHI"),COUNTIFS(KOAA!C:C,"alp",KOAA!L:L,"MAHADEO MANJHI"),COUNTIFS(South!C:C,"alp",South!L:L,"MAHADEO MANJHI"),COUNTIFS(DDJ!C:C,"alp",DDJ!L:L,"MAHADEO MANJHI"),COUNTIFS(BT!C:C,"alp",BT!L:L,"MAHADEO MANJHI"),COUNTIFS(NH!C:C,"alp",NH!L:L,"MAHADEO MANJHI"),COUNTIFS(CONV!C:C,"ALP",CONV!L:L,"MAHADEO MANJHI"),COUNTIFS(RHA!C:C,"ALP",RHA!L:L,"MAHADEO MANJHI"))</f>
        <v>16</v>
      </c>
      <c r="W48" s="125">
        <v>0</v>
      </c>
      <c r="X48" s="102">
        <f t="shared" si="17"/>
        <v>68</v>
      </c>
      <c r="Y48" s="102">
        <f t="shared" si="18"/>
        <v>43</v>
      </c>
      <c r="AB48" s="14"/>
      <c r="AF48" s="6"/>
      <c r="AG48" s="14"/>
      <c r="AH48" s="14"/>
      <c r="AI48" s="14"/>
      <c r="AJ48" s="14"/>
      <c r="AK48" s="34"/>
      <c r="AL48" s="14"/>
      <c r="AM48" s="14"/>
      <c r="AN48" s="14"/>
      <c r="AO48" s="6"/>
    </row>
    <row r="49" spans="1:42" ht="15.75" customHeight="1">
      <c r="A49" s="43" t="s">
        <v>26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3">
        <f>COUNTIFS('Trip Shed'!E:E,"CP",'Trip Shed'!I:I,"&lt;="&amp;C37)</f>
        <v>14</v>
      </c>
      <c r="J49" s="48">
        <f>COUNTIFS('Trip Shed'!E:E,"NKG",'Trip Shed'!I:I,"&lt;="&amp;C37)</f>
        <v>19</v>
      </c>
      <c r="K49" s="18">
        <v>0</v>
      </c>
      <c r="L49" s="3">
        <f t="shared" si="20"/>
        <v>33</v>
      </c>
      <c r="O49" s="97">
        <v>21</v>
      </c>
      <c r="P49" s="126" t="s">
        <v>65</v>
      </c>
      <c r="Q49" s="127">
        <f>SUM(COUNTIFS(North!C:C,"lpm",North!L:L,"SAMARESH MONDAL"),COUNTIFS(KOAA!C:C,"lpm",KOAA!L:L,"SAMARESH MONDAL"),COUNTIFS(South!C:C,"lpm",South!L:L,"SAMARESH MONDAL"),COUNTIFS(DDJ!C:C,"lpm",DDJ!L:L,"SAMARESH MONDAL"),COUNTIFS(BT!C:C,"lpm",BT!L:L,"SAMARESH MONDAL"),COUNTIFS(NH!C:C,"lpm",NH!L:L,"SAMARESH MONDAL"),COUNTIFS(CONV!C:C,"LPM",CONV!L:L,"SAMARESH MONDAL"))</f>
        <v>0</v>
      </c>
      <c r="R49" s="127">
        <f>SUM(COUNTIFS(North!C:C,"lpp(loco)",North!L:L,"SAMARESH MONDAL"),COUNTIFS(KOAA!C:C,"lpp(loco)",KOAA!L:L,"SAMARESH MONDAL"),COUNTIFS(South!C:C,"lpp(loco)",South!L:L,"SAMARESH MONDAL"),COUNTIFS(DDJ!C:C,"lpp(loco)",DDJ!L:L,"SAMARESH MONDAL"),COUNTIFS(BT!C:C,"lpp(loco)",BT!L:L,"SAMARESH MONDAL"),COUNTIFS(NH!C:C,"lpp(loco)",NH!L:L,"SAMARESH MONDAL"),COUNTIFS(CONV!C:C,"LPP(LOCO)",CONV!L:L,"SAMARESH MONDAL"))</f>
        <v>0</v>
      </c>
      <c r="S49" s="127">
        <f>SUM(COUNTIFS(North!C:C,"motorman",North!L:L,"SAMARESH MONDAL"),COUNTIFS(KOAA!C:C,"motorman",KOAA!L:L,"SAMARESH MONDAL"),COUNTIFS(South!C:C,"motorman",South!L:L,"SAMARESH MONDAL"),COUNTIFS(DDJ!C:C,"motorman",DDJ!L:L,"SAMARESH MONDAL"),COUNTIFS(BT!C:C,"motorman",BT!L:L,"SAMARESH MONDAL"),COUNTIFS(NH!C:C,"motorman",NH!L:L,"SAMARESH MONDAL"),COUNTIFS(CONV!C:C,"MOTORMAN",CONV!L:L,"SAMARESH MONDAL"),COUNTIFS(RHA!C:C,"MOTORMAN",RHA!L:L,"SAMARESH MONDAL"))</f>
        <v>0</v>
      </c>
      <c r="T49" s="128">
        <f>SUM(COUNTIFS(North!C:C,"lpg",North!L:L,"SAMARESH MONDAL"),COUNTIFS(KOAA!C:C,"lpg",KOAA!L:L,"SAMARESH MONDAL"),COUNTIFS(South!C:C,"lpg",South!L:L,"SAMARESH MONDAL"),COUNTIFS(DDJ!C:C,"lpg",DDJ!L:L,"SAMARESH MONDAL"),COUNTIFS(BT!C:C,"lpg",BT!L:L,"SAMARESH MONDAL"),COUNTIFS(NH!C:C,"lpg",NH!L:L,"SAMARESH MONDAL"),COUNTIFS(CONV!C:C,"LPG",CONV!L:L,"SAMARESH MONDAL",CONV!R:R,"Elect"),COUNTIFS(RHA!C:C,"LPG",RHA!L:L,"SAMARESH MONDAL"))</f>
        <v>9</v>
      </c>
      <c r="U49" s="128">
        <f>SUM(COUNTIFS(North!C:C,"lps",North!L:L,"SAMARESH MONDAL"),COUNTIFS(KOAA!C:C,"lps",KOAA!L:L,"SAMARESH MONDAL"),COUNTIFS(South!C:C,"lps",South!L:L,"SAMARESH MONDAL"),COUNTIFS(DDJ!C:C,"lps",DDJ!L:L,"SAMARESH MONDAL"),COUNTIFS(BT!C:C,"lps",BT!L:L,"SAMARESH MONDAL"),COUNTIFS(NH!C:C,"lps",NH!L:L,"SAMARESH MONDAL"),COUNTIFS(CONV!C:C,"LPS",CONV!L:L,"SAMARESH MONDAL",CONV!R:R,"Elect"),COUNTIFS(RHA!C:C,"LPS",RHA!L:L,"SAMARESH MONDAL"))</f>
        <v>74</v>
      </c>
      <c r="V49" s="127">
        <f>SUM(COUNTIFS(North!C:C,"alp",North!L:L,"SAMARESH MONDAL"),COUNTIFS(KOAA!C:C,"alp",KOAA!L:L,"SAMARESH MONDAL"),COUNTIFS(South!C:C,"alp",South!L:L,"SAMARESH MONDAL"),COUNTIFS(DDJ!C:C,"alp",DDJ!L:L,"SAMARESH MONDAL"),COUNTIFS(BT!C:C,"alp",BT!L:L,"SAMARESH MONDAL"),COUNTIFS(NH!C:C,"alp",NH!L:L,"SAMARESH MONDAL"),COUNTIFS(CONV!C:C,"ALP",CONV!L:L,"SAMARESH MONDAL"),COUNTIFS(RHA!C:C,"ALP",RHA!L:L,"SAMARESH MONDAL"))</f>
        <v>0</v>
      </c>
      <c r="W49" s="129">
        <v>0</v>
      </c>
      <c r="X49" s="129">
        <f t="shared" si="17"/>
        <v>83</v>
      </c>
      <c r="Y49" s="130">
        <f t="shared" si="18"/>
        <v>9</v>
      </c>
      <c r="AB49" s="14"/>
      <c r="AF49" s="6"/>
      <c r="AG49" s="14"/>
      <c r="AH49" s="29"/>
      <c r="AI49" s="29"/>
      <c r="AJ49" s="29"/>
      <c r="AK49" s="29"/>
      <c r="AL49" s="29"/>
      <c r="AM49" s="29"/>
      <c r="AN49" s="29"/>
      <c r="AO49" s="6"/>
    </row>
    <row r="50" spans="1:42" ht="15.75" customHeight="1">
      <c r="A50" s="43" t="s">
        <v>27</v>
      </c>
      <c r="B50" s="3">
        <f t="shared" ref="B50:K50" si="22">SUM(B45:B49)</f>
        <v>124</v>
      </c>
      <c r="C50" s="3">
        <f t="shared" si="22"/>
        <v>49</v>
      </c>
      <c r="D50" s="3">
        <f t="shared" si="22"/>
        <v>21</v>
      </c>
      <c r="E50" s="3">
        <f t="shared" si="22"/>
        <v>24</v>
      </c>
      <c r="F50" s="3">
        <f t="shared" si="22"/>
        <v>50</v>
      </c>
      <c r="G50" s="3">
        <f t="shared" si="22"/>
        <v>37</v>
      </c>
      <c r="H50" s="3">
        <f t="shared" si="22"/>
        <v>11</v>
      </c>
      <c r="I50" s="3">
        <f t="shared" si="22"/>
        <v>14</v>
      </c>
      <c r="J50" s="3">
        <f t="shared" si="22"/>
        <v>19</v>
      </c>
      <c r="K50" s="3">
        <f t="shared" si="22"/>
        <v>6</v>
      </c>
      <c r="L50" s="131">
        <f t="shared" si="20"/>
        <v>355</v>
      </c>
      <c r="O50" s="97">
        <v>22</v>
      </c>
      <c r="P50" s="110" t="s">
        <v>66</v>
      </c>
      <c r="Q50" s="102">
        <f>SUM(COUNTIFS(North!C:C,"lpm",North!L:L,"SHYAMAL PRADHAN"),COUNTIFS(KOAA!C:C,"lpm",KOAA!L:L,"SHYAMAL PRADHAN"),COUNTIFS(South!C:C,"lpm",South!L:L,"SHYAMAL PRADHAN"),COUNTIFS(DDJ!C:C,"lpm",DDJ!L:L,"SHYAMAL PRADHAN"),COUNTIFS(BT!C:C,"lpm",BT!L:L,"SHYAMAL PRADHAN"),COUNTIFS(NH!C:C,"lpm",NH!L:L,"SHYAMAL PRADHAN"),COUNTIFS(CONV!C:C,"LPM",CONV!L:L,"SHYAMAL PRADHAN"))</f>
        <v>0</v>
      </c>
      <c r="R50" s="102">
        <f>SUM(COUNTIFS(North!C:C,"lpp(loco)",North!L:L,"SHYAMAL PRADHAN"),COUNTIFS(KOAA!C:C,"lpp(loco)",KOAA!L:L,"SHYAMAL PRADHAN"),COUNTIFS(South!C:C,"lpp(loco)",South!L:L,"SHYAMAL PRADHAN"),COUNTIFS(DDJ!C:C,"lpp(loco)",DDJ!L:L,"SHYAMAL PRADHAN"),COUNTIFS(BT!C:C,"lpp(loco)",BT!L:L,"SHYAMAL PRADHAN"),COUNTIFS(NH!C:C,"lpp(loco)",NH!L:L,"SHYAMAL PRADHAN"),COUNTIFS(CONV!C:C,"LPP(LOCO)",CONV!L:L,"SHYAMAL PRADHAN"))</f>
        <v>0</v>
      </c>
      <c r="S50" s="132">
        <f>SUM(COUNTIFS(North!C:C,"motorman",North!L:L,"SHYAMAL PRADHAN"),COUNTIFS(KOAA!C:C,"motorman",KOAA!L:L,"SHYAMAL PRADHAN"),COUNTIFS(South!C:C,"motorman",South!L:L,"SHYAMAL PRADHAN"),COUNTIFS(DDJ!C:C,"motorman",DDJ!L:L,"SHYAMAL PRADHAN"),COUNTIFS(BT!C:C,"motorman",BT!L:L,"SHYAMAL PRADHAN"),COUNTIFS(NH!C:C,"motorman",NH!L:L,"SHYAMAL PRADHAN"),COUNTIFS(CONV!C:C,"MOTORMAN",CONV!L:L,"SHYAMAL PRADHAN"),COUNTIFS(RHA!C:C,"MOTORMAN",RHA!L:L,"SHYAMAL PRADHAN"))</f>
        <v>0</v>
      </c>
      <c r="T50" s="133">
        <f>SUM(COUNTIFS(North!C:C,"lpg",North!L:L,"SHYAMAL PRADHAN"),COUNTIFS(KOAA!C:C,"lpg",KOAA!L:L,"SHYAMAL PRADHAN"),COUNTIFS(South!C:C,"lpg",South!L:L,"SHYAMAL PRADHAN"),COUNTIFS(DDJ!C:C,"lpg",DDJ!L:L,"SHYAMAL PRADHAN"),COUNTIFS(BT!C:C,"lpg",BT!L:L,"SHYAMAL PRADHAN"),COUNTIFS(NH!C:C,"lpg",NH!L:L,"SHYAMAL PRADHAN"),COUNTIFS(CONV!C:C,"LPG",CONV!L:L,"SHYAMAL PRADHAN"),COUNTIFS(RHA!C:C,"LPG",RHA!L:L,"SHYAMAL PRADHAN"))</f>
        <v>9</v>
      </c>
      <c r="U50" s="133">
        <f>SUM(COUNTIFS(North!C:C,"lps",North!L:L,"SHYAMAL PRADHAN"),COUNTIFS(KOAA!C:C,"lps",KOAA!L:L,"SHYAMAL PRADHAN"),COUNTIFS(South!C:C,"lps",South!L:L,"SHYAMAL PRADHAN"),COUNTIFS(DDJ!C:C,"lps",DDJ!L:L,"SHYAMAL PRADHAN"),COUNTIFS(BT!C:C,"lps",BT!L:L,"SHYAMAL PRADHAN"),COUNTIFS(NH!C:C,"lps",NH!L:L,"SHYAMAL PRADHAN"),COUNTIFS(CONV!C:C,"LPS",CONV!L:L,"SHYAMAL PRADHAN"),COUNTIFS(RHA!C:C,"LPS",RHA!L:L,"SHYAMAL PRADHAN"))</f>
        <v>0</v>
      </c>
      <c r="V50" s="132">
        <f>SUM(COUNTIFS(North!C:C,"alp",North!L:L,"SHYAMAL PRADHAN"),COUNTIFS(KOAA!C:C,"alp",KOAA!L:L,"SHYAMAL PRADHAN"),COUNTIFS(South!C:C,"alp",South!L:L,"SHYAMAL PRADHAN"),COUNTIFS(DDJ!C:C,"alp",DDJ!L:L,"SHYAMAL PRADHAN"),COUNTIFS(BT!C:C,"alp",BT!L:L,"SHYAMAL PRADHAN"),COUNTIFS(NH!C:C,"alp",NH!L:L,"SHYAMAL PRADHAN"),COUNTIFS(CONV!C:C,"ALP",CONV!L:L,"SHYAMAL PRADHAN"),COUNTIFS(RHA!C:C,"ALP",RHA!L:L,"SHYAMAL PRADHAN"))</f>
        <v>2</v>
      </c>
      <c r="W50" s="134">
        <v>0</v>
      </c>
      <c r="X50" s="134">
        <f t="shared" si="17"/>
        <v>11</v>
      </c>
      <c r="Y50" s="102">
        <f t="shared" si="18"/>
        <v>9</v>
      </c>
      <c r="AB50" s="14"/>
      <c r="AF50" s="6"/>
      <c r="AG50" s="14"/>
      <c r="AH50" s="29"/>
      <c r="AI50" s="29"/>
      <c r="AJ50" s="29"/>
      <c r="AK50" s="29"/>
      <c r="AL50" s="29"/>
      <c r="AM50" s="29"/>
      <c r="AN50" s="29"/>
      <c r="AO50" s="6"/>
    </row>
    <row r="51" spans="1:42" ht="15.75" customHeight="1">
      <c r="O51" s="97">
        <v>23</v>
      </c>
      <c r="P51" s="110" t="s">
        <v>67</v>
      </c>
      <c r="Q51" s="102">
        <f>SUM(COUNTIFS(North!C:C,"lpm",North!L:L,"NALINI KHAN"),COUNTIFS(KOAA!C:C,"lpm",KOAA!L:L,"NALINI KHAN"),COUNTIFS(South!C:C,"lpm",South!L:L,"NALINI KHAN"),COUNTIFS(DDJ!C:C,"lpm",DDJ!L:L,"NALINI KHAN"),COUNTIFS(BT!C:C,"lpm",BT!L:L,"NALINI KHAN"),COUNTIFS(NH!C:C,"lpm",NH!L:L,"NALINI KHAN"),COUNTIFS(CONV!C:C,"LPM",CONV!L:L,"NALINI KHAN"))</f>
        <v>1</v>
      </c>
      <c r="R51" s="102">
        <f>SUM(COUNTIFS(North!C:C,"lpp(loco)",North!L:L,"NALINI KHAN"),COUNTIFS(KOAA!C:C,"lpp(loco)",KOAA!L:L,"NALINI KHAN"),COUNTIFS(South!C:C,"lpp(loco)",South!L:L,"NALINI KHAN"),COUNTIFS(DDJ!C:C,"lpp(loco)",DDJ!L:L,"NALINI KHAN"),COUNTIFS(BT!C:C,"lpp(loco)",BT!L:L,"NALINI KHAN"),COUNTIFS(NH!C:C,"lpp(loco)",NH!L:L,"NALINI KHAN"),COUNTIFS(CONV!C:C,"LPP(LOCO)",CONV!L:L,"NALINI KHAN"))</f>
        <v>0</v>
      </c>
      <c r="S51" s="132">
        <f>SUM(COUNTIFS(North!C:C,"motorman",North!L:L,"NALINI KHAN"),COUNTIFS(KOAA!C:C,"motorman",KOAA!L:L,"NALINI KHAN"),COUNTIFS(South!C:C,"motorman",South!L:L,"NALINI KHAN"),COUNTIFS(DDJ!C:C,"motorman",DDJ!L:L,"NALINI KHAN"),COUNTIFS(BT!C:C,"motorman",BT!L:L,"NALINI KHAN"),COUNTIFS(NH!C:C,"motorman",NH!L:L,"NALINI KHAN"),COUNTIFS(CONV!C:C,"MOTORMAN",CONV!L:L,"NALINI KHAN"),COUNTIFS(RHA!C:C,"MOTORMAN",RHA!L:L,"NALINI KHAN"))</f>
        <v>37</v>
      </c>
      <c r="T51" s="135">
        <f>SUM(COUNTIFS(North!C:C,"lpg",North!L:L,"NALINI KHAN"),COUNTIFS(KOAA!C:C,"lpg",KOAA!L:L,"NALINI KHAN"),COUNTIFS(South!C:C,"lpg",South!L:L,"NALINI KHAN"),COUNTIFS(DDJ!C:C,"lpg",DDJ!L:L,"NALINI KHAN"),COUNTIFS(BT!C:C,"lpg",BT!L:L,"NALINI KHAN"),COUNTIFS(NH!C:C,"lpg",NH!L:L,"NALINI KHAN"),COUNTIFS(CONV!C:C,"LPG",CONV!L:L,"NALINI KHAN"),COUNTIFS(RHA!C:C,"LPG",RHA!L:L,"NALINI KHAN"))</f>
        <v>8</v>
      </c>
      <c r="U51" s="133">
        <f>SUM(COUNTIFS(North!C:C,"lps",North!L:L,"NALINI KHAN"),COUNTIFS(KOAA!C:C,"lps",KOAA!L:L,"NALINI KHAN"),COUNTIFS(South!C:C,"lps",South!L:L,"NALINI KHAN"),COUNTIFS(DDJ!C:C,"lps",DDJ!L:L,"NALINI KHAN"),COUNTIFS(BT!C:C,"lps",BT!L:L,"NALINI KHAN"),COUNTIFS(NH!C:C,"lps",NH!L:L,"NALINI KHAN"),COUNTIFS(CONV!C:C,"LPS",CONV!L:L,"NALINI KHAN"),COUNTIFS(RHA!C:C,"LPS",RHA!L:L,"NALINI KHAN"))</f>
        <v>4</v>
      </c>
      <c r="V51" s="132">
        <f>SUM(COUNTIFS(North!C:C,"alp",North!L:L,"NALINI KHAN"),COUNTIFS(KOAA!C:C,"alp",KOAA!L:L,"NALINI KHAN"),COUNTIFS(South!C:C,"alp",South!L:L,"NALINI KHAN"),COUNTIFS(DDJ!C:C,"alp",DDJ!L:L,"NALINI KHAN"),COUNTIFS(BT!C:C,"alp",BT!L:L,"NALINI KHAN"),COUNTIFS(NH!C:C,"alp",NH!L:L,"NALINI KHAN"),COUNTIFS(CONV!C:C,"ALP",CONV!L:L,"NALINI KHAN"),COUNTIFS(RHA!C:C,"ALP",RHA!L:L,"NALINI KHAN"))</f>
        <v>14</v>
      </c>
      <c r="W51" s="134">
        <v>0</v>
      </c>
      <c r="X51" s="134">
        <f t="shared" si="17"/>
        <v>64</v>
      </c>
      <c r="Y51" s="102">
        <f t="shared" si="18"/>
        <v>46</v>
      </c>
      <c r="AB51" s="14"/>
      <c r="AE51" s="6"/>
      <c r="AF51" s="6"/>
      <c r="AG51" s="6"/>
      <c r="AH51" s="29"/>
      <c r="AI51" s="29"/>
      <c r="AJ51" s="29"/>
      <c r="AK51" s="29"/>
      <c r="AL51" s="29"/>
      <c r="AM51" s="29"/>
      <c r="AN51" s="29"/>
      <c r="AO51" s="6"/>
    </row>
    <row r="52" spans="1:42" ht="21.75" customHeight="1">
      <c r="A52" s="9" t="s">
        <v>51</v>
      </c>
      <c r="B52" s="2" t="s">
        <v>68</v>
      </c>
      <c r="C52" s="136">
        <f>C37</f>
        <v>51226</v>
      </c>
      <c r="D52" s="79"/>
      <c r="E52" s="3"/>
      <c r="F52" s="79"/>
      <c r="G52" s="3"/>
      <c r="H52" s="3"/>
      <c r="I52" s="3"/>
      <c r="K52" s="137"/>
      <c r="L52" s="90"/>
      <c r="M52" s="138"/>
      <c r="O52" s="97">
        <v>24</v>
      </c>
      <c r="P52" s="110" t="s">
        <v>69</v>
      </c>
      <c r="Q52" s="102">
        <f>SUM(COUNTIFS(North!C:C,"lpm",North!L:L,"SHIVA SANKAR MONDAL"),COUNTIFS(KOAA!C:C,"lpm",KOAA!L:L,"SHIVA SANKAR MONDAL"),COUNTIFS(South!C:C,"lpm",South!L:L,"SHIVA SANKAR MONDAL"),COUNTIFS(DDJ!C:C,"lpm",DDJ!L:L,"SHIVA SANKAR MONDAL"),COUNTIFS(BT!C:C,"lpm",BT!L:L,"SHIVA SANKAR MONDAL"),COUNTIFS(NH!C:C,"lpm",NH!L:L,"SHIVA SANKAR MONDAL"),COUNTIFS(CONV!C:C,"LPM",CONV!L:L,"SHIVA SANKAR MONDAL"))</f>
        <v>9</v>
      </c>
      <c r="R52" s="102">
        <f>SUM(COUNTIFS(North!C:C,"lpp(loco)",North!L:L,"SHIVA SANKAR MONDAL"),COUNTIFS(KOAA!C:C,"lpp(loco)",KOAA!L:L,"SHIVA SANKAR MONDAL"),COUNTIFS(South!C:C,"lpp(loco)",South!L:L,"SHIVA SANKAR MONDAL"),COUNTIFS(DDJ!C:C,"lpp(loco)",DDJ!L:L,"SHIVA SANKAR MONDAL"),COUNTIFS(BT!C:C,"lpp(loco)",BT!L:L,"SHIVA SANKAR MONDAL"),COUNTIFS(NH!C:C,"lpp(loco)",NH!L:L,"SHIVA SANKAR MONDAL"),COUNTIFS(CONV!C:C,"LPP(LOCO)",CONV!L:L,"SHIVA SANKAR MONDAL"))</f>
        <v>2</v>
      </c>
      <c r="S52" s="132">
        <f>SUM(COUNTIFS(North!C:C,"motorman",North!L:L,"SHIVA SANKAR MONDAL"),COUNTIFS(KOAA!C:C,"motorman",KOAA!L:L,"SHIVA SANKAR MONDAL"),COUNTIFS(South!C:C,"motorman",South!L:L,"SHIVA SANKAR MONDAL"),COUNTIFS(DDJ!C:C,"motorman",DDJ!L:L,"SHIVA SANKAR MONDAL"),COUNTIFS(BT!C:C,"motorman",BT!L:L,"SHIVA SANKAR MONDAL"),COUNTIFS(NH!C:C,"motorman",NH!L:L,"SHIVA SANKAR MONDAL"),COUNTIFS(CONV!C:C,"MOTORMAN",CONV!L:L,"SHIVA SANKAR MONDAL"),COUNTIFS(RHA!C:C,"MOTORMAN",RHA!L:L,"SHIVA SANKAR MONDAL"))</f>
        <v>13</v>
      </c>
      <c r="T52" s="132">
        <f>SUM(COUNTIFS(North!C:C,"lpg",North!L:L,"SHIVA SANKAR MONDAL"),COUNTIFS(KOAA!C:C,"lpg",KOAA!L:L,"SHIVA SANKAR MONDAL"),COUNTIFS(South!C:C,"lpg",South!L:L,"SHIVA SANKAR MONDAL"),COUNTIFS(DDJ!C:C,"lpg",DDJ!L:L,"SHIVA SANKAR MONDAL"),COUNTIFS(BT!C:C,"lpg",BT!L:L,"SHIVA SANKAR MONDAL"),COUNTIFS(NH!C:C,"lpg",NH!L:L,"SHIVA SANKAR MONDAL"),COUNTIFS(CONV!C:C,"LPG",CONV!L:L,"SHIVA SANKAR MONDAL",CONV!R:R,"Elect"),COUNTIFS(RHA!C:C,"LPG",RHA!L:L,"SHIVA SANKAR MONDAL"))</f>
        <v>5</v>
      </c>
      <c r="U52" s="133">
        <f>SUM(COUNTIFS(North!C:C,"lps",North!L:L,"SHIVA SANKAR MONDAL"),COUNTIFS(KOAA!C:C,"lps",KOAA!L:L,"SHIVA SANKAR MONDAL"),COUNTIFS(South!C:C,"lps",South!L:L,"SHIVA SANKAR MONDAL"),COUNTIFS(DDJ!C:C,"lps",DDJ!L:L,"SHIVA SANKAR MONDAL"),COUNTIFS(BT!C:C,"lps",BT!L:L,"SHIVA SANKAR MONDAL"),COUNTIFS(NH!C:C,"lps",NH!L:L,"SHIVA SANKAR MONDAL"),COUNTIFS(CONV!C:C,"LPS",CONV!L:L,"SHIVA SANKAR MONDAL",CONV!R:R,"Elect"),COUNTIFS(RHA!C:C,"LPS",RHA!L:L,"SHIVA SANKAR MONDAL"))</f>
        <v>6</v>
      </c>
      <c r="V52" s="132">
        <f>SUM(COUNTIFS(North!C:C,"alp",North!L:L,"SHIVA SANKAR MONDAL"),COUNTIFS(KOAA!C:C,"alp",KOAA!L:L,"SHIVA SANKAR MONDAL"),COUNTIFS(South!C:C,"alp",South!L:L,"SHIVA SANKAR MONDAL"),COUNTIFS(DDJ!C:C,"alp",DDJ!L:L,"SHIVA SANKAR MONDAL"),COUNTIFS(BT!C:C,"alp",BT!L:L,"SHIVA SANKAR MONDAL"),COUNTIFS(NH!C:C,"alp",NH!L:L,"SHIVA SANKAR MONDAL"),COUNTIFS(CONV!C:C,"ALP",CONV!L:L,"SHIVA SANKAR MONDAL"),COUNTIFS(RHA!C:C,"ALP",RHA!L:L,"SHIVA SANKAR MONDAL"))</f>
        <v>11</v>
      </c>
      <c r="W52" s="134">
        <v>0</v>
      </c>
      <c r="X52" s="134">
        <f t="shared" si="17"/>
        <v>46</v>
      </c>
      <c r="Y52" s="102">
        <f t="shared" si="18"/>
        <v>29</v>
      </c>
      <c r="AB52" s="14"/>
      <c r="AC52" s="25"/>
      <c r="AD52" s="14"/>
      <c r="AE52" s="34"/>
      <c r="AF52" s="34"/>
      <c r="AG52" s="8"/>
      <c r="AH52" s="29"/>
      <c r="AI52" s="29"/>
      <c r="AJ52" s="29"/>
      <c r="AK52" s="29"/>
      <c r="AL52" s="29"/>
      <c r="AM52" s="29"/>
      <c r="AN52" s="29"/>
      <c r="AO52" s="6"/>
    </row>
    <row r="53" spans="1:42" ht="33" customHeight="1">
      <c r="A53" s="81"/>
      <c r="B53" s="10" t="s">
        <v>3</v>
      </c>
      <c r="C53" s="10" t="s">
        <v>4</v>
      </c>
      <c r="D53" s="10" t="s">
        <v>5</v>
      </c>
      <c r="E53" s="10" t="s">
        <v>36</v>
      </c>
      <c r="F53" s="10" t="s">
        <v>7</v>
      </c>
      <c r="G53" s="18" t="s">
        <v>9</v>
      </c>
      <c r="H53" s="10" t="s">
        <v>8</v>
      </c>
      <c r="I53" s="16" t="s">
        <v>17</v>
      </c>
      <c r="K53" s="137"/>
      <c r="L53" s="90"/>
      <c r="M53" s="138"/>
      <c r="O53" s="102"/>
      <c r="P53" s="139" t="s">
        <v>13</v>
      </c>
      <c r="Q53" s="140">
        <f t="shared" ref="Q53:Y53" si="23">SUM(Q29:Q52)</f>
        <v>66</v>
      </c>
      <c r="R53" s="140">
        <f t="shared" si="23"/>
        <v>14</v>
      </c>
      <c r="S53" s="140">
        <f t="shared" si="23"/>
        <v>458</v>
      </c>
      <c r="T53" s="140">
        <f t="shared" si="23"/>
        <v>293</v>
      </c>
      <c r="U53" s="140">
        <f t="shared" si="23"/>
        <v>209</v>
      </c>
      <c r="V53" s="140">
        <f t="shared" si="23"/>
        <v>337</v>
      </c>
      <c r="W53" s="140">
        <f t="shared" ca="1" si="23"/>
        <v>42</v>
      </c>
      <c r="X53" s="140">
        <f t="shared" ca="1" si="23"/>
        <v>1419</v>
      </c>
      <c r="Y53" s="140">
        <f t="shared" si="23"/>
        <v>831</v>
      </c>
      <c r="AA53" s="7"/>
      <c r="AB53" s="14"/>
      <c r="AC53" s="14"/>
      <c r="AD53" s="14"/>
      <c r="AE53" s="14"/>
      <c r="AF53" s="14"/>
      <c r="AG53" s="14"/>
      <c r="AH53" s="29"/>
      <c r="AI53" s="29"/>
      <c r="AJ53" s="29"/>
      <c r="AK53" s="29"/>
      <c r="AL53" s="29"/>
      <c r="AM53" s="29"/>
      <c r="AN53" s="29"/>
      <c r="AO53" s="6"/>
    </row>
    <row r="54" spans="1:42" ht="33" customHeight="1">
      <c r="A54" s="15" t="s">
        <v>14</v>
      </c>
      <c r="B54" s="16">
        <f>COUNTIFS(CONV!C:C,"LPM",CONV!K:K,"CC(R) NORTH",CONV!N:N,"&lt;="&amp;C52)</f>
        <v>15</v>
      </c>
      <c r="C54" s="82">
        <f>COUNTIFS(CONV!C:C,"LPM",CONV!K:K,"CC(R) SOUTH",CONV!N:N,"&lt;="&amp;C52)</f>
        <v>0</v>
      </c>
      <c r="D54" s="82">
        <f>COUNTIFS(CONV!C:C,"LPM",CONV!K:K,"CC(R) KOAA",CONV!N:N,"&lt;="&amp;C52)</f>
        <v>1</v>
      </c>
      <c r="E54" s="82">
        <f>COUNTIFS(CONV!C:C,"LPM",CONV!K:K,"CC(R) DDJ",CONV!N:N,"&lt;="&amp;C52)</f>
        <v>0</v>
      </c>
      <c r="F54" s="82">
        <f>COUNTIFS(CONV!C:C,"LPM",CONV!K:K,"CC(R) NH",CONV!N:N,"&lt;="&amp;C52)</f>
        <v>0</v>
      </c>
      <c r="G54" s="83">
        <f>COUNTIFS(CONV!C:C,"LPM",CONV!K:K,"CC(R) RHA",CONV!N:N,"&lt;="&amp;C52)</f>
        <v>0</v>
      </c>
      <c r="H54" s="82">
        <f>COUNTIFS(CONV!C:C,"LPM",CONV!K:K,"CC(R) BT",CONV!N:N,"&lt;="&amp;C52)</f>
        <v>0</v>
      </c>
      <c r="I54" s="16">
        <f t="shared" ref="I54:I60" si="24">SUM(B54:H54)</f>
        <v>16</v>
      </c>
      <c r="K54" s="137"/>
      <c r="L54" s="90"/>
      <c r="M54" s="138"/>
      <c r="AB54" s="14"/>
      <c r="AC54" s="14"/>
      <c r="AD54" s="14"/>
      <c r="AE54" s="14"/>
      <c r="AF54" s="14"/>
      <c r="AG54" s="6"/>
      <c r="AH54" s="29"/>
      <c r="AI54" s="29"/>
      <c r="AJ54" s="29"/>
      <c r="AK54" s="29"/>
      <c r="AL54" s="29"/>
      <c r="AM54" s="29"/>
      <c r="AN54" s="29"/>
      <c r="AO54" s="6"/>
    </row>
    <row r="55" spans="1:42" ht="36" customHeight="1">
      <c r="A55" s="15" t="s">
        <v>18</v>
      </c>
      <c r="B55" s="82">
        <f>COUNTIFS(CONV!C:C,"MOTORMAN",CONV!K:K,"CC(R) NORTH",CONV!N:N,"&lt;="&amp;C52)</f>
        <v>8</v>
      </c>
      <c r="C55" s="82">
        <f>COUNTIFS(CONV!C:C,"MOTORMAN",CONV!K:K,"CC(R) SOUTH",CONV!N:N,"&lt;="&amp;C52)</f>
        <v>10</v>
      </c>
      <c r="D55" s="82">
        <f>COUNTIFS(CONV!C:C,"MOTORMAN",CONV!K:K,"CC(R) KOAA",CONV!N:N,"&lt;="&amp;C52)</f>
        <v>0</v>
      </c>
      <c r="E55" s="82">
        <f>COUNTIFS(CONV!C:C,"MOTORMAN",CONV!K:K,"CC(R) DDJ",CONV!N:N,"&lt;="&amp;C52)</f>
        <v>0</v>
      </c>
      <c r="F55" s="82">
        <f>COUNTIFS(CONV!C:C,"MOTORMAN",CONV!K:K,"CC(R) NH",CONV!N:N,"&lt;="&amp;C52)</f>
        <v>1</v>
      </c>
      <c r="G55" s="83">
        <f>COUNTIFS(CONV!C:C,"MOTORMAN",CONV!K:K,"CC(R) RHA",CONV!N:N,"&lt;="&amp;C52)</f>
        <v>2</v>
      </c>
      <c r="H55" s="82">
        <f>COUNTIFS(CONV!C:C,"MOTORMAN",CONV!K:K,"CC(R) BT",CONV!N:N,"&lt;="&amp;C52)</f>
        <v>0</v>
      </c>
      <c r="I55" s="16">
        <f t="shared" si="24"/>
        <v>21</v>
      </c>
      <c r="K55" s="137"/>
      <c r="AB55" s="29"/>
      <c r="AC55" s="29"/>
      <c r="AD55" s="29"/>
      <c r="AE55" s="14"/>
      <c r="AF55" s="14"/>
      <c r="AG55" s="8"/>
      <c r="AH55" s="6"/>
      <c r="AI55" s="6"/>
      <c r="AJ55" s="6"/>
      <c r="AK55" s="6"/>
      <c r="AL55" s="6"/>
      <c r="AM55" s="6"/>
      <c r="AN55" s="141"/>
      <c r="AO55" s="6"/>
    </row>
    <row r="56" spans="1:42" ht="33.75" customHeight="1">
      <c r="A56" s="15" t="s">
        <v>19</v>
      </c>
      <c r="B56" s="82">
        <f>COUNTIFS(CONV!C:C,"LPP(LOCO)",CONV!K:K,"CC(R) NORTH",CONV!N:N,"&lt;="&amp;C52)</f>
        <v>3</v>
      </c>
      <c r="C56" s="82">
        <f>COUNTIFS(CONV!C:C,"LPP(LOCO)",CONV!K:K,"CC(R) SOUTH",CONV!N:N,"&lt;="&amp;C52)</f>
        <v>0</v>
      </c>
      <c r="D56" s="82">
        <f>COUNTIFS(CONV!C:C,"LPP(LOCO)",CONV!K:K,"CC(R) KOAA",CONV!N:N,"&lt;="&amp;C52)</f>
        <v>0</v>
      </c>
      <c r="E56" s="82">
        <f>COUNTIFS(CONV!C:C,"LPP(LOCO)",CONV!K:K,"CC(R) DDJ",CONV!N:N,"&lt;="&amp;C52)</f>
        <v>0</v>
      </c>
      <c r="F56" s="82">
        <f>COUNTIFS(CONV!C:C,"LPP(LOCO)",CONV!K:K,"CC(R) NH",CONV!N:N,"&lt;="&amp;C52)</f>
        <v>0</v>
      </c>
      <c r="G56" s="83">
        <f>COUNTIFS(CONV!C:C,"LPP(LOCO)",CONV!K:K,"CC(R) RHA",CONV!N:N,"&lt;="&amp;C52)</f>
        <v>0</v>
      </c>
      <c r="H56" s="82">
        <f>COUNTIFS(CONV!C:C,"LPP(LOCO)",CONV!K:K,"CC(R) BT",CONV!N:N,"&lt;="&amp;C52)</f>
        <v>0</v>
      </c>
      <c r="I56" s="16">
        <f t="shared" si="24"/>
        <v>3</v>
      </c>
      <c r="K56" s="137"/>
      <c r="L56" s="90"/>
      <c r="M56" s="138"/>
      <c r="AA56" s="34"/>
      <c r="AB56" s="34"/>
      <c r="AC56" s="29"/>
      <c r="AD56" s="29"/>
      <c r="AE56" s="14"/>
      <c r="AF56" s="14"/>
      <c r="AG56" s="14"/>
      <c r="AH56" s="6"/>
      <c r="AI56" s="6"/>
      <c r="AJ56" s="6"/>
      <c r="AK56" s="6"/>
      <c r="AL56" s="6"/>
      <c r="AM56" s="6"/>
      <c r="AN56" s="6"/>
      <c r="AO56" s="6"/>
    </row>
    <row r="57" spans="1:42" ht="33" customHeight="1">
      <c r="A57" s="15" t="s">
        <v>20</v>
      </c>
      <c r="B57" s="82">
        <f>COUNTIFS(CONV!C:C,"LPG",CONV!K:K,"CC(R) NORTH",CONV!N:N,"&lt;="&amp;C52)</f>
        <v>1</v>
      </c>
      <c r="C57" s="82">
        <f>COUNTIFS(CONV!C:C,"LPG",CONV!K:K,"CC(R) SOUTH",CONV!N:N,"&lt;="&amp;C52)</f>
        <v>0</v>
      </c>
      <c r="D57" s="82">
        <f>COUNTIFS(CONV!C:C,"LPG",CONV!K:K,"CC(R) KOAA",CONV!N:N,"&lt;="&amp;C52)</f>
        <v>0</v>
      </c>
      <c r="E57" s="82">
        <f>COUNTIFS(CONV!C:C,"LPG",CONV!K:K,"CC(R) DDJ",CONV!N:N,"&lt;="&amp;C52)</f>
        <v>49</v>
      </c>
      <c r="F57" s="142">
        <f>COUNTIFS(CONV!C:C,"LPG",CONV!K:K,"CC(R) NH",CONV!N:N,"&lt;="&amp;C52)</f>
        <v>19</v>
      </c>
      <c r="G57" s="83">
        <f>COUNTIFS(CONV!C:C,"LPG",CONV!K:K,"CC(R) RHA",CONV!N:N,"&lt;="&amp;C52)</f>
        <v>11</v>
      </c>
      <c r="H57" s="82">
        <f>COUNTIFS(CONV!C:C,"LPG",CONV!K:K,"CC(R) BT",CONV!N:N,"&lt;="&amp;C52)</f>
        <v>1</v>
      </c>
      <c r="I57" s="16">
        <f t="shared" si="24"/>
        <v>81</v>
      </c>
      <c r="K57" s="137"/>
      <c r="L57" s="90"/>
      <c r="M57" s="138"/>
      <c r="AA57" s="14"/>
      <c r="AB57" s="14"/>
      <c r="AC57" s="29"/>
      <c r="AD57" s="29"/>
      <c r="AE57" s="29"/>
      <c r="AF57" s="6"/>
    </row>
    <row r="58" spans="1:42" ht="33" customHeight="1">
      <c r="A58" s="15" t="s">
        <v>21</v>
      </c>
      <c r="B58" s="82">
        <f>COUNTIFS(CONV!C:C,"LPS",CONV!K:K,"CC(R) NORTH",CONV!N:N,"&lt;="&amp;C52)</f>
        <v>0</v>
      </c>
      <c r="C58" s="82">
        <f>COUNTIFS(CONV!C:C,"LPS",CONV!K:K,"CC(R) SOUTH",CONV!N:N,"&lt;="&amp;C52)</f>
        <v>0</v>
      </c>
      <c r="D58" s="82">
        <f>COUNTIFS(CONV!C:C,"LPS",CONV!K:K,"CC(R) KOAA",CONV!N:N,"&lt;="&amp;C52)</f>
        <v>1</v>
      </c>
      <c r="E58" s="82">
        <f>COUNTIFS(CONV!C:C,"LPS",CONV!K:K,"CC(R) DDJ",CONV!N:N,"&lt;="&amp;C52)</f>
        <v>1</v>
      </c>
      <c r="F58" s="82">
        <f>COUNTIFS(CONV!C:C,"LPS",CONV!K:K,"CC(R) NH",CONV!N:N,"&lt;="&amp;C52)</f>
        <v>5</v>
      </c>
      <c r="G58" s="83">
        <f>COUNTIFS(CONV!C:C,"LPS",CONV!K:K,"CC(R) RHA",CONV!N:N,"&lt;="&amp;C52)</f>
        <v>1</v>
      </c>
      <c r="H58" s="82">
        <f>COUNTIFS(CONV!C:C,"LPS",CONV!K:K,"CC(R) BT",CONV!N:N,"&lt;="&amp;C52)</f>
        <v>0</v>
      </c>
      <c r="I58" s="16">
        <f t="shared" si="24"/>
        <v>8</v>
      </c>
      <c r="K58" s="137"/>
      <c r="L58" s="90"/>
      <c r="M58" s="138"/>
      <c r="AA58" s="14"/>
      <c r="AB58" s="14"/>
      <c r="AC58" s="6"/>
      <c r="AD58" s="6"/>
      <c r="AE58" s="6"/>
      <c r="AF58" s="6"/>
    </row>
    <row r="59" spans="1:42" ht="37.5" customHeight="1">
      <c r="A59" s="15" t="s">
        <v>22</v>
      </c>
      <c r="B59" s="82">
        <f>COUNTIFS(CONV!C:C,"ALP",CONV!K:K,"CC(R) NORTH",CONV!N:N,"&lt;="&amp;C52)</f>
        <v>5</v>
      </c>
      <c r="C59" s="82">
        <f>COUNTIFS(CONV!C:C,"ALP",CONV!K:K,"CC(R) SOUTH",CONV!N:N,"&lt;="&amp;C52)</f>
        <v>0</v>
      </c>
      <c r="D59" s="82">
        <f>COUNTIFS(CONV!C:C,"ALP",CONV!K:K,"CC(R) KOAA",CONV!N:N,"&lt;="&amp;C52)</f>
        <v>0</v>
      </c>
      <c r="E59" s="82">
        <f>COUNTIFS(CONV!C:C,"ALP",CONV!K:K,"CC(R) DDJ",CONV!N:N,"&lt;="&amp;C52)</f>
        <v>5</v>
      </c>
      <c r="F59" s="82">
        <f>COUNTIFS(CONV!C:C,"ALP",CONV!K:K,"CC(R) NH",CONV!N:N,"&lt;="&amp;C52)</f>
        <v>2</v>
      </c>
      <c r="G59" s="83">
        <f>COUNTIFS(CONV!C:C,"ALP",CONV!K:K,"CC(R) RHA",CONV!N:N,"&lt;="&amp;C52)</f>
        <v>0</v>
      </c>
      <c r="H59" s="82">
        <f>COUNTIFS(CONV!C:C,"ALP",CONV!K:K,"CC(R) BT",CONV!N:N,"&lt;="&amp;C52)</f>
        <v>0</v>
      </c>
      <c r="I59" s="16">
        <f t="shared" si="24"/>
        <v>12</v>
      </c>
      <c r="K59" s="137"/>
      <c r="L59" s="137"/>
      <c r="M59" s="138"/>
      <c r="AA59" s="14"/>
      <c r="AB59" s="14"/>
    </row>
    <row r="60" spans="1:42" ht="18.75" customHeight="1">
      <c r="A60" s="15" t="s">
        <v>17</v>
      </c>
      <c r="B60" s="16">
        <f t="shared" ref="B60:H60" si="25">SUM(B54:B59)</f>
        <v>32</v>
      </c>
      <c r="C60" s="16">
        <f t="shared" si="25"/>
        <v>10</v>
      </c>
      <c r="D60" s="16">
        <f t="shared" si="25"/>
        <v>2</v>
      </c>
      <c r="E60" s="16">
        <f t="shared" si="25"/>
        <v>55</v>
      </c>
      <c r="F60" s="16">
        <f t="shared" si="25"/>
        <v>27</v>
      </c>
      <c r="G60" s="16">
        <f t="shared" si="25"/>
        <v>14</v>
      </c>
      <c r="H60" s="16">
        <f t="shared" si="25"/>
        <v>1</v>
      </c>
      <c r="I60" s="16">
        <f t="shared" si="24"/>
        <v>141</v>
      </c>
      <c r="K60" s="137"/>
      <c r="AA60" s="14"/>
    </row>
    <row r="61" spans="1:42" ht="22.5" customHeight="1">
      <c r="A61" s="143"/>
      <c r="B61" s="144"/>
      <c r="C61" s="144"/>
      <c r="D61" s="144"/>
      <c r="E61" s="144"/>
      <c r="F61" s="144"/>
      <c r="P61" s="89"/>
      <c r="Y61" s="90"/>
      <c r="AA61" s="145"/>
      <c r="AB61" s="145"/>
      <c r="AC61" s="145"/>
      <c r="AD61" s="145"/>
      <c r="AE61" s="145"/>
    </row>
    <row r="62" spans="1:42" ht="21.75" customHeight="1">
      <c r="P62" s="89"/>
      <c r="Z62" s="90"/>
    </row>
    <row r="63" spans="1:42" ht="15.75" customHeight="1">
      <c r="A63" s="146" t="s">
        <v>70</v>
      </c>
      <c r="B63" s="147"/>
      <c r="C63" s="147"/>
      <c r="D63" s="148"/>
      <c r="E63" s="147"/>
      <c r="F63" s="147"/>
      <c r="G63" s="147"/>
      <c r="H63" s="147"/>
      <c r="K63" s="148"/>
      <c r="L63" s="148"/>
      <c r="M63" s="148"/>
      <c r="N63" s="148"/>
      <c r="O63" s="148"/>
      <c r="P63" s="149"/>
      <c r="Q63" s="148"/>
      <c r="R63" s="148"/>
      <c r="S63" s="148"/>
      <c r="T63" s="148"/>
      <c r="U63" s="148"/>
      <c r="V63" s="148"/>
      <c r="Z63" s="90"/>
    </row>
    <row r="64" spans="1:42" ht="15.75" customHeight="1">
      <c r="A64" s="150"/>
      <c r="B64" s="151"/>
      <c r="C64" s="152" t="s">
        <v>71</v>
      </c>
      <c r="D64" s="153"/>
      <c r="E64" s="153"/>
      <c r="F64" s="154"/>
      <c r="G64" s="155" t="s">
        <v>72</v>
      </c>
      <c r="H64" s="156"/>
      <c r="I64" s="156"/>
      <c r="J64" s="157"/>
      <c r="K64" s="158" t="s">
        <v>73</v>
      </c>
      <c r="L64" s="159"/>
      <c r="M64" s="159"/>
      <c r="N64" s="159"/>
      <c r="O64" s="160" t="s">
        <v>74</v>
      </c>
      <c r="P64" s="161"/>
      <c r="Q64" s="161"/>
      <c r="R64" s="162">
        <v>46081</v>
      </c>
      <c r="S64" s="163" t="s">
        <v>75</v>
      </c>
      <c r="T64" s="164"/>
      <c r="U64" s="164"/>
      <c r="V64" s="165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</row>
    <row r="65" spans="1:42" ht="15.75" customHeight="1">
      <c r="A65" s="167"/>
      <c r="B65" s="168"/>
      <c r="C65" s="169" t="s">
        <v>76</v>
      </c>
      <c r="D65" s="169" t="s">
        <v>77</v>
      </c>
      <c r="E65" s="169" t="s">
        <v>78</v>
      </c>
      <c r="F65" s="169" t="s">
        <v>13</v>
      </c>
      <c r="G65" s="170" t="s">
        <v>76</v>
      </c>
      <c r="H65" s="170" t="s">
        <v>77</v>
      </c>
      <c r="I65" s="170" t="s">
        <v>78</v>
      </c>
      <c r="J65" s="170" t="s">
        <v>13</v>
      </c>
      <c r="K65" s="171" t="s">
        <v>76</v>
      </c>
      <c r="L65" s="171" t="s">
        <v>77</v>
      </c>
      <c r="M65" s="171" t="s">
        <v>78</v>
      </c>
      <c r="N65" s="171" t="s">
        <v>13</v>
      </c>
      <c r="O65" s="172" t="s">
        <v>76</v>
      </c>
      <c r="P65" s="172" t="s">
        <v>77</v>
      </c>
      <c r="Q65" s="172" t="s">
        <v>78</v>
      </c>
      <c r="R65" s="172" t="s">
        <v>13</v>
      </c>
      <c r="S65" s="173" t="s">
        <v>76</v>
      </c>
      <c r="T65" s="173" t="s">
        <v>77</v>
      </c>
      <c r="U65" s="173" t="s">
        <v>78</v>
      </c>
      <c r="V65" s="173" t="s">
        <v>13</v>
      </c>
      <c r="W65" s="174"/>
      <c r="X65" s="174"/>
      <c r="Z65" s="90"/>
      <c r="AA65" s="174"/>
      <c r="AB65" s="174"/>
      <c r="AC65" s="174"/>
      <c r="AD65" s="174"/>
      <c r="AE65" s="174"/>
      <c r="AF65" s="174"/>
      <c r="AG65" s="174"/>
      <c r="AH65" s="174"/>
      <c r="AI65" s="174"/>
      <c r="AJ65" s="174"/>
      <c r="AK65" s="174"/>
      <c r="AL65" s="174"/>
      <c r="AM65" s="174"/>
      <c r="AN65" s="174"/>
      <c r="AO65" s="174"/>
      <c r="AP65" s="174"/>
    </row>
    <row r="66" spans="1:42" ht="22.5" customHeight="1">
      <c r="A66" s="93" t="s">
        <v>23</v>
      </c>
      <c r="B66" s="168"/>
      <c r="C66" s="175">
        <f t="shared" ref="C66:C74" si="26">(F66-D66-E66)</f>
        <v>61</v>
      </c>
      <c r="D66" s="175">
        <f t="shared" ref="D66:D74" si="27">CEILING(F66*0.15,1)</f>
        <v>12</v>
      </c>
      <c r="E66" s="175">
        <f t="shared" ref="E66:E74" si="28">CEILING(F66*0.075,1)</f>
        <v>6</v>
      </c>
      <c r="F66" s="176">
        <v>79</v>
      </c>
      <c r="G66" s="177">
        <f>COUNTIFS(SUPV!F:F,"CLI",SUPV!J:J,"UR")</f>
        <v>25</v>
      </c>
      <c r="H66" s="177">
        <f>COUNTIFS(SUPV!F:F,"CLI",SUPV!J:J,"SC")</f>
        <v>1</v>
      </c>
      <c r="I66" s="177">
        <f>COUNTIFS(SUPV!F:F,"CLI",SUPV!J:J,"ST")</f>
        <v>6</v>
      </c>
      <c r="J66" s="177">
        <f t="shared" ref="J66:J75" si="29">SUM(G66:I66)</f>
        <v>32</v>
      </c>
      <c r="K66" s="178">
        <f t="shared" ref="K66:N66" si="30">(C66-G66)</f>
        <v>36</v>
      </c>
      <c r="L66" s="178">
        <f t="shared" si="30"/>
        <v>11</v>
      </c>
      <c r="M66" s="178">
        <f t="shared" si="30"/>
        <v>0</v>
      </c>
      <c r="N66" s="179">
        <f t="shared" si="30"/>
        <v>47</v>
      </c>
      <c r="O66" s="180">
        <f>COUNTIFS(SUPV!F:F,"CLI",SUPV!J:J,"UR",SUPV!H:H,"&lt;="&amp;R64)</f>
        <v>0</v>
      </c>
      <c r="P66" s="180">
        <f>COUNTIFS(SUPV!F:F,"CLI",SUPV!J:J,"SC",SUPV!H:H,"&lt;="&amp;R64)</f>
        <v>0</v>
      </c>
      <c r="Q66" s="180">
        <f>COUNTIFS(SUPV!F:F,"CLI",SUPV!J:J,"ST",SUPV!H:H,"&lt;="&amp;R64)</f>
        <v>0</v>
      </c>
      <c r="R66" s="180">
        <f t="shared" ref="R66:R74" si="31">SUM(O66:Q66)</f>
        <v>0</v>
      </c>
      <c r="S66" s="181">
        <f t="shared" ref="S66:V66" si="32">(K66+O66)</f>
        <v>36</v>
      </c>
      <c r="T66" s="181">
        <f t="shared" si="32"/>
        <v>11</v>
      </c>
      <c r="U66" s="181">
        <f t="shared" si="32"/>
        <v>0</v>
      </c>
      <c r="V66" s="182">
        <f t="shared" si="32"/>
        <v>47</v>
      </c>
      <c r="W66" s="174"/>
      <c r="X66" s="174"/>
      <c r="Z66" s="90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</row>
    <row r="67" spans="1:42" ht="15.75" customHeight="1">
      <c r="A67" s="183" t="s">
        <v>79</v>
      </c>
      <c r="B67" s="168"/>
      <c r="C67" s="175">
        <f t="shared" si="26"/>
        <v>75</v>
      </c>
      <c r="D67" s="175">
        <f t="shared" si="27"/>
        <v>15</v>
      </c>
      <c r="E67" s="175">
        <f t="shared" si="28"/>
        <v>8</v>
      </c>
      <c r="F67" s="176">
        <v>98</v>
      </c>
      <c r="G67" s="177">
        <f>COUNTIF(SUPV!J3:J31,"UR")</f>
        <v>28</v>
      </c>
      <c r="H67" s="177">
        <f>COUNTIF(SUPV!J1:J31,"SC")</f>
        <v>0</v>
      </c>
      <c r="I67" s="177">
        <f>COUNTIF(SUPV!J3:J31,"ST")</f>
        <v>1</v>
      </c>
      <c r="J67" s="177">
        <f t="shared" si="29"/>
        <v>29</v>
      </c>
      <c r="K67" s="178">
        <f t="shared" ref="K67:N67" si="33">(C67-G67)</f>
        <v>47</v>
      </c>
      <c r="L67" s="178">
        <f t="shared" si="33"/>
        <v>15</v>
      </c>
      <c r="M67" s="178">
        <f t="shared" si="33"/>
        <v>7</v>
      </c>
      <c r="N67" s="179">
        <f t="shared" si="33"/>
        <v>69</v>
      </c>
      <c r="O67" s="180">
        <f>COUNTIFS(SUPV!J3:J16,"UR",SUPV!H3:H16,"&lt;="&amp;R64)</f>
        <v>0</v>
      </c>
      <c r="P67" s="180">
        <f>COUNTIFS(SUPV!J3:J16,"SC",SUPV!H3:H16,"&lt;="&amp;R64)</f>
        <v>0</v>
      </c>
      <c r="Q67" s="180">
        <f>COUNTIFS(SUPV!J3:J16,"ST",SUPV!H3:H16,"&lt;="&amp;R64)</f>
        <v>0</v>
      </c>
      <c r="R67" s="180">
        <f t="shared" si="31"/>
        <v>0</v>
      </c>
      <c r="S67" s="181">
        <f t="shared" ref="S67:U67" si="34">SUM(S66+K67+O67)</f>
        <v>83</v>
      </c>
      <c r="T67" s="181">
        <f t="shared" si="34"/>
        <v>26</v>
      </c>
      <c r="U67" s="181">
        <f t="shared" si="34"/>
        <v>7</v>
      </c>
      <c r="V67" s="182">
        <f t="shared" ref="V67:V74" si="35">(N67+R67+V66)</f>
        <v>116</v>
      </c>
      <c r="W67" s="174"/>
      <c r="X67" s="174"/>
      <c r="Y67" s="18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74"/>
      <c r="AP67" s="174"/>
    </row>
    <row r="68" spans="1:42" ht="15.75" customHeight="1">
      <c r="A68" s="93" t="s">
        <v>14</v>
      </c>
      <c r="B68" s="168"/>
      <c r="C68" s="175">
        <f t="shared" si="26"/>
        <v>79</v>
      </c>
      <c r="D68" s="175">
        <f t="shared" si="27"/>
        <v>16</v>
      </c>
      <c r="E68" s="175">
        <f t="shared" si="28"/>
        <v>8</v>
      </c>
      <c r="F68" s="176">
        <v>103</v>
      </c>
      <c r="G68" s="177">
        <f>SUM(COUNTIFS(North!C:C,"LPM",North!G:G,"UR"),COUNTIFS(South!C:C,"LPM",South!G:G,"UR"),COUNTIFS(BT!C:C,"LPM",BT!G:G,"UR"),COUNTIFS(KOAA!C:C,"LPM",KOAA!G:G,"UR"),COUNTIFS(NH!C:C,"LPM",NH!G:G,"UR"),COUNTIFS(DDJ!C:C,"LPM",DDJ!G:G,"UR"),COUNTIFS(RHA!C:C,"LPM",RHA!G:G,"UR"),COUNTIFS(CONV!C:C,"LPM",CONV!G:G,"UR"))</f>
        <v>35</v>
      </c>
      <c r="H68" s="177">
        <f>SUM(COUNTIFS(North!C:C,"LPM",North!G:G,"SC"),COUNTIFS(South!C:C,"LPM",South!G:G,"SC"),COUNTIFS(BT!C:C,"LPM",BT!G:G,"SC"),COUNTIFS(KOAA!C:C,"LPM",KOAA!G:G,"SC"),COUNTIFS(NH!C:C,"LPM",NH!G:G,"SC"),COUNTIFS(DDJ!C:C,"LPM",DDJ!G:G,"SC"),COUNTIFS(RHA!C:C,"LPM",RHA!G:G,"SC"),COUNTIFS(CONV!C:C,"LPM",CONV!G:G,"SC"))</f>
        <v>20</v>
      </c>
      <c r="I68" s="177">
        <f>SUM(COUNTIFS(North!C:C,"LPM",North!G:G,"ST"),COUNTIFS(South!C:C,"LPM",South!G:G,"ST"),COUNTIFS(BT!C:C,"LPM",BT!G:G,"ST"),COUNTIFS(KOAA!C:C,"LPM",KOAA!G:G,"ST"),COUNTIFS(NH!C:C,"LPM",NH!G:G,"ST"),COUNTIFS(DDJ!C:C,"LPM",DDJ!G:G,"ST"),COUNTIFS(RHA!C:C,"LPM",RHA!G:G,"ST"),COUNTIFS(CONV!C:C,"LPM",CONV!G:G,"ST"))</f>
        <v>10</v>
      </c>
      <c r="J68" s="177">
        <f t="shared" si="29"/>
        <v>65</v>
      </c>
      <c r="K68" s="178">
        <f t="shared" ref="K68:N68" si="36">(C68-G68)</f>
        <v>44</v>
      </c>
      <c r="L68" s="178">
        <f t="shared" si="36"/>
        <v>-4</v>
      </c>
      <c r="M68" s="178">
        <f t="shared" si="36"/>
        <v>-2</v>
      </c>
      <c r="N68" s="179">
        <f t="shared" si="36"/>
        <v>38</v>
      </c>
      <c r="O68" s="180">
        <f>SUM(COUNTIFS(North!C:C,"LPM",North!G:G,"UR",North!N:N,"&lt;="&amp;R64),COUNTIFS(South!C:C,"LPM",South!G:G,"UR",South!N:N,"&lt;="&amp;R64),COUNTIFS(BT!C:C,"LPM",BT!G:G,"UR",BT!N:N,"&lt;="&amp;R64),COUNTIFS(KOAA!C:C,"LPM",KOAA!G:G,"UR",KOAA!N:N,"&lt;="&amp;R64),COUNTIFS(NH!C:C,"LPM",NH!G:G,"UR",NH!N:N,"&lt;="&amp;R64),COUNTIFS(DDJ!C:C,"LPM",DDJ!G:G,"UR",DDJ!N:N,"&lt;="&amp;R64),COUNTIFS(RHA!C:C,"LPM",RHA!G:G,"UR",RHA!N:N,"&lt;="&amp;R64),COUNTIFS(CONV!C:C,"LPM",CONV!G:G,"UR",CONV!N:N,"&lt;="&amp;R64))</f>
        <v>0</v>
      </c>
      <c r="P68" s="180">
        <f>SUM(COUNTIFS(North!C:C,"LPM",North!G:G,"SC",North!N:N,"&lt;="&amp;R64),COUNTIFS(South!C:C,"LPM",South!G:G,"SC",South!N:N,"&lt;="&amp;R64),COUNTIFS(BT!C:C,"LPM",BT!G:G,"SC",BT!N:N,"&lt;="&amp;R64),COUNTIFS(KOAA!C:C,"LPM",KOAA!G:G,"SC",KOAA!N:N,"&lt;="&amp;R64),COUNTIFS(NH!C:C,"LPM",NH!G:G,"SC",NH!N:N,"&lt;="&amp;R64),COUNTIFS(DDJ!C:C,"LPM",DDJ!G:G,"SC",DDJ!N:N,"&lt;="&amp;R64),COUNTIFS(RHA!C:C,"LPM",RHA!G:G,"SC",RHA!N:N,"&lt;="&amp;R64),COUNTIFS(CONV!C:C,"LPM",CONV!G:G,"SC",CONV!N:N,"&lt;="&amp;R64))</f>
        <v>0</v>
      </c>
      <c r="Q68" s="180">
        <f>SUM(COUNTIFS(North!C:C,"LPM",North!G:G,"ST",North!N:N,"&lt;="&amp;R64),COUNTIFS(South!C:C,"LPM",South!G:G,"ST",South!N:N,"&lt;="&amp;R64),COUNTIFS(BT!C:C,"LPM",BT!G:G,"ST",BT!N:N,"&lt;="&amp;R64),COUNTIFS(KOAA!C:C,"LPM",KOAA!G:G,"ST",KOAA!N:N,"&lt;="&amp;R64),COUNTIFS(NH!C:C,"LPM",NH!G:G,"ST",NH!N:N,"&lt;="&amp;R64),COUNTIFS(DDJ!C:C,"LPM",DDJ!G:G,"ST",DDJ!N:N,"&lt;="&amp;R64),COUNTIFS(RHA!C:C,"LPM",RHA!G:G,"ST",RHA!N:N,"&lt;="&amp;R64),COUNTIFS(CONV!C:C,"LPM",CONV!G:G,"ST",CONV!N:N,"&lt;="&amp;R64))</f>
        <v>0</v>
      </c>
      <c r="R68" s="180">
        <f t="shared" si="31"/>
        <v>0</v>
      </c>
      <c r="S68" s="181">
        <f t="shared" ref="S68:U68" si="37">SUM(S67+K68+O68)</f>
        <v>127</v>
      </c>
      <c r="T68" s="181">
        <f t="shared" si="37"/>
        <v>22</v>
      </c>
      <c r="U68" s="181">
        <f t="shared" si="37"/>
        <v>5</v>
      </c>
      <c r="V68" s="182">
        <f t="shared" si="35"/>
        <v>154</v>
      </c>
      <c r="W68" s="174"/>
      <c r="X68" s="174"/>
      <c r="Y68" s="184"/>
      <c r="Z68" s="174"/>
      <c r="AA68" s="174"/>
      <c r="AB68" s="174"/>
      <c r="AC68" s="174"/>
      <c r="AD68" s="174"/>
      <c r="AE68" s="174"/>
      <c r="AF68" s="174"/>
      <c r="AG68" s="174"/>
      <c r="AH68" s="174"/>
      <c r="AI68" s="174"/>
      <c r="AJ68" s="174"/>
      <c r="AK68" s="174"/>
      <c r="AL68" s="174"/>
      <c r="AM68" s="174"/>
      <c r="AN68" s="174"/>
      <c r="AO68" s="174"/>
      <c r="AP68" s="174"/>
    </row>
    <row r="69" spans="1:42" ht="15.75" customHeight="1">
      <c r="A69" s="93" t="s">
        <v>31</v>
      </c>
      <c r="B69" s="168"/>
      <c r="C69" s="175">
        <f t="shared" si="26"/>
        <v>407</v>
      </c>
      <c r="D69" s="175">
        <f t="shared" si="27"/>
        <v>80</v>
      </c>
      <c r="E69" s="175">
        <f t="shared" si="28"/>
        <v>40</v>
      </c>
      <c r="F69" s="176">
        <v>527</v>
      </c>
      <c r="G69" s="177">
        <f>SUM(COUNTIFS(North!C:C,"MOTORMAN",North!G:G,"UR"),COUNTIFS(South!C:C,"MOTORMAN",South!G:G,"UR"),COUNTIFS(BT!C:C,"MOTORMAN",BT!G:G,"UR"),COUNTIFS(KOAA!C:C,"MOTORMAN",KOAA!G:G,"UR"),COUNTIFS(NH!C:C,"MOTORMAN",NH!G:G,"UR"),COUNTIFS(DDJ!C:C,"MOTORMAN",DDJ!G:G,"UR"),COUNTIFS(RHA!C:C,"MOTORMAN",RHA!G:G,"UR"),COUNTIFS(CONV!C:C,"MOTORMAN",CONV!G:G,"UR"))</f>
        <v>269</v>
      </c>
      <c r="H69" s="177">
        <f>SUM(COUNTIFS(North!C:C,"MOTORMAN",North!G:G,"SC"),COUNTIFS(South!C:C,"MOTORMAN",South!G:G,"SC"),COUNTIFS(BT!C:C,"MOTORMAN",BT!G:G,"SC"),COUNTIFS(KOAA!C:C,"MOTORMAN",KOAA!G:G,"SC"),COUNTIFS(NH!C:C,"MOTORMAN",NH!G:G,"SC"),COUNTIFS(DDJ!C:C,"MOTORMAN",DDJ!G:G,"SC"),COUNTIFS(RHA!C:C,"MOTORMAN",RHA!G:G,"SC"),COUNTIFS(CONV!C:C,"MOTORMAN",CONV!G:G,"SC"))</f>
        <v>157</v>
      </c>
      <c r="I69" s="177">
        <f>SUM(COUNTIFS(North!C:C,"MOTORMAN",North!G:G,"ST"),COUNTIFS(South!C:C,"MOTORMAN",South!G:G,"ST"),COUNTIFS(BT!C:C,"MOTORMAN",BT!G:G,"ST"),COUNTIFS(KOAA!C:C,"MOTORMAN",KOAA!G:G,"ST"),COUNTIFS(NH!C:C,"MOTORMAN",NH!G:G,"ST"),COUNTIFS(DDJ!C:C,"MOTORMAN",DDJ!G:G,"ST"),COUNTIFS(RHA!C:C,"MOTORMAN",RHA!G:G,"ST"),COUNTIFS(CONV!C:C,"MOTORMAN",CONV!G:G,"ST"))</f>
        <v>19</v>
      </c>
      <c r="J69" s="177">
        <f t="shared" si="29"/>
        <v>445</v>
      </c>
      <c r="K69" s="178">
        <f t="shared" ref="K69:N69" si="38">(C69-G69)</f>
        <v>138</v>
      </c>
      <c r="L69" s="178">
        <f t="shared" si="38"/>
        <v>-77</v>
      </c>
      <c r="M69" s="178">
        <f t="shared" si="38"/>
        <v>21</v>
      </c>
      <c r="N69" s="179">
        <f t="shared" si="38"/>
        <v>82</v>
      </c>
      <c r="O69" s="180">
        <f>SUM(COUNTIFS(North!C:C,"MOTORMAN",North!G:G,"UR",North!N:N,"&lt;="&amp;R64),COUNTIFS(South!C:C,"MOTORMAN",South!G:G,"UR",South!N:N,"&lt;="&amp;R64),COUNTIFS(BT!C:C,"MOTORMAN",BT!G:G,"UR",BT!N:N,"&lt;="&amp;R64),COUNTIFS(KOAA!C:C,"MOTORMAN",KOAA!G:G,"UR",KOAA!N:N,"&lt;="&amp;R64),COUNTIFS(NH!C:C,"MOTORMAN",NH!G:G,"UR",NH!N:N,"&lt;="&amp;R64),COUNTIFS(DDJ!C:C,"MOTORMAN",DDJ!G:G,"UR",DDJ!N:N,"&lt;="&amp;R64),COUNTIFS(RHA!C:C,"MOTORMAN",RHA!G:G,"UR",RHA!N:N,"&lt;="&amp;R64),COUNTIFS(CONV!C:C,"MOTORMAN",CONV!G:G,"UR",CONV!N:N,"&lt;="&amp;R64))</f>
        <v>0</v>
      </c>
      <c r="P69" s="180">
        <f>SUM(COUNTIFS(North!C:C,"MOTORMAN",North!G:G,"SC",North!N:N,"&lt;="&amp;R64),COUNTIFS(South!C:C,"MOTORMAN",South!G:G,"SC",South!N:N,"&lt;="&amp;R64),COUNTIFS(BT!C:C,"MOTORMAN",BT!G:G,"SC",BT!N:N,"&lt;="&amp;R64),COUNTIFS(KOAA!C:C,"MOTORMAN",KOAA!G:G,"SC",KOAA!N:N,"&lt;="&amp;R64),COUNTIFS(NH!C:C,"MOTORMAN",NH!G:G,"SC",NH!N:N,"&lt;="&amp;R64),COUNTIFS(DDJ!C:C,"MOTORMAN",DDJ!G:G,"SC",DDJ!N:N,"&lt;="&amp;R64),COUNTIFS(RHA!C:C,"MOTORMAN",RHA!G:G,"SC",RHA!N:N,"&lt;="&amp;R64),COUNTIFS(CONV!C:C,"MOTORMAN",CONV!G:G,"SC",CONV!N:N,"&lt;="&amp;R64))</f>
        <v>0</v>
      </c>
      <c r="Q69" s="180">
        <f>SUM(COUNTIFS(North!C:C,"MOTORMAN",North!G:G,"ST",North!N:N,"&lt;="&amp;R64),COUNTIFS(South!C:C,"MOTORMAN",South!G:G,"ST",South!N:N,"&lt;="&amp;R64),COUNTIFS(BT!C:C,"MOTORMAN",BT!G:G,"ST",BT!N:N,"&lt;="&amp;R64),COUNTIFS(KOAA!C:C,"MOTORMAN",KOAA!G:G,"ST",KOAA!N:N,"&lt;="&amp;R64),COUNTIFS(NH!C:C,"MOTORMAN",NH!G:G,"ST",NH!N:N,"&lt;="&amp;R64),COUNTIFS(DDJ!C:C,"MOTORMAN",DDJ!G:G,"ST",DDJ!N:N,"&lt;="&amp;R64),COUNTIFS(RHA!C:C,"MOTORMAN",RHA!G:G,"ST",RHA!N:N,"&lt;="&amp;R64),COUNTIFS(CONV!C:C,"MOTORMAN",CONV!G:G,"ST",CONV!N:N,"&lt;="&amp;R64))</f>
        <v>0</v>
      </c>
      <c r="R69" s="180">
        <f t="shared" si="31"/>
        <v>0</v>
      </c>
      <c r="S69" s="181">
        <f t="shared" ref="S69:U69" si="39">SUM(S68+K69+O69)</f>
        <v>265</v>
      </c>
      <c r="T69" s="181">
        <f t="shared" si="39"/>
        <v>-55</v>
      </c>
      <c r="U69" s="181">
        <f t="shared" si="39"/>
        <v>26</v>
      </c>
      <c r="V69" s="182">
        <f t="shared" si="35"/>
        <v>236</v>
      </c>
      <c r="W69" s="174"/>
      <c r="X69" s="184"/>
      <c r="Y69" s="184"/>
      <c r="Z69" s="174"/>
      <c r="AA69" s="174"/>
      <c r="AB69" s="174"/>
      <c r="AC69" s="174"/>
      <c r="AD69" s="174"/>
      <c r="AE69" s="174"/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</row>
    <row r="70" spans="1:42" ht="15.75" customHeight="1">
      <c r="A70" s="185" t="s">
        <v>80</v>
      </c>
      <c r="B70" s="168"/>
      <c r="C70" s="175">
        <f t="shared" si="26"/>
        <v>68</v>
      </c>
      <c r="D70" s="175">
        <f t="shared" si="27"/>
        <v>14</v>
      </c>
      <c r="E70" s="175">
        <f t="shared" si="28"/>
        <v>7</v>
      </c>
      <c r="F70" s="176">
        <v>89</v>
      </c>
      <c r="G70" s="177">
        <f>COUNTIF('METRO '!C:C,"UR")</f>
        <v>60</v>
      </c>
      <c r="H70" s="177">
        <f>COUNTIF('METRO '!C:C,"SC")</f>
        <v>27</v>
      </c>
      <c r="I70" s="177">
        <f>COUNTIF('METRO '!C:C,"ST")</f>
        <v>0</v>
      </c>
      <c r="J70" s="177">
        <f t="shared" si="29"/>
        <v>87</v>
      </c>
      <c r="K70" s="178">
        <f t="shared" ref="K70:N70" si="40">(C70-G70)</f>
        <v>8</v>
      </c>
      <c r="L70" s="178">
        <f t="shared" si="40"/>
        <v>-13</v>
      </c>
      <c r="M70" s="178">
        <f t="shared" si="40"/>
        <v>7</v>
      </c>
      <c r="N70" s="179">
        <f t="shared" si="40"/>
        <v>2</v>
      </c>
      <c r="O70" s="180">
        <f>COUNTIFS('METRO '!C:C,"UR",'METRO '!G:G,"&lt;="&amp;R64)</f>
        <v>0</v>
      </c>
      <c r="P70" s="180">
        <f>COUNTIFS('METRO '!C:C,"SC",'METRO '!G:G,"&lt;="&amp;R64)</f>
        <v>0</v>
      </c>
      <c r="Q70" s="180">
        <f>COUNTIFS('METRO '!C:C,"ST",'METRO '!G:G,"&lt;="&amp;R64)</f>
        <v>0</v>
      </c>
      <c r="R70" s="180">
        <f t="shared" si="31"/>
        <v>0</v>
      </c>
      <c r="S70" s="181">
        <f t="shared" ref="S70:U70" si="41">SUM(S69+K70+O70)</f>
        <v>273</v>
      </c>
      <c r="T70" s="181">
        <f t="shared" si="41"/>
        <v>-68</v>
      </c>
      <c r="U70" s="181">
        <f t="shared" si="41"/>
        <v>33</v>
      </c>
      <c r="V70" s="182">
        <f t="shared" si="35"/>
        <v>238</v>
      </c>
      <c r="W70" s="174"/>
      <c r="X70" s="184"/>
      <c r="Y70" s="184"/>
      <c r="Z70" s="174"/>
      <c r="AA70" s="174"/>
      <c r="AB70" s="174"/>
      <c r="AC70" s="174"/>
      <c r="AD70" s="174"/>
      <c r="AE70" s="174"/>
      <c r="AF70" s="174"/>
      <c r="AG70" s="174"/>
      <c r="AH70" s="174"/>
      <c r="AI70" s="174"/>
      <c r="AJ70" s="174"/>
      <c r="AK70" s="174"/>
      <c r="AL70" s="174"/>
      <c r="AM70" s="174"/>
      <c r="AN70" s="174"/>
      <c r="AO70" s="174"/>
      <c r="AP70" s="174"/>
    </row>
    <row r="71" spans="1:42" ht="15.75" customHeight="1">
      <c r="A71" s="93" t="s">
        <v>81</v>
      </c>
      <c r="B71" s="168"/>
      <c r="C71" s="175">
        <f t="shared" si="26"/>
        <v>10</v>
      </c>
      <c r="D71" s="175">
        <f t="shared" si="27"/>
        <v>3</v>
      </c>
      <c r="E71" s="175">
        <f t="shared" si="28"/>
        <v>2</v>
      </c>
      <c r="F71" s="176">
        <v>15</v>
      </c>
      <c r="G71" s="177">
        <f>SUM(COUNTIFS(North!C:C,"LPP(LOCO)",North!G:G,"UR"),COUNTIFS(South!C:C,"LPP(LOCO)",South!G:G,"UR"),COUNTIFS(BT!C:C,"LPP(LOCO)",BT!G:G,"UR"),COUNTIFS(KOAA!C:C,"LPP(LOCO)",KOAA!G:G,"UR"),COUNTIFS(NH!C:C,"LPP(LOCO)",NH!G:G,"UR"),COUNTIFS(DDJ!C:C,"LPP(LOCO)",DDJ!G:G,"UR"),COUNTIFS(RHA!C:C,"LPP(LOCO)",RHA!G:G,"UR"),COUNTIFS(CONV!C:C,"LPP(LOCO)",CONV!G:G,"UR"))</f>
        <v>8</v>
      </c>
      <c r="H71" s="177">
        <f>SUM(COUNTIFS(North!C:C,"LPP(LOCO)",North!G:G,"SC"),COUNTIFS(South!C:C,"LPP(LOCO)",South!G:G,"SC"),COUNTIFS(BT!C:C,"LPP(LOCO)",BT!G:G,"SC"),COUNTIFS(KOAA!C:C,"LPP(LOCO)",KOAA!G:G,"SC"),COUNTIFS(NH!C:C,"LPP(LOCO)",NH!G:G,"SC"),COUNTIFS(DDJ!C:C,"LPP(LOCO)",DDJ!G:G,"SC"),COUNTIFS(RHA!C:C,"LPP(LOCO)",RHA!G:G,"SC"),COUNTIFS(CONV!C:C,"LPP(LOCO)",CONV!G:G,"SC"))</f>
        <v>5</v>
      </c>
      <c r="I71" s="177">
        <f>SUM(COUNTIFS(North!C:C,"LPP(LOCO)",North!G:G,"ST"),COUNTIFS(South!C:C,"LPP(LOCO)",South!G:G,"ST"),COUNTIFS(BT!C:C,"LPP(LOCO)",BT!G:G,"ST"),COUNTIFS(KOAA!C:C,"LPP(LOCO)",KOAA!G:G,"ST"),COUNTIFS(NH!C:C,"LPP(LOCO)",NH!G:G,"ST"),COUNTIFS(DDJ!C:C,"LPP(LOCO)",DDJ!G:G,"ST"),COUNTIFS(RHA!C:C,"LPP(LOCO)",RHA!G:G,"ST"),COUNTIFS(CONV!C:C,"LPP(LOCO)",CONV!G:G,"ST"))</f>
        <v>0</v>
      </c>
      <c r="J71" s="177">
        <f t="shared" si="29"/>
        <v>13</v>
      </c>
      <c r="K71" s="178">
        <f t="shared" ref="K71:N71" si="42">(C71-G71)</f>
        <v>2</v>
      </c>
      <c r="L71" s="178">
        <f t="shared" si="42"/>
        <v>-2</v>
      </c>
      <c r="M71" s="178">
        <f t="shared" si="42"/>
        <v>2</v>
      </c>
      <c r="N71" s="179">
        <f t="shared" si="42"/>
        <v>2</v>
      </c>
      <c r="O71" s="180">
        <f>SUM(COUNTIFS(North!C:C,"LPP(LOCO)",North!G:G,"UR",North!N:N,"&lt;="&amp;R64),COUNTIFS(South!C:C,"LPP(LOCO)",South!G:G,"UR",South!N:N,"&lt;="&amp;R64),COUNTIFS(BT!C:C,"LPP(LOCO)",BT!G:G,"UR",BT!N:N,"&lt;="&amp;R64),COUNTIFS(KOAA!C:C,"LPP(LOCO)",KOAA!G:G,"UR",KOAA!N:N,"&lt;="&amp;R64),COUNTIFS(NH!C:C,"LPP(LOCO)",NH!G:G,"UR",NH!N:N,"&lt;="&amp;R64),COUNTIFS(DDJ!C:C,"LPP(LOCO)",DDJ!G:G,"UR",DDJ!N:N,"&lt;="&amp;R64),COUNTIFS(RHA!C:C,"LPP(LOCO)",RHA!G:G,"UR",RHA!N:N,"&lt;="&amp;R64),COUNTIFS(CONV!C:C,"LPP(LOCO)",CONV!G:G,"UR",CONV!N:N,"&lt;="&amp;R64))</f>
        <v>0</v>
      </c>
      <c r="P71" s="180">
        <f>SUM(COUNTIFS(North!C:C,"LPP(LOCO)",North!G:G,"SC",North!N:N,"&lt;="&amp;R64),COUNTIFS(South!C:C,"LPP(LOCO)",South!G:G,"SC",South!N:N,"&lt;="&amp;R64),COUNTIFS(BT!C:C,"LPP(LOCO)",BT!G:G,"SC",BT!N:N,"&lt;="&amp;R64),COUNTIFS(KOAA!C:C,"LPP(LOCO)",KOAA!G:G,"SC",KOAA!N:N,"&lt;="&amp;R64),COUNTIFS(NH!C:C,"LPP(LOCO)",NH!G:G,"SC",NH!N:N,"&lt;="&amp;R64),COUNTIFS(DDJ!C:C,"LPP(LOCO)",DDJ!G:G,"SC",DDJ!N:N,"&lt;="&amp;R64),COUNTIFS(RHA!C:C,"LPP(LOCO)",RHA!G:G,"SC",RHA!N:N,"&lt;="&amp;R64),COUNTIFS(CONV!C:C,"LPP(LOCO)",CONV!G:G,"SC",CONV!N:N,"&lt;="&amp;R64))</f>
        <v>0</v>
      </c>
      <c r="Q71" s="180">
        <f>SUM(COUNTIFS(North!C:C,"LPP(LOCO)",North!G:G,"ST",North!N:N,"&lt;="&amp;R64),COUNTIFS(South!C:C,"LPP(LOCO)",South!G:G,"ST",South!N:N,"&lt;="&amp;R64),COUNTIFS(BT!C:C,"LPP(LOCO)",BT!G:G,"ST",BT!N:N,"&lt;="&amp;R64),COUNTIFS(KOAA!C:C,"LPP(LOCO)",KOAA!G:G,"ST",KOAA!N:N,"&lt;="&amp;R64),COUNTIFS(NH!C:C,"LPP(LOCO)",NH!G:G,"ST",NH!N:N,"&lt;="&amp;R64),COUNTIFS(DDJ!C:C,"LPP(LOCO)",DDJ!G:G,"ST",DDJ!N:N,"&lt;="&amp;R64),COUNTIFS(RHA!C:C,"LPP(LOCO)",RHA!G:G,"ST",RHA!N:N,"&lt;="&amp;R64),COUNTIFS(CONV!C:C,"LPP(LOCO)",CONV!G:G,"ST",CONV!N:N,"&lt;="&amp;R64))</f>
        <v>0</v>
      </c>
      <c r="R71" s="180">
        <f t="shared" si="31"/>
        <v>0</v>
      </c>
      <c r="S71" s="181">
        <f t="shared" ref="S71:U71" si="43">SUM(S70+K71+O71)</f>
        <v>275</v>
      </c>
      <c r="T71" s="181">
        <f t="shared" si="43"/>
        <v>-70</v>
      </c>
      <c r="U71" s="181">
        <f t="shared" si="43"/>
        <v>35</v>
      </c>
      <c r="V71" s="182">
        <f t="shared" si="35"/>
        <v>240</v>
      </c>
      <c r="W71" s="174"/>
      <c r="X71" s="184"/>
      <c r="Y71" s="186"/>
      <c r="Z71" s="174"/>
      <c r="AA71" s="174"/>
      <c r="AB71" s="174"/>
      <c r="AC71" s="174"/>
      <c r="AD71" s="174"/>
      <c r="AE71" s="174"/>
      <c r="AF71" s="174"/>
      <c r="AG71" s="174"/>
      <c r="AH71" s="174"/>
      <c r="AI71" s="174"/>
      <c r="AJ71" s="174"/>
      <c r="AK71" s="174"/>
      <c r="AL71" s="174"/>
      <c r="AM71" s="174"/>
      <c r="AN71" s="174"/>
      <c r="AO71" s="174"/>
      <c r="AP71" s="174"/>
    </row>
    <row r="72" spans="1:42" ht="15.75" customHeight="1">
      <c r="A72" s="93" t="s">
        <v>20</v>
      </c>
      <c r="B72" s="168"/>
      <c r="C72" s="175">
        <f t="shared" si="26"/>
        <v>248</v>
      </c>
      <c r="D72" s="175">
        <f t="shared" si="27"/>
        <v>48</v>
      </c>
      <c r="E72" s="175">
        <f t="shared" si="28"/>
        <v>24</v>
      </c>
      <c r="F72" s="176">
        <v>320</v>
      </c>
      <c r="G72" s="177">
        <f>SUM(COUNTIFS(North!C:C,"LPG",North!G:G,"UR"),COUNTIFS(South!C:C,"LPG",South!G:G,"UR"),COUNTIFS(BT!C:C,"LPG",BT!G:G,"UR"),COUNTIFS(KOAA!C:C,"LPG",KOAA!G:G,"UR"),COUNTIFS(NH!C:C,"LPG",NH!G:G,"UR"),COUNTIFS(DDJ!C:C,"LPG",DDJ!G:G,"UR"),COUNTIFS(RHA!C:C,"LPG",RHA!G:G,"UR"),COUNTIFS(CONV!C:C,"LPG",CONV!G:G,"UR"))</f>
        <v>116</v>
      </c>
      <c r="H72" s="177">
        <f>SUM(COUNTIFS(North!C:C,"LPG",North!G:G,"SC"),COUNTIFS(South!C:C,"LPG",South!G:G,"SC"),COUNTIFS(BT!C:C,"LPG",BT!G:G,"SC"),COUNTIFS(KOAA!C:C,"LPG",KOAA!G:G,"SC"),COUNTIFS(NH!C:C,"LPG",NH!G:G,"SC"),COUNTIFS(DDJ!C:C,"LPG",DDJ!G:G,"SC"),COUNTIFS(RHA!C:C,"LPG",RHA!G:G,"SC"),COUNTIFS(CONV!C:C,"LPG",CONV!G:G,"SC"))</f>
        <v>164</v>
      </c>
      <c r="I72" s="177">
        <f>SUM(COUNTIFS(North!C:C,"LPG",North!G:G,"ST"),COUNTIFS(South!C:C,"LPG",South!G:G,"ST"),COUNTIFS(BT!C:C,"LPG",BT!G:G,"ST"),COUNTIFS(KOAA!C:C,"LPG",KOAA!G:G,"ST"),COUNTIFS(NH!C:C,"LPG",NH!G:G,"ST"),COUNTIFS(DDJ!C:C,"LPG",DDJ!G:G,"ST"),COUNTIFS(RHA!C:C,"LPG",RHA!G:G,"ST"),COUNTIFS(CONV!C:C,"LPG",CONV!G:G,"ST"))</f>
        <v>13</v>
      </c>
      <c r="J72" s="177">
        <f t="shared" si="29"/>
        <v>293</v>
      </c>
      <c r="K72" s="178">
        <f t="shared" ref="K72:N72" si="44">(C72-G72)</f>
        <v>132</v>
      </c>
      <c r="L72" s="178">
        <f t="shared" si="44"/>
        <v>-116</v>
      </c>
      <c r="M72" s="178">
        <f t="shared" si="44"/>
        <v>11</v>
      </c>
      <c r="N72" s="179">
        <f t="shared" si="44"/>
        <v>27</v>
      </c>
      <c r="O72" s="180">
        <f>SUM(COUNTIFS(North!C:C,"LPG",North!G:G,"UR",North!N:N,"&lt;="&amp;R64),COUNTIFS(South!C:C,"LPG",South!G:G,"UR",South!N:N,"&lt;="&amp;R64),COUNTIFS(BT!C:C,"LPG",BT!G:G,"UR",BT!N:N,"&lt;="&amp;R64),COUNTIFS(KOAA!C:C,"LPG",KOAA!G:G,"UR",KOAA!N:N,"&lt;="&amp;R64),COUNTIFS(NH!C:C,"LPG",NH!G:G,"UR",NH!N:N,"&lt;="&amp;R64),COUNTIFS(DDJ!C:C,"LPG",DDJ!G:G,"UR",DDJ!N:N,"&lt;="&amp;R64),COUNTIFS(RHA!C:C,"LPG",RHA!G:G,"UR",RHA!N:N,"&lt;="&amp;R64),COUNTIFS(CONV!C:C,"LPG",CONV!G:G,"UR",CONV!N:N,"&lt;="&amp;R64))</f>
        <v>0</v>
      </c>
      <c r="P72" s="180">
        <f>SUM(COUNTIFS(North!C:C,"LPG",North!G:G,"SC",North!N:N,"&lt;="&amp;R64),COUNTIFS(South!C:C,"LPG",South!G:G,"SC",South!N:N,"&lt;="&amp;R64),COUNTIFS(BT!C:C,"LPG",BT!G:G,"SC",BT!N:N,"&lt;="&amp;R64),COUNTIFS(KOAA!C:C,"LPG",KOAA!G:G,"SC",KOAA!N:N,"&lt;="&amp;R64),COUNTIFS(NH!C:C,"LPG",NH!G:G,"SC",NH!N:N,"&lt;="&amp;R64),COUNTIFS(DDJ!C:C,"LPG",DDJ!G:G,"SC",DDJ!N:N,"&lt;="&amp;R64),COUNTIFS(RHA!C:C,"LPG",RHA!G:G,"SC",RHA!N:N,"&lt;="&amp;R64),COUNTIFS(CONV!C:C,"LPG",CONV!G:G,"SC",CONV!N:N,"&lt;="&amp;R64))</f>
        <v>0</v>
      </c>
      <c r="Q72" s="180">
        <f>SUM(COUNTIFS(North!C:C,"LPG",North!G:G,"ST",North!N:N,"&lt;="&amp;R64),COUNTIFS(South!C:C,"LPG",South!G:G,"ST",South!N:N,"&lt;="&amp;R64),COUNTIFS(BT!C:C,"LPG",BT!G:G,"ST",BT!N:N,"&lt;="&amp;R64),COUNTIFS(KOAA!C:C,"LPG",KOAA!G:G,"ST",KOAA!N:N,"&lt;="&amp;R64),COUNTIFS(NH!C:C,"LPG",NH!G:G,"ST",NH!N:N,"&lt;="&amp;R64),COUNTIFS(DDJ!C:C,"LPG",DDJ!G:G,"ST",DDJ!N:N,"&lt;="&amp;R64),COUNTIFS(RHA!C:C,"LPG",RHA!G:G,"ST",RHA!N:N,"&lt;="&amp;R64),COUNTIFS(CONV!C:C,"LPG",CONV!G:G,"ST",CONV!N:N,"&lt;="&amp;R64))</f>
        <v>0</v>
      </c>
      <c r="R72" s="180">
        <f t="shared" si="31"/>
        <v>0</v>
      </c>
      <c r="S72" s="181">
        <f t="shared" ref="S72:U72" si="45">SUM(S71+K72+O72)</f>
        <v>407</v>
      </c>
      <c r="T72" s="181">
        <f t="shared" si="45"/>
        <v>-186</v>
      </c>
      <c r="U72" s="181">
        <f t="shared" si="45"/>
        <v>46</v>
      </c>
      <c r="V72" s="182">
        <f t="shared" si="35"/>
        <v>267</v>
      </c>
      <c r="W72" s="174"/>
      <c r="X72" s="184"/>
      <c r="Y72" s="184"/>
      <c r="Z72" s="174"/>
      <c r="AA72" s="174"/>
      <c r="AB72" s="174"/>
      <c r="AC72" s="174"/>
      <c r="AD72" s="174"/>
      <c r="AE72" s="174"/>
      <c r="AF72" s="174"/>
      <c r="AG72" s="174"/>
      <c r="AH72" s="174"/>
      <c r="AI72" s="174"/>
      <c r="AJ72" s="174"/>
      <c r="AK72" s="174"/>
      <c r="AL72" s="174"/>
      <c r="AM72" s="174"/>
      <c r="AN72" s="174"/>
      <c r="AO72" s="174"/>
      <c r="AP72" s="174"/>
    </row>
    <row r="73" spans="1:42" ht="15.75" customHeight="1">
      <c r="A73" s="93" t="s">
        <v>21</v>
      </c>
      <c r="B73" s="168"/>
      <c r="C73" s="175">
        <f t="shared" si="26"/>
        <v>257</v>
      </c>
      <c r="D73" s="175">
        <f t="shared" si="27"/>
        <v>51</v>
      </c>
      <c r="E73" s="175">
        <f t="shared" si="28"/>
        <v>26</v>
      </c>
      <c r="F73" s="176">
        <v>334</v>
      </c>
      <c r="G73" s="177">
        <f>SUM(COUNTIFS(North!C:C,"LPS",North!G:G,"UR"),COUNTIFS(South!C:C,"LPS",South!G:G,"UR"),COUNTIFS(BT!C:C,"LPS",BT!G:G,"UR"),COUNTIFS(KOAA!C:C,"LPS",KOAA!G:G,"UR"),COUNTIFS(NH!C:C,"LPS",NH!G:G,"UR"),COUNTIFS(DDJ!C:C,"LPS",DDJ!G:G,"UR"),COUNTIFS(RHA!C:C,"LPS",RHA!G:G,"UR"),COUNTIFS(CONV!C:C,"LPS",CONV!G:G,"UR"))</f>
        <v>159</v>
      </c>
      <c r="H73" s="177">
        <f>SUM(COUNTIFS(North!C:C,"LPS",North!G:G,"SC"),COUNTIFS(South!C:C,"LPS",South!G:G,"SC"),COUNTIFS(BT!C:C,"LPS",BT!G:G,"SC"),COUNTIFS(KOAA!C:C,"LPS",KOAA!G:G,"SC"),COUNTIFS(NH!C:C,"LPS",NH!G:G,"SC"),COUNTIFS(DDJ!C:C,"LPS",DDJ!G:G,"SC"),COUNTIFS(RHA!C:C,"LPS",RHA!G:G,"SC"),COUNTIFS(CONV!C:C,"LPS",CONV!G:G,"SC"))</f>
        <v>43</v>
      </c>
      <c r="I73" s="177">
        <f>SUM(COUNTIFS(North!C:C,"LPS",North!G:G,"ST"),COUNTIFS(South!C:C,"LPS",South!G:G,"ST"),COUNTIFS(BT!C:C,"LPS",BT!G:G,"ST"),COUNTIFS(KOAA!C:C,"LPS",KOAA!G:G,"ST"),COUNTIFS(NH!C:C,"LPS",NH!G:G,"ST"),COUNTIFS(DDJ!C:C,"LPS",DDJ!G:G,"ST"),COUNTIFS(RHA!C:C,"LPS",RHA!G:G,"ST"),COUNTIFS(CONV!C:C,"LPG",CONV!G:G,"ST"))</f>
        <v>12</v>
      </c>
      <c r="J73" s="177">
        <f t="shared" si="29"/>
        <v>214</v>
      </c>
      <c r="K73" s="178">
        <f t="shared" ref="K73:N73" si="46">(C73-G73)</f>
        <v>98</v>
      </c>
      <c r="L73" s="178">
        <f t="shared" si="46"/>
        <v>8</v>
      </c>
      <c r="M73" s="178">
        <f t="shared" si="46"/>
        <v>14</v>
      </c>
      <c r="N73" s="179">
        <f t="shared" si="46"/>
        <v>120</v>
      </c>
      <c r="O73" s="180">
        <f>SUM(COUNTIFS(North!C:C,"LPS",North!G:G,"UR",North!N:N,"&lt;="&amp;R64),COUNTIFS(South!C:C,"LPS",South!G:G,"UR",South!N:N,"&lt;="&amp;R64),COUNTIFS(BT!C:C,"LPS",BT!G:G,"UR",BT!N:N,"&lt;="&amp;R64),COUNTIFS(KOAA!C:C,"LPS",KOAA!G:G,"UR",KOAA!N:N,"&lt;="&amp;R64),COUNTIFS(NH!C:C,"LPS",NH!G:G,"UR",NH!N:N,"&lt;="&amp;R64),COUNTIFS(DDJ!C:C,"LPS",DDJ!G:G,"UR",DDJ!N:N,"&lt;="&amp;R64),COUNTIFS(RHA!C:C,"LPS",RHA!G:G,"UR",RHA!N:N,"&lt;="&amp;R64),COUNTIFS(CONV!C:C,"LPS",CONV!G:G,"UR",CONV!N:N,"&lt;="&amp;R64))</f>
        <v>0</v>
      </c>
      <c r="P73" s="180">
        <f>SUM(COUNTIFS(North!C:C,"LPS",North!G:G,"SC",North!N:N,"&lt;="&amp;R64),COUNTIFS(South!C:C,"LPS",South!G:G,"SC",South!N:N,"&lt;="&amp;R64),COUNTIFS(BT!C:C,"LPS",BT!G:G,"SC",BT!N:N,"&lt;="&amp;R64),COUNTIFS(KOAA!C:C,"LPS",KOAA!G:G,"SC",KOAA!N:N,"&lt;="&amp;R64),COUNTIFS(NH!C:C,"LPS",NH!G:G,"SC",NH!N:N,"&lt;="&amp;R64),COUNTIFS(DDJ!C:C,"LPS",DDJ!G:G,"SC",DDJ!N:N,"&lt;="&amp;R64),COUNTIFS(RHA!C:C,"LPS",RHA!G:G,"SC",RHA!N:N,"&lt;="&amp;R64),COUNTIFS(CONV!C:C,"LPS",CONV!G:G,"SC",CONV!N:N,"&lt;="&amp;R64))</f>
        <v>0</v>
      </c>
      <c r="Q73" s="180">
        <f>SUM(COUNTIFS(North!C:C,"LPS",North!G:G,"ST",North!N:N,"&lt;="&amp;R64),COUNTIFS(South!C:C,"LPS",South!G:G,"ST",South!N:N,"&lt;="&amp;R64),COUNTIFS(BT!C:C,"LPS",BT!G:G,"ST",BT!N:N,"&lt;="&amp;R64),COUNTIFS(KOAA!C:C,"LPS",KOAA!G:G,"ST",KOAA!N:N,"&lt;="&amp;R64),COUNTIFS(NH!C:C,"LPS",NH!G:G,"ST",NH!N:N,"&lt;="&amp;R64),COUNTIFS(DDJ!C:C,"LPS",DDJ!G:G,"ST",DDJ!N:N,"&lt;="&amp;R64),COUNTIFS(RHA!C:C,"LPS",RHA!G:G,"ST",RHA!N:N,"&lt;="&amp;R64),COUNTIFS(CONV!C:C,"LPS",CONV!G:G,"ST",CONV!N:N,"&lt;="&amp;R64))</f>
        <v>0</v>
      </c>
      <c r="R73" s="180">
        <f t="shared" si="31"/>
        <v>0</v>
      </c>
      <c r="S73" s="181">
        <f t="shared" ref="S73:U73" si="47">SUM(S72+K73+O73)</f>
        <v>505</v>
      </c>
      <c r="T73" s="181">
        <f t="shared" si="47"/>
        <v>-178</v>
      </c>
      <c r="U73" s="181">
        <f t="shared" si="47"/>
        <v>60</v>
      </c>
      <c r="V73" s="182">
        <f t="shared" si="35"/>
        <v>387</v>
      </c>
      <c r="W73" s="174"/>
      <c r="X73" s="184"/>
      <c r="Y73" s="184"/>
      <c r="Z73" s="174"/>
      <c r="AA73" s="174"/>
      <c r="AB73" s="174"/>
      <c r="AC73" s="174"/>
      <c r="AD73" s="174"/>
      <c r="AE73" s="174"/>
      <c r="AF73" s="174"/>
      <c r="AG73" s="174"/>
      <c r="AH73" s="174"/>
      <c r="AI73" s="174"/>
      <c r="AJ73" s="174"/>
      <c r="AK73" s="174"/>
      <c r="AL73" s="174"/>
      <c r="AM73" s="174"/>
      <c r="AN73" s="174"/>
      <c r="AO73" s="174"/>
      <c r="AP73" s="174"/>
    </row>
    <row r="74" spans="1:42" ht="15.75" customHeight="1">
      <c r="A74" s="93" t="s">
        <v>22</v>
      </c>
      <c r="B74" s="168"/>
      <c r="C74" s="175">
        <f t="shared" si="26"/>
        <v>371</v>
      </c>
      <c r="D74" s="175">
        <f t="shared" si="27"/>
        <v>73</v>
      </c>
      <c r="E74" s="175">
        <f t="shared" si="28"/>
        <v>37</v>
      </c>
      <c r="F74" s="176">
        <v>481</v>
      </c>
      <c r="G74" s="177">
        <f>SUM(COUNTIFS(North!C:C,"ALP",North!G:G,"UR"),COUNTIFS(South!C:C,"ALP",South!G:G,"UR"),COUNTIFS(BT!C:C,"ALP",BT!G:G,"UR"),COUNTIFS(KOAA!C:C,"ALP",KOAA!G:G,"UR"),COUNTIFS(NH!C:C,"ALP",NH!G:G,"UR"),COUNTIFS(DDJ!C:C,"ALP",DDJ!G:G,"UR"),COUNTIFS(RHA!C:C,"ALP",RHA!G:G,"UR"),COUNTIFS(CONV!C:C,"ALP",CONV!G:G,"UR"))</f>
        <v>217</v>
      </c>
      <c r="H74" s="177">
        <f>SUM(COUNTIFS(North!C:C,"ALP",North!G:G,"SC"),COUNTIFS(South!C:C,"ALP",South!G:G,"SC"),COUNTIFS(BT!C:C,"ALP",BT!G:G,"SC"),COUNTIFS(KOAA!C:C,"ALP",KOAA!G:G,"SC"),COUNTIFS(NH!C:C,"ALP",NH!G:G,"SC"),COUNTIFS(DDJ!C:C,"ALP",DDJ!G:G,"SC"),COUNTIFS(RHA!C:C,"ALP",RHA!G:G,"SC"),COUNTIFS(CONV!C:C,"ALP",CONV!G:G,"SC"))</f>
        <v>88</v>
      </c>
      <c r="I74" s="177">
        <f>SUM(COUNTIFS(North!C:C,"ALP",North!G:G,"ST"),COUNTIFS(South!C:C,"ALP",South!G:G,"ST"),COUNTIFS(BT!C:C,"ALP",BT!G:G,"ST"),COUNTIFS(KOAA!C:C,"ALP",KOAA!G:G,"ST"),COUNTIFS(NH!C:C,"ALP",NH!G:G,"ST"),COUNTIFS(DDJ!C:C,"ALP",DDJ!G:G,"ST"),COUNTIFS(RHA!C:C,"ALP",RHA!G:G,"ST"),COUNTIFS(CONV!C:C,"ALP",CONV!G:G,"ST"))</f>
        <v>8</v>
      </c>
      <c r="J74" s="177">
        <f t="shared" si="29"/>
        <v>313</v>
      </c>
      <c r="K74" s="178">
        <f t="shared" ref="K74:N74" si="48">(C74-G74)</f>
        <v>154</v>
      </c>
      <c r="L74" s="178">
        <f t="shared" si="48"/>
        <v>-15</v>
      </c>
      <c r="M74" s="178">
        <f t="shared" si="48"/>
        <v>29</v>
      </c>
      <c r="N74" s="179">
        <f t="shared" si="48"/>
        <v>168</v>
      </c>
      <c r="O74" s="180">
        <f>SUM(COUNTIFS(North!C:C,"ALP",North!G:G,"UR",North!N:N,"&lt;="&amp;R64),COUNTIFS(South!C:C,"ALP",South!G:G,"UR",South!N:N,"&lt;="&amp;R64),COUNTIFS(BT!C:C,"ALP",BT!G:G,"UR",BT!N:N,"&lt;="&amp;R64),COUNTIFS(KOAA!C:C,"ALP",KOAA!G:G,"UR",KOAA!N:N,"&lt;="&amp;R64),COUNTIFS(NH!C:C,"ALP",NH!G:G,"UR",NH!N:N,"&lt;="&amp;R64),COUNTIFS(DDJ!C:C,"ALP",DDJ!G:G,"UR",DDJ!N:N,"&lt;="&amp;R64),COUNTIFS(RHA!C:C,"ALP",RHA!G:G,"UR",RHA!N:N,"&lt;="&amp;R64),COUNTIFS(CONV!C:C,"ALP",CONV!G:G,"UR",CONV!N:N,"&lt;="&amp;R64))</f>
        <v>0</v>
      </c>
      <c r="P74" s="180">
        <f>SUM(COUNTIFS(North!C:C,"ALP",North!G:G,"SC",North!N:N,"&lt;="&amp;R64),COUNTIFS(South!C:C,"ALP",South!G:G,"SC",South!N:N,"&lt;="&amp;R64),COUNTIFS(BT!C:C,"ALP",BT!G:G,"SC",BT!N:N,"&lt;="&amp;R64),COUNTIFS(KOAA!C:C,"ALP",KOAA!G:G,"SC",KOAA!N:N,"&lt;="&amp;R64),COUNTIFS(NH!C:C,"ALP",NH!G:G,"SC",NH!N:N,"&lt;="&amp;R64),COUNTIFS(DDJ!C:C,"ALP",DDJ!G:G,"SC",DDJ!N:N,"&lt;="&amp;R64),COUNTIFS(RHA!C:C,"ALP",RHA!G:G,"SC",RHA!N:N,"&lt;="&amp;R64),COUNTIFS(CONV!C:C,"ALP",CONV!G:G,"SC",CONV!N:N,"&lt;="&amp;R64))</f>
        <v>0</v>
      </c>
      <c r="Q74" s="180">
        <f>SUM(COUNTIFS(North!C:C,"ALP",North!G:G,"ST",North!N:N,"&lt;="&amp;R64),COUNTIFS(South!C:C,"ALP",South!G:G,"ST",South!N:N,"&lt;="&amp;R64),COUNTIFS(BT!C:C,"ALP",BT!G:G,"ST",BT!N:N,"&lt;="&amp;R64),COUNTIFS(KOAA!C:C,"ALP",KOAA!G:G,"ST",KOAA!N:N,"&lt;="&amp;R64),COUNTIFS(NH!C:C,"ALP",NH!G:G,"ST",NH!N:N,"&lt;="&amp;R64),COUNTIFS(DDJ!C:C,"ALP",DDJ!G:G,"ST",DDJ!N:N,"&lt;="&amp;R64),COUNTIFS(RHA!C:C,"ALP",RHA!G:G,"ST",RHA!N:N,"&lt;="&amp;R64),COUNTIFS(CONV!C:C,"ALP",CONV!G:G,"ST",CONV!N:N,"&lt;="&amp;R64))</f>
        <v>0</v>
      </c>
      <c r="R74" s="180">
        <f t="shared" si="31"/>
        <v>0</v>
      </c>
      <c r="S74" s="181">
        <f t="shared" ref="S74:U74" si="49">SUM(S73+K74+O74)</f>
        <v>659</v>
      </c>
      <c r="T74" s="181">
        <f t="shared" si="49"/>
        <v>-193</v>
      </c>
      <c r="U74" s="181">
        <f t="shared" si="49"/>
        <v>89</v>
      </c>
      <c r="V74" s="187">
        <f t="shared" si="35"/>
        <v>555</v>
      </c>
      <c r="W74" s="174"/>
      <c r="X74" s="184"/>
      <c r="Y74" s="184"/>
      <c r="Z74" s="174"/>
      <c r="AA74" s="174"/>
      <c r="AB74" s="174"/>
      <c r="AC74" s="174"/>
      <c r="AD74" s="174"/>
      <c r="AE74" s="174"/>
      <c r="AF74" s="174"/>
      <c r="AG74" s="174"/>
      <c r="AH74" s="174"/>
      <c r="AI74" s="174"/>
      <c r="AJ74" s="174"/>
      <c r="AK74" s="174"/>
      <c r="AL74" s="174"/>
      <c r="AM74" s="174"/>
      <c r="AN74" s="174"/>
      <c r="AO74" s="174"/>
      <c r="AP74" s="174"/>
    </row>
    <row r="75" spans="1:42" ht="15.75" customHeight="1">
      <c r="A75" s="93" t="s">
        <v>13</v>
      </c>
      <c r="B75" s="168"/>
      <c r="C75" s="175">
        <f t="shared" ref="C75:I75" si="50">SUM(C66:C74)</f>
        <v>1576</v>
      </c>
      <c r="D75" s="175">
        <f t="shared" si="50"/>
        <v>312</v>
      </c>
      <c r="E75" s="175">
        <f t="shared" si="50"/>
        <v>158</v>
      </c>
      <c r="F75" s="188">
        <f t="shared" si="50"/>
        <v>2046</v>
      </c>
      <c r="G75" s="177">
        <f t="shared" si="50"/>
        <v>917</v>
      </c>
      <c r="H75" s="177">
        <f t="shared" si="50"/>
        <v>505</v>
      </c>
      <c r="I75" s="177">
        <f t="shared" si="50"/>
        <v>69</v>
      </c>
      <c r="J75" s="189">
        <f t="shared" si="29"/>
        <v>1491</v>
      </c>
      <c r="K75" s="178">
        <f t="shared" ref="K75:N75" si="51">(C75-G75)</f>
        <v>659</v>
      </c>
      <c r="L75" s="178">
        <f t="shared" si="51"/>
        <v>-193</v>
      </c>
      <c r="M75" s="178">
        <f t="shared" si="51"/>
        <v>89</v>
      </c>
      <c r="N75" s="179">
        <f t="shared" si="51"/>
        <v>555</v>
      </c>
      <c r="O75" s="180">
        <f t="shared" ref="O75:R75" si="52">SUM(O66:O74)</f>
        <v>0</v>
      </c>
      <c r="P75" s="180">
        <f t="shared" si="52"/>
        <v>0</v>
      </c>
      <c r="Q75" s="180">
        <f t="shared" si="52"/>
        <v>0</v>
      </c>
      <c r="R75" s="180">
        <f t="shared" si="52"/>
        <v>0</v>
      </c>
      <c r="S75" s="182"/>
      <c r="T75" s="182"/>
      <c r="U75" s="182"/>
      <c r="V75" s="182"/>
      <c r="W75" s="174"/>
      <c r="X75" s="184"/>
      <c r="Y75" s="184"/>
      <c r="Z75" s="174"/>
      <c r="AA75" s="174"/>
      <c r="AB75" s="174"/>
      <c r="AC75" s="174"/>
      <c r="AD75" s="174"/>
      <c r="AE75" s="174"/>
      <c r="AF75" s="174"/>
      <c r="AG75" s="174"/>
      <c r="AH75" s="174"/>
      <c r="AI75" s="174"/>
      <c r="AJ75" s="174"/>
      <c r="AK75" s="174"/>
      <c r="AL75" s="174"/>
      <c r="AM75" s="174"/>
      <c r="AN75" s="174"/>
      <c r="AO75" s="174"/>
      <c r="AP75" s="174"/>
    </row>
    <row r="76" spans="1:42" ht="15.75" customHeight="1">
      <c r="A76" s="148"/>
      <c r="B76" s="148"/>
      <c r="C76" s="147"/>
      <c r="D76" s="147"/>
      <c r="E76" s="148"/>
      <c r="F76" s="147"/>
      <c r="G76" s="147"/>
      <c r="H76" s="147"/>
      <c r="I76" s="147"/>
      <c r="J76" s="148"/>
      <c r="K76" s="148"/>
      <c r="L76" s="148"/>
      <c r="M76" s="148"/>
      <c r="N76" s="148"/>
      <c r="O76" s="148"/>
      <c r="P76" s="149"/>
      <c r="Q76" s="148"/>
      <c r="R76" s="148"/>
      <c r="S76" s="148"/>
      <c r="T76" s="148"/>
      <c r="U76" s="148"/>
      <c r="V76" s="148"/>
      <c r="X76" s="90"/>
      <c r="Y76" s="90"/>
    </row>
    <row r="77" spans="1:42" ht="15.75" customHeight="1">
      <c r="A77" s="190"/>
      <c r="B77" s="190"/>
      <c r="C77" s="190"/>
      <c r="D77" s="190"/>
      <c r="E77" s="190"/>
      <c r="F77" s="190"/>
      <c r="P77" s="89"/>
      <c r="X77" s="90"/>
      <c r="Y77" s="90"/>
    </row>
    <row r="78" spans="1:42" ht="15.75" customHeight="1">
      <c r="A78" s="191" t="s">
        <v>82</v>
      </c>
      <c r="B78" s="192"/>
      <c r="C78" s="193"/>
      <c r="D78" s="194"/>
      <c r="E78" s="195"/>
      <c r="F78" s="195"/>
      <c r="P78" s="89"/>
      <c r="S78" s="90"/>
      <c r="X78" s="90"/>
      <c r="Y78" s="90"/>
    </row>
    <row r="79" spans="1:42">
      <c r="A79" s="18" t="s">
        <v>15</v>
      </c>
      <c r="B79" s="196" t="s">
        <v>83</v>
      </c>
      <c r="C79" s="196" t="s">
        <v>84</v>
      </c>
      <c r="D79" s="196" t="s">
        <v>85</v>
      </c>
      <c r="E79" s="90"/>
      <c r="F79" s="90"/>
      <c r="N79" s="90"/>
      <c r="P79" s="89"/>
      <c r="R79" s="90"/>
      <c r="S79" s="90"/>
      <c r="X79" s="90"/>
      <c r="Y79" s="90"/>
    </row>
    <row r="80" spans="1:42">
      <c r="A80" s="18" t="s">
        <v>14</v>
      </c>
      <c r="B80" s="3">
        <f>SUM(COUNTIF(North!C:C,"LPM"),COUNTIF(KOAA!C:C,"LPM"))</f>
        <v>50</v>
      </c>
      <c r="C80" s="3">
        <f>SUM(COUNTIFS(North!C:C,"LPM",North!Z:Z,"SUITABLE"),COUNTIFS(KOAA!C:C,"LPM",KOAA!Z:Z,"SUITABLE"))</f>
        <v>11</v>
      </c>
      <c r="D80" s="3">
        <f>B80-C80</f>
        <v>39</v>
      </c>
      <c r="E80" s="90"/>
      <c r="F80" s="90"/>
      <c r="O80" s="90"/>
      <c r="Y80" s="90"/>
    </row>
    <row r="81" spans="1:25">
      <c r="A81" s="18"/>
      <c r="B81" s="3"/>
      <c r="C81" s="3"/>
      <c r="D81" s="3"/>
      <c r="E81" s="90"/>
      <c r="F81" s="90"/>
      <c r="J81" s="197" t="s">
        <v>86</v>
      </c>
      <c r="O81" s="90"/>
      <c r="Y81" s="90"/>
    </row>
    <row r="82" spans="1:25">
      <c r="A82" s="18" t="s">
        <v>81</v>
      </c>
      <c r="B82" s="3">
        <f>SUM(COUNTIF(North!C:C,"LPP(LOCO)"),COUNTIF(KOAA!C:C,"LPP(LOCO)"))</f>
        <v>11</v>
      </c>
      <c r="C82" s="3">
        <f>SUM(COUNTIFS(North!C:C,"LPP(LOCO)",North!Z:Z,"SUITABLE"),COUNTIFS(KOAA!C:C,"LPP(LOCO)",KOAA!Z:Z,"SUITABLE"))</f>
        <v>0</v>
      </c>
      <c r="D82" s="3">
        <f>B82-C82</f>
        <v>11</v>
      </c>
      <c r="E82" s="90"/>
      <c r="F82" s="90"/>
      <c r="O82" s="90"/>
      <c r="Y82" s="90"/>
    </row>
    <row r="83" spans="1:25">
      <c r="A83" s="18" t="s">
        <v>87</v>
      </c>
      <c r="B83" s="3"/>
      <c r="C83" s="198" t="s">
        <v>88</v>
      </c>
      <c r="D83" s="79"/>
      <c r="E83" s="90"/>
      <c r="F83" s="90"/>
      <c r="O83" s="90"/>
      <c r="Y83" s="90"/>
    </row>
    <row r="84" spans="1:25" ht="15.75" customHeight="1">
      <c r="B84" s="90"/>
      <c r="C84" s="90"/>
      <c r="E84" s="90"/>
      <c r="F84" s="90"/>
      <c r="O84" s="90"/>
      <c r="P84" s="199"/>
      <c r="Y84" s="90"/>
    </row>
    <row r="85" spans="1:25" ht="15.75" customHeight="1">
      <c r="A85" s="200" t="s">
        <v>89</v>
      </c>
      <c r="B85" s="201"/>
      <c r="C85" s="202" t="s">
        <v>90</v>
      </c>
      <c r="E85" s="90"/>
      <c r="F85" s="90"/>
      <c r="O85" s="90"/>
      <c r="P85" s="199"/>
      <c r="Y85" s="90"/>
    </row>
    <row r="86" spans="1:25" ht="17.25" customHeight="1">
      <c r="A86" s="197" t="s">
        <v>91</v>
      </c>
      <c r="C86" s="90"/>
      <c r="D86" s="90"/>
      <c r="F86" s="90"/>
      <c r="H86" s="90"/>
      <c r="I86" s="199"/>
      <c r="O86" s="90"/>
      <c r="P86" s="199"/>
      <c r="Y86" s="90"/>
    </row>
    <row r="87" spans="1:25" ht="15.75" customHeight="1">
      <c r="F87" s="90"/>
      <c r="I87" s="199"/>
      <c r="Y87" s="90"/>
    </row>
    <row r="88" spans="1:25" ht="15.75" customHeight="1">
      <c r="F88" s="90"/>
      <c r="H88" s="203"/>
      <c r="I88" s="199"/>
      <c r="Y88" s="90"/>
    </row>
    <row r="89" spans="1:25" ht="15.75" customHeight="1">
      <c r="F89" s="90"/>
      <c r="H89" s="203"/>
      <c r="I89" s="199"/>
      <c r="Y89" s="90"/>
    </row>
    <row r="90" spans="1:25" ht="15.75" customHeight="1">
      <c r="F90" s="90"/>
      <c r="H90" s="203"/>
      <c r="I90" s="199"/>
      <c r="Y90" s="90"/>
    </row>
    <row r="91" spans="1:25" ht="15.75" customHeight="1">
      <c r="H91" s="203"/>
      <c r="I91" s="199"/>
      <c r="Y91" s="90"/>
    </row>
    <row r="92" spans="1:25" ht="15.75" customHeight="1">
      <c r="H92" s="203"/>
      <c r="I92" s="199"/>
      <c r="P92" s="89"/>
      <c r="Y92" s="90"/>
    </row>
    <row r="93" spans="1:25" ht="15.75" customHeight="1">
      <c r="H93" s="203"/>
      <c r="I93" s="199"/>
      <c r="P93" s="89"/>
      <c r="Y93" s="90"/>
    </row>
    <row r="94" spans="1:25" ht="15.75" customHeight="1">
      <c r="H94" s="204"/>
      <c r="I94" s="199"/>
      <c r="P94" s="89"/>
      <c r="Y94" s="90"/>
    </row>
    <row r="95" spans="1:25" ht="15.75" customHeight="1">
      <c r="H95" s="205"/>
      <c r="P95" s="89"/>
      <c r="Y95" s="90"/>
    </row>
    <row r="96" spans="1:25" ht="15.75" customHeight="1">
      <c r="P96" s="89"/>
      <c r="Y96" s="90"/>
    </row>
    <row r="97" spans="1:25" ht="15.75" customHeight="1">
      <c r="P97" s="89"/>
      <c r="Y97" s="90"/>
    </row>
    <row r="98" spans="1:25" ht="15.75" customHeight="1">
      <c r="P98" s="89"/>
      <c r="Y98" s="90"/>
    </row>
    <row r="99" spans="1:25" ht="15.75" customHeight="1">
      <c r="P99" s="89"/>
      <c r="Y99" s="90"/>
    </row>
    <row r="100" spans="1:25" ht="15.75" customHeight="1">
      <c r="P100" s="89"/>
      <c r="Y100" s="90"/>
    </row>
    <row r="101" spans="1:25" ht="15.75" customHeight="1">
      <c r="P101" s="89"/>
      <c r="Y101" s="90"/>
    </row>
    <row r="102" spans="1:25" ht="15.75" customHeight="1">
      <c r="P102" s="89"/>
      <c r="Y102" s="90"/>
    </row>
    <row r="103" spans="1:25" ht="15.75" customHeight="1">
      <c r="A103" s="137"/>
      <c r="P103" s="89"/>
      <c r="X103" s="90"/>
      <c r="Y103" s="90"/>
    </row>
    <row r="104" spans="1:25" ht="15.75" customHeight="1">
      <c r="A104" s="197"/>
      <c r="B104" s="197"/>
      <c r="C104" s="197"/>
      <c r="P104" s="89"/>
      <c r="X104" s="90"/>
      <c r="Y104" s="90"/>
    </row>
    <row r="105" spans="1:25" ht="15.75" customHeight="1">
      <c r="A105" s="197"/>
      <c r="B105" s="197"/>
      <c r="C105" s="197"/>
      <c r="H105" s="206" t="e">
        <f ca="1">IF(ISBLANK(Q8),"0",ifS(Q105&lt;=TODAY(),"expired",(Q105-(TODAY()-1))&gt;15,"ALIVE",(Q105-(TODAY()-1))&lt;=15,"EXPIRED SOON"))</f>
        <v>#NAME?</v>
      </c>
      <c r="P105" s="89"/>
      <c r="Q105" s="207">
        <v>45119</v>
      </c>
      <c r="X105" s="90"/>
      <c r="Y105" s="90"/>
    </row>
    <row r="106" spans="1:25" ht="15.75" customHeight="1">
      <c r="H106" s="208"/>
      <c r="P106" s="89"/>
      <c r="X106" s="90"/>
      <c r="Y106" s="90"/>
    </row>
    <row r="107" spans="1:25" ht="15.75" customHeight="1">
      <c r="G107" s="90"/>
      <c r="H107" s="90"/>
      <c r="P107" s="89"/>
      <c r="X107" s="90"/>
      <c r="Y107" s="90"/>
    </row>
    <row r="108" spans="1:25" ht="15.75" customHeight="1">
      <c r="G108" s="90"/>
      <c r="H108" s="90"/>
      <c r="P108" s="89"/>
      <c r="X108" s="90"/>
      <c r="Y108" s="90"/>
    </row>
    <row r="109" spans="1:25" ht="15.75" customHeight="1">
      <c r="G109" s="90"/>
      <c r="H109" s="90"/>
      <c r="P109" s="89"/>
      <c r="X109" s="90"/>
      <c r="Y109" s="90"/>
    </row>
    <row r="110" spans="1:25" ht="15.75" customHeight="1">
      <c r="G110" s="90"/>
      <c r="H110" s="90"/>
      <c r="P110" s="89"/>
      <c r="X110" s="90"/>
      <c r="Y110" s="90"/>
    </row>
    <row r="111" spans="1:25" ht="15.75" customHeight="1">
      <c r="G111" s="90"/>
      <c r="H111" s="90"/>
      <c r="P111" s="89"/>
      <c r="X111" s="90"/>
      <c r="Y111" s="90"/>
    </row>
    <row r="112" spans="1:25" ht="15.75" customHeight="1">
      <c r="G112" s="90"/>
      <c r="H112" s="90"/>
      <c r="P112" s="89"/>
      <c r="X112" s="90"/>
      <c r="Y112" s="90"/>
    </row>
    <row r="113" spans="6:25" ht="15.75" customHeight="1">
      <c r="G113" s="90"/>
      <c r="H113" s="90"/>
      <c r="P113" s="89"/>
      <c r="X113" s="90"/>
      <c r="Y113" s="90"/>
    </row>
    <row r="114" spans="6:25" ht="15.75" customHeight="1">
      <c r="G114" s="90"/>
      <c r="H114" s="90"/>
      <c r="P114" s="89"/>
      <c r="W114" s="90"/>
      <c r="X114" s="90"/>
      <c r="Y114" s="90"/>
    </row>
    <row r="115" spans="6:25" ht="15.75" customHeight="1">
      <c r="G115" s="90"/>
      <c r="H115" s="90"/>
      <c r="P115" s="89"/>
      <c r="W115" s="90"/>
      <c r="X115" s="90"/>
      <c r="Y115" s="90"/>
    </row>
    <row r="116" spans="6:25" ht="15.75" customHeight="1">
      <c r="G116" s="90"/>
      <c r="H116" s="90"/>
      <c r="P116" s="209"/>
      <c r="Q116" s="210" t="s">
        <v>32</v>
      </c>
      <c r="R116" s="210" t="s">
        <v>92</v>
      </c>
      <c r="S116" s="210" t="s">
        <v>5</v>
      </c>
      <c r="T116" s="210" t="s">
        <v>36</v>
      </c>
      <c r="U116" s="210" t="s">
        <v>7</v>
      </c>
      <c r="V116" s="210" t="s">
        <v>8</v>
      </c>
      <c r="W116" s="210" t="s">
        <v>9</v>
      </c>
      <c r="X116" s="137" t="s">
        <v>13</v>
      </c>
      <c r="Y116" s="90"/>
    </row>
    <row r="117" spans="6:25" ht="15.75" customHeight="1">
      <c r="G117" s="90"/>
      <c r="H117" s="90"/>
      <c r="P117" s="211" t="s">
        <v>43</v>
      </c>
      <c r="Q117" s="3">
        <f>SUM(COUNTIF(North!L:L,"AMITAV TARAFDER"),COUNTIFS(CONV!K:K,"CC(R) NORTH",CONV!L:L,"AMITAV TARAFDER",CONV!R:R,"ELECT"))</f>
        <v>11</v>
      </c>
      <c r="R117" s="83">
        <f>SUM(COUNTIF(South!L:L,"AMITAV TARAFDER"),COUNTIFS(CONV!K:K,"CC(R) SOUTH",CONV!L:L,"AMITAV TARAFDER",CONV!R:R,"ELECT"))</f>
        <v>6</v>
      </c>
      <c r="S117" s="83">
        <f>SUM(COUNTIF(KOAA!L:L,"AMITAV TARAFDER"),COUNTIFS(CONV!K:K,"CC(R) KOAA",CONV!L:L,"AMITAV TARAFDER",CONV!R:R,"ELECT"))</f>
        <v>5</v>
      </c>
      <c r="T117" s="83">
        <f>SUM(COUNTIF(DDJ!L:L,"AMITAV TARAFDER"),COUNTIFS(CONV!K:K,"CC(R) DDJ",CONV!L:L,"AMITAV TARAFDER",CONV!R:R,"ELECT"))</f>
        <v>13</v>
      </c>
      <c r="U117" s="83">
        <f>SUM(COUNTIF(NH!L:L,"AMITAV TARAFDER"),COUNTIFS(CONV!K:K,"CC(R) NH",CONV!L:L,"AMITAV TARAFDER",CONV!R:R,"ELECT"))</f>
        <v>3</v>
      </c>
      <c r="V117" s="83">
        <f>SUM(COUNTIF(BT!L:L,"AMITAV TARAFDER"),COUNTIFS(CONV!K:K,"CC(R) BT",CONV!L:L,"AMITAV TARAFDER",CONV!R:R,"ELECT"))</f>
        <v>24</v>
      </c>
      <c r="W117" s="83">
        <f>SUM(COUNTIF(RHA!L:L,"AMITAV TARAFDER"),COUNTIFS(CONV!K:K,"CC(R) RHA",CONV!L:L,"AMITAV TARAFDER",CONV!R:R,"ELECT"))</f>
        <v>0</v>
      </c>
      <c r="X117" s="90">
        <f t="shared" ref="X117:X153" si="53">SUM(Q117:W117)</f>
        <v>62</v>
      </c>
      <c r="Y117" s="94"/>
    </row>
    <row r="118" spans="6:25" ht="15.75" customHeight="1">
      <c r="G118" s="90"/>
      <c r="H118" s="90"/>
      <c r="P118" s="211" t="s">
        <v>93</v>
      </c>
      <c r="Q118" s="3">
        <f>SUM(COUNTIF(North!L:L,"A C JHA"),COUNTIFS(CONV!K:K,"CC(R) NORTH",CONV!L:L,"A C JHA",CONV!R:R,"ELECT"))</f>
        <v>0</v>
      </c>
      <c r="R118" s="83">
        <f>SUM(COUNTIF(South!L:L,"A C JHA"),COUNTIFS(CONV!K:K,"CC(R) SOUTH",CONV!L:L,"A C JHA",CONV!R:R,"ELECT"))</f>
        <v>0</v>
      </c>
      <c r="S118" s="83">
        <f>SUM(COUNTIF(KOAA!L:L,"A C JHA"),COUNTIFS(CONV!K:K,"CC(R) KOAA",CONV!L:L,"A C JHA",CONV!R:R,"ELECT"))</f>
        <v>0</v>
      </c>
      <c r="T118" s="83">
        <f>SUM(COUNTIF(DDJ!L:L,"A C JHA"),COUNTIFS(CONV!K:K,"CC(R) DDJ",CONV!L:L,"A C JHA",CONV!R:R,"ELECT"))</f>
        <v>0</v>
      </c>
      <c r="U118" s="83">
        <f>SUM(COUNTIF(NH!L:L,"A C JHA"),COUNTIFS(CONV!K:K,"CC(R) NH",CONV!L:L,"A C JHA",CONV!R:R,"ELECT"))</f>
        <v>0</v>
      </c>
      <c r="V118" s="83">
        <f>SUM(COUNTIF(BT!L:L,"A C JHA"),COUNTIFS(CONV!K:K,"CC(R) BT",CONV!L:L,"A C JHA",CONV!R:R,"ELECT"))</f>
        <v>0</v>
      </c>
      <c r="W118" s="83">
        <f>SUM(COUNTIF(RHA!L:L,"A C JHA"),COUNTIFS(CONV!K:K,"CC(R) RHA",CONV!L:L,"A C JHA",CONV!R:R,"ELECT"))</f>
        <v>0</v>
      </c>
      <c r="X118" s="90">
        <f t="shared" si="53"/>
        <v>0</v>
      </c>
      <c r="Y118" s="94"/>
    </row>
    <row r="119" spans="6:25" ht="15.75" customHeight="1">
      <c r="G119" s="90"/>
      <c r="H119" s="90"/>
      <c r="P119" s="211" t="s">
        <v>94</v>
      </c>
      <c r="Q119" s="3">
        <f>SUM(COUNTIF(North!L:L,"ANIMESH SARKAR"),COUNTIFS(CONV!K:K,"CC(R) NORTH",CONV!L:L,"ANIMESH SARKAR",CONV!R:R,"ELECT"))</f>
        <v>0</v>
      </c>
      <c r="R119" s="83">
        <f>SUM(COUNTIF(South!L:L,"ANIMESH SARKAR"),COUNTIFS(CONV!K:K,"CC(R) SOUTH",CONV!L:L,"ANIMESH SARKAR",CONV!R:R,"ELECT"))</f>
        <v>0</v>
      </c>
      <c r="S119" s="83">
        <f>SUM(COUNTIF(KOAA!L:L,"ANIMESH SARKAR"),COUNTIFS(CONV!K:K,"CC(R) KOAA",CONV!L:L,"ANIMESH SARKAR",CONV!R:R,"ELECT"))</f>
        <v>0</v>
      </c>
      <c r="T119" s="83">
        <f>SUM(COUNTIF(DDJ!L:L,"ANIMESH SARKAR"),COUNTIFS(CONV!K:K,"CC(R) DDJ",CONV!L:L,"ANIMESH SARKAR",CONV!R:R,"ELECT"))</f>
        <v>0</v>
      </c>
      <c r="U119" s="83">
        <f>SUM(COUNTIF(NH!L:L,"ANIMESH SARKAR"),COUNTIFS(CONV!K:K,"CC(R) NH",CONV!L:L,"ANIMESH SARKAR",CONV!R:R,"ELECT"))</f>
        <v>0</v>
      </c>
      <c r="V119" s="83">
        <f>SUM(COUNTIF(BT!L:L,"ANIMESH SARKAR"),COUNTIFS(CONV!K:K,"CC(R) BT",CONV!L:L,"ANIMESH SARKAR",CONV!R:R,"ELECT"))</f>
        <v>0</v>
      </c>
      <c r="W119" s="83">
        <f>SUM(COUNTIF(RHA!L:L,"ANIMESH SARKAR"),COUNTIFS(CONV!K:K,"CC(R) RHA",CONV!L:L,"ANIMESH SARKAR",CONV!R:R,"ELECT"))</f>
        <v>0</v>
      </c>
      <c r="X119" s="90">
        <f t="shared" si="53"/>
        <v>0</v>
      </c>
      <c r="Y119" s="94"/>
    </row>
    <row r="120" spans="6:25" ht="15.75" customHeight="1">
      <c r="G120" s="90"/>
      <c r="H120" s="90"/>
      <c r="P120" s="211" t="s">
        <v>95</v>
      </c>
      <c r="Q120" s="3">
        <f>SUM(COUNTIF(North!L:L,"B.BHOWMICK"),COUNTIFS(CONV!K:K,"CC(R) NORTH",CONV!L:L,"B.BHOWMICK",CONV!R:R,"ELECT"))</f>
        <v>0</v>
      </c>
      <c r="R120" s="83">
        <f>SUM(COUNTIF(South!L:L,"B.BHOWMICK"),COUNTIFS(CONV!K:K,"CC(R) SOUTH",CONV!L:L,"B.BHOWMICK",CONV!R:R,"ELECT"))</f>
        <v>0</v>
      </c>
      <c r="S120" s="83">
        <f>SUM(COUNTIF(KOAA!L:L,"B.BHOWMICK"),COUNTIFS(CONV!K:K,"CC(R) KOAA",CONV!L:L,"B.BHOWMICK",CONV!R:R,"ELECT"))</f>
        <v>0</v>
      </c>
      <c r="T120" s="83">
        <f>SUM(COUNTIF(DDJ!L:L,"B.BHOWMICK"),COUNTIFS(CONV!K:K,"CC(R) DDJ",CONV!L:L,"B.BHOWMICK",CONV!R:R,"ELECT"))</f>
        <v>0</v>
      </c>
      <c r="U120" s="83">
        <f>SUM(COUNTIF(NH!L:L,"B.BHOWMICK"),COUNTIFS(CONV!K:K,"CC(R) NH",CONV!L:L,"B.BHOWMICK",CONV!R:R,"ELECT"))</f>
        <v>0</v>
      </c>
      <c r="V120" s="83">
        <f>SUM(COUNTIF(BT!L:L,"B.BHOWMICK"),COUNTIFS(CONV!K:K,"CC(R) BT",CONV!L:L,"B.BHOWMICK",CONV!R:R,"ELECT"))</f>
        <v>0</v>
      </c>
      <c r="W120" s="83">
        <f>SUM(COUNTIF(RHA!L:L,"B.BHOWMICK"),COUNTIFS(CONV!K:K,"CC(R) RHA",CONV!L:L,"B.BHOWMICK",CONV!R:R,"ELECT"))</f>
        <v>0</v>
      </c>
      <c r="X120" s="90">
        <f t="shared" si="53"/>
        <v>0</v>
      </c>
      <c r="Y120" s="94"/>
    </row>
    <row r="121" spans="6:25" ht="15.75" customHeight="1">
      <c r="G121" s="90"/>
      <c r="H121" s="90"/>
      <c r="P121" s="211" t="s">
        <v>96</v>
      </c>
      <c r="Q121" s="3">
        <f>SUM(COUNTIF(North!L:L,"BAIDHAR SINGH"),COUNTIFS(CONV!K:K,"CC(R) NORTH",CONV!L:L,"BAIDHAR SINGH",CONV!R:R,"ELECT"))</f>
        <v>0</v>
      </c>
      <c r="R121" s="83">
        <f>SUM(COUNTIF(South!L:L,"BAIDHAR SINGH"),COUNTIFS(CONV!K:K,"CC(R) SOUTH",CONV!L:L,"BAIDHAR SINGH",CONV!R:R,"ELECT"))</f>
        <v>0</v>
      </c>
      <c r="S121" s="83">
        <f>SUM(COUNTIF(KOAA!L:L,"BAIDHAR SINGH"),COUNTIFS(CONV!K:K,"CC(R) KOAA",CONV!L:L,"BAIDHAR SINGH",CONV!R:R,"ELECT"))</f>
        <v>0</v>
      </c>
      <c r="T121" s="83">
        <f>SUM(COUNTIF(DDJ!L:L,"BAIDHAR SINGH"),COUNTIFS(CONV!K:K,"CC(R) DDJ",CONV!L:L,"BAIDHAR SINGH",CONV!R:R,"ELECT"))</f>
        <v>0</v>
      </c>
      <c r="U121" s="83">
        <f>SUM(COUNTIF(NH!L:L,"BAIDHAR SINGH"),COUNTIFS(CONV!K:K,"CC(R) NH",CONV!L:L,"BAIDHAR SINGH",CONV!R:R,"ELECT"))</f>
        <v>0</v>
      </c>
      <c r="V121" s="83">
        <f>SUM(COUNTIF(BT!L:L,"BAIDHAR SINGH"),COUNTIFS(CONV!K:K,"CC(R) BT",CONV!L:L,"BAIDHAR SINGH",CONV!R:R,"ELECT"))</f>
        <v>0</v>
      </c>
      <c r="W121" s="83">
        <f>SUM(COUNTIF(RHA!L:L,"BAIDHAR SINGH"),COUNTIFS(CONV!K:K,"CC(R) RHA",CONV!L:L,"BAIDHAR SINGH",CONV!R:R,"ELECT"))</f>
        <v>0</v>
      </c>
      <c r="X121" s="90">
        <f t="shared" si="53"/>
        <v>0</v>
      </c>
      <c r="Y121" s="94"/>
    </row>
    <row r="122" spans="6:25" ht="15.75" customHeight="1">
      <c r="G122" s="90"/>
      <c r="H122" s="90"/>
      <c r="P122" s="211" t="s">
        <v>97</v>
      </c>
      <c r="Q122" s="3">
        <f>SUM(COUNTIF(North!L:L,"DULAL DAS"),COUNTIFS(CONV!K:K,"CC(R) NORTH",CONV!L:L,"DULAL DAS",CONV!R:R,"ELECT"))</f>
        <v>0</v>
      </c>
      <c r="R122" s="83">
        <f>SUM(COUNTIF(South!L:L,"DULAL DAS"),COUNTIFS(CONV!K:K,"CC(R) SOUTH",CONV!L:L,"DULAL DAS",CONV!R:R,"ELECT"))</f>
        <v>0</v>
      </c>
      <c r="S122" s="83">
        <f>SUM(COUNTIF(KOAA!L:L,"DULAL DAS"),COUNTIFS(CONV!K:K,"CC(R) KOAA",CONV!L:L,"DULAL DAS",CONV!R:R,"ELECT"))</f>
        <v>0</v>
      </c>
      <c r="T122" s="83">
        <f>SUM(COUNTIF(DDJ!L:L,"DULAL DAS"),COUNTIFS(CONV!K:K,"CC(R) DDJ",CONV!L:L,"DULAL DAS",CONV!R:R,"ELECT"))</f>
        <v>0</v>
      </c>
      <c r="U122" s="83">
        <f>SUM(COUNTIF(NH!L:L,"DULAL DAS"),COUNTIFS(CONV!K:K,"CC(R) NH",CONV!L:L,"DULAL DAS",CONV!R:R,"ELECT"))</f>
        <v>0</v>
      </c>
      <c r="V122" s="83">
        <f>SUM(COUNTIF(BT!L:L,"DULAL DAS"),COUNTIFS(CONV!K:K,"CC(R) BT",CONV!L:L,"DULAL DAS",CONV!R:R,"ELECT"))</f>
        <v>0</v>
      </c>
      <c r="W122" s="83">
        <f>SUM(COUNTIF(RHA!L:L,"DULAL DAS"),COUNTIFS(CONV!K:K,"CC(R) RHA",CONV!L:L,"DULAL DAS",CONV!R:R,"ELECT"))</f>
        <v>0</v>
      </c>
      <c r="X122" s="90">
        <f t="shared" si="53"/>
        <v>0</v>
      </c>
      <c r="Y122" s="94"/>
    </row>
    <row r="123" spans="6:25" ht="15.75" customHeight="1">
      <c r="G123" s="90"/>
      <c r="H123" s="90"/>
      <c r="J123" s="90"/>
      <c r="K123" s="90"/>
      <c r="L123" s="90"/>
      <c r="P123" s="211" t="s">
        <v>98</v>
      </c>
      <c r="Q123" s="3">
        <f>SUM(COUNTIF(North!L:L,"DEBABRATA DUTTA"),COUNTIFS(CONV!K:K,"CC(R) NORTH",CONV!L:L,"DEBABRATA DUTTA",CONV!R:R,"ELECT"))</f>
        <v>0</v>
      </c>
      <c r="R123" s="83">
        <f>SUM(COUNTIF(South!L:L,"DEBABRATA DUTTA"),COUNTIFS(CONV!K:K,"CC(R) SOUTH",CONV!L:L,"DEBABRATA DUTTA",CONV!R:R,"ELECT"))</f>
        <v>0</v>
      </c>
      <c r="S123" s="83">
        <f>SUM(COUNTIF(KOAA!L:L,"DEBABRATA DUTTA"),COUNTIFS(CONV!K:K,"CC(R) KOAA",CONV!L:L,"DEBABRATA DUTTA",CONV!R:R,"ELECT"))</f>
        <v>0</v>
      </c>
      <c r="T123" s="83">
        <f>SUM(COUNTIF(DDJ!L:L,"DEBABRATA DUTTA"),COUNTIFS(CONV!K:K,"CC(R) DDJ",CONV!L:L,"DEBABRATA DUTTA",CONV!R:R,"ELECT"))</f>
        <v>0</v>
      </c>
      <c r="U123" s="83">
        <f>SUM(COUNTIF(NH!L:L,"DEBABRATA DUTTA"),COUNTIFS(CONV!K:K,"CC(R) NH",CONV!L:L,"DEBABRATA DUTTA",CONV!R:R,"ELECT"))</f>
        <v>0</v>
      </c>
      <c r="V123" s="83">
        <f>SUM(COUNTIF(BT!L:L,"DEBABRATA DUTTA"),COUNTIFS(CONV!K:K,"CC(R) BT",CONV!L:L,"DEBABRATA DUTTA",CONV!R:R,"ELECT"))</f>
        <v>0</v>
      </c>
      <c r="W123" s="83">
        <f>SUM(COUNTIF(RHA!L:L,"DEBABRATA DUTTA"),COUNTIFS(CONV!K:K,"CC(R) RHA",CONV!L:L,"DEBABRATA DUTTA",CONV!R:R,"ELECT"))</f>
        <v>0</v>
      </c>
      <c r="X123" s="90">
        <f t="shared" si="53"/>
        <v>0</v>
      </c>
      <c r="Y123" s="94"/>
    </row>
    <row r="124" spans="6:25" ht="15.75" customHeight="1">
      <c r="G124" s="90"/>
      <c r="H124" s="90"/>
      <c r="J124" s="90"/>
      <c r="K124" s="90"/>
      <c r="L124" s="90"/>
      <c r="P124" s="211" t="s">
        <v>99</v>
      </c>
      <c r="Q124" s="3">
        <f>SUM(COUNTIF(North!L:L,"J.S.BASAK"),COUNTIFS(CONV!K:K,"CC(R) NORTH",CONV!L:L,"J.S.BASAK",CONV!R:R,"ELECT"))</f>
        <v>0</v>
      </c>
      <c r="R124" s="83">
        <f>SUM(COUNTIF(South!L:L,"J.S.BASAK"),COUNTIFS(CONV!K:K,"CC(R) SOUTH",CONV!L:L,"J.S.BASAK",CONV!R:R,"ELECT"))</f>
        <v>0</v>
      </c>
      <c r="S124" s="83">
        <f>SUM(COUNTIF(KOAA!L:L,"J.S.BASAK"),COUNTIFS(CONV!K:K,"CC(R) KOAA",CONV!L:L,"J.S.BASAK",CONV!R:R,"ELECT"))</f>
        <v>0</v>
      </c>
      <c r="T124" s="83">
        <f>SUM(COUNTIF(DDJ!L:L,"J.S.BASAK"),COUNTIFS(CONV!K:K,"CC(R) DDJ",CONV!L:L,"J.S.BASAK",CONV!R:R,"ELECT"))</f>
        <v>0</v>
      </c>
      <c r="U124" s="83">
        <f>SUM(COUNTIF(NH!L:L,"J.S.BASAK"),COUNTIFS(CONV!K:K,"CC(R) NH",CONV!L:L,"J.S.BASAK",CONV!R:R,"ELECT"))</f>
        <v>0</v>
      </c>
      <c r="V124" s="83">
        <f>SUM(COUNTIF(BT!L:L,"J.S.BASAK"),COUNTIFS(CONV!K:K,"CC(R) BT",CONV!L:L,"J.S.BASAK",CONV!R:R,"ELECT"))</f>
        <v>0</v>
      </c>
      <c r="W124" s="83">
        <f>SUM(COUNTIF(RHA!L:L,"J.S.BASAK"),COUNTIFS(CONV!K:K,"CC(R) RHA",CONV!L:L,"J.S.BASAK",CONV!R:R,"ELECT"))</f>
        <v>0</v>
      </c>
      <c r="X124" s="90">
        <f t="shared" si="53"/>
        <v>0</v>
      </c>
      <c r="Y124" s="94"/>
    </row>
    <row r="125" spans="6:25" ht="15.75" customHeight="1">
      <c r="G125" s="90"/>
      <c r="H125" s="90"/>
      <c r="J125" s="90"/>
      <c r="K125" s="90"/>
      <c r="L125" s="90"/>
      <c r="P125" s="211" t="s">
        <v>100</v>
      </c>
      <c r="Q125" s="3">
        <f>SUM(COUNTIF(North!L:L,"JAYANTA KUNDU"),COUNTIFS(CONV!K:K,"CC(R) NORTH",CONV!L:L,"JAYANTA KUNDU",CONV!R:R,"ELECT"))</f>
        <v>0</v>
      </c>
      <c r="R125" s="83">
        <f>SUM(COUNTIF(South!L:L,"JAYANTA KUNDU"),COUNTIFS(CONV!K:K,"CC(R) SOUTH",CONV!L:L,"JAYANTA KUNDU",CONV!R:R,"ELECT"))</f>
        <v>0</v>
      </c>
      <c r="S125" s="83">
        <f>SUM(COUNTIF(KOAA!L:L,"JAYANTA KUNDU"),COUNTIFS(CONV!K:K,"CC(R) KOAA",CONV!L:L,"JAYANTA KUNDU",CONV!R:R,"ELECT"))</f>
        <v>0</v>
      </c>
      <c r="T125" s="83">
        <f>SUM(COUNTIF(DDJ!L:L,"JAYANTA KUNDU"),COUNTIFS(CONV!K:K,"CC(R) DDJ",CONV!L:L,"JAYANTA KUNDU",CONV!R:R,"ELECT"))</f>
        <v>0</v>
      </c>
      <c r="U125" s="83">
        <f>SUM(COUNTIF(NH!L:L,"JAYANTA KUNDU"),COUNTIFS(CONV!K:K,"CC(R) NH",CONV!L:L,"JAYANTA KUNDU",CONV!R:R,"ELECT"))</f>
        <v>0</v>
      </c>
      <c r="V125" s="83">
        <f>SUM(COUNTIF(BT!L:L,"JAYANTA KUNDU"),COUNTIFS(CONV!K:K,"CC(R) BT",CONV!L:L,"JAYANTA KUNDU",CONV!R:R,"ELECT"))</f>
        <v>0</v>
      </c>
      <c r="W125" s="83">
        <f>SUM(COUNTIF(RHA!L:L,"JAYANTA KUNDU"),COUNTIFS(CONV!K:K,"CC(R) RHA",CONV!L:L,"JAYANTA KUNDU",CONV!R:R,"ELECT"))</f>
        <v>0</v>
      </c>
      <c r="X125" s="90">
        <f t="shared" si="53"/>
        <v>0</v>
      </c>
      <c r="Y125" s="94"/>
    </row>
    <row r="126" spans="6:25" ht="15.75" customHeight="1">
      <c r="G126" s="90"/>
      <c r="H126" s="90"/>
      <c r="J126" s="90"/>
      <c r="K126" s="90"/>
      <c r="L126" s="90"/>
      <c r="P126" s="211" t="s">
        <v>101</v>
      </c>
      <c r="Q126" s="3">
        <f>SUM(COUNTIF(North!L:L,"PROVAT KUMAR GHOSH"),COUNTIFS(CONV!K:K,"CC(R) NORTH",CONV!L:L,"PROVAT KUMAR GHOSH",CONV!R:R,"ELECT"))</f>
        <v>0</v>
      </c>
      <c r="R126" s="83">
        <f>SUM(COUNTIF(South!L:L,"PROVAT KUMAR GHOSH"),COUNTIFS(CONV!K:K,"CC(R) SOUTH",CONV!L:L,"PROVAT KUMAR GHOSH",CONV!R:R,"ELECT"))</f>
        <v>0</v>
      </c>
      <c r="S126" s="83">
        <f>SUM(COUNTIF(KOAA!L:L,"PROVAT KUMAR GHOSH"),COUNTIFS(CONV!K:K,"CC(R) KOAA",CONV!L:L,"PROVAT KUMAR GHOSH",CONV!R:R,"ELECT"))</f>
        <v>0</v>
      </c>
      <c r="T126" s="83">
        <f>SUM(COUNTIF(DDJ!L:L,"PROVAT KUMAR GHOSH"),COUNTIFS(CONV!K:K,"CC(R) DDJ",CONV!L:L,"PROVAT KUMAR GHOSH",CONV!R:R,"ELECT"))</f>
        <v>0</v>
      </c>
      <c r="U126" s="83">
        <f>SUM(COUNTIF(NH!L:L,"PROVAT KUMAR GHOSH"),COUNTIFS(CONV!K:K,"CC(R) NH",CONV!L:L,"PROVAT KUMAR GHOSH",CONV!R:R,"ELECT"))</f>
        <v>0</v>
      </c>
      <c r="V126" s="83">
        <f>SUM(COUNTIF(BT!L:L,"PROVAT KUMAR GHOSH"),COUNTIFS(CONV!K:K,"CC(R) BT",CONV!L:L,"PROVAT KUMAR GHOSH",CONV!R:R,"ELECT"))</f>
        <v>0</v>
      </c>
      <c r="W126" s="83">
        <f>SUM(COUNTIF(RHA!L:L,"PROVAT KUMAR GHOSH"),COUNTIFS(CONV!K:K,"CC(R) RHA",CONV!L:L,"PROVAT KUMAR GHOSH",CONV!R:R,"ELECT"))</f>
        <v>0</v>
      </c>
      <c r="X126" s="90">
        <f t="shared" si="53"/>
        <v>0</v>
      </c>
      <c r="Y126" s="94"/>
    </row>
    <row r="127" spans="6:25" ht="15.75" customHeight="1">
      <c r="F127" s="90"/>
      <c r="J127" s="90"/>
      <c r="K127" s="90"/>
      <c r="L127" s="90"/>
      <c r="P127" s="212" t="s">
        <v>44</v>
      </c>
      <c r="Q127" s="3">
        <f>SUM(COUNTIF(North!L:L,"SWAPAN KUMAR MONDAL"),COUNTIFS(CONV!K:K,"CC(R) NORTH",CONV!L:L,"SWAPAN KUMAR MONDAL",CONV!R:R,"ELECT"))</f>
        <v>16</v>
      </c>
      <c r="R127" s="83">
        <f>SUM(COUNTIF(South!L:L,"AMITAV TARAFDER"),COUNTIFS(CONV!K:K,"CC(R) SOUTH",CONV!L:L,"AMITAV TARAFDER",CONV!R:R,"ELECT"))</f>
        <v>6</v>
      </c>
      <c r="S127" s="83">
        <f>SUM(COUNTIF(KOAA!L:L,"AMITAV TARAFDER"),COUNTIFS(CONV!K:K,"CC(R) KOAA",CONV!L:L,"AMITAV TARAFDER",CONV!R:R,"ELECT"))</f>
        <v>5</v>
      </c>
      <c r="T127" s="83">
        <f>SUM(COUNTIF(DDJ!L:L,"AMITAV TARAFDER"),COUNTIFS(CONV!K:K,"CC(R) DDJ",CONV!L:L,"AMITAV TARAFDER",CONV!R:R,"ELECT"))</f>
        <v>13</v>
      </c>
      <c r="U127" s="83">
        <f>SUM(COUNTIF(NH!L:L,"AMITAV TARAFDER"),COUNTIFS(CONV!K:K,"CC(R) NH",CONV!L:L,"AMITAV TARAFDER",CONV!R:R,"ELECT"))</f>
        <v>3</v>
      </c>
      <c r="V127" s="83">
        <f>SUM(COUNTIF(BT!L:L,"AMITAV TARAFDER"),COUNTIFS(CONV!K:K,"CC(R) BT",CONV!L:L,"AMITAV TARAFDER",CONV!R:R,"ELECT"))</f>
        <v>24</v>
      </c>
      <c r="W127" s="83">
        <f>SUM(COUNTIF(RHA!L:L,"AMITAV TARAFDER"),COUNTIFS(CONV!K:K,"CC(R) RHA",CONV!L:L,"AMITAV TARAFDER",CONV!R:R,"ELECT"))</f>
        <v>0</v>
      </c>
      <c r="X127" s="90">
        <f t="shared" si="53"/>
        <v>67</v>
      </c>
      <c r="Y127" s="94"/>
    </row>
    <row r="128" spans="6:25" ht="15.75" customHeight="1">
      <c r="F128" s="90"/>
      <c r="J128" s="90"/>
      <c r="K128" s="90"/>
      <c r="L128" s="90"/>
      <c r="P128" s="212" t="s">
        <v>102</v>
      </c>
      <c r="Q128" s="3">
        <f>SUM(COUNTIF(North!L:L,"SUMANTA SEN"),COUNTIFS(CONV!K:K,"CC(R) NORTH",CONV!L:L,"SUMANTA SEN",CONV!R:R,"ELECT"))</f>
        <v>0</v>
      </c>
      <c r="R128" s="83">
        <f>SUM(COUNTIF(South!L:L,"AMITAV TARAFDER"),COUNTIFS(CONV!K:K,"CC(R) SOUTH",CONV!L:L,"AMITAV TARAFDER",CONV!R:R,"ELECT"))</f>
        <v>6</v>
      </c>
      <c r="S128" s="83">
        <f>SUM(COUNTIF(KOAA!L:L,"AMITAV TARAFDER"),COUNTIFS(CONV!K:K,"CC(R) KOAA",CONV!L:L,"AMITAV TARAFDER",CONV!R:R,"ELECT"))</f>
        <v>5</v>
      </c>
      <c r="T128" s="83">
        <f>SUM(COUNTIF(DDJ!L:L,"AMITAV TARAFDER"),COUNTIFS(CONV!K:K,"CC(R) DDJ",CONV!L:L,"AMITAV TARAFDER",CONV!R:R,"ELECT"))</f>
        <v>13</v>
      </c>
      <c r="U128" s="83">
        <f>SUM(COUNTIF(NH!L:L,"AMITAV TARAFDER"),COUNTIFS(CONV!K:K,"CC(R) NH",CONV!L:L,"AMITAV TARAFDER",CONV!R:R,"ELECT"))</f>
        <v>3</v>
      </c>
      <c r="V128" s="83">
        <f>SUM(COUNTIF(BT!L:L,"AMITAV TARAFDER"),COUNTIFS(CONV!K:K,"CC(R) BT",CONV!L:L,"AMITAV TARAFDER",CONV!R:R,"ELECT"))</f>
        <v>24</v>
      </c>
      <c r="W128" s="83">
        <f>SUM(COUNTIF(RHA!L:L,"AMITAV TARAFDER"),COUNTIFS(CONV!K:K,"CC(R) RHA",CONV!L:L,"AMITAV TARAFDER",CONV!R:R,"ELECT"))</f>
        <v>0</v>
      </c>
      <c r="X128" s="90">
        <f t="shared" si="53"/>
        <v>51</v>
      </c>
      <c r="Y128" s="94"/>
    </row>
    <row r="129" spans="6:25" ht="15.75" customHeight="1">
      <c r="F129" s="90"/>
      <c r="J129" s="90"/>
      <c r="K129" s="90"/>
      <c r="L129" s="90"/>
      <c r="P129" s="213" t="s">
        <v>103</v>
      </c>
      <c r="Q129" s="3">
        <f>SUM(COUNTIF(North!L:L,"SANKAR PRASAD BAISYA"),COUNTIFS(CONV!K:K,"CC(R) NORTH",CONV!L:L,"SANKAR PRASAD BAISYA",CONV!R:R,"ELECT"))</f>
        <v>0</v>
      </c>
      <c r="R129" s="83">
        <f>SUM(COUNTIF(South!L:L,"AMITAV TARAFDER"),COUNTIFS(CONV!K:K,"CC(R) SOUTH",CONV!L:L,"AMITAV TARAFDER",CONV!R:R,"ELECT"))</f>
        <v>6</v>
      </c>
      <c r="S129" s="83">
        <f>SUM(COUNTIF(KOAA!L:L,"AMITAV TARAFDER"),COUNTIFS(CONV!K:K,"CC(R) KOAA",CONV!L:L,"AMITAV TARAFDER",CONV!R:R,"ELECT"))</f>
        <v>5</v>
      </c>
      <c r="T129" s="83">
        <f>SUM(COUNTIF(DDJ!L:L,"AMITAV TARAFDER"),COUNTIFS(CONV!K:K,"CC(R) DDJ",CONV!L:L,"AMITAV TARAFDER",CONV!R:R,"ELECT"))</f>
        <v>13</v>
      </c>
      <c r="U129" s="83">
        <f>SUM(COUNTIF(NH!L:L,"AMITAV TARAFDER"),COUNTIFS(CONV!K:K,"CC(R) NH",CONV!L:L,"AMITAV TARAFDER",CONV!R:R,"ELECT"))</f>
        <v>3</v>
      </c>
      <c r="V129" s="83">
        <f>SUM(COUNTIF(BT!L:L,"AMITAV TARAFDER"),COUNTIFS(CONV!K:K,"CC(R) BT",CONV!L:L,"AMITAV TARAFDER",CONV!R:R,"ELECT"))</f>
        <v>24</v>
      </c>
      <c r="W129" s="83">
        <f>SUM(COUNTIF(RHA!L:L,"AMITAV TARAFDER"),COUNTIFS(CONV!K:K,"CC(R) RHA",CONV!L:L,"AMITAV TARAFDER",CONV!R:R,"ELECT"))</f>
        <v>0</v>
      </c>
      <c r="X129" s="90">
        <f t="shared" si="53"/>
        <v>51</v>
      </c>
      <c r="Y129" s="94"/>
    </row>
    <row r="130" spans="6:25" ht="15.75" customHeight="1">
      <c r="F130" s="90"/>
      <c r="J130" s="90"/>
      <c r="K130" s="90"/>
      <c r="L130" s="90"/>
      <c r="P130" s="211" t="s">
        <v>45</v>
      </c>
      <c r="Q130" s="3">
        <f>SUM(COUNTIF(North!L:L,"RUWEL MURMU"),COUNTIFS(CONV!K:K,"CC(R) NORTH",CONV!L:L,"RUWEL MURMU",CONV!R:R,"ELECT"))</f>
        <v>21</v>
      </c>
      <c r="R130" s="83">
        <f>SUM(COUNTIF(South!L:L,"AMITAV TARAFDER"),COUNTIFS(CONV!K:K,"CC(R) SOUTH",CONV!L:L,"AMITAV TARAFDER",CONV!R:R,"ELECT"))</f>
        <v>6</v>
      </c>
      <c r="S130" s="83">
        <f>SUM(COUNTIF(KOAA!L:L,"AMITAV TARAFDER"),COUNTIFS(CONV!K:K,"CC(R) KOAA",CONV!L:L,"AMITAV TARAFDER",CONV!R:R,"ELECT"))</f>
        <v>5</v>
      </c>
      <c r="T130" s="83">
        <f>SUM(COUNTIF(DDJ!L:L,"AMITAV TARAFDER"),COUNTIFS(CONV!K:K,"CC(R) DDJ",CONV!L:L,"AMITAV TARAFDER",CONV!R:R,"ELECT"))</f>
        <v>13</v>
      </c>
      <c r="U130" s="83">
        <f>SUM(COUNTIF(NH!L:L,"AMITAV TARAFDER"),COUNTIFS(CONV!K:K,"CC(R) NH",CONV!L:L,"AMITAV TARAFDER",CONV!R:R,"ELECT"))</f>
        <v>3</v>
      </c>
      <c r="V130" s="83">
        <f>SUM(COUNTIF(BT!L:L,"AMITAV TARAFDER"),COUNTIFS(CONV!K:K,"CC(R) BT",CONV!L:L,"AMITAV TARAFDER",CONV!R:R,"ELECT"))</f>
        <v>24</v>
      </c>
      <c r="W130" s="83">
        <f>SUM(COUNTIF(RHA!L:L,"AMITAV TARAFDER"),COUNTIFS(CONV!K:K,"CC(R) RHA",CONV!L:L,"AMITAV TARAFDER",CONV!R:R,"ELECT"))</f>
        <v>0</v>
      </c>
      <c r="X130" s="90">
        <f t="shared" si="53"/>
        <v>72</v>
      </c>
      <c r="Y130" s="94"/>
    </row>
    <row r="131" spans="6:25" ht="15.75" customHeight="1">
      <c r="F131" s="90"/>
      <c r="P131" s="211" t="s">
        <v>46</v>
      </c>
      <c r="Q131" s="3">
        <f>SUM(COUNTIF(North!L:L,"R K SABHERWAL"),COUNTIFS(CONV!K:K,"CC(R) NORTH",CONV!L:L,"R K SABHERWAL",CONV!R:R,"ELECT"))</f>
        <v>12</v>
      </c>
      <c r="R131" s="83">
        <f>SUM(COUNTIF(South!L:L,"AMITAV TARAFDER"),COUNTIFS(CONV!K:K,"CC(R) SOUTH",CONV!L:L,"AMITAV TARAFDER",CONV!R:R,"ELECT"))</f>
        <v>6</v>
      </c>
      <c r="S131" s="83">
        <f>SUM(COUNTIF(KOAA!L:L,"AMITAV TARAFDER"),COUNTIFS(CONV!K:K,"CC(R) KOAA",CONV!L:L,"AMITAV TARAFDER",CONV!R:R,"ELECT"))</f>
        <v>5</v>
      </c>
      <c r="T131" s="83">
        <f>SUM(COUNTIF(DDJ!L:L,"AMITAV TARAFDER"),COUNTIFS(CONV!K:K,"CC(R) DDJ",CONV!L:L,"AMITAV TARAFDER",CONV!R:R,"ELECT"))</f>
        <v>13</v>
      </c>
      <c r="U131" s="83">
        <f>SUM(COUNTIF(NH!L:L,"AMITAV TARAFDER"),COUNTIFS(CONV!K:K,"CC(R) NH",CONV!L:L,"AMITAV TARAFDER",CONV!R:R,"ELECT"))</f>
        <v>3</v>
      </c>
      <c r="V131" s="83">
        <f>SUM(COUNTIF(BT!L:L,"AMITAV TARAFDER"),COUNTIFS(CONV!K:K,"CC(R) BT",CONV!L:L,"AMITAV TARAFDER",CONV!R:R,"ELECT"))</f>
        <v>24</v>
      </c>
      <c r="W131" s="83">
        <f>SUM(COUNTIF(RHA!L:L,"AMITAV TARAFDER"),COUNTIFS(CONV!K:K,"CC(R) RHA",CONV!L:L,"AMITAV TARAFDER",CONV!R:R,"ELECT"))</f>
        <v>0</v>
      </c>
      <c r="X131" s="90">
        <f t="shared" si="53"/>
        <v>63</v>
      </c>
      <c r="Y131" s="94"/>
    </row>
    <row r="132" spans="6:25" ht="15.75" customHeight="1">
      <c r="F132" s="90"/>
      <c r="P132" s="211" t="s">
        <v>47</v>
      </c>
      <c r="Q132" s="3">
        <f>SUM(COUNTIF(North!L:L,"KALYAN DAS"),COUNTIFS(CONV!K:K,"CC(R) NORTH",CONV!L:L,"KALYAN DAS",CONV!R:R,"ELECT"))</f>
        <v>19</v>
      </c>
      <c r="R132" s="83">
        <f>SUM(COUNTIF(South!L:L,"AMITAV TARAFDER"),COUNTIFS(CONV!K:K,"CC(R) SOUTH",CONV!L:L,"AMITAV TARAFDER",CONV!R:R,"ELECT"))</f>
        <v>6</v>
      </c>
      <c r="S132" s="83">
        <f>SUM(COUNTIF(KOAA!L:L,"AMITAV TARAFDER"),COUNTIFS(CONV!K:K,"CC(R) KOAA",CONV!L:L,"AMITAV TARAFDER",CONV!R:R,"ELECT"))</f>
        <v>5</v>
      </c>
      <c r="T132" s="83">
        <f>SUM(COUNTIF(DDJ!L:L,"AMITAV TARAFDER"),COUNTIFS(CONV!K:K,"CC(R) DDJ",CONV!L:L,"AMITAV TARAFDER",CONV!R:R,"ELECT"))</f>
        <v>13</v>
      </c>
      <c r="U132" s="83">
        <f>SUM(COUNTIF(NH!L:L,"AMITAV TARAFDER"),COUNTIFS(CONV!K:K,"CC(R) NH",CONV!L:L,"AMITAV TARAFDER",CONV!R:R,"ELECT"))</f>
        <v>3</v>
      </c>
      <c r="V132" s="83">
        <f>SUM(COUNTIF(BT!L:L,"AMITAV TARAFDER"),COUNTIFS(CONV!K:K,"CC(R) BT",CONV!L:L,"AMITAV TARAFDER",CONV!R:R,"ELECT"))</f>
        <v>24</v>
      </c>
      <c r="W132" s="83">
        <f>SUM(COUNTIF(RHA!L:L,"AMITAV TARAFDER"),COUNTIFS(CONV!K:K,"CC(R) RHA",CONV!L:L,"AMITAV TARAFDER",CONV!R:R,"ELECT"))</f>
        <v>0</v>
      </c>
      <c r="X132" s="90">
        <f t="shared" si="53"/>
        <v>70</v>
      </c>
      <c r="Y132" s="94"/>
    </row>
    <row r="133" spans="6:25" ht="15.75" customHeight="1">
      <c r="F133" s="90"/>
      <c r="P133" s="214" t="s">
        <v>104</v>
      </c>
      <c r="Q133" s="3">
        <f>SUM(COUNTIF(North!L:L,"A K BALA"),COUNTIFS(CONV!K:K,"CC(R) NORTH",CONV!L:L,"A K BALA",CONV!R:R,"ELECT"))</f>
        <v>0</v>
      </c>
      <c r="R133" s="83">
        <f>SUM(COUNTIF(South!L:L,"AMITAV TARAFDER"),COUNTIFS(CONV!K:K,"CC(R) SOUTH",CONV!L:L,"AMITAV TARAFDER",CONV!R:R,"ELECT"))</f>
        <v>6</v>
      </c>
      <c r="S133" s="83">
        <f>SUM(COUNTIF(KOAA!L:L,"AMITAV TARAFDER"),COUNTIFS(CONV!K:K,"CC(R) KOAA",CONV!L:L,"AMITAV TARAFDER",CONV!R:R,"ELECT"))</f>
        <v>5</v>
      </c>
      <c r="T133" s="83">
        <f>SUM(COUNTIF(DDJ!L:L,"AMITAV TARAFDER"),COUNTIFS(CONV!K:K,"CC(R) DDJ",CONV!L:L,"AMITAV TARAFDER",CONV!R:R,"ELECT"))</f>
        <v>13</v>
      </c>
      <c r="U133" s="83">
        <f>SUM(COUNTIF(NH!L:L,"AMITAV TARAFDER"),COUNTIFS(CONV!K:K,"CC(R) NH",CONV!L:L,"AMITAV TARAFDER",CONV!R:R,"ELECT"))</f>
        <v>3</v>
      </c>
      <c r="V133" s="83">
        <f>SUM(COUNTIF(BT!L:L,"AMITAV TARAFDER"),COUNTIFS(CONV!K:K,"CC(R) BT",CONV!L:L,"AMITAV TARAFDER",CONV!R:R,"ELECT"))</f>
        <v>24</v>
      </c>
      <c r="W133" s="83">
        <f>SUM(COUNTIF(RHA!L:L,"AMITAV TARAFDER"),COUNTIFS(CONV!K:K,"CC(R) RHA",CONV!L:L,"AMITAV TARAFDER",CONV!R:R,"ELECT"))</f>
        <v>0</v>
      </c>
      <c r="X133" s="90">
        <f t="shared" si="53"/>
        <v>51</v>
      </c>
      <c r="Y133" s="94"/>
    </row>
    <row r="134" spans="6:25" ht="15.75" customHeight="1">
      <c r="F134" s="90"/>
      <c r="P134" s="211" t="s">
        <v>105</v>
      </c>
      <c r="Q134" s="3">
        <f>SUM(COUNTIF(North!L:L,"MADAN KUMAR SAHA"),COUNTIFS(CONV!K:K,"CC(R) NORTH",CONV!L:L,"MADAN KUMAR SAHA",CONV!R:R,"ELECT"))</f>
        <v>0</v>
      </c>
      <c r="R134" s="83">
        <f>SUM(COUNTIF(South!L:L,"AMITAV TARAFDER"),COUNTIFS(CONV!K:K,"CC(R) SOUTH",CONV!L:L,"AMITAV TARAFDER",CONV!R:R,"ELECT"))</f>
        <v>6</v>
      </c>
      <c r="S134" s="83">
        <f>SUM(COUNTIF(KOAA!L:L,"AMITAV TARAFDER"),COUNTIFS(CONV!K:K,"CC(R) KOAA",CONV!L:L,"AMITAV TARAFDER",CONV!R:R,"ELECT"))</f>
        <v>5</v>
      </c>
      <c r="T134" s="83">
        <f>SUM(COUNTIF(DDJ!L:L,"AMITAV TARAFDER"),COUNTIFS(CONV!K:K,"CC(R) DDJ",CONV!L:L,"AMITAV TARAFDER",CONV!R:R,"ELECT"))</f>
        <v>13</v>
      </c>
      <c r="U134" s="83">
        <f>SUM(COUNTIF(NH!L:L,"AMITAV TARAFDER"),COUNTIFS(CONV!K:K,"CC(R) NH",CONV!L:L,"AMITAV TARAFDER",CONV!R:R,"ELECT"))</f>
        <v>3</v>
      </c>
      <c r="V134" s="83">
        <f>SUM(COUNTIF(BT!L:L,"AMITAV TARAFDER"),COUNTIFS(CONV!K:K,"CC(R) BT",CONV!L:L,"AMITAV TARAFDER",CONV!R:R,"ELECT"))</f>
        <v>24</v>
      </c>
      <c r="W134" s="83">
        <f>SUM(COUNTIF(RHA!L:L,"AMITAV TARAFDER"),COUNTIFS(CONV!K:K,"CC(R) RHA",CONV!L:L,"AMITAV TARAFDER",CONV!R:R,"ELECT"))</f>
        <v>0</v>
      </c>
      <c r="X134" s="90">
        <f t="shared" si="53"/>
        <v>51</v>
      </c>
      <c r="Y134" s="94"/>
    </row>
    <row r="135" spans="6:25" ht="15.75" customHeight="1">
      <c r="F135" s="90"/>
      <c r="P135" s="215" t="s">
        <v>106</v>
      </c>
      <c r="Q135" s="3">
        <f>SUM(COUNTIF(North!L:L,"SIBASIS ROY"),COUNTIFS(CONV!K:K,"CC(R) NORTH",CONV!L:L,"SIBASIS ROY",CONV!R:R,"ELECT"))</f>
        <v>0</v>
      </c>
      <c r="R135" s="83">
        <f>SUM(COUNTIF(South!L:L,"AMITAV TARAFDER"),COUNTIFS(CONV!K:K,"CC(R) SOUTH",CONV!L:L,"AMITAV TARAFDER",CONV!R:R,"ELECT"))</f>
        <v>6</v>
      </c>
      <c r="S135" s="83">
        <f>SUM(COUNTIF(KOAA!L:L,"AMITAV TARAFDER"),COUNTIFS(CONV!K:K,"CC(R) KOAA",CONV!L:L,"AMITAV TARAFDER",CONV!R:R,"ELECT"))</f>
        <v>5</v>
      </c>
      <c r="T135" s="83">
        <f>SUM(COUNTIF(DDJ!L:L,"AMITAV TARAFDER"),COUNTIFS(CONV!K:K,"CC(R) DDJ",CONV!L:L,"AMITAV TARAFDER",CONV!R:R,"ELECT"))</f>
        <v>13</v>
      </c>
      <c r="U135" s="83">
        <f>SUM(COUNTIF(NH!L:L,"AMITAV TARAFDER"),COUNTIFS(CONV!K:K,"CC(R) NH",CONV!L:L,"AMITAV TARAFDER",CONV!R:R,"ELECT"))</f>
        <v>3</v>
      </c>
      <c r="V135" s="83">
        <f>SUM(COUNTIF(BT!L:L,"AMITAV TARAFDER"),COUNTIFS(CONV!K:K,"CC(R) BT",CONV!L:L,"AMITAV TARAFDER",CONV!R:R,"ELECT"))</f>
        <v>24</v>
      </c>
      <c r="W135" s="83">
        <f>SUM(COUNTIF(RHA!L:L,"AMITAV TARAFDER"),COUNTIFS(CONV!K:K,"CC(R) RHA",CONV!L:L,"AMITAV TARAFDER",CONV!R:R,"ELECT"))</f>
        <v>0</v>
      </c>
      <c r="X135" s="90">
        <f t="shared" si="53"/>
        <v>51</v>
      </c>
      <c r="Y135" s="94"/>
    </row>
    <row r="136" spans="6:25" ht="15.75" customHeight="1">
      <c r="F136" s="90"/>
      <c r="P136" s="216" t="s">
        <v>49</v>
      </c>
      <c r="Q136" s="3">
        <f>SUM(COUNTIF(North!L:L,"S S MUNDA"),COUNTIFS(CONV!K:K,"CC(R) NORTH",CONV!L:L,"S S MUNDA",CONV!R:R,"ELECT"))</f>
        <v>6</v>
      </c>
      <c r="R136" s="83">
        <f>SUM(COUNTIF(South!L:L,"AMITAV TARAFDER"),COUNTIFS(CONV!K:K,"CC(R) SOUTH",CONV!L:L,"AMITAV TARAFDER",CONV!R:R,"ELECT"))</f>
        <v>6</v>
      </c>
      <c r="S136" s="83">
        <f>SUM(COUNTIF(KOAA!L:L,"AMITAV TARAFDER"),COUNTIFS(CONV!K:K,"CC(R) KOAA",CONV!L:L,"AMITAV TARAFDER",CONV!R:R,"ELECT"))</f>
        <v>5</v>
      </c>
      <c r="T136" s="83">
        <f>SUM(COUNTIF(DDJ!L:L,"AMITAV TARAFDER"),COUNTIFS(CONV!K:K,"CC(R) DDJ",CONV!L:L,"AMITAV TARAFDER",CONV!R:R,"ELECT"))</f>
        <v>13</v>
      </c>
      <c r="U136" s="83">
        <f>SUM(COUNTIF(NH!L:L,"AMITAV TARAFDER"),COUNTIFS(CONV!K:K,"CC(R) NH",CONV!L:L,"AMITAV TARAFDER",CONV!R:R,"ELECT"))</f>
        <v>3</v>
      </c>
      <c r="V136" s="83">
        <f>SUM(COUNTIF(BT!L:L,"AMITAV TARAFDER"),COUNTIFS(CONV!K:K,"CC(R) BT",CONV!L:L,"AMITAV TARAFDER",CONV!R:R,"ELECT"))</f>
        <v>24</v>
      </c>
      <c r="W136" s="83">
        <f>SUM(COUNTIF(RHA!L:L,"AMITAV TARAFDER"),COUNTIFS(CONV!K:K,"CC(R) RHA",CONV!L:L,"AMITAV TARAFDER",CONV!R:R,"ELECT"))</f>
        <v>0</v>
      </c>
      <c r="X136" s="90">
        <f t="shared" si="53"/>
        <v>57</v>
      </c>
      <c r="Y136" s="94"/>
    </row>
    <row r="137" spans="6:25" ht="15.75" customHeight="1">
      <c r="F137" s="90"/>
      <c r="P137" s="211" t="s">
        <v>107</v>
      </c>
      <c r="Q137" s="3">
        <f>SUM(COUNTIF(North!L:L,"M A RAHAMAN"),COUNTIFS(CONV!K:K,"CC(R) NORTH",CONV!L:L,"M A RAHAMAN",CONV!R:R,"ELECT"))</f>
        <v>0</v>
      </c>
      <c r="R137" s="83">
        <f>SUM(COUNTIF(South!L:L,"AMITAV TARAFDER"),COUNTIFS(CONV!K:K,"CC(R) SOUTH",CONV!L:L,"AMITAV TARAFDER",CONV!R:R,"ELECT"))</f>
        <v>6</v>
      </c>
      <c r="S137" s="83">
        <f>SUM(COUNTIF(KOAA!L:L,"AMITAV TARAFDER"),COUNTIFS(CONV!K:K,"CC(R) KOAA",CONV!L:L,"AMITAV TARAFDER",CONV!R:R,"ELECT"))</f>
        <v>5</v>
      </c>
      <c r="T137" s="83">
        <f>SUM(COUNTIF(DDJ!L:L,"AMITAV TARAFDER"),COUNTIFS(CONV!K:K,"CC(R) DDJ",CONV!L:L,"AMITAV TARAFDER",CONV!R:R,"ELECT"))</f>
        <v>13</v>
      </c>
      <c r="U137" s="83">
        <f>SUM(COUNTIF(NH!L:L,"AMITAV TARAFDER"),COUNTIFS(CONV!K:K,"CC(R) NH",CONV!L:L,"AMITAV TARAFDER",CONV!R:R,"ELECT"))</f>
        <v>3</v>
      </c>
      <c r="V137" s="83">
        <f>SUM(COUNTIF(BT!L:L,"AMITAV TARAFDER"),COUNTIFS(CONV!K:K,"CC(R) BT",CONV!L:L,"AMITAV TARAFDER",CONV!R:R,"ELECT"))</f>
        <v>24</v>
      </c>
      <c r="W137" s="83">
        <f>SUM(COUNTIF(RHA!L:L,"AMITAV TARAFDER"),COUNTIFS(CONV!K:K,"CC(R) RHA",CONV!L:L,"AMITAV TARAFDER",CONV!R:R,"ELECT"))</f>
        <v>0</v>
      </c>
      <c r="X137" s="90">
        <f t="shared" si="53"/>
        <v>51</v>
      </c>
      <c r="Y137" s="94"/>
    </row>
    <row r="138" spans="6:25" ht="15.75" customHeight="1">
      <c r="F138" s="90"/>
      <c r="P138" s="217" t="s">
        <v>108</v>
      </c>
      <c r="Q138" s="3">
        <f>SUM(COUNTIF(North!L:L,"SWADESH MUKHOPADHYAY"),COUNTIFS(CONV!K:K,"CC(R) NORTH",CONV!L:L,"SWADESH MUKHOPADHYAY",CONV!R:R,"ELECT"))</f>
        <v>0</v>
      </c>
      <c r="R138" s="83">
        <f>SUM(COUNTIF(South!L:L,"AMITAV TARAFDER"),COUNTIFS(CONV!K:K,"CC(R) SOUTH",CONV!L:L,"AMITAV TARAFDER",CONV!R:R,"ELECT"))</f>
        <v>6</v>
      </c>
      <c r="S138" s="83">
        <f>SUM(COUNTIF(KOAA!L:L,"AMITAV TARAFDER"),COUNTIFS(CONV!K:K,"CC(R) KOAA",CONV!L:L,"AMITAV TARAFDER",CONV!R:R,"ELECT"))</f>
        <v>5</v>
      </c>
      <c r="T138" s="83">
        <f>SUM(COUNTIF(DDJ!L:L,"AMITAV TARAFDER"),COUNTIFS(CONV!K:K,"CC(R) DDJ",CONV!L:L,"AMITAV TARAFDER",CONV!R:R,"ELECT"))</f>
        <v>13</v>
      </c>
      <c r="U138" s="83">
        <f>SUM(COUNTIF(NH!L:L,"AMITAV TARAFDER"),COUNTIFS(CONV!K:K,"CC(R) NH",CONV!L:L,"AMITAV TARAFDER",CONV!R:R,"ELECT"))</f>
        <v>3</v>
      </c>
      <c r="V138" s="83">
        <f>SUM(COUNTIF(BT!L:L,"AMITAV TARAFDER"),COUNTIFS(CONV!K:K,"CC(R) BT",CONV!L:L,"AMITAV TARAFDER",CONV!R:R,"ELECT"))</f>
        <v>24</v>
      </c>
      <c r="W138" s="83">
        <f>SUM(COUNTIF(RHA!L:L,"AMITAV TARAFDER"),COUNTIFS(CONV!K:K,"CC(R) RHA",CONV!L:L,"AMITAV TARAFDER",CONV!R:R,"ELECT"))</f>
        <v>0</v>
      </c>
      <c r="X138" s="90">
        <f t="shared" si="53"/>
        <v>51</v>
      </c>
      <c r="Y138" s="131"/>
    </row>
    <row r="139" spans="6:25" ht="15.75" customHeight="1">
      <c r="F139" s="90"/>
      <c r="P139" s="43" t="s">
        <v>109</v>
      </c>
      <c r="Q139" s="3">
        <f>SUM(COUNTIF(North!L:L,"SAMARESH MANDAL"),COUNTIFS(CONV!K:K,"CC(R) NORTH",CONV!L:L,"SAMARESH MANDAL",CONV!R:R,"ELECT"))</f>
        <v>0</v>
      </c>
      <c r="R139" s="83">
        <f>SUM(COUNTIF(South!L:L,"AMITAV TARAFDER"),COUNTIFS(CONV!K:K,"CC(R) SOUTH",CONV!L:L,"AMITAV TARAFDER",CONV!R:R,"ELECT"))</f>
        <v>6</v>
      </c>
      <c r="S139" s="83">
        <f>SUM(COUNTIF(KOAA!L:L,"AMITAV TARAFDER"),COUNTIFS(CONV!K:K,"CC(R) KOAA",CONV!L:L,"AMITAV TARAFDER",CONV!R:R,"ELECT"))</f>
        <v>5</v>
      </c>
      <c r="T139" s="83">
        <f>SUM(COUNTIF(DDJ!L:L,"AMITAV TARAFDER"),COUNTIFS(CONV!K:K,"CC(R) DDJ",CONV!L:L,"AMITAV TARAFDER",CONV!R:R,"ELECT"))</f>
        <v>13</v>
      </c>
      <c r="U139" s="83">
        <f>SUM(COUNTIF(NH!L:L,"AMITAV TARAFDER"),COUNTIFS(CONV!K:K,"CC(R) NH",CONV!L:L,"AMITAV TARAFDER",CONV!R:R,"ELECT"))</f>
        <v>3</v>
      </c>
      <c r="V139" s="83">
        <f>SUM(COUNTIF(BT!L:L,"AMITAV TARAFDER"),COUNTIFS(CONV!K:K,"CC(R) BT",CONV!L:L,"AMITAV TARAFDER",CONV!R:R,"ELECT"))</f>
        <v>24</v>
      </c>
      <c r="W139" s="83">
        <f>SUM(COUNTIF(RHA!L:L,"AMITAV TARAFDER"),COUNTIFS(CONV!K:K,"CC(R) RHA",CONV!L:L,"AMITAV TARAFDER",CONV!R:R,"ELECT"))</f>
        <v>0</v>
      </c>
      <c r="X139" s="90">
        <f t="shared" si="53"/>
        <v>51</v>
      </c>
      <c r="Y139" s="131"/>
    </row>
    <row r="140" spans="6:25" ht="15.75" customHeight="1">
      <c r="F140" s="90"/>
      <c r="P140" s="211" t="s">
        <v>110</v>
      </c>
      <c r="Q140" s="3">
        <f>SUM(COUNTIF(North!L:L,"P K PAL"),COUNTIFS(CONV!K:K,"CC(R) NORTH",CONV!L:L,"P K PAL",CONV!R:R,"ELECT"))</f>
        <v>0</v>
      </c>
      <c r="R140" s="83">
        <f>SUM(COUNTIF(South!L:L,"AMITAV TARAFDER"),COUNTIFS(CONV!K:K,"CC(R) SOUTH",CONV!L:L,"AMITAV TARAFDER",CONV!R:R,"ELECT"))</f>
        <v>6</v>
      </c>
      <c r="S140" s="83">
        <f>SUM(COUNTIF(KOAA!L:L,"AMITAV TARAFDER"),COUNTIFS(CONV!K:K,"CC(R) KOAA",CONV!L:L,"AMITAV TARAFDER",CONV!R:R,"ELECT"))</f>
        <v>5</v>
      </c>
      <c r="T140" s="83">
        <f>SUM(COUNTIF(DDJ!L:L,"AMITAV TARAFDER"),COUNTIFS(CONV!K:K,"CC(R) DDJ",CONV!L:L,"AMITAV TARAFDER",CONV!R:R,"ELECT"))</f>
        <v>13</v>
      </c>
      <c r="U140" s="83">
        <f>SUM(COUNTIF(NH!L:L,"AMITAV TARAFDER"),COUNTIFS(CONV!K:K,"CC(R) NH",CONV!L:L,"AMITAV TARAFDER",CONV!R:R,"ELECT"))</f>
        <v>3</v>
      </c>
      <c r="V140" s="83">
        <f>SUM(COUNTIF(BT!L:L,"AMITAV TARAFDER"),COUNTIFS(CONV!K:K,"CC(R) BT",CONV!L:L,"AMITAV TARAFDER",CONV!R:R,"ELECT"))</f>
        <v>24</v>
      </c>
      <c r="W140" s="83">
        <f>SUM(COUNTIF(RHA!L:L,"AMITAV TARAFDER"),COUNTIFS(CONV!K:K,"CC(R) RHA",CONV!L:L,"AMITAV TARAFDER",CONV!R:R,"ELECT"))</f>
        <v>0</v>
      </c>
      <c r="X140" s="90">
        <f t="shared" si="53"/>
        <v>51</v>
      </c>
      <c r="Y140" s="131"/>
    </row>
    <row r="141" spans="6:25" ht="15.75" customHeight="1">
      <c r="G141" s="90"/>
      <c r="H141" s="90"/>
      <c r="P141" s="43" t="s">
        <v>50</v>
      </c>
      <c r="Q141" s="3">
        <f>SUM(COUNTIF(North!L:L,"SANJAY KR GUPTA"),COUNTIFS(CONV!K:K,"CC(R) NORTH",CONV!L:L,"SANJAY KR GUPTA",CONV!R:R,"ELECT"))</f>
        <v>26</v>
      </c>
      <c r="R141" s="83">
        <f>SUM(COUNTIF(South!L:L,"AMITAV TARAFDER"),COUNTIFS(CONV!K:K,"CC(R) SOUTH",CONV!L:L,"AMITAV TARAFDER",CONV!R:R,"ELECT"))</f>
        <v>6</v>
      </c>
      <c r="S141" s="83">
        <f>SUM(COUNTIF(KOAA!L:L,"AMITAV TARAFDER"),COUNTIFS(CONV!K:K,"CC(R) KOAA",CONV!L:L,"AMITAV TARAFDER",CONV!R:R,"ELECT"))</f>
        <v>5</v>
      </c>
      <c r="T141" s="83">
        <f>SUM(COUNTIF(DDJ!L:L,"AMITAV TARAFDER"),COUNTIFS(CONV!K:K,"CC(R) DDJ",CONV!L:L,"AMITAV TARAFDER",CONV!R:R,"ELECT"))</f>
        <v>13</v>
      </c>
      <c r="U141" s="83">
        <f>SUM(COUNTIF(NH!L:L,"AMITAV TARAFDER"),COUNTIFS(CONV!K:K,"CC(R) NH",CONV!L:L,"AMITAV TARAFDER",CONV!R:R,"ELECT"))</f>
        <v>3</v>
      </c>
      <c r="V141" s="83">
        <f>SUM(COUNTIF(BT!L:L,"AMITAV TARAFDER"),COUNTIFS(CONV!K:K,"CC(R) BT",CONV!L:L,"AMITAV TARAFDER",CONV!R:R,"ELECT"))</f>
        <v>24</v>
      </c>
      <c r="W141" s="83">
        <f>SUM(COUNTIF(RHA!L:L,"AMITAV TARAFDER"),COUNTIFS(CONV!K:K,"CC(R) RHA",CONV!L:L,"AMITAV TARAFDER",CONV!R:R,"ELECT"))</f>
        <v>0</v>
      </c>
      <c r="X141" s="90">
        <f t="shared" si="53"/>
        <v>77</v>
      </c>
      <c r="Y141" s="131"/>
    </row>
    <row r="142" spans="6:25" ht="15.75" customHeight="1">
      <c r="G142" s="90"/>
      <c r="H142" s="90"/>
      <c r="P142" s="211" t="s">
        <v>111</v>
      </c>
      <c r="Q142" s="3">
        <f>SUM(COUNTIF(North!L:L,"DIPANKAR ROY"),COUNTIFS(CONV!K:K,"CC(R) NORTH",CONV!L:L,"DIPANKAR ROY",CONV!R:R,"ELECT"))</f>
        <v>0</v>
      </c>
      <c r="R142" s="83">
        <f>SUM(COUNTIF(South!L:L,"AMITAV TARAFDER"),COUNTIFS(CONV!K:K,"CC(R) SOUTH",CONV!L:L,"AMITAV TARAFDER",CONV!R:R,"ELECT"))</f>
        <v>6</v>
      </c>
      <c r="S142" s="83">
        <f>SUM(COUNTIF(KOAA!L:L,"AMITAV TARAFDER"),COUNTIFS(CONV!K:K,"CC(R) KOAA",CONV!L:L,"AMITAV TARAFDER",CONV!R:R,"ELECT"))</f>
        <v>5</v>
      </c>
      <c r="T142" s="83">
        <f>SUM(COUNTIF(DDJ!L:L,"AMITAV TARAFDER"),COUNTIFS(CONV!K:K,"CC(R) DDJ",CONV!L:L,"AMITAV TARAFDER",CONV!R:R,"ELECT"))</f>
        <v>13</v>
      </c>
      <c r="U142" s="83">
        <f>SUM(COUNTIF(NH!L:L,"AMITAV TARAFDER"),COUNTIFS(CONV!K:K,"CC(R) NH",CONV!L:L,"AMITAV TARAFDER",CONV!R:R,"ELECT"))</f>
        <v>3</v>
      </c>
      <c r="V142" s="83">
        <f>SUM(COUNTIF(BT!L:L,"AMITAV TARAFDER"),COUNTIFS(CONV!K:K,"CC(R) BT",CONV!L:L,"AMITAV TARAFDER",CONV!R:R,"ELECT"))</f>
        <v>24</v>
      </c>
      <c r="W142" s="83">
        <f>SUM(COUNTIF(RHA!L:L,"AMITAV TARAFDER"),COUNTIFS(CONV!K:K,"CC(R) RHA",CONV!L:L,"AMITAV TARAFDER",CONV!R:R,"ELECT"))</f>
        <v>0</v>
      </c>
      <c r="X142" s="90">
        <f t="shared" si="53"/>
        <v>51</v>
      </c>
      <c r="Y142" s="131"/>
    </row>
    <row r="143" spans="6:25" ht="15.75" customHeight="1">
      <c r="G143" s="90"/>
      <c r="H143" s="90"/>
      <c r="P143" s="218" t="s">
        <v>52</v>
      </c>
      <c r="Q143" s="3">
        <f>SUM(COUNTIF(North!L:L,"SIDDHARTHA BISWAS"),COUNTIFS(CONV!K:K,"CC(R) NORTH",CONV!L:L,"SIDDHARTHA BISWAS",CONV!R:R,"ELECT"))</f>
        <v>11</v>
      </c>
      <c r="R143" s="83">
        <f>SUM(COUNTIF(South!L:L,"AMITAV TARAFDER"),COUNTIFS(CONV!K:K,"CC(R) SOUTH",CONV!L:L,"AMITAV TARAFDER",CONV!R:R,"ELECT"))</f>
        <v>6</v>
      </c>
      <c r="S143" s="83">
        <f>SUM(COUNTIF(KOAA!L:L,"AMITAV TARAFDER"),COUNTIFS(CONV!K:K,"CC(R) KOAA",CONV!L:L,"AMITAV TARAFDER",CONV!R:R,"ELECT"))</f>
        <v>5</v>
      </c>
      <c r="T143" s="83">
        <f>SUM(COUNTIF(DDJ!L:L,"AMITAV TARAFDER"),COUNTIFS(CONV!K:K,"CC(R) DDJ",CONV!L:L,"AMITAV TARAFDER",CONV!R:R,"ELECT"))</f>
        <v>13</v>
      </c>
      <c r="U143" s="83">
        <f>SUM(COUNTIF(NH!L:L,"AMITAV TARAFDER"),COUNTIFS(CONV!K:K,"CC(R) NH",CONV!L:L,"AMITAV TARAFDER",CONV!R:R,"ELECT"))</f>
        <v>3</v>
      </c>
      <c r="V143" s="83">
        <f>SUM(COUNTIF(BT!L:L,"AMITAV TARAFDER"),COUNTIFS(CONV!K:K,"CC(R) BT",CONV!L:L,"AMITAV TARAFDER",CONV!R:R,"ELECT"))</f>
        <v>24</v>
      </c>
      <c r="W143" s="83">
        <f>SUM(COUNTIF(RHA!L:L,"AMITAV TARAFDER"),COUNTIFS(CONV!K:K,"CC(R) RHA",CONV!L:L,"AMITAV TARAFDER",CONV!R:R,"ELECT"))</f>
        <v>0</v>
      </c>
      <c r="X143" s="90">
        <f t="shared" si="53"/>
        <v>62</v>
      </c>
      <c r="Y143" s="131"/>
    </row>
    <row r="144" spans="6:25" ht="15.75" customHeight="1">
      <c r="G144" s="90"/>
      <c r="H144" s="90"/>
      <c r="P144" s="211" t="s">
        <v>53</v>
      </c>
      <c r="Q144" s="3">
        <f>SUM(COUNTIF(North!L:L,"BIBHAS SARKAR"),COUNTIFS(CONV!K:K,"CC(R) NORTH",CONV!L:L,"BIBHAS SARKAR",CONV!R:R,"ELECT"))</f>
        <v>21</v>
      </c>
      <c r="R144" s="83">
        <f>SUM(COUNTIF(South!L:L,"AMITAV TARAFDER"),COUNTIFS(CONV!K:K,"CC(R) SOUTH",CONV!L:L,"AMITAV TARAFDER",CONV!R:R,"ELECT"))</f>
        <v>6</v>
      </c>
      <c r="S144" s="83">
        <f>SUM(COUNTIF(KOAA!L:L,"AMITAV TARAFDER"),COUNTIFS(CONV!K:K,"CC(R) KOAA",CONV!L:L,"AMITAV TARAFDER",CONV!R:R,"ELECT"))</f>
        <v>5</v>
      </c>
      <c r="T144" s="83">
        <f>SUM(COUNTIF(DDJ!L:L,"AMITAV TARAFDER"),COUNTIFS(CONV!K:K,"CC(R) DDJ",CONV!L:L,"AMITAV TARAFDER",CONV!R:R,"ELECT"))</f>
        <v>13</v>
      </c>
      <c r="U144" s="83">
        <f>SUM(COUNTIF(NH!L:L,"AMITAV TARAFDER"),COUNTIFS(CONV!K:K,"CC(R) NH",CONV!L:L,"AMITAV TARAFDER",CONV!R:R,"ELECT"))</f>
        <v>3</v>
      </c>
      <c r="V144" s="83">
        <f>SUM(COUNTIF(BT!L:L,"AMITAV TARAFDER"),COUNTIFS(CONV!K:K,"CC(R) BT",CONV!L:L,"AMITAV TARAFDER",CONV!R:R,"ELECT"))</f>
        <v>24</v>
      </c>
      <c r="W144" s="83">
        <f>SUM(COUNTIF(RHA!L:L,"AMITAV TARAFDER"),COUNTIFS(CONV!K:K,"CC(R) RHA",CONV!L:L,"AMITAV TARAFDER",CONV!R:R,"ELECT"))</f>
        <v>0</v>
      </c>
      <c r="X144" s="90">
        <f t="shared" si="53"/>
        <v>72</v>
      </c>
      <c r="Y144" s="131"/>
    </row>
    <row r="145" spans="7:25" ht="15.75" customHeight="1">
      <c r="G145" s="90"/>
      <c r="H145" s="90"/>
      <c r="P145" s="218" t="s">
        <v>112</v>
      </c>
      <c r="Q145" s="3">
        <f>SUM(COUNTIF(North!L:L,"S C SARKAR"),COUNTIFS(CONV!K:K,"CC(R) NORTH",CONV!L:L,"S C SARKAR",CONV!R:R,"ELECT"))</f>
        <v>0</v>
      </c>
      <c r="R145" s="83">
        <f>SUM(COUNTIF(South!L:L,"AMITAV TARAFDER"),COUNTIFS(CONV!K:K,"CC(R) SOUTH",CONV!L:L,"AMITAV TARAFDER",CONV!R:R,"ELECT"))</f>
        <v>6</v>
      </c>
      <c r="S145" s="83">
        <f>SUM(COUNTIF(KOAA!L:L,"AMITAV TARAFDER"),COUNTIFS(CONV!K:K,"CC(R) KOAA",CONV!L:L,"AMITAV TARAFDER",CONV!R:R,"ELECT"))</f>
        <v>5</v>
      </c>
      <c r="T145" s="83">
        <f>SUM(COUNTIF(DDJ!L:L,"AMITAV TARAFDER"),COUNTIFS(CONV!K:K,"CC(R) DDJ",CONV!L:L,"AMITAV TARAFDER",CONV!R:R,"ELECT"))</f>
        <v>13</v>
      </c>
      <c r="U145" s="83">
        <f>SUM(COUNTIF(NH!L:L,"AMITAV TARAFDER"),COUNTIFS(CONV!K:K,"CC(R) NH",CONV!L:L,"AMITAV TARAFDER",CONV!R:R,"ELECT"))</f>
        <v>3</v>
      </c>
      <c r="V145" s="83">
        <f>SUM(COUNTIF(BT!L:L,"AMITAV TARAFDER"),COUNTIFS(CONV!K:K,"CC(R) BT",CONV!L:L,"AMITAV TARAFDER",CONV!R:R,"ELECT"))</f>
        <v>24</v>
      </c>
      <c r="W145" s="83">
        <f>SUM(COUNTIF(RHA!L:L,"AMITAV TARAFDER"),COUNTIFS(CONV!K:K,"CC(R) RHA",CONV!L:L,"AMITAV TARAFDER",CONV!R:R,"ELECT"))</f>
        <v>0</v>
      </c>
      <c r="X145" s="90">
        <f t="shared" si="53"/>
        <v>51</v>
      </c>
      <c r="Y145" s="131"/>
    </row>
    <row r="146" spans="7:25" ht="15.75" customHeight="1">
      <c r="G146" s="90"/>
      <c r="H146" s="90"/>
      <c r="M146" s="90"/>
      <c r="P146" s="218" t="s">
        <v>54</v>
      </c>
      <c r="Q146" s="3">
        <f>SUM(COUNTIF(North!L:L,"TAPAS KR DE"),COUNTIFS(CONV!K:K,"CC(R) NORTH",CONV!L:L,"TAPAS KR DE",CONV!R:R,"ELECT"))</f>
        <v>24</v>
      </c>
      <c r="R146" s="83">
        <f>SUM(COUNTIF(South!L:L,"AMITAV TARAFDER"),COUNTIFS(CONV!K:K,"CC(R) SOUTH",CONV!L:L,"AMITAV TARAFDER",CONV!R:R,"ELECT"))</f>
        <v>6</v>
      </c>
      <c r="S146" s="83">
        <f>SUM(COUNTIF(KOAA!L:L,"AMITAV TARAFDER"),COUNTIFS(CONV!K:K,"CC(R) KOAA",CONV!L:L,"AMITAV TARAFDER",CONV!R:R,"ELECT"))</f>
        <v>5</v>
      </c>
      <c r="T146" s="83">
        <f>SUM(COUNTIF(DDJ!L:L,"AMITAV TARAFDER"),COUNTIFS(CONV!K:K,"CC(R) DDJ",CONV!L:L,"AMITAV TARAFDER",CONV!R:R,"ELECT"))</f>
        <v>13</v>
      </c>
      <c r="U146" s="83">
        <f>SUM(COUNTIF(NH!L:L,"AMITAV TARAFDER"),COUNTIFS(CONV!K:K,"CC(R) NH",CONV!L:L,"AMITAV TARAFDER",CONV!R:R,"ELECT"))</f>
        <v>3</v>
      </c>
      <c r="V146" s="83">
        <f>SUM(COUNTIF(BT!L:L,"AMITAV TARAFDER"),COUNTIFS(CONV!K:K,"CC(R) BT",CONV!L:L,"AMITAV TARAFDER",CONV!R:R,"ELECT"))</f>
        <v>24</v>
      </c>
      <c r="W146" s="83">
        <f>SUM(COUNTIF(RHA!L:L,"AMITAV TARAFDER"),COUNTIFS(CONV!K:K,"CC(R) RHA",CONV!L:L,"AMITAV TARAFDER",CONV!R:R,"ELECT"))</f>
        <v>0</v>
      </c>
      <c r="X146" s="90">
        <f t="shared" si="53"/>
        <v>75</v>
      </c>
      <c r="Y146" s="219"/>
    </row>
    <row r="147" spans="7:25" ht="15.75" customHeight="1">
      <c r="G147" s="90"/>
      <c r="H147" s="90"/>
      <c r="M147" s="90"/>
      <c r="P147" s="218" t="s">
        <v>113</v>
      </c>
      <c r="Q147" s="3">
        <f>SUM(COUNTIF(North!L:L,"S S DEY"),COUNTIFS(CONV!K:K,"CC(R) NORTH",CONV!L:L,"S S DEY",CONV!R:R,"ELECT"))</f>
        <v>0</v>
      </c>
      <c r="R147" s="83">
        <f>SUM(COUNTIF(South!L:L,"AMITAV TARAFDER"),COUNTIFS(CONV!K:K,"CC(R) SOUTH",CONV!L:L,"AMITAV TARAFDER",CONV!R:R,"ELECT"))</f>
        <v>6</v>
      </c>
      <c r="S147" s="83">
        <f>SUM(COUNTIF(KOAA!L:L,"AMITAV TARAFDER"),COUNTIFS(CONV!K:K,"CC(R) KOAA",CONV!L:L,"AMITAV TARAFDER",CONV!R:R,"ELECT"))</f>
        <v>5</v>
      </c>
      <c r="T147" s="83">
        <f>SUM(COUNTIF(DDJ!L:L,"AMITAV TARAFDER"),COUNTIFS(CONV!K:K,"CC(R) DDJ",CONV!L:L,"AMITAV TARAFDER",CONV!R:R,"ELECT"))</f>
        <v>13</v>
      </c>
      <c r="U147" s="83">
        <f>SUM(COUNTIF(NH!L:L,"AMITAV TARAFDER"),COUNTIFS(CONV!K:K,"CC(R) NH",CONV!L:L,"AMITAV TARAFDER",CONV!R:R,"ELECT"))</f>
        <v>3</v>
      </c>
      <c r="V147" s="83">
        <f>SUM(COUNTIF(BT!L:L,"AMITAV TARAFDER"),COUNTIFS(CONV!K:K,"CC(R) BT",CONV!L:L,"AMITAV TARAFDER",CONV!R:R,"ELECT"))</f>
        <v>24</v>
      </c>
      <c r="W147" s="83">
        <f>SUM(COUNTIF(RHA!L:L,"AMITAV TARAFDER"),COUNTIFS(CONV!K:K,"CC(R) RHA",CONV!L:L,"AMITAV TARAFDER",CONV!R:R,"ELECT"))</f>
        <v>0</v>
      </c>
      <c r="X147" s="90">
        <f t="shared" si="53"/>
        <v>51</v>
      </c>
      <c r="Y147" s="131"/>
    </row>
    <row r="148" spans="7:25" ht="15.75" customHeight="1">
      <c r="G148" s="90"/>
      <c r="H148" s="90"/>
      <c r="J148" s="90"/>
      <c r="K148" s="90"/>
      <c r="L148" s="90"/>
      <c r="M148" s="90"/>
      <c r="P148" s="211" t="s">
        <v>114</v>
      </c>
      <c r="Q148" s="3">
        <f>SUM(COUNTIF(North!L:L,"D NANDI"),COUNTIFS(CONV!K:K,"CC(R) NORTH",CONV!L:L,"D NANDI",CONV!R:R,"ELECT"))</f>
        <v>0</v>
      </c>
      <c r="R148" s="83">
        <f>SUM(COUNTIF(South!L:L,"AMITAV TARAFDER"),COUNTIFS(CONV!K:K,"CC(R) SOUTH",CONV!L:L,"AMITAV TARAFDER",CONV!R:R,"ELECT"))</f>
        <v>6</v>
      </c>
      <c r="S148" s="83">
        <f>SUM(COUNTIF(KOAA!L:L,"AMITAV TARAFDER"),COUNTIFS(CONV!K:K,"CC(R) KOAA",CONV!L:L,"AMITAV TARAFDER",CONV!R:R,"ELECT"))</f>
        <v>5</v>
      </c>
      <c r="T148" s="83">
        <f>SUM(COUNTIF(DDJ!L:L,"AMITAV TARAFDER"),COUNTIFS(CONV!K:K,"CC(R) DDJ",CONV!L:L,"AMITAV TARAFDER",CONV!R:R,"ELECT"))</f>
        <v>13</v>
      </c>
      <c r="U148" s="83">
        <f>SUM(COUNTIF(NH!L:L,"AMITAV TARAFDER"),COUNTIFS(CONV!K:K,"CC(R) NH",CONV!L:L,"AMITAV TARAFDER",CONV!R:R,"ELECT"))</f>
        <v>3</v>
      </c>
      <c r="V148" s="83">
        <f>SUM(COUNTIF(BT!L:L,"AMITAV TARAFDER"),COUNTIFS(CONV!K:K,"CC(R) BT",CONV!L:L,"AMITAV TARAFDER",CONV!R:R,"ELECT"))</f>
        <v>24</v>
      </c>
      <c r="W148" s="83">
        <f>SUM(COUNTIF(RHA!L:L,"AMITAV TARAFDER"),COUNTIFS(CONV!K:K,"CC(R) RHA",CONV!L:L,"AMITAV TARAFDER",CONV!R:R,"ELECT"))</f>
        <v>0</v>
      </c>
      <c r="X148" s="90">
        <f t="shared" si="53"/>
        <v>51</v>
      </c>
      <c r="Y148" s="131"/>
    </row>
    <row r="149" spans="7:25" ht="15.75" customHeight="1">
      <c r="G149" s="90"/>
      <c r="H149" s="90"/>
      <c r="J149" s="90"/>
      <c r="K149" s="90"/>
      <c r="L149" s="90"/>
      <c r="M149" s="90"/>
      <c r="P149" s="218" t="s">
        <v>115</v>
      </c>
      <c r="Q149" s="3">
        <f>SUM(COUNTIF(North!L:L,"SUBHASIS MAITY"),COUNTIFS(CONV!K:K,"CC(R) NORTH",CONV!L:L,"SUBHASIS MAITY",CONV!R:R,"ELECT"))</f>
        <v>0</v>
      </c>
      <c r="R149" s="83">
        <f>SUM(COUNTIF(South!L:L,"AMITAV TARAFDER"),COUNTIFS(CONV!K:K,"CC(R) SOUTH",CONV!L:L,"AMITAV TARAFDER",CONV!R:R,"ELECT"))</f>
        <v>6</v>
      </c>
      <c r="S149" s="83">
        <f>SUM(COUNTIF(KOAA!L:L,"AMITAV TARAFDER"),COUNTIFS(CONV!K:K,"CC(R) KOAA",CONV!L:L,"AMITAV TARAFDER",CONV!R:R,"ELECT"))</f>
        <v>5</v>
      </c>
      <c r="T149" s="83">
        <f>SUM(COUNTIF(DDJ!L:L,"AMITAV TARAFDER"),COUNTIFS(CONV!K:K,"CC(R) DDJ",CONV!L:L,"AMITAV TARAFDER",CONV!R:R,"ELECT"))</f>
        <v>13</v>
      </c>
      <c r="U149" s="83">
        <f>SUM(COUNTIF(NH!L:L,"AMITAV TARAFDER"),COUNTIFS(CONV!K:K,"CC(R) NH",CONV!L:L,"AMITAV TARAFDER",CONV!R:R,"ELECT"))</f>
        <v>3</v>
      </c>
      <c r="V149" s="83">
        <f>SUM(COUNTIF(BT!L:L,"AMITAV TARAFDER"),COUNTIFS(CONV!K:K,"CC(R) BT",CONV!L:L,"AMITAV TARAFDER",CONV!R:R,"ELECT"))</f>
        <v>24</v>
      </c>
      <c r="W149" s="83">
        <f>SUM(COUNTIF(RHA!L:L,"AMITAV TARAFDER"),COUNTIFS(CONV!K:K,"CC(R) RHA",CONV!L:L,"AMITAV TARAFDER",CONV!R:R,"ELECT"))</f>
        <v>0</v>
      </c>
      <c r="X149" s="90">
        <f t="shared" si="53"/>
        <v>51</v>
      </c>
      <c r="Y149" s="131"/>
    </row>
    <row r="150" spans="7:25" ht="15.75" customHeight="1">
      <c r="G150" s="90"/>
      <c r="H150" s="90"/>
      <c r="L150" s="90"/>
      <c r="M150" s="90"/>
      <c r="P150" s="220" t="s">
        <v>116</v>
      </c>
      <c r="Q150" s="3">
        <f>SUM(COUNTIF(North!L:L,"P K RAY"),COUNTIFS(CONV!K:K,"CC(R) NORTH",CONV!L:L,"P K RAY",CONV!R:R,"ELECT"))</f>
        <v>0</v>
      </c>
      <c r="R150" s="83">
        <f>SUM(COUNTIF(South!L:L,"AMITAV TARAFDER"),COUNTIFS(CONV!K:K,"CC(R) SOUTH",CONV!L:L,"AMITAV TARAFDER",CONV!R:R,"ELECT"))</f>
        <v>6</v>
      </c>
      <c r="S150" s="83">
        <f>SUM(COUNTIF(KOAA!L:L,"AMITAV TARAFDER"),COUNTIFS(CONV!K:K,"CC(R) KOAA",CONV!L:L,"AMITAV TARAFDER",CONV!R:R,"ELECT"))</f>
        <v>5</v>
      </c>
      <c r="T150" s="83">
        <f>SUM(COUNTIF(DDJ!L:L,"AMITAV TARAFDER"),COUNTIFS(CONV!K:K,"CC(R) DDJ",CONV!L:L,"AMITAV TARAFDER",CONV!R:R,"ELECT"))</f>
        <v>13</v>
      </c>
      <c r="U150" s="83">
        <f>SUM(COUNTIF(NH!L:L,"AMITAV TARAFDER"),COUNTIFS(CONV!K:K,"CC(R) NH",CONV!L:L,"AMITAV TARAFDER",CONV!R:R,"ELECT"))</f>
        <v>3</v>
      </c>
      <c r="V150" s="83">
        <f>SUM(COUNTIF(BT!L:L,"AMITAV TARAFDER"),COUNTIFS(CONV!K:K,"CC(R) BT",CONV!L:L,"AMITAV TARAFDER",CONV!R:R,"ELECT"))</f>
        <v>24</v>
      </c>
      <c r="W150" s="83">
        <f>SUM(COUNTIF(RHA!L:L,"AMITAV TARAFDER"),COUNTIFS(CONV!K:K,"CC(R) RHA",CONV!L:L,"AMITAV TARAFDER",CONV!R:R,"ELECT"))</f>
        <v>0</v>
      </c>
      <c r="X150" s="90">
        <f t="shared" si="53"/>
        <v>51</v>
      </c>
      <c r="Y150" s="131"/>
    </row>
    <row r="151" spans="7:25" ht="15.75" customHeight="1">
      <c r="G151" s="90"/>
      <c r="H151" s="90"/>
      <c r="M151" s="90"/>
      <c r="P151" s="43" t="s">
        <v>55</v>
      </c>
      <c r="Q151" s="3">
        <f>SUM(COUNTIF(North!L:L,"A T KHAN"),COUNTIFS(CONV!K:K,"CC(R) NORTH",CONV!L:L,"A T KHAN",CONV!R:R,"ELECT"))</f>
        <v>17</v>
      </c>
      <c r="R151" s="83">
        <f>SUM(COUNTIF(South!L:L,"AMITAV TARAFDER"),COUNTIFS(CONV!K:K,"CC(R) SOUTH",CONV!L:L,"AMITAV TARAFDER",CONV!R:R,"ELECT"))</f>
        <v>6</v>
      </c>
      <c r="S151" s="83">
        <f>SUM(COUNTIF(KOAA!L:L,"AMITAV TARAFDER"),COUNTIFS(CONV!K:K,"CC(R) KOAA",CONV!L:L,"AMITAV TARAFDER",CONV!R:R,"ELECT"))</f>
        <v>5</v>
      </c>
      <c r="T151" s="83">
        <f>SUM(COUNTIF(DDJ!L:L,"AMITAV TARAFDER"),COUNTIFS(CONV!K:K,"CC(R) DDJ",CONV!L:L,"AMITAV TARAFDER",CONV!R:R,"ELECT"))</f>
        <v>13</v>
      </c>
      <c r="U151" s="83">
        <f>SUM(COUNTIF(NH!L:L,"AMITAV TARAFDER"),COUNTIFS(CONV!K:K,"CC(R) NH",CONV!L:L,"AMITAV TARAFDER",CONV!R:R,"ELECT"))</f>
        <v>3</v>
      </c>
      <c r="V151" s="83">
        <f>SUM(COUNTIF(BT!L:L,"AMITAV TARAFDER"),COUNTIFS(CONV!K:K,"CC(R) BT",CONV!L:L,"AMITAV TARAFDER",CONV!R:R,"ELECT"))</f>
        <v>24</v>
      </c>
      <c r="W151" s="83">
        <f>SUM(COUNTIF(RHA!L:L,"AMITAV TARAFDER"),COUNTIFS(CONV!K:K,"CC(R) RHA",CONV!L:L,"AMITAV TARAFDER",CONV!R:R,"ELECT"))</f>
        <v>0</v>
      </c>
      <c r="X151" s="90">
        <f t="shared" si="53"/>
        <v>68</v>
      </c>
      <c r="Y151" s="131"/>
    </row>
    <row r="152" spans="7:25" ht="15.75" customHeight="1">
      <c r="G152" s="90"/>
      <c r="H152" s="90"/>
      <c r="M152" s="90"/>
      <c r="P152" s="211" t="s">
        <v>117</v>
      </c>
      <c r="Q152" s="3">
        <f>SUM(COUNTIF(North!L:L,"S S SINGH"),COUNTIFS(CONV!K:K,"CC(R) NORTH",CONV!L:L,"S S SINGH",CONV!R:R,"ELECT"))</f>
        <v>0</v>
      </c>
      <c r="R152" s="83">
        <f>SUM(COUNTIF(South!L:L,"AMITAV TARAFDER"),COUNTIFS(CONV!K:K,"CC(R) SOUTH",CONV!L:L,"AMITAV TARAFDER",CONV!R:R,"ELECT"))</f>
        <v>6</v>
      </c>
      <c r="S152" s="83">
        <f>SUM(COUNTIF(KOAA!L:L,"AMITAV TARAFDER"),COUNTIFS(CONV!K:K,"CC(R) KOAA",CONV!L:L,"AMITAV TARAFDER",CONV!R:R,"ELECT"))</f>
        <v>5</v>
      </c>
      <c r="T152" s="83">
        <f>SUM(COUNTIF(DDJ!L:L,"AMITAV TARAFDER"),COUNTIFS(CONV!K:K,"CC(R) DDJ",CONV!L:L,"AMITAV TARAFDER",CONV!R:R,"ELECT"))</f>
        <v>13</v>
      </c>
      <c r="U152" s="83">
        <f>SUM(COUNTIF(NH!L:L,"AMITAV TARAFDER"),COUNTIFS(CONV!K:K,"CC(R) NH",CONV!L:L,"AMITAV TARAFDER",CONV!R:R,"ELECT"))</f>
        <v>3</v>
      </c>
      <c r="V152" s="83">
        <f>SUM(COUNTIF(BT!L:L,"AMITAV TARAFDER"),COUNTIFS(CONV!K:K,"CC(R) BT",CONV!L:L,"AMITAV TARAFDER",CONV!R:R,"ELECT"))</f>
        <v>24</v>
      </c>
      <c r="W152" s="83">
        <f>SUM(COUNTIF(RHA!L:L,"AMITAV TARAFDER"),COUNTIFS(CONV!K:K,"CC(R) RHA",CONV!L:L,"AMITAV TARAFDER",CONV!R:R,"ELECT"))</f>
        <v>0</v>
      </c>
      <c r="X152" s="90">
        <f t="shared" si="53"/>
        <v>51</v>
      </c>
      <c r="Y152" s="3"/>
    </row>
    <row r="153" spans="7:25" ht="15.75" customHeight="1">
      <c r="G153" s="90"/>
      <c r="H153" s="90"/>
      <c r="K153" s="90"/>
      <c r="P153" s="43" t="s">
        <v>56</v>
      </c>
      <c r="Q153" s="3">
        <f>SUM(COUNTIF(North!L:L,"SUSOVAN KAR"),COUNTIFS(CONV!K:K,"CC(R) NORTH",CONV!L:L,"SUSOVAN KAR",CONV!R:R,"ELECT"))</f>
        <v>23</v>
      </c>
      <c r="R153" s="83">
        <f>SUM(COUNTIF(South!L:L,"AMITAV TARAFDER"),COUNTIFS(CONV!K:K,"CC(R) SOUTH",CONV!L:L,"AMITAV TARAFDER",CONV!R:R,"ELECT"))</f>
        <v>6</v>
      </c>
      <c r="S153" s="83">
        <f>SUM(COUNTIF(KOAA!L:L,"AMITAV TARAFDER"),COUNTIFS(CONV!K:K,"CC(R) KOAA",CONV!L:L,"AMITAV TARAFDER",CONV!R:R,"ELECT"))</f>
        <v>5</v>
      </c>
      <c r="T153" s="83">
        <f>SUM(COUNTIF(DDJ!L:L,"AMITAV TARAFDER"),COUNTIFS(CONV!K:K,"CC(R) DDJ",CONV!L:L,"AMITAV TARAFDER",CONV!R:R,"ELECT"))</f>
        <v>13</v>
      </c>
      <c r="U153" s="83">
        <f>SUM(COUNTIF(NH!L:L,"AMITAV TARAFDER"),COUNTIFS(CONV!K:K,"CC(R) NH",CONV!L:L,"AMITAV TARAFDER",CONV!R:R,"ELECT"))</f>
        <v>3</v>
      </c>
      <c r="V153" s="83">
        <f>SUM(COUNTIF(BT!L:L,"AMITAV TARAFDER"),COUNTIFS(CONV!K:K,"CC(R) BT",CONV!L:L,"AMITAV TARAFDER",CONV!R:R,"ELECT"))</f>
        <v>24</v>
      </c>
      <c r="W153" s="83">
        <f>SUM(COUNTIF(RHA!L:L,"AMITAV TARAFDER"),COUNTIFS(CONV!K:K,"CC(R) RHA",CONV!L:L,"AMITAV TARAFDER",CONV!R:R,"ELECT"))</f>
        <v>0</v>
      </c>
      <c r="X153" s="90">
        <f t="shared" si="53"/>
        <v>74</v>
      </c>
      <c r="Y153" s="131"/>
    </row>
    <row r="154" spans="7:25" ht="15.75" customHeight="1">
      <c r="G154" s="90"/>
      <c r="H154" s="90"/>
      <c r="P154" s="221" t="s">
        <v>118</v>
      </c>
      <c r="Q154" s="3">
        <f>SUM(COUNTIF(North!L:L,"KUNTAL GHOSH"),COUNTIFS(CONV!K:K,"CC(R) NORTH",CONV!L:L,"KUNTAL GHOSH",CONV!R:R,"ELECT"))</f>
        <v>0</v>
      </c>
      <c r="R154" s="90">
        <f>SUM(COUNTIF(South!L:L,"KUNTAL GHOSH"),COUNTIFS(CONV!K:K,"CC(R) SOUTH",CONV!L:L,"KUNTAL GHOSH",CONV!R:R,"ELECT"))</f>
        <v>0</v>
      </c>
      <c r="S154" s="90">
        <f>SUM(COUNTIF(KOAA!L:L,"KUNTAL GHOSH"),COUNTIFS(CONV!K:K,"CC(R) KOAA",CONV!L:L,"KUNTAL GHOSH",CONV!R:R,"ELECT"))</f>
        <v>0</v>
      </c>
      <c r="T154" s="90">
        <f>SUM(COUNTIF(DDJ!L:L,"KUNTAL GHOSH"),COUNTIFS(CONV!K:K,"CC(R) DDJ",CONV!L:L,"KUNTAL GHOSH",CONV!R:R,"ELECT"))</f>
        <v>0</v>
      </c>
      <c r="U154" s="90">
        <f>SUM(COUNTIF(NH!L:L,"KUNTAL GHOSH"),COUNTIFS(CONV!K:K,"CC(R) NH",CONV!L:L,"KUNTAL GHOSH",CONV!R:R,"ELECT"))</f>
        <v>0</v>
      </c>
      <c r="V154" s="90">
        <f>SUM(COUNTIF(BT!L:L,"KUNTAL GHOSH"),COUNTIFS(CONV!K:K,"CC(R) BT",CONV!L:L,"KUNTAL GHOSH",CONV!R:R,"ELECT"))</f>
        <v>0</v>
      </c>
      <c r="W154" s="90">
        <f>SUM(COUNTIF(RHA!L:L,"KUNTAL GHOSH"),COUNTIFS(CONV!K:K,"CC(R) RHA",CONV!L:L,"KUNTAL GHOSH",CONV!R:R,"ELECT"))</f>
        <v>0</v>
      </c>
      <c r="X154" s="90"/>
      <c r="Y154" s="90"/>
    </row>
    <row r="155" spans="7:25" ht="15.75" customHeight="1">
      <c r="G155" s="90"/>
      <c r="H155" s="90"/>
      <c r="P155" s="221" t="s">
        <v>57</v>
      </c>
      <c r="Q155" s="90">
        <f>SUM(COUNTIF(North!L:L,"TAMOJIT NANDY"),COUNTIFS(CONV!K:K,"CC(R) NORTH",CONV!L:L,"TAMOJIT NANDY",CONV!R:R,"ELECT"))</f>
        <v>3</v>
      </c>
      <c r="R155" s="90">
        <f>SUM(COUNTIF(South!L:L,"TAMOJIT NANDY"),COUNTIFS(CONV!K:K,"CC(R) SOUTH",CONV!L:L,"TAMOJIT NANDY",CONV!R:R,"ELECT"))</f>
        <v>0</v>
      </c>
      <c r="S155" s="90">
        <f>SUM(COUNTIF(KOAA!L:L,"TAMOJIT NANDY"),COUNTIFS(CONV!K:K,"CC(R) KOAA",CONV!L:L,"TAMOJIT NANDY",CONV!R:R,"ELECT"))</f>
        <v>2</v>
      </c>
      <c r="T155" s="90">
        <f>SUM(COUNTIF(DDJ!L:L,"TAMOJIT NANDY"),COUNTIFS(CONV!K:K,"CC(R) DDJ",CONV!L:L,"TAMOJIT NANDY",CONV!R:R,"ELECT"))</f>
        <v>7</v>
      </c>
      <c r="U155" s="90">
        <f>SUM(COUNTIF(NH!L:L,"TAMOJIT NANDY"),COUNTIFS(CONV!K:K,"CC(R) NH",CONV!L:L,"TAMOJIT NANDY",CONV!R:R,"ELECT"))</f>
        <v>3</v>
      </c>
      <c r="V155" s="90">
        <f>SUM(COUNTIF(BT!L:L,"TAMOJIT NANDY"),COUNTIFS(CONV!K:K,"CC(R) BT",CONV!L:L,"TAMOJIT NANDY",CONV!R:R,"ELECT"))</f>
        <v>2</v>
      </c>
      <c r="W155" s="90">
        <f>SUM(COUNTIF(RHA!L:L,"TAMOJIT NANDY"),COUNTIFS(CONV!K:K,"CC(R) RHA",CONV!L:L,"TAMOJIT NANDY",CONV!R:R,"ELECT"))</f>
        <v>3</v>
      </c>
      <c r="X155" s="90"/>
      <c r="Y155" s="90"/>
    </row>
    <row r="156" spans="7:25" ht="15.75" customHeight="1">
      <c r="G156" s="90"/>
      <c r="H156" s="90"/>
      <c r="P156" s="221" t="s">
        <v>119</v>
      </c>
      <c r="Q156" s="90">
        <f>SUM(COUNTIF(North!L:L,"A M MALLICK"),COUNTIFS(CONV!K:K,"CC(R) NORTH",CONV!L:L,"A M MALLICK",CONV!R:R,"ELECT"))</f>
        <v>0</v>
      </c>
      <c r="R156" s="90">
        <f>SUM(COUNTIF(South!L:L,"A M MALLICK"),COUNTIFS(CONV!K:K,"CC(R) SOUTH",CONV!L:L,"A M MALLICK",CONV!R:R,"ELECT"))</f>
        <v>0</v>
      </c>
      <c r="S156" s="90">
        <f>SUM(COUNTIF(KOAA!L:L,"A M MALLICK"),COUNTIFS(CONV!K:K,"CC(R) KOAA",CONV!L:L,"A M MALLICK",CONV!R:R,"ELECT"))</f>
        <v>0</v>
      </c>
      <c r="T156" s="90">
        <f>SUM(COUNTIF(DDJ!L:L,"A M MALLICK"),COUNTIFS(CONV!K:K,"CC(R) DDJ",CONV!L:L,"A M MALLICK",CONV!R:R,"ELECT"))</f>
        <v>0</v>
      </c>
      <c r="U156" s="90">
        <f>SUM(COUNTIF(NH!L:L,"A M MALLICK"),COUNTIFS(CONV!K:K,"CC(R) NH",CONV!L:L,"A M MALLICK",CONV!R:R,"ELECT"))</f>
        <v>0</v>
      </c>
      <c r="V156" s="90">
        <f>SUM(COUNTIF(BT!L:L,"A M MALLICK"),COUNTIFS(CONV!K:K,"CC(R) BT",CONV!L:L,"A M MALLICK",CONV!R:R,"ELECT"))</f>
        <v>0</v>
      </c>
      <c r="W156" s="90">
        <f>SUM(COUNTIF(RHA!L:L,"A M MALLICK"),COUNTIFS(CONV!K:K,"CC(R) RHA",CONV!L:L,"A M MALLICK",CONV!R:R,"ELECT"))</f>
        <v>0</v>
      </c>
      <c r="X156" s="90"/>
      <c r="Y156" s="90"/>
    </row>
    <row r="157" spans="7:25" ht="15.75" customHeight="1">
      <c r="G157" s="90"/>
      <c r="H157" s="90"/>
      <c r="P157" s="221" t="s">
        <v>58</v>
      </c>
      <c r="Q157" s="90">
        <f>SUM(COUNTIF(North!L:L,"SUMIT BHATTACHARJEE"),COUNTIFS(CONV!K:K,"CC(R) NORTH",CONV!L:L,"SUMIT BHATTACHARJEE",CONV!R:R,"ELECT"))</f>
        <v>2</v>
      </c>
      <c r="R157" s="90">
        <f>SUM(COUNTIF(South!L:L,"SUMIT BHATTACHARJEE"),COUNTIFS(CONV!K:K,"CC(R) SOUTH",CONV!L:L,"SUMIT BHATTACHARJEE",CONV!R:R,"ELECT"))</f>
        <v>0</v>
      </c>
      <c r="S157" s="90">
        <f>SUM(COUNTIF(KOAA!L:L,"SUMIT BHATTACHARJEE"),COUNTIFS(CONV!K:K,"CC(R) KOAA",CONV!L:L,"SUMIT BHATTACHARJEE",CONV!R:R,"ELECT"))</f>
        <v>2</v>
      </c>
      <c r="T157" s="90">
        <f>SUM(COUNTIF(DDJ!L:L,"SUMIT BHATTACHARJEE"),COUNTIFS(CONV!K:K,"CC(R) DDJ",CONV!L:L,"SUMIT BHATTACHARJEE",CONV!R:R,"ELECT"))</f>
        <v>8</v>
      </c>
      <c r="U157" s="90">
        <f>SUM(COUNTIF(NH!L:L,"SUMIT BHATTACHARJEE"),COUNTIFS(CONV!K:K,"CC(R) NH",CONV!L:L,"SUMIT BHATTACHARJEE",CONV!R:R,"ELECT"))</f>
        <v>1</v>
      </c>
      <c r="V157" s="90">
        <f>SUM(COUNTIF(BT!L:L,"SUMIT BHATTACHARJEE"),COUNTIFS(CONV!K:K,"CC(R) BT",CONV!L:L,"SUMIT BHATTACHARJEE",CONV!R:R,"ELECT"))</f>
        <v>0</v>
      </c>
      <c r="W157" s="90">
        <f>SUM(COUNTIF(RHA!L:L,"SUMIT BHATTACHARJEE"),COUNTIFS(CONV!K:K,"CC(R) RHA",CONV!L:L,"SUMIT BHATTACHARJEE",CONV!R:R,"ELECT"))</f>
        <v>8</v>
      </c>
      <c r="X157" s="90"/>
      <c r="Y157" s="90"/>
    </row>
    <row r="158" spans="7:25" ht="15.75" customHeight="1">
      <c r="G158" s="90"/>
      <c r="H158" s="90"/>
      <c r="M158" s="90"/>
      <c r="P158" s="221" t="s">
        <v>59</v>
      </c>
      <c r="Q158" s="90">
        <f>SUM(COUNTIF(North!L:L,"SUBRATA SAHA"),COUNTIFS(CONV!K:K,"CC(R) NORTH",CONV!L:L,"SUBRATA SAHA",CONV!R:R,"ELECT"))</f>
        <v>5</v>
      </c>
      <c r="R158" s="90">
        <f>SUM(COUNTIF(South!L:L,"SUBRATA SAHA"),COUNTIFS(CONV!K:K,"CC(R) SOUTH",CONV!L:L,"SUBRATA SAHA",CONV!R:R,"ELECT"))</f>
        <v>1</v>
      </c>
      <c r="S158" s="90">
        <f>SUM(COUNTIF(KOAA!L:L,"SUBRATA SAHA"),COUNTIFS(CONV!K:K,"CC(R) KOAA",CONV!L:L,"SUBRATA SAHA",CONV!R:R,"ELECT"))</f>
        <v>3</v>
      </c>
      <c r="T158" s="90">
        <f>SUM(COUNTIF(DDJ!L:L,"SUBRATA SAHA"),COUNTIFS(CONV!K:K,"CC(R) DDJ",CONV!L:L,"SUBRATA SAHA",CONV!R:R,"ELECT"))</f>
        <v>9</v>
      </c>
      <c r="U158" s="90">
        <f>SUM(COUNTIF(NH!L:L,"SUBRATA SAHA"),COUNTIFS(CONV!K:K,"CC(R) NH",CONV!L:L,"SUBRATA SAHA",CONV!R:R,"ELECT"))</f>
        <v>6</v>
      </c>
      <c r="V158" s="90">
        <f>SUM(COUNTIF(BT!L:L,"SUBRATA SAHA"),COUNTIFS(CONV!K:K,"CC(R) BT",CONV!L:L,"SUBRATA SAHA",CONV!R:R,"ELECT"))</f>
        <v>1</v>
      </c>
      <c r="W158" s="90">
        <f>SUM(COUNTIF(RHA!L:L,"SUBRATA SAHA"),COUNTIFS(CONV!K:K,"CC(R) RHA",CONV!L:L,"SUBRATA SAHA",CONV!R:R,"ELECT"))</f>
        <v>4</v>
      </c>
      <c r="X158" s="90"/>
      <c r="Y158" s="90"/>
    </row>
    <row r="159" spans="7:25" ht="15.75" customHeight="1">
      <c r="G159" s="90"/>
      <c r="H159" s="90"/>
      <c r="M159" s="90"/>
      <c r="P159" s="221" t="s">
        <v>120</v>
      </c>
      <c r="Q159" s="90">
        <f>SUM(COUNTIF(North!L:L,"SUBIR MONDAL"),COUNTIFS(CONV!K:K,"CC(R) NORTH",CONV!L:L,"SUBIR MONDAL",CONV!R:R,"ELECT"))</f>
        <v>0</v>
      </c>
      <c r="R159" s="90">
        <f>SUM(COUNTIF(South!L:L,"SUBIR MONDAL"),COUNTIFS(CONV!K:K,"CC(R) SOUTH",CONV!L:L,"SUBIR MONDAL",CONV!R:R,"ELECT"))</f>
        <v>0</v>
      </c>
      <c r="S159" s="90">
        <f>SUM(COUNTIF(KOAA!L:L,"SUBIR MONDAL"),COUNTIFS(CONV!K:K,"CC(R) KOAA",CONV!L:L,"SUBIR MONDAL",CONV!R:R,"ELECT"))</f>
        <v>0</v>
      </c>
      <c r="T159" s="90">
        <f>SUM(COUNTIF(DDJ!L:L,"SUBIR MONDAL"),COUNTIFS(CONV!K:K,"CC(R) DDJ",CONV!L:L,"SUBIR MONDAL",CONV!R:R,"ELECT"))</f>
        <v>0</v>
      </c>
      <c r="U159" s="90">
        <f>SUM(COUNTIF(NH!L:L,"SUBIR MONDAL"),COUNTIFS(CONV!K:K,"CC(R) NH",CONV!L:L,"SUBIR MONDAL",CONV!R:R,"ELECT"))</f>
        <v>0</v>
      </c>
      <c r="V159" s="90">
        <f>SUM(COUNTIF(BT!L:L,"SUBIR MONDAL"),COUNTIFS(CONV!K:K,"CC(R) BT",CONV!L:L,"SUBIR MONDAL",CONV!R:R,"ELECT"))</f>
        <v>0</v>
      </c>
      <c r="W159" s="90">
        <f>SUM(COUNTIF(RHA!L:L,"SUBIR MONDAL"),COUNTIFS(CONV!K:K,"CC(R) RHA",CONV!L:L,"SUBIR MONDAL",CONV!R:R,"ELECT"))</f>
        <v>0</v>
      </c>
      <c r="X159" s="90"/>
      <c r="Y159" s="90"/>
    </row>
    <row r="160" spans="7:25" ht="15.75" customHeight="1">
      <c r="G160" s="90"/>
      <c r="H160" s="90"/>
      <c r="L160" s="90"/>
      <c r="M160" s="90"/>
      <c r="P160" s="114" t="s">
        <v>60</v>
      </c>
      <c r="Q160" s="222">
        <f>SUM(COUNTIF(North!L:L,"KUNTAL GHOSH"),COUNTIFS(CONV!K:K,"CC(R) NORTH",CONV!L:L,"KUNTAL GHOSH",CONV!R:R,"ELECT"))</f>
        <v>0</v>
      </c>
      <c r="R160" s="222">
        <f>SUM(COUNTIF(South!L:L,"KUNTAL GHOSH"),COUNTIFS(CONV!K:K,"CC(R) SOUTH",CONV!L:L,"KUNTAL GHOSH",CONV!R:R,"ELECT"))</f>
        <v>0</v>
      </c>
      <c r="S160" s="222">
        <f>SUM(COUNTIF(KOAA!L:L,"KUNTAL GHOSH"),COUNTIFS(CONV!K:K,"CC(R) KOAA",CONV!L:L,"KUNTAL GHOSH",CONV!R:R,"ELECT"))</f>
        <v>0</v>
      </c>
      <c r="T160" s="222">
        <f>SUM(COUNTIF(DDJ!L:L,"KUNTAL GHOSH"),COUNTIFS(CONV!K:K,"CC(R) DDJ",CONV!L:L,"KUNTAL GHOSH",CONV!R:R,"ELECT"))</f>
        <v>0</v>
      </c>
      <c r="U160" s="222">
        <f>SUM(COUNTIF(NH!L:L,"KUNTAL GHOSH"),COUNTIFS(CONV!K:K,"CC(R) NH",CONV!L:L,"KUNTAL GHOSH",CONV!R:R,"ELECT"))</f>
        <v>0</v>
      </c>
      <c r="V160" s="222">
        <f>SUM(COUNTIF(BT!L:L,"KUNTAL GHOSH"),COUNTIFS(CONV!K:K,"CC(R) BT",CONV!L:L,"KUNTAL GHOSH",CONV!R:R,"ELECT"))</f>
        <v>0</v>
      </c>
      <c r="W160" s="222">
        <f>SUM(COUNTIF(RHA!L:L,"KUNTAL GHOSH"),COUNTIFS(CONV!K:K,"CC(R) RHA",CONV!L:L,"KUNTAL GHOSH",CONV!R:R,"ELECT"))</f>
        <v>0</v>
      </c>
      <c r="X160" s="90"/>
      <c r="Y160" s="90"/>
    </row>
    <row r="161" spans="7:25" ht="15.75" customHeight="1">
      <c r="G161" s="90"/>
      <c r="H161" s="90"/>
      <c r="J161" s="90"/>
      <c r="K161" s="90"/>
      <c r="L161" s="90"/>
      <c r="M161" s="90"/>
      <c r="P161" s="221" t="s">
        <v>121</v>
      </c>
      <c r="Q161" s="222">
        <f>SUM(COUNTIF(North!L:L,"KUNTAL GHOSH"),COUNTIFS(CONV!K:K,"CC(R) NORTH",CONV!L:L,"KUNTAL GHOSH",CONV!R:R,"ELECT"))</f>
        <v>0</v>
      </c>
      <c r="R161" s="222">
        <f>SUM(COUNTIF(South!L:L,"KUNTAL GHOSH"),COUNTIFS(CONV!K:K,"CC(R) SOUTH",CONV!L:L,"KUNTAL GHOSH",CONV!R:R,"ELECT"))</f>
        <v>0</v>
      </c>
      <c r="S161" s="222">
        <f>SUM(COUNTIF(KOAA!L:L,"KUNTAL GHOSH"),COUNTIFS(CONV!K:K,"CC(R) KOAA",CONV!L:L,"KUNTAL GHOSH",CONV!R:R,"ELECT"))</f>
        <v>0</v>
      </c>
      <c r="T161" s="222">
        <f>SUM(COUNTIF(DDJ!L:L,"KUNTAL GHOSH"),COUNTIFS(CONV!K:K,"CC(R) DDJ",CONV!L:L,"KUNTAL GHOSH",CONV!R:R,"ELECT"))</f>
        <v>0</v>
      </c>
      <c r="U161" s="222">
        <f>SUM(COUNTIF(NH!L:L,"KUNTAL GHOSH"),COUNTIFS(CONV!K:K,"CC(R) NH",CONV!L:L,"KUNTAL GHOSH",CONV!R:R,"ELECT"))</f>
        <v>0</v>
      </c>
      <c r="V161" s="222">
        <f>SUM(COUNTIF(BT!L:L,"KUNTAL GHOSH"),COUNTIFS(CONV!K:K,"CC(R) BT",CONV!L:L,"KUNTAL GHOSH",CONV!R:R,"ELECT"))</f>
        <v>0</v>
      </c>
      <c r="W161" s="222">
        <f>SUM(COUNTIF(RHA!L:L,"KUNTAL GHOSH"),COUNTIFS(CONV!K:K,"CC(R) RHA",CONV!L:L,"KUNTAL GHOSH",CONV!R:R,"ELECT"))</f>
        <v>0</v>
      </c>
      <c r="X161" s="90"/>
      <c r="Y161" s="90"/>
    </row>
    <row r="162" spans="7:25" ht="15.75" customHeight="1">
      <c r="G162" s="90"/>
      <c r="H162" s="90"/>
      <c r="J162" s="90"/>
      <c r="K162" s="90"/>
      <c r="L162" s="90"/>
      <c r="M162" s="90"/>
      <c r="P162" s="221" t="s">
        <v>122</v>
      </c>
      <c r="Q162" s="222">
        <f>SUM(COUNTIF(North!L:L,"KUNTAL GHOSH"),COUNTIFS(CONV!K:K,"CC(R) NORTH",CONV!L:L,"KUNTAL GHOSH",CONV!R:R,"ELECT"))</f>
        <v>0</v>
      </c>
      <c r="R162" s="222">
        <f>SUM(COUNTIF(South!L:L,"KUNTAL GHOSH"),COUNTIFS(CONV!K:K,"CC(R) SOUTH",CONV!L:L,"KUNTAL GHOSH",CONV!R:R,"ELECT"))</f>
        <v>0</v>
      </c>
      <c r="S162" s="222">
        <f>SUM(COUNTIF(KOAA!L:L,"KUNTAL GHOSH"),COUNTIFS(CONV!K:K,"CC(R) KOAA",CONV!L:L,"KUNTAL GHOSH",CONV!R:R,"ELECT"))</f>
        <v>0</v>
      </c>
      <c r="T162" s="222">
        <f>SUM(COUNTIF(DDJ!L:L,"KUNTAL GHOSH"),COUNTIFS(CONV!K:K,"CC(R) DDJ",CONV!L:L,"KUNTAL GHOSH",CONV!R:R,"ELECT"))</f>
        <v>0</v>
      </c>
      <c r="U162" s="222">
        <f>SUM(COUNTIF(NH!L:L,"KUNTAL GHOSH"),COUNTIFS(CONV!K:K,"CC(R) NH",CONV!L:L,"KUNTAL GHOSH",CONV!R:R,"ELECT"))</f>
        <v>0</v>
      </c>
      <c r="V162" s="222">
        <f>SUM(COUNTIF(BT!L:L,"KUNTAL GHOSH"),COUNTIFS(CONV!K:K,"CC(R) BT",CONV!L:L,"KUNTAL GHOSH",CONV!R:R,"ELECT"))</f>
        <v>0</v>
      </c>
      <c r="W162" s="222">
        <f>SUM(COUNTIF(RHA!L:L,"KUNTAL GHOSH"),COUNTIFS(CONV!K:K,"CC(R) RHA",CONV!L:L,"KUNTAL GHOSH",CONV!R:R,"ELECT"))</f>
        <v>0</v>
      </c>
      <c r="X162" s="90"/>
      <c r="Y162" s="90"/>
    </row>
    <row r="163" spans="7:25" ht="15.75" customHeight="1">
      <c r="G163" s="90"/>
      <c r="H163" s="90"/>
      <c r="J163" s="90"/>
      <c r="K163" s="90"/>
      <c r="L163" s="90"/>
      <c r="M163" s="90"/>
      <c r="P163" s="223" t="s">
        <v>61</v>
      </c>
      <c r="Q163" s="222">
        <f>SUM(COUNTIF(North!L:L,"KUNTAL GHOSH"),COUNTIFS(CONV!K:K,"CC(R) NORTH",CONV!L:L,"KUNTAL GHOSH",CONV!R:R,"ELECT"))</f>
        <v>0</v>
      </c>
      <c r="R163" s="222">
        <f>SUM(COUNTIF(South!L:L,"KUNTAL GHOSH"),COUNTIFS(CONV!K:K,"CC(R) SOUTH",CONV!L:L,"KUNTAL GHOSH",CONV!R:R,"ELECT"))</f>
        <v>0</v>
      </c>
      <c r="S163" s="222">
        <f>SUM(COUNTIF(KOAA!L:L,"KUNTAL GHOSH"),COUNTIFS(CONV!K:K,"CC(R) KOAA",CONV!L:L,"KUNTAL GHOSH",CONV!R:R,"ELECT"))</f>
        <v>0</v>
      </c>
      <c r="T163" s="222">
        <f>SUM(COUNTIF(DDJ!L:L,"KUNTAL GHOSH"),COUNTIFS(CONV!K:K,"CC(R) DDJ",CONV!L:L,"KUNTAL GHOSH",CONV!R:R,"ELECT"))</f>
        <v>0</v>
      </c>
      <c r="U163" s="222">
        <f>SUM(COUNTIF(NH!L:L,"KUNTAL GHOSH"),COUNTIFS(CONV!K:K,"CC(R) NH",CONV!L:L,"KUNTAL GHOSH",CONV!R:R,"ELECT"))</f>
        <v>0</v>
      </c>
      <c r="V163" s="222">
        <f>SUM(COUNTIF(BT!L:L,"KUNTAL GHOSH"),COUNTIFS(CONV!K:K,"CC(R) BT",CONV!L:L,"KUNTAL GHOSH",CONV!R:R,"ELECT"))</f>
        <v>0</v>
      </c>
      <c r="W163" s="222">
        <f>SUM(COUNTIF(RHA!L:L,"KUNTAL GHOSH"),COUNTIFS(CONV!K:K,"CC(R) RHA",CONV!L:L,"KUNTAL GHOSH",CONV!R:R,"ELECT"))</f>
        <v>0</v>
      </c>
      <c r="X163" s="90"/>
      <c r="Y163" s="90"/>
    </row>
    <row r="164" spans="7:25" ht="15.75" customHeight="1">
      <c r="G164" s="90"/>
      <c r="H164" s="90"/>
      <c r="J164" s="90"/>
      <c r="K164" s="90"/>
      <c r="L164" s="90"/>
      <c r="M164" s="90"/>
      <c r="P164" s="223" t="s">
        <v>123</v>
      </c>
      <c r="Q164" s="222">
        <f>SUM(COUNTIF(North!L:L,"KUNTAL GHOSH"),COUNTIFS(CONV!K:K,"CC(R) NORTH",CONV!L:L,"KUNTAL GHOSH",CONV!R:R,"ELECT"))</f>
        <v>0</v>
      </c>
      <c r="R164" s="222">
        <f>SUM(COUNTIF(South!L:L,"KUNTAL GHOSH"),COUNTIFS(CONV!K:K,"CC(R) SOUTH",CONV!L:L,"KUNTAL GHOSH",CONV!R:R,"ELECT"))</f>
        <v>0</v>
      </c>
      <c r="S164" s="222">
        <f>SUM(COUNTIF(KOAA!L:L,"KUNTAL GHOSH"),COUNTIFS(CONV!K:K,"CC(R) KOAA",CONV!L:L,"KUNTAL GHOSH",CONV!R:R,"ELECT"))</f>
        <v>0</v>
      </c>
      <c r="T164" s="222">
        <f>SUM(COUNTIF(DDJ!L:L,"KUNTAL GHOSH"),COUNTIFS(CONV!K:K,"CC(R) DDJ",CONV!L:L,"KUNTAL GHOSH",CONV!R:R,"ELECT"))</f>
        <v>0</v>
      </c>
      <c r="U164" s="222">
        <f>SUM(COUNTIF(NH!L:L,"KUNTAL GHOSH"),COUNTIFS(CONV!K:K,"CC(R) NH",CONV!L:L,"KUNTAL GHOSH",CONV!R:R,"ELECT"))</f>
        <v>0</v>
      </c>
      <c r="V164" s="222">
        <f>SUM(COUNTIF(BT!L:L,"KUNTAL GHOSH"),COUNTIFS(CONV!K:K,"CC(R) BT",CONV!L:L,"KUNTAL GHOSH",CONV!R:R,"ELECT"))</f>
        <v>0</v>
      </c>
      <c r="W164" s="222">
        <f>SUM(COUNTIF(RHA!L:L,"KUNTAL GHOSH"),COUNTIFS(CONV!K:K,"CC(R) RHA",CONV!L:L,"KUNTAL GHOSH",CONV!R:R,"ELECT"))</f>
        <v>0</v>
      </c>
      <c r="X164" s="90"/>
      <c r="Y164" s="90"/>
    </row>
    <row r="165" spans="7:25" ht="15.75" customHeight="1">
      <c r="G165" s="90"/>
      <c r="H165" s="90"/>
      <c r="J165" s="90"/>
      <c r="K165" s="90"/>
      <c r="L165" s="90"/>
      <c r="M165" s="90"/>
      <c r="P165" s="223" t="s">
        <v>62</v>
      </c>
      <c r="Q165" s="222">
        <f>SUM(COUNTIF(North!L:L,"KUNTAL GHOSH"),COUNTIFS(CONV!K:K,"CC(R) NORTH",CONV!L:L,"KUNTAL GHOSH",CONV!R:R,"ELECT"))</f>
        <v>0</v>
      </c>
      <c r="R165" s="222">
        <f>SUM(COUNTIF(South!L:L,"KUNTAL GHOSH"),COUNTIFS(CONV!K:K,"CC(R) SOUTH",CONV!L:L,"KUNTAL GHOSH",CONV!R:R,"ELECT"))</f>
        <v>0</v>
      </c>
      <c r="S165" s="222">
        <f>SUM(COUNTIF(KOAA!L:L,"KUNTAL GHOSH"),COUNTIFS(CONV!K:K,"CC(R) KOAA",CONV!L:L,"KUNTAL GHOSH",CONV!R:R,"ELECT"))</f>
        <v>0</v>
      </c>
      <c r="T165" s="222">
        <f>SUM(COUNTIF(DDJ!L:L,"KUNTAL GHOSH"),COUNTIFS(CONV!K:K,"CC(R) DDJ",CONV!L:L,"KUNTAL GHOSH",CONV!R:R,"ELECT"))</f>
        <v>0</v>
      </c>
      <c r="U165" s="222">
        <f>SUM(COUNTIF(NH!L:L,"KUNTAL GHOSH"),COUNTIFS(CONV!K:K,"CC(R) NH",CONV!L:L,"KUNTAL GHOSH",CONV!R:R,"ELECT"))</f>
        <v>0</v>
      </c>
      <c r="V165" s="222">
        <f>SUM(COUNTIF(BT!L:L,"KUNTAL GHOSH"),COUNTIFS(CONV!K:K,"CC(R) BT",CONV!L:L,"KUNTAL GHOSH",CONV!R:R,"ELECT"))</f>
        <v>0</v>
      </c>
      <c r="W165" s="222">
        <f>SUM(COUNTIF(RHA!L:L,"KUNTAL GHOSH"),COUNTIFS(CONV!K:K,"CC(R) RHA",CONV!L:L,"KUNTAL GHOSH",CONV!R:R,"ELECT"))</f>
        <v>0</v>
      </c>
      <c r="X165" s="90"/>
      <c r="Y165" s="90"/>
    </row>
    <row r="166" spans="7:25" ht="15.75" customHeight="1">
      <c r="G166" s="90"/>
      <c r="H166" s="90"/>
      <c r="J166" s="90"/>
      <c r="K166" s="90"/>
      <c r="L166" s="90"/>
      <c r="M166" s="90"/>
      <c r="P166" s="223" t="s">
        <v>124</v>
      </c>
      <c r="Q166" s="222">
        <f>SUM(COUNTIF(North!L:L,"KUNTAL GHOSH"),COUNTIFS(CONV!K:K,"CC(R) NORTH",CONV!L:L,"KUNTAL GHOSH",CONV!R:R,"ELECT"))</f>
        <v>0</v>
      </c>
      <c r="R166" s="222">
        <f>SUM(COUNTIF(South!L:L,"KUNTAL GHOSH"),COUNTIFS(CONV!K:K,"CC(R) SOUTH",CONV!L:L,"KUNTAL GHOSH",CONV!R:R,"ELECT"))</f>
        <v>0</v>
      </c>
      <c r="S166" s="222">
        <f>SUM(COUNTIF(KOAA!L:L,"KUNTAL GHOSH"),COUNTIFS(CONV!K:K,"CC(R) KOAA",CONV!L:L,"KUNTAL GHOSH",CONV!R:R,"ELECT"))</f>
        <v>0</v>
      </c>
      <c r="T166" s="222">
        <f>SUM(COUNTIF(DDJ!L:L,"KUNTAL GHOSH"),COUNTIFS(CONV!K:K,"CC(R) DDJ",CONV!L:L,"KUNTAL GHOSH",CONV!R:R,"ELECT"))</f>
        <v>0</v>
      </c>
      <c r="U166" s="222">
        <f>SUM(COUNTIF(NH!L:L,"KUNTAL GHOSH"),COUNTIFS(CONV!K:K,"CC(R) NH",CONV!L:L,"KUNTAL GHOSH",CONV!R:R,"ELECT"))</f>
        <v>0</v>
      </c>
      <c r="V166" s="222">
        <f>SUM(COUNTIF(BT!L:L,"KUNTAL GHOSH"),COUNTIFS(CONV!K:K,"CC(R) BT",CONV!L:L,"KUNTAL GHOSH",CONV!R:R,"ELECT"))</f>
        <v>0</v>
      </c>
      <c r="W166" s="222">
        <f>SUM(COUNTIF(RHA!L:L,"KUNTAL GHOSH"),COUNTIFS(CONV!K:K,"CC(R) RHA",CONV!L:L,"KUNTAL GHOSH",CONV!R:R,"ELECT"))</f>
        <v>0</v>
      </c>
      <c r="X166" s="90"/>
      <c r="Y166" s="90"/>
    </row>
    <row r="167" spans="7:25" ht="15.75" customHeight="1">
      <c r="G167" s="90"/>
      <c r="H167" s="90"/>
      <c r="J167" s="90"/>
      <c r="K167" s="90"/>
      <c r="L167" s="90"/>
      <c r="M167" s="90"/>
      <c r="P167" s="223" t="s">
        <v>64</v>
      </c>
      <c r="Q167" s="222">
        <f>SUM(COUNTIF(North!L:L,"KUNTAL GHOSH"),COUNTIFS(CONV!K:K,"CC(R) NORTH",CONV!L:L,"KUNTAL GHOSH",CONV!R:R,"ELECT"))</f>
        <v>0</v>
      </c>
      <c r="R167" s="222">
        <f>SUM(COUNTIF(South!L:L,"KUNTAL GHOSH"),COUNTIFS(CONV!K:K,"CC(R) SOUTH",CONV!L:L,"KUNTAL GHOSH",CONV!R:R,"ELECT"))</f>
        <v>0</v>
      </c>
      <c r="S167" s="222">
        <f>SUM(COUNTIF(KOAA!L:L,"KUNTAL GHOSH"),COUNTIFS(CONV!K:K,"CC(R) KOAA",CONV!L:L,"KUNTAL GHOSH",CONV!R:R,"ELECT"))</f>
        <v>0</v>
      </c>
      <c r="T167" s="222">
        <f>SUM(COUNTIF(DDJ!L:L,"KUNTAL GHOSH"),COUNTIFS(CONV!K:K,"CC(R) DDJ",CONV!L:L,"KUNTAL GHOSH",CONV!R:R,"ELECT"))</f>
        <v>0</v>
      </c>
      <c r="U167" s="222">
        <f>SUM(COUNTIF(NH!L:L,"KUNTAL GHOSH"),COUNTIFS(CONV!K:K,"CC(R) NH",CONV!L:L,"KUNTAL GHOSH",CONV!R:R,"ELECT"))</f>
        <v>0</v>
      </c>
      <c r="V167" s="222">
        <f>SUM(COUNTIF(BT!L:L,"KUNTAL GHOSH"),COUNTIFS(CONV!K:K,"CC(R) BT",CONV!L:L,"KUNTAL GHOSH",CONV!R:R,"ELECT"))</f>
        <v>0</v>
      </c>
      <c r="W167" s="222">
        <f>SUM(COUNTIF(RHA!L:L,"KUNTAL GHOSH"),COUNTIFS(CONV!K:K,"CC(R) RHA",CONV!L:L,"KUNTAL GHOSH",CONV!R:R,"ELECT"))</f>
        <v>0</v>
      </c>
      <c r="X167" s="90"/>
      <c r="Y167" s="90"/>
    </row>
    <row r="168" spans="7:25" ht="15.75" customHeight="1">
      <c r="G168" s="90"/>
      <c r="H168" s="90"/>
      <c r="K168" s="90"/>
      <c r="L168" s="90"/>
      <c r="M168" s="90"/>
      <c r="P168" s="223" t="s">
        <v>65</v>
      </c>
      <c r="Q168" s="222">
        <f>SUM(COUNTIF(North!L:L,"KUNTAL GHOSH"),COUNTIFS(CONV!K:K,"CC(R) NORTH",CONV!L:L,"KUNTAL GHOSH",CONV!R:R,"ELECT"))</f>
        <v>0</v>
      </c>
      <c r="R168" s="222">
        <f>SUM(COUNTIF(South!L:L,"KUNTAL GHOSH"),COUNTIFS(CONV!K:K,"CC(R) SOUTH",CONV!L:L,"KUNTAL GHOSH",CONV!R:R,"ELECT"))</f>
        <v>0</v>
      </c>
      <c r="S168" s="222">
        <f>SUM(COUNTIF(KOAA!L:L,"KUNTAL GHOSH"),COUNTIFS(CONV!K:K,"CC(R) KOAA",CONV!L:L,"KUNTAL GHOSH",CONV!R:R,"ELECT"))</f>
        <v>0</v>
      </c>
      <c r="T168" s="222">
        <f>SUM(COUNTIF(DDJ!L:L,"KUNTAL GHOSH"),COUNTIFS(CONV!K:K,"CC(R) DDJ",CONV!L:L,"KUNTAL GHOSH",CONV!R:R,"ELECT"))</f>
        <v>0</v>
      </c>
      <c r="U168" s="222">
        <f>SUM(COUNTIF(NH!L:L,"KUNTAL GHOSH"),COUNTIFS(CONV!K:K,"CC(R) NH",CONV!L:L,"KUNTAL GHOSH",CONV!R:R,"ELECT"))</f>
        <v>0</v>
      </c>
      <c r="V168" s="222">
        <f>SUM(COUNTIF(BT!L:L,"KUNTAL GHOSH"),COUNTIFS(CONV!K:K,"CC(R) BT",CONV!L:L,"KUNTAL GHOSH",CONV!R:R,"ELECT"))</f>
        <v>0</v>
      </c>
      <c r="W168" s="222">
        <f>SUM(COUNTIF(RHA!L:L,"KUNTAL GHOSH"),COUNTIFS(CONV!K:K,"CC(R) RHA",CONV!L:L,"KUNTAL GHOSH",CONV!R:R,"ELECT"))</f>
        <v>0</v>
      </c>
      <c r="X168" s="90"/>
      <c r="Y168" s="90"/>
    </row>
    <row r="169" spans="7:25" ht="15.75" customHeight="1">
      <c r="G169" s="90"/>
      <c r="H169" s="90"/>
      <c r="K169" s="90"/>
      <c r="L169" s="90"/>
      <c r="M169" s="90"/>
      <c r="P169" s="89"/>
      <c r="X169" s="90"/>
      <c r="Y169" s="90"/>
    </row>
    <row r="170" spans="7:25" ht="15.75" customHeight="1">
      <c r="G170" s="90"/>
      <c r="H170" s="90"/>
      <c r="K170" s="90"/>
      <c r="L170" s="90"/>
      <c r="M170" s="90"/>
      <c r="P170" s="89"/>
      <c r="X170" s="90"/>
      <c r="Y170" s="90"/>
    </row>
    <row r="171" spans="7:25" ht="15.75" customHeight="1">
      <c r="G171" s="90"/>
      <c r="H171" s="90"/>
      <c r="K171" s="90"/>
      <c r="L171" s="90"/>
      <c r="M171" s="90"/>
      <c r="P171" s="89"/>
      <c r="X171" s="90"/>
      <c r="Y171" s="90"/>
    </row>
    <row r="172" spans="7:25" ht="15.75" customHeight="1">
      <c r="G172" s="90"/>
      <c r="H172" s="90"/>
      <c r="K172" s="90"/>
      <c r="L172" s="90"/>
      <c r="M172" s="90"/>
      <c r="P172" s="89"/>
      <c r="X172" s="90"/>
      <c r="Y172" s="90"/>
    </row>
    <row r="173" spans="7:25" ht="15.75" customHeight="1">
      <c r="G173" s="90"/>
      <c r="H173" s="90"/>
      <c r="K173" s="90"/>
      <c r="L173" s="90"/>
      <c r="M173" s="90"/>
      <c r="P173" s="89"/>
      <c r="X173" s="90"/>
      <c r="Y173" s="90"/>
    </row>
    <row r="174" spans="7:25" ht="15.75" customHeight="1">
      <c r="G174" s="90"/>
      <c r="H174" s="90"/>
      <c r="K174" s="90"/>
      <c r="L174" s="90"/>
      <c r="M174" s="90"/>
      <c r="P174" s="89"/>
      <c r="X174" s="90"/>
      <c r="Y174" s="90"/>
    </row>
    <row r="175" spans="7:25" ht="15.75" customHeight="1">
      <c r="G175" s="90"/>
      <c r="H175" s="90"/>
      <c r="K175" s="90"/>
      <c r="L175" s="90"/>
      <c r="M175" s="90"/>
      <c r="P175" s="89"/>
      <c r="X175" s="90"/>
      <c r="Y175" s="90"/>
    </row>
    <row r="176" spans="7:25" ht="15.75" customHeight="1">
      <c r="G176" s="90"/>
      <c r="H176" s="90"/>
      <c r="J176" s="90"/>
      <c r="K176" s="90"/>
      <c r="L176" s="90"/>
      <c r="M176" s="90"/>
      <c r="P176" s="89"/>
      <c r="X176" s="90"/>
      <c r="Y176" s="90"/>
    </row>
    <row r="177" spans="7:25" ht="15.75" customHeight="1">
      <c r="G177" s="90"/>
      <c r="H177" s="90"/>
      <c r="J177" s="90"/>
      <c r="K177" s="90"/>
      <c r="L177" s="90"/>
      <c r="M177" s="90"/>
      <c r="P177" s="89"/>
      <c r="X177" s="90"/>
      <c r="Y177" s="90"/>
    </row>
    <row r="178" spans="7:25" ht="15.75" customHeight="1">
      <c r="G178" s="90"/>
      <c r="H178" s="90"/>
      <c r="J178" s="90"/>
      <c r="K178" s="90"/>
      <c r="L178" s="90"/>
      <c r="M178" s="90"/>
      <c r="P178" s="89"/>
      <c r="X178" s="90"/>
      <c r="Y178" s="90"/>
    </row>
    <row r="179" spans="7:25" ht="15.75" customHeight="1">
      <c r="G179" s="90"/>
      <c r="H179" s="90"/>
      <c r="J179" s="90"/>
      <c r="K179" s="90"/>
      <c r="L179" s="90"/>
      <c r="M179" s="90"/>
      <c r="P179" s="89"/>
      <c r="X179" s="90"/>
      <c r="Y179" s="90"/>
    </row>
    <row r="180" spans="7:25" ht="15.75" customHeight="1">
      <c r="G180" s="90"/>
      <c r="H180" s="90"/>
      <c r="J180" s="90"/>
      <c r="K180" s="90"/>
      <c r="L180" s="90"/>
      <c r="M180" s="90"/>
      <c r="P180" s="89"/>
      <c r="X180" s="90"/>
      <c r="Y180" s="90"/>
    </row>
    <row r="181" spans="7:25" ht="15.75" customHeight="1">
      <c r="G181" s="90"/>
      <c r="H181" s="90"/>
      <c r="J181" s="90"/>
      <c r="K181" s="90"/>
      <c r="L181" s="90"/>
      <c r="M181" s="90"/>
      <c r="P181" s="89"/>
      <c r="X181" s="90"/>
      <c r="Y181" s="90"/>
    </row>
    <row r="182" spans="7:25" ht="15.75" customHeight="1">
      <c r="G182" s="90"/>
      <c r="H182" s="90"/>
      <c r="J182" s="90"/>
      <c r="K182" s="90"/>
      <c r="L182" s="90"/>
      <c r="M182" s="90"/>
      <c r="P182" s="89"/>
      <c r="X182" s="90"/>
      <c r="Y182" s="90"/>
    </row>
    <row r="183" spans="7:25" ht="15.75" customHeight="1">
      <c r="G183" s="90"/>
      <c r="H183" s="90"/>
      <c r="J183" s="90"/>
      <c r="K183" s="90"/>
      <c r="L183" s="90"/>
      <c r="M183" s="90"/>
      <c r="P183" s="89"/>
      <c r="X183" s="90"/>
      <c r="Y183" s="90"/>
    </row>
    <row r="184" spans="7:25" ht="15.75" customHeight="1">
      <c r="G184" s="90"/>
      <c r="H184" s="90"/>
      <c r="J184" s="90"/>
      <c r="K184" s="90"/>
      <c r="L184" s="90"/>
      <c r="M184" s="90"/>
      <c r="P184" s="89"/>
      <c r="X184" s="90"/>
      <c r="Y184" s="90"/>
    </row>
    <row r="185" spans="7:25" ht="15.75" customHeight="1">
      <c r="G185" s="90"/>
      <c r="H185" s="90"/>
      <c r="J185" s="90"/>
      <c r="K185" s="90"/>
      <c r="L185" s="90"/>
      <c r="M185" s="90"/>
      <c r="P185" s="89"/>
      <c r="X185" s="90"/>
      <c r="Y185" s="90"/>
    </row>
    <row r="186" spans="7:25" ht="15.75" customHeight="1">
      <c r="G186" s="90"/>
      <c r="H186" s="90"/>
      <c r="J186" s="90"/>
      <c r="K186" s="90"/>
      <c r="L186" s="90"/>
      <c r="M186" s="90"/>
      <c r="P186" s="89"/>
      <c r="X186" s="90"/>
      <c r="Y186" s="90"/>
    </row>
    <row r="187" spans="7:25" ht="15.75" customHeight="1">
      <c r="G187" s="90"/>
      <c r="H187" s="90"/>
      <c r="J187" s="90"/>
      <c r="K187" s="90"/>
      <c r="L187" s="90"/>
      <c r="M187" s="90"/>
      <c r="P187" s="89"/>
      <c r="X187" s="90"/>
      <c r="Y187" s="90"/>
    </row>
    <row r="188" spans="7:25" ht="15.75" customHeight="1">
      <c r="G188" s="90"/>
      <c r="H188" s="90"/>
      <c r="J188" s="90"/>
      <c r="K188" s="90"/>
      <c r="L188" s="90"/>
      <c r="M188" s="90"/>
      <c r="P188" s="89"/>
      <c r="X188" s="90"/>
      <c r="Y188" s="90"/>
    </row>
    <row r="189" spans="7:25" ht="15.75" customHeight="1">
      <c r="G189" s="90"/>
      <c r="H189" s="90"/>
      <c r="J189" s="90"/>
      <c r="K189" s="90"/>
      <c r="L189" s="90"/>
      <c r="M189" s="90"/>
      <c r="P189" s="89"/>
      <c r="X189" s="90"/>
      <c r="Y189" s="90"/>
    </row>
    <row r="190" spans="7:25" ht="15.75" customHeight="1">
      <c r="G190" s="90"/>
      <c r="H190" s="90"/>
      <c r="J190" s="90"/>
      <c r="K190" s="90"/>
      <c r="L190" s="90"/>
      <c r="M190" s="90"/>
      <c r="P190" s="89"/>
      <c r="X190" s="90"/>
      <c r="Y190" s="90"/>
    </row>
    <row r="191" spans="7:25" ht="15.75" customHeight="1">
      <c r="G191" s="90"/>
      <c r="H191" s="90"/>
      <c r="J191" s="90"/>
      <c r="K191" s="90"/>
      <c r="L191" s="90"/>
      <c r="M191" s="90"/>
      <c r="P191" s="89"/>
      <c r="X191" s="90"/>
      <c r="Y191" s="90"/>
    </row>
    <row r="192" spans="7:25" ht="15.75" customHeight="1">
      <c r="G192" s="90"/>
      <c r="H192" s="90"/>
      <c r="J192" s="90"/>
      <c r="K192" s="90"/>
      <c r="L192" s="90"/>
      <c r="M192" s="90"/>
      <c r="P192" s="89"/>
      <c r="X192" s="90"/>
      <c r="Y192" s="90"/>
    </row>
    <row r="193" spans="7:25" ht="15.75" customHeight="1">
      <c r="G193" s="90"/>
      <c r="H193" s="90"/>
      <c r="J193" s="90"/>
      <c r="K193" s="90"/>
      <c r="L193" s="90"/>
      <c r="M193" s="90"/>
      <c r="P193" s="89"/>
      <c r="X193" s="90"/>
      <c r="Y193" s="90"/>
    </row>
    <row r="194" spans="7:25" ht="15.75" customHeight="1">
      <c r="G194" s="90"/>
      <c r="H194" s="90"/>
      <c r="J194" s="90"/>
      <c r="K194" s="90"/>
      <c r="L194" s="90"/>
      <c r="M194" s="90"/>
      <c r="P194" s="89"/>
      <c r="X194" s="90"/>
      <c r="Y194" s="90"/>
    </row>
    <row r="195" spans="7:25" ht="15.75" customHeight="1">
      <c r="G195" s="90"/>
      <c r="H195" s="90"/>
      <c r="J195" s="90"/>
      <c r="K195" s="90"/>
      <c r="L195" s="90"/>
      <c r="M195" s="90"/>
      <c r="P195" s="89"/>
      <c r="X195" s="90"/>
      <c r="Y195" s="90"/>
    </row>
    <row r="196" spans="7:25" ht="15.75" customHeight="1">
      <c r="G196" s="90"/>
      <c r="H196" s="90"/>
      <c r="J196" s="90"/>
      <c r="K196" s="90"/>
      <c r="L196" s="90"/>
      <c r="M196" s="90"/>
      <c r="P196" s="89"/>
      <c r="X196" s="90"/>
      <c r="Y196" s="90"/>
    </row>
    <row r="197" spans="7:25" ht="15.75" customHeight="1">
      <c r="G197" s="90"/>
      <c r="H197" s="90"/>
      <c r="J197" s="90"/>
      <c r="K197" s="90"/>
      <c r="L197" s="90"/>
      <c r="M197" s="90"/>
      <c r="P197" s="89"/>
      <c r="X197" s="90"/>
      <c r="Y197" s="90"/>
    </row>
    <row r="198" spans="7:25" ht="15.75" customHeight="1">
      <c r="G198" s="90"/>
      <c r="H198" s="90"/>
      <c r="J198" s="90"/>
      <c r="K198" s="90"/>
      <c r="L198" s="90"/>
      <c r="M198" s="90"/>
      <c r="P198" s="89"/>
      <c r="X198" s="90"/>
      <c r="Y198" s="90"/>
    </row>
    <row r="199" spans="7:25" ht="15.75" customHeight="1">
      <c r="G199" s="90"/>
      <c r="H199" s="90"/>
      <c r="J199" s="90"/>
      <c r="K199" s="90"/>
      <c r="L199" s="90"/>
      <c r="M199" s="90"/>
      <c r="P199" s="89"/>
      <c r="X199" s="90"/>
      <c r="Y199" s="90"/>
    </row>
    <row r="200" spans="7:25" ht="15.75" customHeight="1">
      <c r="G200" s="90"/>
      <c r="H200" s="90"/>
      <c r="J200" s="90"/>
      <c r="K200" s="90"/>
      <c r="L200" s="90"/>
      <c r="M200" s="90"/>
      <c r="P200" s="89"/>
      <c r="X200" s="90"/>
      <c r="Y200" s="90"/>
    </row>
    <row r="201" spans="7:25" ht="15.75" customHeight="1">
      <c r="G201" s="90"/>
      <c r="H201" s="90"/>
      <c r="J201" s="90"/>
      <c r="K201" s="90"/>
      <c r="L201" s="90"/>
      <c r="M201" s="90"/>
      <c r="P201" s="89"/>
      <c r="X201" s="90"/>
      <c r="Y201" s="90"/>
    </row>
    <row r="202" spans="7:25" ht="15.75" customHeight="1">
      <c r="G202" s="90"/>
      <c r="H202" s="90"/>
      <c r="J202" s="90"/>
      <c r="K202" s="90"/>
      <c r="L202" s="90"/>
      <c r="M202" s="90"/>
      <c r="P202" s="89"/>
      <c r="X202" s="90"/>
      <c r="Y202" s="90"/>
    </row>
    <row r="203" spans="7:25" ht="15.75" customHeight="1">
      <c r="G203" s="90"/>
      <c r="H203" s="90"/>
      <c r="J203" s="90"/>
      <c r="K203" s="90"/>
      <c r="L203" s="90"/>
      <c r="M203" s="90"/>
      <c r="P203" s="89"/>
      <c r="X203" s="90"/>
      <c r="Y203" s="90"/>
    </row>
    <row r="204" spans="7:25" ht="15.75" customHeight="1">
      <c r="G204" s="90"/>
      <c r="H204" s="90"/>
      <c r="J204" s="90"/>
      <c r="K204" s="90"/>
      <c r="L204" s="90"/>
      <c r="M204" s="90"/>
      <c r="P204" s="89"/>
      <c r="X204" s="90"/>
      <c r="Y204" s="90"/>
    </row>
    <row r="205" spans="7:25" ht="15.75" customHeight="1">
      <c r="G205" s="90"/>
      <c r="H205" s="90"/>
      <c r="J205" s="90"/>
      <c r="K205" s="90"/>
      <c r="L205" s="90"/>
      <c r="M205" s="90"/>
      <c r="P205" s="89"/>
      <c r="X205" s="90"/>
      <c r="Y205" s="90"/>
    </row>
    <row r="206" spans="7:25" ht="15.75" customHeight="1">
      <c r="G206" s="90"/>
      <c r="H206" s="90"/>
      <c r="J206" s="90"/>
      <c r="K206" s="90"/>
      <c r="L206" s="90"/>
      <c r="M206" s="90"/>
      <c r="P206" s="89"/>
      <c r="X206" s="90"/>
      <c r="Y206" s="90"/>
    </row>
    <row r="207" spans="7:25" ht="15.75" customHeight="1">
      <c r="G207" s="90"/>
      <c r="H207" s="90"/>
      <c r="J207" s="90"/>
      <c r="K207" s="90"/>
      <c r="L207" s="90"/>
      <c r="M207" s="90"/>
      <c r="P207" s="89"/>
      <c r="X207" s="90"/>
      <c r="Y207" s="90"/>
    </row>
    <row r="208" spans="7:25" ht="15.75" customHeight="1">
      <c r="G208" s="90"/>
      <c r="H208" s="90"/>
      <c r="J208" s="90"/>
      <c r="K208" s="90"/>
      <c r="L208" s="90"/>
      <c r="M208" s="90"/>
      <c r="P208" s="89"/>
      <c r="X208" s="90"/>
      <c r="Y208" s="90"/>
    </row>
    <row r="209" spans="7:25" ht="15.75" customHeight="1">
      <c r="G209" s="90"/>
      <c r="H209" s="90"/>
      <c r="J209" s="90"/>
      <c r="K209" s="90"/>
      <c r="L209" s="90"/>
      <c r="M209" s="90"/>
      <c r="P209" s="89"/>
      <c r="X209" s="90"/>
      <c r="Y209" s="90"/>
    </row>
    <row r="210" spans="7:25" ht="15.75" customHeight="1">
      <c r="G210" s="90"/>
      <c r="H210" s="90"/>
      <c r="J210" s="90"/>
      <c r="K210" s="90"/>
      <c r="L210" s="90"/>
      <c r="M210" s="90"/>
      <c r="P210" s="89"/>
      <c r="X210" s="90"/>
      <c r="Y210" s="90"/>
    </row>
    <row r="211" spans="7:25" ht="15.75" customHeight="1">
      <c r="G211" s="90"/>
      <c r="H211" s="90"/>
      <c r="J211" s="90"/>
      <c r="K211" s="90"/>
      <c r="L211" s="90"/>
      <c r="M211" s="90"/>
      <c r="P211" s="89"/>
      <c r="X211" s="90"/>
      <c r="Y211" s="90"/>
    </row>
    <row r="212" spans="7:25" ht="15.75" customHeight="1">
      <c r="G212" s="90"/>
      <c r="H212" s="90"/>
      <c r="J212" s="90"/>
      <c r="K212" s="90"/>
      <c r="L212" s="90"/>
      <c r="M212" s="90"/>
      <c r="P212" s="89"/>
      <c r="X212" s="90"/>
      <c r="Y212" s="90"/>
    </row>
    <row r="213" spans="7:25" ht="15.75" customHeight="1">
      <c r="G213" s="90"/>
      <c r="H213" s="90"/>
      <c r="J213" s="90"/>
      <c r="K213" s="90"/>
      <c r="L213" s="90"/>
      <c r="M213" s="90"/>
      <c r="P213" s="89"/>
      <c r="X213" s="90"/>
      <c r="Y213" s="90"/>
    </row>
    <row r="214" spans="7:25" ht="15.75" customHeight="1">
      <c r="G214" s="90"/>
      <c r="H214" s="90"/>
      <c r="J214" s="90"/>
      <c r="K214" s="90"/>
      <c r="L214" s="90"/>
      <c r="M214" s="90"/>
      <c r="P214" s="89"/>
      <c r="X214" s="90"/>
      <c r="Y214" s="90"/>
    </row>
    <row r="215" spans="7:25" ht="15.75" customHeight="1">
      <c r="G215" s="90"/>
      <c r="H215" s="90"/>
      <c r="J215" s="90"/>
      <c r="K215" s="90"/>
      <c r="L215" s="90"/>
      <c r="M215" s="90"/>
      <c r="P215" s="89"/>
      <c r="X215" s="90"/>
      <c r="Y215" s="90"/>
    </row>
    <row r="216" spans="7:25" ht="15.75" customHeight="1">
      <c r="G216" s="90"/>
      <c r="H216" s="90"/>
      <c r="J216" s="90"/>
      <c r="K216" s="90"/>
      <c r="L216" s="90"/>
      <c r="M216" s="90"/>
      <c r="P216" s="89"/>
      <c r="X216" s="90"/>
      <c r="Y216" s="90"/>
    </row>
    <row r="217" spans="7:25" ht="15.75" customHeight="1">
      <c r="G217" s="90"/>
      <c r="H217" s="90"/>
      <c r="J217" s="90"/>
      <c r="K217" s="90"/>
      <c r="L217" s="90"/>
      <c r="M217" s="90"/>
      <c r="P217" s="89"/>
      <c r="X217" s="90"/>
      <c r="Y217" s="90"/>
    </row>
    <row r="218" spans="7:25" ht="15.75" customHeight="1">
      <c r="G218" s="90"/>
      <c r="H218" s="90"/>
      <c r="J218" s="90"/>
      <c r="K218" s="90"/>
      <c r="L218" s="90"/>
      <c r="M218" s="90"/>
      <c r="P218" s="89"/>
      <c r="X218" s="90"/>
      <c r="Y218" s="90"/>
    </row>
    <row r="219" spans="7:25" ht="15.75" customHeight="1">
      <c r="G219" s="90"/>
      <c r="H219" s="90"/>
      <c r="J219" s="90"/>
      <c r="K219" s="90"/>
      <c r="L219" s="90"/>
      <c r="M219" s="90"/>
      <c r="P219" s="89"/>
      <c r="X219" s="90"/>
      <c r="Y219" s="90"/>
    </row>
    <row r="220" spans="7:25" ht="15.75" customHeight="1">
      <c r="G220" s="90"/>
      <c r="H220" s="90"/>
      <c r="J220" s="90"/>
      <c r="K220" s="90"/>
      <c r="L220" s="90"/>
      <c r="M220" s="90"/>
      <c r="P220" s="89"/>
      <c r="X220" s="90"/>
      <c r="Y220" s="90"/>
    </row>
    <row r="221" spans="7:25" ht="15.75" customHeight="1">
      <c r="G221" s="90"/>
      <c r="H221" s="90"/>
      <c r="J221" s="90"/>
      <c r="K221" s="90"/>
      <c r="L221" s="90"/>
      <c r="M221" s="90"/>
      <c r="P221" s="89"/>
      <c r="X221" s="90"/>
      <c r="Y221" s="90"/>
    </row>
    <row r="222" spans="7:25" ht="15.75" customHeight="1">
      <c r="G222" s="90"/>
      <c r="H222" s="90"/>
      <c r="J222" s="90"/>
      <c r="K222" s="90"/>
      <c r="L222" s="90"/>
      <c r="M222" s="90"/>
      <c r="P222" s="89"/>
      <c r="X222" s="90"/>
      <c r="Y222" s="90"/>
    </row>
    <row r="223" spans="7:25" ht="15.75" customHeight="1">
      <c r="G223" s="90"/>
      <c r="H223" s="90"/>
      <c r="J223" s="90"/>
      <c r="K223" s="90"/>
      <c r="L223" s="90"/>
      <c r="M223" s="90"/>
      <c r="P223" s="89"/>
      <c r="X223" s="90"/>
      <c r="Y223" s="90"/>
    </row>
    <row r="224" spans="7:25" ht="15.75" customHeight="1">
      <c r="G224" s="90"/>
      <c r="H224" s="90"/>
      <c r="J224" s="90"/>
      <c r="K224" s="90"/>
      <c r="L224" s="90"/>
      <c r="M224" s="90"/>
      <c r="P224" s="89"/>
      <c r="X224" s="90"/>
      <c r="Y224" s="90"/>
    </row>
    <row r="225" spans="7:25" ht="15.75" customHeight="1">
      <c r="G225" s="90"/>
      <c r="H225" s="90"/>
      <c r="J225" s="90"/>
      <c r="K225" s="90"/>
      <c r="L225" s="90"/>
      <c r="M225" s="90"/>
      <c r="P225" s="89"/>
      <c r="X225" s="90"/>
      <c r="Y225" s="90"/>
    </row>
    <row r="226" spans="7:25" ht="15.75" customHeight="1">
      <c r="G226" s="90"/>
      <c r="H226" s="90"/>
      <c r="J226" s="90"/>
      <c r="K226" s="90"/>
      <c r="L226" s="90"/>
      <c r="M226" s="90"/>
      <c r="P226" s="89"/>
      <c r="X226" s="90"/>
      <c r="Y226" s="90"/>
    </row>
    <row r="227" spans="7:25" ht="15.75" customHeight="1">
      <c r="G227" s="90"/>
      <c r="H227" s="90"/>
      <c r="J227" s="90"/>
      <c r="K227" s="90"/>
      <c r="L227" s="90"/>
      <c r="M227" s="90"/>
      <c r="P227" s="89"/>
      <c r="X227" s="90"/>
      <c r="Y227" s="90"/>
    </row>
    <row r="228" spans="7:25" ht="15.75" customHeight="1">
      <c r="G228" s="90"/>
      <c r="H228" s="90"/>
      <c r="J228" s="90"/>
      <c r="K228" s="90"/>
      <c r="L228" s="90"/>
      <c r="M228" s="90"/>
      <c r="P228" s="89"/>
      <c r="X228" s="90"/>
      <c r="Y228" s="90"/>
    </row>
    <row r="229" spans="7:25" ht="15.75" customHeight="1">
      <c r="G229" s="90"/>
      <c r="H229" s="90"/>
      <c r="J229" s="90"/>
      <c r="K229" s="90"/>
      <c r="L229" s="90"/>
      <c r="M229" s="90"/>
      <c r="P229" s="89"/>
      <c r="X229" s="90"/>
      <c r="Y229" s="90"/>
    </row>
    <row r="230" spans="7:25" ht="15.75" customHeight="1">
      <c r="G230" s="90"/>
      <c r="H230" s="90"/>
      <c r="J230" s="90"/>
      <c r="K230" s="90"/>
      <c r="L230" s="90"/>
      <c r="M230" s="90"/>
      <c r="P230" s="89"/>
      <c r="X230" s="90"/>
      <c r="Y230" s="90"/>
    </row>
    <row r="231" spans="7:25" ht="15.75" customHeight="1">
      <c r="G231" s="90"/>
      <c r="H231" s="90"/>
      <c r="J231" s="90"/>
      <c r="K231" s="90"/>
      <c r="L231" s="90"/>
      <c r="M231" s="90"/>
      <c r="P231" s="89"/>
      <c r="X231" s="90"/>
      <c r="Y231" s="90"/>
    </row>
    <row r="232" spans="7:25" ht="15.75" customHeight="1">
      <c r="G232" s="90"/>
      <c r="H232" s="90"/>
      <c r="J232" s="90"/>
      <c r="K232" s="90"/>
      <c r="L232" s="90"/>
      <c r="M232" s="90"/>
      <c r="P232" s="89"/>
      <c r="X232" s="90"/>
      <c r="Y232" s="90"/>
    </row>
    <row r="233" spans="7:25" ht="15.75" customHeight="1">
      <c r="G233" s="90"/>
      <c r="H233" s="90"/>
      <c r="J233" s="90"/>
      <c r="K233" s="90"/>
      <c r="L233" s="90"/>
      <c r="M233" s="90"/>
      <c r="P233" s="89"/>
      <c r="X233" s="90"/>
      <c r="Y233" s="90"/>
    </row>
    <row r="234" spans="7:25" ht="15.75" customHeight="1">
      <c r="G234" s="90"/>
      <c r="H234" s="90"/>
      <c r="J234" s="90"/>
      <c r="K234" s="90"/>
      <c r="L234" s="90"/>
      <c r="M234" s="90"/>
      <c r="P234" s="89"/>
      <c r="X234" s="90"/>
      <c r="Y234" s="90"/>
    </row>
    <row r="235" spans="7:25" ht="15.75" customHeight="1">
      <c r="G235" s="90"/>
      <c r="H235" s="90"/>
      <c r="J235" s="90"/>
      <c r="K235" s="90"/>
      <c r="L235" s="90"/>
      <c r="M235" s="90"/>
      <c r="P235" s="89"/>
      <c r="X235" s="90"/>
      <c r="Y235" s="90"/>
    </row>
    <row r="236" spans="7:25" ht="15.75" customHeight="1">
      <c r="G236" s="90"/>
      <c r="H236" s="90"/>
      <c r="J236" s="90"/>
      <c r="K236" s="90"/>
      <c r="L236" s="90"/>
      <c r="M236" s="90"/>
      <c r="P236" s="89"/>
      <c r="X236" s="90"/>
      <c r="Y236" s="90"/>
    </row>
    <row r="237" spans="7:25" ht="15.75" customHeight="1">
      <c r="G237" s="90"/>
      <c r="H237" s="90"/>
      <c r="J237" s="90"/>
      <c r="K237" s="90"/>
      <c r="L237" s="90"/>
      <c r="M237" s="90"/>
      <c r="P237" s="89"/>
      <c r="X237" s="90"/>
      <c r="Y237" s="90"/>
    </row>
    <row r="238" spans="7:25" ht="15.75" customHeight="1">
      <c r="G238" s="90"/>
      <c r="H238" s="90"/>
      <c r="J238" s="90"/>
      <c r="K238" s="90"/>
      <c r="L238" s="90"/>
      <c r="M238" s="90"/>
      <c r="P238" s="89"/>
      <c r="X238" s="90"/>
      <c r="Y238" s="90"/>
    </row>
    <row r="239" spans="7:25" ht="15.75" customHeight="1">
      <c r="G239" s="90"/>
      <c r="H239" s="90"/>
      <c r="J239" s="90"/>
      <c r="K239" s="90"/>
      <c r="L239" s="90"/>
      <c r="M239" s="90"/>
      <c r="P239" s="89"/>
      <c r="X239" s="90"/>
      <c r="Y239" s="90"/>
    </row>
    <row r="240" spans="7:25" ht="15.75" customHeight="1">
      <c r="G240" s="90"/>
      <c r="H240" s="90"/>
      <c r="J240" s="90"/>
      <c r="K240" s="90"/>
      <c r="L240" s="90"/>
      <c r="M240" s="90"/>
      <c r="P240" s="89"/>
      <c r="X240" s="90"/>
      <c r="Y240" s="90"/>
    </row>
    <row r="241" spans="7:25" ht="15.75" customHeight="1">
      <c r="G241" s="90"/>
      <c r="H241" s="90"/>
      <c r="J241" s="90"/>
      <c r="K241" s="90"/>
      <c r="L241" s="90"/>
      <c r="M241" s="90"/>
      <c r="P241" s="89"/>
      <c r="X241" s="90"/>
      <c r="Y241" s="90"/>
    </row>
    <row r="242" spans="7:25" ht="15.75" customHeight="1">
      <c r="G242" s="90"/>
      <c r="H242" s="90"/>
      <c r="J242" s="90"/>
      <c r="K242" s="90"/>
      <c r="L242" s="90"/>
      <c r="M242" s="90"/>
      <c r="P242" s="89"/>
      <c r="X242" s="90"/>
      <c r="Y242" s="90"/>
    </row>
    <row r="243" spans="7:25" ht="15.75" customHeight="1">
      <c r="G243" s="90"/>
      <c r="H243" s="90"/>
      <c r="J243" s="90"/>
      <c r="K243" s="90"/>
      <c r="L243" s="90"/>
      <c r="M243" s="90"/>
      <c r="P243" s="89"/>
      <c r="X243" s="90"/>
      <c r="Y243" s="90"/>
    </row>
    <row r="244" spans="7:25" ht="15.75" customHeight="1">
      <c r="G244" s="90"/>
      <c r="H244" s="90"/>
      <c r="J244" s="90"/>
      <c r="K244" s="90"/>
      <c r="L244" s="90"/>
      <c r="M244" s="90"/>
      <c r="P244" s="89"/>
      <c r="X244" s="90"/>
      <c r="Y244" s="90"/>
    </row>
    <row r="245" spans="7:25" ht="15.75" customHeight="1">
      <c r="G245" s="90"/>
      <c r="H245" s="90"/>
      <c r="J245" s="90"/>
      <c r="K245" s="90"/>
      <c r="L245" s="90"/>
      <c r="M245" s="90"/>
      <c r="P245" s="89"/>
      <c r="X245" s="90"/>
      <c r="Y245" s="90"/>
    </row>
    <row r="246" spans="7:25" ht="15.75" customHeight="1">
      <c r="G246" s="90"/>
      <c r="H246" s="90"/>
      <c r="J246" s="90"/>
      <c r="K246" s="90"/>
      <c r="L246" s="90"/>
      <c r="M246" s="90"/>
      <c r="P246" s="89"/>
      <c r="X246" s="90"/>
      <c r="Y246" s="90"/>
    </row>
    <row r="247" spans="7:25" ht="15.75" customHeight="1">
      <c r="G247" s="90"/>
      <c r="H247" s="90"/>
      <c r="J247" s="90"/>
      <c r="K247" s="90"/>
      <c r="L247" s="90"/>
      <c r="M247" s="90"/>
      <c r="P247" s="89"/>
      <c r="X247" s="90"/>
      <c r="Y247" s="90"/>
    </row>
    <row r="248" spans="7:25" ht="15.75" customHeight="1">
      <c r="G248" s="90"/>
      <c r="H248" s="90"/>
      <c r="J248" s="90"/>
      <c r="K248" s="90"/>
      <c r="L248" s="90"/>
      <c r="M248" s="90"/>
      <c r="P248" s="89"/>
      <c r="X248" s="90"/>
      <c r="Y248" s="90"/>
    </row>
    <row r="249" spans="7:25" ht="15.75" customHeight="1">
      <c r="G249" s="90"/>
      <c r="H249" s="90"/>
      <c r="J249" s="90"/>
      <c r="K249" s="90"/>
      <c r="L249" s="90"/>
      <c r="M249" s="90"/>
      <c r="P249" s="89"/>
      <c r="X249" s="90"/>
      <c r="Y249" s="90"/>
    </row>
    <row r="250" spans="7:25" ht="15.75" customHeight="1">
      <c r="G250" s="90"/>
      <c r="H250" s="90"/>
      <c r="J250" s="90"/>
      <c r="K250" s="90"/>
      <c r="L250" s="90"/>
      <c r="M250" s="90"/>
      <c r="P250" s="89"/>
      <c r="X250" s="90"/>
      <c r="Y250" s="90"/>
    </row>
    <row r="251" spans="7:25" ht="15.75" customHeight="1">
      <c r="G251" s="90"/>
      <c r="H251" s="90"/>
      <c r="J251" s="90"/>
      <c r="K251" s="90"/>
      <c r="L251" s="90"/>
      <c r="M251" s="90"/>
      <c r="P251" s="89"/>
      <c r="X251" s="90"/>
      <c r="Y251" s="90"/>
    </row>
    <row r="252" spans="7:25" ht="15.75" customHeight="1">
      <c r="G252" s="90"/>
      <c r="H252" s="90"/>
      <c r="J252" s="90"/>
      <c r="K252" s="90"/>
      <c r="L252" s="90"/>
      <c r="M252" s="90"/>
      <c r="P252" s="89"/>
      <c r="X252" s="90"/>
      <c r="Y252" s="90"/>
    </row>
    <row r="253" spans="7:25" ht="15.75" customHeight="1">
      <c r="G253" s="90"/>
      <c r="H253" s="90"/>
      <c r="J253" s="90"/>
      <c r="K253" s="90"/>
      <c r="L253" s="90"/>
      <c r="M253" s="90"/>
      <c r="P253" s="89"/>
      <c r="X253" s="90"/>
      <c r="Y253" s="90"/>
    </row>
    <row r="254" spans="7:25" ht="15.75" customHeight="1">
      <c r="G254" s="90"/>
      <c r="H254" s="90"/>
      <c r="J254" s="90"/>
      <c r="K254" s="90"/>
      <c r="L254" s="90"/>
      <c r="M254" s="90"/>
      <c r="P254" s="89"/>
      <c r="X254" s="90"/>
      <c r="Y254" s="90"/>
    </row>
    <row r="255" spans="7:25" ht="15.75" customHeight="1">
      <c r="G255" s="90"/>
      <c r="H255" s="90"/>
      <c r="J255" s="90"/>
      <c r="K255" s="90"/>
      <c r="L255" s="90"/>
      <c r="M255" s="90"/>
      <c r="P255" s="89"/>
      <c r="X255" s="90"/>
      <c r="Y255" s="90"/>
    </row>
    <row r="256" spans="7:25" ht="15.75" customHeight="1">
      <c r="G256" s="90"/>
      <c r="H256" s="90"/>
      <c r="J256" s="90"/>
      <c r="K256" s="90"/>
      <c r="L256" s="90"/>
      <c r="M256" s="90"/>
      <c r="P256" s="89"/>
      <c r="X256" s="90"/>
      <c r="Y256" s="90"/>
    </row>
    <row r="257" spans="7:25" ht="15.75" customHeight="1">
      <c r="G257" s="90"/>
      <c r="H257" s="90"/>
      <c r="J257" s="90"/>
      <c r="K257" s="90"/>
      <c r="L257" s="90"/>
      <c r="M257" s="90"/>
      <c r="P257" s="89"/>
      <c r="X257" s="90"/>
      <c r="Y257" s="90"/>
    </row>
    <row r="258" spans="7:25" ht="15.75" customHeight="1">
      <c r="G258" s="90"/>
      <c r="H258" s="90"/>
      <c r="J258" s="90"/>
      <c r="K258" s="90"/>
      <c r="L258" s="90"/>
      <c r="M258" s="90"/>
      <c r="P258" s="89"/>
      <c r="X258" s="90"/>
      <c r="Y258" s="90"/>
    </row>
    <row r="259" spans="7:25" ht="15.75" customHeight="1">
      <c r="G259" s="90"/>
      <c r="H259" s="90"/>
      <c r="J259" s="90"/>
      <c r="K259" s="90"/>
      <c r="L259" s="90"/>
      <c r="M259" s="90"/>
      <c r="P259" s="89"/>
      <c r="X259" s="90"/>
      <c r="Y259" s="90"/>
    </row>
    <row r="260" spans="7:25" ht="15.75" customHeight="1">
      <c r="G260" s="90"/>
      <c r="H260" s="90"/>
      <c r="J260" s="90"/>
      <c r="K260" s="90"/>
      <c r="L260" s="90"/>
      <c r="M260" s="90"/>
      <c r="P260" s="89"/>
      <c r="X260" s="90"/>
      <c r="Y260" s="90"/>
    </row>
    <row r="261" spans="7:25" ht="15.75" customHeight="1">
      <c r="G261" s="90"/>
      <c r="H261" s="90"/>
      <c r="J261" s="90"/>
      <c r="K261" s="90"/>
      <c r="L261" s="90"/>
      <c r="M261" s="90"/>
      <c r="P261" s="89"/>
      <c r="X261" s="90"/>
      <c r="Y261" s="90"/>
    </row>
    <row r="262" spans="7:25" ht="15.75" customHeight="1">
      <c r="G262" s="90"/>
      <c r="H262" s="90"/>
      <c r="J262" s="90"/>
      <c r="K262" s="90"/>
      <c r="L262" s="90"/>
      <c r="M262" s="90"/>
      <c r="P262" s="89"/>
      <c r="X262" s="90"/>
      <c r="Y262" s="90"/>
    </row>
    <row r="263" spans="7:25" ht="15.75" customHeight="1">
      <c r="G263" s="90"/>
      <c r="H263" s="90"/>
      <c r="J263" s="90"/>
      <c r="K263" s="90"/>
      <c r="L263" s="90"/>
      <c r="M263" s="90"/>
      <c r="P263" s="89"/>
      <c r="X263" s="90"/>
      <c r="Y263" s="90"/>
    </row>
    <row r="264" spans="7:25" ht="15.75" customHeight="1">
      <c r="G264" s="90"/>
      <c r="H264" s="90"/>
      <c r="J264" s="90"/>
      <c r="K264" s="90"/>
      <c r="L264" s="90"/>
      <c r="M264" s="90"/>
      <c r="P264" s="89"/>
      <c r="X264" s="90"/>
      <c r="Y264" s="90"/>
    </row>
    <row r="265" spans="7:25" ht="15.75" customHeight="1">
      <c r="G265" s="90"/>
      <c r="H265" s="90"/>
      <c r="J265" s="90"/>
      <c r="K265" s="90"/>
      <c r="L265" s="90"/>
      <c r="M265" s="90"/>
      <c r="P265" s="89"/>
      <c r="X265" s="90"/>
      <c r="Y265" s="90"/>
    </row>
    <row r="266" spans="7:25" ht="15.75" customHeight="1">
      <c r="G266" s="90"/>
      <c r="H266" s="90"/>
      <c r="J266" s="90"/>
      <c r="K266" s="90"/>
      <c r="L266" s="90"/>
      <c r="M266" s="90"/>
      <c r="P266" s="89"/>
      <c r="X266" s="90"/>
      <c r="Y266" s="90"/>
    </row>
    <row r="267" spans="7:25" ht="15.75" customHeight="1">
      <c r="G267" s="90"/>
      <c r="H267" s="90"/>
      <c r="J267" s="90"/>
      <c r="K267" s="90"/>
      <c r="L267" s="90"/>
      <c r="M267" s="90"/>
      <c r="P267" s="89"/>
      <c r="X267" s="90"/>
      <c r="Y267" s="90"/>
    </row>
    <row r="268" spans="7:25" ht="15.75" customHeight="1">
      <c r="G268" s="90"/>
      <c r="H268" s="90"/>
      <c r="J268" s="90"/>
      <c r="K268" s="90"/>
      <c r="L268" s="90"/>
      <c r="M268" s="90"/>
      <c r="P268" s="89"/>
      <c r="X268" s="90"/>
      <c r="Y268" s="90"/>
    </row>
    <row r="269" spans="7:25" ht="15.75" customHeight="1">
      <c r="G269" s="90"/>
      <c r="H269" s="90"/>
      <c r="J269" s="90"/>
      <c r="K269" s="90"/>
      <c r="L269" s="90"/>
      <c r="M269" s="90"/>
      <c r="P269" s="89"/>
      <c r="X269" s="90"/>
      <c r="Y269" s="90"/>
    </row>
    <row r="270" spans="7:25" ht="15.75" customHeight="1">
      <c r="G270" s="90"/>
      <c r="H270" s="90"/>
      <c r="J270" s="90"/>
      <c r="K270" s="90"/>
      <c r="L270" s="90"/>
      <c r="M270" s="90"/>
      <c r="P270" s="89"/>
      <c r="X270" s="90"/>
      <c r="Y270" s="90"/>
    </row>
    <row r="271" spans="7:25" ht="15.75" customHeight="1">
      <c r="G271" s="90"/>
      <c r="H271" s="90"/>
      <c r="J271" s="90"/>
      <c r="K271" s="90"/>
      <c r="L271" s="90"/>
      <c r="M271" s="90"/>
      <c r="P271" s="89"/>
      <c r="X271" s="90"/>
      <c r="Y271" s="90"/>
    </row>
    <row r="272" spans="7:25" ht="15.75" customHeight="1">
      <c r="G272" s="90"/>
      <c r="H272" s="90"/>
      <c r="J272" s="90"/>
      <c r="K272" s="90"/>
      <c r="L272" s="90"/>
      <c r="M272" s="90"/>
      <c r="P272" s="89"/>
      <c r="X272" s="90"/>
      <c r="Y272" s="90"/>
    </row>
    <row r="273" spans="7:25" ht="15.75" customHeight="1">
      <c r="G273" s="90"/>
      <c r="H273" s="90"/>
      <c r="J273" s="90"/>
      <c r="K273" s="90"/>
      <c r="L273" s="90"/>
      <c r="M273" s="90"/>
      <c r="P273" s="89"/>
      <c r="X273" s="90"/>
      <c r="Y273" s="90"/>
    </row>
    <row r="274" spans="7:25" ht="15.75" customHeight="1">
      <c r="G274" s="90"/>
      <c r="H274" s="90"/>
      <c r="J274" s="90"/>
      <c r="K274" s="90"/>
      <c r="L274" s="90"/>
      <c r="M274" s="90"/>
      <c r="P274" s="89"/>
      <c r="X274" s="90"/>
      <c r="Y274" s="90"/>
    </row>
    <row r="275" spans="7:25" ht="15.75" customHeight="1">
      <c r="G275" s="90"/>
      <c r="H275" s="90"/>
      <c r="J275" s="90"/>
      <c r="K275" s="90"/>
      <c r="L275" s="90"/>
      <c r="M275" s="90"/>
      <c r="P275" s="89"/>
      <c r="X275" s="90"/>
      <c r="Y275" s="90"/>
    </row>
    <row r="276" spans="7:25" ht="15.75" customHeight="1">
      <c r="G276" s="90"/>
      <c r="H276" s="90"/>
      <c r="J276" s="90"/>
      <c r="K276" s="90"/>
      <c r="L276" s="90"/>
      <c r="M276" s="90"/>
      <c r="P276" s="89"/>
      <c r="X276" s="90"/>
      <c r="Y276" s="90"/>
    </row>
    <row r="277" spans="7:25" ht="15.75" customHeight="1">
      <c r="G277" s="90"/>
      <c r="H277" s="90"/>
      <c r="J277" s="90"/>
      <c r="K277" s="90"/>
      <c r="L277" s="90"/>
      <c r="M277" s="90"/>
      <c r="P277" s="89"/>
      <c r="X277" s="90"/>
      <c r="Y277" s="90"/>
    </row>
    <row r="278" spans="7:25" ht="15.75" customHeight="1">
      <c r="G278" s="90"/>
      <c r="H278" s="90"/>
      <c r="J278" s="90"/>
      <c r="K278" s="90"/>
      <c r="L278" s="90"/>
      <c r="M278" s="90"/>
      <c r="P278" s="89"/>
      <c r="X278" s="90"/>
      <c r="Y278" s="90"/>
    </row>
    <row r="279" spans="7:25" ht="15.75" customHeight="1">
      <c r="G279" s="90"/>
      <c r="H279" s="90"/>
      <c r="J279" s="90"/>
      <c r="K279" s="90"/>
      <c r="L279" s="90"/>
      <c r="M279" s="90"/>
      <c r="P279" s="89"/>
      <c r="X279" s="90"/>
      <c r="Y279" s="90"/>
    </row>
    <row r="280" spans="7:25" ht="15.75" customHeight="1">
      <c r="G280" s="90"/>
      <c r="H280" s="90"/>
      <c r="J280" s="90"/>
      <c r="K280" s="90"/>
      <c r="L280" s="90"/>
      <c r="M280" s="90"/>
      <c r="P280" s="89"/>
      <c r="X280" s="90"/>
      <c r="Y280" s="90"/>
    </row>
    <row r="281" spans="7:25" ht="15.75" customHeight="1">
      <c r="G281" s="90"/>
      <c r="H281" s="90"/>
      <c r="J281" s="90"/>
      <c r="K281" s="90"/>
      <c r="L281" s="90"/>
      <c r="M281" s="90"/>
      <c r="P281" s="89"/>
      <c r="X281" s="90"/>
      <c r="Y281" s="90"/>
    </row>
    <row r="282" spans="7:25" ht="15.75" customHeight="1">
      <c r="G282" s="90"/>
      <c r="H282" s="90"/>
      <c r="J282" s="90"/>
      <c r="K282" s="90"/>
      <c r="L282" s="90"/>
      <c r="M282" s="90"/>
      <c r="P282" s="89"/>
      <c r="X282" s="90"/>
      <c r="Y282" s="90"/>
    </row>
    <row r="283" spans="7:25" ht="15.75" customHeight="1">
      <c r="G283" s="90"/>
      <c r="H283" s="90"/>
      <c r="J283" s="90"/>
      <c r="K283" s="90"/>
      <c r="L283" s="90"/>
      <c r="M283" s="90"/>
      <c r="P283" s="89"/>
      <c r="X283" s="90"/>
      <c r="Y283" s="90"/>
    </row>
    <row r="284" spans="7:25" ht="15.75" customHeight="1">
      <c r="G284" s="90"/>
      <c r="H284" s="90"/>
      <c r="J284" s="90"/>
      <c r="K284" s="90"/>
      <c r="L284" s="90"/>
      <c r="M284" s="90"/>
      <c r="P284" s="89"/>
      <c r="X284" s="90"/>
      <c r="Y284" s="90"/>
    </row>
    <row r="285" spans="7:25" ht="15.75" customHeight="1">
      <c r="G285" s="90"/>
      <c r="H285" s="90"/>
      <c r="J285" s="90"/>
      <c r="K285" s="90"/>
      <c r="L285" s="90"/>
      <c r="M285" s="90"/>
      <c r="P285" s="89"/>
      <c r="X285" s="90"/>
      <c r="Y285" s="90"/>
    </row>
    <row r="286" spans="7:25" ht="15.75" customHeight="1">
      <c r="G286" s="90"/>
      <c r="H286" s="90"/>
      <c r="J286" s="90"/>
      <c r="K286" s="90"/>
      <c r="L286" s="90"/>
      <c r="M286" s="90"/>
      <c r="P286" s="89"/>
      <c r="X286" s="90"/>
      <c r="Y286" s="90"/>
    </row>
    <row r="287" spans="7:25" ht="15.75" customHeight="1">
      <c r="G287" s="90"/>
      <c r="H287" s="90"/>
      <c r="J287" s="90"/>
      <c r="K287" s="90"/>
      <c r="L287" s="90"/>
      <c r="M287" s="90"/>
      <c r="P287" s="89"/>
      <c r="X287" s="90"/>
      <c r="Y287" s="90"/>
    </row>
    <row r="288" spans="7:25" ht="15.75" customHeight="1">
      <c r="G288" s="90"/>
      <c r="H288" s="90"/>
      <c r="J288" s="90"/>
      <c r="K288" s="90"/>
      <c r="L288" s="90"/>
      <c r="M288" s="90"/>
      <c r="P288" s="89"/>
      <c r="X288" s="90"/>
      <c r="Y288" s="90"/>
    </row>
    <row r="289" spans="7:25" ht="15.75" customHeight="1">
      <c r="G289" s="90"/>
      <c r="H289" s="90"/>
      <c r="J289" s="90"/>
      <c r="K289" s="90"/>
      <c r="L289" s="90"/>
      <c r="M289" s="90"/>
      <c r="P289" s="89"/>
      <c r="X289" s="90"/>
      <c r="Y289" s="90"/>
    </row>
    <row r="290" spans="7:25" ht="15.75" customHeight="1">
      <c r="G290" s="90"/>
      <c r="H290" s="90"/>
      <c r="J290" s="90"/>
      <c r="K290" s="90"/>
      <c r="L290" s="90"/>
      <c r="M290" s="90"/>
      <c r="P290" s="89"/>
      <c r="X290" s="90"/>
      <c r="Y290" s="90"/>
    </row>
    <row r="291" spans="7:25" ht="15.75" customHeight="1">
      <c r="G291" s="90"/>
      <c r="H291" s="90"/>
      <c r="J291" s="90"/>
      <c r="K291" s="90"/>
      <c r="L291" s="90"/>
      <c r="M291" s="90"/>
      <c r="P291" s="89"/>
      <c r="X291" s="90"/>
      <c r="Y291" s="90"/>
    </row>
    <row r="292" spans="7:25" ht="15.75" customHeight="1">
      <c r="G292" s="90"/>
      <c r="H292" s="90"/>
      <c r="J292" s="90"/>
      <c r="K292" s="90"/>
      <c r="L292" s="90"/>
      <c r="M292" s="90"/>
      <c r="P292" s="89"/>
      <c r="X292" s="90"/>
      <c r="Y292" s="90"/>
    </row>
    <row r="293" spans="7:25" ht="15.75" customHeight="1">
      <c r="G293" s="90"/>
      <c r="H293" s="90"/>
      <c r="J293" s="90"/>
      <c r="K293" s="90"/>
      <c r="L293" s="90"/>
      <c r="M293" s="90"/>
      <c r="P293" s="89"/>
      <c r="X293" s="90"/>
      <c r="Y293" s="90"/>
    </row>
    <row r="294" spans="7:25" ht="15.75" customHeight="1">
      <c r="G294" s="90"/>
      <c r="H294" s="90"/>
      <c r="J294" s="90"/>
      <c r="K294" s="90"/>
      <c r="L294" s="90"/>
      <c r="M294" s="90"/>
      <c r="P294" s="89"/>
      <c r="X294" s="90"/>
      <c r="Y294" s="90"/>
    </row>
    <row r="295" spans="7:25" ht="15.75" customHeight="1">
      <c r="G295" s="90"/>
      <c r="H295" s="90"/>
      <c r="J295" s="90"/>
      <c r="K295" s="90"/>
      <c r="L295" s="90"/>
      <c r="M295" s="90"/>
      <c r="P295" s="89"/>
      <c r="X295" s="90"/>
      <c r="Y295" s="90"/>
    </row>
    <row r="296" spans="7:25" ht="15.75" customHeight="1">
      <c r="G296" s="90"/>
      <c r="H296" s="90"/>
      <c r="J296" s="90"/>
      <c r="K296" s="90"/>
      <c r="L296" s="90"/>
      <c r="M296" s="90"/>
      <c r="P296" s="89"/>
      <c r="X296" s="90"/>
      <c r="Y296" s="90"/>
    </row>
    <row r="297" spans="7:25" ht="15.75" customHeight="1">
      <c r="G297" s="90"/>
      <c r="H297" s="90"/>
      <c r="J297" s="90"/>
      <c r="K297" s="90"/>
      <c r="L297" s="90"/>
      <c r="M297" s="90"/>
      <c r="P297" s="89"/>
      <c r="X297" s="90"/>
      <c r="Y297" s="90"/>
    </row>
    <row r="298" spans="7:25" ht="15.75" customHeight="1">
      <c r="G298" s="90"/>
      <c r="H298" s="90"/>
      <c r="J298" s="90"/>
      <c r="K298" s="90"/>
      <c r="L298" s="90"/>
      <c r="M298" s="90"/>
      <c r="P298" s="89"/>
      <c r="X298" s="90"/>
      <c r="Y298" s="90"/>
    </row>
    <row r="299" spans="7:25" ht="15.75" customHeight="1">
      <c r="G299" s="90"/>
      <c r="H299" s="90"/>
      <c r="J299" s="90"/>
      <c r="K299" s="90"/>
      <c r="L299" s="90"/>
      <c r="M299" s="90"/>
      <c r="P299" s="89"/>
      <c r="X299" s="90"/>
      <c r="Y299" s="90"/>
    </row>
    <row r="300" spans="7:25" ht="15.75" customHeight="1">
      <c r="G300" s="90"/>
      <c r="H300" s="90"/>
      <c r="J300" s="90"/>
      <c r="K300" s="90"/>
      <c r="L300" s="90"/>
      <c r="M300" s="90"/>
      <c r="P300" s="89"/>
      <c r="X300" s="90"/>
      <c r="Y300" s="90"/>
    </row>
    <row r="301" spans="7:25" ht="15.75" customHeight="1">
      <c r="G301" s="90"/>
      <c r="H301" s="90"/>
      <c r="J301" s="90"/>
      <c r="K301" s="90"/>
      <c r="L301" s="90"/>
      <c r="M301" s="90"/>
      <c r="P301" s="89"/>
      <c r="X301" s="90"/>
      <c r="Y301" s="90"/>
    </row>
    <row r="302" spans="7:25" ht="15.75" customHeight="1">
      <c r="G302" s="90"/>
      <c r="H302" s="90"/>
      <c r="J302" s="90"/>
      <c r="K302" s="90"/>
      <c r="L302" s="90"/>
      <c r="M302" s="90"/>
      <c r="P302" s="89"/>
      <c r="X302" s="90"/>
      <c r="Y302" s="90"/>
    </row>
    <row r="303" spans="7:25" ht="15.75" customHeight="1">
      <c r="G303" s="90"/>
      <c r="H303" s="90"/>
      <c r="J303" s="90"/>
      <c r="K303" s="90"/>
      <c r="L303" s="90"/>
      <c r="M303" s="90"/>
      <c r="P303" s="89"/>
      <c r="X303" s="90"/>
      <c r="Y303" s="90"/>
    </row>
    <row r="304" spans="7:25" ht="15.75" customHeight="1">
      <c r="G304" s="90"/>
      <c r="H304" s="90"/>
      <c r="J304" s="90"/>
      <c r="K304" s="90"/>
      <c r="L304" s="90"/>
      <c r="M304" s="90"/>
      <c r="P304" s="89"/>
      <c r="X304" s="90"/>
      <c r="Y304" s="90"/>
    </row>
    <row r="305" spans="7:25" ht="15.75" customHeight="1">
      <c r="G305" s="90"/>
      <c r="H305" s="90"/>
      <c r="J305" s="90"/>
      <c r="K305" s="90"/>
      <c r="L305" s="90"/>
      <c r="M305" s="90"/>
      <c r="P305" s="89"/>
      <c r="X305" s="90"/>
      <c r="Y305" s="90"/>
    </row>
    <row r="306" spans="7:25" ht="15.75" customHeight="1">
      <c r="G306" s="90"/>
      <c r="H306" s="90"/>
      <c r="J306" s="90"/>
      <c r="K306" s="90"/>
      <c r="L306" s="90"/>
      <c r="M306" s="90"/>
      <c r="P306" s="89"/>
      <c r="X306" s="90"/>
      <c r="Y306" s="90"/>
    </row>
    <row r="307" spans="7:25" ht="15.75" customHeight="1">
      <c r="G307" s="90"/>
      <c r="H307" s="90"/>
      <c r="J307" s="90"/>
      <c r="K307" s="90"/>
      <c r="L307" s="90"/>
      <c r="M307" s="90"/>
      <c r="P307" s="89"/>
      <c r="X307" s="90"/>
      <c r="Y307" s="90"/>
    </row>
    <row r="308" spans="7:25" ht="15.75" customHeight="1">
      <c r="G308" s="90"/>
      <c r="H308" s="90"/>
      <c r="J308" s="90"/>
      <c r="K308" s="90"/>
      <c r="L308" s="90"/>
      <c r="M308" s="90"/>
      <c r="P308" s="89"/>
      <c r="X308" s="90"/>
      <c r="Y308" s="90"/>
    </row>
    <row r="309" spans="7:25" ht="15.75" customHeight="1">
      <c r="G309" s="90"/>
      <c r="H309" s="90"/>
      <c r="J309" s="90"/>
      <c r="K309" s="90"/>
      <c r="L309" s="90"/>
      <c r="M309" s="90"/>
      <c r="P309" s="89"/>
      <c r="X309" s="90"/>
      <c r="Y309" s="90"/>
    </row>
    <row r="310" spans="7:25" ht="15.75" customHeight="1">
      <c r="G310" s="90"/>
      <c r="H310" s="90"/>
      <c r="J310" s="90"/>
      <c r="K310" s="90"/>
      <c r="L310" s="90"/>
      <c r="M310" s="90"/>
      <c r="P310" s="89"/>
      <c r="X310" s="90"/>
      <c r="Y310" s="90"/>
    </row>
    <row r="311" spans="7:25" ht="15.75" customHeight="1">
      <c r="G311" s="90"/>
      <c r="H311" s="90"/>
      <c r="J311" s="90"/>
      <c r="K311" s="90"/>
      <c r="L311" s="90"/>
      <c r="M311" s="90"/>
      <c r="P311" s="89"/>
      <c r="X311" s="90"/>
      <c r="Y311" s="90"/>
    </row>
    <row r="312" spans="7:25" ht="15.75" customHeight="1">
      <c r="G312" s="90"/>
      <c r="H312" s="90"/>
      <c r="J312" s="90"/>
      <c r="K312" s="90"/>
      <c r="L312" s="90"/>
      <c r="M312" s="90"/>
      <c r="P312" s="89"/>
      <c r="X312" s="90"/>
      <c r="Y312" s="90"/>
    </row>
    <row r="313" spans="7:25" ht="15.75" customHeight="1">
      <c r="G313" s="90"/>
      <c r="H313" s="90"/>
      <c r="J313" s="90"/>
      <c r="K313" s="90"/>
      <c r="L313" s="90"/>
      <c r="M313" s="90"/>
      <c r="P313" s="89"/>
      <c r="X313" s="90"/>
      <c r="Y313" s="90"/>
    </row>
    <row r="314" spans="7:25" ht="15.75" customHeight="1">
      <c r="G314" s="90"/>
      <c r="H314" s="90"/>
      <c r="J314" s="90"/>
      <c r="K314" s="90"/>
      <c r="L314" s="90"/>
      <c r="M314" s="90"/>
      <c r="P314" s="89"/>
      <c r="X314" s="90"/>
      <c r="Y314" s="90"/>
    </row>
    <row r="315" spans="7:25" ht="15.75" customHeight="1">
      <c r="G315" s="90"/>
      <c r="H315" s="90"/>
      <c r="J315" s="90"/>
      <c r="K315" s="90"/>
      <c r="L315" s="90"/>
      <c r="M315" s="90"/>
      <c r="P315" s="89"/>
      <c r="X315" s="90"/>
      <c r="Y315" s="90"/>
    </row>
    <row r="316" spans="7:25" ht="15.75" customHeight="1">
      <c r="G316" s="90"/>
      <c r="H316" s="90"/>
      <c r="J316" s="90"/>
      <c r="K316" s="90"/>
      <c r="L316" s="90"/>
      <c r="M316" s="90"/>
      <c r="P316" s="89"/>
      <c r="X316" s="90"/>
      <c r="Y316" s="90"/>
    </row>
    <row r="317" spans="7:25" ht="15.75" customHeight="1">
      <c r="G317" s="90"/>
      <c r="H317" s="90"/>
      <c r="J317" s="90"/>
      <c r="K317" s="90"/>
      <c r="L317" s="90"/>
      <c r="M317" s="90"/>
      <c r="P317" s="89"/>
      <c r="X317" s="90"/>
      <c r="Y317" s="90"/>
    </row>
    <row r="318" spans="7:25" ht="15.75" customHeight="1">
      <c r="G318" s="90"/>
      <c r="H318" s="90"/>
      <c r="J318" s="90"/>
      <c r="K318" s="90"/>
      <c r="L318" s="90"/>
      <c r="M318" s="90"/>
      <c r="P318" s="89"/>
      <c r="X318" s="90"/>
      <c r="Y318" s="90"/>
    </row>
    <row r="319" spans="7:25" ht="15.75" customHeight="1">
      <c r="G319" s="90"/>
      <c r="H319" s="90"/>
      <c r="J319" s="90"/>
      <c r="K319" s="90"/>
      <c r="L319" s="90"/>
      <c r="M319" s="90"/>
      <c r="P319" s="89"/>
      <c r="X319" s="90"/>
      <c r="Y319" s="90"/>
    </row>
    <row r="320" spans="7:25" ht="15.75" customHeight="1">
      <c r="G320" s="90"/>
      <c r="H320" s="90"/>
      <c r="J320" s="90"/>
      <c r="K320" s="90"/>
      <c r="L320" s="90"/>
      <c r="M320" s="90"/>
      <c r="P320" s="89"/>
      <c r="X320" s="90"/>
      <c r="Y320" s="90"/>
    </row>
    <row r="321" spans="7:25" ht="15.75" customHeight="1">
      <c r="G321" s="90"/>
      <c r="H321" s="90"/>
      <c r="J321" s="90"/>
      <c r="K321" s="90"/>
      <c r="L321" s="90"/>
      <c r="M321" s="90"/>
      <c r="P321" s="89"/>
      <c r="X321" s="90"/>
      <c r="Y321" s="90"/>
    </row>
    <row r="322" spans="7:25" ht="15.75" customHeight="1">
      <c r="G322" s="90"/>
      <c r="H322" s="90"/>
      <c r="J322" s="90"/>
      <c r="K322" s="90"/>
      <c r="L322" s="90"/>
      <c r="M322" s="90"/>
      <c r="P322" s="89"/>
      <c r="X322" s="90"/>
      <c r="Y322" s="90"/>
    </row>
    <row r="323" spans="7:25" ht="15.75" customHeight="1">
      <c r="G323" s="90"/>
      <c r="H323" s="90"/>
      <c r="J323" s="90"/>
      <c r="K323" s="90"/>
      <c r="L323" s="90"/>
      <c r="M323" s="90"/>
      <c r="P323" s="89"/>
      <c r="X323" s="90"/>
      <c r="Y323" s="90"/>
    </row>
    <row r="324" spans="7:25" ht="15.75" customHeight="1">
      <c r="G324" s="90"/>
      <c r="H324" s="90"/>
      <c r="J324" s="90"/>
      <c r="K324" s="90"/>
      <c r="L324" s="90"/>
      <c r="M324" s="90"/>
      <c r="P324" s="89"/>
      <c r="X324" s="90"/>
      <c r="Y324" s="90"/>
    </row>
    <row r="325" spans="7:25" ht="15.75" customHeight="1">
      <c r="G325" s="90"/>
      <c r="H325" s="90"/>
      <c r="J325" s="90"/>
      <c r="K325" s="90"/>
      <c r="L325" s="90"/>
      <c r="M325" s="90"/>
      <c r="P325" s="89"/>
      <c r="X325" s="90"/>
      <c r="Y325" s="90"/>
    </row>
    <row r="326" spans="7:25" ht="15.75" customHeight="1">
      <c r="G326" s="90"/>
      <c r="H326" s="90"/>
      <c r="J326" s="90"/>
      <c r="K326" s="90"/>
      <c r="L326" s="90"/>
      <c r="M326" s="90"/>
      <c r="P326" s="89"/>
      <c r="X326" s="90"/>
      <c r="Y326" s="90"/>
    </row>
    <row r="327" spans="7:25" ht="15.75" customHeight="1">
      <c r="G327" s="90"/>
      <c r="H327" s="90"/>
      <c r="J327" s="90"/>
      <c r="K327" s="90"/>
      <c r="L327" s="90"/>
      <c r="M327" s="90"/>
      <c r="P327" s="89"/>
      <c r="X327" s="90"/>
      <c r="Y327" s="90"/>
    </row>
    <row r="328" spans="7:25" ht="15.75" customHeight="1">
      <c r="G328" s="90"/>
      <c r="H328" s="90"/>
      <c r="J328" s="90"/>
      <c r="K328" s="90"/>
      <c r="L328" s="90"/>
      <c r="M328" s="90"/>
      <c r="P328" s="89"/>
      <c r="X328" s="90"/>
      <c r="Y328" s="90"/>
    </row>
    <row r="329" spans="7:25" ht="15.75" customHeight="1">
      <c r="G329" s="90"/>
      <c r="H329" s="90"/>
      <c r="J329" s="90"/>
      <c r="K329" s="90"/>
      <c r="L329" s="90"/>
      <c r="M329" s="90"/>
      <c r="P329" s="89"/>
      <c r="X329" s="90"/>
      <c r="Y329" s="90"/>
    </row>
    <row r="330" spans="7:25" ht="15.75" customHeight="1">
      <c r="G330" s="90"/>
      <c r="H330" s="90"/>
      <c r="J330" s="90"/>
      <c r="K330" s="90"/>
      <c r="L330" s="90"/>
      <c r="M330" s="90"/>
      <c r="P330" s="89"/>
      <c r="X330" s="90"/>
      <c r="Y330" s="90"/>
    </row>
    <row r="331" spans="7:25" ht="15.75" customHeight="1">
      <c r="G331" s="90"/>
      <c r="H331" s="90"/>
      <c r="J331" s="90"/>
      <c r="K331" s="90"/>
      <c r="L331" s="90"/>
      <c r="M331" s="90"/>
      <c r="P331" s="89"/>
      <c r="X331" s="90"/>
      <c r="Y331" s="90"/>
    </row>
    <row r="332" spans="7:25" ht="15.75" customHeight="1">
      <c r="G332" s="90"/>
      <c r="H332" s="90"/>
      <c r="J332" s="90"/>
      <c r="K332" s="90"/>
      <c r="L332" s="90"/>
      <c r="M332" s="90"/>
      <c r="P332" s="89"/>
      <c r="X332" s="90"/>
      <c r="Y332" s="90"/>
    </row>
    <row r="333" spans="7:25" ht="15.75" customHeight="1">
      <c r="G333" s="90"/>
      <c r="H333" s="90"/>
      <c r="J333" s="90"/>
      <c r="K333" s="90"/>
      <c r="L333" s="90"/>
      <c r="M333" s="90"/>
      <c r="P333" s="89"/>
      <c r="X333" s="90"/>
      <c r="Y333" s="90"/>
    </row>
    <row r="334" spans="7:25" ht="15.75" customHeight="1">
      <c r="G334" s="90"/>
      <c r="H334" s="90"/>
      <c r="J334" s="90"/>
      <c r="K334" s="90"/>
      <c r="L334" s="90"/>
      <c r="M334" s="90"/>
      <c r="P334" s="89"/>
      <c r="X334" s="90"/>
      <c r="Y334" s="90"/>
    </row>
    <row r="335" spans="7:25" ht="15.75" customHeight="1">
      <c r="G335" s="90"/>
      <c r="H335" s="90"/>
      <c r="J335" s="90"/>
      <c r="K335" s="90"/>
      <c r="L335" s="90"/>
      <c r="M335" s="90"/>
      <c r="P335" s="89"/>
      <c r="X335" s="90"/>
      <c r="Y335" s="90"/>
    </row>
    <row r="336" spans="7:25" ht="15.75" customHeight="1">
      <c r="G336" s="90"/>
      <c r="H336" s="90"/>
      <c r="J336" s="90"/>
      <c r="K336" s="90"/>
      <c r="L336" s="90"/>
      <c r="M336" s="90"/>
      <c r="P336" s="89"/>
      <c r="X336" s="90"/>
      <c r="Y336" s="90"/>
    </row>
    <row r="337" spans="7:25" ht="15.75" customHeight="1">
      <c r="G337" s="90"/>
      <c r="H337" s="90"/>
      <c r="J337" s="90"/>
      <c r="K337" s="90"/>
      <c r="L337" s="90"/>
      <c r="M337" s="90"/>
      <c r="P337" s="89"/>
      <c r="X337" s="90"/>
      <c r="Y337" s="90"/>
    </row>
    <row r="338" spans="7:25" ht="15.75" customHeight="1">
      <c r="G338" s="90"/>
      <c r="H338" s="90"/>
      <c r="J338" s="90"/>
      <c r="K338" s="90"/>
      <c r="L338" s="90"/>
      <c r="M338" s="90"/>
      <c r="P338" s="89"/>
      <c r="X338" s="90"/>
      <c r="Y338" s="90"/>
    </row>
    <row r="339" spans="7:25" ht="15.75" customHeight="1">
      <c r="G339" s="90"/>
      <c r="H339" s="90"/>
      <c r="J339" s="90"/>
      <c r="K339" s="90"/>
      <c r="L339" s="90"/>
      <c r="M339" s="90"/>
      <c r="P339" s="89"/>
      <c r="X339" s="90"/>
      <c r="Y339" s="90"/>
    </row>
    <row r="340" spans="7:25" ht="15.75" customHeight="1">
      <c r="G340" s="90"/>
      <c r="H340" s="90"/>
      <c r="J340" s="90"/>
      <c r="K340" s="90"/>
      <c r="L340" s="90"/>
      <c r="M340" s="90"/>
      <c r="P340" s="89"/>
      <c r="X340" s="90"/>
      <c r="Y340" s="90"/>
    </row>
    <row r="341" spans="7:25" ht="15.75" customHeight="1">
      <c r="G341" s="90"/>
      <c r="H341" s="90"/>
      <c r="J341" s="90"/>
      <c r="K341" s="90"/>
      <c r="L341" s="90"/>
      <c r="M341" s="90"/>
      <c r="P341" s="89"/>
      <c r="X341" s="90"/>
      <c r="Y341" s="90"/>
    </row>
    <row r="342" spans="7:25" ht="15.75" customHeight="1">
      <c r="G342" s="90"/>
      <c r="H342" s="90"/>
      <c r="J342" s="90"/>
      <c r="K342" s="90"/>
      <c r="L342" s="90"/>
      <c r="M342" s="90"/>
      <c r="P342" s="89"/>
      <c r="X342" s="90"/>
      <c r="Y342" s="90"/>
    </row>
    <row r="343" spans="7:25" ht="15.75" customHeight="1">
      <c r="G343" s="90"/>
      <c r="H343" s="90"/>
      <c r="J343" s="90"/>
      <c r="K343" s="90"/>
      <c r="L343" s="90"/>
      <c r="M343" s="90"/>
      <c r="P343" s="89"/>
      <c r="X343" s="90"/>
      <c r="Y343" s="90"/>
    </row>
    <row r="344" spans="7:25" ht="15.75" customHeight="1">
      <c r="G344" s="90"/>
      <c r="H344" s="90"/>
      <c r="J344" s="90"/>
      <c r="K344" s="90"/>
      <c r="L344" s="90"/>
      <c r="M344" s="90"/>
      <c r="P344" s="89"/>
      <c r="X344" s="90"/>
      <c r="Y344" s="90"/>
    </row>
    <row r="345" spans="7:25" ht="15.75" customHeight="1">
      <c r="G345" s="90"/>
      <c r="H345" s="90"/>
      <c r="J345" s="90"/>
      <c r="K345" s="90"/>
      <c r="L345" s="90"/>
      <c r="M345" s="90"/>
      <c r="P345" s="89"/>
      <c r="X345" s="90"/>
      <c r="Y345" s="90"/>
    </row>
    <row r="346" spans="7:25" ht="15.75" customHeight="1">
      <c r="G346" s="90"/>
      <c r="H346" s="90"/>
      <c r="J346" s="90"/>
      <c r="K346" s="90"/>
      <c r="L346" s="90"/>
      <c r="M346" s="90"/>
      <c r="P346" s="89"/>
      <c r="X346" s="90"/>
      <c r="Y346" s="90"/>
    </row>
    <row r="347" spans="7:25" ht="15.75" customHeight="1">
      <c r="G347" s="90"/>
      <c r="H347" s="90"/>
      <c r="J347" s="90"/>
      <c r="K347" s="90"/>
      <c r="L347" s="90"/>
      <c r="M347" s="90"/>
      <c r="P347" s="89"/>
      <c r="X347" s="90"/>
      <c r="Y347" s="90"/>
    </row>
    <row r="348" spans="7:25" ht="15.75" customHeight="1">
      <c r="G348" s="90"/>
      <c r="H348" s="90"/>
      <c r="J348" s="90"/>
      <c r="K348" s="90"/>
      <c r="L348" s="90"/>
      <c r="M348" s="90"/>
      <c r="P348" s="89"/>
      <c r="X348" s="90"/>
      <c r="Y348" s="90"/>
    </row>
    <row r="349" spans="7:25" ht="15.75" customHeight="1">
      <c r="G349" s="90"/>
      <c r="H349" s="90"/>
      <c r="J349" s="90"/>
      <c r="K349" s="90"/>
      <c r="L349" s="90"/>
      <c r="M349" s="90"/>
      <c r="P349" s="89"/>
      <c r="X349" s="90"/>
      <c r="Y349" s="90"/>
    </row>
    <row r="350" spans="7:25" ht="15.75" customHeight="1">
      <c r="G350" s="90"/>
      <c r="H350" s="90"/>
      <c r="J350" s="90"/>
      <c r="K350" s="90"/>
      <c r="L350" s="90"/>
      <c r="M350" s="90"/>
      <c r="P350" s="89"/>
      <c r="X350" s="90"/>
      <c r="Y350" s="90"/>
    </row>
    <row r="351" spans="7:25" ht="15.75" customHeight="1">
      <c r="G351" s="90"/>
      <c r="H351" s="90"/>
      <c r="J351" s="90"/>
      <c r="K351" s="90"/>
      <c r="L351" s="90"/>
      <c r="M351" s="90"/>
      <c r="P351" s="89"/>
      <c r="X351" s="90"/>
      <c r="Y351" s="90"/>
    </row>
    <row r="352" spans="7:25" ht="15.75" customHeight="1">
      <c r="G352" s="90"/>
      <c r="H352" s="90"/>
      <c r="J352" s="90"/>
      <c r="K352" s="90"/>
      <c r="L352" s="90"/>
      <c r="M352" s="90"/>
      <c r="P352" s="89"/>
      <c r="X352" s="90"/>
      <c r="Y352" s="90"/>
    </row>
    <row r="353" spans="7:25" ht="15.75" customHeight="1">
      <c r="G353" s="90"/>
      <c r="H353" s="90"/>
      <c r="J353" s="90"/>
      <c r="K353" s="90"/>
      <c r="L353" s="90"/>
      <c r="M353" s="90"/>
      <c r="P353" s="89"/>
      <c r="X353" s="90"/>
      <c r="Y353" s="90"/>
    </row>
    <row r="354" spans="7:25" ht="15.75" customHeight="1">
      <c r="G354" s="90"/>
      <c r="H354" s="90"/>
      <c r="J354" s="90"/>
      <c r="K354" s="90"/>
      <c r="L354" s="90"/>
      <c r="M354" s="90"/>
      <c r="P354" s="89"/>
      <c r="X354" s="90"/>
      <c r="Y354" s="90"/>
    </row>
    <row r="355" spans="7:25" ht="15.75" customHeight="1">
      <c r="G355" s="90"/>
      <c r="H355" s="90"/>
      <c r="J355" s="90"/>
      <c r="K355" s="90"/>
      <c r="L355" s="90"/>
      <c r="M355" s="90"/>
      <c r="P355" s="89"/>
      <c r="X355" s="90"/>
      <c r="Y355" s="90"/>
    </row>
    <row r="356" spans="7:25" ht="15.75" customHeight="1">
      <c r="G356" s="90"/>
      <c r="H356" s="90"/>
      <c r="J356" s="90"/>
      <c r="K356" s="90"/>
      <c r="L356" s="90"/>
      <c r="M356" s="90"/>
      <c r="P356" s="89"/>
      <c r="X356" s="90"/>
      <c r="Y356" s="90"/>
    </row>
    <row r="357" spans="7:25" ht="15.75" customHeight="1">
      <c r="G357" s="90"/>
      <c r="H357" s="90"/>
      <c r="J357" s="90"/>
      <c r="K357" s="90"/>
      <c r="L357" s="90"/>
      <c r="M357" s="90"/>
      <c r="P357" s="89"/>
      <c r="X357" s="90"/>
      <c r="Y357" s="90"/>
    </row>
    <row r="358" spans="7:25" ht="15.75" customHeight="1">
      <c r="G358" s="90"/>
      <c r="H358" s="90"/>
      <c r="J358" s="90"/>
      <c r="K358" s="90"/>
      <c r="L358" s="90"/>
      <c r="M358" s="90"/>
      <c r="P358" s="89"/>
      <c r="X358" s="90"/>
      <c r="Y358" s="90"/>
    </row>
    <row r="359" spans="7:25" ht="15.75" customHeight="1">
      <c r="G359" s="90"/>
      <c r="H359" s="90"/>
      <c r="J359" s="90"/>
      <c r="K359" s="90"/>
      <c r="L359" s="90"/>
      <c r="M359" s="90"/>
      <c r="P359" s="89"/>
      <c r="X359" s="90"/>
      <c r="Y359" s="90"/>
    </row>
    <row r="360" spans="7:25" ht="15.75" customHeight="1">
      <c r="G360" s="90"/>
      <c r="H360" s="90"/>
      <c r="J360" s="90"/>
      <c r="K360" s="90"/>
      <c r="L360" s="90"/>
      <c r="M360" s="90"/>
      <c r="P360" s="89"/>
      <c r="X360" s="90"/>
      <c r="Y360" s="90"/>
    </row>
    <row r="361" spans="7:25" ht="15.75" customHeight="1">
      <c r="G361" s="90"/>
      <c r="H361" s="90"/>
      <c r="J361" s="90"/>
      <c r="K361" s="90"/>
      <c r="L361" s="90"/>
      <c r="M361" s="90"/>
      <c r="P361" s="89"/>
      <c r="X361" s="90"/>
      <c r="Y361" s="90"/>
    </row>
    <row r="362" spans="7:25" ht="15.75" customHeight="1">
      <c r="G362" s="90"/>
      <c r="H362" s="90"/>
      <c r="J362" s="90"/>
      <c r="K362" s="90"/>
      <c r="L362" s="90"/>
      <c r="M362" s="90"/>
      <c r="P362" s="89"/>
      <c r="X362" s="90"/>
      <c r="Y362" s="90"/>
    </row>
    <row r="363" spans="7:25" ht="15.75" customHeight="1">
      <c r="G363" s="90"/>
      <c r="H363" s="90"/>
      <c r="J363" s="90"/>
      <c r="K363" s="90"/>
      <c r="L363" s="90"/>
      <c r="M363" s="90"/>
      <c r="P363" s="89"/>
      <c r="X363" s="90"/>
      <c r="Y363" s="90"/>
    </row>
    <row r="364" spans="7:25" ht="15.75" customHeight="1">
      <c r="G364" s="90"/>
      <c r="H364" s="90"/>
      <c r="J364" s="90"/>
      <c r="K364" s="90"/>
      <c r="L364" s="90"/>
      <c r="M364" s="90"/>
      <c r="P364" s="89"/>
      <c r="X364" s="90"/>
      <c r="Y364" s="90"/>
    </row>
    <row r="365" spans="7:25" ht="15.75" customHeight="1">
      <c r="G365" s="90"/>
      <c r="H365" s="90"/>
      <c r="J365" s="90"/>
      <c r="K365" s="90"/>
      <c r="L365" s="90"/>
      <c r="M365" s="90"/>
      <c r="P365" s="89"/>
      <c r="X365" s="90"/>
      <c r="Y365" s="90"/>
    </row>
    <row r="366" spans="7:25" ht="15.75" customHeight="1">
      <c r="G366" s="90"/>
      <c r="H366" s="90"/>
      <c r="J366" s="90"/>
      <c r="K366" s="90"/>
      <c r="L366" s="90"/>
      <c r="M366" s="90"/>
      <c r="P366" s="89"/>
      <c r="X366" s="90"/>
      <c r="Y366" s="90"/>
    </row>
    <row r="367" spans="7:25" ht="15.75" customHeight="1">
      <c r="G367" s="90"/>
      <c r="H367" s="90"/>
      <c r="J367" s="90"/>
      <c r="K367" s="90"/>
      <c r="L367" s="90"/>
      <c r="M367" s="90"/>
      <c r="P367" s="89"/>
      <c r="X367" s="90"/>
      <c r="Y367" s="90"/>
    </row>
    <row r="368" spans="7:25" ht="15.75" customHeight="1">
      <c r="G368" s="90"/>
      <c r="H368" s="90"/>
      <c r="J368" s="90"/>
      <c r="K368" s="90"/>
      <c r="L368" s="90"/>
      <c r="M368" s="90"/>
      <c r="P368" s="89"/>
      <c r="X368" s="90"/>
      <c r="Y368" s="90"/>
    </row>
    <row r="369" spans="7:25" ht="15.75" customHeight="1">
      <c r="G369" s="90"/>
      <c r="H369" s="90"/>
      <c r="J369" s="90"/>
      <c r="K369" s="90"/>
      <c r="L369" s="90"/>
      <c r="M369" s="90"/>
      <c r="P369" s="89"/>
      <c r="X369" s="90"/>
      <c r="Y369" s="90"/>
    </row>
    <row r="370" spans="7:25" ht="15.75" customHeight="1">
      <c r="G370" s="90"/>
      <c r="H370" s="90"/>
      <c r="J370" s="90"/>
      <c r="K370" s="90"/>
      <c r="L370" s="90"/>
      <c r="M370" s="90"/>
      <c r="P370" s="89"/>
      <c r="X370" s="90"/>
      <c r="Y370" s="90"/>
    </row>
    <row r="371" spans="7:25" ht="15.75" customHeight="1">
      <c r="G371" s="90"/>
      <c r="H371" s="90"/>
      <c r="J371" s="90"/>
      <c r="K371" s="90"/>
      <c r="L371" s="90"/>
      <c r="M371" s="90"/>
      <c r="P371" s="89"/>
      <c r="X371" s="90"/>
      <c r="Y371" s="90"/>
    </row>
    <row r="372" spans="7:25" ht="15.75" customHeight="1">
      <c r="G372" s="90"/>
      <c r="H372" s="90"/>
      <c r="J372" s="90"/>
      <c r="K372" s="90"/>
      <c r="L372" s="90"/>
      <c r="M372" s="90"/>
      <c r="P372" s="89"/>
      <c r="X372" s="90"/>
      <c r="Y372" s="90"/>
    </row>
    <row r="373" spans="7:25" ht="15.75" customHeight="1">
      <c r="G373" s="90"/>
      <c r="H373" s="90"/>
      <c r="J373" s="90"/>
      <c r="K373" s="90"/>
      <c r="L373" s="90"/>
      <c r="M373" s="90"/>
      <c r="P373" s="89"/>
      <c r="X373" s="90"/>
      <c r="Y373" s="90"/>
    </row>
    <row r="374" spans="7:25" ht="15.75" customHeight="1">
      <c r="G374" s="90"/>
      <c r="H374" s="90"/>
      <c r="J374" s="90"/>
      <c r="K374" s="90"/>
      <c r="L374" s="90"/>
      <c r="M374" s="90"/>
      <c r="P374" s="89"/>
      <c r="X374" s="90"/>
      <c r="Y374" s="90"/>
    </row>
    <row r="375" spans="7:25" ht="15.75" customHeight="1">
      <c r="G375" s="90"/>
      <c r="H375" s="90"/>
      <c r="J375" s="90"/>
      <c r="K375" s="90"/>
      <c r="L375" s="90"/>
      <c r="M375" s="90"/>
      <c r="P375" s="89"/>
      <c r="X375" s="90"/>
      <c r="Y375" s="90"/>
    </row>
    <row r="376" spans="7:25" ht="15.75" customHeight="1">
      <c r="G376" s="90"/>
      <c r="H376" s="90"/>
      <c r="J376" s="90"/>
      <c r="K376" s="90"/>
      <c r="L376" s="90"/>
      <c r="M376" s="90"/>
      <c r="P376" s="89"/>
      <c r="X376" s="90"/>
      <c r="Y376" s="90"/>
    </row>
    <row r="377" spans="7:25" ht="15.75" customHeight="1">
      <c r="G377" s="90"/>
      <c r="H377" s="90"/>
      <c r="J377" s="90"/>
      <c r="K377" s="90"/>
      <c r="L377" s="90"/>
      <c r="M377" s="90"/>
      <c r="P377" s="89"/>
      <c r="X377" s="90"/>
      <c r="Y377" s="90"/>
    </row>
    <row r="378" spans="7:25" ht="15.75" customHeight="1">
      <c r="G378" s="90"/>
      <c r="H378" s="90"/>
      <c r="J378" s="90"/>
      <c r="K378" s="90"/>
      <c r="L378" s="90"/>
      <c r="M378" s="90"/>
      <c r="P378" s="89"/>
      <c r="X378" s="90"/>
      <c r="Y378" s="90"/>
    </row>
    <row r="379" spans="7:25" ht="15.75" customHeight="1">
      <c r="G379" s="90"/>
      <c r="H379" s="90"/>
      <c r="J379" s="90"/>
      <c r="K379" s="90"/>
      <c r="L379" s="90"/>
      <c r="M379" s="90"/>
      <c r="P379" s="89"/>
      <c r="X379" s="90"/>
      <c r="Y379" s="90"/>
    </row>
    <row r="380" spans="7:25" ht="15.75" customHeight="1">
      <c r="G380" s="90"/>
      <c r="H380" s="90"/>
      <c r="J380" s="90"/>
      <c r="K380" s="90"/>
      <c r="L380" s="90"/>
      <c r="M380" s="90"/>
      <c r="P380" s="89"/>
      <c r="X380" s="90"/>
      <c r="Y380" s="90"/>
    </row>
    <row r="381" spans="7:25" ht="15.75" customHeight="1">
      <c r="G381" s="90"/>
      <c r="H381" s="90"/>
      <c r="J381" s="90"/>
      <c r="K381" s="90"/>
      <c r="L381" s="90"/>
      <c r="M381" s="90"/>
      <c r="P381" s="89"/>
      <c r="X381" s="90"/>
      <c r="Y381" s="90"/>
    </row>
    <row r="382" spans="7:25" ht="15.75" customHeight="1">
      <c r="G382" s="90"/>
      <c r="H382" s="90"/>
      <c r="J382" s="90"/>
      <c r="K382" s="90"/>
      <c r="L382" s="90"/>
      <c r="M382" s="90"/>
      <c r="P382" s="89"/>
      <c r="X382" s="90"/>
      <c r="Y382" s="90"/>
    </row>
    <row r="383" spans="7:25" ht="15.75" customHeight="1">
      <c r="G383" s="90"/>
      <c r="H383" s="90"/>
      <c r="J383" s="90"/>
      <c r="K383" s="90"/>
      <c r="L383" s="90"/>
      <c r="M383" s="90"/>
      <c r="P383" s="89"/>
      <c r="X383" s="90"/>
      <c r="Y383" s="90"/>
    </row>
    <row r="384" spans="7:25" ht="15.75" customHeight="1">
      <c r="G384" s="90"/>
      <c r="H384" s="90"/>
      <c r="J384" s="90"/>
      <c r="K384" s="90"/>
      <c r="L384" s="90"/>
      <c r="M384" s="90"/>
      <c r="P384" s="89"/>
      <c r="X384" s="90"/>
      <c r="Y384" s="90"/>
    </row>
    <row r="385" spans="7:25" ht="15.75" customHeight="1">
      <c r="G385" s="90"/>
      <c r="H385" s="90"/>
      <c r="J385" s="90"/>
      <c r="K385" s="90"/>
      <c r="L385" s="90"/>
      <c r="M385" s="90"/>
      <c r="P385" s="89"/>
      <c r="X385" s="90"/>
      <c r="Y385" s="90"/>
    </row>
    <row r="386" spans="7:25" ht="15.75" customHeight="1">
      <c r="G386" s="90"/>
      <c r="H386" s="90"/>
      <c r="J386" s="90"/>
      <c r="K386" s="90"/>
      <c r="L386" s="90"/>
      <c r="M386" s="90"/>
      <c r="P386" s="89"/>
      <c r="X386" s="90"/>
      <c r="Y386" s="90"/>
    </row>
    <row r="387" spans="7:25" ht="15.75" customHeight="1">
      <c r="G387" s="90"/>
      <c r="H387" s="90"/>
      <c r="J387" s="90"/>
      <c r="K387" s="90"/>
      <c r="L387" s="90"/>
      <c r="M387" s="90"/>
      <c r="P387" s="89"/>
      <c r="X387" s="90"/>
      <c r="Y387" s="90"/>
    </row>
    <row r="388" spans="7:25" ht="15.75" customHeight="1">
      <c r="G388" s="90"/>
      <c r="H388" s="90"/>
      <c r="J388" s="90"/>
      <c r="K388" s="90"/>
      <c r="L388" s="90"/>
      <c r="M388" s="90"/>
      <c r="P388" s="89"/>
      <c r="X388" s="90"/>
      <c r="Y388" s="90"/>
    </row>
    <row r="389" spans="7:25" ht="15.75" customHeight="1">
      <c r="G389" s="90"/>
      <c r="H389" s="90"/>
      <c r="J389" s="90"/>
      <c r="K389" s="90"/>
      <c r="L389" s="90"/>
      <c r="M389" s="90"/>
      <c r="P389" s="89"/>
      <c r="X389" s="90"/>
      <c r="Y389" s="90"/>
    </row>
    <row r="390" spans="7:25" ht="15.75" customHeight="1">
      <c r="G390" s="90"/>
      <c r="H390" s="90"/>
      <c r="J390" s="90"/>
      <c r="K390" s="90"/>
      <c r="L390" s="90"/>
      <c r="M390" s="90"/>
      <c r="P390" s="89"/>
      <c r="X390" s="90"/>
      <c r="Y390" s="90"/>
    </row>
    <row r="391" spans="7:25" ht="15.75" customHeight="1">
      <c r="G391" s="90"/>
      <c r="H391" s="90"/>
      <c r="J391" s="90"/>
      <c r="K391" s="90"/>
      <c r="L391" s="90"/>
      <c r="M391" s="90"/>
      <c r="P391" s="89"/>
      <c r="X391" s="90"/>
      <c r="Y391" s="90"/>
    </row>
    <row r="392" spans="7:25" ht="15.75" customHeight="1">
      <c r="G392" s="90"/>
      <c r="H392" s="90"/>
      <c r="J392" s="90"/>
      <c r="K392" s="90"/>
      <c r="L392" s="90"/>
      <c r="M392" s="90"/>
      <c r="P392" s="89"/>
      <c r="X392" s="90"/>
      <c r="Y392" s="90"/>
    </row>
    <row r="393" spans="7:25" ht="15.75" customHeight="1">
      <c r="G393" s="90"/>
      <c r="H393" s="90"/>
      <c r="J393" s="90"/>
      <c r="K393" s="90"/>
      <c r="L393" s="90"/>
      <c r="M393" s="90"/>
      <c r="P393" s="89"/>
      <c r="X393" s="90"/>
      <c r="Y393" s="90"/>
    </row>
    <row r="394" spans="7:25" ht="15.75" customHeight="1">
      <c r="G394" s="90"/>
      <c r="H394" s="90"/>
      <c r="J394" s="90"/>
      <c r="K394" s="90"/>
      <c r="L394" s="90"/>
      <c r="M394" s="90"/>
      <c r="P394" s="89"/>
      <c r="X394" s="90"/>
      <c r="Y394" s="90"/>
    </row>
    <row r="395" spans="7:25" ht="15.75" customHeight="1">
      <c r="G395" s="90"/>
      <c r="H395" s="90"/>
      <c r="J395" s="90"/>
      <c r="K395" s="90"/>
      <c r="L395" s="90"/>
      <c r="M395" s="90"/>
      <c r="P395" s="89"/>
      <c r="X395" s="90"/>
      <c r="Y395" s="90"/>
    </row>
    <row r="396" spans="7:25" ht="15.75" customHeight="1">
      <c r="G396" s="90"/>
      <c r="H396" s="90"/>
      <c r="J396" s="90"/>
      <c r="K396" s="90"/>
      <c r="L396" s="90"/>
      <c r="M396" s="90"/>
      <c r="P396" s="89"/>
      <c r="X396" s="90"/>
      <c r="Y396" s="90"/>
    </row>
    <row r="397" spans="7:25" ht="15.75" customHeight="1">
      <c r="G397" s="90"/>
      <c r="H397" s="90"/>
      <c r="J397" s="90"/>
      <c r="K397" s="90"/>
      <c r="L397" s="90"/>
      <c r="M397" s="90"/>
      <c r="P397" s="89"/>
      <c r="X397" s="90"/>
      <c r="Y397" s="90"/>
    </row>
    <row r="398" spans="7:25" ht="15.75" customHeight="1">
      <c r="G398" s="90"/>
      <c r="H398" s="90"/>
      <c r="J398" s="90"/>
      <c r="K398" s="90"/>
      <c r="L398" s="90"/>
      <c r="M398" s="90"/>
      <c r="P398" s="89"/>
      <c r="X398" s="90"/>
      <c r="Y398" s="90"/>
    </row>
    <row r="399" spans="7:25" ht="15.75" customHeight="1">
      <c r="G399" s="90"/>
      <c r="H399" s="90"/>
      <c r="J399" s="90"/>
      <c r="K399" s="90"/>
      <c r="L399" s="90"/>
      <c r="M399" s="90"/>
      <c r="P399" s="89"/>
      <c r="X399" s="90"/>
      <c r="Y399" s="90"/>
    </row>
    <row r="400" spans="7:25" ht="15.75" customHeight="1">
      <c r="G400" s="90"/>
      <c r="H400" s="90"/>
      <c r="J400" s="90"/>
      <c r="K400" s="90"/>
      <c r="L400" s="90"/>
      <c r="M400" s="90"/>
      <c r="P400" s="89"/>
      <c r="X400" s="90"/>
      <c r="Y400" s="90"/>
    </row>
    <row r="401" spans="7:25" ht="15.75" customHeight="1">
      <c r="G401" s="90"/>
      <c r="H401" s="90"/>
      <c r="J401" s="90"/>
      <c r="K401" s="90"/>
      <c r="L401" s="90"/>
      <c r="M401" s="90"/>
      <c r="P401" s="89"/>
      <c r="X401" s="90"/>
      <c r="Y401" s="90"/>
    </row>
    <row r="402" spans="7:25" ht="15.75" customHeight="1">
      <c r="G402" s="90"/>
      <c r="H402" s="90"/>
      <c r="J402" s="90"/>
      <c r="K402" s="90"/>
      <c r="L402" s="90"/>
      <c r="M402" s="90"/>
      <c r="P402" s="89"/>
      <c r="X402" s="90"/>
      <c r="Y402" s="90"/>
    </row>
    <row r="403" spans="7:25" ht="15.75" customHeight="1">
      <c r="G403" s="90"/>
      <c r="H403" s="90"/>
      <c r="J403" s="90"/>
      <c r="K403" s="90"/>
      <c r="L403" s="90"/>
      <c r="M403" s="90"/>
      <c r="P403" s="89"/>
      <c r="X403" s="90"/>
      <c r="Y403" s="90"/>
    </row>
    <row r="404" spans="7:25" ht="15.75" customHeight="1">
      <c r="G404" s="90"/>
      <c r="H404" s="90"/>
      <c r="J404" s="90"/>
      <c r="K404" s="90"/>
      <c r="L404" s="90"/>
      <c r="M404" s="90"/>
      <c r="P404" s="89"/>
      <c r="X404" s="90"/>
      <c r="Y404" s="90"/>
    </row>
    <row r="405" spans="7:25" ht="15.75" customHeight="1">
      <c r="G405" s="90"/>
      <c r="H405" s="90"/>
      <c r="J405" s="90"/>
      <c r="K405" s="90"/>
      <c r="L405" s="90"/>
      <c r="M405" s="90"/>
      <c r="P405" s="89"/>
      <c r="X405" s="90"/>
      <c r="Y405" s="90"/>
    </row>
    <row r="406" spans="7:25" ht="15.75" customHeight="1">
      <c r="G406" s="90"/>
      <c r="H406" s="90"/>
      <c r="J406" s="90"/>
      <c r="K406" s="90"/>
      <c r="L406" s="90"/>
      <c r="M406" s="90"/>
      <c r="P406" s="89"/>
      <c r="X406" s="90"/>
      <c r="Y406" s="90"/>
    </row>
    <row r="407" spans="7:25" ht="15.75" customHeight="1">
      <c r="G407" s="90"/>
      <c r="H407" s="90"/>
      <c r="J407" s="90"/>
      <c r="K407" s="90"/>
      <c r="L407" s="90"/>
      <c r="M407" s="90"/>
      <c r="P407" s="89"/>
      <c r="X407" s="90"/>
      <c r="Y407" s="90"/>
    </row>
    <row r="408" spans="7:25" ht="15.75" customHeight="1">
      <c r="G408" s="90"/>
      <c r="H408" s="90"/>
      <c r="J408" s="90"/>
      <c r="K408" s="90"/>
      <c r="L408" s="90"/>
      <c r="M408" s="90"/>
      <c r="P408" s="89"/>
      <c r="X408" s="90"/>
      <c r="Y408" s="90"/>
    </row>
    <row r="409" spans="7:25" ht="15.75" customHeight="1">
      <c r="G409" s="90"/>
      <c r="H409" s="90"/>
      <c r="J409" s="90"/>
      <c r="K409" s="90"/>
      <c r="L409" s="90"/>
      <c r="M409" s="90"/>
      <c r="P409" s="89"/>
      <c r="X409" s="90"/>
      <c r="Y409" s="90"/>
    </row>
    <row r="410" spans="7:25" ht="15.75" customHeight="1">
      <c r="G410" s="90"/>
      <c r="H410" s="90"/>
      <c r="J410" s="90"/>
      <c r="K410" s="90"/>
      <c r="L410" s="90"/>
      <c r="M410" s="90"/>
      <c r="P410" s="89"/>
      <c r="X410" s="90"/>
      <c r="Y410" s="90"/>
    </row>
    <row r="411" spans="7:25" ht="15.75" customHeight="1">
      <c r="G411" s="90"/>
      <c r="H411" s="90"/>
      <c r="J411" s="90"/>
      <c r="K411" s="90"/>
      <c r="L411" s="90"/>
      <c r="M411" s="90"/>
      <c r="P411" s="89"/>
      <c r="X411" s="90"/>
      <c r="Y411" s="90"/>
    </row>
    <row r="412" spans="7:25" ht="15.75" customHeight="1">
      <c r="G412" s="90"/>
      <c r="H412" s="90"/>
      <c r="J412" s="90"/>
      <c r="K412" s="90"/>
      <c r="L412" s="90"/>
      <c r="M412" s="90"/>
      <c r="P412" s="89"/>
      <c r="X412" s="90"/>
      <c r="Y412" s="90"/>
    </row>
    <row r="413" spans="7:25" ht="15.75" customHeight="1">
      <c r="G413" s="90"/>
      <c r="H413" s="90"/>
      <c r="J413" s="90"/>
      <c r="K413" s="90"/>
      <c r="L413" s="90"/>
      <c r="M413" s="90"/>
      <c r="P413" s="89"/>
      <c r="X413" s="90"/>
      <c r="Y413" s="90"/>
    </row>
    <row r="414" spans="7:25" ht="15.75" customHeight="1">
      <c r="G414" s="90"/>
      <c r="H414" s="90"/>
      <c r="J414" s="90"/>
      <c r="K414" s="90"/>
      <c r="L414" s="90"/>
      <c r="M414" s="90"/>
      <c r="P414" s="89"/>
      <c r="X414" s="90"/>
      <c r="Y414" s="90"/>
    </row>
    <row r="415" spans="7:25" ht="15.75" customHeight="1">
      <c r="G415" s="90"/>
      <c r="H415" s="90"/>
      <c r="J415" s="90"/>
      <c r="K415" s="90"/>
      <c r="L415" s="90"/>
      <c r="M415" s="90"/>
      <c r="P415" s="89"/>
      <c r="X415" s="90"/>
      <c r="Y415" s="90"/>
    </row>
    <row r="416" spans="7:25" ht="15.75" customHeight="1">
      <c r="G416" s="90"/>
      <c r="H416" s="90"/>
      <c r="J416" s="90"/>
      <c r="K416" s="90"/>
      <c r="L416" s="90"/>
      <c r="M416" s="90"/>
      <c r="P416" s="89"/>
      <c r="X416" s="90"/>
      <c r="Y416" s="90"/>
    </row>
    <row r="417" spans="7:25" ht="15.75" customHeight="1">
      <c r="G417" s="90"/>
      <c r="H417" s="90"/>
      <c r="J417" s="90"/>
      <c r="K417" s="90"/>
      <c r="L417" s="90"/>
      <c r="M417" s="90"/>
      <c r="P417" s="89"/>
      <c r="X417" s="90"/>
      <c r="Y417" s="90"/>
    </row>
    <row r="418" spans="7:25" ht="15.75" customHeight="1">
      <c r="G418" s="90"/>
      <c r="H418" s="90"/>
      <c r="J418" s="90"/>
      <c r="K418" s="90"/>
      <c r="L418" s="90"/>
      <c r="M418" s="90"/>
      <c r="P418" s="89"/>
      <c r="X418" s="90"/>
      <c r="Y418" s="90"/>
    </row>
    <row r="419" spans="7:25" ht="15.75" customHeight="1">
      <c r="G419" s="90"/>
      <c r="H419" s="90"/>
      <c r="J419" s="90"/>
      <c r="K419" s="90"/>
      <c r="L419" s="90"/>
      <c r="M419" s="90"/>
      <c r="P419" s="89"/>
      <c r="X419" s="90"/>
      <c r="Y419" s="90"/>
    </row>
    <row r="420" spans="7:25" ht="15.75" customHeight="1">
      <c r="G420" s="90"/>
      <c r="H420" s="90"/>
      <c r="J420" s="90"/>
      <c r="K420" s="90"/>
      <c r="L420" s="90"/>
      <c r="M420" s="90"/>
      <c r="P420" s="89"/>
      <c r="X420" s="90"/>
      <c r="Y420" s="90"/>
    </row>
    <row r="421" spans="7:25" ht="15.75" customHeight="1">
      <c r="G421" s="90"/>
      <c r="H421" s="90"/>
      <c r="J421" s="90"/>
      <c r="K421" s="90"/>
      <c r="L421" s="90"/>
      <c r="M421" s="90"/>
      <c r="P421" s="89"/>
      <c r="X421" s="90"/>
      <c r="Y421" s="90"/>
    </row>
    <row r="422" spans="7:25" ht="15.75" customHeight="1">
      <c r="G422" s="90"/>
      <c r="H422" s="90"/>
      <c r="J422" s="90"/>
      <c r="K422" s="90"/>
      <c r="L422" s="90"/>
      <c r="M422" s="90"/>
      <c r="P422" s="89"/>
      <c r="X422" s="90"/>
      <c r="Y422" s="90"/>
    </row>
    <row r="423" spans="7:25" ht="15.75" customHeight="1">
      <c r="G423" s="90"/>
      <c r="H423" s="90"/>
      <c r="J423" s="90"/>
      <c r="K423" s="90"/>
      <c r="L423" s="90"/>
      <c r="M423" s="90"/>
      <c r="P423" s="89"/>
      <c r="X423" s="90"/>
      <c r="Y423" s="90"/>
    </row>
    <row r="424" spans="7:25" ht="15.75" customHeight="1">
      <c r="G424" s="90"/>
      <c r="H424" s="90"/>
      <c r="J424" s="90"/>
      <c r="K424" s="90"/>
      <c r="L424" s="90"/>
      <c r="M424" s="90"/>
      <c r="P424" s="89"/>
      <c r="X424" s="90"/>
      <c r="Y424" s="90"/>
    </row>
    <row r="425" spans="7:25" ht="15.75" customHeight="1">
      <c r="G425" s="90"/>
      <c r="H425" s="90"/>
      <c r="J425" s="90"/>
      <c r="K425" s="90"/>
      <c r="L425" s="90"/>
      <c r="M425" s="90"/>
      <c r="P425" s="89"/>
      <c r="X425" s="90"/>
      <c r="Y425" s="90"/>
    </row>
    <row r="426" spans="7:25" ht="15.75" customHeight="1">
      <c r="G426" s="90"/>
      <c r="H426" s="90"/>
      <c r="J426" s="90"/>
      <c r="K426" s="90"/>
      <c r="L426" s="90"/>
      <c r="M426" s="90"/>
      <c r="P426" s="89"/>
      <c r="X426" s="90"/>
      <c r="Y426" s="90"/>
    </row>
    <row r="427" spans="7:25" ht="15.75" customHeight="1">
      <c r="G427" s="90"/>
      <c r="H427" s="90"/>
      <c r="J427" s="90"/>
      <c r="K427" s="90"/>
      <c r="L427" s="90"/>
      <c r="M427" s="90"/>
      <c r="P427" s="89"/>
      <c r="X427" s="90"/>
      <c r="Y427" s="90"/>
    </row>
    <row r="428" spans="7:25" ht="15.75" customHeight="1">
      <c r="G428" s="90"/>
      <c r="H428" s="90"/>
      <c r="J428" s="90"/>
      <c r="K428" s="90"/>
      <c r="L428" s="90"/>
      <c r="M428" s="90"/>
      <c r="P428" s="89"/>
      <c r="X428" s="90"/>
      <c r="Y428" s="90"/>
    </row>
    <row r="429" spans="7:25" ht="15.75" customHeight="1">
      <c r="G429" s="90"/>
      <c r="H429" s="90"/>
      <c r="J429" s="90"/>
      <c r="K429" s="90"/>
      <c r="L429" s="90"/>
      <c r="M429" s="90"/>
      <c r="P429" s="89"/>
      <c r="X429" s="90"/>
      <c r="Y429" s="90"/>
    </row>
    <row r="430" spans="7:25" ht="15.75" customHeight="1">
      <c r="G430" s="90"/>
      <c r="H430" s="90"/>
      <c r="J430" s="90"/>
      <c r="K430" s="90"/>
      <c r="L430" s="90"/>
      <c r="M430" s="90"/>
      <c r="P430" s="89"/>
      <c r="X430" s="90"/>
      <c r="Y430" s="90"/>
    </row>
    <row r="431" spans="7:25" ht="15.75" customHeight="1">
      <c r="G431" s="90"/>
      <c r="H431" s="90"/>
      <c r="J431" s="90"/>
      <c r="K431" s="90"/>
      <c r="L431" s="90"/>
      <c r="M431" s="90"/>
      <c r="P431" s="89"/>
      <c r="X431" s="90"/>
      <c r="Y431" s="90"/>
    </row>
    <row r="432" spans="7:25" ht="15.75" customHeight="1">
      <c r="G432" s="90"/>
      <c r="H432" s="90"/>
      <c r="J432" s="90"/>
      <c r="K432" s="90"/>
      <c r="L432" s="90"/>
      <c r="M432" s="90"/>
      <c r="P432" s="89"/>
      <c r="X432" s="90"/>
      <c r="Y432" s="90"/>
    </row>
    <row r="433" spans="7:25" ht="15.75" customHeight="1">
      <c r="G433" s="90"/>
      <c r="H433" s="90"/>
      <c r="J433" s="90"/>
      <c r="K433" s="90"/>
      <c r="L433" s="90"/>
      <c r="M433" s="90"/>
      <c r="P433" s="89"/>
      <c r="X433" s="90"/>
      <c r="Y433" s="90"/>
    </row>
    <row r="434" spans="7:25" ht="15.75" customHeight="1">
      <c r="G434" s="90"/>
      <c r="H434" s="90"/>
      <c r="J434" s="90"/>
      <c r="K434" s="90"/>
      <c r="L434" s="90"/>
      <c r="M434" s="90"/>
      <c r="P434" s="89"/>
      <c r="X434" s="90"/>
      <c r="Y434" s="90"/>
    </row>
    <row r="435" spans="7:25" ht="15.75" customHeight="1">
      <c r="G435" s="90"/>
      <c r="H435" s="90"/>
      <c r="J435" s="90"/>
      <c r="K435" s="90"/>
      <c r="L435" s="90"/>
      <c r="M435" s="90"/>
      <c r="P435" s="89"/>
      <c r="X435" s="90"/>
      <c r="Y435" s="90"/>
    </row>
    <row r="436" spans="7:25" ht="15.75" customHeight="1">
      <c r="G436" s="90"/>
      <c r="H436" s="90"/>
      <c r="J436" s="90"/>
      <c r="K436" s="90"/>
      <c r="L436" s="90"/>
      <c r="M436" s="90"/>
      <c r="P436" s="89"/>
      <c r="X436" s="90"/>
      <c r="Y436" s="90"/>
    </row>
    <row r="437" spans="7:25" ht="15.75" customHeight="1">
      <c r="G437" s="90"/>
      <c r="H437" s="90"/>
      <c r="J437" s="90"/>
      <c r="K437" s="90"/>
      <c r="L437" s="90"/>
      <c r="M437" s="90"/>
      <c r="P437" s="89"/>
      <c r="X437" s="90"/>
      <c r="Y437" s="90"/>
    </row>
    <row r="438" spans="7:25" ht="15.75" customHeight="1">
      <c r="G438" s="90"/>
      <c r="H438" s="90"/>
      <c r="J438" s="90"/>
      <c r="K438" s="90"/>
      <c r="L438" s="90"/>
      <c r="M438" s="90"/>
      <c r="P438" s="89"/>
      <c r="X438" s="90"/>
      <c r="Y438" s="90"/>
    </row>
    <row r="439" spans="7:25" ht="15.75" customHeight="1">
      <c r="G439" s="90"/>
      <c r="H439" s="90"/>
      <c r="J439" s="90"/>
      <c r="K439" s="90"/>
      <c r="L439" s="90"/>
      <c r="M439" s="90"/>
      <c r="P439" s="89"/>
      <c r="X439" s="90"/>
      <c r="Y439" s="90"/>
    </row>
    <row r="440" spans="7:25" ht="15.75" customHeight="1">
      <c r="G440" s="90"/>
      <c r="H440" s="90"/>
      <c r="J440" s="90"/>
      <c r="K440" s="90"/>
      <c r="L440" s="90"/>
      <c r="M440" s="90"/>
      <c r="P440" s="89"/>
      <c r="X440" s="90"/>
      <c r="Y440" s="90"/>
    </row>
    <row r="441" spans="7:25" ht="15.75" customHeight="1">
      <c r="G441" s="90"/>
      <c r="H441" s="90"/>
      <c r="J441" s="90"/>
      <c r="K441" s="90"/>
      <c r="L441" s="90"/>
      <c r="M441" s="90"/>
      <c r="P441" s="89"/>
      <c r="X441" s="90"/>
      <c r="Y441" s="90"/>
    </row>
    <row r="442" spans="7:25" ht="15.75" customHeight="1">
      <c r="G442" s="90"/>
      <c r="H442" s="90"/>
      <c r="J442" s="90"/>
      <c r="K442" s="90"/>
      <c r="L442" s="90"/>
      <c r="M442" s="90"/>
      <c r="P442" s="89"/>
      <c r="X442" s="90"/>
      <c r="Y442" s="90"/>
    </row>
    <row r="443" spans="7:25" ht="15.75" customHeight="1">
      <c r="G443" s="90"/>
      <c r="H443" s="90"/>
      <c r="J443" s="90"/>
      <c r="K443" s="90"/>
      <c r="L443" s="90"/>
      <c r="M443" s="90"/>
      <c r="P443" s="89"/>
      <c r="X443" s="90"/>
      <c r="Y443" s="90"/>
    </row>
    <row r="444" spans="7:25" ht="15.75" customHeight="1">
      <c r="G444" s="90"/>
      <c r="H444" s="90"/>
      <c r="J444" s="90"/>
      <c r="K444" s="90"/>
      <c r="L444" s="90"/>
      <c r="M444" s="90"/>
      <c r="P444" s="89"/>
      <c r="X444" s="90"/>
      <c r="Y444" s="90"/>
    </row>
    <row r="445" spans="7:25" ht="15.75" customHeight="1">
      <c r="G445" s="90"/>
      <c r="H445" s="90"/>
      <c r="J445" s="90"/>
      <c r="K445" s="90"/>
      <c r="L445" s="90"/>
      <c r="M445" s="90"/>
      <c r="P445" s="89"/>
      <c r="X445" s="90"/>
      <c r="Y445" s="90"/>
    </row>
    <row r="446" spans="7:25" ht="15.75" customHeight="1">
      <c r="G446" s="90"/>
      <c r="H446" s="90"/>
      <c r="J446" s="90"/>
      <c r="K446" s="90"/>
      <c r="L446" s="90"/>
      <c r="M446" s="90"/>
      <c r="P446" s="89"/>
      <c r="X446" s="90"/>
      <c r="Y446" s="90"/>
    </row>
    <row r="447" spans="7:25" ht="15.75" customHeight="1">
      <c r="G447" s="90"/>
      <c r="H447" s="90"/>
      <c r="J447" s="90"/>
      <c r="K447" s="90"/>
      <c r="L447" s="90"/>
      <c r="M447" s="90"/>
      <c r="P447" s="89"/>
      <c r="X447" s="90"/>
      <c r="Y447" s="90"/>
    </row>
    <row r="448" spans="7:25" ht="15.75" customHeight="1">
      <c r="G448" s="90"/>
      <c r="H448" s="90"/>
      <c r="J448" s="90"/>
      <c r="K448" s="90"/>
      <c r="L448" s="90"/>
      <c r="M448" s="90"/>
      <c r="P448" s="89"/>
      <c r="X448" s="90"/>
      <c r="Y448" s="90"/>
    </row>
    <row r="449" spans="7:25" ht="15.75" customHeight="1">
      <c r="G449" s="90"/>
      <c r="H449" s="90"/>
      <c r="J449" s="90"/>
      <c r="K449" s="90"/>
      <c r="L449" s="90"/>
      <c r="M449" s="90"/>
      <c r="P449" s="89"/>
      <c r="X449" s="90"/>
      <c r="Y449" s="90"/>
    </row>
    <row r="450" spans="7:25" ht="15.75" customHeight="1">
      <c r="G450" s="90"/>
      <c r="H450" s="90"/>
      <c r="J450" s="90"/>
      <c r="K450" s="90"/>
      <c r="L450" s="90"/>
      <c r="M450" s="90"/>
      <c r="P450" s="89"/>
      <c r="X450" s="90"/>
      <c r="Y450" s="90"/>
    </row>
    <row r="451" spans="7:25" ht="15.75" customHeight="1">
      <c r="G451" s="90"/>
      <c r="H451" s="90"/>
      <c r="J451" s="90"/>
      <c r="K451" s="90"/>
      <c r="L451" s="90"/>
      <c r="M451" s="90"/>
      <c r="P451" s="89"/>
      <c r="X451" s="90"/>
      <c r="Y451" s="90"/>
    </row>
    <row r="452" spans="7:25" ht="15.75" customHeight="1">
      <c r="G452" s="90"/>
      <c r="H452" s="90"/>
      <c r="J452" s="90"/>
      <c r="K452" s="90"/>
      <c r="L452" s="90"/>
      <c r="M452" s="90"/>
      <c r="P452" s="89"/>
      <c r="X452" s="90"/>
      <c r="Y452" s="90"/>
    </row>
    <row r="453" spans="7:25" ht="15.75" customHeight="1">
      <c r="G453" s="90"/>
      <c r="H453" s="90"/>
      <c r="J453" s="90"/>
      <c r="K453" s="90"/>
      <c r="L453" s="90"/>
      <c r="M453" s="90"/>
      <c r="P453" s="89"/>
      <c r="X453" s="90"/>
      <c r="Y453" s="90"/>
    </row>
    <row r="454" spans="7:25" ht="15.75" customHeight="1">
      <c r="G454" s="90"/>
      <c r="H454" s="90"/>
      <c r="J454" s="90"/>
      <c r="K454" s="90"/>
      <c r="L454" s="90"/>
      <c r="M454" s="90"/>
      <c r="P454" s="89"/>
      <c r="X454" s="90"/>
      <c r="Y454" s="90"/>
    </row>
    <row r="455" spans="7:25" ht="15.75" customHeight="1">
      <c r="G455" s="90"/>
      <c r="H455" s="90"/>
      <c r="J455" s="90"/>
      <c r="K455" s="90"/>
      <c r="L455" s="90"/>
      <c r="M455" s="90"/>
      <c r="P455" s="89"/>
      <c r="X455" s="90"/>
      <c r="Y455" s="90"/>
    </row>
    <row r="456" spans="7:25" ht="15.75" customHeight="1">
      <c r="G456" s="90"/>
      <c r="H456" s="90"/>
      <c r="J456" s="90"/>
      <c r="K456" s="90"/>
      <c r="L456" s="90"/>
      <c r="M456" s="90"/>
      <c r="P456" s="89"/>
      <c r="X456" s="90"/>
      <c r="Y456" s="90"/>
    </row>
    <row r="457" spans="7:25" ht="15.75" customHeight="1">
      <c r="G457" s="90"/>
      <c r="H457" s="90"/>
      <c r="J457" s="90"/>
      <c r="K457" s="90"/>
      <c r="L457" s="90"/>
      <c r="M457" s="90"/>
      <c r="P457" s="89"/>
      <c r="X457" s="90"/>
      <c r="Y457" s="90"/>
    </row>
    <row r="458" spans="7:25" ht="15.75" customHeight="1">
      <c r="G458" s="90"/>
      <c r="H458" s="90"/>
      <c r="J458" s="90"/>
      <c r="K458" s="90"/>
      <c r="L458" s="90"/>
      <c r="M458" s="90"/>
      <c r="P458" s="89"/>
      <c r="X458" s="90"/>
      <c r="Y458" s="90"/>
    </row>
    <row r="459" spans="7:25" ht="15.75" customHeight="1">
      <c r="G459" s="90"/>
      <c r="H459" s="90"/>
      <c r="J459" s="90"/>
      <c r="K459" s="90"/>
      <c r="L459" s="90"/>
      <c r="M459" s="90"/>
      <c r="P459" s="89"/>
      <c r="X459" s="90"/>
      <c r="Y459" s="90"/>
    </row>
    <row r="460" spans="7:25" ht="15.75" customHeight="1">
      <c r="G460" s="90"/>
      <c r="H460" s="90"/>
      <c r="J460" s="90"/>
      <c r="K460" s="90"/>
      <c r="L460" s="90"/>
      <c r="M460" s="90"/>
      <c r="P460" s="89"/>
      <c r="X460" s="90"/>
      <c r="Y460" s="90"/>
    </row>
    <row r="461" spans="7:25" ht="15.75" customHeight="1">
      <c r="G461" s="90"/>
      <c r="H461" s="90"/>
      <c r="J461" s="90"/>
      <c r="K461" s="90"/>
      <c r="L461" s="90"/>
      <c r="M461" s="90"/>
      <c r="P461" s="89"/>
      <c r="X461" s="90"/>
      <c r="Y461" s="90"/>
    </row>
    <row r="462" spans="7:25" ht="15.75" customHeight="1">
      <c r="G462" s="90"/>
      <c r="H462" s="90"/>
      <c r="J462" s="90"/>
      <c r="K462" s="90"/>
      <c r="L462" s="90"/>
      <c r="M462" s="90"/>
      <c r="P462" s="89"/>
      <c r="X462" s="90"/>
      <c r="Y462" s="90"/>
    </row>
    <row r="463" spans="7:25" ht="15.75" customHeight="1">
      <c r="G463" s="90"/>
      <c r="H463" s="90"/>
      <c r="J463" s="90"/>
      <c r="K463" s="90"/>
      <c r="L463" s="90"/>
      <c r="M463" s="90"/>
      <c r="P463" s="89"/>
      <c r="X463" s="90"/>
      <c r="Y463" s="90"/>
    </row>
    <row r="464" spans="7:25" ht="15.75" customHeight="1">
      <c r="G464" s="90"/>
      <c r="H464" s="90"/>
      <c r="J464" s="90"/>
      <c r="K464" s="90"/>
      <c r="L464" s="90"/>
      <c r="M464" s="90"/>
      <c r="P464" s="89"/>
      <c r="X464" s="90"/>
      <c r="Y464" s="90"/>
    </row>
    <row r="465" spans="7:25" ht="15.75" customHeight="1">
      <c r="G465" s="90"/>
      <c r="H465" s="90"/>
      <c r="J465" s="90"/>
      <c r="K465" s="90"/>
      <c r="L465" s="90"/>
      <c r="M465" s="90"/>
      <c r="P465" s="89"/>
      <c r="X465" s="90"/>
      <c r="Y465" s="90"/>
    </row>
    <row r="466" spans="7:25" ht="15.75" customHeight="1">
      <c r="G466" s="90"/>
      <c r="H466" s="90"/>
      <c r="J466" s="90"/>
      <c r="K466" s="90"/>
      <c r="L466" s="90"/>
      <c r="M466" s="90"/>
      <c r="P466" s="89"/>
      <c r="X466" s="90"/>
      <c r="Y466" s="90"/>
    </row>
    <row r="467" spans="7:25" ht="15.75" customHeight="1">
      <c r="G467" s="90"/>
      <c r="H467" s="90"/>
      <c r="J467" s="90"/>
      <c r="K467" s="90"/>
      <c r="L467" s="90"/>
      <c r="M467" s="90"/>
      <c r="P467" s="89"/>
      <c r="X467" s="90"/>
      <c r="Y467" s="90"/>
    </row>
    <row r="468" spans="7:25" ht="15.75" customHeight="1">
      <c r="G468" s="90"/>
      <c r="H468" s="90"/>
      <c r="J468" s="90"/>
      <c r="K468" s="90"/>
      <c r="L468" s="90"/>
      <c r="M468" s="90"/>
      <c r="P468" s="89"/>
      <c r="X468" s="90"/>
      <c r="Y468" s="90"/>
    </row>
    <row r="469" spans="7:25" ht="15.75" customHeight="1">
      <c r="G469" s="90"/>
      <c r="H469" s="90"/>
      <c r="J469" s="90"/>
      <c r="K469" s="90"/>
      <c r="L469" s="90"/>
      <c r="M469" s="90"/>
      <c r="P469" s="89"/>
      <c r="X469" s="90"/>
      <c r="Y469" s="90"/>
    </row>
    <row r="470" spans="7:25" ht="15.75" customHeight="1">
      <c r="G470" s="90"/>
      <c r="H470" s="90"/>
      <c r="J470" s="90"/>
      <c r="K470" s="90"/>
      <c r="L470" s="90"/>
      <c r="M470" s="90"/>
      <c r="P470" s="89"/>
      <c r="X470" s="90"/>
      <c r="Y470" s="90"/>
    </row>
    <row r="471" spans="7:25" ht="15.75" customHeight="1">
      <c r="G471" s="90"/>
      <c r="H471" s="90"/>
      <c r="J471" s="90"/>
      <c r="K471" s="90"/>
      <c r="L471" s="90"/>
      <c r="M471" s="90"/>
      <c r="P471" s="89"/>
      <c r="X471" s="90"/>
      <c r="Y471" s="90"/>
    </row>
    <row r="472" spans="7:25" ht="15.75" customHeight="1">
      <c r="G472" s="90"/>
      <c r="H472" s="90"/>
      <c r="J472" s="90"/>
      <c r="K472" s="90"/>
      <c r="L472" s="90"/>
      <c r="M472" s="90"/>
      <c r="P472" s="89"/>
      <c r="X472" s="90"/>
      <c r="Y472" s="90"/>
    </row>
    <row r="473" spans="7:25" ht="15.75" customHeight="1">
      <c r="G473" s="90"/>
      <c r="H473" s="90"/>
      <c r="J473" s="90"/>
      <c r="K473" s="90"/>
      <c r="L473" s="90"/>
      <c r="M473" s="90"/>
      <c r="P473" s="89"/>
      <c r="X473" s="90"/>
      <c r="Y473" s="90"/>
    </row>
    <row r="474" spans="7:25" ht="15.75" customHeight="1">
      <c r="G474" s="90"/>
      <c r="H474" s="90"/>
      <c r="J474" s="90"/>
      <c r="K474" s="90"/>
      <c r="L474" s="90"/>
      <c r="M474" s="90"/>
      <c r="P474" s="89"/>
      <c r="X474" s="90"/>
      <c r="Y474" s="90"/>
    </row>
    <row r="475" spans="7:25" ht="15.75" customHeight="1">
      <c r="G475" s="90"/>
      <c r="H475" s="90"/>
      <c r="J475" s="90"/>
      <c r="K475" s="90"/>
      <c r="L475" s="90"/>
      <c r="M475" s="90"/>
      <c r="P475" s="89"/>
      <c r="X475" s="90"/>
      <c r="Y475" s="90"/>
    </row>
    <row r="476" spans="7:25" ht="15.75" customHeight="1">
      <c r="G476" s="90"/>
      <c r="H476" s="90"/>
      <c r="J476" s="90"/>
      <c r="K476" s="90"/>
      <c r="L476" s="90"/>
      <c r="M476" s="90"/>
      <c r="P476" s="89"/>
      <c r="X476" s="90"/>
      <c r="Y476" s="90"/>
    </row>
    <row r="477" spans="7:25" ht="15.75" customHeight="1">
      <c r="G477" s="90"/>
      <c r="H477" s="90"/>
      <c r="J477" s="90"/>
      <c r="K477" s="90"/>
      <c r="L477" s="90"/>
      <c r="M477" s="90"/>
      <c r="P477" s="89"/>
      <c r="X477" s="90"/>
      <c r="Y477" s="90"/>
    </row>
    <row r="478" spans="7:25" ht="15.75" customHeight="1">
      <c r="G478" s="90"/>
      <c r="H478" s="90"/>
      <c r="J478" s="90"/>
      <c r="K478" s="90"/>
      <c r="L478" s="90"/>
      <c r="M478" s="90"/>
      <c r="P478" s="89"/>
      <c r="X478" s="90"/>
      <c r="Y478" s="90"/>
    </row>
    <row r="479" spans="7:25" ht="15.75" customHeight="1">
      <c r="G479" s="90"/>
      <c r="H479" s="90"/>
      <c r="J479" s="90"/>
      <c r="K479" s="90"/>
      <c r="L479" s="90"/>
      <c r="M479" s="90"/>
      <c r="P479" s="89"/>
      <c r="X479" s="90"/>
      <c r="Y479" s="90"/>
    </row>
    <row r="480" spans="7:25" ht="15.75" customHeight="1">
      <c r="G480" s="90"/>
      <c r="H480" s="90"/>
      <c r="J480" s="90"/>
      <c r="K480" s="90"/>
      <c r="L480" s="90"/>
      <c r="M480" s="90"/>
      <c r="P480" s="89"/>
      <c r="X480" s="90"/>
      <c r="Y480" s="90"/>
    </row>
    <row r="481" spans="7:25" ht="15.75" customHeight="1">
      <c r="G481" s="90"/>
      <c r="H481" s="90"/>
      <c r="J481" s="90"/>
      <c r="K481" s="90"/>
      <c r="L481" s="90"/>
      <c r="M481" s="90"/>
      <c r="P481" s="89"/>
      <c r="X481" s="90"/>
      <c r="Y481" s="90"/>
    </row>
    <row r="482" spans="7:25" ht="15.75" customHeight="1">
      <c r="G482" s="90"/>
      <c r="H482" s="90"/>
      <c r="J482" s="90"/>
      <c r="K482" s="90"/>
      <c r="L482" s="90"/>
      <c r="M482" s="90"/>
      <c r="P482" s="89"/>
      <c r="X482" s="90"/>
      <c r="Y482" s="90"/>
    </row>
    <row r="483" spans="7:25" ht="15.75" customHeight="1">
      <c r="G483" s="90"/>
      <c r="H483" s="90"/>
      <c r="J483" s="90"/>
      <c r="K483" s="90"/>
      <c r="L483" s="90"/>
      <c r="M483" s="90"/>
      <c r="P483" s="89"/>
      <c r="X483" s="90"/>
      <c r="Y483" s="90"/>
    </row>
    <row r="484" spans="7:25" ht="15.75" customHeight="1">
      <c r="G484" s="90"/>
      <c r="H484" s="90"/>
      <c r="J484" s="90"/>
      <c r="K484" s="90"/>
      <c r="L484" s="90"/>
      <c r="M484" s="90"/>
      <c r="P484" s="89"/>
      <c r="X484" s="90"/>
      <c r="Y484" s="90"/>
    </row>
    <row r="485" spans="7:25" ht="15.75" customHeight="1">
      <c r="G485" s="90"/>
      <c r="H485" s="90"/>
      <c r="J485" s="90"/>
      <c r="K485" s="90"/>
      <c r="L485" s="90"/>
      <c r="M485" s="90"/>
      <c r="P485" s="89"/>
      <c r="X485" s="90"/>
      <c r="Y485" s="90"/>
    </row>
    <row r="486" spans="7:25" ht="15.75" customHeight="1">
      <c r="G486" s="90"/>
      <c r="H486" s="90"/>
      <c r="J486" s="90"/>
      <c r="K486" s="90"/>
      <c r="L486" s="90"/>
      <c r="M486" s="90"/>
      <c r="P486" s="89"/>
      <c r="X486" s="90"/>
      <c r="Y486" s="90"/>
    </row>
    <row r="487" spans="7:25" ht="15.75" customHeight="1">
      <c r="G487" s="90"/>
      <c r="H487" s="90"/>
      <c r="J487" s="90"/>
      <c r="K487" s="90"/>
      <c r="L487" s="90"/>
      <c r="M487" s="90"/>
      <c r="P487" s="89"/>
      <c r="X487" s="90"/>
      <c r="Y487" s="90"/>
    </row>
    <row r="488" spans="7:25" ht="15.75" customHeight="1">
      <c r="G488" s="90"/>
      <c r="H488" s="90"/>
      <c r="J488" s="90"/>
      <c r="K488" s="90"/>
      <c r="L488" s="90"/>
      <c r="M488" s="90"/>
      <c r="P488" s="89"/>
      <c r="X488" s="90"/>
      <c r="Y488" s="90"/>
    </row>
    <row r="489" spans="7:25" ht="15.75" customHeight="1">
      <c r="G489" s="90"/>
      <c r="H489" s="90"/>
      <c r="J489" s="90"/>
      <c r="K489" s="90"/>
      <c r="L489" s="90"/>
      <c r="M489" s="90"/>
      <c r="P489" s="89"/>
      <c r="X489" s="90"/>
      <c r="Y489" s="90"/>
    </row>
    <row r="490" spans="7:25" ht="15.75" customHeight="1">
      <c r="G490" s="90"/>
      <c r="H490" s="90"/>
      <c r="J490" s="90"/>
      <c r="K490" s="90"/>
      <c r="L490" s="90"/>
      <c r="M490" s="90"/>
      <c r="P490" s="89"/>
      <c r="X490" s="90"/>
      <c r="Y490" s="90"/>
    </row>
    <row r="491" spans="7:25" ht="15.75" customHeight="1">
      <c r="G491" s="90"/>
      <c r="H491" s="90"/>
      <c r="J491" s="90"/>
      <c r="K491" s="90"/>
      <c r="L491" s="90"/>
      <c r="M491" s="90"/>
      <c r="P491" s="89"/>
      <c r="X491" s="90"/>
      <c r="Y491" s="90"/>
    </row>
    <row r="492" spans="7:25" ht="15.75" customHeight="1">
      <c r="G492" s="90"/>
      <c r="H492" s="90"/>
      <c r="J492" s="90"/>
      <c r="K492" s="90"/>
      <c r="L492" s="90"/>
      <c r="M492" s="90"/>
      <c r="P492" s="89"/>
      <c r="X492" s="90"/>
      <c r="Y492" s="90"/>
    </row>
    <row r="493" spans="7:25" ht="15.75" customHeight="1">
      <c r="G493" s="90"/>
      <c r="H493" s="90"/>
      <c r="J493" s="90"/>
      <c r="K493" s="90"/>
      <c r="L493" s="90"/>
      <c r="M493" s="90"/>
      <c r="P493" s="89"/>
      <c r="X493" s="90"/>
      <c r="Y493" s="90"/>
    </row>
    <row r="494" spans="7:25" ht="15.75" customHeight="1">
      <c r="G494" s="90"/>
      <c r="H494" s="90"/>
      <c r="J494" s="90"/>
      <c r="K494" s="90"/>
      <c r="L494" s="90"/>
      <c r="M494" s="90"/>
      <c r="P494" s="89"/>
      <c r="X494" s="90"/>
      <c r="Y494" s="90"/>
    </row>
    <row r="495" spans="7:25" ht="15.75" customHeight="1">
      <c r="G495" s="90"/>
      <c r="H495" s="90"/>
      <c r="J495" s="90"/>
      <c r="K495" s="90"/>
      <c r="L495" s="90"/>
      <c r="M495" s="90"/>
      <c r="P495" s="89"/>
      <c r="X495" s="90"/>
      <c r="Y495" s="90"/>
    </row>
    <row r="496" spans="7:25" ht="15.75" customHeight="1">
      <c r="G496" s="90"/>
      <c r="H496" s="90"/>
      <c r="J496" s="90"/>
      <c r="K496" s="90"/>
      <c r="L496" s="90"/>
      <c r="M496" s="90"/>
      <c r="P496" s="89"/>
      <c r="X496" s="90"/>
      <c r="Y496" s="90"/>
    </row>
    <row r="497" spans="7:25" ht="15.75" customHeight="1">
      <c r="G497" s="90"/>
      <c r="H497" s="90"/>
      <c r="J497" s="90"/>
      <c r="K497" s="90"/>
      <c r="L497" s="90"/>
      <c r="M497" s="90"/>
      <c r="P497" s="89"/>
      <c r="X497" s="90"/>
      <c r="Y497" s="90"/>
    </row>
    <row r="498" spans="7:25" ht="15.75" customHeight="1">
      <c r="G498" s="90"/>
      <c r="H498" s="90"/>
      <c r="J498" s="90"/>
      <c r="K498" s="90"/>
      <c r="L498" s="90"/>
      <c r="M498" s="90"/>
      <c r="P498" s="89"/>
      <c r="X498" s="90"/>
      <c r="Y498" s="90"/>
    </row>
    <row r="499" spans="7:25" ht="15.75" customHeight="1">
      <c r="G499" s="90"/>
      <c r="H499" s="90"/>
      <c r="J499" s="90"/>
      <c r="K499" s="90"/>
      <c r="L499" s="90"/>
      <c r="M499" s="90"/>
      <c r="P499" s="89"/>
      <c r="X499" s="90"/>
      <c r="Y499" s="90"/>
    </row>
    <row r="500" spans="7:25" ht="15.75" customHeight="1">
      <c r="G500" s="90"/>
      <c r="H500" s="90"/>
      <c r="J500" s="90"/>
      <c r="K500" s="90"/>
      <c r="L500" s="90"/>
      <c r="M500" s="90"/>
      <c r="P500" s="89"/>
      <c r="X500" s="90"/>
      <c r="Y500" s="90"/>
    </row>
    <row r="501" spans="7:25" ht="15.75" customHeight="1">
      <c r="G501" s="90"/>
      <c r="H501" s="90"/>
      <c r="J501" s="90"/>
      <c r="K501" s="90"/>
      <c r="L501" s="90"/>
      <c r="M501" s="90"/>
      <c r="P501" s="89"/>
      <c r="X501" s="90"/>
      <c r="Y501" s="90"/>
    </row>
    <row r="502" spans="7:25" ht="15.75" customHeight="1">
      <c r="G502" s="90"/>
      <c r="H502" s="90"/>
      <c r="J502" s="90"/>
      <c r="K502" s="90"/>
      <c r="L502" s="90"/>
      <c r="M502" s="90"/>
      <c r="P502" s="89"/>
      <c r="X502" s="90"/>
      <c r="Y502" s="90"/>
    </row>
    <row r="503" spans="7:25" ht="15.75" customHeight="1">
      <c r="G503" s="90"/>
      <c r="H503" s="90"/>
      <c r="J503" s="90"/>
      <c r="K503" s="90"/>
      <c r="L503" s="90"/>
      <c r="M503" s="90"/>
      <c r="P503" s="89"/>
      <c r="X503" s="90"/>
      <c r="Y503" s="90"/>
    </row>
    <row r="504" spans="7:25" ht="15.75" customHeight="1">
      <c r="G504" s="90"/>
      <c r="H504" s="90"/>
      <c r="J504" s="90"/>
      <c r="K504" s="90"/>
      <c r="L504" s="90"/>
      <c r="M504" s="90"/>
      <c r="P504" s="89"/>
      <c r="X504" s="90"/>
      <c r="Y504" s="90"/>
    </row>
    <row r="505" spans="7:25" ht="15.75" customHeight="1">
      <c r="G505" s="90"/>
      <c r="H505" s="90"/>
      <c r="J505" s="90"/>
      <c r="K505" s="90"/>
      <c r="L505" s="90"/>
      <c r="M505" s="90"/>
      <c r="P505" s="89"/>
      <c r="X505" s="90"/>
      <c r="Y505" s="90"/>
    </row>
    <row r="506" spans="7:25" ht="15.75" customHeight="1">
      <c r="G506" s="90"/>
      <c r="H506" s="90"/>
      <c r="J506" s="90"/>
      <c r="K506" s="90"/>
      <c r="L506" s="90"/>
      <c r="M506" s="90"/>
      <c r="P506" s="89"/>
      <c r="X506" s="90"/>
      <c r="Y506" s="90"/>
    </row>
    <row r="507" spans="7:25" ht="15.75" customHeight="1">
      <c r="G507" s="90"/>
      <c r="H507" s="90"/>
      <c r="J507" s="90"/>
      <c r="K507" s="90"/>
      <c r="L507" s="90"/>
      <c r="M507" s="90"/>
      <c r="P507" s="89"/>
      <c r="X507" s="90"/>
      <c r="Y507" s="90"/>
    </row>
    <row r="508" spans="7:25" ht="15.75" customHeight="1">
      <c r="G508" s="90"/>
      <c r="H508" s="90"/>
      <c r="J508" s="90"/>
      <c r="K508" s="90"/>
      <c r="L508" s="90"/>
      <c r="M508" s="90"/>
      <c r="P508" s="89"/>
      <c r="X508" s="90"/>
      <c r="Y508" s="90"/>
    </row>
    <row r="509" spans="7:25" ht="15.75" customHeight="1">
      <c r="G509" s="90"/>
      <c r="H509" s="90"/>
      <c r="J509" s="90"/>
      <c r="K509" s="90"/>
      <c r="L509" s="90"/>
      <c r="M509" s="90"/>
      <c r="P509" s="89"/>
      <c r="X509" s="90"/>
      <c r="Y509" s="90"/>
    </row>
    <row r="510" spans="7:25" ht="15.75" customHeight="1">
      <c r="G510" s="90"/>
      <c r="H510" s="90"/>
      <c r="J510" s="90"/>
      <c r="K510" s="90"/>
      <c r="L510" s="90"/>
      <c r="M510" s="90"/>
      <c r="P510" s="89"/>
      <c r="X510" s="90"/>
      <c r="Y510" s="90"/>
    </row>
    <row r="511" spans="7:25" ht="15.75" customHeight="1">
      <c r="G511" s="90"/>
      <c r="H511" s="90"/>
      <c r="J511" s="90"/>
      <c r="K511" s="90"/>
      <c r="L511" s="90"/>
      <c r="M511" s="90"/>
      <c r="P511" s="89"/>
      <c r="X511" s="90"/>
      <c r="Y511" s="90"/>
    </row>
    <row r="512" spans="7:25" ht="15.75" customHeight="1">
      <c r="G512" s="90"/>
      <c r="H512" s="90"/>
      <c r="J512" s="90"/>
      <c r="K512" s="90"/>
      <c r="L512" s="90"/>
      <c r="M512" s="90"/>
      <c r="P512" s="89"/>
      <c r="X512" s="90"/>
      <c r="Y512" s="90"/>
    </row>
    <row r="513" spans="7:25" ht="15.75" customHeight="1">
      <c r="G513" s="90"/>
      <c r="H513" s="90"/>
      <c r="J513" s="90"/>
      <c r="K513" s="90"/>
      <c r="L513" s="90"/>
      <c r="M513" s="90"/>
      <c r="P513" s="89"/>
      <c r="X513" s="90"/>
      <c r="Y513" s="90"/>
    </row>
    <row r="514" spans="7:25" ht="15.75" customHeight="1">
      <c r="G514" s="90"/>
      <c r="H514" s="90"/>
      <c r="J514" s="90"/>
      <c r="K514" s="90"/>
      <c r="L514" s="90"/>
      <c r="M514" s="90"/>
      <c r="P514" s="89"/>
      <c r="X514" s="90"/>
      <c r="Y514" s="90"/>
    </row>
    <row r="515" spans="7:25" ht="15.75" customHeight="1">
      <c r="G515" s="90"/>
      <c r="H515" s="90"/>
      <c r="J515" s="90"/>
      <c r="K515" s="90"/>
      <c r="L515" s="90"/>
      <c r="M515" s="90"/>
      <c r="P515" s="89"/>
      <c r="X515" s="90"/>
      <c r="Y515" s="90"/>
    </row>
    <row r="516" spans="7:25" ht="15.75" customHeight="1">
      <c r="G516" s="90"/>
      <c r="H516" s="90"/>
      <c r="J516" s="90"/>
      <c r="K516" s="90"/>
      <c r="L516" s="90"/>
      <c r="M516" s="90"/>
      <c r="P516" s="89"/>
      <c r="X516" s="90"/>
      <c r="Y516" s="90"/>
    </row>
    <row r="517" spans="7:25" ht="15.75" customHeight="1">
      <c r="G517" s="90"/>
      <c r="H517" s="90"/>
      <c r="J517" s="90"/>
      <c r="K517" s="90"/>
      <c r="L517" s="90"/>
      <c r="M517" s="90"/>
      <c r="P517" s="89"/>
      <c r="X517" s="90"/>
      <c r="Y517" s="90"/>
    </row>
    <row r="518" spans="7:25" ht="15.75" customHeight="1">
      <c r="G518" s="90"/>
      <c r="H518" s="90"/>
      <c r="J518" s="90"/>
      <c r="K518" s="90"/>
      <c r="L518" s="90"/>
      <c r="M518" s="90"/>
      <c r="P518" s="89"/>
      <c r="X518" s="90"/>
      <c r="Y518" s="90"/>
    </row>
    <row r="519" spans="7:25" ht="15.75" customHeight="1">
      <c r="G519" s="90"/>
      <c r="H519" s="90"/>
      <c r="J519" s="90"/>
      <c r="K519" s="90"/>
      <c r="L519" s="90"/>
      <c r="M519" s="90"/>
      <c r="P519" s="89"/>
      <c r="X519" s="90"/>
      <c r="Y519" s="90"/>
    </row>
    <row r="520" spans="7:25" ht="15.75" customHeight="1">
      <c r="G520" s="90"/>
      <c r="H520" s="90"/>
      <c r="J520" s="90"/>
      <c r="K520" s="90"/>
      <c r="L520" s="90"/>
      <c r="M520" s="90"/>
      <c r="P520" s="89"/>
      <c r="X520" s="90"/>
      <c r="Y520" s="90"/>
    </row>
    <row r="521" spans="7:25" ht="15.75" customHeight="1">
      <c r="G521" s="90"/>
      <c r="H521" s="90"/>
      <c r="J521" s="90"/>
      <c r="K521" s="90"/>
      <c r="L521" s="90"/>
      <c r="M521" s="90"/>
      <c r="P521" s="89"/>
      <c r="X521" s="90"/>
      <c r="Y521" s="90"/>
    </row>
    <row r="522" spans="7:25" ht="15.75" customHeight="1">
      <c r="G522" s="90"/>
      <c r="H522" s="90"/>
      <c r="J522" s="90"/>
      <c r="K522" s="90"/>
      <c r="L522" s="90"/>
      <c r="M522" s="90"/>
      <c r="P522" s="89"/>
      <c r="X522" s="90"/>
      <c r="Y522" s="90"/>
    </row>
    <row r="523" spans="7:25" ht="15.75" customHeight="1">
      <c r="G523" s="90"/>
      <c r="H523" s="90"/>
      <c r="J523" s="90"/>
      <c r="K523" s="90"/>
      <c r="L523" s="90"/>
      <c r="M523" s="90"/>
      <c r="P523" s="89"/>
      <c r="X523" s="90"/>
      <c r="Y523" s="90"/>
    </row>
    <row r="524" spans="7:25" ht="15.75" customHeight="1">
      <c r="G524" s="90"/>
      <c r="H524" s="90"/>
      <c r="J524" s="90"/>
      <c r="K524" s="90"/>
      <c r="L524" s="90"/>
      <c r="M524" s="90"/>
      <c r="P524" s="89"/>
      <c r="X524" s="90"/>
      <c r="Y524" s="90"/>
    </row>
    <row r="525" spans="7:25" ht="15.75" customHeight="1">
      <c r="G525" s="90"/>
      <c r="H525" s="90"/>
      <c r="J525" s="90"/>
      <c r="K525" s="90"/>
      <c r="L525" s="90"/>
      <c r="M525" s="90"/>
      <c r="P525" s="89"/>
      <c r="X525" s="90"/>
      <c r="Y525" s="90"/>
    </row>
    <row r="526" spans="7:25" ht="15.75" customHeight="1">
      <c r="G526" s="90"/>
      <c r="H526" s="90"/>
      <c r="J526" s="90"/>
      <c r="K526" s="90"/>
      <c r="L526" s="90"/>
      <c r="M526" s="90"/>
      <c r="P526" s="89"/>
      <c r="X526" s="90"/>
      <c r="Y526" s="90"/>
    </row>
    <row r="527" spans="7:25" ht="15.75" customHeight="1">
      <c r="G527" s="90"/>
      <c r="H527" s="90"/>
      <c r="J527" s="90"/>
      <c r="K527" s="90"/>
      <c r="L527" s="90"/>
      <c r="M527" s="90"/>
      <c r="P527" s="89"/>
      <c r="X527" s="90"/>
      <c r="Y527" s="90"/>
    </row>
    <row r="528" spans="7:25" ht="15.75" customHeight="1">
      <c r="G528" s="90"/>
      <c r="H528" s="90"/>
      <c r="J528" s="90"/>
      <c r="K528" s="90"/>
      <c r="L528" s="90"/>
      <c r="M528" s="90"/>
      <c r="P528" s="89"/>
      <c r="X528" s="90"/>
      <c r="Y528" s="90"/>
    </row>
    <row r="529" spans="7:25" ht="15.75" customHeight="1">
      <c r="G529" s="90"/>
      <c r="H529" s="90"/>
      <c r="J529" s="90"/>
      <c r="K529" s="90"/>
      <c r="L529" s="90"/>
      <c r="M529" s="90"/>
      <c r="P529" s="89"/>
      <c r="X529" s="90"/>
      <c r="Y529" s="90"/>
    </row>
    <row r="530" spans="7:25" ht="15.75" customHeight="1">
      <c r="G530" s="90"/>
      <c r="H530" s="90"/>
      <c r="J530" s="90"/>
      <c r="K530" s="90"/>
      <c r="L530" s="90"/>
      <c r="M530" s="90"/>
      <c r="P530" s="89"/>
      <c r="X530" s="90"/>
      <c r="Y530" s="90"/>
    </row>
    <row r="531" spans="7:25" ht="15.75" customHeight="1">
      <c r="G531" s="90"/>
      <c r="H531" s="90"/>
      <c r="J531" s="90"/>
      <c r="K531" s="90"/>
      <c r="L531" s="90"/>
      <c r="M531" s="90"/>
      <c r="P531" s="89"/>
      <c r="X531" s="90"/>
      <c r="Y531" s="90"/>
    </row>
    <row r="532" spans="7:25" ht="15.75" customHeight="1">
      <c r="G532" s="90"/>
      <c r="H532" s="90"/>
      <c r="J532" s="90"/>
      <c r="K532" s="90"/>
      <c r="L532" s="90"/>
      <c r="M532" s="90"/>
      <c r="P532" s="89"/>
      <c r="X532" s="90"/>
      <c r="Y532" s="90"/>
    </row>
    <row r="533" spans="7:25" ht="15.75" customHeight="1">
      <c r="G533" s="90"/>
      <c r="H533" s="90"/>
      <c r="J533" s="90"/>
      <c r="K533" s="90"/>
      <c r="L533" s="90"/>
      <c r="M533" s="90"/>
      <c r="P533" s="89"/>
      <c r="X533" s="90"/>
      <c r="Y533" s="90"/>
    </row>
    <row r="534" spans="7:25" ht="15.75" customHeight="1">
      <c r="G534" s="90"/>
      <c r="H534" s="90"/>
      <c r="J534" s="90"/>
      <c r="K534" s="90"/>
      <c r="L534" s="90"/>
      <c r="M534" s="90"/>
      <c r="P534" s="89"/>
      <c r="X534" s="90"/>
      <c r="Y534" s="90"/>
    </row>
    <row r="535" spans="7:25" ht="15.75" customHeight="1">
      <c r="G535" s="90"/>
      <c r="H535" s="90"/>
      <c r="J535" s="90"/>
      <c r="K535" s="90"/>
      <c r="L535" s="90"/>
      <c r="M535" s="90"/>
      <c r="P535" s="89"/>
      <c r="X535" s="90"/>
      <c r="Y535" s="90"/>
    </row>
    <row r="536" spans="7:25" ht="15.75" customHeight="1">
      <c r="G536" s="90"/>
      <c r="H536" s="90"/>
      <c r="J536" s="90"/>
      <c r="K536" s="90"/>
      <c r="L536" s="90"/>
      <c r="M536" s="90"/>
      <c r="P536" s="89"/>
      <c r="X536" s="90"/>
      <c r="Y536" s="90"/>
    </row>
    <row r="537" spans="7:25" ht="15.75" customHeight="1">
      <c r="G537" s="90"/>
      <c r="H537" s="90"/>
      <c r="J537" s="90"/>
      <c r="K537" s="90"/>
      <c r="L537" s="90"/>
      <c r="M537" s="90"/>
      <c r="P537" s="89"/>
      <c r="X537" s="90"/>
      <c r="Y537" s="90"/>
    </row>
    <row r="538" spans="7:25" ht="15.75" customHeight="1">
      <c r="G538" s="90"/>
      <c r="H538" s="90"/>
      <c r="J538" s="90"/>
      <c r="K538" s="90"/>
      <c r="L538" s="90"/>
      <c r="M538" s="90"/>
      <c r="P538" s="89"/>
      <c r="X538" s="90"/>
      <c r="Y538" s="90"/>
    </row>
    <row r="539" spans="7:25" ht="15.75" customHeight="1">
      <c r="G539" s="90"/>
      <c r="H539" s="90"/>
      <c r="J539" s="90"/>
      <c r="K539" s="90"/>
      <c r="L539" s="90"/>
      <c r="M539" s="90"/>
      <c r="P539" s="89"/>
      <c r="X539" s="90"/>
      <c r="Y539" s="90"/>
    </row>
    <row r="540" spans="7:25" ht="15.75" customHeight="1">
      <c r="G540" s="90"/>
      <c r="H540" s="90"/>
      <c r="J540" s="90"/>
      <c r="K540" s="90"/>
      <c r="L540" s="90"/>
      <c r="M540" s="90"/>
      <c r="P540" s="89"/>
      <c r="X540" s="90"/>
      <c r="Y540" s="90"/>
    </row>
    <row r="541" spans="7:25" ht="15.75" customHeight="1">
      <c r="G541" s="90"/>
      <c r="H541" s="90"/>
      <c r="J541" s="90"/>
      <c r="K541" s="90"/>
      <c r="L541" s="90"/>
      <c r="M541" s="90"/>
      <c r="P541" s="89"/>
      <c r="X541" s="90"/>
      <c r="Y541" s="90"/>
    </row>
    <row r="542" spans="7:25" ht="15.75" customHeight="1">
      <c r="G542" s="90"/>
      <c r="H542" s="90"/>
      <c r="J542" s="90"/>
      <c r="K542" s="90"/>
      <c r="L542" s="90"/>
      <c r="M542" s="90"/>
      <c r="P542" s="89"/>
      <c r="X542" s="90"/>
      <c r="Y542" s="90"/>
    </row>
    <row r="543" spans="7:25" ht="15.75" customHeight="1">
      <c r="G543" s="90"/>
      <c r="H543" s="90"/>
      <c r="J543" s="90"/>
      <c r="K543" s="90"/>
      <c r="L543" s="90"/>
      <c r="M543" s="90"/>
      <c r="P543" s="89"/>
      <c r="X543" s="90"/>
      <c r="Y543" s="90"/>
    </row>
    <row r="544" spans="7:25" ht="15.75" customHeight="1">
      <c r="G544" s="90"/>
      <c r="H544" s="90"/>
      <c r="J544" s="90"/>
      <c r="K544" s="90"/>
      <c r="L544" s="90"/>
      <c r="M544" s="90"/>
      <c r="P544" s="89"/>
      <c r="X544" s="90"/>
      <c r="Y544" s="90"/>
    </row>
    <row r="545" spans="7:25" ht="15.75" customHeight="1">
      <c r="G545" s="90"/>
      <c r="H545" s="90"/>
      <c r="J545" s="90"/>
      <c r="K545" s="90"/>
      <c r="L545" s="90"/>
      <c r="M545" s="90"/>
      <c r="P545" s="89"/>
      <c r="X545" s="90"/>
      <c r="Y545" s="90"/>
    </row>
    <row r="546" spans="7:25" ht="15.75" customHeight="1">
      <c r="G546" s="90"/>
      <c r="H546" s="90"/>
      <c r="J546" s="90"/>
      <c r="K546" s="90"/>
      <c r="L546" s="90"/>
      <c r="M546" s="90"/>
      <c r="P546" s="89"/>
      <c r="X546" s="90"/>
      <c r="Y546" s="90"/>
    </row>
    <row r="547" spans="7:25" ht="15.75" customHeight="1">
      <c r="G547" s="90"/>
      <c r="H547" s="90"/>
      <c r="J547" s="90"/>
      <c r="K547" s="90"/>
      <c r="L547" s="90"/>
      <c r="M547" s="90"/>
      <c r="P547" s="89"/>
      <c r="X547" s="90"/>
      <c r="Y547" s="90"/>
    </row>
    <row r="548" spans="7:25" ht="15.75" customHeight="1">
      <c r="G548" s="90"/>
      <c r="H548" s="90"/>
      <c r="J548" s="90"/>
      <c r="K548" s="90"/>
      <c r="L548" s="90"/>
      <c r="M548" s="90"/>
      <c r="P548" s="89"/>
      <c r="X548" s="90"/>
      <c r="Y548" s="90"/>
    </row>
    <row r="549" spans="7:25" ht="15.75" customHeight="1">
      <c r="G549" s="90"/>
      <c r="H549" s="90"/>
      <c r="J549" s="90"/>
      <c r="K549" s="90"/>
      <c r="L549" s="90"/>
      <c r="M549" s="90"/>
      <c r="P549" s="89"/>
      <c r="X549" s="90"/>
      <c r="Y549" s="90"/>
    </row>
    <row r="550" spans="7:25" ht="15.75" customHeight="1">
      <c r="G550" s="90"/>
      <c r="H550" s="90"/>
      <c r="J550" s="90"/>
      <c r="K550" s="90"/>
      <c r="L550" s="90"/>
      <c r="M550" s="90"/>
      <c r="P550" s="89"/>
      <c r="X550" s="90"/>
      <c r="Y550" s="90"/>
    </row>
    <row r="551" spans="7:25" ht="15.75" customHeight="1">
      <c r="G551" s="90"/>
      <c r="H551" s="90"/>
      <c r="J551" s="90"/>
      <c r="K551" s="90"/>
      <c r="L551" s="90"/>
      <c r="M551" s="90"/>
      <c r="P551" s="89"/>
      <c r="X551" s="90"/>
      <c r="Y551" s="90"/>
    </row>
    <row r="552" spans="7:25" ht="15.75" customHeight="1">
      <c r="G552" s="90"/>
      <c r="H552" s="90"/>
      <c r="J552" s="90"/>
      <c r="K552" s="90"/>
      <c r="L552" s="90"/>
      <c r="M552" s="90"/>
      <c r="P552" s="89"/>
      <c r="X552" s="90"/>
      <c r="Y552" s="90"/>
    </row>
    <row r="553" spans="7:25" ht="15.75" customHeight="1">
      <c r="G553" s="90"/>
      <c r="H553" s="90"/>
      <c r="J553" s="90"/>
      <c r="K553" s="90"/>
      <c r="L553" s="90"/>
      <c r="M553" s="90"/>
      <c r="P553" s="89"/>
      <c r="X553" s="90"/>
      <c r="Y553" s="90"/>
    </row>
    <row r="554" spans="7:25" ht="15.75" customHeight="1">
      <c r="G554" s="90"/>
      <c r="H554" s="90"/>
      <c r="J554" s="90"/>
      <c r="K554" s="90"/>
      <c r="L554" s="90"/>
      <c r="M554" s="90"/>
      <c r="P554" s="89"/>
      <c r="X554" s="90"/>
      <c r="Y554" s="90"/>
    </row>
    <row r="555" spans="7:25" ht="15.75" customHeight="1">
      <c r="G555" s="90"/>
      <c r="H555" s="90"/>
      <c r="J555" s="90"/>
      <c r="K555" s="90"/>
      <c r="L555" s="90"/>
      <c r="M555" s="90"/>
      <c r="P555" s="89"/>
      <c r="X555" s="90"/>
      <c r="Y555" s="90"/>
    </row>
    <row r="556" spans="7:25" ht="15.75" customHeight="1">
      <c r="G556" s="90"/>
      <c r="H556" s="90"/>
      <c r="J556" s="90"/>
      <c r="K556" s="90"/>
      <c r="L556" s="90"/>
      <c r="M556" s="90"/>
      <c r="P556" s="89"/>
      <c r="X556" s="90"/>
      <c r="Y556" s="90"/>
    </row>
    <row r="557" spans="7:25" ht="15.75" customHeight="1">
      <c r="G557" s="90"/>
      <c r="H557" s="90"/>
      <c r="J557" s="90"/>
      <c r="K557" s="90"/>
      <c r="L557" s="90"/>
      <c r="M557" s="90"/>
      <c r="P557" s="89"/>
      <c r="X557" s="90"/>
      <c r="Y557" s="90"/>
    </row>
    <row r="558" spans="7:25" ht="15.75" customHeight="1">
      <c r="G558" s="90"/>
      <c r="H558" s="90"/>
      <c r="J558" s="90"/>
      <c r="K558" s="90"/>
      <c r="L558" s="90"/>
      <c r="M558" s="90"/>
      <c r="P558" s="89"/>
      <c r="X558" s="90"/>
      <c r="Y558" s="90"/>
    </row>
    <row r="559" spans="7:25" ht="15.75" customHeight="1">
      <c r="G559" s="90"/>
      <c r="H559" s="90"/>
      <c r="J559" s="90"/>
      <c r="K559" s="90"/>
      <c r="L559" s="90"/>
      <c r="M559" s="90"/>
      <c r="P559" s="89"/>
      <c r="X559" s="90"/>
      <c r="Y559" s="90"/>
    </row>
    <row r="560" spans="7:25" ht="15.75" customHeight="1">
      <c r="G560" s="90"/>
      <c r="H560" s="90"/>
      <c r="J560" s="90"/>
      <c r="K560" s="90"/>
      <c r="L560" s="90"/>
      <c r="M560" s="90"/>
      <c r="P560" s="89"/>
      <c r="X560" s="90"/>
      <c r="Y560" s="90"/>
    </row>
    <row r="561" spans="7:25" ht="15.75" customHeight="1">
      <c r="G561" s="90"/>
      <c r="H561" s="90"/>
      <c r="J561" s="90"/>
      <c r="K561" s="90"/>
      <c r="L561" s="90"/>
      <c r="M561" s="90"/>
      <c r="P561" s="89"/>
      <c r="X561" s="90"/>
      <c r="Y561" s="90"/>
    </row>
    <row r="562" spans="7:25" ht="15.75" customHeight="1">
      <c r="G562" s="90"/>
      <c r="H562" s="90"/>
      <c r="J562" s="90"/>
      <c r="K562" s="90"/>
      <c r="L562" s="90"/>
      <c r="M562" s="90"/>
      <c r="P562" s="89"/>
      <c r="X562" s="90"/>
      <c r="Y562" s="90"/>
    </row>
    <row r="563" spans="7:25" ht="15.75" customHeight="1">
      <c r="G563" s="90"/>
      <c r="H563" s="90"/>
      <c r="J563" s="90"/>
      <c r="K563" s="90"/>
      <c r="L563" s="90"/>
      <c r="M563" s="90"/>
      <c r="P563" s="89"/>
      <c r="X563" s="90"/>
      <c r="Y563" s="90"/>
    </row>
    <row r="564" spans="7:25" ht="15.75" customHeight="1">
      <c r="G564" s="90"/>
      <c r="H564" s="90"/>
      <c r="J564" s="90"/>
      <c r="K564" s="90"/>
      <c r="L564" s="90"/>
      <c r="M564" s="90"/>
      <c r="P564" s="89"/>
      <c r="X564" s="90"/>
      <c r="Y564" s="90"/>
    </row>
    <row r="565" spans="7:25" ht="15.75" customHeight="1">
      <c r="G565" s="90"/>
      <c r="H565" s="90"/>
      <c r="J565" s="90"/>
      <c r="K565" s="90"/>
      <c r="L565" s="90"/>
      <c r="M565" s="90"/>
      <c r="P565" s="89"/>
      <c r="X565" s="90"/>
      <c r="Y565" s="90"/>
    </row>
    <row r="566" spans="7:25" ht="15.75" customHeight="1">
      <c r="G566" s="90"/>
      <c r="H566" s="90"/>
      <c r="J566" s="90"/>
      <c r="K566" s="90"/>
      <c r="L566" s="90"/>
      <c r="M566" s="90"/>
      <c r="P566" s="89"/>
      <c r="X566" s="90"/>
      <c r="Y566" s="90"/>
    </row>
    <row r="567" spans="7:25" ht="15.75" customHeight="1">
      <c r="G567" s="90"/>
      <c r="H567" s="90"/>
      <c r="J567" s="90"/>
      <c r="K567" s="90"/>
      <c r="L567" s="90"/>
      <c r="M567" s="90"/>
      <c r="P567" s="89"/>
      <c r="X567" s="90"/>
      <c r="Y567" s="90"/>
    </row>
    <row r="568" spans="7:25" ht="15.75" customHeight="1">
      <c r="G568" s="90"/>
      <c r="H568" s="90"/>
      <c r="J568" s="90"/>
      <c r="K568" s="90"/>
      <c r="L568" s="90"/>
      <c r="M568" s="90"/>
      <c r="P568" s="89"/>
      <c r="X568" s="90"/>
      <c r="Y568" s="90"/>
    </row>
    <row r="569" spans="7:25" ht="15.75" customHeight="1">
      <c r="G569" s="90"/>
      <c r="H569" s="90"/>
      <c r="J569" s="90"/>
      <c r="K569" s="90"/>
      <c r="L569" s="90"/>
      <c r="M569" s="90"/>
      <c r="P569" s="89"/>
      <c r="X569" s="90"/>
      <c r="Y569" s="90"/>
    </row>
    <row r="570" spans="7:25" ht="15.75" customHeight="1">
      <c r="G570" s="90"/>
      <c r="H570" s="90"/>
      <c r="J570" s="90"/>
      <c r="K570" s="90"/>
      <c r="L570" s="90"/>
      <c r="M570" s="90"/>
      <c r="P570" s="89"/>
      <c r="X570" s="90"/>
      <c r="Y570" s="90"/>
    </row>
    <row r="571" spans="7:25" ht="15.75" customHeight="1">
      <c r="G571" s="90"/>
      <c r="H571" s="90"/>
      <c r="J571" s="90"/>
      <c r="K571" s="90"/>
      <c r="L571" s="90"/>
      <c r="M571" s="90"/>
      <c r="P571" s="89"/>
      <c r="X571" s="90"/>
      <c r="Y571" s="90"/>
    </row>
    <row r="572" spans="7:25" ht="15.75" customHeight="1">
      <c r="G572" s="90"/>
      <c r="H572" s="90"/>
      <c r="J572" s="90"/>
      <c r="K572" s="90"/>
      <c r="L572" s="90"/>
      <c r="M572" s="90"/>
      <c r="P572" s="89"/>
      <c r="X572" s="90"/>
      <c r="Y572" s="90"/>
    </row>
    <row r="573" spans="7:25" ht="15.75" customHeight="1">
      <c r="G573" s="90"/>
      <c r="H573" s="90"/>
      <c r="J573" s="90"/>
      <c r="K573" s="90"/>
      <c r="L573" s="90"/>
      <c r="M573" s="90"/>
      <c r="P573" s="89"/>
      <c r="X573" s="90"/>
      <c r="Y573" s="90"/>
    </row>
    <row r="574" spans="7:25" ht="15.75" customHeight="1">
      <c r="G574" s="90"/>
      <c r="H574" s="90"/>
      <c r="J574" s="90"/>
      <c r="K574" s="90"/>
      <c r="L574" s="90"/>
      <c r="M574" s="90"/>
      <c r="P574" s="89"/>
      <c r="X574" s="90"/>
      <c r="Y574" s="90"/>
    </row>
    <row r="575" spans="7:25" ht="15.75" customHeight="1">
      <c r="G575" s="90"/>
      <c r="H575" s="90"/>
      <c r="J575" s="90"/>
      <c r="K575" s="90"/>
      <c r="L575" s="90"/>
      <c r="M575" s="90"/>
      <c r="P575" s="89"/>
      <c r="X575" s="90"/>
      <c r="Y575" s="90"/>
    </row>
    <row r="576" spans="7:25" ht="15.75" customHeight="1">
      <c r="G576" s="90"/>
      <c r="H576" s="90"/>
      <c r="J576" s="90"/>
      <c r="K576" s="90"/>
      <c r="L576" s="90"/>
      <c r="M576" s="90"/>
      <c r="P576" s="89"/>
      <c r="X576" s="90"/>
      <c r="Y576" s="90"/>
    </row>
    <row r="577" spans="7:25" ht="15.75" customHeight="1">
      <c r="G577" s="90"/>
      <c r="H577" s="90"/>
      <c r="J577" s="90"/>
      <c r="K577" s="90"/>
      <c r="L577" s="90"/>
      <c r="M577" s="90"/>
      <c r="P577" s="89"/>
      <c r="X577" s="90"/>
      <c r="Y577" s="90"/>
    </row>
    <row r="578" spans="7:25" ht="15.75" customHeight="1">
      <c r="G578" s="90"/>
      <c r="H578" s="90"/>
      <c r="J578" s="90"/>
      <c r="K578" s="90"/>
      <c r="L578" s="90"/>
      <c r="M578" s="90"/>
      <c r="P578" s="89"/>
      <c r="X578" s="90"/>
      <c r="Y578" s="90"/>
    </row>
    <row r="579" spans="7:25" ht="15.75" customHeight="1">
      <c r="G579" s="90"/>
      <c r="H579" s="90"/>
      <c r="J579" s="90"/>
      <c r="K579" s="90"/>
      <c r="L579" s="90"/>
      <c r="M579" s="90"/>
      <c r="P579" s="89"/>
      <c r="X579" s="90"/>
      <c r="Y579" s="90"/>
    </row>
    <row r="580" spans="7:25" ht="15.75" customHeight="1">
      <c r="G580" s="90"/>
      <c r="H580" s="90"/>
      <c r="J580" s="90"/>
      <c r="K580" s="90"/>
      <c r="L580" s="90"/>
      <c r="M580" s="90"/>
      <c r="P580" s="89"/>
      <c r="X580" s="90"/>
      <c r="Y580" s="90"/>
    </row>
    <row r="581" spans="7:25" ht="15.75" customHeight="1">
      <c r="G581" s="90"/>
      <c r="H581" s="90"/>
      <c r="J581" s="90"/>
      <c r="K581" s="90"/>
      <c r="L581" s="90"/>
      <c r="M581" s="90"/>
      <c r="P581" s="89"/>
      <c r="X581" s="90"/>
      <c r="Y581" s="90"/>
    </row>
    <row r="582" spans="7:25" ht="15.75" customHeight="1">
      <c r="G582" s="90"/>
      <c r="H582" s="90"/>
      <c r="J582" s="90"/>
      <c r="K582" s="90"/>
      <c r="L582" s="90"/>
      <c r="M582" s="90"/>
      <c r="P582" s="89"/>
      <c r="X582" s="90"/>
      <c r="Y582" s="90"/>
    </row>
    <row r="583" spans="7:25" ht="15.75" customHeight="1">
      <c r="G583" s="90"/>
      <c r="H583" s="90"/>
      <c r="J583" s="90"/>
      <c r="K583" s="90"/>
      <c r="L583" s="90"/>
      <c r="M583" s="90"/>
      <c r="P583" s="89"/>
      <c r="X583" s="90"/>
      <c r="Y583" s="90"/>
    </row>
    <row r="584" spans="7:25" ht="15.75" customHeight="1">
      <c r="G584" s="90"/>
      <c r="H584" s="90"/>
      <c r="J584" s="90"/>
      <c r="K584" s="90"/>
      <c r="L584" s="90"/>
      <c r="M584" s="90"/>
      <c r="P584" s="89"/>
      <c r="X584" s="90"/>
      <c r="Y584" s="90"/>
    </row>
    <row r="585" spans="7:25" ht="15.75" customHeight="1">
      <c r="G585" s="90"/>
      <c r="H585" s="90"/>
      <c r="J585" s="90"/>
      <c r="K585" s="90"/>
      <c r="L585" s="90"/>
      <c r="M585" s="90"/>
      <c r="P585" s="89"/>
      <c r="X585" s="90"/>
      <c r="Y585" s="90"/>
    </row>
    <row r="586" spans="7:25" ht="15.75" customHeight="1">
      <c r="G586" s="90"/>
      <c r="H586" s="90"/>
      <c r="J586" s="90"/>
      <c r="K586" s="90"/>
      <c r="L586" s="90"/>
      <c r="M586" s="90"/>
      <c r="P586" s="89"/>
      <c r="X586" s="90"/>
      <c r="Y586" s="90"/>
    </row>
    <row r="587" spans="7:25" ht="15.75" customHeight="1">
      <c r="G587" s="90"/>
      <c r="H587" s="90"/>
      <c r="J587" s="90"/>
      <c r="K587" s="90"/>
      <c r="L587" s="90"/>
      <c r="M587" s="90"/>
      <c r="P587" s="89"/>
      <c r="X587" s="90"/>
      <c r="Y587" s="90"/>
    </row>
    <row r="588" spans="7:25" ht="15.75" customHeight="1">
      <c r="G588" s="90"/>
      <c r="H588" s="90"/>
      <c r="J588" s="90"/>
      <c r="K588" s="90"/>
      <c r="L588" s="90"/>
      <c r="M588" s="90"/>
      <c r="P588" s="89"/>
      <c r="X588" s="90"/>
      <c r="Y588" s="90"/>
    </row>
    <row r="589" spans="7:25" ht="15.75" customHeight="1">
      <c r="G589" s="90"/>
      <c r="H589" s="90"/>
      <c r="J589" s="90"/>
      <c r="K589" s="90"/>
      <c r="L589" s="90"/>
      <c r="M589" s="90"/>
      <c r="P589" s="89"/>
      <c r="X589" s="90"/>
      <c r="Y589" s="90"/>
    </row>
    <row r="590" spans="7:25" ht="15.75" customHeight="1">
      <c r="G590" s="90"/>
      <c r="H590" s="90"/>
      <c r="J590" s="90"/>
      <c r="K590" s="90"/>
      <c r="L590" s="90"/>
      <c r="M590" s="90"/>
      <c r="P590" s="89"/>
      <c r="X590" s="90"/>
      <c r="Y590" s="90"/>
    </row>
    <row r="591" spans="7:25" ht="15.75" customHeight="1">
      <c r="G591" s="90"/>
      <c r="H591" s="90"/>
      <c r="J591" s="90"/>
      <c r="K591" s="90"/>
      <c r="L591" s="90"/>
      <c r="M591" s="90"/>
      <c r="P591" s="89"/>
      <c r="X591" s="90"/>
      <c r="Y591" s="90"/>
    </row>
    <row r="592" spans="7:25" ht="15.75" customHeight="1">
      <c r="G592" s="90"/>
      <c r="H592" s="90"/>
      <c r="J592" s="90"/>
      <c r="K592" s="90"/>
      <c r="L592" s="90"/>
      <c r="M592" s="90"/>
      <c r="P592" s="89"/>
      <c r="X592" s="90"/>
      <c r="Y592" s="90"/>
    </row>
    <row r="593" spans="7:25" ht="15.75" customHeight="1">
      <c r="G593" s="90"/>
      <c r="H593" s="90"/>
      <c r="J593" s="90"/>
      <c r="K593" s="90"/>
      <c r="L593" s="90"/>
      <c r="M593" s="90"/>
      <c r="P593" s="89"/>
      <c r="X593" s="90"/>
      <c r="Y593" s="90"/>
    </row>
    <row r="594" spans="7:25" ht="15.75" customHeight="1">
      <c r="G594" s="90"/>
      <c r="H594" s="90"/>
      <c r="J594" s="90"/>
      <c r="K594" s="90"/>
      <c r="L594" s="90"/>
      <c r="M594" s="90"/>
      <c r="P594" s="89"/>
      <c r="X594" s="90"/>
      <c r="Y594" s="90"/>
    </row>
    <row r="595" spans="7:25" ht="15.75" customHeight="1">
      <c r="G595" s="90"/>
      <c r="H595" s="90"/>
      <c r="J595" s="90"/>
      <c r="K595" s="90"/>
      <c r="L595" s="90"/>
      <c r="M595" s="90"/>
      <c r="P595" s="89"/>
      <c r="X595" s="90"/>
      <c r="Y595" s="90"/>
    </row>
    <row r="596" spans="7:25" ht="15.75" customHeight="1">
      <c r="G596" s="90"/>
      <c r="H596" s="90"/>
      <c r="J596" s="90"/>
      <c r="K596" s="90"/>
      <c r="L596" s="90"/>
      <c r="M596" s="90"/>
      <c r="P596" s="89"/>
      <c r="X596" s="90"/>
      <c r="Y596" s="90"/>
    </row>
    <row r="597" spans="7:25" ht="15.75" customHeight="1">
      <c r="G597" s="90"/>
      <c r="H597" s="90"/>
      <c r="J597" s="90"/>
      <c r="K597" s="90"/>
      <c r="L597" s="90"/>
      <c r="M597" s="90"/>
      <c r="P597" s="89"/>
      <c r="X597" s="90"/>
      <c r="Y597" s="90"/>
    </row>
    <row r="598" spans="7:25" ht="15.75" customHeight="1">
      <c r="G598" s="90"/>
      <c r="H598" s="90"/>
      <c r="J598" s="90"/>
      <c r="K598" s="90"/>
      <c r="L598" s="90"/>
      <c r="M598" s="90"/>
      <c r="P598" s="89"/>
      <c r="X598" s="90"/>
      <c r="Y598" s="90"/>
    </row>
    <row r="599" spans="7:25" ht="15.75" customHeight="1">
      <c r="G599" s="90"/>
      <c r="H599" s="90"/>
      <c r="J599" s="90"/>
      <c r="K599" s="90"/>
      <c r="L599" s="90"/>
      <c r="M599" s="90"/>
      <c r="P599" s="89"/>
      <c r="X599" s="90"/>
      <c r="Y599" s="90"/>
    </row>
    <row r="600" spans="7:25" ht="15.75" customHeight="1">
      <c r="G600" s="90"/>
      <c r="H600" s="90"/>
      <c r="J600" s="90"/>
      <c r="K600" s="90"/>
      <c r="L600" s="90"/>
      <c r="M600" s="90"/>
      <c r="P600" s="89"/>
      <c r="X600" s="90"/>
      <c r="Y600" s="90"/>
    </row>
    <row r="601" spans="7:25" ht="15.75" customHeight="1">
      <c r="G601" s="90"/>
      <c r="H601" s="90"/>
      <c r="J601" s="90"/>
      <c r="K601" s="90"/>
      <c r="L601" s="90"/>
      <c r="M601" s="90"/>
      <c r="P601" s="89"/>
      <c r="X601" s="90"/>
      <c r="Y601" s="90"/>
    </row>
    <row r="602" spans="7:25" ht="15.75" customHeight="1">
      <c r="G602" s="90"/>
      <c r="H602" s="90"/>
      <c r="J602" s="90"/>
      <c r="K602" s="90"/>
      <c r="L602" s="90"/>
      <c r="M602" s="90"/>
      <c r="P602" s="89"/>
      <c r="X602" s="90"/>
      <c r="Y602" s="90"/>
    </row>
    <row r="603" spans="7:25" ht="15.75" customHeight="1">
      <c r="G603" s="90"/>
      <c r="H603" s="90"/>
      <c r="J603" s="90"/>
      <c r="K603" s="90"/>
      <c r="L603" s="90"/>
      <c r="M603" s="90"/>
      <c r="P603" s="89"/>
      <c r="X603" s="90"/>
      <c r="Y603" s="90"/>
    </row>
    <row r="604" spans="7:25" ht="15.75" customHeight="1">
      <c r="G604" s="90"/>
      <c r="H604" s="90"/>
      <c r="J604" s="90"/>
      <c r="K604" s="90"/>
      <c r="L604" s="90"/>
      <c r="M604" s="90"/>
      <c r="P604" s="89"/>
      <c r="X604" s="90"/>
      <c r="Y604" s="90"/>
    </row>
    <row r="605" spans="7:25" ht="15.75" customHeight="1">
      <c r="G605" s="90"/>
      <c r="H605" s="90"/>
      <c r="J605" s="90"/>
      <c r="K605" s="90"/>
      <c r="L605" s="90"/>
      <c r="M605" s="90"/>
      <c r="P605" s="89"/>
      <c r="X605" s="90"/>
      <c r="Y605" s="90"/>
    </row>
    <row r="606" spans="7:25" ht="15.75" customHeight="1">
      <c r="G606" s="90"/>
      <c r="H606" s="90"/>
      <c r="J606" s="90"/>
      <c r="K606" s="90"/>
      <c r="L606" s="90"/>
      <c r="M606" s="90"/>
      <c r="P606" s="89"/>
      <c r="X606" s="90"/>
      <c r="Y606" s="90"/>
    </row>
    <row r="607" spans="7:25" ht="15.75" customHeight="1">
      <c r="G607" s="90"/>
      <c r="H607" s="90"/>
      <c r="J607" s="90"/>
      <c r="K607" s="90"/>
      <c r="L607" s="90"/>
      <c r="M607" s="90"/>
      <c r="P607" s="89"/>
      <c r="X607" s="90"/>
      <c r="Y607" s="90"/>
    </row>
    <row r="608" spans="7:25" ht="15.75" customHeight="1">
      <c r="G608" s="90"/>
      <c r="H608" s="90"/>
      <c r="J608" s="90"/>
      <c r="K608" s="90"/>
      <c r="L608" s="90"/>
      <c r="M608" s="90"/>
      <c r="P608" s="89"/>
      <c r="X608" s="90"/>
      <c r="Y608" s="90"/>
    </row>
    <row r="609" spans="7:25" ht="15.75" customHeight="1">
      <c r="G609" s="90"/>
      <c r="H609" s="90"/>
      <c r="J609" s="90"/>
      <c r="K609" s="90"/>
      <c r="L609" s="90"/>
      <c r="M609" s="90"/>
      <c r="P609" s="89"/>
      <c r="X609" s="90"/>
      <c r="Y609" s="90"/>
    </row>
    <row r="610" spans="7:25" ht="15.75" customHeight="1">
      <c r="G610" s="90"/>
      <c r="H610" s="90"/>
      <c r="J610" s="90"/>
      <c r="K610" s="90"/>
      <c r="L610" s="90"/>
      <c r="M610" s="90"/>
      <c r="P610" s="89"/>
      <c r="X610" s="90"/>
      <c r="Y610" s="90"/>
    </row>
    <row r="611" spans="7:25" ht="15.75" customHeight="1">
      <c r="G611" s="90"/>
      <c r="H611" s="90"/>
      <c r="J611" s="90"/>
      <c r="K611" s="90"/>
      <c r="L611" s="90"/>
      <c r="M611" s="90"/>
      <c r="P611" s="89"/>
      <c r="X611" s="90"/>
      <c r="Y611" s="90"/>
    </row>
    <row r="612" spans="7:25" ht="15.75" customHeight="1">
      <c r="G612" s="90"/>
      <c r="H612" s="90"/>
      <c r="J612" s="90"/>
      <c r="K612" s="90"/>
      <c r="L612" s="90"/>
      <c r="M612" s="90"/>
      <c r="P612" s="89"/>
      <c r="X612" s="90"/>
      <c r="Y612" s="90"/>
    </row>
    <row r="613" spans="7:25" ht="15.75" customHeight="1">
      <c r="G613" s="90"/>
      <c r="H613" s="90"/>
      <c r="J613" s="90"/>
      <c r="K613" s="90"/>
      <c r="L613" s="90"/>
      <c r="M613" s="90"/>
      <c r="P613" s="89"/>
      <c r="X613" s="90"/>
      <c r="Y613" s="90"/>
    </row>
    <row r="614" spans="7:25" ht="15.75" customHeight="1">
      <c r="G614" s="90"/>
      <c r="H614" s="90"/>
      <c r="J614" s="90"/>
      <c r="K614" s="90"/>
      <c r="L614" s="90"/>
      <c r="M614" s="90"/>
      <c r="P614" s="89"/>
      <c r="X614" s="90"/>
      <c r="Y614" s="90"/>
    </row>
    <row r="615" spans="7:25" ht="15.75" customHeight="1">
      <c r="G615" s="90"/>
      <c r="H615" s="90"/>
      <c r="J615" s="90"/>
      <c r="K615" s="90"/>
      <c r="L615" s="90"/>
      <c r="M615" s="90"/>
      <c r="P615" s="89"/>
      <c r="X615" s="90"/>
      <c r="Y615" s="90"/>
    </row>
    <row r="616" spans="7:25" ht="15.75" customHeight="1">
      <c r="G616" s="90"/>
      <c r="H616" s="90"/>
      <c r="J616" s="90"/>
      <c r="K616" s="90"/>
      <c r="L616" s="90"/>
      <c r="M616" s="90"/>
      <c r="P616" s="89"/>
      <c r="X616" s="90"/>
      <c r="Y616" s="90"/>
    </row>
    <row r="617" spans="7:25" ht="15.75" customHeight="1">
      <c r="G617" s="90"/>
      <c r="H617" s="90"/>
      <c r="J617" s="90"/>
      <c r="K617" s="90"/>
      <c r="L617" s="90"/>
      <c r="M617" s="90"/>
      <c r="P617" s="89"/>
      <c r="X617" s="90"/>
      <c r="Y617" s="90"/>
    </row>
    <row r="618" spans="7:25" ht="15.75" customHeight="1">
      <c r="G618" s="90"/>
      <c r="H618" s="90"/>
      <c r="J618" s="90"/>
      <c r="K618" s="90"/>
      <c r="L618" s="90"/>
      <c r="M618" s="90"/>
      <c r="P618" s="89"/>
      <c r="X618" s="90"/>
      <c r="Y618" s="90"/>
    </row>
    <row r="619" spans="7:25" ht="15.75" customHeight="1">
      <c r="G619" s="90"/>
      <c r="H619" s="90"/>
      <c r="J619" s="90"/>
      <c r="K619" s="90"/>
      <c r="L619" s="90"/>
      <c r="M619" s="90"/>
      <c r="P619" s="89"/>
      <c r="X619" s="90"/>
      <c r="Y619" s="90"/>
    </row>
    <row r="620" spans="7:25" ht="15.75" customHeight="1">
      <c r="G620" s="90"/>
      <c r="H620" s="90"/>
      <c r="J620" s="90"/>
      <c r="K620" s="90"/>
      <c r="L620" s="90"/>
      <c r="M620" s="90"/>
      <c r="P620" s="89"/>
      <c r="X620" s="90"/>
      <c r="Y620" s="90"/>
    </row>
    <row r="621" spans="7:25" ht="15.75" customHeight="1">
      <c r="G621" s="90"/>
      <c r="H621" s="90"/>
      <c r="J621" s="90"/>
      <c r="K621" s="90"/>
      <c r="L621" s="90"/>
      <c r="M621" s="90"/>
      <c r="P621" s="89"/>
      <c r="X621" s="90"/>
      <c r="Y621" s="90"/>
    </row>
    <row r="622" spans="7:25" ht="15.75" customHeight="1">
      <c r="G622" s="90"/>
      <c r="H622" s="90"/>
      <c r="J622" s="90"/>
      <c r="K622" s="90"/>
      <c r="L622" s="90"/>
      <c r="M622" s="90"/>
      <c r="P622" s="89"/>
      <c r="X622" s="90"/>
      <c r="Y622" s="90"/>
    </row>
    <row r="623" spans="7:25" ht="15.75" customHeight="1">
      <c r="G623" s="90"/>
      <c r="H623" s="90"/>
      <c r="J623" s="90"/>
      <c r="K623" s="90"/>
      <c r="L623" s="90"/>
      <c r="M623" s="90"/>
      <c r="P623" s="89"/>
      <c r="X623" s="90"/>
      <c r="Y623" s="90"/>
    </row>
    <row r="624" spans="7:25" ht="15.75" customHeight="1">
      <c r="G624" s="90"/>
      <c r="H624" s="90"/>
      <c r="J624" s="90"/>
      <c r="K624" s="90"/>
      <c r="L624" s="90"/>
      <c r="M624" s="90"/>
      <c r="P624" s="89"/>
      <c r="X624" s="90"/>
      <c r="Y624" s="90"/>
    </row>
    <row r="625" spans="7:25" ht="15.75" customHeight="1">
      <c r="G625" s="90"/>
      <c r="H625" s="90"/>
      <c r="J625" s="90"/>
      <c r="K625" s="90"/>
      <c r="L625" s="90"/>
      <c r="M625" s="90"/>
      <c r="P625" s="89"/>
      <c r="X625" s="90"/>
      <c r="Y625" s="90"/>
    </row>
    <row r="626" spans="7:25" ht="15.75" customHeight="1">
      <c r="G626" s="90"/>
      <c r="H626" s="90"/>
      <c r="J626" s="90"/>
      <c r="K626" s="90"/>
      <c r="L626" s="90"/>
      <c r="M626" s="90"/>
      <c r="P626" s="89"/>
      <c r="X626" s="90"/>
      <c r="Y626" s="90"/>
    </row>
    <row r="627" spans="7:25" ht="15.75" customHeight="1">
      <c r="G627" s="90"/>
      <c r="H627" s="90"/>
      <c r="J627" s="90"/>
      <c r="K627" s="90"/>
      <c r="L627" s="90"/>
      <c r="M627" s="90"/>
      <c r="P627" s="89"/>
      <c r="X627" s="90"/>
      <c r="Y627" s="90"/>
    </row>
    <row r="628" spans="7:25" ht="15.75" customHeight="1">
      <c r="G628" s="90"/>
      <c r="H628" s="90"/>
      <c r="J628" s="90"/>
      <c r="K628" s="90"/>
      <c r="L628" s="90"/>
      <c r="M628" s="90"/>
      <c r="P628" s="89"/>
      <c r="X628" s="90"/>
      <c r="Y628" s="90"/>
    </row>
    <row r="629" spans="7:25" ht="15.75" customHeight="1">
      <c r="G629" s="90"/>
      <c r="H629" s="90"/>
      <c r="J629" s="90"/>
      <c r="K629" s="90"/>
      <c r="L629" s="90"/>
      <c r="M629" s="90"/>
      <c r="P629" s="89"/>
      <c r="X629" s="90"/>
      <c r="Y629" s="90"/>
    </row>
    <row r="630" spans="7:25" ht="15.75" customHeight="1">
      <c r="G630" s="90"/>
      <c r="H630" s="90"/>
      <c r="J630" s="90"/>
      <c r="K630" s="90"/>
      <c r="L630" s="90"/>
      <c r="M630" s="90"/>
      <c r="P630" s="89"/>
      <c r="X630" s="90"/>
      <c r="Y630" s="90"/>
    </row>
    <row r="631" spans="7:25" ht="15.75" customHeight="1">
      <c r="G631" s="90"/>
      <c r="H631" s="90"/>
      <c r="J631" s="90"/>
      <c r="K631" s="90"/>
      <c r="L631" s="90"/>
      <c r="M631" s="90"/>
      <c r="P631" s="89"/>
      <c r="X631" s="90"/>
      <c r="Y631" s="90"/>
    </row>
    <row r="632" spans="7:25" ht="15.75" customHeight="1">
      <c r="G632" s="90"/>
      <c r="H632" s="90"/>
      <c r="J632" s="90"/>
      <c r="K632" s="90"/>
      <c r="L632" s="90"/>
      <c r="M632" s="90"/>
      <c r="P632" s="89"/>
      <c r="X632" s="90"/>
      <c r="Y632" s="90"/>
    </row>
    <row r="633" spans="7:25" ht="15.75" customHeight="1">
      <c r="G633" s="90"/>
      <c r="H633" s="90"/>
      <c r="J633" s="90"/>
      <c r="K633" s="90"/>
      <c r="L633" s="90"/>
      <c r="M633" s="90"/>
      <c r="P633" s="89"/>
      <c r="X633" s="90"/>
      <c r="Y633" s="90"/>
    </row>
    <row r="634" spans="7:25" ht="15.75" customHeight="1">
      <c r="G634" s="90"/>
      <c r="H634" s="90"/>
      <c r="J634" s="90"/>
      <c r="K634" s="90"/>
      <c r="L634" s="90"/>
      <c r="M634" s="90"/>
      <c r="P634" s="89"/>
      <c r="X634" s="90"/>
      <c r="Y634" s="90"/>
    </row>
    <row r="635" spans="7:25" ht="15.75" customHeight="1">
      <c r="G635" s="90"/>
      <c r="H635" s="90"/>
      <c r="J635" s="90"/>
      <c r="K635" s="90"/>
      <c r="L635" s="90"/>
      <c r="M635" s="90"/>
      <c r="P635" s="89"/>
      <c r="X635" s="90"/>
      <c r="Y635" s="90"/>
    </row>
    <row r="636" spans="7:25" ht="15.75" customHeight="1">
      <c r="G636" s="90"/>
      <c r="H636" s="90"/>
      <c r="J636" s="90"/>
      <c r="K636" s="90"/>
      <c r="L636" s="90"/>
      <c r="M636" s="90"/>
      <c r="P636" s="89"/>
      <c r="X636" s="90"/>
      <c r="Y636" s="90"/>
    </row>
    <row r="637" spans="7:25" ht="15.75" customHeight="1">
      <c r="G637" s="90"/>
      <c r="H637" s="90"/>
      <c r="J637" s="90"/>
      <c r="K637" s="90"/>
      <c r="L637" s="90"/>
      <c r="M637" s="90"/>
      <c r="P637" s="89"/>
      <c r="X637" s="90"/>
      <c r="Y637" s="90"/>
    </row>
    <row r="638" spans="7:25" ht="15.75" customHeight="1">
      <c r="G638" s="90"/>
      <c r="H638" s="90"/>
      <c r="J638" s="90"/>
      <c r="K638" s="90"/>
      <c r="L638" s="90"/>
      <c r="M638" s="90"/>
      <c r="P638" s="89"/>
      <c r="X638" s="90"/>
      <c r="Y638" s="90"/>
    </row>
    <row r="639" spans="7:25" ht="15.75" customHeight="1">
      <c r="G639" s="90"/>
      <c r="H639" s="90"/>
      <c r="J639" s="90"/>
      <c r="K639" s="90"/>
      <c r="L639" s="90"/>
      <c r="M639" s="90"/>
      <c r="P639" s="89"/>
      <c r="X639" s="90"/>
      <c r="Y639" s="90"/>
    </row>
    <row r="640" spans="7:25" ht="15.75" customHeight="1">
      <c r="G640" s="90"/>
      <c r="H640" s="90"/>
      <c r="J640" s="90"/>
      <c r="K640" s="90"/>
      <c r="L640" s="90"/>
      <c r="M640" s="90"/>
      <c r="P640" s="89"/>
      <c r="X640" s="90"/>
      <c r="Y640" s="90"/>
    </row>
    <row r="641" spans="7:25" ht="15.75" customHeight="1">
      <c r="G641" s="90"/>
      <c r="H641" s="90"/>
      <c r="J641" s="90"/>
      <c r="K641" s="90"/>
      <c r="L641" s="90"/>
      <c r="M641" s="90"/>
      <c r="P641" s="89"/>
      <c r="X641" s="90"/>
      <c r="Y641" s="90"/>
    </row>
    <row r="642" spans="7:25" ht="15.75" customHeight="1">
      <c r="G642" s="90"/>
      <c r="H642" s="90"/>
      <c r="J642" s="90"/>
      <c r="K642" s="90"/>
      <c r="L642" s="90"/>
      <c r="M642" s="90"/>
      <c r="P642" s="89"/>
      <c r="X642" s="90"/>
      <c r="Y642" s="90"/>
    </row>
    <row r="643" spans="7:25" ht="15.75" customHeight="1">
      <c r="G643" s="90"/>
      <c r="H643" s="90"/>
      <c r="J643" s="90"/>
      <c r="K643" s="90"/>
      <c r="L643" s="90"/>
      <c r="M643" s="90"/>
      <c r="P643" s="89"/>
      <c r="X643" s="90"/>
      <c r="Y643" s="90"/>
    </row>
    <row r="644" spans="7:25" ht="15.75" customHeight="1">
      <c r="G644" s="90"/>
      <c r="H644" s="90"/>
      <c r="J644" s="90"/>
      <c r="K644" s="90"/>
      <c r="L644" s="90"/>
      <c r="M644" s="90"/>
      <c r="P644" s="89"/>
      <c r="X644" s="90"/>
      <c r="Y644" s="90"/>
    </row>
    <row r="645" spans="7:25" ht="15.75" customHeight="1">
      <c r="G645" s="90"/>
      <c r="H645" s="90"/>
      <c r="J645" s="90"/>
      <c r="K645" s="90"/>
      <c r="L645" s="90"/>
      <c r="M645" s="90"/>
      <c r="P645" s="89"/>
      <c r="X645" s="90"/>
      <c r="Y645" s="90"/>
    </row>
    <row r="646" spans="7:25" ht="15.75" customHeight="1">
      <c r="G646" s="90"/>
      <c r="H646" s="90"/>
      <c r="J646" s="90"/>
      <c r="K646" s="90"/>
      <c r="L646" s="90"/>
      <c r="M646" s="90"/>
      <c r="P646" s="89"/>
      <c r="X646" s="90"/>
      <c r="Y646" s="90"/>
    </row>
    <row r="647" spans="7:25" ht="15.75" customHeight="1">
      <c r="G647" s="90"/>
      <c r="H647" s="90"/>
      <c r="J647" s="90"/>
      <c r="K647" s="90"/>
      <c r="L647" s="90"/>
      <c r="M647" s="90"/>
      <c r="P647" s="89"/>
      <c r="X647" s="90"/>
      <c r="Y647" s="90"/>
    </row>
    <row r="648" spans="7:25" ht="15.75" customHeight="1">
      <c r="G648" s="90"/>
      <c r="H648" s="90"/>
      <c r="J648" s="90"/>
      <c r="K648" s="90"/>
      <c r="L648" s="90"/>
      <c r="M648" s="90"/>
      <c r="P648" s="89"/>
      <c r="X648" s="90"/>
      <c r="Y648" s="90"/>
    </row>
    <row r="649" spans="7:25" ht="15.75" customHeight="1">
      <c r="G649" s="90"/>
      <c r="H649" s="90"/>
      <c r="J649" s="90"/>
      <c r="K649" s="90"/>
      <c r="L649" s="90"/>
      <c r="M649" s="90"/>
      <c r="P649" s="89"/>
      <c r="X649" s="90"/>
      <c r="Y649" s="90"/>
    </row>
    <row r="650" spans="7:25" ht="15.75" customHeight="1">
      <c r="G650" s="90"/>
      <c r="H650" s="90"/>
      <c r="J650" s="90"/>
      <c r="K650" s="90"/>
      <c r="L650" s="90"/>
      <c r="M650" s="90"/>
      <c r="P650" s="89"/>
      <c r="X650" s="90"/>
      <c r="Y650" s="90"/>
    </row>
    <row r="651" spans="7:25" ht="15.75" customHeight="1">
      <c r="G651" s="90"/>
      <c r="H651" s="90"/>
      <c r="J651" s="90"/>
      <c r="K651" s="90"/>
      <c r="L651" s="90"/>
      <c r="M651" s="90"/>
      <c r="P651" s="89"/>
      <c r="X651" s="90"/>
      <c r="Y651" s="90"/>
    </row>
    <row r="652" spans="7:25" ht="15.75" customHeight="1">
      <c r="G652" s="90"/>
      <c r="H652" s="90"/>
      <c r="J652" s="90"/>
      <c r="K652" s="90"/>
      <c r="L652" s="90"/>
      <c r="M652" s="90"/>
      <c r="P652" s="89"/>
      <c r="X652" s="90"/>
      <c r="Y652" s="90"/>
    </row>
    <row r="653" spans="7:25" ht="15.75" customHeight="1">
      <c r="G653" s="90"/>
      <c r="H653" s="90"/>
      <c r="J653" s="90"/>
      <c r="K653" s="90"/>
      <c r="L653" s="90"/>
      <c r="M653" s="90"/>
      <c r="P653" s="89"/>
      <c r="X653" s="90"/>
      <c r="Y653" s="90"/>
    </row>
    <row r="654" spans="7:25" ht="15.75" customHeight="1">
      <c r="G654" s="90"/>
      <c r="H654" s="90"/>
      <c r="J654" s="90"/>
      <c r="K654" s="90"/>
      <c r="L654" s="90"/>
      <c r="M654" s="90"/>
      <c r="P654" s="89"/>
      <c r="X654" s="90"/>
      <c r="Y654" s="90"/>
    </row>
    <row r="655" spans="7:25" ht="15.75" customHeight="1">
      <c r="G655" s="90"/>
      <c r="H655" s="90"/>
      <c r="J655" s="90"/>
      <c r="K655" s="90"/>
      <c r="L655" s="90"/>
      <c r="M655" s="90"/>
      <c r="P655" s="89"/>
      <c r="X655" s="90"/>
      <c r="Y655" s="90"/>
    </row>
    <row r="656" spans="7:25" ht="15.75" customHeight="1">
      <c r="G656" s="90"/>
      <c r="H656" s="90"/>
      <c r="J656" s="90"/>
      <c r="K656" s="90"/>
      <c r="L656" s="90"/>
      <c r="M656" s="90"/>
      <c r="P656" s="89"/>
      <c r="X656" s="90"/>
      <c r="Y656" s="90"/>
    </row>
    <row r="657" spans="7:25" ht="15.75" customHeight="1">
      <c r="G657" s="90"/>
      <c r="H657" s="90"/>
      <c r="J657" s="90"/>
      <c r="K657" s="90"/>
      <c r="L657" s="90"/>
      <c r="M657" s="90"/>
      <c r="P657" s="89"/>
      <c r="X657" s="90"/>
      <c r="Y657" s="90"/>
    </row>
    <row r="658" spans="7:25" ht="15.75" customHeight="1">
      <c r="G658" s="90"/>
      <c r="H658" s="90"/>
      <c r="J658" s="90"/>
      <c r="K658" s="90"/>
      <c r="L658" s="90"/>
      <c r="M658" s="90"/>
      <c r="P658" s="89"/>
      <c r="X658" s="90"/>
      <c r="Y658" s="90"/>
    </row>
    <row r="659" spans="7:25" ht="15.75" customHeight="1">
      <c r="G659" s="90"/>
      <c r="H659" s="90"/>
      <c r="J659" s="90"/>
      <c r="K659" s="90"/>
      <c r="L659" s="90"/>
      <c r="M659" s="90"/>
      <c r="P659" s="89"/>
      <c r="X659" s="90"/>
      <c r="Y659" s="90"/>
    </row>
    <row r="660" spans="7:25" ht="15.75" customHeight="1">
      <c r="G660" s="90"/>
      <c r="H660" s="90"/>
      <c r="J660" s="90"/>
      <c r="K660" s="90"/>
      <c r="L660" s="90"/>
      <c r="M660" s="90"/>
      <c r="P660" s="89"/>
      <c r="X660" s="90"/>
      <c r="Y660" s="90"/>
    </row>
    <row r="661" spans="7:25" ht="15.75" customHeight="1">
      <c r="G661" s="90"/>
      <c r="H661" s="90"/>
      <c r="J661" s="90"/>
      <c r="K661" s="90"/>
      <c r="L661" s="90"/>
      <c r="M661" s="90"/>
      <c r="P661" s="89"/>
      <c r="X661" s="90"/>
      <c r="Y661" s="90"/>
    </row>
    <row r="662" spans="7:25" ht="15.75" customHeight="1">
      <c r="G662" s="90"/>
      <c r="H662" s="90"/>
      <c r="J662" s="90"/>
      <c r="K662" s="90"/>
      <c r="L662" s="90"/>
      <c r="M662" s="90"/>
      <c r="P662" s="89"/>
      <c r="X662" s="90"/>
      <c r="Y662" s="90"/>
    </row>
    <row r="663" spans="7:25" ht="15.75" customHeight="1">
      <c r="G663" s="90"/>
      <c r="H663" s="90"/>
      <c r="J663" s="90"/>
      <c r="K663" s="90"/>
      <c r="L663" s="90"/>
      <c r="M663" s="90"/>
      <c r="P663" s="89"/>
      <c r="X663" s="90"/>
      <c r="Y663" s="90"/>
    </row>
    <row r="664" spans="7:25" ht="15.75" customHeight="1">
      <c r="G664" s="90"/>
      <c r="H664" s="90"/>
      <c r="J664" s="90"/>
      <c r="K664" s="90"/>
      <c r="L664" s="90"/>
      <c r="M664" s="90"/>
      <c r="P664" s="89"/>
      <c r="X664" s="90"/>
      <c r="Y664" s="90"/>
    </row>
    <row r="665" spans="7:25" ht="15.75" customHeight="1">
      <c r="G665" s="90"/>
      <c r="H665" s="90"/>
      <c r="J665" s="90"/>
      <c r="K665" s="90"/>
      <c r="L665" s="90"/>
      <c r="M665" s="90"/>
      <c r="P665" s="89"/>
      <c r="X665" s="90"/>
      <c r="Y665" s="90"/>
    </row>
    <row r="666" spans="7:25" ht="15.75" customHeight="1">
      <c r="G666" s="90"/>
      <c r="H666" s="90"/>
      <c r="J666" s="90"/>
      <c r="K666" s="90"/>
      <c r="L666" s="90"/>
      <c r="M666" s="90"/>
      <c r="P666" s="89"/>
      <c r="X666" s="90"/>
      <c r="Y666" s="90"/>
    </row>
    <row r="667" spans="7:25" ht="15.75" customHeight="1">
      <c r="G667" s="90"/>
      <c r="H667" s="90"/>
      <c r="J667" s="90"/>
      <c r="K667" s="90"/>
      <c r="L667" s="90"/>
      <c r="M667" s="90"/>
      <c r="P667" s="89"/>
      <c r="X667" s="90"/>
      <c r="Y667" s="90"/>
    </row>
    <row r="668" spans="7:25" ht="15.75" customHeight="1">
      <c r="G668" s="90"/>
      <c r="H668" s="90"/>
      <c r="J668" s="90"/>
      <c r="K668" s="90"/>
      <c r="L668" s="90"/>
      <c r="M668" s="90"/>
      <c r="P668" s="89"/>
      <c r="X668" s="90"/>
      <c r="Y668" s="90"/>
    </row>
    <row r="669" spans="7:25" ht="15.75" customHeight="1">
      <c r="G669" s="90"/>
      <c r="H669" s="90"/>
      <c r="J669" s="90"/>
      <c r="K669" s="90"/>
      <c r="L669" s="90"/>
      <c r="M669" s="90"/>
      <c r="P669" s="89"/>
      <c r="X669" s="90"/>
      <c r="Y669" s="90"/>
    </row>
    <row r="670" spans="7:25" ht="15.75" customHeight="1">
      <c r="G670" s="90"/>
      <c r="H670" s="90"/>
      <c r="J670" s="90"/>
      <c r="K670" s="90"/>
      <c r="L670" s="90"/>
      <c r="M670" s="90"/>
      <c r="P670" s="89"/>
      <c r="X670" s="90"/>
      <c r="Y670" s="90"/>
    </row>
    <row r="671" spans="7:25" ht="15.75" customHeight="1">
      <c r="G671" s="90"/>
      <c r="H671" s="90"/>
      <c r="J671" s="90"/>
      <c r="K671" s="90"/>
      <c r="L671" s="90"/>
      <c r="M671" s="90"/>
      <c r="P671" s="89"/>
      <c r="X671" s="90"/>
      <c r="Y671" s="90"/>
    </row>
    <row r="672" spans="7:25" ht="15.75" customHeight="1">
      <c r="G672" s="90"/>
      <c r="H672" s="90"/>
      <c r="J672" s="90"/>
      <c r="K672" s="90"/>
      <c r="L672" s="90"/>
      <c r="M672" s="90"/>
      <c r="P672" s="89"/>
      <c r="X672" s="90"/>
      <c r="Y672" s="90"/>
    </row>
    <row r="673" spans="7:25" ht="15.75" customHeight="1">
      <c r="G673" s="90"/>
      <c r="H673" s="90"/>
      <c r="J673" s="90"/>
      <c r="K673" s="90"/>
      <c r="L673" s="90"/>
      <c r="M673" s="90"/>
      <c r="P673" s="89"/>
      <c r="X673" s="90"/>
      <c r="Y673" s="90"/>
    </row>
    <row r="674" spans="7:25" ht="15.75" customHeight="1">
      <c r="G674" s="90"/>
      <c r="H674" s="90"/>
      <c r="J674" s="90"/>
      <c r="K674" s="90"/>
      <c r="L674" s="90"/>
      <c r="M674" s="90"/>
      <c r="P674" s="89"/>
      <c r="X674" s="90"/>
      <c r="Y674" s="90"/>
    </row>
    <row r="675" spans="7:25" ht="15.75" customHeight="1">
      <c r="G675" s="90"/>
      <c r="H675" s="90"/>
      <c r="J675" s="90"/>
      <c r="K675" s="90"/>
      <c r="L675" s="90"/>
      <c r="M675" s="90"/>
      <c r="P675" s="89"/>
      <c r="X675" s="90"/>
      <c r="Y675" s="90"/>
    </row>
    <row r="676" spans="7:25" ht="15.75" customHeight="1">
      <c r="G676" s="90"/>
      <c r="H676" s="90"/>
      <c r="J676" s="90"/>
      <c r="K676" s="90"/>
      <c r="L676" s="90"/>
      <c r="M676" s="90"/>
      <c r="P676" s="89"/>
      <c r="X676" s="90"/>
      <c r="Y676" s="90"/>
    </row>
    <row r="677" spans="7:25" ht="15.75" customHeight="1">
      <c r="G677" s="90"/>
      <c r="H677" s="90"/>
      <c r="J677" s="90"/>
      <c r="K677" s="90"/>
      <c r="L677" s="90"/>
      <c r="M677" s="90"/>
      <c r="P677" s="89"/>
      <c r="X677" s="90"/>
      <c r="Y677" s="90"/>
    </row>
    <row r="678" spans="7:25" ht="15.75" customHeight="1">
      <c r="G678" s="90"/>
      <c r="H678" s="90"/>
      <c r="J678" s="90"/>
      <c r="K678" s="90"/>
      <c r="L678" s="90"/>
      <c r="M678" s="90"/>
      <c r="P678" s="89"/>
      <c r="X678" s="90"/>
      <c r="Y678" s="90"/>
    </row>
    <row r="679" spans="7:25" ht="15.75" customHeight="1">
      <c r="G679" s="90"/>
      <c r="H679" s="90"/>
      <c r="J679" s="90"/>
      <c r="K679" s="90"/>
      <c r="L679" s="90"/>
      <c r="M679" s="90"/>
      <c r="P679" s="89"/>
      <c r="X679" s="90"/>
      <c r="Y679" s="90"/>
    </row>
    <row r="680" spans="7:25" ht="15.75" customHeight="1">
      <c r="G680" s="90"/>
      <c r="H680" s="90"/>
      <c r="J680" s="90"/>
      <c r="K680" s="90"/>
      <c r="L680" s="90"/>
      <c r="M680" s="90"/>
      <c r="P680" s="89"/>
      <c r="X680" s="90"/>
      <c r="Y680" s="90"/>
    </row>
    <row r="681" spans="7:25" ht="15.75" customHeight="1">
      <c r="G681" s="90"/>
      <c r="H681" s="90"/>
      <c r="J681" s="90"/>
      <c r="K681" s="90"/>
      <c r="L681" s="90"/>
      <c r="M681" s="90"/>
      <c r="P681" s="89"/>
      <c r="X681" s="90"/>
      <c r="Y681" s="90"/>
    </row>
    <row r="682" spans="7:25" ht="15.75" customHeight="1">
      <c r="G682" s="90"/>
      <c r="H682" s="90"/>
      <c r="J682" s="90"/>
      <c r="K682" s="90"/>
      <c r="L682" s="90"/>
      <c r="M682" s="90"/>
      <c r="P682" s="89"/>
      <c r="X682" s="90"/>
      <c r="Y682" s="90"/>
    </row>
    <row r="683" spans="7:25" ht="15.75" customHeight="1">
      <c r="G683" s="90"/>
      <c r="H683" s="90"/>
      <c r="J683" s="90"/>
      <c r="K683" s="90"/>
      <c r="L683" s="90"/>
      <c r="M683" s="90"/>
      <c r="P683" s="89"/>
      <c r="X683" s="90"/>
      <c r="Y683" s="90"/>
    </row>
    <row r="684" spans="7:25" ht="15.75" customHeight="1">
      <c r="G684" s="90"/>
      <c r="H684" s="90"/>
      <c r="J684" s="90"/>
      <c r="K684" s="90"/>
      <c r="L684" s="90"/>
      <c r="M684" s="90"/>
      <c r="P684" s="89"/>
      <c r="X684" s="90"/>
      <c r="Y684" s="90"/>
    </row>
    <row r="685" spans="7:25" ht="15.75" customHeight="1">
      <c r="G685" s="90"/>
      <c r="H685" s="90"/>
      <c r="J685" s="90"/>
      <c r="K685" s="90"/>
      <c r="L685" s="90"/>
      <c r="M685" s="90"/>
      <c r="P685" s="89"/>
      <c r="X685" s="90"/>
      <c r="Y685" s="90"/>
    </row>
    <row r="686" spans="7:25" ht="15.75" customHeight="1">
      <c r="G686" s="90"/>
      <c r="H686" s="90"/>
      <c r="J686" s="90"/>
      <c r="K686" s="90"/>
      <c r="L686" s="90"/>
      <c r="M686" s="90"/>
      <c r="P686" s="89"/>
      <c r="X686" s="90"/>
      <c r="Y686" s="90"/>
    </row>
    <row r="687" spans="7:25" ht="15.75" customHeight="1">
      <c r="G687" s="90"/>
      <c r="H687" s="90"/>
      <c r="J687" s="90"/>
      <c r="K687" s="90"/>
      <c r="L687" s="90"/>
      <c r="M687" s="90"/>
      <c r="P687" s="89"/>
      <c r="X687" s="90"/>
      <c r="Y687" s="90"/>
    </row>
    <row r="688" spans="7:25" ht="15.75" customHeight="1">
      <c r="G688" s="90"/>
      <c r="H688" s="90"/>
      <c r="J688" s="90"/>
      <c r="K688" s="90"/>
      <c r="L688" s="90"/>
      <c r="M688" s="90"/>
      <c r="P688" s="89"/>
      <c r="X688" s="90"/>
      <c r="Y688" s="90"/>
    </row>
    <row r="689" spans="7:25" ht="15.75" customHeight="1">
      <c r="G689" s="90"/>
      <c r="H689" s="90"/>
      <c r="J689" s="90"/>
      <c r="K689" s="90"/>
      <c r="L689" s="90"/>
      <c r="M689" s="90"/>
      <c r="P689" s="89"/>
      <c r="X689" s="90"/>
      <c r="Y689" s="90"/>
    </row>
    <row r="690" spans="7:25" ht="15.75" customHeight="1">
      <c r="G690" s="90"/>
      <c r="H690" s="90"/>
      <c r="J690" s="90"/>
      <c r="K690" s="90"/>
      <c r="L690" s="90"/>
      <c r="M690" s="90"/>
      <c r="P690" s="89"/>
      <c r="X690" s="90"/>
      <c r="Y690" s="90"/>
    </row>
    <row r="691" spans="7:25" ht="15.75" customHeight="1">
      <c r="G691" s="90"/>
      <c r="H691" s="90"/>
      <c r="J691" s="90"/>
      <c r="K691" s="90"/>
      <c r="L691" s="90"/>
      <c r="M691" s="90"/>
      <c r="P691" s="89"/>
      <c r="X691" s="90"/>
      <c r="Y691" s="90"/>
    </row>
    <row r="692" spans="7:25" ht="15.75" customHeight="1">
      <c r="G692" s="90"/>
      <c r="H692" s="90"/>
      <c r="J692" s="90"/>
      <c r="K692" s="90"/>
      <c r="L692" s="90"/>
      <c r="M692" s="90"/>
      <c r="P692" s="89"/>
      <c r="X692" s="90"/>
      <c r="Y692" s="90"/>
    </row>
    <row r="693" spans="7:25" ht="15.75" customHeight="1">
      <c r="G693" s="90"/>
      <c r="H693" s="90"/>
      <c r="J693" s="90"/>
      <c r="K693" s="90"/>
      <c r="L693" s="90"/>
      <c r="M693" s="90"/>
      <c r="P693" s="89"/>
      <c r="X693" s="90"/>
      <c r="Y693" s="90"/>
    </row>
    <row r="694" spans="7:25" ht="15.75" customHeight="1">
      <c r="G694" s="90"/>
      <c r="H694" s="90"/>
      <c r="J694" s="90"/>
      <c r="K694" s="90"/>
      <c r="L694" s="90"/>
      <c r="M694" s="90"/>
      <c r="P694" s="89"/>
      <c r="X694" s="90"/>
      <c r="Y694" s="90"/>
    </row>
    <row r="695" spans="7:25" ht="15.75" customHeight="1">
      <c r="G695" s="90"/>
      <c r="H695" s="90"/>
      <c r="J695" s="90"/>
      <c r="K695" s="90"/>
      <c r="L695" s="90"/>
      <c r="M695" s="90"/>
      <c r="P695" s="89"/>
      <c r="X695" s="90"/>
      <c r="Y695" s="90"/>
    </row>
    <row r="696" spans="7:25" ht="15.75" customHeight="1">
      <c r="G696" s="90"/>
      <c r="H696" s="90"/>
      <c r="J696" s="90"/>
      <c r="K696" s="90"/>
      <c r="L696" s="90"/>
      <c r="M696" s="90"/>
      <c r="P696" s="89"/>
      <c r="X696" s="90"/>
      <c r="Y696" s="90"/>
    </row>
    <row r="697" spans="7:25" ht="15.75" customHeight="1">
      <c r="G697" s="90"/>
      <c r="H697" s="90"/>
      <c r="J697" s="90"/>
      <c r="K697" s="90"/>
      <c r="L697" s="90"/>
      <c r="M697" s="90"/>
      <c r="P697" s="89"/>
      <c r="X697" s="90"/>
      <c r="Y697" s="90"/>
    </row>
    <row r="698" spans="7:25" ht="15.75" customHeight="1">
      <c r="G698" s="90"/>
      <c r="H698" s="90"/>
      <c r="J698" s="90"/>
      <c r="K698" s="90"/>
      <c r="L698" s="90"/>
      <c r="M698" s="90"/>
      <c r="P698" s="89"/>
      <c r="X698" s="90"/>
      <c r="Y698" s="90"/>
    </row>
    <row r="699" spans="7:25" ht="15.75" customHeight="1">
      <c r="G699" s="90"/>
      <c r="H699" s="90"/>
      <c r="J699" s="90"/>
      <c r="K699" s="90"/>
      <c r="L699" s="90"/>
      <c r="M699" s="90"/>
      <c r="P699" s="89"/>
      <c r="X699" s="90"/>
      <c r="Y699" s="90"/>
    </row>
    <row r="700" spans="7:25" ht="15.75" customHeight="1">
      <c r="G700" s="90"/>
      <c r="H700" s="90"/>
      <c r="J700" s="90"/>
      <c r="K700" s="90"/>
      <c r="L700" s="90"/>
      <c r="M700" s="90"/>
      <c r="P700" s="89"/>
      <c r="X700" s="90"/>
      <c r="Y700" s="90"/>
    </row>
    <row r="701" spans="7:25" ht="15.75" customHeight="1">
      <c r="G701" s="90"/>
      <c r="H701" s="90"/>
      <c r="J701" s="90"/>
      <c r="K701" s="90"/>
      <c r="L701" s="90"/>
      <c r="M701" s="90"/>
      <c r="P701" s="89"/>
      <c r="X701" s="90"/>
      <c r="Y701" s="90"/>
    </row>
    <row r="702" spans="7:25" ht="15.75" customHeight="1">
      <c r="G702" s="90"/>
      <c r="H702" s="90"/>
      <c r="J702" s="90"/>
      <c r="K702" s="90"/>
      <c r="L702" s="90"/>
      <c r="M702" s="90"/>
      <c r="P702" s="89"/>
      <c r="X702" s="90"/>
      <c r="Y702" s="90"/>
    </row>
    <row r="703" spans="7:25" ht="15.75" customHeight="1">
      <c r="G703" s="90"/>
      <c r="H703" s="90"/>
      <c r="J703" s="90"/>
      <c r="K703" s="90"/>
      <c r="L703" s="90"/>
      <c r="M703" s="90"/>
      <c r="P703" s="89"/>
      <c r="X703" s="90"/>
      <c r="Y703" s="90"/>
    </row>
    <row r="704" spans="7:25" ht="15.75" customHeight="1">
      <c r="G704" s="90"/>
      <c r="H704" s="90"/>
      <c r="J704" s="90"/>
      <c r="K704" s="90"/>
      <c r="L704" s="90"/>
      <c r="M704" s="90"/>
      <c r="P704" s="89"/>
      <c r="X704" s="90"/>
      <c r="Y704" s="90"/>
    </row>
    <row r="705" spans="7:25" ht="15.75" customHeight="1">
      <c r="G705" s="90"/>
      <c r="H705" s="90"/>
      <c r="J705" s="90"/>
      <c r="K705" s="90"/>
      <c r="L705" s="90"/>
      <c r="M705" s="90"/>
      <c r="P705" s="89"/>
      <c r="X705" s="90"/>
      <c r="Y705" s="90"/>
    </row>
    <row r="706" spans="7:25" ht="15.75" customHeight="1">
      <c r="G706" s="90"/>
      <c r="H706" s="90"/>
      <c r="J706" s="90"/>
      <c r="K706" s="90"/>
      <c r="L706" s="90"/>
      <c r="M706" s="90"/>
      <c r="P706" s="89"/>
      <c r="X706" s="90"/>
      <c r="Y706" s="90"/>
    </row>
    <row r="707" spans="7:25" ht="15.75" customHeight="1">
      <c r="G707" s="90"/>
      <c r="H707" s="90"/>
      <c r="J707" s="90"/>
      <c r="K707" s="90"/>
      <c r="L707" s="90"/>
      <c r="M707" s="90"/>
      <c r="P707" s="89"/>
      <c r="X707" s="90"/>
      <c r="Y707" s="90"/>
    </row>
    <row r="708" spans="7:25" ht="15.75" customHeight="1">
      <c r="G708" s="90"/>
      <c r="H708" s="90"/>
      <c r="J708" s="90"/>
      <c r="K708" s="90"/>
      <c r="L708" s="90"/>
      <c r="M708" s="90"/>
      <c r="P708" s="89"/>
      <c r="X708" s="90"/>
      <c r="Y708" s="90"/>
    </row>
    <row r="709" spans="7:25" ht="15.75" customHeight="1">
      <c r="G709" s="90"/>
      <c r="H709" s="90"/>
      <c r="J709" s="90"/>
      <c r="K709" s="90"/>
      <c r="L709" s="90"/>
      <c r="M709" s="90"/>
      <c r="P709" s="89"/>
      <c r="X709" s="90"/>
      <c r="Y709" s="90"/>
    </row>
    <row r="710" spans="7:25" ht="15.75" customHeight="1">
      <c r="G710" s="90"/>
      <c r="H710" s="90"/>
      <c r="J710" s="90"/>
      <c r="K710" s="90"/>
      <c r="L710" s="90"/>
      <c r="M710" s="90"/>
      <c r="P710" s="89"/>
      <c r="X710" s="90"/>
      <c r="Y710" s="90"/>
    </row>
    <row r="711" spans="7:25" ht="15.75" customHeight="1">
      <c r="G711" s="90"/>
      <c r="H711" s="90"/>
      <c r="J711" s="90"/>
      <c r="K711" s="90"/>
      <c r="L711" s="90"/>
      <c r="M711" s="90"/>
      <c r="P711" s="89"/>
      <c r="X711" s="90"/>
      <c r="Y711" s="90"/>
    </row>
    <row r="712" spans="7:25" ht="15.75" customHeight="1">
      <c r="G712" s="90"/>
      <c r="H712" s="90"/>
      <c r="J712" s="90"/>
      <c r="K712" s="90"/>
      <c r="L712" s="90"/>
      <c r="M712" s="90"/>
      <c r="P712" s="89"/>
      <c r="X712" s="90"/>
      <c r="Y712" s="90"/>
    </row>
    <row r="713" spans="7:25" ht="15.75" customHeight="1">
      <c r="G713" s="90"/>
      <c r="H713" s="90"/>
      <c r="J713" s="90"/>
      <c r="K713" s="90"/>
      <c r="L713" s="90"/>
      <c r="M713" s="90"/>
      <c r="P713" s="89"/>
      <c r="X713" s="90"/>
      <c r="Y713" s="90"/>
    </row>
    <row r="714" spans="7:25" ht="15.75" customHeight="1">
      <c r="G714" s="90"/>
      <c r="H714" s="90"/>
      <c r="J714" s="90"/>
      <c r="K714" s="90"/>
      <c r="L714" s="90"/>
      <c r="M714" s="90"/>
      <c r="P714" s="89"/>
      <c r="X714" s="90"/>
      <c r="Y714" s="90"/>
    </row>
    <row r="715" spans="7:25" ht="15.75" customHeight="1">
      <c r="G715" s="90"/>
      <c r="H715" s="90"/>
      <c r="J715" s="90"/>
      <c r="K715" s="90"/>
      <c r="L715" s="90"/>
      <c r="M715" s="90"/>
      <c r="P715" s="89"/>
      <c r="X715" s="90"/>
      <c r="Y715" s="90"/>
    </row>
    <row r="716" spans="7:25" ht="15.75" customHeight="1">
      <c r="G716" s="90"/>
      <c r="H716" s="90"/>
      <c r="J716" s="90"/>
      <c r="K716" s="90"/>
      <c r="L716" s="90"/>
      <c r="M716" s="90"/>
      <c r="P716" s="89"/>
      <c r="X716" s="90"/>
      <c r="Y716" s="90"/>
    </row>
    <row r="717" spans="7:25" ht="15.75" customHeight="1">
      <c r="G717" s="90"/>
      <c r="H717" s="90"/>
      <c r="J717" s="90"/>
      <c r="K717" s="90"/>
      <c r="L717" s="90"/>
      <c r="M717" s="90"/>
      <c r="P717" s="89"/>
      <c r="X717" s="90"/>
      <c r="Y717" s="90"/>
    </row>
    <row r="718" spans="7:25" ht="15.75" customHeight="1">
      <c r="G718" s="90"/>
      <c r="H718" s="90"/>
      <c r="J718" s="90"/>
      <c r="K718" s="90"/>
      <c r="L718" s="90"/>
      <c r="M718" s="90"/>
      <c r="P718" s="89"/>
      <c r="X718" s="90"/>
      <c r="Y718" s="90"/>
    </row>
    <row r="719" spans="7:25" ht="15.75" customHeight="1">
      <c r="G719" s="90"/>
      <c r="H719" s="90"/>
      <c r="J719" s="90"/>
      <c r="K719" s="90"/>
      <c r="L719" s="90"/>
      <c r="M719" s="90"/>
      <c r="P719" s="89"/>
      <c r="X719" s="90"/>
      <c r="Y719" s="90"/>
    </row>
    <row r="720" spans="7:25" ht="15.75" customHeight="1">
      <c r="G720" s="90"/>
      <c r="H720" s="90"/>
      <c r="J720" s="90"/>
      <c r="K720" s="90"/>
      <c r="L720" s="90"/>
      <c r="M720" s="90"/>
      <c r="P720" s="89"/>
      <c r="X720" s="90"/>
      <c r="Y720" s="90"/>
    </row>
    <row r="721" spans="7:25" ht="15.75" customHeight="1">
      <c r="G721" s="90"/>
      <c r="H721" s="90"/>
      <c r="J721" s="90"/>
      <c r="K721" s="90"/>
      <c r="L721" s="90"/>
      <c r="M721" s="90"/>
      <c r="P721" s="89"/>
      <c r="X721" s="90"/>
      <c r="Y721" s="90"/>
    </row>
    <row r="722" spans="7:25" ht="15.75" customHeight="1">
      <c r="G722" s="90"/>
      <c r="H722" s="90"/>
      <c r="J722" s="90"/>
      <c r="K722" s="90"/>
      <c r="L722" s="90"/>
      <c r="M722" s="90"/>
      <c r="P722" s="89"/>
      <c r="X722" s="90"/>
      <c r="Y722" s="90"/>
    </row>
    <row r="723" spans="7:25" ht="15.75" customHeight="1">
      <c r="G723" s="90"/>
      <c r="H723" s="90"/>
      <c r="J723" s="90"/>
      <c r="K723" s="90"/>
      <c r="L723" s="90"/>
      <c r="M723" s="90"/>
      <c r="P723" s="89"/>
      <c r="X723" s="90"/>
      <c r="Y723" s="90"/>
    </row>
    <row r="724" spans="7:25" ht="15.75" customHeight="1">
      <c r="G724" s="90"/>
      <c r="H724" s="90"/>
      <c r="J724" s="90"/>
      <c r="K724" s="90"/>
      <c r="L724" s="90"/>
      <c r="M724" s="90"/>
      <c r="P724" s="89"/>
      <c r="X724" s="90"/>
      <c r="Y724" s="90"/>
    </row>
    <row r="725" spans="7:25" ht="15.75" customHeight="1">
      <c r="G725" s="90"/>
      <c r="H725" s="90"/>
      <c r="J725" s="90"/>
      <c r="K725" s="90"/>
      <c r="L725" s="90"/>
      <c r="M725" s="90"/>
      <c r="P725" s="89"/>
      <c r="X725" s="90"/>
      <c r="Y725" s="90"/>
    </row>
    <row r="726" spans="7:25" ht="15.75" customHeight="1">
      <c r="G726" s="90"/>
      <c r="H726" s="90"/>
      <c r="J726" s="90"/>
      <c r="K726" s="90"/>
      <c r="L726" s="90"/>
      <c r="M726" s="90"/>
      <c r="P726" s="89"/>
      <c r="X726" s="90"/>
      <c r="Y726" s="90"/>
    </row>
    <row r="727" spans="7:25" ht="15.75" customHeight="1">
      <c r="G727" s="90"/>
      <c r="H727" s="90"/>
      <c r="J727" s="90"/>
      <c r="K727" s="90"/>
      <c r="L727" s="90"/>
      <c r="M727" s="90"/>
      <c r="P727" s="89"/>
      <c r="X727" s="90"/>
      <c r="Y727" s="90"/>
    </row>
    <row r="728" spans="7:25" ht="15.75" customHeight="1">
      <c r="G728" s="90"/>
      <c r="H728" s="90"/>
      <c r="J728" s="90"/>
      <c r="K728" s="90"/>
      <c r="L728" s="90"/>
      <c r="M728" s="90"/>
      <c r="P728" s="89"/>
      <c r="X728" s="90"/>
      <c r="Y728" s="90"/>
    </row>
    <row r="729" spans="7:25" ht="15.75" customHeight="1">
      <c r="G729" s="90"/>
      <c r="H729" s="90"/>
      <c r="J729" s="90"/>
      <c r="K729" s="90"/>
      <c r="L729" s="90"/>
      <c r="M729" s="90"/>
      <c r="P729" s="89"/>
      <c r="X729" s="90"/>
      <c r="Y729" s="90"/>
    </row>
    <row r="730" spans="7:25" ht="15.75" customHeight="1">
      <c r="G730" s="90"/>
      <c r="H730" s="90"/>
      <c r="J730" s="90"/>
      <c r="K730" s="90"/>
      <c r="L730" s="90"/>
      <c r="M730" s="90"/>
      <c r="P730" s="89"/>
      <c r="X730" s="90"/>
      <c r="Y730" s="90"/>
    </row>
    <row r="731" spans="7:25" ht="15.75" customHeight="1">
      <c r="G731" s="90"/>
      <c r="H731" s="90"/>
      <c r="J731" s="90"/>
      <c r="K731" s="90"/>
      <c r="L731" s="90"/>
      <c r="M731" s="90"/>
      <c r="P731" s="89"/>
      <c r="X731" s="90"/>
      <c r="Y731" s="90"/>
    </row>
    <row r="732" spans="7:25" ht="15.75" customHeight="1">
      <c r="G732" s="90"/>
      <c r="H732" s="90"/>
      <c r="J732" s="90"/>
      <c r="K732" s="90"/>
      <c r="L732" s="90"/>
      <c r="M732" s="90"/>
      <c r="P732" s="89"/>
      <c r="X732" s="90"/>
      <c r="Y732" s="90"/>
    </row>
    <row r="733" spans="7:25" ht="15.75" customHeight="1">
      <c r="G733" s="90"/>
      <c r="H733" s="90"/>
      <c r="J733" s="90"/>
      <c r="K733" s="90"/>
      <c r="L733" s="90"/>
      <c r="M733" s="90"/>
      <c r="P733" s="89"/>
      <c r="X733" s="90"/>
      <c r="Y733" s="90"/>
    </row>
    <row r="734" spans="7:25" ht="15.75" customHeight="1">
      <c r="G734" s="90"/>
      <c r="H734" s="90"/>
      <c r="J734" s="90"/>
      <c r="K734" s="90"/>
      <c r="L734" s="90"/>
      <c r="M734" s="90"/>
      <c r="P734" s="89"/>
      <c r="X734" s="90"/>
      <c r="Y734" s="90"/>
    </row>
    <row r="735" spans="7:25" ht="15.75" customHeight="1">
      <c r="G735" s="90"/>
      <c r="H735" s="90"/>
      <c r="J735" s="90"/>
      <c r="K735" s="90"/>
      <c r="L735" s="90"/>
      <c r="M735" s="90"/>
      <c r="P735" s="89"/>
      <c r="X735" s="90"/>
      <c r="Y735" s="90"/>
    </row>
    <row r="736" spans="7:25" ht="15.75" customHeight="1">
      <c r="G736" s="90"/>
      <c r="H736" s="90"/>
      <c r="J736" s="90"/>
      <c r="K736" s="90"/>
      <c r="L736" s="90"/>
      <c r="M736" s="90"/>
      <c r="P736" s="89"/>
      <c r="X736" s="90"/>
      <c r="Y736" s="90"/>
    </row>
    <row r="737" spans="7:25" ht="15.75" customHeight="1">
      <c r="G737" s="90"/>
      <c r="H737" s="90"/>
      <c r="J737" s="90"/>
      <c r="K737" s="90"/>
      <c r="L737" s="90"/>
      <c r="M737" s="90"/>
      <c r="P737" s="89"/>
      <c r="X737" s="90"/>
      <c r="Y737" s="90"/>
    </row>
    <row r="738" spans="7:25" ht="15.75" customHeight="1">
      <c r="G738" s="90"/>
      <c r="H738" s="90"/>
      <c r="J738" s="90"/>
      <c r="K738" s="90"/>
      <c r="L738" s="90"/>
      <c r="M738" s="90"/>
      <c r="P738" s="89"/>
      <c r="X738" s="90"/>
      <c r="Y738" s="90"/>
    </row>
    <row r="739" spans="7:25" ht="15.75" customHeight="1">
      <c r="G739" s="90"/>
      <c r="H739" s="90"/>
      <c r="J739" s="90"/>
      <c r="K739" s="90"/>
      <c r="L739" s="90"/>
      <c r="M739" s="90"/>
      <c r="P739" s="89"/>
      <c r="X739" s="90"/>
      <c r="Y739" s="90"/>
    </row>
    <row r="740" spans="7:25" ht="15.75" customHeight="1">
      <c r="G740" s="90"/>
      <c r="H740" s="90"/>
      <c r="J740" s="90"/>
      <c r="K740" s="90"/>
      <c r="L740" s="90"/>
      <c r="M740" s="90"/>
      <c r="P740" s="89"/>
      <c r="X740" s="90"/>
      <c r="Y740" s="90"/>
    </row>
    <row r="741" spans="7:25" ht="15.75" customHeight="1">
      <c r="G741" s="90"/>
      <c r="H741" s="90"/>
      <c r="J741" s="90"/>
      <c r="K741" s="90"/>
      <c r="L741" s="90"/>
      <c r="M741" s="90"/>
      <c r="P741" s="89"/>
      <c r="X741" s="90"/>
      <c r="Y741" s="90"/>
    </row>
    <row r="742" spans="7:25" ht="15.75" customHeight="1">
      <c r="G742" s="90"/>
      <c r="H742" s="90"/>
      <c r="J742" s="90"/>
      <c r="K742" s="90"/>
      <c r="L742" s="90"/>
      <c r="M742" s="90"/>
      <c r="P742" s="89"/>
      <c r="X742" s="90"/>
      <c r="Y742" s="90"/>
    </row>
    <row r="743" spans="7:25" ht="15.75" customHeight="1">
      <c r="G743" s="90"/>
      <c r="H743" s="90"/>
      <c r="J743" s="90"/>
      <c r="K743" s="90"/>
      <c r="L743" s="90"/>
      <c r="M743" s="90"/>
      <c r="P743" s="89"/>
      <c r="X743" s="90"/>
      <c r="Y743" s="90"/>
    </row>
    <row r="744" spans="7:25" ht="15.75" customHeight="1">
      <c r="G744" s="90"/>
      <c r="H744" s="90"/>
      <c r="J744" s="90"/>
      <c r="K744" s="90"/>
      <c r="L744" s="90"/>
      <c r="M744" s="90"/>
      <c r="P744" s="89"/>
      <c r="X744" s="90"/>
      <c r="Y744" s="90"/>
    </row>
    <row r="745" spans="7:25" ht="15.75" customHeight="1">
      <c r="G745" s="90"/>
      <c r="H745" s="90"/>
      <c r="J745" s="90"/>
      <c r="K745" s="90"/>
      <c r="L745" s="90"/>
      <c r="M745" s="90"/>
      <c r="P745" s="89"/>
      <c r="X745" s="90"/>
      <c r="Y745" s="90"/>
    </row>
    <row r="746" spans="7:25" ht="15.75" customHeight="1">
      <c r="G746" s="90"/>
      <c r="H746" s="90"/>
      <c r="J746" s="90"/>
      <c r="K746" s="90"/>
      <c r="L746" s="90"/>
      <c r="M746" s="90"/>
      <c r="P746" s="89"/>
      <c r="X746" s="90"/>
      <c r="Y746" s="90"/>
    </row>
    <row r="747" spans="7:25" ht="15.75" customHeight="1">
      <c r="G747" s="90"/>
      <c r="H747" s="90"/>
      <c r="J747" s="90"/>
      <c r="K747" s="90"/>
      <c r="L747" s="90"/>
      <c r="M747" s="90"/>
      <c r="P747" s="89"/>
      <c r="X747" s="90"/>
      <c r="Y747" s="90"/>
    </row>
    <row r="748" spans="7:25" ht="15.75" customHeight="1">
      <c r="G748" s="90"/>
      <c r="H748" s="90"/>
      <c r="J748" s="90"/>
      <c r="K748" s="90"/>
      <c r="L748" s="90"/>
      <c r="M748" s="90"/>
      <c r="P748" s="89"/>
      <c r="X748" s="90"/>
      <c r="Y748" s="90"/>
    </row>
    <row r="749" spans="7:25" ht="15.75" customHeight="1">
      <c r="G749" s="90"/>
      <c r="H749" s="90"/>
      <c r="J749" s="90"/>
      <c r="K749" s="90"/>
      <c r="L749" s="90"/>
      <c r="M749" s="90"/>
      <c r="P749" s="89"/>
      <c r="X749" s="90"/>
      <c r="Y749" s="90"/>
    </row>
    <row r="750" spans="7:25" ht="15.75" customHeight="1">
      <c r="G750" s="90"/>
      <c r="H750" s="90"/>
      <c r="J750" s="90"/>
      <c r="K750" s="90"/>
      <c r="L750" s="90"/>
      <c r="M750" s="90"/>
      <c r="P750" s="89"/>
      <c r="X750" s="90"/>
      <c r="Y750" s="90"/>
    </row>
    <row r="751" spans="7:25" ht="15.75" customHeight="1">
      <c r="G751" s="90"/>
      <c r="H751" s="90"/>
      <c r="J751" s="90"/>
      <c r="K751" s="90"/>
      <c r="L751" s="90"/>
      <c r="M751" s="90"/>
      <c r="P751" s="89"/>
      <c r="X751" s="90"/>
      <c r="Y751" s="90"/>
    </row>
    <row r="752" spans="7:25" ht="15.75" customHeight="1">
      <c r="G752" s="90"/>
      <c r="H752" s="90"/>
      <c r="J752" s="90"/>
      <c r="K752" s="90"/>
      <c r="L752" s="90"/>
      <c r="M752" s="90"/>
      <c r="P752" s="89"/>
      <c r="X752" s="90"/>
      <c r="Y752" s="90"/>
    </row>
    <row r="753" spans="7:25" ht="15.75" customHeight="1">
      <c r="G753" s="90"/>
      <c r="H753" s="90"/>
      <c r="J753" s="90"/>
      <c r="K753" s="90"/>
      <c r="L753" s="90"/>
      <c r="M753" s="90"/>
      <c r="P753" s="89"/>
      <c r="X753" s="90"/>
      <c r="Y753" s="90"/>
    </row>
    <row r="754" spans="7:25" ht="15.75" customHeight="1">
      <c r="G754" s="90"/>
      <c r="H754" s="90"/>
      <c r="J754" s="90"/>
      <c r="K754" s="90"/>
      <c r="L754" s="90"/>
      <c r="M754" s="90"/>
      <c r="P754" s="89"/>
      <c r="X754" s="90"/>
      <c r="Y754" s="90"/>
    </row>
    <row r="755" spans="7:25" ht="15.75" customHeight="1">
      <c r="G755" s="90"/>
      <c r="H755" s="90"/>
      <c r="J755" s="90"/>
      <c r="K755" s="90"/>
      <c r="L755" s="90"/>
      <c r="M755" s="90"/>
      <c r="P755" s="89"/>
      <c r="X755" s="90"/>
      <c r="Y755" s="90"/>
    </row>
    <row r="756" spans="7:25" ht="15.75" customHeight="1">
      <c r="G756" s="90"/>
      <c r="H756" s="90"/>
      <c r="J756" s="90"/>
      <c r="K756" s="90"/>
      <c r="L756" s="90"/>
      <c r="M756" s="90"/>
      <c r="P756" s="89"/>
      <c r="X756" s="90"/>
      <c r="Y756" s="90"/>
    </row>
    <row r="757" spans="7:25" ht="15.75" customHeight="1">
      <c r="G757" s="90"/>
      <c r="H757" s="90"/>
      <c r="J757" s="90"/>
      <c r="K757" s="90"/>
      <c r="L757" s="90"/>
      <c r="M757" s="90"/>
      <c r="P757" s="89"/>
      <c r="X757" s="90"/>
      <c r="Y757" s="90"/>
    </row>
    <row r="758" spans="7:25" ht="15.75" customHeight="1">
      <c r="G758" s="90"/>
      <c r="H758" s="90"/>
      <c r="J758" s="90"/>
      <c r="K758" s="90"/>
      <c r="L758" s="90"/>
      <c r="M758" s="90"/>
      <c r="P758" s="89"/>
      <c r="X758" s="90"/>
      <c r="Y758" s="90"/>
    </row>
    <row r="759" spans="7:25" ht="15.75" customHeight="1">
      <c r="G759" s="90"/>
      <c r="H759" s="90"/>
      <c r="J759" s="90"/>
      <c r="K759" s="90"/>
      <c r="L759" s="90"/>
      <c r="M759" s="90"/>
      <c r="P759" s="89"/>
      <c r="X759" s="90"/>
      <c r="Y759" s="90"/>
    </row>
    <row r="760" spans="7:25" ht="15.75" customHeight="1">
      <c r="G760" s="90"/>
      <c r="H760" s="90"/>
      <c r="J760" s="90"/>
      <c r="K760" s="90"/>
      <c r="L760" s="90"/>
      <c r="M760" s="90"/>
      <c r="P760" s="89"/>
      <c r="X760" s="90"/>
      <c r="Y760" s="90"/>
    </row>
    <row r="761" spans="7:25" ht="15.75" customHeight="1">
      <c r="G761" s="90"/>
      <c r="H761" s="90"/>
      <c r="J761" s="90"/>
      <c r="K761" s="90"/>
      <c r="L761" s="90"/>
      <c r="M761" s="90"/>
      <c r="P761" s="89"/>
      <c r="X761" s="90"/>
      <c r="Y761" s="90"/>
    </row>
    <row r="762" spans="7:25" ht="15.75" customHeight="1">
      <c r="G762" s="90"/>
      <c r="H762" s="90"/>
      <c r="J762" s="90"/>
      <c r="K762" s="90"/>
      <c r="L762" s="90"/>
      <c r="M762" s="90"/>
      <c r="P762" s="89"/>
      <c r="X762" s="90"/>
      <c r="Y762" s="90"/>
    </row>
    <row r="763" spans="7:25" ht="15.75" customHeight="1">
      <c r="G763" s="90"/>
      <c r="H763" s="90"/>
      <c r="J763" s="90"/>
      <c r="K763" s="90"/>
      <c r="L763" s="90"/>
      <c r="M763" s="90"/>
      <c r="P763" s="89"/>
      <c r="X763" s="90"/>
      <c r="Y763" s="90"/>
    </row>
    <row r="764" spans="7:25" ht="15.75" customHeight="1">
      <c r="G764" s="90"/>
      <c r="H764" s="90"/>
      <c r="J764" s="90"/>
      <c r="K764" s="90"/>
      <c r="L764" s="90"/>
      <c r="M764" s="90"/>
      <c r="P764" s="89"/>
      <c r="X764" s="90"/>
      <c r="Y764" s="90"/>
    </row>
    <row r="765" spans="7:25" ht="15.75" customHeight="1">
      <c r="G765" s="90"/>
      <c r="H765" s="90"/>
      <c r="J765" s="90"/>
      <c r="K765" s="90"/>
      <c r="L765" s="90"/>
      <c r="M765" s="90"/>
      <c r="P765" s="89"/>
      <c r="X765" s="90"/>
      <c r="Y765" s="90"/>
    </row>
    <row r="766" spans="7:25" ht="15.75" customHeight="1">
      <c r="G766" s="90"/>
      <c r="H766" s="90"/>
      <c r="J766" s="90"/>
      <c r="K766" s="90"/>
      <c r="L766" s="90"/>
      <c r="M766" s="90"/>
      <c r="P766" s="89"/>
      <c r="X766" s="90"/>
      <c r="Y766" s="90"/>
    </row>
    <row r="767" spans="7:25" ht="15.75" customHeight="1">
      <c r="G767" s="90"/>
      <c r="H767" s="90"/>
      <c r="J767" s="90"/>
      <c r="K767" s="90"/>
      <c r="L767" s="90"/>
      <c r="M767" s="90"/>
      <c r="P767" s="89"/>
      <c r="X767" s="90"/>
      <c r="Y767" s="90"/>
    </row>
    <row r="768" spans="7:25" ht="15.75" customHeight="1">
      <c r="G768" s="90"/>
      <c r="H768" s="90"/>
      <c r="J768" s="90"/>
      <c r="K768" s="90"/>
      <c r="L768" s="90"/>
      <c r="M768" s="90"/>
      <c r="P768" s="89"/>
      <c r="X768" s="90"/>
      <c r="Y768" s="90"/>
    </row>
    <row r="769" spans="7:25" ht="15.75" customHeight="1">
      <c r="G769" s="90"/>
      <c r="H769" s="90"/>
      <c r="J769" s="90"/>
      <c r="K769" s="90"/>
      <c r="L769" s="90"/>
      <c r="M769" s="90"/>
      <c r="P769" s="89"/>
      <c r="X769" s="90"/>
      <c r="Y769" s="90"/>
    </row>
    <row r="770" spans="7:25" ht="15.75" customHeight="1">
      <c r="G770" s="90"/>
      <c r="H770" s="90"/>
      <c r="J770" s="90"/>
      <c r="K770" s="90"/>
      <c r="L770" s="90"/>
      <c r="M770" s="90"/>
      <c r="P770" s="89"/>
      <c r="X770" s="90"/>
      <c r="Y770" s="90"/>
    </row>
    <row r="771" spans="7:25" ht="15.75" customHeight="1">
      <c r="G771" s="90"/>
      <c r="H771" s="90"/>
      <c r="J771" s="90"/>
      <c r="K771" s="90"/>
      <c r="L771" s="90"/>
      <c r="M771" s="90"/>
      <c r="P771" s="89"/>
      <c r="X771" s="90"/>
      <c r="Y771" s="90"/>
    </row>
    <row r="772" spans="7:25" ht="15.75" customHeight="1">
      <c r="G772" s="90"/>
      <c r="H772" s="90"/>
      <c r="J772" s="90"/>
      <c r="K772" s="90"/>
      <c r="L772" s="90"/>
      <c r="M772" s="90"/>
      <c r="P772" s="89"/>
      <c r="X772" s="90"/>
      <c r="Y772" s="90"/>
    </row>
    <row r="773" spans="7:25" ht="15.75" customHeight="1">
      <c r="G773" s="90"/>
      <c r="H773" s="90"/>
      <c r="J773" s="90"/>
      <c r="K773" s="90"/>
      <c r="L773" s="90"/>
      <c r="M773" s="90"/>
      <c r="P773" s="89"/>
      <c r="X773" s="90"/>
      <c r="Y773" s="90"/>
    </row>
    <row r="774" spans="7:25" ht="15.75" customHeight="1">
      <c r="G774" s="90"/>
      <c r="H774" s="90"/>
      <c r="J774" s="90"/>
      <c r="K774" s="90"/>
      <c r="L774" s="90"/>
      <c r="M774" s="90"/>
      <c r="P774" s="89"/>
      <c r="X774" s="90"/>
      <c r="Y774" s="90"/>
    </row>
    <row r="775" spans="7:25" ht="15.75" customHeight="1">
      <c r="G775" s="90"/>
      <c r="H775" s="90"/>
      <c r="J775" s="90"/>
      <c r="K775" s="90"/>
      <c r="L775" s="90"/>
      <c r="M775" s="90"/>
      <c r="P775" s="89"/>
      <c r="X775" s="90"/>
      <c r="Y775" s="90"/>
    </row>
    <row r="776" spans="7:25" ht="15.75" customHeight="1">
      <c r="G776" s="90"/>
      <c r="H776" s="90"/>
      <c r="J776" s="90"/>
      <c r="K776" s="90"/>
      <c r="L776" s="90"/>
      <c r="M776" s="90"/>
      <c r="P776" s="89"/>
      <c r="X776" s="90"/>
      <c r="Y776" s="90"/>
    </row>
    <row r="777" spans="7:25" ht="15.75" customHeight="1">
      <c r="G777" s="90"/>
      <c r="H777" s="90"/>
      <c r="J777" s="90"/>
      <c r="K777" s="90"/>
      <c r="L777" s="90"/>
      <c r="M777" s="90"/>
      <c r="P777" s="89"/>
      <c r="X777" s="90"/>
      <c r="Y777" s="90"/>
    </row>
    <row r="778" spans="7:25" ht="15.75" customHeight="1">
      <c r="G778" s="90"/>
      <c r="H778" s="90"/>
      <c r="J778" s="90"/>
      <c r="K778" s="90"/>
      <c r="L778" s="90"/>
      <c r="M778" s="90"/>
      <c r="P778" s="89"/>
      <c r="X778" s="90"/>
      <c r="Y778" s="90"/>
    </row>
    <row r="779" spans="7:25" ht="15.75" customHeight="1">
      <c r="G779" s="90"/>
      <c r="H779" s="90"/>
      <c r="J779" s="90"/>
      <c r="K779" s="90"/>
      <c r="L779" s="90"/>
      <c r="M779" s="90"/>
      <c r="P779" s="89"/>
      <c r="X779" s="90"/>
      <c r="Y779" s="90"/>
    </row>
    <row r="780" spans="7:25" ht="15.75" customHeight="1">
      <c r="G780" s="90"/>
      <c r="H780" s="90"/>
      <c r="J780" s="90"/>
      <c r="K780" s="90"/>
      <c r="L780" s="90"/>
      <c r="M780" s="90"/>
      <c r="P780" s="89"/>
      <c r="X780" s="90"/>
      <c r="Y780" s="90"/>
    </row>
    <row r="781" spans="7:25" ht="15.75" customHeight="1">
      <c r="G781" s="90"/>
      <c r="H781" s="90"/>
      <c r="J781" s="90"/>
      <c r="K781" s="90"/>
      <c r="L781" s="90"/>
      <c r="M781" s="90"/>
      <c r="P781" s="89"/>
      <c r="X781" s="90"/>
      <c r="Y781" s="90"/>
    </row>
    <row r="782" spans="7:25" ht="15.75" customHeight="1">
      <c r="G782" s="90"/>
      <c r="H782" s="90"/>
      <c r="J782" s="90"/>
      <c r="K782" s="90"/>
      <c r="L782" s="90"/>
      <c r="M782" s="90"/>
      <c r="P782" s="89"/>
      <c r="X782" s="90"/>
      <c r="Y782" s="90"/>
    </row>
    <row r="783" spans="7:25" ht="15.75" customHeight="1">
      <c r="G783" s="90"/>
      <c r="H783" s="90"/>
      <c r="J783" s="90"/>
      <c r="K783" s="90"/>
      <c r="L783" s="90"/>
      <c r="M783" s="90"/>
      <c r="P783" s="89"/>
      <c r="X783" s="90"/>
      <c r="Y783" s="90"/>
    </row>
    <row r="784" spans="7:25" ht="15.75" customHeight="1">
      <c r="G784" s="90"/>
      <c r="H784" s="90"/>
      <c r="J784" s="90"/>
      <c r="K784" s="90"/>
      <c r="L784" s="90"/>
      <c r="M784" s="90"/>
      <c r="P784" s="89"/>
      <c r="X784" s="90"/>
      <c r="Y784" s="90"/>
    </row>
    <row r="785" spans="7:25" ht="15.75" customHeight="1">
      <c r="G785" s="90"/>
      <c r="H785" s="90"/>
      <c r="J785" s="90"/>
      <c r="K785" s="90"/>
      <c r="L785" s="90"/>
      <c r="M785" s="90"/>
      <c r="P785" s="89"/>
      <c r="X785" s="90"/>
      <c r="Y785" s="90"/>
    </row>
    <row r="786" spans="7:25" ht="15.75" customHeight="1">
      <c r="G786" s="90"/>
      <c r="H786" s="90"/>
      <c r="J786" s="90"/>
      <c r="K786" s="90"/>
      <c r="L786" s="90"/>
      <c r="M786" s="90"/>
      <c r="P786" s="89"/>
      <c r="X786" s="90"/>
      <c r="Y786" s="90"/>
    </row>
    <row r="787" spans="7:25" ht="15.75" customHeight="1">
      <c r="G787" s="90"/>
      <c r="H787" s="90"/>
      <c r="J787" s="90"/>
      <c r="K787" s="90"/>
      <c r="L787" s="90"/>
      <c r="M787" s="90"/>
      <c r="P787" s="89"/>
      <c r="X787" s="90"/>
      <c r="Y787" s="90"/>
    </row>
    <row r="788" spans="7:25" ht="15.75" customHeight="1">
      <c r="G788" s="90"/>
      <c r="H788" s="90"/>
      <c r="J788" s="90"/>
      <c r="K788" s="90"/>
      <c r="L788" s="90"/>
      <c r="M788" s="90"/>
      <c r="P788" s="89"/>
      <c r="X788" s="90"/>
      <c r="Y788" s="90"/>
    </row>
    <row r="789" spans="7:25" ht="15.75" customHeight="1">
      <c r="G789" s="90"/>
      <c r="H789" s="90"/>
      <c r="J789" s="90"/>
      <c r="K789" s="90"/>
      <c r="L789" s="90"/>
      <c r="M789" s="90"/>
      <c r="P789" s="89"/>
      <c r="X789" s="90"/>
      <c r="Y789" s="90"/>
    </row>
    <row r="790" spans="7:25" ht="15.75" customHeight="1">
      <c r="G790" s="90"/>
      <c r="H790" s="90"/>
      <c r="J790" s="90"/>
      <c r="K790" s="90"/>
      <c r="L790" s="90"/>
      <c r="M790" s="90"/>
      <c r="P790" s="89"/>
      <c r="X790" s="90"/>
      <c r="Y790" s="90"/>
    </row>
    <row r="791" spans="7:25" ht="15.75" customHeight="1">
      <c r="G791" s="90"/>
      <c r="H791" s="90"/>
      <c r="J791" s="90"/>
      <c r="K791" s="90"/>
      <c r="L791" s="90"/>
      <c r="M791" s="90"/>
      <c r="P791" s="89"/>
      <c r="X791" s="90"/>
      <c r="Y791" s="90"/>
    </row>
    <row r="792" spans="7:25" ht="15.75" customHeight="1">
      <c r="G792" s="90"/>
      <c r="H792" s="90"/>
      <c r="J792" s="90"/>
      <c r="K792" s="90"/>
      <c r="L792" s="90"/>
      <c r="M792" s="90"/>
      <c r="P792" s="89"/>
      <c r="X792" s="90"/>
      <c r="Y792" s="90"/>
    </row>
    <row r="793" spans="7:25" ht="15.75" customHeight="1">
      <c r="G793" s="90"/>
      <c r="H793" s="90"/>
      <c r="J793" s="90"/>
      <c r="K793" s="90"/>
      <c r="L793" s="90"/>
      <c r="M793" s="90"/>
      <c r="P793" s="89"/>
      <c r="X793" s="90"/>
      <c r="Y793" s="90"/>
    </row>
    <row r="794" spans="7:25" ht="15.75" customHeight="1">
      <c r="G794" s="90"/>
      <c r="H794" s="90"/>
      <c r="J794" s="90"/>
      <c r="K794" s="90"/>
      <c r="L794" s="90"/>
      <c r="M794" s="90"/>
      <c r="P794" s="89"/>
      <c r="X794" s="90"/>
      <c r="Y794" s="90"/>
    </row>
    <row r="795" spans="7:25" ht="15.75" customHeight="1">
      <c r="G795" s="90"/>
      <c r="H795" s="90"/>
      <c r="J795" s="90"/>
      <c r="K795" s="90"/>
      <c r="L795" s="90"/>
      <c r="M795" s="90"/>
      <c r="P795" s="89"/>
      <c r="X795" s="90"/>
      <c r="Y795" s="90"/>
    </row>
    <row r="796" spans="7:25" ht="15.75" customHeight="1">
      <c r="G796" s="90"/>
      <c r="H796" s="90"/>
      <c r="J796" s="90"/>
      <c r="K796" s="90"/>
      <c r="L796" s="90"/>
      <c r="M796" s="90"/>
      <c r="P796" s="89"/>
      <c r="X796" s="90"/>
      <c r="Y796" s="90"/>
    </row>
    <row r="797" spans="7:25" ht="15.75" customHeight="1">
      <c r="G797" s="90"/>
      <c r="H797" s="90"/>
      <c r="J797" s="90"/>
      <c r="K797" s="90"/>
      <c r="L797" s="90"/>
      <c r="M797" s="90"/>
      <c r="P797" s="89"/>
      <c r="X797" s="90"/>
      <c r="Y797" s="90"/>
    </row>
    <row r="798" spans="7:25" ht="15.75" customHeight="1">
      <c r="G798" s="90"/>
      <c r="H798" s="90"/>
      <c r="J798" s="90"/>
      <c r="K798" s="90"/>
      <c r="L798" s="90"/>
      <c r="M798" s="90"/>
      <c r="P798" s="89"/>
      <c r="X798" s="90"/>
      <c r="Y798" s="90"/>
    </row>
    <row r="799" spans="7:25" ht="15.75" customHeight="1">
      <c r="G799" s="90"/>
      <c r="H799" s="90"/>
      <c r="J799" s="90"/>
      <c r="K799" s="90"/>
      <c r="L799" s="90"/>
      <c r="M799" s="90"/>
      <c r="P799" s="89"/>
      <c r="X799" s="90"/>
      <c r="Y799" s="90"/>
    </row>
    <row r="800" spans="7:25" ht="15.75" customHeight="1">
      <c r="G800" s="90"/>
      <c r="H800" s="90"/>
      <c r="J800" s="90"/>
      <c r="K800" s="90"/>
      <c r="L800" s="90"/>
      <c r="M800" s="90"/>
      <c r="P800" s="89"/>
      <c r="X800" s="90"/>
      <c r="Y800" s="90"/>
    </row>
    <row r="801" spans="7:25" ht="15.75" customHeight="1">
      <c r="G801" s="90"/>
      <c r="H801" s="90"/>
      <c r="J801" s="90"/>
      <c r="K801" s="90"/>
      <c r="L801" s="90"/>
      <c r="M801" s="90"/>
      <c r="P801" s="89"/>
      <c r="X801" s="90"/>
      <c r="Y801" s="90"/>
    </row>
    <row r="802" spans="7:25" ht="15.75" customHeight="1">
      <c r="G802" s="90"/>
      <c r="H802" s="90"/>
      <c r="J802" s="90"/>
      <c r="K802" s="90"/>
      <c r="L802" s="90"/>
      <c r="M802" s="90"/>
      <c r="P802" s="89"/>
      <c r="X802" s="90"/>
      <c r="Y802" s="90"/>
    </row>
    <row r="803" spans="7:25" ht="15.75" customHeight="1">
      <c r="G803" s="90"/>
      <c r="H803" s="90"/>
      <c r="J803" s="90"/>
      <c r="K803" s="90"/>
      <c r="L803" s="90"/>
      <c r="M803" s="90"/>
      <c r="P803" s="89"/>
      <c r="X803" s="90"/>
      <c r="Y803" s="90"/>
    </row>
    <row r="804" spans="7:25" ht="15.75" customHeight="1">
      <c r="G804" s="90"/>
      <c r="H804" s="90"/>
      <c r="J804" s="90"/>
      <c r="K804" s="90"/>
      <c r="L804" s="90"/>
      <c r="M804" s="90"/>
      <c r="P804" s="89"/>
      <c r="X804" s="90"/>
      <c r="Y804" s="90"/>
    </row>
    <row r="805" spans="7:25" ht="15.75" customHeight="1">
      <c r="G805" s="90"/>
      <c r="H805" s="90"/>
      <c r="J805" s="90"/>
      <c r="K805" s="90"/>
      <c r="L805" s="90"/>
      <c r="M805" s="90"/>
      <c r="P805" s="89"/>
      <c r="X805" s="90"/>
      <c r="Y805" s="90"/>
    </row>
    <row r="806" spans="7:25" ht="15.75" customHeight="1">
      <c r="G806" s="90"/>
      <c r="H806" s="90"/>
      <c r="J806" s="90"/>
      <c r="K806" s="90"/>
      <c r="L806" s="90"/>
      <c r="M806" s="90"/>
      <c r="P806" s="89"/>
      <c r="X806" s="90"/>
      <c r="Y806" s="90"/>
    </row>
    <row r="807" spans="7:25" ht="15.75" customHeight="1">
      <c r="G807" s="90"/>
      <c r="H807" s="90"/>
      <c r="J807" s="90"/>
      <c r="K807" s="90"/>
      <c r="L807" s="90"/>
      <c r="M807" s="90"/>
      <c r="P807" s="89"/>
      <c r="X807" s="90"/>
      <c r="Y807" s="90"/>
    </row>
    <row r="808" spans="7:25" ht="15.75" customHeight="1">
      <c r="G808" s="90"/>
      <c r="H808" s="90"/>
      <c r="J808" s="90"/>
      <c r="K808" s="90"/>
      <c r="L808" s="90"/>
      <c r="M808" s="90"/>
      <c r="P808" s="89"/>
      <c r="X808" s="90"/>
      <c r="Y808" s="90"/>
    </row>
    <row r="809" spans="7:25" ht="15.75" customHeight="1">
      <c r="G809" s="90"/>
      <c r="H809" s="90"/>
      <c r="J809" s="90"/>
      <c r="K809" s="90"/>
      <c r="L809" s="90"/>
      <c r="M809" s="90"/>
      <c r="P809" s="89"/>
      <c r="X809" s="90"/>
      <c r="Y809" s="90"/>
    </row>
    <row r="810" spans="7:25" ht="15.75" customHeight="1">
      <c r="G810" s="90"/>
      <c r="H810" s="90"/>
      <c r="J810" s="90"/>
      <c r="K810" s="90"/>
      <c r="L810" s="90"/>
      <c r="M810" s="90"/>
      <c r="P810" s="89"/>
      <c r="X810" s="90"/>
      <c r="Y810" s="90"/>
    </row>
    <row r="811" spans="7:25" ht="15.75" customHeight="1">
      <c r="G811" s="90"/>
      <c r="H811" s="90"/>
      <c r="J811" s="90"/>
      <c r="K811" s="90"/>
      <c r="L811" s="90"/>
      <c r="M811" s="90"/>
      <c r="P811" s="89"/>
      <c r="X811" s="90"/>
      <c r="Y811" s="90"/>
    </row>
    <row r="812" spans="7:25" ht="15.75" customHeight="1">
      <c r="G812" s="90"/>
      <c r="H812" s="90"/>
      <c r="J812" s="90"/>
      <c r="K812" s="90"/>
      <c r="L812" s="90"/>
      <c r="M812" s="90"/>
      <c r="P812" s="89"/>
      <c r="X812" s="90"/>
      <c r="Y812" s="90"/>
    </row>
    <row r="813" spans="7:25" ht="15.75" customHeight="1">
      <c r="G813" s="90"/>
      <c r="H813" s="90"/>
      <c r="J813" s="90"/>
      <c r="K813" s="90"/>
      <c r="L813" s="90"/>
      <c r="M813" s="90"/>
      <c r="P813" s="89"/>
      <c r="X813" s="90"/>
      <c r="Y813" s="90"/>
    </row>
    <row r="814" spans="7:25" ht="15.75" customHeight="1">
      <c r="G814" s="90"/>
      <c r="H814" s="90"/>
      <c r="J814" s="90"/>
      <c r="K814" s="90"/>
      <c r="L814" s="90"/>
      <c r="M814" s="90"/>
      <c r="P814" s="89"/>
      <c r="X814" s="90"/>
      <c r="Y814" s="90"/>
    </row>
    <row r="815" spans="7:25" ht="15.75" customHeight="1">
      <c r="G815" s="90"/>
      <c r="H815" s="90"/>
      <c r="J815" s="90"/>
      <c r="K815" s="90"/>
      <c r="L815" s="90"/>
      <c r="M815" s="90"/>
      <c r="P815" s="89"/>
      <c r="X815" s="90"/>
      <c r="Y815" s="90"/>
    </row>
    <row r="816" spans="7:25" ht="15.75" customHeight="1">
      <c r="G816" s="90"/>
      <c r="H816" s="90"/>
      <c r="J816" s="90"/>
      <c r="K816" s="90"/>
      <c r="L816" s="90"/>
      <c r="M816" s="90"/>
      <c r="P816" s="89"/>
      <c r="X816" s="90"/>
      <c r="Y816" s="90"/>
    </row>
    <row r="817" spans="7:25" ht="15.75" customHeight="1">
      <c r="G817" s="90"/>
      <c r="H817" s="90"/>
      <c r="J817" s="90"/>
      <c r="K817" s="90"/>
      <c r="L817" s="90"/>
      <c r="M817" s="90"/>
      <c r="P817" s="89"/>
      <c r="X817" s="90"/>
      <c r="Y817" s="90"/>
    </row>
    <row r="818" spans="7:25" ht="15.75" customHeight="1">
      <c r="G818" s="90"/>
      <c r="H818" s="90"/>
      <c r="J818" s="90"/>
      <c r="K818" s="90"/>
      <c r="L818" s="90"/>
      <c r="M818" s="90"/>
      <c r="P818" s="89"/>
      <c r="X818" s="90"/>
      <c r="Y818" s="90"/>
    </row>
    <row r="819" spans="7:25" ht="15.75" customHeight="1">
      <c r="G819" s="90"/>
      <c r="H819" s="90"/>
      <c r="J819" s="90"/>
      <c r="K819" s="90"/>
      <c r="L819" s="90"/>
      <c r="M819" s="90"/>
      <c r="P819" s="89"/>
      <c r="X819" s="90"/>
      <c r="Y819" s="90"/>
    </row>
    <row r="820" spans="7:25" ht="15.75" customHeight="1">
      <c r="G820" s="90"/>
      <c r="H820" s="90"/>
      <c r="J820" s="90"/>
      <c r="K820" s="90"/>
      <c r="L820" s="90"/>
      <c r="M820" s="90"/>
      <c r="P820" s="89"/>
      <c r="X820" s="90"/>
      <c r="Y820" s="90"/>
    </row>
    <row r="821" spans="7:25" ht="15.75" customHeight="1">
      <c r="G821" s="90"/>
      <c r="H821" s="90"/>
      <c r="J821" s="90"/>
      <c r="K821" s="90"/>
      <c r="L821" s="90"/>
      <c r="M821" s="90"/>
      <c r="P821" s="89"/>
      <c r="X821" s="90"/>
      <c r="Y821" s="90"/>
    </row>
    <row r="822" spans="7:25" ht="15.75" customHeight="1">
      <c r="G822" s="90"/>
      <c r="H822" s="90"/>
      <c r="J822" s="90"/>
      <c r="K822" s="90"/>
      <c r="L822" s="90"/>
      <c r="M822" s="90"/>
      <c r="P822" s="89"/>
      <c r="X822" s="90"/>
      <c r="Y822" s="90"/>
    </row>
    <row r="823" spans="7:25" ht="15.75" customHeight="1">
      <c r="G823" s="90"/>
      <c r="H823" s="90"/>
      <c r="J823" s="90"/>
      <c r="K823" s="90"/>
      <c r="L823" s="90"/>
      <c r="M823" s="90"/>
      <c r="P823" s="89"/>
      <c r="X823" s="90"/>
      <c r="Y823" s="90"/>
    </row>
    <row r="824" spans="7:25" ht="15.75" customHeight="1">
      <c r="G824" s="90"/>
      <c r="H824" s="90"/>
      <c r="J824" s="90"/>
      <c r="K824" s="90"/>
      <c r="L824" s="90"/>
      <c r="M824" s="90"/>
      <c r="P824" s="89"/>
      <c r="X824" s="90"/>
      <c r="Y824" s="90"/>
    </row>
    <row r="825" spans="7:25" ht="15.75" customHeight="1">
      <c r="G825" s="90"/>
      <c r="H825" s="90"/>
      <c r="J825" s="90"/>
      <c r="K825" s="90"/>
      <c r="L825" s="90"/>
      <c r="M825" s="90"/>
      <c r="P825" s="89"/>
      <c r="X825" s="90"/>
      <c r="Y825" s="90"/>
    </row>
    <row r="826" spans="7:25" ht="15.75" customHeight="1">
      <c r="G826" s="90"/>
      <c r="H826" s="90"/>
      <c r="J826" s="90"/>
      <c r="K826" s="90"/>
      <c r="L826" s="90"/>
      <c r="M826" s="90"/>
      <c r="P826" s="89"/>
      <c r="X826" s="90"/>
      <c r="Y826" s="90"/>
    </row>
    <row r="827" spans="7:25" ht="15.75" customHeight="1">
      <c r="G827" s="90"/>
      <c r="H827" s="90"/>
      <c r="J827" s="90"/>
      <c r="K827" s="90"/>
      <c r="L827" s="90"/>
      <c r="M827" s="90"/>
      <c r="P827" s="89"/>
      <c r="X827" s="90"/>
      <c r="Y827" s="90"/>
    </row>
    <row r="828" spans="7:25" ht="15.75" customHeight="1">
      <c r="G828" s="90"/>
      <c r="H828" s="90"/>
      <c r="J828" s="90"/>
      <c r="K828" s="90"/>
      <c r="L828" s="90"/>
      <c r="M828" s="90"/>
      <c r="P828" s="89"/>
      <c r="X828" s="90"/>
      <c r="Y828" s="90"/>
    </row>
    <row r="829" spans="7:25" ht="15.75" customHeight="1">
      <c r="G829" s="90"/>
      <c r="H829" s="90"/>
      <c r="J829" s="90"/>
      <c r="K829" s="90"/>
      <c r="L829" s="90"/>
      <c r="M829" s="90"/>
      <c r="P829" s="89"/>
      <c r="X829" s="90"/>
      <c r="Y829" s="90"/>
    </row>
    <row r="830" spans="7:25" ht="15.75" customHeight="1">
      <c r="G830" s="90"/>
      <c r="H830" s="90"/>
      <c r="J830" s="90"/>
      <c r="K830" s="90"/>
      <c r="L830" s="90"/>
      <c r="M830" s="90"/>
      <c r="P830" s="89"/>
      <c r="X830" s="90"/>
      <c r="Y830" s="90"/>
    </row>
    <row r="831" spans="7:25" ht="15.75" customHeight="1">
      <c r="G831" s="90"/>
      <c r="H831" s="90"/>
      <c r="J831" s="90"/>
      <c r="K831" s="90"/>
      <c r="L831" s="90"/>
      <c r="M831" s="90"/>
      <c r="P831" s="89"/>
      <c r="X831" s="90"/>
      <c r="Y831" s="90"/>
    </row>
    <row r="832" spans="7:25" ht="15.75" customHeight="1">
      <c r="G832" s="90"/>
      <c r="H832" s="90"/>
      <c r="J832" s="90"/>
      <c r="K832" s="90"/>
      <c r="L832" s="90"/>
      <c r="M832" s="90"/>
      <c r="P832" s="89"/>
      <c r="X832" s="90"/>
      <c r="Y832" s="90"/>
    </row>
    <row r="833" spans="7:25" ht="15.75" customHeight="1">
      <c r="G833" s="90"/>
      <c r="H833" s="90"/>
      <c r="J833" s="90"/>
      <c r="K833" s="90"/>
      <c r="L833" s="90"/>
      <c r="M833" s="90"/>
      <c r="P833" s="89"/>
      <c r="X833" s="90"/>
      <c r="Y833" s="90"/>
    </row>
    <row r="834" spans="7:25" ht="15.75" customHeight="1">
      <c r="G834" s="90"/>
      <c r="H834" s="90"/>
      <c r="J834" s="90"/>
      <c r="K834" s="90"/>
      <c r="L834" s="90"/>
      <c r="M834" s="90"/>
      <c r="P834" s="89"/>
      <c r="X834" s="90"/>
      <c r="Y834" s="90"/>
    </row>
    <row r="835" spans="7:25" ht="15.75" customHeight="1">
      <c r="G835" s="90"/>
      <c r="H835" s="90"/>
      <c r="J835" s="90"/>
      <c r="K835" s="90"/>
      <c r="L835" s="90"/>
      <c r="M835" s="90"/>
      <c r="P835" s="89"/>
      <c r="X835" s="90"/>
      <c r="Y835" s="90"/>
    </row>
    <row r="836" spans="7:25" ht="15.75" customHeight="1">
      <c r="G836" s="90"/>
      <c r="H836" s="90"/>
      <c r="J836" s="90"/>
      <c r="K836" s="90"/>
      <c r="L836" s="90"/>
      <c r="M836" s="90"/>
      <c r="P836" s="89"/>
      <c r="X836" s="90"/>
      <c r="Y836" s="90"/>
    </row>
    <row r="837" spans="7:25" ht="15.75" customHeight="1">
      <c r="G837" s="90"/>
      <c r="H837" s="90"/>
      <c r="J837" s="90"/>
      <c r="K837" s="90"/>
      <c r="L837" s="90"/>
      <c r="M837" s="90"/>
      <c r="P837" s="89"/>
      <c r="X837" s="90"/>
      <c r="Y837" s="90"/>
    </row>
    <row r="838" spans="7:25" ht="15.75" customHeight="1">
      <c r="G838" s="90"/>
      <c r="H838" s="90"/>
      <c r="J838" s="90"/>
      <c r="K838" s="90"/>
      <c r="L838" s="90"/>
      <c r="M838" s="90"/>
      <c r="P838" s="89"/>
      <c r="X838" s="90"/>
      <c r="Y838" s="90"/>
    </row>
    <row r="839" spans="7:25" ht="15.75" customHeight="1">
      <c r="G839" s="90"/>
      <c r="H839" s="90"/>
      <c r="J839" s="90"/>
      <c r="K839" s="90"/>
      <c r="L839" s="90"/>
      <c r="M839" s="90"/>
      <c r="P839" s="89"/>
      <c r="X839" s="90"/>
      <c r="Y839" s="90"/>
    </row>
    <row r="840" spans="7:25" ht="15.75" customHeight="1">
      <c r="G840" s="90"/>
      <c r="H840" s="90"/>
      <c r="J840" s="90"/>
      <c r="K840" s="90"/>
      <c r="L840" s="90"/>
      <c r="M840" s="90"/>
      <c r="P840" s="89"/>
      <c r="X840" s="90"/>
      <c r="Y840" s="90"/>
    </row>
    <row r="841" spans="7:25" ht="15.75" customHeight="1">
      <c r="G841" s="90"/>
      <c r="H841" s="90"/>
      <c r="J841" s="90"/>
      <c r="K841" s="90"/>
      <c r="L841" s="90"/>
      <c r="M841" s="90"/>
      <c r="P841" s="89"/>
      <c r="X841" s="90"/>
      <c r="Y841" s="90"/>
    </row>
    <row r="842" spans="7:25" ht="15.75" customHeight="1">
      <c r="G842" s="90"/>
      <c r="H842" s="90"/>
      <c r="J842" s="90"/>
      <c r="K842" s="90"/>
      <c r="L842" s="90"/>
      <c r="M842" s="90"/>
      <c r="P842" s="89"/>
      <c r="X842" s="90"/>
      <c r="Y842" s="90"/>
    </row>
    <row r="843" spans="7:25" ht="15.75" customHeight="1">
      <c r="G843" s="90"/>
      <c r="H843" s="90"/>
      <c r="J843" s="90"/>
      <c r="K843" s="90"/>
      <c r="L843" s="90"/>
      <c r="M843" s="90"/>
      <c r="P843" s="89"/>
      <c r="X843" s="90"/>
      <c r="Y843" s="90"/>
    </row>
    <row r="844" spans="7:25" ht="15.75" customHeight="1">
      <c r="G844" s="90"/>
      <c r="H844" s="90"/>
      <c r="J844" s="90"/>
      <c r="K844" s="90"/>
      <c r="L844" s="90"/>
      <c r="M844" s="90"/>
      <c r="P844" s="89"/>
      <c r="X844" s="90"/>
      <c r="Y844" s="90"/>
    </row>
    <row r="845" spans="7:25" ht="15.75" customHeight="1">
      <c r="G845" s="90"/>
      <c r="H845" s="90"/>
      <c r="J845" s="90"/>
      <c r="K845" s="90"/>
      <c r="L845" s="90"/>
      <c r="M845" s="90"/>
      <c r="P845" s="89"/>
      <c r="X845" s="90"/>
      <c r="Y845" s="90"/>
    </row>
    <row r="846" spans="7:25" ht="15.75" customHeight="1">
      <c r="G846" s="90"/>
      <c r="H846" s="90"/>
      <c r="J846" s="90"/>
      <c r="K846" s="90"/>
      <c r="L846" s="90"/>
      <c r="M846" s="90"/>
      <c r="P846" s="89"/>
      <c r="X846" s="90"/>
      <c r="Y846" s="90"/>
    </row>
    <row r="847" spans="7:25" ht="15.75" customHeight="1">
      <c r="G847" s="90"/>
      <c r="H847" s="90"/>
      <c r="J847" s="90"/>
      <c r="K847" s="90"/>
      <c r="L847" s="90"/>
      <c r="M847" s="90"/>
      <c r="P847" s="89"/>
      <c r="X847" s="90"/>
      <c r="Y847" s="90"/>
    </row>
    <row r="848" spans="7:25" ht="15.75" customHeight="1">
      <c r="G848" s="90"/>
      <c r="H848" s="90"/>
      <c r="J848" s="90"/>
      <c r="K848" s="90"/>
      <c r="L848" s="90"/>
      <c r="M848" s="90"/>
      <c r="P848" s="89"/>
      <c r="X848" s="90"/>
      <c r="Y848" s="90"/>
    </row>
    <row r="849" spans="7:25" ht="15.75" customHeight="1">
      <c r="G849" s="90"/>
      <c r="H849" s="90"/>
      <c r="J849" s="90"/>
      <c r="K849" s="90"/>
      <c r="L849" s="90"/>
      <c r="M849" s="90"/>
      <c r="P849" s="89"/>
      <c r="X849" s="90"/>
      <c r="Y849" s="90"/>
    </row>
    <row r="850" spans="7:25" ht="15.75" customHeight="1">
      <c r="G850" s="90"/>
      <c r="H850" s="90"/>
      <c r="J850" s="90"/>
      <c r="K850" s="90"/>
      <c r="L850" s="90"/>
      <c r="M850" s="90"/>
      <c r="P850" s="89"/>
      <c r="X850" s="90"/>
      <c r="Y850" s="90"/>
    </row>
    <row r="851" spans="7:25" ht="15.75" customHeight="1">
      <c r="G851" s="90"/>
      <c r="H851" s="90"/>
      <c r="J851" s="90"/>
      <c r="K851" s="90"/>
      <c r="L851" s="90"/>
      <c r="M851" s="90"/>
      <c r="P851" s="89"/>
      <c r="X851" s="90"/>
      <c r="Y851" s="90"/>
    </row>
    <row r="852" spans="7:25" ht="15.75" customHeight="1">
      <c r="G852" s="90"/>
      <c r="H852" s="90"/>
      <c r="J852" s="90"/>
      <c r="K852" s="90"/>
      <c r="L852" s="90"/>
      <c r="M852" s="90"/>
      <c r="P852" s="89"/>
      <c r="X852" s="90"/>
      <c r="Y852" s="90"/>
    </row>
    <row r="853" spans="7:25" ht="15.75" customHeight="1">
      <c r="G853" s="90"/>
      <c r="H853" s="90"/>
      <c r="J853" s="90"/>
      <c r="K853" s="90"/>
      <c r="L853" s="90"/>
      <c r="M853" s="90"/>
      <c r="P853" s="89"/>
      <c r="X853" s="90"/>
      <c r="Y853" s="90"/>
    </row>
    <row r="854" spans="7:25" ht="15.75" customHeight="1">
      <c r="G854" s="90"/>
      <c r="H854" s="90"/>
      <c r="J854" s="90"/>
      <c r="K854" s="90"/>
      <c r="L854" s="90"/>
      <c r="M854" s="90"/>
      <c r="P854" s="89"/>
      <c r="X854" s="90"/>
      <c r="Y854" s="90"/>
    </row>
    <row r="855" spans="7:25" ht="15.75" customHeight="1">
      <c r="G855" s="90"/>
      <c r="H855" s="90"/>
      <c r="J855" s="90"/>
      <c r="K855" s="90"/>
      <c r="L855" s="90"/>
      <c r="M855" s="90"/>
      <c r="P855" s="89"/>
      <c r="X855" s="90"/>
      <c r="Y855" s="90"/>
    </row>
    <row r="856" spans="7:25" ht="15.75" customHeight="1">
      <c r="G856" s="90"/>
      <c r="H856" s="90"/>
      <c r="J856" s="90"/>
      <c r="K856" s="90"/>
      <c r="L856" s="90"/>
      <c r="M856" s="90"/>
      <c r="P856" s="89"/>
      <c r="X856" s="90"/>
      <c r="Y856" s="90"/>
    </row>
    <row r="857" spans="7:25" ht="15.75" customHeight="1">
      <c r="G857" s="90"/>
      <c r="H857" s="90"/>
      <c r="J857" s="90"/>
      <c r="K857" s="90"/>
      <c r="L857" s="90"/>
      <c r="M857" s="90"/>
      <c r="P857" s="89"/>
      <c r="X857" s="90"/>
      <c r="Y857" s="90"/>
    </row>
    <row r="858" spans="7:25" ht="15.75" customHeight="1">
      <c r="G858" s="90"/>
      <c r="H858" s="90"/>
      <c r="J858" s="90"/>
      <c r="K858" s="90"/>
      <c r="L858" s="90"/>
      <c r="M858" s="90"/>
      <c r="P858" s="89"/>
      <c r="X858" s="90"/>
      <c r="Y858" s="90"/>
    </row>
    <row r="859" spans="7:25" ht="15.75" customHeight="1">
      <c r="G859" s="90"/>
      <c r="H859" s="90"/>
      <c r="J859" s="90"/>
      <c r="K859" s="90"/>
      <c r="L859" s="90"/>
      <c r="M859" s="90"/>
      <c r="P859" s="89"/>
      <c r="X859" s="90"/>
      <c r="Y859" s="90"/>
    </row>
    <row r="860" spans="7:25" ht="15.75" customHeight="1">
      <c r="G860" s="90"/>
      <c r="H860" s="90"/>
      <c r="J860" s="90"/>
      <c r="K860" s="90"/>
      <c r="L860" s="90"/>
      <c r="M860" s="90"/>
      <c r="P860" s="89"/>
      <c r="X860" s="90"/>
      <c r="Y860" s="90"/>
    </row>
    <row r="861" spans="7:25" ht="15.75" customHeight="1">
      <c r="G861" s="90"/>
      <c r="H861" s="90"/>
      <c r="J861" s="90"/>
      <c r="K861" s="90"/>
      <c r="L861" s="90"/>
      <c r="M861" s="90"/>
      <c r="P861" s="89"/>
      <c r="X861" s="90"/>
      <c r="Y861" s="90"/>
    </row>
    <row r="862" spans="7:25" ht="15.75" customHeight="1">
      <c r="G862" s="90"/>
      <c r="H862" s="90"/>
      <c r="J862" s="90"/>
      <c r="K862" s="90"/>
      <c r="L862" s="90"/>
      <c r="M862" s="90"/>
      <c r="P862" s="89"/>
      <c r="X862" s="90"/>
      <c r="Y862" s="90"/>
    </row>
    <row r="863" spans="7:25" ht="15.75" customHeight="1">
      <c r="G863" s="90"/>
      <c r="H863" s="90"/>
      <c r="J863" s="90"/>
      <c r="K863" s="90"/>
      <c r="L863" s="90"/>
      <c r="M863" s="90"/>
      <c r="P863" s="89"/>
      <c r="X863" s="90"/>
      <c r="Y863" s="90"/>
    </row>
    <row r="864" spans="7:25" ht="15.75" customHeight="1">
      <c r="G864" s="90"/>
      <c r="H864" s="90"/>
      <c r="J864" s="90"/>
      <c r="K864" s="90"/>
      <c r="L864" s="90"/>
      <c r="M864" s="90"/>
      <c r="P864" s="89"/>
      <c r="X864" s="90"/>
      <c r="Y864" s="90"/>
    </row>
    <row r="865" spans="7:25" ht="15.75" customHeight="1">
      <c r="G865" s="90"/>
      <c r="H865" s="90"/>
      <c r="J865" s="90"/>
      <c r="K865" s="90"/>
      <c r="L865" s="90"/>
      <c r="M865" s="90"/>
      <c r="P865" s="89"/>
      <c r="X865" s="90"/>
      <c r="Y865" s="90"/>
    </row>
    <row r="866" spans="7:25" ht="15.75" customHeight="1">
      <c r="G866" s="90"/>
      <c r="H866" s="90"/>
      <c r="J866" s="90"/>
      <c r="K866" s="90"/>
      <c r="L866" s="90"/>
      <c r="M866" s="90"/>
      <c r="P866" s="89"/>
      <c r="X866" s="90"/>
      <c r="Y866" s="90"/>
    </row>
    <row r="867" spans="7:25" ht="15.75" customHeight="1">
      <c r="G867" s="90"/>
      <c r="H867" s="90"/>
      <c r="J867" s="90"/>
      <c r="K867" s="90"/>
      <c r="L867" s="90"/>
      <c r="M867" s="90"/>
      <c r="P867" s="89"/>
      <c r="X867" s="90"/>
      <c r="Y867" s="90"/>
    </row>
    <row r="868" spans="7:25" ht="15.75" customHeight="1">
      <c r="G868" s="90"/>
      <c r="H868" s="90"/>
      <c r="J868" s="90"/>
      <c r="K868" s="90"/>
      <c r="L868" s="90"/>
      <c r="M868" s="90"/>
      <c r="P868" s="89"/>
      <c r="X868" s="90"/>
      <c r="Y868" s="90"/>
    </row>
    <row r="869" spans="7:25" ht="15.75" customHeight="1">
      <c r="G869" s="90"/>
      <c r="H869" s="90"/>
      <c r="J869" s="90"/>
      <c r="K869" s="90"/>
      <c r="L869" s="90"/>
      <c r="M869" s="90"/>
      <c r="P869" s="89"/>
      <c r="X869" s="90"/>
      <c r="Y869" s="90"/>
    </row>
    <row r="870" spans="7:25" ht="15.75" customHeight="1">
      <c r="G870" s="90"/>
      <c r="H870" s="90"/>
      <c r="J870" s="90"/>
      <c r="K870" s="90"/>
      <c r="L870" s="90"/>
      <c r="M870" s="90"/>
      <c r="P870" s="89"/>
      <c r="X870" s="90"/>
      <c r="Y870" s="90"/>
    </row>
    <row r="871" spans="7:25" ht="15.75" customHeight="1">
      <c r="G871" s="90"/>
      <c r="H871" s="90"/>
      <c r="J871" s="90"/>
      <c r="K871" s="90"/>
      <c r="L871" s="90"/>
      <c r="M871" s="90"/>
      <c r="P871" s="89"/>
      <c r="X871" s="90"/>
      <c r="Y871" s="90"/>
    </row>
    <row r="872" spans="7:25" ht="15.75" customHeight="1">
      <c r="G872" s="90"/>
      <c r="H872" s="90"/>
      <c r="J872" s="90"/>
      <c r="K872" s="90"/>
      <c r="L872" s="90"/>
      <c r="M872" s="90"/>
      <c r="P872" s="89"/>
      <c r="X872" s="90"/>
      <c r="Y872" s="90"/>
    </row>
    <row r="873" spans="7:25" ht="15.75" customHeight="1">
      <c r="G873" s="90"/>
      <c r="H873" s="90"/>
      <c r="J873" s="90"/>
      <c r="K873" s="90"/>
      <c r="L873" s="90"/>
      <c r="M873" s="90"/>
      <c r="P873" s="89"/>
      <c r="X873" s="90"/>
      <c r="Y873" s="90"/>
    </row>
    <row r="874" spans="7:25" ht="15.75" customHeight="1">
      <c r="G874" s="90"/>
      <c r="H874" s="90"/>
      <c r="J874" s="90"/>
      <c r="K874" s="90"/>
      <c r="L874" s="90"/>
      <c r="M874" s="90"/>
      <c r="P874" s="89"/>
      <c r="X874" s="90"/>
      <c r="Y874" s="90"/>
    </row>
    <row r="875" spans="7:25" ht="15.75" customHeight="1">
      <c r="G875" s="90"/>
      <c r="H875" s="90"/>
      <c r="J875" s="90"/>
      <c r="K875" s="90"/>
      <c r="L875" s="90"/>
      <c r="M875" s="90"/>
      <c r="P875" s="89"/>
      <c r="X875" s="90"/>
      <c r="Y875" s="90"/>
    </row>
    <row r="876" spans="7:25" ht="15.75" customHeight="1">
      <c r="G876" s="90"/>
      <c r="H876" s="90"/>
      <c r="J876" s="90"/>
      <c r="K876" s="90"/>
      <c r="L876" s="90"/>
      <c r="M876" s="90"/>
      <c r="P876" s="89"/>
      <c r="X876" s="90"/>
      <c r="Y876" s="90"/>
    </row>
    <row r="877" spans="7:25" ht="15.75" customHeight="1">
      <c r="G877" s="90"/>
      <c r="H877" s="90"/>
      <c r="J877" s="90"/>
      <c r="K877" s="90"/>
      <c r="L877" s="90"/>
      <c r="M877" s="90"/>
      <c r="P877" s="89"/>
      <c r="X877" s="90"/>
      <c r="Y877" s="90"/>
    </row>
    <row r="878" spans="7:25" ht="15.75" customHeight="1">
      <c r="G878" s="90"/>
      <c r="H878" s="90"/>
      <c r="J878" s="90"/>
      <c r="K878" s="90"/>
      <c r="L878" s="90"/>
      <c r="M878" s="90"/>
      <c r="P878" s="89"/>
      <c r="X878" s="90"/>
      <c r="Y878" s="90"/>
    </row>
    <row r="879" spans="7:25" ht="15.75" customHeight="1">
      <c r="G879" s="90"/>
      <c r="H879" s="90"/>
      <c r="J879" s="90"/>
      <c r="K879" s="90"/>
      <c r="L879" s="90"/>
      <c r="M879" s="90"/>
      <c r="P879" s="89"/>
      <c r="X879" s="90"/>
      <c r="Y879" s="90"/>
    </row>
    <row r="880" spans="7:25" ht="15.75" customHeight="1">
      <c r="G880" s="90"/>
      <c r="H880" s="90"/>
      <c r="J880" s="90"/>
      <c r="K880" s="90"/>
      <c r="L880" s="90"/>
      <c r="M880" s="90"/>
      <c r="P880" s="89"/>
      <c r="X880" s="90"/>
      <c r="Y880" s="90"/>
    </row>
    <row r="881" spans="7:25" ht="15.75" customHeight="1">
      <c r="G881" s="90"/>
      <c r="H881" s="90"/>
      <c r="J881" s="90"/>
      <c r="K881" s="90"/>
      <c r="L881" s="90"/>
      <c r="M881" s="90"/>
      <c r="P881" s="89"/>
      <c r="X881" s="90"/>
      <c r="Y881" s="90"/>
    </row>
    <row r="882" spans="7:25" ht="15.75" customHeight="1">
      <c r="G882" s="90"/>
      <c r="H882" s="90"/>
      <c r="J882" s="90"/>
      <c r="K882" s="90"/>
      <c r="L882" s="90"/>
      <c r="M882" s="90"/>
      <c r="P882" s="89"/>
      <c r="X882" s="90"/>
      <c r="Y882" s="90"/>
    </row>
    <row r="883" spans="7:25" ht="15.75" customHeight="1">
      <c r="G883" s="90"/>
      <c r="H883" s="90"/>
      <c r="J883" s="90"/>
      <c r="K883" s="90"/>
      <c r="L883" s="90"/>
      <c r="M883" s="90"/>
      <c r="P883" s="89"/>
      <c r="X883" s="90"/>
      <c r="Y883" s="90"/>
    </row>
    <row r="884" spans="7:25" ht="15.75" customHeight="1">
      <c r="G884" s="90"/>
      <c r="H884" s="90"/>
      <c r="J884" s="90"/>
      <c r="K884" s="90"/>
      <c r="L884" s="90"/>
      <c r="M884" s="90"/>
      <c r="P884" s="89"/>
      <c r="X884" s="90"/>
      <c r="Y884" s="90"/>
    </row>
    <row r="885" spans="7:25" ht="15.75" customHeight="1">
      <c r="G885" s="90"/>
      <c r="H885" s="90"/>
      <c r="J885" s="90"/>
      <c r="K885" s="90"/>
      <c r="L885" s="90"/>
      <c r="M885" s="90"/>
      <c r="P885" s="89"/>
      <c r="X885" s="90"/>
      <c r="Y885" s="90"/>
    </row>
    <row r="886" spans="7:25" ht="15.75" customHeight="1">
      <c r="G886" s="90"/>
      <c r="H886" s="90"/>
      <c r="J886" s="90"/>
      <c r="K886" s="90"/>
      <c r="L886" s="90"/>
      <c r="M886" s="90"/>
      <c r="P886" s="89"/>
      <c r="X886" s="90"/>
      <c r="Y886" s="90"/>
    </row>
    <row r="887" spans="7:25" ht="15.75" customHeight="1">
      <c r="G887" s="90"/>
      <c r="H887" s="90"/>
      <c r="J887" s="90"/>
      <c r="K887" s="90"/>
      <c r="L887" s="90"/>
      <c r="M887" s="90"/>
      <c r="P887" s="89"/>
      <c r="X887" s="90"/>
      <c r="Y887" s="90"/>
    </row>
    <row r="888" spans="7:25" ht="15.75" customHeight="1">
      <c r="G888" s="90"/>
      <c r="H888" s="90"/>
      <c r="J888" s="90"/>
      <c r="K888" s="90"/>
      <c r="L888" s="90"/>
      <c r="M888" s="90"/>
      <c r="P888" s="89"/>
      <c r="X888" s="90"/>
      <c r="Y888" s="90"/>
    </row>
    <row r="889" spans="7:25" ht="15.75" customHeight="1">
      <c r="G889" s="90"/>
      <c r="H889" s="90"/>
      <c r="J889" s="90"/>
      <c r="K889" s="90"/>
      <c r="L889" s="90"/>
      <c r="M889" s="90"/>
      <c r="P889" s="89"/>
      <c r="X889" s="90"/>
      <c r="Y889" s="90"/>
    </row>
    <row r="890" spans="7:25" ht="15.75" customHeight="1">
      <c r="G890" s="90"/>
      <c r="H890" s="90"/>
      <c r="J890" s="90"/>
      <c r="K890" s="90"/>
      <c r="L890" s="90"/>
      <c r="M890" s="90"/>
      <c r="P890" s="89"/>
      <c r="X890" s="90"/>
      <c r="Y890" s="90"/>
    </row>
    <row r="891" spans="7:25" ht="15.75" customHeight="1">
      <c r="G891" s="90"/>
      <c r="H891" s="90"/>
      <c r="J891" s="90"/>
      <c r="K891" s="90"/>
      <c r="L891" s="90"/>
      <c r="M891" s="90"/>
      <c r="P891" s="89"/>
      <c r="X891" s="90"/>
      <c r="Y891" s="90"/>
    </row>
    <row r="892" spans="7:25" ht="15.75" customHeight="1">
      <c r="G892" s="90"/>
      <c r="H892" s="90"/>
      <c r="J892" s="90"/>
      <c r="K892" s="90"/>
      <c r="L892" s="90"/>
      <c r="M892" s="90"/>
      <c r="P892" s="89"/>
      <c r="X892" s="90"/>
      <c r="Y892" s="90"/>
    </row>
    <row r="893" spans="7:25" ht="15.75" customHeight="1">
      <c r="G893" s="90"/>
      <c r="H893" s="90"/>
      <c r="J893" s="90"/>
      <c r="K893" s="90"/>
      <c r="L893" s="90"/>
      <c r="M893" s="90"/>
      <c r="P893" s="89"/>
      <c r="X893" s="90"/>
      <c r="Y893" s="90"/>
    </row>
    <row r="894" spans="7:25" ht="15.75" customHeight="1">
      <c r="G894" s="90"/>
      <c r="H894" s="90"/>
      <c r="J894" s="90"/>
      <c r="K894" s="90"/>
      <c r="L894" s="90"/>
      <c r="M894" s="90"/>
      <c r="P894" s="89"/>
      <c r="X894" s="90"/>
      <c r="Y894" s="90"/>
    </row>
    <row r="895" spans="7:25" ht="15.75" customHeight="1">
      <c r="G895" s="90"/>
      <c r="H895" s="90"/>
      <c r="J895" s="90"/>
      <c r="K895" s="90"/>
      <c r="L895" s="90"/>
      <c r="M895" s="90"/>
      <c r="P895" s="89"/>
      <c r="X895" s="90"/>
      <c r="Y895" s="90"/>
    </row>
    <row r="896" spans="7:25" ht="15.75" customHeight="1">
      <c r="G896" s="90"/>
      <c r="H896" s="90"/>
      <c r="J896" s="90"/>
      <c r="K896" s="90"/>
      <c r="L896" s="90"/>
      <c r="M896" s="90"/>
      <c r="P896" s="89"/>
      <c r="X896" s="90"/>
      <c r="Y896" s="90"/>
    </row>
    <row r="897" spans="7:25" ht="15.75" customHeight="1">
      <c r="G897" s="90"/>
      <c r="H897" s="90"/>
      <c r="J897" s="90"/>
      <c r="K897" s="90"/>
      <c r="L897" s="90"/>
      <c r="M897" s="90"/>
      <c r="P897" s="89"/>
      <c r="X897" s="90"/>
      <c r="Y897" s="90"/>
    </row>
    <row r="898" spans="7:25" ht="15.75" customHeight="1">
      <c r="G898" s="90"/>
      <c r="H898" s="90"/>
      <c r="J898" s="90"/>
      <c r="K898" s="90"/>
      <c r="L898" s="90"/>
      <c r="M898" s="90"/>
      <c r="P898" s="89"/>
      <c r="X898" s="90"/>
      <c r="Y898" s="90"/>
    </row>
    <row r="899" spans="7:25" ht="15.75" customHeight="1">
      <c r="G899" s="90"/>
      <c r="H899" s="90"/>
      <c r="J899" s="90"/>
      <c r="K899" s="90"/>
      <c r="L899" s="90"/>
      <c r="M899" s="90"/>
      <c r="P899" s="89"/>
      <c r="X899" s="90"/>
      <c r="Y899" s="90"/>
    </row>
    <row r="900" spans="7:25" ht="15.75" customHeight="1">
      <c r="G900" s="90"/>
      <c r="H900" s="90"/>
      <c r="J900" s="90"/>
      <c r="K900" s="90"/>
      <c r="L900" s="90"/>
      <c r="M900" s="90"/>
      <c r="P900" s="89"/>
      <c r="X900" s="90"/>
      <c r="Y900" s="90"/>
    </row>
    <row r="901" spans="7:25" ht="15.75" customHeight="1">
      <c r="G901" s="90"/>
      <c r="H901" s="90"/>
      <c r="J901" s="90"/>
      <c r="K901" s="90"/>
      <c r="L901" s="90"/>
      <c r="M901" s="90"/>
      <c r="P901" s="89"/>
      <c r="X901" s="90"/>
      <c r="Y901" s="90"/>
    </row>
    <row r="902" spans="7:25" ht="15.75" customHeight="1">
      <c r="G902" s="90"/>
      <c r="H902" s="90"/>
      <c r="J902" s="90"/>
      <c r="K902" s="90"/>
      <c r="L902" s="90"/>
      <c r="M902" s="90"/>
      <c r="P902" s="89"/>
      <c r="X902" s="90"/>
      <c r="Y902" s="90"/>
    </row>
    <row r="903" spans="7:25" ht="15.75" customHeight="1">
      <c r="G903" s="90"/>
      <c r="H903" s="90"/>
      <c r="J903" s="90"/>
      <c r="K903" s="90"/>
      <c r="L903" s="90"/>
      <c r="M903" s="90"/>
      <c r="P903" s="89"/>
      <c r="X903" s="90"/>
      <c r="Y903" s="90"/>
    </row>
    <row r="904" spans="7:25" ht="15.75" customHeight="1">
      <c r="G904" s="90"/>
      <c r="H904" s="90"/>
      <c r="J904" s="90"/>
      <c r="K904" s="90"/>
      <c r="L904" s="90"/>
      <c r="M904" s="90"/>
      <c r="P904" s="89"/>
      <c r="X904" s="90"/>
      <c r="Y904" s="90"/>
    </row>
    <row r="905" spans="7:25" ht="15.75" customHeight="1">
      <c r="G905" s="90"/>
      <c r="H905" s="90"/>
      <c r="J905" s="90"/>
      <c r="K905" s="90"/>
      <c r="L905" s="90"/>
      <c r="M905" s="90"/>
      <c r="P905" s="89"/>
      <c r="X905" s="90"/>
      <c r="Y905" s="90"/>
    </row>
    <row r="906" spans="7:25" ht="15.75" customHeight="1">
      <c r="G906" s="90"/>
      <c r="H906" s="90"/>
      <c r="J906" s="90"/>
      <c r="K906" s="90"/>
      <c r="L906" s="90"/>
      <c r="M906" s="90"/>
      <c r="P906" s="89"/>
      <c r="X906" s="90"/>
      <c r="Y906" s="90"/>
    </row>
    <row r="907" spans="7:25" ht="15.75" customHeight="1">
      <c r="G907" s="90"/>
      <c r="H907" s="90"/>
      <c r="J907" s="90"/>
      <c r="K907" s="90"/>
      <c r="L907" s="90"/>
      <c r="M907" s="90"/>
      <c r="P907" s="89"/>
      <c r="X907" s="90"/>
      <c r="Y907" s="90"/>
    </row>
    <row r="908" spans="7:25" ht="15.75" customHeight="1">
      <c r="G908" s="90"/>
      <c r="H908" s="90"/>
      <c r="J908" s="90"/>
      <c r="K908" s="90"/>
      <c r="L908" s="90"/>
      <c r="M908" s="90"/>
      <c r="P908" s="89"/>
      <c r="X908" s="90"/>
      <c r="Y908" s="90"/>
    </row>
    <row r="909" spans="7:25" ht="15.75" customHeight="1">
      <c r="G909" s="90"/>
      <c r="H909" s="90"/>
      <c r="J909" s="90"/>
      <c r="K909" s="90"/>
      <c r="L909" s="90"/>
      <c r="M909" s="90"/>
      <c r="P909" s="89"/>
      <c r="X909" s="90"/>
      <c r="Y909" s="90"/>
    </row>
    <row r="910" spans="7:25" ht="15.75" customHeight="1">
      <c r="G910" s="90"/>
      <c r="H910" s="90"/>
      <c r="J910" s="90"/>
      <c r="K910" s="90"/>
      <c r="L910" s="90"/>
      <c r="M910" s="90"/>
      <c r="P910" s="89"/>
      <c r="X910" s="90"/>
      <c r="Y910" s="90"/>
    </row>
    <row r="911" spans="7:25" ht="15.75" customHeight="1">
      <c r="G911" s="90"/>
      <c r="H911" s="90"/>
      <c r="J911" s="90"/>
      <c r="K911" s="90"/>
      <c r="L911" s="90"/>
      <c r="M911" s="90"/>
      <c r="P911" s="89"/>
      <c r="X911" s="90"/>
      <c r="Y911" s="90"/>
    </row>
    <row r="912" spans="7:25" ht="15.75" customHeight="1">
      <c r="G912" s="90"/>
      <c r="H912" s="90"/>
      <c r="J912" s="90"/>
      <c r="K912" s="90"/>
      <c r="L912" s="90"/>
      <c r="M912" s="90"/>
      <c r="P912" s="89"/>
      <c r="X912" s="90"/>
      <c r="Y912" s="90"/>
    </row>
    <row r="913" spans="7:25" ht="15.75" customHeight="1">
      <c r="G913" s="90"/>
      <c r="H913" s="90"/>
      <c r="J913" s="90"/>
      <c r="K913" s="90"/>
      <c r="L913" s="90"/>
      <c r="M913" s="90"/>
      <c r="P913" s="89"/>
      <c r="X913" s="90"/>
      <c r="Y913" s="90"/>
    </row>
    <row r="914" spans="7:25" ht="15.75" customHeight="1">
      <c r="G914" s="90"/>
      <c r="H914" s="90"/>
      <c r="J914" s="90"/>
      <c r="K914" s="90"/>
      <c r="L914" s="90"/>
      <c r="M914" s="90"/>
      <c r="P914" s="89"/>
      <c r="X914" s="90"/>
      <c r="Y914" s="90"/>
    </row>
    <row r="915" spans="7:25" ht="15.75" customHeight="1">
      <c r="G915" s="90"/>
      <c r="H915" s="90"/>
      <c r="J915" s="90"/>
      <c r="K915" s="90"/>
      <c r="L915" s="90"/>
      <c r="M915" s="90"/>
      <c r="P915" s="89"/>
      <c r="X915" s="90"/>
      <c r="Y915" s="90"/>
    </row>
    <row r="916" spans="7:25" ht="15.75" customHeight="1">
      <c r="G916" s="90"/>
      <c r="H916" s="90"/>
      <c r="J916" s="90"/>
      <c r="K916" s="90"/>
      <c r="L916" s="90"/>
      <c r="M916" s="90"/>
      <c r="P916" s="89"/>
      <c r="X916" s="90"/>
      <c r="Y916" s="90"/>
    </row>
    <row r="917" spans="7:25" ht="15.75" customHeight="1">
      <c r="G917" s="90"/>
      <c r="H917" s="90"/>
      <c r="J917" s="90"/>
      <c r="K917" s="90"/>
      <c r="L917" s="90"/>
      <c r="M917" s="90"/>
      <c r="P917" s="89"/>
      <c r="X917" s="90"/>
      <c r="Y917" s="90"/>
    </row>
    <row r="918" spans="7:25" ht="15.75" customHeight="1">
      <c r="G918" s="90"/>
      <c r="H918" s="90"/>
      <c r="J918" s="90"/>
      <c r="K918" s="90"/>
      <c r="L918" s="90"/>
      <c r="M918" s="90"/>
      <c r="P918" s="89"/>
      <c r="X918" s="90"/>
      <c r="Y918" s="90"/>
    </row>
    <row r="919" spans="7:25" ht="15.75" customHeight="1">
      <c r="G919" s="90"/>
      <c r="H919" s="90"/>
      <c r="J919" s="90"/>
      <c r="K919" s="90"/>
      <c r="L919" s="90"/>
      <c r="M919" s="90"/>
      <c r="P919" s="89"/>
      <c r="X919" s="90"/>
      <c r="Y919" s="90"/>
    </row>
    <row r="920" spans="7:25" ht="15.75" customHeight="1">
      <c r="G920" s="90"/>
      <c r="H920" s="90"/>
      <c r="J920" s="90"/>
      <c r="K920" s="90"/>
      <c r="L920" s="90"/>
      <c r="M920" s="90"/>
      <c r="P920" s="89"/>
      <c r="X920" s="90"/>
      <c r="Y920" s="90"/>
    </row>
    <row r="921" spans="7:25" ht="15.75" customHeight="1">
      <c r="G921" s="90"/>
      <c r="H921" s="90"/>
      <c r="J921" s="90"/>
      <c r="K921" s="90"/>
      <c r="L921" s="90"/>
      <c r="M921" s="90"/>
      <c r="P921" s="89"/>
      <c r="X921" s="90"/>
      <c r="Y921" s="90"/>
    </row>
    <row r="922" spans="7:25" ht="15.75" customHeight="1">
      <c r="G922" s="90"/>
      <c r="H922" s="90"/>
      <c r="J922" s="90"/>
      <c r="K922" s="90"/>
      <c r="L922" s="90"/>
      <c r="M922" s="90"/>
      <c r="P922" s="89"/>
      <c r="X922" s="90"/>
      <c r="Y922" s="90"/>
    </row>
    <row r="923" spans="7:25" ht="15.75" customHeight="1">
      <c r="G923" s="90"/>
      <c r="H923" s="90"/>
      <c r="J923" s="90"/>
      <c r="K923" s="90"/>
      <c r="L923" s="90"/>
      <c r="M923" s="90"/>
      <c r="P923" s="89"/>
      <c r="X923" s="90"/>
      <c r="Y923" s="90"/>
    </row>
    <row r="924" spans="7:25" ht="15.75" customHeight="1">
      <c r="G924" s="90"/>
      <c r="H924" s="90"/>
      <c r="J924" s="90"/>
      <c r="K924" s="90"/>
      <c r="L924" s="90"/>
      <c r="M924" s="90"/>
      <c r="P924" s="89"/>
      <c r="X924" s="90"/>
      <c r="Y924" s="90"/>
    </row>
    <row r="925" spans="7:25" ht="15.75" customHeight="1">
      <c r="G925" s="90"/>
      <c r="H925" s="90"/>
      <c r="J925" s="90"/>
      <c r="K925" s="90"/>
      <c r="L925" s="90"/>
      <c r="M925" s="90"/>
      <c r="P925" s="89"/>
      <c r="X925" s="90"/>
      <c r="Y925" s="90"/>
    </row>
    <row r="926" spans="7:25" ht="15.75" customHeight="1">
      <c r="G926" s="90"/>
      <c r="H926" s="90"/>
      <c r="J926" s="90"/>
      <c r="K926" s="90"/>
      <c r="L926" s="90"/>
      <c r="M926" s="90"/>
      <c r="P926" s="89"/>
      <c r="X926" s="90"/>
      <c r="Y926" s="90"/>
    </row>
    <row r="927" spans="7:25" ht="15.75" customHeight="1">
      <c r="G927" s="90"/>
      <c r="H927" s="90"/>
      <c r="J927" s="90"/>
      <c r="K927" s="90"/>
      <c r="L927" s="90"/>
      <c r="M927" s="90"/>
      <c r="P927" s="89"/>
      <c r="X927" s="90"/>
      <c r="Y927" s="90"/>
    </row>
    <row r="928" spans="7:25" ht="15.75" customHeight="1">
      <c r="G928" s="90"/>
      <c r="H928" s="90"/>
      <c r="J928" s="90"/>
      <c r="K928" s="90"/>
      <c r="L928" s="90"/>
      <c r="M928" s="90"/>
      <c r="P928" s="89"/>
      <c r="X928" s="90"/>
      <c r="Y928" s="90"/>
    </row>
    <row r="929" spans="7:25" ht="15.75" customHeight="1">
      <c r="G929" s="90"/>
      <c r="H929" s="90"/>
      <c r="J929" s="90"/>
      <c r="K929" s="90"/>
      <c r="L929" s="90"/>
      <c r="M929" s="90"/>
      <c r="P929" s="89"/>
      <c r="X929" s="90"/>
      <c r="Y929" s="90"/>
    </row>
    <row r="930" spans="7:25" ht="15.75" customHeight="1">
      <c r="G930" s="90"/>
      <c r="H930" s="90"/>
      <c r="J930" s="90"/>
      <c r="K930" s="90"/>
      <c r="L930" s="90"/>
      <c r="M930" s="90"/>
      <c r="P930" s="89"/>
      <c r="X930" s="90"/>
      <c r="Y930" s="90"/>
    </row>
    <row r="931" spans="7:25" ht="15.75" customHeight="1">
      <c r="G931" s="90"/>
      <c r="H931" s="90"/>
      <c r="J931" s="90"/>
      <c r="K931" s="90"/>
      <c r="L931" s="90"/>
      <c r="M931" s="90"/>
      <c r="P931" s="89"/>
      <c r="X931" s="90"/>
      <c r="Y931" s="90"/>
    </row>
    <row r="932" spans="7:25" ht="15.75" customHeight="1">
      <c r="G932" s="90"/>
      <c r="H932" s="90"/>
      <c r="J932" s="90"/>
      <c r="K932" s="90"/>
      <c r="L932" s="90"/>
      <c r="M932" s="90"/>
      <c r="P932" s="89"/>
      <c r="X932" s="90"/>
      <c r="Y932" s="90"/>
    </row>
    <row r="933" spans="7:25" ht="15.75" customHeight="1">
      <c r="G933" s="90"/>
      <c r="H933" s="90"/>
      <c r="J933" s="90"/>
      <c r="K933" s="90"/>
      <c r="L933" s="90"/>
      <c r="M933" s="90"/>
      <c r="P933" s="89"/>
      <c r="X933" s="90"/>
      <c r="Y933" s="90"/>
    </row>
    <row r="934" spans="7:25" ht="15.75" customHeight="1">
      <c r="G934" s="90"/>
      <c r="H934" s="90"/>
      <c r="J934" s="90"/>
      <c r="K934" s="90"/>
      <c r="L934" s="90"/>
      <c r="M934" s="90"/>
      <c r="P934" s="89"/>
      <c r="X934" s="90"/>
      <c r="Y934" s="90"/>
    </row>
    <row r="935" spans="7:25" ht="15.75" customHeight="1">
      <c r="G935" s="90"/>
      <c r="H935" s="90"/>
      <c r="J935" s="90"/>
      <c r="K935" s="90"/>
      <c r="L935" s="90"/>
      <c r="M935" s="90"/>
      <c r="P935" s="89"/>
      <c r="X935" s="90"/>
      <c r="Y935" s="90"/>
    </row>
    <row r="936" spans="7:25" ht="15.75" customHeight="1">
      <c r="G936" s="90"/>
      <c r="H936" s="90"/>
      <c r="J936" s="90"/>
      <c r="K936" s="90"/>
      <c r="L936" s="90"/>
      <c r="M936" s="90"/>
      <c r="P936" s="89"/>
      <c r="X936" s="90"/>
      <c r="Y936" s="90"/>
    </row>
    <row r="937" spans="7:25" ht="15.75" customHeight="1">
      <c r="G937" s="90"/>
      <c r="H937" s="90"/>
      <c r="J937" s="90"/>
      <c r="K937" s="90"/>
      <c r="L937" s="90"/>
      <c r="M937" s="90"/>
      <c r="P937" s="89"/>
      <c r="X937" s="90"/>
      <c r="Y937" s="90"/>
    </row>
    <row r="938" spans="7:25" ht="15.75" customHeight="1">
      <c r="G938" s="90"/>
      <c r="H938" s="90"/>
      <c r="J938" s="90"/>
      <c r="K938" s="90"/>
      <c r="L938" s="90"/>
      <c r="M938" s="90"/>
      <c r="P938" s="89"/>
      <c r="X938" s="90"/>
      <c r="Y938" s="90"/>
    </row>
    <row r="939" spans="7:25" ht="15.75" customHeight="1">
      <c r="G939" s="90"/>
      <c r="H939" s="90"/>
      <c r="J939" s="90"/>
      <c r="K939" s="90"/>
      <c r="L939" s="90"/>
      <c r="M939" s="90"/>
      <c r="P939" s="89"/>
      <c r="X939" s="90"/>
      <c r="Y939" s="90"/>
    </row>
    <row r="940" spans="7:25" ht="15.75" customHeight="1">
      <c r="G940" s="90"/>
      <c r="H940" s="90"/>
      <c r="J940" s="90"/>
      <c r="K940" s="90"/>
      <c r="L940" s="90"/>
      <c r="M940" s="90"/>
      <c r="P940" s="89"/>
      <c r="X940" s="90"/>
      <c r="Y940" s="90"/>
    </row>
    <row r="941" spans="7:25" ht="15.75" customHeight="1">
      <c r="G941" s="90"/>
      <c r="H941" s="90"/>
      <c r="J941" s="90"/>
      <c r="K941" s="90"/>
      <c r="L941" s="90"/>
      <c r="M941" s="90"/>
      <c r="P941" s="89"/>
      <c r="X941" s="90"/>
      <c r="Y941" s="90"/>
    </row>
    <row r="942" spans="7:25" ht="15.75" customHeight="1">
      <c r="G942" s="90"/>
      <c r="H942" s="90"/>
      <c r="J942" s="90"/>
      <c r="K942" s="90"/>
      <c r="L942" s="90"/>
      <c r="M942" s="90"/>
      <c r="P942" s="89"/>
      <c r="X942" s="90"/>
      <c r="Y942" s="90"/>
    </row>
    <row r="943" spans="7:25" ht="15.75" customHeight="1">
      <c r="G943" s="90"/>
      <c r="H943" s="90"/>
      <c r="J943" s="90"/>
      <c r="K943" s="90"/>
      <c r="L943" s="90"/>
      <c r="M943" s="90"/>
      <c r="P943" s="89"/>
      <c r="X943" s="90"/>
      <c r="Y943" s="90"/>
    </row>
    <row r="944" spans="7:25" ht="15.75" customHeight="1">
      <c r="G944" s="90"/>
      <c r="H944" s="90"/>
      <c r="J944" s="90"/>
      <c r="K944" s="90"/>
      <c r="L944" s="90"/>
      <c r="M944" s="90"/>
      <c r="P944" s="89"/>
      <c r="X944" s="90"/>
      <c r="Y944" s="90"/>
    </row>
    <row r="945" spans="7:25" ht="15.75" customHeight="1">
      <c r="G945" s="90"/>
      <c r="H945" s="90"/>
      <c r="J945" s="90"/>
      <c r="K945" s="90"/>
      <c r="L945" s="90"/>
      <c r="M945" s="90"/>
      <c r="P945" s="89"/>
      <c r="X945" s="90"/>
      <c r="Y945" s="90"/>
    </row>
    <row r="946" spans="7:25" ht="15.75" customHeight="1">
      <c r="G946" s="90"/>
      <c r="H946" s="90"/>
      <c r="J946" s="90"/>
      <c r="K946" s="90"/>
      <c r="L946" s="90"/>
      <c r="M946" s="90"/>
      <c r="P946" s="89"/>
      <c r="X946" s="90"/>
      <c r="Y946" s="90"/>
    </row>
    <row r="947" spans="7:25" ht="15.75" customHeight="1">
      <c r="G947" s="90"/>
      <c r="H947" s="90"/>
      <c r="J947" s="90"/>
      <c r="K947" s="90"/>
      <c r="L947" s="90"/>
      <c r="M947" s="90"/>
      <c r="P947" s="89"/>
      <c r="X947" s="90"/>
      <c r="Y947" s="90"/>
    </row>
    <row r="948" spans="7:25" ht="15.75" customHeight="1">
      <c r="G948" s="90"/>
      <c r="H948" s="90"/>
      <c r="J948" s="90"/>
      <c r="K948" s="90"/>
      <c r="L948" s="90"/>
      <c r="M948" s="90"/>
      <c r="P948" s="89"/>
      <c r="X948" s="90"/>
      <c r="Y948" s="90"/>
    </row>
    <row r="949" spans="7:25" ht="15.75" customHeight="1">
      <c r="G949" s="90"/>
      <c r="H949" s="90"/>
      <c r="J949" s="90"/>
      <c r="K949" s="90"/>
      <c r="L949" s="90"/>
      <c r="M949" s="90"/>
      <c r="P949" s="89"/>
      <c r="X949" s="90"/>
      <c r="Y949" s="90"/>
    </row>
    <row r="950" spans="7:25" ht="15.75" customHeight="1">
      <c r="G950" s="90"/>
      <c r="H950" s="90"/>
      <c r="J950" s="90"/>
      <c r="K950" s="90"/>
      <c r="L950" s="90"/>
      <c r="M950" s="90"/>
      <c r="P950" s="89"/>
      <c r="X950" s="90"/>
      <c r="Y950" s="90"/>
    </row>
    <row r="951" spans="7:25" ht="15.75" customHeight="1">
      <c r="G951" s="90"/>
      <c r="H951" s="90"/>
      <c r="J951" s="90"/>
      <c r="K951" s="90"/>
      <c r="L951" s="90"/>
      <c r="M951" s="90"/>
      <c r="P951" s="89"/>
      <c r="X951" s="90"/>
      <c r="Y951" s="90"/>
    </row>
    <row r="952" spans="7:25" ht="15.75" customHeight="1">
      <c r="G952" s="90"/>
      <c r="H952" s="90"/>
      <c r="J952" s="90"/>
      <c r="K952" s="90"/>
      <c r="L952" s="90"/>
      <c r="M952" s="90"/>
      <c r="P952" s="89"/>
      <c r="X952" s="90"/>
      <c r="Y952" s="90"/>
    </row>
    <row r="953" spans="7:25" ht="15.75" customHeight="1">
      <c r="G953" s="90"/>
      <c r="H953" s="90"/>
      <c r="J953" s="90"/>
      <c r="K953" s="90"/>
      <c r="L953" s="90"/>
      <c r="M953" s="90"/>
      <c r="P953" s="89"/>
      <c r="X953" s="90"/>
      <c r="Y953" s="90"/>
    </row>
    <row r="954" spans="7:25" ht="15.75" customHeight="1">
      <c r="G954" s="90"/>
      <c r="H954" s="90"/>
      <c r="J954" s="90"/>
      <c r="K954" s="90"/>
      <c r="L954" s="90"/>
      <c r="M954" s="90"/>
      <c r="P954" s="89"/>
      <c r="X954" s="90"/>
      <c r="Y954" s="90"/>
    </row>
    <row r="955" spans="7:25" ht="15.75" customHeight="1">
      <c r="G955" s="90"/>
      <c r="H955" s="90"/>
      <c r="J955" s="90"/>
      <c r="K955" s="90"/>
      <c r="L955" s="90"/>
      <c r="M955" s="90"/>
      <c r="P955" s="89"/>
      <c r="X955" s="90"/>
      <c r="Y955" s="90"/>
    </row>
    <row r="956" spans="7:25" ht="15.75" customHeight="1">
      <c r="G956" s="90"/>
      <c r="H956" s="90"/>
      <c r="J956" s="90"/>
      <c r="K956" s="90"/>
      <c r="L956" s="90"/>
      <c r="M956" s="90"/>
      <c r="P956" s="89"/>
      <c r="X956" s="90"/>
      <c r="Y956" s="90"/>
    </row>
    <row r="957" spans="7:25" ht="15.75" customHeight="1">
      <c r="G957" s="90"/>
      <c r="H957" s="90"/>
      <c r="J957" s="90"/>
      <c r="K957" s="90"/>
      <c r="L957" s="90"/>
      <c r="M957" s="90"/>
      <c r="P957" s="89"/>
      <c r="X957" s="90"/>
      <c r="Y957" s="90"/>
    </row>
    <row r="958" spans="7:25" ht="15.75" customHeight="1">
      <c r="G958" s="90"/>
      <c r="H958" s="90"/>
      <c r="J958" s="90"/>
      <c r="K958" s="90"/>
      <c r="L958" s="90"/>
      <c r="M958" s="90"/>
      <c r="P958" s="89"/>
      <c r="X958" s="90"/>
      <c r="Y958" s="90"/>
    </row>
    <row r="959" spans="7:25" ht="15.75" customHeight="1">
      <c r="G959" s="90"/>
      <c r="H959" s="90"/>
      <c r="J959" s="90"/>
      <c r="K959" s="90"/>
      <c r="L959" s="90"/>
      <c r="M959" s="90"/>
      <c r="P959" s="89"/>
      <c r="X959" s="90"/>
      <c r="Y959" s="90"/>
    </row>
    <row r="960" spans="7:25" ht="15.75" customHeight="1">
      <c r="G960" s="90"/>
      <c r="H960" s="90"/>
      <c r="J960" s="90"/>
      <c r="K960" s="90"/>
      <c r="L960" s="90"/>
      <c r="M960" s="90"/>
      <c r="P960" s="89"/>
      <c r="X960" s="90"/>
      <c r="Y960" s="90"/>
    </row>
    <row r="961" spans="7:25" ht="15.75" customHeight="1">
      <c r="G961" s="90"/>
      <c r="H961" s="90"/>
      <c r="J961" s="90"/>
      <c r="K961" s="90"/>
      <c r="L961" s="90"/>
      <c r="M961" s="90"/>
      <c r="P961" s="89"/>
      <c r="X961" s="90"/>
      <c r="Y961" s="90"/>
    </row>
    <row r="962" spans="7:25" ht="15.75" customHeight="1">
      <c r="G962" s="90"/>
      <c r="H962" s="90"/>
      <c r="J962" s="90"/>
      <c r="K962" s="90"/>
      <c r="L962" s="90"/>
      <c r="M962" s="90"/>
      <c r="P962" s="89"/>
      <c r="X962" s="90"/>
      <c r="Y962" s="90"/>
    </row>
    <row r="963" spans="7:25" ht="15.75" customHeight="1">
      <c r="G963" s="90"/>
      <c r="H963" s="90"/>
      <c r="J963" s="90"/>
      <c r="K963" s="90"/>
      <c r="L963" s="90"/>
      <c r="M963" s="90"/>
      <c r="P963" s="89"/>
      <c r="X963" s="90"/>
      <c r="Y963" s="90"/>
    </row>
    <row r="964" spans="7:25" ht="15.75" customHeight="1">
      <c r="G964" s="90"/>
      <c r="H964" s="90"/>
      <c r="J964" s="90"/>
      <c r="K964" s="90"/>
      <c r="L964" s="90"/>
      <c r="M964" s="90"/>
      <c r="P964" s="89"/>
      <c r="X964" s="90"/>
      <c r="Y964" s="90"/>
    </row>
    <row r="965" spans="7:25" ht="15.75" customHeight="1">
      <c r="G965" s="90"/>
      <c r="H965" s="90"/>
      <c r="J965" s="90"/>
      <c r="K965" s="90"/>
      <c r="L965" s="90"/>
      <c r="M965" s="90"/>
      <c r="P965" s="89"/>
      <c r="X965" s="90"/>
      <c r="Y965" s="90"/>
    </row>
    <row r="966" spans="7:25" ht="15.75" customHeight="1">
      <c r="G966" s="90"/>
      <c r="H966" s="90"/>
      <c r="J966" s="90"/>
      <c r="K966" s="90"/>
      <c r="L966" s="90"/>
      <c r="M966" s="90"/>
      <c r="P966" s="89"/>
      <c r="X966" s="90"/>
      <c r="Y966" s="90"/>
    </row>
    <row r="967" spans="7:25" ht="15.75" customHeight="1">
      <c r="G967" s="90"/>
      <c r="H967" s="90"/>
      <c r="J967" s="90"/>
      <c r="K967" s="90"/>
      <c r="L967" s="90"/>
      <c r="M967" s="90"/>
      <c r="P967" s="89"/>
      <c r="X967" s="90"/>
      <c r="Y967" s="90"/>
    </row>
    <row r="968" spans="7:25" ht="15.75" customHeight="1">
      <c r="G968" s="90"/>
      <c r="H968" s="90"/>
      <c r="J968" s="90"/>
      <c r="K968" s="90"/>
      <c r="L968" s="90"/>
      <c r="M968" s="90"/>
      <c r="P968" s="89"/>
      <c r="X968" s="90"/>
      <c r="Y968" s="90"/>
    </row>
  </sheetData>
  <mergeCells count="3">
    <mergeCell ref="O1:W1"/>
    <mergeCell ref="A15:L15"/>
    <mergeCell ref="O27:X27"/>
  </mergeCells>
  <conditionalFormatting sqref="AG1:AG2 O2 X2 X14 AG14 O28 AG34 AG46">
    <cfRule type="notContainsBlanks" dxfId="4064" priority="1">
      <formula>LEN(TRIM(AG1))&gt;0</formula>
    </cfRule>
  </conditionalFormatting>
  <dataValidations count="2">
    <dataValidation type="custom" allowBlank="1" showDropDown="1" showInputMessage="1" prompt="  /  /    " sqref="C37">
      <formula1>OR(NOT(ISERROR(DATEVALUE(C37))), AND(ISNUMBER(C37), LEFT(CELL("format", C37))="D"))</formula1>
    </dataValidation>
    <dataValidation allowBlank="1" showDropDown="1" sqref="O4:O9"/>
  </dataValidations>
  <hyperlinks>
    <hyperlink ref="C83" r:id="rId1"/>
    <hyperlink ref="C85" r:id="rId2"/>
  </hyperlinks>
  <printOptions horizontalCentered="1" gridLines="1"/>
  <pageMargins left="0.25" right="0.25" top="0.75" bottom="0.75" header="0" footer="0"/>
  <pageSetup paperSize="9" fitToHeight="0" pageOrder="overThenDown" orientation="landscape" cellComments="atEnd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AM958"/>
  <sheetViews>
    <sheetView workbookViewId="0"/>
  </sheetViews>
  <sheetFormatPr defaultColWidth="14.42578125" defaultRowHeight="15" customHeight="1"/>
  <cols>
    <col min="1" max="1" width="5.42578125" customWidth="1"/>
    <col min="2" max="2" width="27.5703125" customWidth="1"/>
    <col min="3" max="3" width="9.5703125" customWidth="1"/>
    <col min="4" max="4" width="12.42578125" customWidth="1"/>
    <col min="9" max="9" width="15.42578125" customWidth="1"/>
    <col min="10" max="10" width="17.28515625" customWidth="1"/>
    <col min="11" max="11" width="32.85546875" customWidth="1"/>
    <col min="12" max="12" width="27.42578125" customWidth="1"/>
    <col min="13" max="13" width="19.7109375" customWidth="1"/>
  </cols>
  <sheetData>
    <row r="1" spans="1:12">
      <c r="A1" s="224"/>
      <c r="B1" s="225" t="s">
        <v>125</v>
      </c>
      <c r="C1" s="226" t="s">
        <v>126</v>
      </c>
      <c r="D1" s="227" t="s">
        <v>127</v>
      </c>
      <c r="E1" s="228" t="s">
        <v>128</v>
      </c>
      <c r="F1" s="229" t="s">
        <v>129</v>
      </c>
      <c r="G1" s="230" t="s">
        <v>130</v>
      </c>
      <c r="H1" s="229" t="s">
        <v>131</v>
      </c>
      <c r="I1" s="229" t="s">
        <v>132</v>
      </c>
      <c r="J1" s="229" t="s">
        <v>133</v>
      </c>
      <c r="K1" s="226" t="s">
        <v>134</v>
      </c>
      <c r="L1" s="226" t="s">
        <v>135</v>
      </c>
    </row>
    <row r="2" spans="1:12">
      <c r="A2" s="231">
        <v>1</v>
      </c>
      <c r="B2" s="232" t="s">
        <v>136</v>
      </c>
      <c r="C2" s="233" t="s">
        <v>77</v>
      </c>
      <c r="D2" s="234" t="s">
        <v>137</v>
      </c>
      <c r="E2" s="235">
        <v>540713</v>
      </c>
      <c r="F2" s="233" t="s">
        <v>138</v>
      </c>
      <c r="G2" s="236">
        <v>47879</v>
      </c>
      <c r="H2" s="233" t="s">
        <v>139</v>
      </c>
      <c r="I2" s="233" t="s">
        <v>140</v>
      </c>
      <c r="J2" s="237" t="s">
        <v>141</v>
      </c>
      <c r="K2" s="238" t="s">
        <v>142</v>
      </c>
      <c r="L2" s="239"/>
    </row>
    <row r="3" spans="1:12">
      <c r="A3" s="231">
        <v>2</v>
      </c>
      <c r="B3" s="232" t="s">
        <v>143</v>
      </c>
      <c r="C3" s="233" t="s">
        <v>77</v>
      </c>
      <c r="D3" s="234" t="s">
        <v>137</v>
      </c>
      <c r="E3" s="235">
        <v>5407126</v>
      </c>
      <c r="F3" s="233" t="s">
        <v>144</v>
      </c>
      <c r="G3" s="236">
        <v>46142</v>
      </c>
      <c r="H3" s="233" t="s">
        <v>145</v>
      </c>
      <c r="I3" s="233" t="s">
        <v>140</v>
      </c>
      <c r="J3" s="237" t="s">
        <v>146</v>
      </c>
      <c r="K3" s="238" t="s">
        <v>142</v>
      </c>
      <c r="L3" s="239"/>
    </row>
    <row r="4" spans="1:12">
      <c r="A4" s="231">
        <v>3</v>
      </c>
      <c r="B4" s="232" t="s">
        <v>147</v>
      </c>
      <c r="C4" s="233" t="s">
        <v>76</v>
      </c>
      <c r="D4" s="234" t="s">
        <v>137</v>
      </c>
      <c r="E4" s="235">
        <v>5395252</v>
      </c>
      <c r="F4" s="233" t="s">
        <v>148</v>
      </c>
      <c r="G4" s="236">
        <v>46446</v>
      </c>
      <c r="H4" s="233" t="s">
        <v>149</v>
      </c>
      <c r="I4" s="233" t="s">
        <v>150</v>
      </c>
      <c r="J4" s="237" t="s">
        <v>146</v>
      </c>
      <c r="K4" s="238" t="s">
        <v>142</v>
      </c>
      <c r="L4" s="239"/>
    </row>
    <row r="5" spans="1:12">
      <c r="A5" s="231">
        <v>4</v>
      </c>
      <c r="B5" s="232" t="s">
        <v>151</v>
      </c>
      <c r="C5" s="233" t="s">
        <v>76</v>
      </c>
      <c r="D5" s="234" t="s">
        <v>137</v>
      </c>
      <c r="E5" s="235">
        <v>5395264</v>
      </c>
      <c r="F5" s="233" t="s">
        <v>152</v>
      </c>
      <c r="G5" s="236">
        <v>46660</v>
      </c>
      <c r="H5" s="233" t="s">
        <v>149</v>
      </c>
      <c r="I5" s="233" t="s">
        <v>153</v>
      </c>
      <c r="J5" s="237" t="s">
        <v>146</v>
      </c>
      <c r="K5" s="238" t="s">
        <v>142</v>
      </c>
      <c r="L5" s="239"/>
    </row>
    <row r="6" spans="1:12">
      <c r="A6" s="231">
        <v>5</v>
      </c>
      <c r="B6" s="232" t="s">
        <v>154</v>
      </c>
      <c r="C6" s="233" t="s">
        <v>77</v>
      </c>
      <c r="D6" s="234" t="s">
        <v>137</v>
      </c>
      <c r="E6" s="235">
        <v>7427967</v>
      </c>
      <c r="F6" s="233" t="s">
        <v>155</v>
      </c>
      <c r="G6" s="236">
        <v>48334</v>
      </c>
      <c r="H6" s="233" t="s">
        <v>156</v>
      </c>
      <c r="I6" s="233" t="s">
        <v>157</v>
      </c>
      <c r="J6" s="237" t="s">
        <v>146</v>
      </c>
      <c r="K6" s="238" t="s">
        <v>142</v>
      </c>
      <c r="L6" s="239"/>
    </row>
    <row r="7" spans="1:12">
      <c r="A7" s="231">
        <v>6</v>
      </c>
      <c r="B7" s="232" t="s">
        <v>158</v>
      </c>
      <c r="C7" s="233" t="s">
        <v>76</v>
      </c>
      <c r="D7" s="234" t="s">
        <v>137</v>
      </c>
      <c r="E7" s="235">
        <v>725353</v>
      </c>
      <c r="F7" s="233" t="s">
        <v>159</v>
      </c>
      <c r="G7" s="236">
        <v>48883</v>
      </c>
      <c r="H7" s="233" t="s">
        <v>160</v>
      </c>
      <c r="I7" s="233" t="s">
        <v>161</v>
      </c>
      <c r="J7" s="237" t="s">
        <v>146</v>
      </c>
      <c r="K7" s="238" t="s">
        <v>142</v>
      </c>
      <c r="L7" s="239"/>
    </row>
    <row r="8" spans="1:12">
      <c r="A8" s="231">
        <v>7</v>
      </c>
      <c r="B8" s="232" t="s">
        <v>162</v>
      </c>
      <c r="C8" s="233" t="s">
        <v>76</v>
      </c>
      <c r="D8" s="234" t="s">
        <v>137</v>
      </c>
      <c r="E8" s="235">
        <v>5419256</v>
      </c>
      <c r="F8" s="233" t="s">
        <v>163</v>
      </c>
      <c r="G8" s="236">
        <v>49826</v>
      </c>
      <c r="H8" s="233" t="s">
        <v>164</v>
      </c>
      <c r="I8" s="233" t="s">
        <v>165</v>
      </c>
      <c r="J8" s="237" t="s">
        <v>146</v>
      </c>
      <c r="K8" s="238" t="s">
        <v>142</v>
      </c>
      <c r="L8" s="239"/>
    </row>
    <row r="9" spans="1:12">
      <c r="A9" s="231">
        <v>8</v>
      </c>
      <c r="B9" s="232" t="s">
        <v>166</v>
      </c>
      <c r="C9" s="233" t="s">
        <v>76</v>
      </c>
      <c r="D9" s="234" t="s">
        <v>137</v>
      </c>
      <c r="E9" s="235">
        <v>50205419165</v>
      </c>
      <c r="F9" s="233" t="s">
        <v>167</v>
      </c>
      <c r="G9" s="236">
        <v>49765</v>
      </c>
      <c r="H9" s="233" t="s">
        <v>168</v>
      </c>
      <c r="I9" s="233" t="s">
        <v>169</v>
      </c>
      <c r="J9" s="237" t="s">
        <v>146</v>
      </c>
      <c r="K9" s="238" t="s">
        <v>142</v>
      </c>
      <c r="L9" s="239"/>
    </row>
    <row r="10" spans="1:12">
      <c r="A10" s="231">
        <v>9</v>
      </c>
      <c r="B10" s="232" t="s">
        <v>170</v>
      </c>
      <c r="C10" s="233" t="s">
        <v>77</v>
      </c>
      <c r="D10" s="234" t="s">
        <v>137</v>
      </c>
      <c r="E10" s="235">
        <v>5520435</v>
      </c>
      <c r="F10" s="233" t="s">
        <v>171</v>
      </c>
      <c r="G10" s="236">
        <v>50405</v>
      </c>
      <c r="H10" s="233" t="s">
        <v>172</v>
      </c>
      <c r="I10" s="233" t="s">
        <v>173</v>
      </c>
      <c r="J10" s="237" t="s">
        <v>174</v>
      </c>
      <c r="K10" s="238" t="s">
        <v>142</v>
      </c>
      <c r="L10" s="233" t="s">
        <v>175</v>
      </c>
    </row>
    <row r="11" spans="1:12">
      <c r="A11" s="231">
        <v>10</v>
      </c>
      <c r="B11" s="232" t="s">
        <v>176</v>
      </c>
      <c r="C11" s="233" t="s">
        <v>77</v>
      </c>
      <c r="D11" s="234" t="s">
        <v>137</v>
      </c>
      <c r="E11" s="235">
        <v>5866546</v>
      </c>
      <c r="F11" s="233" t="s">
        <v>177</v>
      </c>
      <c r="G11" s="236">
        <v>47483</v>
      </c>
      <c r="H11" s="233" t="s">
        <v>178</v>
      </c>
      <c r="I11" s="233" t="s">
        <v>173</v>
      </c>
      <c r="J11" s="237" t="s">
        <v>174</v>
      </c>
      <c r="K11" s="238" t="s">
        <v>142</v>
      </c>
      <c r="L11" s="233" t="s">
        <v>175</v>
      </c>
    </row>
    <row r="12" spans="1:12">
      <c r="A12" s="231">
        <v>11</v>
      </c>
      <c r="B12" s="232" t="s">
        <v>179</v>
      </c>
      <c r="C12" s="233" t="s">
        <v>77</v>
      </c>
      <c r="D12" s="234" t="s">
        <v>137</v>
      </c>
      <c r="E12" s="235">
        <v>5562340</v>
      </c>
      <c r="F12" s="233" t="s">
        <v>180</v>
      </c>
      <c r="G12" s="236">
        <v>53358</v>
      </c>
      <c r="H12" s="233" t="s">
        <v>181</v>
      </c>
      <c r="I12" s="233" t="s">
        <v>182</v>
      </c>
      <c r="J12" s="237" t="s">
        <v>174</v>
      </c>
      <c r="K12" s="238" t="s">
        <v>142</v>
      </c>
      <c r="L12" s="233" t="s">
        <v>175</v>
      </c>
    </row>
    <row r="13" spans="1:12">
      <c r="A13" s="231">
        <v>12</v>
      </c>
      <c r="B13" s="232" t="s">
        <v>183</v>
      </c>
      <c r="C13" s="233" t="s">
        <v>77</v>
      </c>
      <c r="D13" s="234" t="s">
        <v>137</v>
      </c>
      <c r="E13" s="235">
        <v>62099710</v>
      </c>
      <c r="F13" s="233" t="s">
        <v>184</v>
      </c>
      <c r="G13" s="236">
        <v>52717</v>
      </c>
      <c r="H13" s="233" t="s">
        <v>185</v>
      </c>
      <c r="I13" s="233" t="s">
        <v>173</v>
      </c>
      <c r="J13" s="237" t="s">
        <v>174</v>
      </c>
      <c r="K13" s="238" t="s">
        <v>142</v>
      </c>
      <c r="L13" s="233" t="s">
        <v>175</v>
      </c>
    </row>
    <row r="14" spans="1:12">
      <c r="A14" s="231">
        <v>13</v>
      </c>
      <c r="B14" s="232" t="s">
        <v>186</v>
      </c>
      <c r="C14" s="233" t="s">
        <v>77</v>
      </c>
      <c r="D14" s="234" t="s">
        <v>137</v>
      </c>
      <c r="E14" s="235">
        <v>5569096</v>
      </c>
      <c r="F14" s="233" t="s">
        <v>187</v>
      </c>
      <c r="G14" s="236">
        <v>51897</v>
      </c>
      <c r="H14" s="233" t="s">
        <v>188</v>
      </c>
      <c r="I14" s="233" t="s">
        <v>173</v>
      </c>
      <c r="J14" s="237" t="s">
        <v>189</v>
      </c>
      <c r="K14" s="238" t="s">
        <v>142</v>
      </c>
      <c r="L14" s="233" t="s">
        <v>175</v>
      </c>
    </row>
    <row r="15" spans="1:12">
      <c r="A15" s="231">
        <v>14</v>
      </c>
      <c r="B15" s="232" t="s">
        <v>190</v>
      </c>
      <c r="C15" s="233" t="s">
        <v>76</v>
      </c>
      <c r="D15" s="234" t="s">
        <v>137</v>
      </c>
      <c r="E15" s="235">
        <v>5559054</v>
      </c>
      <c r="F15" s="233" t="s">
        <v>191</v>
      </c>
      <c r="G15" s="236">
        <v>52382</v>
      </c>
      <c r="H15" s="233" t="s">
        <v>192</v>
      </c>
      <c r="I15" s="233" t="s">
        <v>173</v>
      </c>
      <c r="J15" s="237" t="s">
        <v>189</v>
      </c>
      <c r="K15" s="238" t="s">
        <v>142</v>
      </c>
      <c r="L15" s="233" t="s">
        <v>175</v>
      </c>
    </row>
    <row r="16" spans="1:12">
      <c r="A16" s="231">
        <v>15</v>
      </c>
      <c r="B16" s="232" t="s">
        <v>193</v>
      </c>
      <c r="C16" s="233" t="s">
        <v>76</v>
      </c>
      <c r="D16" s="234" t="s">
        <v>137</v>
      </c>
      <c r="E16" s="235">
        <v>50205569205</v>
      </c>
      <c r="F16" s="233" t="s">
        <v>194</v>
      </c>
      <c r="G16" s="236">
        <v>53751</v>
      </c>
      <c r="H16" s="233" t="s">
        <v>188</v>
      </c>
      <c r="I16" s="233" t="s">
        <v>173</v>
      </c>
      <c r="J16" s="237" t="s">
        <v>195</v>
      </c>
      <c r="K16" s="238" t="s">
        <v>142</v>
      </c>
      <c r="L16" s="233" t="s">
        <v>175</v>
      </c>
    </row>
    <row r="17" spans="1:12">
      <c r="A17" s="231">
        <v>16</v>
      </c>
      <c r="B17" s="232" t="s">
        <v>196</v>
      </c>
      <c r="C17" s="233" t="s">
        <v>76</v>
      </c>
      <c r="D17" s="234" t="s">
        <v>137</v>
      </c>
      <c r="E17" s="235">
        <v>50200036110</v>
      </c>
      <c r="F17" s="233" t="s">
        <v>197</v>
      </c>
      <c r="G17" s="236">
        <v>50040</v>
      </c>
      <c r="H17" s="233" t="s">
        <v>198</v>
      </c>
      <c r="I17" s="233" t="s">
        <v>173</v>
      </c>
      <c r="J17" s="237" t="s">
        <v>199</v>
      </c>
      <c r="K17" s="238" t="s">
        <v>142</v>
      </c>
      <c r="L17" s="233" t="s">
        <v>175</v>
      </c>
    </row>
    <row r="18" spans="1:12">
      <c r="A18" s="231">
        <v>17</v>
      </c>
      <c r="B18" s="232" t="s">
        <v>200</v>
      </c>
      <c r="C18" s="233" t="s">
        <v>76</v>
      </c>
      <c r="D18" s="234" t="s">
        <v>137</v>
      </c>
      <c r="E18" s="235">
        <v>50200065780</v>
      </c>
      <c r="F18" s="233" t="s">
        <v>201</v>
      </c>
      <c r="G18" s="236">
        <v>49643</v>
      </c>
      <c r="H18" s="233" t="s">
        <v>202</v>
      </c>
      <c r="I18" s="233" t="s">
        <v>173</v>
      </c>
      <c r="J18" s="237" t="s">
        <v>199</v>
      </c>
      <c r="K18" s="238" t="s">
        <v>142</v>
      </c>
      <c r="L18" s="233" t="s">
        <v>175</v>
      </c>
    </row>
    <row r="19" spans="1:12">
      <c r="A19" s="231">
        <v>18</v>
      </c>
      <c r="B19" s="232" t="s">
        <v>203</v>
      </c>
      <c r="C19" s="233" t="s">
        <v>76</v>
      </c>
      <c r="D19" s="234" t="s">
        <v>137</v>
      </c>
      <c r="E19" s="235">
        <v>50200036867</v>
      </c>
      <c r="F19" s="233" t="s">
        <v>204</v>
      </c>
      <c r="G19" s="236">
        <v>50009</v>
      </c>
      <c r="H19" s="233" t="s">
        <v>205</v>
      </c>
      <c r="I19" s="233" t="s">
        <v>173</v>
      </c>
      <c r="J19" s="237" t="s">
        <v>199</v>
      </c>
      <c r="K19" s="238" t="s">
        <v>142</v>
      </c>
      <c r="L19" s="233" t="s">
        <v>175</v>
      </c>
    </row>
    <row r="20" spans="1:12">
      <c r="A20" s="231">
        <v>19</v>
      </c>
      <c r="B20" s="240" t="s">
        <v>206</v>
      </c>
      <c r="C20" s="241" t="s">
        <v>77</v>
      </c>
      <c r="D20" s="234" t="s">
        <v>137</v>
      </c>
      <c r="E20" s="242">
        <v>5421068</v>
      </c>
      <c r="F20" s="243" t="s">
        <v>207</v>
      </c>
      <c r="G20" s="244">
        <v>48121</v>
      </c>
      <c r="H20" s="243" t="s">
        <v>208</v>
      </c>
      <c r="I20" s="241" t="s">
        <v>165</v>
      </c>
      <c r="J20" s="245" t="s">
        <v>209</v>
      </c>
      <c r="K20" s="238" t="s">
        <v>142</v>
      </c>
      <c r="L20" s="239"/>
    </row>
    <row r="21" spans="1:12">
      <c r="A21" s="231">
        <v>20</v>
      </c>
      <c r="B21" s="240" t="s">
        <v>210</v>
      </c>
      <c r="C21" s="241" t="s">
        <v>76</v>
      </c>
      <c r="D21" s="234" t="s">
        <v>137</v>
      </c>
      <c r="E21" s="246">
        <v>5419220</v>
      </c>
      <c r="F21" s="243" t="s">
        <v>211</v>
      </c>
      <c r="G21" s="244">
        <v>48975</v>
      </c>
      <c r="H21" s="243" t="s">
        <v>168</v>
      </c>
      <c r="I21" s="241" t="s">
        <v>165</v>
      </c>
      <c r="J21" s="245" t="s">
        <v>209</v>
      </c>
      <c r="K21" s="238" t="s">
        <v>142</v>
      </c>
      <c r="L21" s="239"/>
    </row>
    <row r="22" spans="1:12">
      <c r="A22" s="231">
        <v>21</v>
      </c>
      <c r="B22" s="247" t="s">
        <v>212</v>
      </c>
      <c r="C22" s="241" t="s">
        <v>76</v>
      </c>
      <c r="D22" s="234" t="s">
        <v>137</v>
      </c>
      <c r="E22" s="247">
        <v>50205522658</v>
      </c>
      <c r="F22" s="248" t="s">
        <v>213</v>
      </c>
      <c r="G22" s="249">
        <v>50071</v>
      </c>
      <c r="H22" s="248" t="s">
        <v>214</v>
      </c>
      <c r="I22" s="250" t="s">
        <v>169</v>
      </c>
      <c r="J22" s="251" t="s">
        <v>209</v>
      </c>
      <c r="K22" s="238" t="s">
        <v>142</v>
      </c>
      <c r="L22" s="239"/>
    </row>
    <row r="23" spans="1:12">
      <c r="A23" s="231">
        <v>22</v>
      </c>
      <c r="B23" s="247" t="s">
        <v>215</v>
      </c>
      <c r="C23" s="241" t="s">
        <v>76</v>
      </c>
      <c r="D23" s="234" t="s">
        <v>137</v>
      </c>
      <c r="E23" s="247">
        <v>50205522663</v>
      </c>
      <c r="F23" s="248" t="s">
        <v>216</v>
      </c>
      <c r="G23" s="249">
        <v>51532</v>
      </c>
      <c r="H23" s="248" t="s">
        <v>214</v>
      </c>
      <c r="I23" s="250" t="s">
        <v>169</v>
      </c>
      <c r="J23" s="251" t="s">
        <v>209</v>
      </c>
      <c r="K23" s="238" t="s">
        <v>142</v>
      </c>
      <c r="L23" s="239"/>
    </row>
    <row r="24" spans="1:12">
      <c r="A24" s="231">
        <v>23</v>
      </c>
      <c r="B24" s="252" t="s">
        <v>217</v>
      </c>
      <c r="C24" s="241" t="s">
        <v>76</v>
      </c>
      <c r="D24" s="234" t="s">
        <v>137</v>
      </c>
      <c r="E24" s="252">
        <v>5558736</v>
      </c>
      <c r="F24" s="253" t="s">
        <v>194</v>
      </c>
      <c r="G24" s="254">
        <v>53751</v>
      </c>
      <c r="H24" s="253" t="s">
        <v>218</v>
      </c>
      <c r="I24" s="255" t="s">
        <v>219</v>
      </c>
      <c r="J24" s="245" t="s">
        <v>209</v>
      </c>
      <c r="K24" s="238" t="s">
        <v>142</v>
      </c>
      <c r="L24" s="239"/>
    </row>
    <row r="25" spans="1:12">
      <c r="A25" s="231">
        <v>24</v>
      </c>
      <c r="B25" s="252" t="s">
        <v>220</v>
      </c>
      <c r="C25" s="241" t="s">
        <v>76</v>
      </c>
      <c r="D25" s="234" t="s">
        <v>137</v>
      </c>
      <c r="E25" s="252">
        <v>5558773</v>
      </c>
      <c r="F25" s="253" t="s">
        <v>221</v>
      </c>
      <c r="G25" s="254">
        <v>51470</v>
      </c>
      <c r="H25" s="253" t="s">
        <v>218</v>
      </c>
      <c r="I25" s="255" t="s">
        <v>219</v>
      </c>
      <c r="J25" s="245" t="s">
        <v>209</v>
      </c>
      <c r="K25" s="238" t="s">
        <v>142</v>
      </c>
      <c r="L25" s="239"/>
    </row>
    <row r="26" spans="1:12">
      <c r="A26" s="231">
        <v>25</v>
      </c>
      <c r="B26" s="252" t="s">
        <v>222</v>
      </c>
      <c r="C26" s="241" t="s">
        <v>76</v>
      </c>
      <c r="D26" s="234" t="s">
        <v>137</v>
      </c>
      <c r="E26" s="252">
        <v>5558797</v>
      </c>
      <c r="F26" s="253" t="s">
        <v>223</v>
      </c>
      <c r="G26" s="254">
        <v>52262</v>
      </c>
      <c r="H26" s="253" t="s">
        <v>218</v>
      </c>
      <c r="I26" s="255" t="s">
        <v>219</v>
      </c>
      <c r="J26" s="245" t="s">
        <v>209</v>
      </c>
      <c r="K26" s="238" t="s">
        <v>142</v>
      </c>
      <c r="L26" s="239"/>
    </row>
    <row r="27" spans="1:12">
      <c r="A27" s="231">
        <v>26</v>
      </c>
      <c r="B27" s="252" t="s">
        <v>224</v>
      </c>
      <c r="C27" s="241" t="s">
        <v>76</v>
      </c>
      <c r="D27" s="234" t="s">
        <v>137</v>
      </c>
      <c r="E27" s="252">
        <v>5558815</v>
      </c>
      <c r="F27" s="253" t="s">
        <v>225</v>
      </c>
      <c r="G27" s="254">
        <v>53751</v>
      </c>
      <c r="H27" s="253" t="s">
        <v>218</v>
      </c>
      <c r="I27" s="255" t="s">
        <v>219</v>
      </c>
      <c r="J27" s="245" t="s">
        <v>209</v>
      </c>
      <c r="K27" s="238" t="s">
        <v>142</v>
      </c>
      <c r="L27" s="239"/>
    </row>
    <row r="28" spans="1:12">
      <c r="A28" s="231">
        <v>27</v>
      </c>
      <c r="B28" s="252" t="s">
        <v>226</v>
      </c>
      <c r="C28" s="241" t="s">
        <v>76</v>
      </c>
      <c r="D28" s="234" t="s">
        <v>137</v>
      </c>
      <c r="E28" s="252">
        <v>5559017</v>
      </c>
      <c r="F28" s="253" t="s">
        <v>227</v>
      </c>
      <c r="G28" s="254">
        <v>53996</v>
      </c>
      <c r="H28" s="253" t="s">
        <v>228</v>
      </c>
      <c r="I28" s="255" t="s">
        <v>219</v>
      </c>
      <c r="J28" s="245" t="s">
        <v>209</v>
      </c>
      <c r="K28" s="238" t="s">
        <v>142</v>
      </c>
      <c r="L28" s="239"/>
    </row>
    <row r="29" spans="1:12">
      <c r="A29" s="231">
        <v>28</v>
      </c>
      <c r="B29" s="252" t="s">
        <v>229</v>
      </c>
      <c r="C29" s="241" t="s">
        <v>76</v>
      </c>
      <c r="D29" s="234" t="s">
        <v>137</v>
      </c>
      <c r="E29" s="252">
        <v>51901</v>
      </c>
      <c r="F29" s="253" t="s">
        <v>230</v>
      </c>
      <c r="G29" s="254">
        <v>50525</v>
      </c>
      <c r="H29" s="253" t="s">
        <v>214</v>
      </c>
      <c r="I29" s="255" t="s">
        <v>231</v>
      </c>
      <c r="J29" s="245" t="s">
        <v>209</v>
      </c>
      <c r="K29" s="238" t="s">
        <v>142</v>
      </c>
      <c r="L29" s="239"/>
    </row>
    <row r="30" spans="1:12">
      <c r="A30" s="231">
        <v>29</v>
      </c>
      <c r="B30" s="252" t="s">
        <v>232</v>
      </c>
      <c r="C30" s="241" t="s">
        <v>76</v>
      </c>
      <c r="D30" s="234" t="s">
        <v>137</v>
      </c>
      <c r="E30" s="252">
        <v>12131325</v>
      </c>
      <c r="F30" s="253" t="s">
        <v>233</v>
      </c>
      <c r="G30" s="254">
        <v>50525</v>
      </c>
      <c r="H30" s="253" t="s">
        <v>160</v>
      </c>
      <c r="I30" s="253" t="s">
        <v>234</v>
      </c>
      <c r="J30" s="245" t="s">
        <v>209</v>
      </c>
      <c r="K30" s="238" t="s">
        <v>142</v>
      </c>
      <c r="L30" s="239"/>
    </row>
    <row r="31" spans="1:12">
      <c r="A31" s="231">
        <v>30</v>
      </c>
      <c r="B31" s="256" t="s">
        <v>235</v>
      </c>
      <c r="C31" s="241" t="s">
        <v>76</v>
      </c>
      <c r="D31" s="234" t="s">
        <v>137</v>
      </c>
      <c r="E31" s="252">
        <v>12124760</v>
      </c>
      <c r="F31" s="253" t="s">
        <v>236</v>
      </c>
      <c r="G31" s="254">
        <v>47756</v>
      </c>
      <c r="H31" s="253" t="s">
        <v>145</v>
      </c>
      <c r="I31" s="253" t="s">
        <v>234</v>
      </c>
      <c r="J31" s="245" t="s">
        <v>209</v>
      </c>
      <c r="K31" s="238" t="s">
        <v>142</v>
      </c>
      <c r="L31" s="239"/>
    </row>
    <row r="32" spans="1:12">
      <c r="A32" s="231">
        <v>31</v>
      </c>
      <c r="B32" s="252" t="s">
        <v>237</v>
      </c>
      <c r="C32" s="241" t="s">
        <v>76</v>
      </c>
      <c r="D32" s="234" t="s">
        <v>137</v>
      </c>
      <c r="E32" s="252">
        <v>51809</v>
      </c>
      <c r="F32" s="253" t="s">
        <v>238</v>
      </c>
      <c r="G32" s="254">
        <v>48975</v>
      </c>
      <c r="H32" s="253" t="s">
        <v>214</v>
      </c>
      <c r="I32" s="253" t="s">
        <v>234</v>
      </c>
      <c r="J32" s="245" t="s">
        <v>209</v>
      </c>
      <c r="K32" s="238" t="s">
        <v>142</v>
      </c>
      <c r="L32" s="239"/>
    </row>
    <row r="33" spans="1:39">
      <c r="A33" s="231">
        <v>32</v>
      </c>
      <c r="B33" s="252" t="s">
        <v>239</v>
      </c>
      <c r="C33" s="253" t="s">
        <v>76</v>
      </c>
      <c r="D33" s="234" t="s">
        <v>137</v>
      </c>
      <c r="E33" s="252">
        <v>59857</v>
      </c>
      <c r="F33" s="253" t="s">
        <v>240</v>
      </c>
      <c r="G33" s="254">
        <v>50586</v>
      </c>
      <c r="H33" s="253" t="s">
        <v>241</v>
      </c>
      <c r="I33" s="253" t="s">
        <v>234</v>
      </c>
      <c r="J33" s="245" t="s">
        <v>209</v>
      </c>
      <c r="K33" s="238" t="s">
        <v>142</v>
      </c>
      <c r="L33" s="239"/>
    </row>
    <row r="34" spans="1:39">
      <c r="A34" s="231">
        <v>33</v>
      </c>
      <c r="B34" s="257" t="s">
        <v>242</v>
      </c>
      <c r="C34" s="253" t="s">
        <v>76</v>
      </c>
      <c r="D34" s="234" t="s">
        <v>137</v>
      </c>
      <c r="E34" s="252">
        <v>5020555876</v>
      </c>
      <c r="F34" s="253" t="s">
        <v>243</v>
      </c>
      <c r="G34" s="254">
        <v>53327</v>
      </c>
      <c r="H34" s="253" t="s">
        <v>218</v>
      </c>
      <c r="I34" s="253" t="s">
        <v>182</v>
      </c>
      <c r="J34" s="245" t="s">
        <v>209</v>
      </c>
      <c r="K34" s="238" t="s">
        <v>142</v>
      </c>
      <c r="L34" s="239"/>
    </row>
    <row r="35" spans="1:39">
      <c r="A35" s="231">
        <v>34</v>
      </c>
      <c r="B35" s="257" t="s">
        <v>244</v>
      </c>
      <c r="C35" s="253" t="s">
        <v>76</v>
      </c>
      <c r="D35" s="234" t="s">
        <v>137</v>
      </c>
      <c r="E35" s="252">
        <v>50205602464</v>
      </c>
      <c r="F35" s="253" t="s">
        <v>245</v>
      </c>
      <c r="G35" s="254">
        <v>50890</v>
      </c>
      <c r="H35" s="253" t="s">
        <v>246</v>
      </c>
      <c r="I35" s="253" t="s">
        <v>182</v>
      </c>
      <c r="J35" s="245" t="s">
        <v>209</v>
      </c>
      <c r="K35" s="238" t="s">
        <v>142</v>
      </c>
      <c r="L35" s="239"/>
    </row>
    <row r="36" spans="1:39">
      <c r="A36" s="231">
        <v>35</v>
      </c>
      <c r="B36" s="258" t="s">
        <v>247</v>
      </c>
      <c r="C36" s="259" t="s">
        <v>76</v>
      </c>
      <c r="D36" s="234" t="s">
        <v>137</v>
      </c>
      <c r="E36" s="260">
        <v>50209412414</v>
      </c>
      <c r="F36" s="259" t="s">
        <v>248</v>
      </c>
      <c r="G36" s="261">
        <v>49521</v>
      </c>
      <c r="H36" s="259" t="s">
        <v>160</v>
      </c>
      <c r="I36" s="259" t="s">
        <v>182</v>
      </c>
      <c r="J36" s="262" t="s">
        <v>209</v>
      </c>
      <c r="K36" s="263" t="s">
        <v>142</v>
      </c>
      <c r="L36" s="264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</row>
    <row r="37" spans="1:39">
      <c r="A37" s="231">
        <v>36</v>
      </c>
      <c r="B37" s="265" t="s">
        <v>249</v>
      </c>
      <c r="C37" s="259" t="s">
        <v>76</v>
      </c>
      <c r="D37" s="234" t="s">
        <v>14</v>
      </c>
      <c r="E37" s="266">
        <v>5419177</v>
      </c>
      <c r="F37" s="267" t="s">
        <v>250</v>
      </c>
      <c r="G37" s="268">
        <v>49368</v>
      </c>
      <c r="H37" s="267" t="s">
        <v>168</v>
      </c>
      <c r="I37" s="269" t="s">
        <v>251</v>
      </c>
      <c r="J37" s="262" t="s">
        <v>209</v>
      </c>
      <c r="K37" s="263" t="s">
        <v>142</v>
      </c>
      <c r="L37" s="264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</row>
    <row r="38" spans="1:39" ht="15.75" customHeight="1">
      <c r="A38" s="231">
        <v>37</v>
      </c>
      <c r="B38" s="270" t="s">
        <v>252</v>
      </c>
      <c r="C38" s="259" t="s">
        <v>76</v>
      </c>
      <c r="D38" s="18" t="s">
        <v>137</v>
      </c>
      <c r="E38" s="271">
        <v>50205607243</v>
      </c>
      <c r="F38" s="272">
        <v>30524</v>
      </c>
      <c r="G38" s="273">
        <v>52443</v>
      </c>
      <c r="H38" s="274"/>
      <c r="I38" s="79"/>
      <c r="J38" s="79"/>
      <c r="K38" s="263" t="s">
        <v>142</v>
      </c>
      <c r="L38" s="275"/>
      <c r="M38" s="276" t="s">
        <v>253</v>
      </c>
      <c r="N38" s="275" t="s">
        <v>44</v>
      </c>
      <c r="O38" s="79"/>
      <c r="P38" s="79"/>
      <c r="Q38" s="277">
        <v>45924</v>
      </c>
      <c r="R38" s="278">
        <v>45559</v>
      </c>
      <c r="S38" s="279">
        <v>45527</v>
      </c>
      <c r="T38" s="280"/>
      <c r="U38" s="280"/>
      <c r="V38" s="281" t="s">
        <v>254</v>
      </c>
      <c r="W38" s="280"/>
      <c r="X38" s="280">
        <f t="shared" ref="X38:X39" si="0">LEN(E38)</f>
        <v>11</v>
      </c>
      <c r="Y38" s="282">
        <f ca="1">INT((TODAY()-F38)/365)</f>
        <v>42</v>
      </c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</row>
    <row r="39" spans="1:39" ht="15.75" customHeight="1">
      <c r="A39" s="231">
        <v>38</v>
      </c>
      <c r="B39" s="270" t="s">
        <v>255</v>
      </c>
      <c r="C39" s="259" t="s">
        <v>76</v>
      </c>
      <c r="D39" s="18" t="s">
        <v>137</v>
      </c>
      <c r="E39" s="271">
        <v>50205607413</v>
      </c>
      <c r="G39" s="273">
        <v>54088</v>
      </c>
      <c r="H39" s="79"/>
      <c r="I39" s="79"/>
      <c r="J39" s="283"/>
      <c r="K39" s="263" t="s">
        <v>142</v>
      </c>
      <c r="L39" s="284">
        <v>8768038121</v>
      </c>
      <c r="M39" s="276" t="s">
        <v>253</v>
      </c>
      <c r="N39" s="274" t="s">
        <v>256</v>
      </c>
      <c r="O39" s="79"/>
      <c r="P39" s="79"/>
      <c r="Q39" s="277">
        <v>45919</v>
      </c>
      <c r="R39" s="278">
        <v>45559</v>
      </c>
      <c r="S39" s="279">
        <v>45527</v>
      </c>
      <c r="T39" s="285"/>
      <c r="U39" s="280"/>
      <c r="V39" s="281" t="s">
        <v>257</v>
      </c>
      <c r="W39" s="281" t="s">
        <v>258</v>
      </c>
      <c r="X39" s="280">
        <f t="shared" si="0"/>
        <v>11</v>
      </c>
      <c r="Y39" s="282" t="e">
        <f ca="1">INT((TODAY()-#REF!)/365)</f>
        <v>#REF!</v>
      </c>
      <c r="Z39" s="286" t="s">
        <v>259</v>
      </c>
      <c r="AA39" s="79"/>
      <c r="AB39" s="79"/>
      <c r="AC39" s="79"/>
      <c r="AD39" s="79"/>
      <c r="AE39" s="79"/>
      <c r="AF39" s="79"/>
      <c r="AG39" s="79"/>
      <c r="AH39" s="79"/>
      <c r="AI39" s="79"/>
      <c r="AJ39" s="79"/>
    </row>
    <row r="40" spans="1:39" ht="15.75" customHeight="1">
      <c r="A40" s="231">
        <v>39</v>
      </c>
      <c r="B40" s="287" t="s">
        <v>260</v>
      </c>
      <c r="C40" s="274" t="s">
        <v>77</v>
      </c>
      <c r="D40" s="18" t="s">
        <v>137</v>
      </c>
      <c r="E40" s="288">
        <v>50212124734</v>
      </c>
      <c r="F40" s="289">
        <v>26618</v>
      </c>
      <c r="G40" s="290">
        <v>48548</v>
      </c>
      <c r="H40" s="274"/>
      <c r="I40" s="291"/>
      <c r="J40" s="292" t="str">
        <f>IF(ISBLANK(H40),"",ifS(H40="A",DATEVALUE(I40)+90,H40="B",DATEVALUE(I40)+60,H40="C",DATEVALUE(I40)+30))</f>
        <v/>
      </c>
      <c r="K40" s="275">
        <v>8420320026</v>
      </c>
      <c r="L40" s="284">
        <v>7001592182</v>
      </c>
      <c r="M40" s="293" t="s">
        <v>261</v>
      </c>
      <c r="N40" s="275" t="s">
        <v>48</v>
      </c>
      <c r="Q40" s="272">
        <v>45256</v>
      </c>
      <c r="R40" s="278">
        <v>45115</v>
      </c>
      <c r="S40" s="279">
        <v>45078</v>
      </c>
      <c r="T40" s="294"/>
      <c r="U40" s="295"/>
      <c r="V40" s="296" t="s">
        <v>262</v>
      </c>
      <c r="W40" s="296" t="s">
        <v>263</v>
      </c>
      <c r="X40" s="297">
        <f>LEN(TEXT(E40,0))</f>
        <v>11</v>
      </c>
      <c r="Y40" s="208">
        <f ca="1">INT((TODAY()-F40)/365)</f>
        <v>53</v>
      </c>
      <c r="Z40" s="298"/>
      <c r="AA40" s="298"/>
      <c r="AB40" s="298"/>
      <c r="AC40" s="298"/>
      <c r="AD40" s="298"/>
      <c r="AE40" s="298"/>
      <c r="AF40" s="298"/>
      <c r="AG40" s="298"/>
      <c r="AH40" s="298"/>
      <c r="AI40" s="298"/>
      <c r="AJ40" s="298"/>
      <c r="AK40" s="298"/>
      <c r="AL40" s="298"/>
      <c r="AM40" s="298"/>
    </row>
    <row r="41" spans="1:39">
      <c r="A41" s="231">
        <v>40</v>
      </c>
      <c r="B41" s="287" t="s">
        <v>264</v>
      </c>
      <c r="C41" s="274" t="s">
        <v>76</v>
      </c>
      <c r="D41" s="18" t="s">
        <v>137</v>
      </c>
      <c r="E41" s="299" t="s">
        <v>265</v>
      </c>
      <c r="F41" s="289">
        <v>31152</v>
      </c>
      <c r="G41" s="289">
        <v>53082</v>
      </c>
      <c r="H41" s="274" t="s">
        <v>266</v>
      </c>
      <c r="I41" s="293">
        <v>9002071003</v>
      </c>
      <c r="J41" s="275">
        <v>9002071003</v>
      </c>
      <c r="K41" s="275" t="s">
        <v>261</v>
      </c>
      <c r="L41" s="274" t="s">
        <v>267</v>
      </c>
      <c r="O41" s="289">
        <v>45323</v>
      </c>
      <c r="P41" s="272">
        <v>45748</v>
      </c>
      <c r="Q41" s="300">
        <v>45591</v>
      </c>
      <c r="R41" s="294"/>
      <c r="S41" s="295"/>
      <c r="T41" s="296" t="s">
        <v>268</v>
      </c>
      <c r="U41" s="296" t="s">
        <v>269</v>
      </c>
      <c r="V41" s="297">
        <f t="shared" ref="V41:V42" si="1">LEN(TEXT(E41,0))</f>
        <v>11</v>
      </c>
      <c r="W41" s="208">
        <f t="shared" ref="W41:W42" ca="1" si="2">INT((TODAY()-F41)/365)</f>
        <v>40</v>
      </c>
      <c r="X41" s="298"/>
      <c r="Y41" s="298"/>
      <c r="Z41" s="298"/>
      <c r="AA41" s="298"/>
      <c r="AB41" s="298"/>
      <c r="AC41" s="298"/>
      <c r="AD41" s="298"/>
      <c r="AE41" s="298"/>
      <c r="AF41" s="298"/>
      <c r="AG41" s="298"/>
      <c r="AH41" s="298"/>
    </row>
    <row r="42" spans="1:39" ht="15.75" customHeight="1">
      <c r="A42" s="231">
        <v>41</v>
      </c>
      <c r="B42" s="287" t="s">
        <v>270</v>
      </c>
      <c r="C42" s="274" t="s">
        <v>76</v>
      </c>
      <c r="D42" s="18" t="s">
        <v>137</v>
      </c>
      <c r="E42" s="301">
        <v>50205602518</v>
      </c>
      <c r="F42" s="272">
        <v>31787</v>
      </c>
      <c r="G42" s="289">
        <v>53723</v>
      </c>
      <c r="H42" s="274" t="s">
        <v>266</v>
      </c>
      <c r="I42" s="293">
        <v>9002071154</v>
      </c>
      <c r="J42" s="275">
        <v>9002071154</v>
      </c>
      <c r="K42" s="275" t="s">
        <v>261</v>
      </c>
      <c r="L42" s="275" t="s">
        <v>103</v>
      </c>
      <c r="O42" s="272">
        <v>45838</v>
      </c>
      <c r="P42" s="272">
        <v>45748</v>
      </c>
      <c r="Q42" s="302">
        <v>45622</v>
      </c>
      <c r="R42" s="294"/>
      <c r="S42" s="295"/>
      <c r="T42" s="296" t="s">
        <v>271</v>
      </c>
      <c r="U42" s="296" t="s">
        <v>271</v>
      </c>
      <c r="V42" s="297">
        <f t="shared" si="1"/>
        <v>11</v>
      </c>
      <c r="W42" s="208">
        <f t="shared" ca="1" si="2"/>
        <v>39</v>
      </c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  <c r="AH42" s="298"/>
    </row>
    <row r="43" spans="1:39" ht="15.75" customHeight="1">
      <c r="A43" s="231">
        <v>42</v>
      </c>
      <c r="B43" s="287" t="s">
        <v>272</v>
      </c>
      <c r="C43" s="303" t="s">
        <v>76</v>
      </c>
      <c r="D43" s="304" t="s">
        <v>137</v>
      </c>
      <c r="E43" s="305" t="s">
        <v>273</v>
      </c>
      <c r="F43" s="272">
        <v>29415</v>
      </c>
      <c r="G43" s="272">
        <v>51348</v>
      </c>
      <c r="H43" s="274" t="s">
        <v>266</v>
      </c>
      <c r="I43" s="284">
        <v>9002071074</v>
      </c>
      <c r="J43" s="306">
        <v>9051789653</v>
      </c>
      <c r="K43" s="307" t="s">
        <v>253</v>
      </c>
      <c r="L43" s="275" t="s">
        <v>94</v>
      </c>
      <c r="O43" s="272">
        <v>45251</v>
      </c>
      <c r="P43" s="272">
        <v>45776</v>
      </c>
      <c r="Q43" s="272">
        <v>45766</v>
      </c>
      <c r="R43" s="308"/>
      <c r="S43" s="309"/>
      <c r="T43" s="310" t="s">
        <v>274</v>
      </c>
      <c r="U43" s="310" t="s">
        <v>275</v>
      </c>
      <c r="V43" s="311">
        <f>LEN(D43)</f>
        <v>3</v>
      </c>
      <c r="W43" s="311"/>
      <c r="X43" s="208">
        <f ca="1">INT((TODAY()-F43)/365)</f>
        <v>45</v>
      </c>
      <c r="Y43" s="311"/>
      <c r="Z43" s="311"/>
      <c r="AA43" s="312" t="s">
        <v>276</v>
      </c>
      <c r="AB43" s="311"/>
      <c r="AC43" s="311"/>
      <c r="AD43" s="311"/>
      <c r="AE43" s="311"/>
      <c r="AF43" s="311"/>
      <c r="AG43" s="311"/>
      <c r="AH43" s="311"/>
      <c r="AI43" s="311"/>
      <c r="AJ43" s="311"/>
      <c r="AK43" s="311"/>
      <c r="AL43" s="311"/>
      <c r="AM43" s="311"/>
    </row>
    <row r="44" spans="1:39" ht="15.75" customHeight="1">
      <c r="A44" s="231">
        <v>43</v>
      </c>
      <c r="B44" s="313" t="s">
        <v>277</v>
      </c>
      <c r="C44" s="303" t="s">
        <v>76</v>
      </c>
      <c r="D44" s="234" t="s">
        <v>278</v>
      </c>
      <c r="E44" s="314">
        <v>50205522596</v>
      </c>
      <c r="F44" s="315">
        <v>29589</v>
      </c>
      <c r="G44" s="315">
        <v>51532</v>
      </c>
      <c r="H44" s="303" t="s">
        <v>279</v>
      </c>
      <c r="K44" s="307" t="s">
        <v>253</v>
      </c>
      <c r="L44" s="275" t="s">
        <v>100</v>
      </c>
      <c r="O44" s="315">
        <v>46025</v>
      </c>
      <c r="P44" s="315"/>
      <c r="Q44" s="316">
        <v>45727</v>
      </c>
      <c r="R44" s="285"/>
      <c r="S44" s="317"/>
      <c r="T44" s="318" t="s">
        <v>280</v>
      </c>
      <c r="U44" s="318" t="s">
        <v>280</v>
      </c>
      <c r="V44" s="285"/>
      <c r="W44" s="3"/>
      <c r="X44" s="18" t="s">
        <v>281</v>
      </c>
      <c r="Y44" s="18">
        <v>1</v>
      </c>
      <c r="Z44" s="286" t="s">
        <v>85</v>
      </c>
      <c r="AA44" s="312" t="s">
        <v>276</v>
      </c>
      <c r="AB44" s="311">
        <f ca="1">INT((TODAY()-F44)/365)</f>
        <v>45</v>
      </c>
    </row>
    <row r="45" spans="1:39" ht="15.75" customHeight="1">
      <c r="A45" s="231">
        <v>44</v>
      </c>
      <c r="B45" s="270" t="s">
        <v>282</v>
      </c>
      <c r="C45" s="274" t="s">
        <v>76</v>
      </c>
      <c r="D45" s="18" t="s">
        <v>137</v>
      </c>
      <c r="E45" s="319">
        <v>50200114558</v>
      </c>
      <c r="F45" s="272">
        <v>31574</v>
      </c>
      <c r="G45" s="272">
        <v>53508</v>
      </c>
      <c r="H45" s="274" t="s">
        <v>266</v>
      </c>
      <c r="I45" s="275">
        <v>9002071091</v>
      </c>
      <c r="J45" s="284" t="s">
        <v>283</v>
      </c>
      <c r="K45" s="275" t="s">
        <v>261</v>
      </c>
      <c r="L45" s="275" t="s">
        <v>103</v>
      </c>
      <c r="O45" s="320">
        <v>45181</v>
      </c>
      <c r="P45" s="272">
        <v>45057</v>
      </c>
      <c r="Q45" s="272">
        <v>44946</v>
      </c>
      <c r="R45" s="280"/>
      <c r="S45" s="280"/>
      <c r="T45" s="321" t="s">
        <v>284</v>
      </c>
      <c r="U45" s="281" t="s">
        <v>285</v>
      </c>
      <c r="V45" s="280">
        <f>LEN(E45)</f>
        <v>11</v>
      </c>
      <c r="W45" s="208">
        <f ca="1">INT((TODAY()-F45)/365)</f>
        <v>39</v>
      </c>
      <c r="Y45" s="298"/>
      <c r="Z45" s="298"/>
      <c r="AA45" s="298"/>
      <c r="AB45" s="298"/>
      <c r="AC45" s="298"/>
      <c r="AD45" s="298"/>
      <c r="AE45" s="298"/>
      <c r="AF45" s="298"/>
      <c r="AG45" s="298"/>
      <c r="AH45" s="298"/>
      <c r="AI45" s="298"/>
      <c r="AJ45" s="298"/>
      <c r="AK45" s="298"/>
      <c r="AL45" s="298"/>
      <c r="AM45" s="298"/>
    </row>
    <row r="46" spans="1:39">
      <c r="A46" s="231">
        <v>45</v>
      </c>
      <c r="B46" s="322" t="s">
        <v>286</v>
      </c>
      <c r="C46" s="284" t="s">
        <v>76</v>
      </c>
      <c r="D46" s="323" t="s">
        <v>21</v>
      </c>
      <c r="E46" s="324">
        <v>50207661873</v>
      </c>
      <c r="F46" s="325">
        <v>27534</v>
      </c>
      <c r="G46" s="326">
        <v>49460</v>
      </c>
      <c r="H46" s="327"/>
      <c r="I46" s="79"/>
      <c r="J46" s="79"/>
      <c r="K46" s="328" t="s">
        <v>253</v>
      </c>
      <c r="L46" s="274" t="s">
        <v>115</v>
      </c>
      <c r="O46" s="329"/>
      <c r="P46" s="330"/>
      <c r="Q46" s="331"/>
      <c r="R46" s="332"/>
      <c r="S46" s="333" t="s">
        <v>287</v>
      </c>
      <c r="T46" s="332"/>
      <c r="U46" s="334"/>
      <c r="V46" s="335" t="s">
        <v>288</v>
      </c>
      <c r="W46" s="334"/>
      <c r="X46" s="334"/>
      <c r="Y46" s="334"/>
      <c r="Z46" s="334"/>
      <c r="AA46" s="334"/>
      <c r="AB46" s="334"/>
      <c r="AC46" s="334"/>
      <c r="AD46" s="334"/>
      <c r="AE46" s="334"/>
      <c r="AF46" s="334"/>
      <c r="AG46" s="334"/>
      <c r="AH46" s="334"/>
    </row>
    <row r="47" spans="1:39" ht="30" customHeight="1">
      <c r="A47" s="231">
        <v>46</v>
      </c>
      <c r="B47" s="276" t="s">
        <v>289</v>
      </c>
      <c r="C47" s="233" t="s">
        <v>76</v>
      </c>
      <c r="D47" s="303" t="s">
        <v>137</v>
      </c>
      <c r="E47" s="336">
        <v>50200508056</v>
      </c>
      <c r="F47" s="278">
        <v>27799</v>
      </c>
      <c r="G47" s="315">
        <v>49734</v>
      </c>
      <c r="H47" s="337" t="s">
        <v>76</v>
      </c>
      <c r="I47" s="303" t="s">
        <v>279</v>
      </c>
      <c r="J47" s="307">
        <v>9002079050</v>
      </c>
      <c r="K47" s="307">
        <v>9002079050</v>
      </c>
      <c r="L47" s="275" t="s">
        <v>290</v>
      </c>
      <c r="M47" s="307" t="s">
        <v>103</v>
      </c>
      <c r="P47" s="278"/>
      <c r="Q47" s="279">
        <v>45212</v>
      </c>
      <c r="R47" s="302">
        <v>45177</v>
      </c>
      <c r="S47" s="338"/>
      <c r="T47" s="285"/>
      <c r="U47" s="339" t="s">
        <v>291</v>
      </c>
      <c r="V47" s="318" t="s">
        <v>291</v>
      </c>
      <c r="W47" s="317" t="s">
        <v>292</v>
      </c>
      <c r="X47" s="90"/>
      <c r="Y47" s="90"/>
      <c r="Z47" s="90"/>
      <c r="AC47" s="311">
        <f ca="1">INT((TODAY()-F47)/365)</f>
        <v>50</v>
      </c>
    </row>
    <row r="48" spans="1:39" ht="15.75" customHeight="1">
      <c r="A48" s="231">
        <v>47</v>
      </c>
      <c r="B48" s="340" t="s">
        <v>293</v>
      </c>
      <c r="C48" s="233" t="s">
        <v>76</v>
      </c>
      <c r="D48" s="18" t="s">
        <v>137</v>
      </c>
      <c r="E48" s="341">
        <v>50205607206</v>
      </c>
      <c r="F48" s="342">
        <v>32125</v>
      </c>
      <c r="G48" s="342">
        <v>54057</v>
      </c>
      <c r="H48" s="337" t="s">
        <v>76</v>
      </c>
      <c r="I48" s="343">
        <v>9002071623</v>
      </c>
      <c r="J48" s="344">
        <v>8250940490</v>
      </c>
      <c r="K48" s="307" t="s">
        <v>253</v>
      </c>
      <c r="L48" s="345" t="s">
        <v>294</v>
      </c>
      <c r="O48" s="346">
        <v>45895</v>
      </c>
      <c r="P48" s="342">
        <v>45257</v>
      </c>
      <c r="Q48" s="342">
        <v>45242</v>
      </c>
      <c r="R48" s="347"/>
      <c r="S48" s="347"/>
      <c r="T48" s="348" t="s">
        <v>295</v>
      </c>
      <c r="U48" s="348" t="s">
        <v>296</v>
      </c>
      <c r="V48" s="349">
        <f t="shared" ref="V48:V49" si="3">LEN(E48)</f>
        <v>11</v>
      </c>
      <c r="W48" s="349"/>
      <c r="X48" s="350" t="s">
        <v>297</v>
      </c>
      <c r="Y48" s="349"/>
      <c r="Z48" s="350"/>
      <c r="AA48" s="349"/>
      <c r="AB48" s="311">
        <f ca="1">INT((TODAY()-F48)/365)</f>
        <v>38</v>
      </c>
      <c r="AC48" s="298"/>
      <c r="AD48" s="298"/>
      <c r="AE48" s="298"/>
      <c r="AF48" s="298"/>
      <c r="AG48" s="298"/>
      <c r="AH48" s="298"/>
      <c r="AI48" s="298"/>
      <c r="AJ48" s="298"/>
      <c r="AK48" s="298"/>
      <c r="AL48" s="298"/>
      <c r="AM48" s="298"/>
    </row>
    <row r="49" spans="1:39" ht="15.75" customHeight="1">
      <c r="A49" s="231">
        <v>48</v>
      </c>
      <c r="B49" s="351" t="s">
        <v>298</v>
      </c>
      <c r="C49" s="233" t="s">
        <v>76</v>
      </c>
      <c r="D49" s="18" t="s">
        <v>137</v>
      </c>
      <c r="E49" s="352">
        <v>50205607279</v>
      </c>
      <c r="F49" s="272">
        <v>30909</v>
      </c>
      <c r="G49" s="272">
        <v>52840</v>
      </c>
      <c r="H49" s="337" t="s">
        <v>76</v>
      </c>
      <c r="I49" s="275">
        <v>9002071139</v>
      </c>
      <c r="J49" s="284">
        <v>963531139</v>
      </c>
      <c r="K49" s="275" t="s">
        <v>261</v>
      </c>
      <c r="L49" s="274" t="s">
        <v>299</v>
      </c>
      <c r="O49" s="277">
        <v>45912</v>
      </c>
      <c r="P49" s="272">
        <v>45257</v>
      </c>
      <c r="Q49" s="272">
        <v>45242</v>
      </c>
      <c r="R49" s="280"/>
      <c r="S49" s="280"/>
      <c r="T49" s="281" t="s">
        <v>300</v>
      </c>
      <c r="U49" s="281" t="s">
        <v>301</v>
      </c>
      <c r="V49" s="79">
        <f t="shared" si="3"/>
        <v>11</v>
      </c>
      <c r="W49" s="208"/>
      <c r="X49" s="350" t="s">
        <v>297</v>
      </c>
      <c r="Y49" s="298"/>
      <c r="Z49" s="298"/>
      <c r="AA49" s="298"/>
      <c r="AB49" s="298"/>
      <c r="AC49" s="298"/>
      <c r="AD49" s="298"/>
      <c r="AE49" s="298"/>
      <c r="AF49" s="298"/>
      <c r="AG49" s="298"/>
      <c r="AH49" s="298"/>
      <c r="AI49" s="298"/>
      <c r="AJ49" s="298"/>
      <c r="AK49" s="298"/>
      <c r="AL49" s="298"/>
      <c r="AM49" s="298"/>
    </row>
    <row r="50" spans="1:39" ht="15.75" customHeight="1">
      <c r="A50" s="231">
        <v>49</v>
      </c>
      <c r="B50" s="351" t="s">
        <v>302</v>
      </c>
      <c r="C50" s="274" t="s">
        <v>76</v>
      </c>
      <c r="D50" s="18" t="s">
        <v>137</v>
      </c>
      <c r="E50" s="271">
        <v>50205607280</v>
      </c>
      <c r="F50" s="272">
        <v>32209</v>
      </c>
      <c r="G50" s="272">
        <v>54148</v>
      </c>
      <c r="H50" s="79"/>
      <c r="I50" s="274" t="s">
        <v>266</v>
      </c>
      <c r="J50" s="275">
        <v>8170034695</v>
      </c>
      <c r="K50" s="275"/>
      <c r="L50" s="275" t="s">
        <v>261</v>
      </c>
      <c r="M50" s="274" t="s">
        <v>256</v>
      </c>
      <c r="N50" s="272">
        <v>32209</v>
      </c>
      <c r="O50" s="272">
        <v>54148</v>
      </c>
      <c r="P50" s="320">
        <v>45912</v>
      </c>
      <c r="Q50" s="272">
        <v>45257</v>
      </c>
      <c r="R50" s="272">
        <v>45242</v>
      </c>
      <c r="S50" s="280"/>
      <c r="T50" s="280"/>
      <c r="U50" s="281" t="s">
        <v>303</v>
      </c>
      <c r="V50" s="281" t="s">
        <v>304</v>
      </c>
      <c r="W50" s="79">
        <f t="shared" ref="W50:W52" si="4">LEN(E50)</f>
        <v>11</v>
      </c>
      <c r="X50" s="208">
        <f t="shared" ref="X50:X52" ca="1" si="5">INT((TODAY()-N50)/365)</f>
        <v>38</v>
      </c>
      <c r="Z50" s="298"/>
      <c r="AA50" s="298"/>
      <c r="AB50" s="298"/>
      <c r="AC50" s="298"/>
      <c r="AD50" s="298"/>
      <c r="AE50" s="298"/>
      <c r="AF50" s="298"/>
      <c r="AG50" s="298"/>
      <c r="AH50" s="298"/>
      <c r="AI50" s="298"/>
      <c r="AJ50" s="298"/>
      <c r="AK50" s="298"/>
      <c r="AL50" s="298"/>
      <c r="AM50" s="298"/>
    </row>
    <row r="51" spans="1:39" ht="15.75" customHeight="1">
      <c r="A51" s="231">
        <v>50</v>
      </c>
      <c r="B51" s="351" t="s">
        <v>305</v>
      </c>
      <c r="C51" s="274" t="s">
        <v>76</v>
      </c>
      <c r="D51" s="18" t="s">
        <v>137</v>
      </c>
      <c r="E51" s="353">
        <v>50205607620</v>
      </c>
      <c r="F51" s="272">
        <v>29530</v>
      </c>
      <c r="G51" s="272">
        <v>51470</v>
      </c>
      <c r="H51" s="79"/>
      <c r="I51" s="274" t="s">
        <v>266</v>
      </c>
      <c r="J51" s="275">
        <v>9002071786</v>
      </c>
      <c r="K51" s="275"/>
      <c r="L51" s="275" t="s">
        <v>261</v>
      </c>
      <c r="M51" s="274" t="s">
        <v>306</v>
      </c>
      <c r="N51" s="272">
        <v>29530</v>
      </c>
      <c r="O51" s="272">
        <v>51470</v>
      </c>
      <c r="P51" s="320">
        <v>45917</v>
      </c>
      <c r="Q51" s="278">
        <v>45559</v>
      </c>
      <c r="R51" s="279">
        <v>45527</v>
      </c>
      <c r="S51" s="280"/>
      <c r="T51" s="280"/>
      <c r="U51" s="281" t="s">
        <v>307</v>
      </c>
      <c r="V51" s="281" t="s">
        <v>308</v>
      </c>
      <c r="W51" s="280">
        <f t="shared" si="4"/>
        <v>11</v>
      </c>
      <c r="X51" s="208">
        <f t="shared" ca="1" si="5"/>
        <v>45</v>
      </c>
      <c r="Z51" s="298"/>
      <c r="AA51" s="298"/>
      <c r="AB51" s="298"/>
      <c r="AC51" s="298"/>
      <c r="AD51" s="298"/>
      <c r="AE51" s="298"/>
      <c r="AF51" s="298"/>
      <c r="AG51" s="298"/>
      <c r="AH51" s="298"/>
      <c r="AI51" s="298"/>
      <c r="AJ51" s="298"/>
      <c r="AK51" s="298"/>
      <c r="AL51" s="298"/>
      <c r="AM51" s="298"/>
    </row>
    <row r="52" spans="1:39" ht="15.75" customHeight="1">
      <c r="A52" s="231">
        <v>51</v>
      </c>
      <c r="B52" s="351" t="s">
        <v>309</v>
      </c>
      <c r="C52" s="274" t="s">
        <v>76</v>
      </c>
      <c r="D52" s="18" t="s">
        <v>137</v>
      </c>
      <c r="E52" s="353">
        <v>50205607450</v>
      </c>
      <c r="F52" s="272">
        <v>32136</v>
      </c>
      <c r="G52" s="272">
        <v>54057</v>
      </c>
      <c r="H52" s="79"/>
      <c r="I52" s="274" t="s">
        <v>266</v>
      </c>
      <c r="J52" s="275">
        <v>9002071251</v>
      </c>
      <c r="K52" s="284">
        <v>8444946369</v>
      </c>
      <c r="L52" s="307" t="s">
        <v>253</v>
      </c>
      <c r="M52" s="274" t="s">
        <v>113</v>
      </c>
      <c r="N52" s="272">
        <v>32136</v>
      </c>
      <c r="O52" s="272">
        <v>54057</v>
      </c>
      <c r="P52" s="277">
        <v>45908</v>
      </c>
      <c r="Q52" s="272">
        <v>45156</v>
      </c>
      <c r="R52" s="279">
        <v>45691</v>
      </c>
      <c r="S52" s="280"/>
      <c r="T52" s="280"/>
      <c r="U52" s="281" t="s">
        <v>310</v>
      </c>
      <c r="V52" s="281" t="s">
        <v>311</v>
      </c>
      <c r="W52" s="280">
        <f t="shared" si="4"/>
        <v>11</v>
      </c>
      <c r="X52" s="208">
        <f t="shared" ca="1" si="5"/>
        <v>38</v>
      </c>
      <c r="AD52" s="311"/>
      <c r="AE52" s="311"/>
      <c r="AF52" s="311"/>
      <c r="AG52" s="311"/>
      <c r="AH52" s="311"/>
      <c r="AI52" s="311"/>
      <c r="AJ52" s="311"/>
      <c r="AK52" s="311"/>
      <c r="AL52" s="311"/>
      <c r="AM52" s="311"/>
    </row>
    <row r="53" spans="1:39" ht="15.75" customHeight="1">
      <c r="A53" s="231">
        <v>52</v>
      </c>
      <c r="B53" s="354" t="s">
        <v>312</v>
      </c>
      <c r="C53" s="137" t="s">
        <v>77</v>
      </c>
      <c r="D53" s="18" t="s">
        <v>137</v>
      </c>
      <c r="E53" s="355">
        <v>50205423533</v>
      </c>
      <c r="F53" s="356">
        <v>26696</v>
      </c>
      <c r="G53" s="357">
        <v>48610</v>
      </c>
      <c r="H53" s="358"/>
      <c r="I53" s="359" t="s">
        <v>279</v>
      </c>
      <c r="J53" s="358"/>
      <c r="K53" s="360"/>
      <c r="L53" s="361" t="s">
        <v>253</v>
      </c>
      <c r="M53" s="362" t="s">
        <v>112</v>
      </c>
      <c r="N53" s="356">
        <v>26696</v>
      </c>
      <c r="O53" s="357">
        <v>48610</v>
      </c>
      <c r="P53" s="363"/>
      <c r="Q53" s="363"/>
      <c r="R53" s="358"/>
      <c r="S53" s="362" t="s">
        <v>313</v>
      </c>
      <c r="T53" s="358"/>
      <c r="U53" s="358"/>
      <c r="V53" s="363"/>
      <c r="W53" s="364"/>
      <c r="X53" s="358"/>
      <c r="Y53" s="358"/>
      <c r="Z53" s="358"/>
      <c r="AA53" s="358"/>
      <c r="AB53" s="358"/>
      <c r="AC53" s="358"/>
      <c r="AD53" s="199"/>
      <c r="AE53" s="199"/>
      <c r="AF53" s="199"/>
      <c r="AG53" s="199"/>
      <c r="AH53" s="199"/>
      <c r="AI53" s="199"/>
      <c r="AJ53" s="199"/>
      <c r="AK53" s="199"/>
      <c r="AL53" s="311"/>
      <c r="AM53" s="311"/>
    </row>
    <row r="54" spans="1:39">
      <c r="A54" s="231">
        <v>53</v>
      </c>
      <c r="B54" s="365" t="s">
        <v>314</v>
      </c>
      <c r="C54" s="366" t="s">
        <v>76</v>
      </c>
      <c r="D54" s="18" t="s">
        <v>137</v>
      </c>
      <c r="E54" s="367">
        <v>50205617972</v>
      </c>
      <c r="F54" s="368">
        <v>32941</v>
      </c>
      <c r="G54" s="368">
        <v>54878</v>
      </c>
      <c r="H54" s="79"/>
      <c r="I54" s="274" t="s">
        <v>266</v>
      </c>
      <c r="J54" s="369">
        <v>8617712202</v>
      </c>
      <c r="K54" s="366"/>
      <c r="L54" s="275" t="s">
        <v>315</v>
      </c>
      <c r="M54" s="370" t="s">
        <v>56</v>
      </c>
      <c r="N54" s="368">
        <v>32941</v>
      </c>
      <c r="O54" s="368">
        <v>54878</v>
      </c>
      <c r="P54" s="371">
        <v>46180</v>
      </c>
      <c r="Q54" s="368">
        <v>45156</v>
      </c>
      <c r="R54" s="316">
        <v>45524</v>
      </c>
      <c r="S54" s="372" t="s">
        <v>316</v>
      </c>
      <c r="T54" s="373" t="s">
        <v>317</v>
      </c>
      <c r="U54" s="374" t="s">
        <v>318</v>
      </c>
      <c r="V54" s="334"/>
      <c r="W54" s="375">
        <f t="shared" ref="W54:W57" si="6">LEN(E54)</f>
        <v>11</v>
      </c>
      <c r="X54" s="199"/>
      <c r="Y54" s="334"/>
      <c r="Z54" s="297"/>
      <c r="AA54" s="297"/>
      <c r="AB54" s="297"/>
      <c r="AC54" s="297"/>
      <c r="AD54" s="297"/>
      <c r="AE54" s="297"/>
      <c r="AF54" s="297"/>
      <c r="AG54" s="297"/>
      <c r="AH54" s="297"/>
      <c r="AI54" s="297"/>
      <c r="AJ54" s="298"/>
      <c r="AK54" s="298"/>
      <c r="AL54" s="298"/>
      <c r="AM54" s="298"/>
    </row>
    <row r="55" spans="1:39" ht="15.75" customHeight="1">
      <c r="A55" s="231">
        <v>54</v>
      </c>
      <c r="B55" s="293" t="s">
        <v>319</v>
      </c>
      <c r="C55" s="274" t="s">
        <v>77</v>
      </c>
      <c r="D55" s="274" t="s">
        <v>20</v>
      </c>
      <c r="E55" s="376">
        <v>50205617558</v>
      </c>
      <c r="F55" s="272">
        <v>29965</v>
      </c>
      <c r="G55" s="272">
        <v>51897</v>
      </c>
      <c r="H55" s="79"/>
      <c r="I55" s="274" t="s">
        <v>266</v>
      </c>
      <c r="J55" s="275">
        <v>8945532421</v>
      </c>
      <c r="K55" s="275">
        <v>8945532421</v>
      </c>
      <c r="L55" s="275" t="s">
        <v>290</v>
      </c>
      <c r="M55" s="303" t="s">
        <v>52</v>
      </c>
      <c r="N55" s="272">
        <v>29965</v>
      </c>
      <c r="O55" s="272">
        <v>51897</v>
      </c>
      <c r="P55" s="272">
        <v>46174</v>
      </c>
      <c r="Q55" s="279">
        <v>45552</v>
      </c>
      <c r="R55" s="272">
        <v>45563</v>
      </c>
      <c r="S55" s="377" t="s">
        <v>320</v>
      </c>
      <c r="T55" s="309"/>
      <c r="U55" s="310" t="s">
        <v>321</v>
      </c>
      <c r="V55" s="309"/>
      <c r="W55" s="311">
        <f t="shared" si="6"/>
        <v>11</v>
      </c>
      <c r="X55" s="311"/>
      <c r="Y55" s="208">
        <f ca="1">INT((TODAY()-N55)/365)</f>
        <v>44</v>
      </c>
      <c r="Z55" s="311"/>
      <c r="AA55" s="311"/>
      <c r="AB55" s="311"/>
      <c r="AC55" s="311"/>
      <c r="AD55" s="311"/>
      <c r="AE55" s="311"/>
      <c r="AF55" s="311"/>
      <c r="AG55" s="311"/>
      <c r="AH55" s="311"/>
      <c r="AI55" s="311"/>
      <c r="AJ55" s="311"/>
      <c r="AK55" s="311"/>
      <c r="AL55" s="311"/>
      <c r="AM55" s="311"/>
    </row>
    <row r="56" spans="1:39" ht="18" customHeight="1">
      <c r="A56" s="231">
        <v>55</v>
      </c>
      <c r="B56" s="378" t="s">
        <v>322</v>
      </c>
      <c r="C56" s="366" t="s">
        <v>77</v>
      </c>
      <c r="D56" s="18" t="s">
        <v>137</v>
      </c>
      <c r="E56" s="367">
        <v>50205617947</v>
      </c>
      <c r="F56" s="368">
        <v>32150</v>
      </c>
      <c r="G56" s="368">
        <v>54088</v>
      </c>
      <c r="H56" s="79"/>
      <c r="I56" s="274" t="s">
        <v>266</v>
      </c>
      <c r="J56" s="369">
        <v>9304867678</v>
      </c>
      <c r="K56" s="379">
        <v>9304867678</v>
      </c>
      <c r="L56" s="275" t="s">
        <v>315</v>
      </c>
      <c r="M56" s="274" t="s">
        <v>44</v>
      </c>
      <c r="N56" s="368">
        <v>32150</v>
      </c>
      <c r="O56" s="368">
        <v>54088</v>
      </c>
      <c r="P56" s="371">
        <v>46190</v>
      </c>
      <c r="Q56" s="368">
        <v>45156</v>
      </c>
      <c r="R56" s="380">
        <v>45106</v>
      </c>
      <c r="S56" s="372" t="s">
        <v>323</v>
      </c>
      <c r="T56" s="373" t="s">
        <v>324</v>
      </c>
      <c r="U56" s="374" t="s">
        <v>325</v>
      </c>
      <c r="V56" s="334"/>
      <c r="W56" s="375">
        <f t="shared" si="6"/>
        <v>11</v>
      </c>
      <c r="X56" s="199"/>
      <c r="Y56" s="199"/>
      <c r="Z56" s="199"/>
      <c r="AA56" s="199"/>
      <c r="AB56" s="199"/>
      <c r="AC56" s="311">
        <f t="shared" ref="AC56:AC57" ca="1" si="7">INT((TODAY()-N56)/365)</f>
        <v>38</v>
      </c>
    </row>
    <row r="57" spans="1:39">
      <c r="A57" s="231">
        <v>56</v>
      </c>
      <c r="B57" s="365" t="s">
        <v>326</v>
      </c>
      <c r="C57" s="366" t="s">
        <v>76</v>
      </c>
      <c r="D57" s="18" t="s">
        <v>137</v>
      </c>
      <c r="E57" s="367">
        <v>50205617960</v>
      </c>
      <c r="F57" s="368">
        <v>31670</v>
      </c>
      <c r="G57" s="368">
        <v>53600</v>
      </c>
      <c r="H57" s="79"/>
      <c r="I57" s="274" t="s">
        <v>266</v>
      </c>
      <c r="J57" s="369">
        <v>7602469422</v>
      </c>
      <c r="K57" s="381">
        <v>8371807920</v>
      </c>
      <c r="L57" s="275" t="s">
        <v>315</v>
      </c>
      <c r="M57" s="274" t="s">
        <v>256</v>
      </c>
      <c r="N57" s="368">
        <v>31670</v>
      </c>
      <c r="O57" s="368">
        <v>53600</v>
      </c>
      <c r="P57" s="371">
        <v>46175</v>
      </c>
      <c r="Q57" s="368">
        <v>45156</v>
      </c>
      <c r="R57" s="380">
        <v>45106</v>
      </c>
      <c r="S57" s="372" t="s">
        <v>327</v>
      </c>
      <c r="T57" s="334"/>
      <c r="U57" s="374" t="s">
        <v>328</v>
      </c>
      <c r="V57" s="334"/>
      <c r="W57" s="375">
        <f t="shared" si="6"/>
        <v>11</v>
      </c>
      <c r="X57" s="199"/>
      <c r="Y57" s="334"/>
      <c r="Z57" s="334"/>
      <c r="AA57" s="334"/>
      <c r="AB57" s="334"/>
      <c r="AC57" s="382">
        <f t="shared" ca="1" si="7"/>
        <v>39</v>
      </c>
      <c r="AD57" s="383"/>
      <c r="AE57" s="383"/>
      <c r="AF57" s="383"/>
      <c r="AG57" s="383"/>
      <c r="AH57" s="383"/>
      <c r="AI57" s="383"/>
      <c r="AJ57" s="384"/>
      <c r="AK57" s="384"/>
      <c r="AL57" s="384"/>
      <c r="AM57" s="384"/>
    </row>
    <row r="58" spans="1:39" ht="15.75" customHeight="1">
      <c r="A58" s="231">
        <v>57</v>
      </c>
      <c r="B58" s="293" t="s">
        <v>329</v>
      </c>
      <c r="C58" s="385" t="s">
        <v>76</v>
      </c>
      <c r="D58" s="275" t="s">
        <v>21</v>
      </c>
      <c r="E58" s="386">
        <v>50204717004</v>
      </c>
      <c r="F58" s="272">
        <v>27351</v>
      </c>
      <c r="G58" s="272">
        <v>49278</v>
      </c>
      <c r="H58" s="79"/>
      <c r="I58" s="275"/>
      <c r="J58" s="275">
        <v>8420320010</v>
      </c>
      <c r="K58" s="306">
        <v>7980610340</v>
      </c>
      <c r="L58" s="275" t="s">
        <v>330</v>
      </c>
      <c r="M58" s="274" t="s">
        <v>331</v>
      </c>
      <c r="N58" s="272">
        <v>27351</v>
      </c>
      <c r="O58" s="272">
        <v>49278</v>
      </c>
      <c r="P58" s="272">
        <v>45536</v>
      </c>
      <c r="Q58" s="315">
        <v>46106</v>
      </c>
      <c r="R58" s="387">
        <v>45160</v>
      </c>
      <c r="S58" s="309"/>
      <c r="T58" s="310" t="s">
        <v>332</v>
      </c>
      <c r="U58" s="309"/>
      <c r="V58" s="309"/>
      <c r="W58" s="388">
        <f ca="1">INT((TODAY()-N58)/365)</f>
        <v>51</v>
      </c>
      <c r="X58" s="311"/>
      <c r="Y58" s="311"/>
      <c r="Z58" s="311"/>
      <c r="AA58" s="311"/>
      <c r="AB58" s="311"/>
      <c r="AC58" s="311"/>
      <c r="AD58" s="311"/>
      <c r="AE58" s="311"/>
      <c r="AF58" s="311"/>
      <c r="AG58" s="311"/>
      <c r="AH58" s="311"/>
      <c r="AI58" s="311"/>
      <c r="AJ58" s="311"/>
      <c r="AK58" s="311"/>
      <c r="AL58" s="311"/>
      <c r="AM58" s="311"/>
    </row>
    <row r="59" spans="1:39" ht="15.75" customHeight="1">
      <c r="A59" s="231">
        <v>58</v>
      </c>
      <c r="B59" s="351" t="s">
        <v>333</v>
      </c>
      <c r="C59" s="284" t="s">
        <v>77</v>
      </c>
      <c r="D59" s="323" t="s">
        <v>21</v>
      </c>
      <c r="E59" s="389">
        <v>50205522638</v>
      </c>
      <c r="F59" s="390">
        <v>28132</v>
      </c>
      <c r="G59" s="390">
        <v>50071</v>
      </c>
      <c r="H59" s="79"/>
      <c r="I59" s="391"/>
      <c r="J59" s="351">
        <v>9002079755</v>
      </c>
      <c r="K59" s="391"/>
      <c r="L59" s="351" t="s">
        <v>334</v>
      </c>
      <c r="M59" s="275" t="s">
        <v>306</v>
      </c>
      <c r="N59" s="390">
        <v>28132</v>
      </c>
      <c r="O59" s="390">
        <v>50071</v>
      </c>
      <c r="P59" s="392">
        <v>45302</v>
      </c>
      <c r="Q59" s="272">
        <v>45541</v>
      </c>
      <c r="R59" s="272">
        <v>45271</v>
      </c>
      <c r="S59" s="393"/>
      <c r="T59" s="394" t="s">
        <v>335</v>
      </c>
      <c r="U59" s="393"/>
      <c r="V59" s="393"/>
      <c r="W59" s="383">
        <f>LEN(TEXT(E59,0))</f>
        <v>11</v>
      </c>
      <c r="X59" s="395"/>
      <c r="Y59" s="79"/>
      <c r="Z59" s="395"/>
      <c r="AA59" s="79"/>
      <c r="AB59" s="383"/>
      <c r="AC59" s="208">
        <f ca="1">INT((TODAY()-N59)/365)</f>
        <v>49</v>
      </c>
      <c r="AD59" s="311"/>
      <c r="AE59" s="311"/>
      <c r="AF59" s="311"/>
      <c r="AG59" s="311"/>
      <c r="AH59" s="311"/>
      <c r="AI59" s="311"/>
      <c r="AJ59" s="311"/>
      <c r="AK59" s="311"/>
      <c r="AL59" s="311"/>
      <c r="AM59" s="311"/>
    </row>
    <row r="60" spans="1:39" ht="15.75" customHeight="1">
      <c r="A60" s="231">
        <v>59</v>
      </c>
      <c r="B60" s="351" t="s">
        <v>336</v>
      </c>
      <c r="C60" s="284" t="s">
        <v>77</v>
      </c>
      <c r="D60" s="323" t="s">
        <v>21</v>
      </c>
      <c r="E60" s="396">
        <v>50200051809</v>
      </c>
      <c r="F60" s="390">
        <v>28918</v>
      </c>
      <c r="G60" s="390">
        <v>50860</v>
      </c>
      <c r="H60" s="79"/>
      <c r="I60" s="391"/>
      <c r="J60" s="351">
        <v>9002071017</v>
      </c>
      <c r="K60" s="391">
        <v>9002071017</v>
      </c>
      <c r="L60" s="351" t="s">
        <v>334</v>
      </c>
      <c r="M60" s="390">
        <v>28918</v>
      </c>
      <c r="N60" s="390">
        <v>50860</v>
      </c>
      <c r="O60" s="392">
        <v>45458</v>
      </c>
      <c r="P60" s="279">
        <v>45204</v>
      </c>
      <c r="Q60" s="302">
        <v>45188</v>
      </c>
      <c r="R60" s="393"/>
      <c r="S60" s="394" t="s">
        <v>337</v>
      </c>
      <c r="T60" s="393"/>
      <c r="U60" s="393"/>
      <c r="V60" s="383">
        <f t="shared" ref="V60:V61" si="8">LEN(TEXT(E60,0))</f>
        <v>11</v>
      </c>
      <c r="W60" s="395"/>
      <c r="X60" s="79"/>
      <c r="Y60" s="395"/>
      <c r="Z60" s="79"/>
      <c r="AA60" s="383"/>
      <c r="AB60" s="208">
        <f ca="1">INT((TODAY()-F60)/365)</f>
        <v>47</v>
      </c>
      <c r="AC60" s="384"/>
      <c r="AD60" s="384"/>
      <c r="AE60" s="384"/>
      <c r="AF60" s="384"/>
      <c r="AG60" s="384"/>
      <c r="AH60" s="384"/>
      <c r="AI60" s="384"/>
      <c r="AJ60" s="384"/>
      <c r="AK60" s="384"/>
    </row>
    <row r="61" spans="1:39" ht="15.75" customHeight="1">
      <c r="A61" s="231">
        <v>60</v>
      </c>
      <c r="B61" s="351" t="s">
        <v>338</v>
      </c>
      <c r="C61" s="303" t="s">
        <v>76</v>
      </c>
      <c r="D61" s="323" t="s">
        <v>21</v>
      </c>
      <c r="E61" s="306">
        <v>50205613395</v>
      </c>
      <c r="F61" s="390">
        <v>33568</v>
      </c>
      <c r="G61" s="390">
        <v>55487</v>
      </c>
      <c r="H61" s="391"/>
      <c r="I61" s="79"/>
      <c r="J61" s="351">
        <v>7003732945</v>
      </c>
      <c r="K61" s="284">
        <v>9123895162</v>
      </c>
      <c r="L61" s="351" t="s">
        <v>334</v>
      </c>
      <c r="M61" s="274" t="s">
        <v>124</v>
      </c>
      <c r="N61" s="390"/>
      <c r="O61" s="392">
        <v>46076</v>
      </c>
      <c r="P61" s="272">
        <v>45504</v>
      </c>
      <c r="Q61" s="272">
        <v>45552</v>
      </c>
      <c r="R61" s="393"/>
      <c r="S61" s="394" t="s">
        <v>339</v>
      </c>
      <c r="T61" s="394" t="s">
        <v>340</v>
      </c>
      <c r="U61" s="393"/>
      <c r="V61" s="383">
        <f t="shared" si="8"/>
        <v>11</v>
      </c>
      <c r="W61" s="395"/>
      <c r="X61" s="79"/>
      <c r="Y61" s="395"/>
      <c r="Z61" s="79"/>
      <c r="AA61" s="383"/>
      <c r="AB61" s="208" t="e">
        <f ca="1">INT((TODAY()-#REF!)/365)</f>
        <v>#REF!</v>
      </c>
    </row>
    <row r="62" spans="1:39" ht="15.75">
      <c r="A62" s="231">
        <v>61</v>
      </c>
      <c r="B62" s="397" t="s">
        <v>341</v>
      </c>
      <c r="C62" s="284" t="s">
        <v>76</v>
      </c>
      <c r="D62" s="234" t="s">
        <v>137</v>
      </c>
      <c r="E62" s="306">
        <v>50205618228</v>
      </c>
      <c r="F62" s="289">
        <v>32548</v>
      </c>
      <c r="G62" s="289">
        <v>54663</v>
      </c>
      <c r="H62" s="79"/>
      <c r="I62" s="274" t="s">
        <v>266</v>
      </c>
      <c r="J62" s="391">
        <v>8697069579</v>
      </c>
      <c r="K62" s="391"/>
      <c r="L62" s="275" t="s">
        <v>315</v>
      </c>
      <c r="M62" s="398" t="s">
        <v>342</v>
      </c>
      <c r="P62" s="315">
        <v>45321</v>
      </c>
      <c r="Q62" s="302">
        <v>45276</v>
      </c>
      <c r="R62" s="302">
        <v>45248</v>
      </c>
      <c r="S62" s="394" t="s">
        <v>343</v>
      </c>
      <c r="T62" s="394" t="s">
        <v>344</v>
      </c>
      <c r="U62" s="394" t="s">
        <v>345</v>
      </c>
      <c r="V62" s="280"/>
      <c r="W62" s="383">
        <f t="shared" ref="W62:W64" si="9">LEN(TEXT(E62,0))</f>
        <v>11</v>
      </c>
      <c r="Y62" s="199"/>
      <c r="Z62" s="199"/>
      <c r="AA62" s="199"/>
      <c r="AB62" s="208">
        <f ca="1">INT((TODAY()-F62)/365)</f>
        <v>37</v>
      </c>
    </row>
    <row r="63" spans="1:39">
      <c r="A63" s="231">
        <v>62</v>
      </c>
      <c r="B63" s="399" t="s">
        <v>346</v>
      </c>
      <c r="C63" s="284" t="s">
        <v>77</v>
      </c>
      <c r="D63" s="234" t="s">
        <v>137</v>
      </c>
      <c r="E63" s="306">
        <v>50205618344</v>
      </c>
      <c r="F63" s="289">
        <v>32334</v>
      </c>
      <c r="G63" s="289">
        <v>54270</v>
      </c>
      <c r="H63" s="79"/>
      <c r="I63" s="303" t="s">
        <v>266</v>
      </c>
      <c r="J63" s="391">
        <v>9007155245</v>
      </c>
      <c r="K63" s="391"/>
      <c r="L63" s="275" t="s">
        <v>315</v>
      </c>
      <c r="M63" s="274" t="s">
        <v>93</v>
      </c>
      <c r="P63" s="400">
        <v>46245</v>
      </c>
      <c r="Q63" s="315">
        <v>45321</v>
      </c>
      <c r="R63" s="302">
        <v>45276</v>
      </c>
      <c r="S63" s="394" t="s">
        <v>347</v>
      </c>
      <c r="T63" s="394" t="s">
        <v>348</v>
      </c>
      <c r="U63" s="394" t="s">
        <v>349</v>
      </c>
      <c r="V63" s="393"/>
      <c r="W63" s="383">
        <f t="shared" si="9"/>
        <v>11</v>
      </c>
      <c r="Y63" s="311"/>
      <c r="Z63" s="311"/>
      <c r="AA63" s="311"/>
      <c r="AB63" s="311"/>
      <c r="AC63" s="311"/>
      <c r="AD63" s="311"/>
      <c r="AE63" s="311"/>
      <c r="AF63" s="311"/>
      <c r="AG63" s="311"/>
      <c r="AH63" s="311"/>
      <c r="AI63" s="311"/>
      <c r="AJ63" s="311"/>
      <c r="AK63" s="311"/>
      <c r="AL63" s="311"/>
      <c r="AM63" s="311"/>
    </row>
    <row r="64" spans="1:39">
      <c r="A64" s="231">
        <v>63</v>
      </c>
      <c r="B64" s="401" t="s">
        <v>350</v>
      </c>
      <c r="C64" s="284" t="s">
        <v>77</v>
      </c>
      <c r="D64" s="234" t="s">
        <v>137</v>
      </c>
      <c r="E64" s="306">
        <v>50205618016</v>
      </c>
      <c r="F64" s="289">
        <v>30321</v>
      </c>
      <c r="G64" s="289">
        <v>52262</v>
      </c>
      <c r="H64" s="79"/>
      <c r="I64" s="274" t="s">
        <v>266</v>
      </c>
      <c r="J64" s="402">
        <v>9002071252</v>
      </c>
      <c r="K64" s="391"/>
      <c r="L64" s="275" t="s">
        <v>315</v>
      </c>
      <c r="M64" s="274" t="s">
        <v>351</v>
      </c>
      <c r="P64" s="400">
        <v>46190</v>
      </c>
      <c r="Q64" s="272">
        <v>45156</v>
      </c>
      <c r="R64" s="272">
        <v>45106</v>
      </c>
      <c r="S64" s="394" t="s">
        <v>352</v>
      </c>
      <c r="T64" s="394" t="s">
        <v>353</v>
      </c>
      <c r="U64" s="394" t="s">
        <v>354</v>
      </c>
      <c r="V64" s="403" t="s">
        <v>355</v>
      </c>
      <c r="W64" s="383">
        <f t="shared" si="9"/>
        <v>11</v>
      </c>
      <c r="Y64" s="90"/>
      <c r="AB64" s="311">
        <f t="shared" ref="AB64:AB68" ca="1" si="10">INT((TODAY()-F64)/365)</f>
        <v>43</v>
      </c>
    </row>
    <row r="65" spans="1:39" ht="15.75" customHeight="1">
      <c r="A65" s="231">
        <v>64</v>
      </c>
      <c r="B65" s="404" t="s">
        <v>356</v>
      </c>
      <c r="C65" s="379" t="s">
        <v>77</v>
      </c>
      <c r="D65" s="405" t="s">
        <v>21</v>
      </c>
      <c r="E65" s="406">
        <v>50714500069</v>
      </c>
      <c r="F65" s="368">
        <v>26729</v>
      </c>
      <c r="G65" s="368">
        <v>48669</v>
      </c>
      <c r="H65" s="79"/>
      <c r="I65" s="307"/>
      <c r="J65" s="407">
        <v>919230881686</v>
      </c>
      <c r="K65" s="408">
        <v>7547953586</v>
      </c>
      <c r="L65" s="275" t="s">
        <v>315</v>
      </c>
      <c r="M65" s="409" t="s">
        <v>108</v>
      </c>
      <c r="P65" s="410">
        <v>45746</v>
      </c>
      <c r="Q65" s="368">
        <v>45156</v>
      </c>
      <c r="R65" s="387">
        <v>45248</v>
      </c>
      <c r="S65" s="411" t="s">
        <v>357</v>
      </c>
      <c r="T65" s="412" t="s">
        <v>358</v>
      </c>
      <c r="U65" s="413" t="s">
        <v>359</v>
      </c>
      <c r="V65" s="334"/>
      <c r="W65" s="285"/>
      <c r="X65" s="199"/>
      <c r="Y65" s="90"/>
      <c r="AA65" s="199"/>
      <c r="AB65" s="311">
        <f t="shared" ca="1" si="10"/>
        <v>53</v>
      </c>
    </row>
    <row r="66" spans="1:39" ht="15.75" customHeight="1">
      <c r="A66" s="231">
        <v>65</v>
      </c>
      <c r="B66" s="351" t="s">
        <v>360</v>
      </c>
      <c r="C66" s="284" t="s">
        <v>77</v>
      </c>
      <c r="D66" s="405" t="s">
        <v>21</v>
      </c>
      <c r="E66" s="414">
        <v>50714500334</v>
      </c>
      <c r="F66" s="272">
        <v>32763</v>
      </c>
      <c r="G66" s="272">
        <v>54696</v>
      </c>
      <c r="H66" s="275"/>
      <c r="I66" s="274">
        <v>9523362795</v>
      </c>
      <c r="J66" s="415">
        <v>8210117695</v>
      </c>
      <c r="K66" s="351" t="s">
        <v>334</v>
      </c>
      <c r="L66" s="274" t="s">
        <v>108</v>
      </c>
      <c r="O66" s="320">
        <v>45383</v>
      </c>
      <c r="P66" s="315">
        <v>45222</v>
      </c>
      <c r="Q66" s="302">
        <v>45248</v>
      </c>
      <c r="R66" s="281" t="s">
        <v>361</v>
      </c>
      <c r="S66" s="281" t="s">
        <v>362</v>
      </c>
      <c r="T66" s="280"/>
      <c r="U66" s="280"/>
      <c r="V66" s="285"/>
      <c r="W66" s="79"/>
      <c r="X66" s="79"/>
      <c r="Y66" s="79"/>
      <c r="Z66" s="79"/>
      <c r="AA66" s="79"/>
      <c r="AB66" s="311">
        <f t="shared" ca="1" si="10"/>
        <v>36</v>
      </c>
      <c r="AC66" s="311"/>
      <c r="AD66" s="311"/>
      <c r="AE66" s="311"/>
      <c r="AF66" s="311"/>
      <c r="AG66" s="311"/>
      <c r="AH66" s="311"/>
      <c r="AI66" s="311"/>
      <c r="AJ66" s="311"/>
      <c r="AK66" s="311"/>
      <c r="AL66" s="311"/>
      <c r="AM66" s="311"/>
    </row>
    <row r="67" spans="1:39" ht="15.75" customHeight="1">
      <c r="A67" s="231">
        <v>66</v>
      </c>
      <c r="B67" s="351" t="s">
        <v>363</v>
      </c>
      <c r="C67" s="274" t="s">
        <v>77</v>
      </c>
      <c r="D67" s="307" t="s">
        <v>21</v>
      </c>
      <c r="E67" s="416">
        <v>53105040560</v>
      </c>
      <c r="F67" s="272">
        <v>27395</v>
      </c>
      <c r="G67" s="272">
        <v>49309</v>
      </c>
      <c r="H67" s="275"/>
      <c r="I67" s="275">
        <v>7008809634</v>
      </c>
      <c r="J67" s="275"/>
      <c r="K67" s="274" t="s">
        <v>253</v>
      </c>
      <c r="L67" s="274" t="s">
        <v>306</v>
      </c>
      <c r="O67" s="320">
        <v>45277</v>
      </c>
      <c r="P67" s="315">
        <v>45187</v>
      </c>
      <c r="Q67" s="279">
        <v>46150</v>
      </c>
      <c r="R67" s="281" t="s">
        <v>364</v>
      </c>
      <c r="S67" s="281" t="s">
        <v>365</v>
      </c>
      <c r="T67" s="281" t="s">
        <v>366</v>
      </c>
      <c r="U67" s="280"/>
      <c r="V67" s="285"/>
      <c r="AB67" s="311">
        <f t="shared" ca="1" si="10"/>
        <v>51</v>
      </c>
    </row>
    <row r="68" spans="1:39" ht="15.75" customHeight="1">
      <c r="A68" s="231">
        <v>67</v>
      </c>
      <c r="B68" s="301" t="s">
        <v>367</v>
      </c>
      <c r="C68" s="274" t="s">
        <v>76</v>
      </c>
      <c r="D68" s="405" t="s">
        <v>21</v>
      </c>
      <c r="E68" s="417">
        <v>53162060040</v>
      </c>
      <c r="F68" s="272">
        <v>28703</v>
      </c>
      <c r="G68" s="272">
        <v>50617</v>
      </c>
      <c r="H68" s="275"/>
      <c r="I68" s="275">
        <v>8754532234</v>
      </c>
      <c r="J68" s="275"/>
      <c r="K68" s="275" t="s">
        <v>261</v>
      </c>
      <c r="L68" s="18" t="s">
        <v>299</v>
      </c>
      <c r="O68" s="277">
        <v>45492</v>
      </c>
      <c r="P68" s="418">
        <v>45401</v>
      </c>
      <c r="Q68" s="419">
        <v>45409</v>
      </c>
      <c r="R68" s="281" t="s">
        <v>368</v>
      </c>
      <c r="S68" s="281" t="s">
        <v>369</v>
      </c>
      <c r="T68" s="280"/>
      <c r="U68" s="280"/>
      <c r="V68" s="382">
        <f>LEN(E68)</f>
        <v>11</v>
      </c>
      <c r="W68" s="79"/>
      <c r="X68" s="79"/>
      <c r="Y68" s="79"/>
      <c r="Z68" s="79"/>
      <c r="AA68" s="79"/>
      <c r="AB68" s="311">
        <f t="shared" ca="1" si="10"/>
        <v>47</v>
      </c>
    </row>
    <row r="69" spans="1:39" ht="15.75" customHeight="1">
      <c r="A69" s="231">
        <v>68</v>
      </c>
      <c r="B69" s="305" t="s">
        <v>370</v>
      </c>
      <c r="C69" s="18" t="s">
        <v>76</v>
      </c>
      <c r="D69" s="303" t="s">
        <v>371</v>
      </c>
      <c r="E69" s="420" t="s">
        <v>372</v>
      </c>
      <c r="F69" s="315">
        <v>29902</v>
      </c>
      <c r="G69" s="315">
        <v>51835</v>
      </c>
      <c r="H69" s="307"/>
      <c r="I69" s="421">
        <v>7809278382</v>
      </c>
      <c r="J69" s="303">
        <v>7809278382</v>
      </c>
      <c r="K69" s="274" t="s">
        <v>253</v>
      </c>
      <c r="L69" s="274" t="s">
        <v>113</v>
      </c>
      <c r="O69" s="315">
        <v>45189</v>
      </c>
      <c r="P69" s="272">
        <v>45331</v>
      </c>
      <c r="Q69" s="272">
        <v>45293</v>
      </c>
      <c r="R69" s="317"/>
      <c r="S69" s="285"/>
      <c r="T69" s="317"/>
      <c r="U69" s="285"/>
      <c r="V69" s="285"/>
      <c r="W69" s="3"/>
      <c r="X69" s="90"/>
      <c r="Y69" s="90"/>
      <c r="AB69" s="311"/>
      <c r="AC69" s="311"/>
      <c r="AD69" s="311"/>
      <c r="AE69" s="311"/>
      <c r="AF69" s="311"/>
      <c r="AG69" s="311"/>
      <c r="AH69" s="311"/>
      <c r="AI69" s="311"/>
      <c r="AJ69" s="311"/>
      <c r="AK69" s="311"/>
      <c r="AL69" s="311"/>
      <c r="AM69" s="311"/>
    </row>
    <row r="70" spans="1:39" ht="15.75" customHeight="1">
      <c r="A70" s="231">
        <v>69</v>
      </c>
      <c r="B70" s="422" t="s">
        <v>373</v>
      </c>
      <c r="C70" s="18" t="s">
        <v>76</v>
      </c>
      <c r="D70" s="303" t="s">
        <v>371</v>
      </c>
      <c r="E70" s="423" t="s">
        <v>374</v>
      </c>
      <c r="F70" s="315">
        <v>31904</v>
      </c>
      <c r="G70" s="315">
        <v>53843</v>
      </c>
      <c r="H70" s="307"/>
      <c r="I70" s="303">
        <v>7780511859</v>
      </c>
      <c r="J70" s="303">
        <v>7780511859</v>
      </c>
      <c r="K70" s="351" t="s">
        <v>334</v>
      </c>
      <c r="L70" s="274" t="s">
        <v>351</v>
      </c>
      <c r="O70" s="315">
        <v>45959</v>
      </c>
      <c r="P70" s="424">
        <v>45403</v>
      </c>
      <c r="Q70" s="272">
        <v>45403</v>
      </c>
      <c r="R70" s="339" t="s">
        <v>375</v>
      </c>
      <c r="S70" s="425"/>
      <c r="T70" s="339" t="s">
        <v>376</v>
      </c>
      <c r="U70" s="425"/>
      <c r="V70" s="425"/>
      <c r="W70" s="90"/>
      <c r="X70" s="90"/>
      <c r="Y70" s="90"/>
      <c r="AB70" s="311"/>
    </row>
    <row r="71" spans="1:39" ht="15.75" customHeight="1">
      <c r="A71" s="231">
        <v>70</v>
      </c>
      <c r="B71" s="426" t="s">
        <v>377</v>
      </c>
      <c r="C71" s="18" t="s">
        <v>76</v>
      </c>
      <c r="D71" s="303" t="s">
        <v>371</v>
      </c>
      <c r="E71" s="427" t="s">
        <v>378</v>
      </c>
      <c r="F71" s="418">
        <v>30024</v>
      </c>
      <c r="G71" s="418">
        <v>51956</v>
      </c>
      <c r="H71" s="275"/>
      <c r="I71" s="18">
        <v>9230985252</v>
      </c>
      <c r="J71" s="275"/>
      <c r="K71" s="351" t="s">
        <v>334</v>
      </c>
      <c r="L71" s="18" t="s">
        <v>64</v>
      </c>
      <c r="O71" s="428">
        <v>45970</v>
      </c>
      <c r="P71" s="418">
        <v>45821</v>
      </c>
      <c r="Q71" s="418">
        <v>45804</v>
      </c>
      <c r="R71" s="429" t="s">
        <v>379</v>
      </c>
      <c r="S71" s="430"/>
      <c r="T71" s="429" t="s">
        <v>380</v>
      </c>
      <c r="U71" s="280"/>
      <c r="V71" s="280"/>
      <c r="W71" s="208">
        <f t="shared" ref="W71:W72" ca="1" si="11">INT((TODAY()-F71)/365)</f>
        <v>44</v>
      </c>
    </row>
    <row r="72" spans="1:39">
      <c r="A72" s="231">
        <v>71</v>
      </c>
      <c r="B72" s="426" t="s">
        <v>381</v>
      </c>
      <c r="C72" s="18" t="s">
        <v>76</v>
      </c>
      <c r="D72" s="303" t="s">
        <v>371</v>
      </c>
      <c r="E72" s="427" t="s">
        <v>382</v>
      </c>
      <c r="F72" s="418">
        <v>30369</v>
      </c>
      <c r="G72" s="418">
        <v>52290</v>
      </c>
      <c r="H72" s="275"/>
      <c r="I72" s="3"/>
      <c r="J72" s="3"/>
      <c r="K72" s="351" t="s">
        <v>334</v>
      </c>
      <c r="L72" s="18" t="s">
        <v>56</v>
      </c>
      <c r="O72" s="428">
        <v>46092</v>
      </c>
      <c r="P72" s="418">
        <v>45248</v>
      </c>
      <c r="Q72" s="418">
        <v>46118</v>
      </c>
      <c r="R72" s="281" t="s">
        <v>383</v>
      </c>
      <c r="S72" s="280"/>
      <c r="T72" s="280"/>
      <c r="U72" s="280"/>
      <c r="V72" s="280"/>
      <c r="W72" s="282">
        <f t="shared" ca="1" si="11"/>
        <v>43</v>
      </c>
      <c r="X72" s="79"/>
      <c r="Y72" s="79"/>
      <c r="Z72" s="79"/>
      <c r="AA72" s="79"/>
    </row>
    <row r="73" spans="1:39" ht="15.75" customHeight="1">
      <c r="A73" s="231">
        <v>72</v>
      </c>
      <c r="B73" s="426" t="s">
        <v>384</v>
      </c>
      <c r="C73" s="18" t="s">
        <v>76</v>
      </c>
      <c r="D73" s="303" t="s">
        <v>371</v>
      </c>
      <c r="E73" s="427" t="s">
        <v>385</v>
      </c>
      <c r="F73" s="418">
        <v>29282</v>
      </c>
      <c r="G73" s="418">
        <v>51226</v>
      </c>
      <c r="H73" s="275"/>
      <c r="I73" s="137">
        <v>8144966248</v>
      </c>
      <c r="J73" s="431"/>
      <c r="K73" s="351" t="s">
        <v>334</v>
      </c>
      <c r="L73" s="18" t="s">
        <v>64</v>
      </c>
      <c r="O73" s="428">
        <v>45480</v>
      </c>
      <c r="P73" s="279">
        <v>45765</v>
      </c>
      <c r="Q73" s="418">
        <v>45183</v>
      </c>
      <c r="R73" s="280"/>
      <c r="S73" s="280"/>
      <c r="T73" s="429" t="s">
        <v>386</v>
      </c>
      <c r="U73" s="430"/>
      <c r="V73" s="311">
        <f>LEN(E73)</f>
        <v>11</v>
      </c>
      <c r="AB73" s="311">
        <f ca="1">INT((TODAY()-F73)/365)</f>
        <v>46</v>
      </c>
      <c r="AC73" s="311"/>
      <c r="AD73" s="311"/>
      <c r="AE73" s="311"/>
      <c r="AF73" s="311"/>
      <c r="AG73" s="311"/>
      <c r="AH73" s="311"/>
      <c r="AI73" s="311"/>
      <c r="AJ73" s="311"/>
      <c r="AK73" s="311"/>
      <c r="AL73" s="311"/>
      <c r="AM73" s="311"/>
    </row>
    <row r="74" spans="1:39">
      <c r="A74" s="231">
        <v>73</v>
      </c>
      <c r="B74" s="426" t="s">
        <v>387</v>
      </c>
      <c r="C74" s="18" t="s">
        <v>76</v>
      </c>
      <c r="D74" s="303" t="s">
        <v>371</v>
      </c>
      <c r="E74" s="427" t="s">
        <v>388</v>
      </c>
      <c r="F74" s="272">
        <v>32666</v>
      </c>
      <c r="G74" s="272">
        <v>54604</v>
      </c>
      <c r="H74" s="275"/>
      <c r="I74" s="432">
        <v>7908045882</v>
      </c>
      <c r="J74" s="433"/>
      <c r="K74" s="274" t="s">
        <v>253</v>
      </c>
      <c r="L74" s="18" t="s">
        <v>62</v>
      </c>
      <c r="O74" s="428">
        <v>45978</v>
      </c>
      <c r="P74" s="315">
        <v>45222</v>
      </c>
      <c r="Q74" s="418">
        <v>45113</v>
      </c>
      <c r="R74" s="281" t="s">
        <v>389</v>
      </c>
      <c r="S74" s="280"/>
      <c r="T74" s="280"/>
      <c r="U74" s="280"/>
      <c r="V74" s="79"/>
      <c r="X74" s="48">
        <f ca="1">INT((TODAY()-F74)/365)</f>
        <v>36</v>
      </c>
      <c r="Y74" s="382"/>
      <c r="Z74" s="382"/>
      <c r="AA74" s="382"/>
      <c r="AB74" s="382"/>
      <c r="AC74" s="382"/>
      <c r="AD74" s="382"/>
      <c r="AE74" s="382"/>
      <c r="AF74" s="311"/>
      <c r="AG74" s="311"/>
      <c r="AH74" s="311"/>
      <c r="AI74" s="311"/>
      <c r="AJ74" s="311"/>
      <c r="AK74" s="311"/>
      <c r="AL74" s="311"/>
      <c r="AM74" s="311"/>
    </row>
    <row r="75" spans="1:39" ht="15.75" customHeight="1">
      <c r="A75" s="231">
        <v>74</v>
      </c>
      <c r="B75" s="426" t="s">
        <v>390</v>
      </c>
      <c r="C75" s="18" t="s">
        <v>76</v>
      </c>
      <c r="D75" s="303" t="s">
        <v>371</v>
      </c>
      <c r="E75" s="427" t="s">
        <v>391</v>
      </c>
      <c r="F75" s="272">
        <v>32624</v>
      </c>
      <c r="G75" s="272">
        <v>54543</v>
      </c>
      <c r="H75" s="275"/>
      <c r="I75" s="432">
        <v>8910018720</v>
      </c>
      <c r="J75" s="433"/>
      <c r="K75" s="274" t="s">
        <v>253</v>
      </c>
      <c r="L75" s="303" t="s">
        <v>52</v>
      </c>
      <c r="O75" s="428">
        <v>45963</v>
      </c>
      <c r="P75" s="315">
        <v>45187</v>
      </c>
      <c r="Q75" s="418">
        <v>45113</v>
      </c>
      <c r="R75" s="434" t="s">
        <v>392</v>
      </c>
      <c r="S75" s="280"/>
      <c r="T75" s="79"/>
      <c r="U75" s="79"/>
      <c r="V75" s="435"/>
      <c r="W75" s="436"/>
      <c r="X75" s="437"/>
      <c r="Y75" s="311"/>
      <c r="Z75" s="311"/>
      <c r="AA75" s="311"/>
      <c r="AB75" s="311"/>
      <c r="AC75" s="311"/>
      <c r="AD75" s="311"/>
      <c r="AE75" s="311"/>
      <c r="AF75" s="311"/>
      <c r="AG75" s="311"/>
      <c r="AH75" s="311"/>
      <c r="AI75" s="311"/>
      <c r="AJ75" s="311"/>
      <c r="AK75" s="311"/>
      <c r="AL75" s="311"/>
      <c r="AM75" s="311"/>
    </row>
    <row r="76" spans="1:39" ht="15.75" customHeight="1">
      <c r="A76" s="231">
        <v>75</v>
      </c>
      <c r="B76" s="305" t="s">
        <v>393</v>
      </c>
      <c r="C76" s="18" t="s">
        <v>77</v>
      </c>
      <c r="D76" s="303" t="s">
        <v>371</v>
      </c>
      <c r="E76" s="438" t="s">
        <v>394</v>
      </c>
      <c r="F76" s="315">
        <v>31340</v>
      </c>
      <c r="G76" s="315">
        <v>53266</v>
      </c>
      <c r="H76" s="307"/>
      <c r="I76" s="407">
        <v>919830815643</v>
      </c>
      <c r="J76" s="307"/>
      <c r="K76" s="274" t="s">
        <v>253</v>
      </c>
      <c r="L76" s="274" t="s">
        <v>65</v>
      </c>
      <c r="O76" s="315">
        <v>45992</v>
      </c>
      <c r="P76" s="272">
        <v>45176</v>
      </c>
      <c r="Q76" s="272">
        <v>45156</v>
      </c>
      <c r="R76" s="318" t="s">
        <v>395</v>
      </c>
      <c r="S76" s="285"/>
      <c r="T76" s="317"/>
      <c r="U76" s="285"/>
      <c r="V76" s="285"/>
      <c r="W76" s="3"/>
      <c r="X76" s="90"/>
      <c r="Y76" s="79"/>
      <c r="Z76" s="79"/>
      <c r="AA76" s="79"/>
    </row>
    <row r="77" spans="1:39" ht="15.75" customHeight="1">
      <c r="A77" s="231">
        <v>76</v>
      </c>
      <c r="B77" s="422" t="s">
        <v>396</v>
      </c>
      <c r="C77" s="18" t="s">
        <v>76</v>
      </c>
      <c r="D77" s="303" t="s">
        <v>371</v>
      </c>
      <c r="E77" s="423" t="s">
        <v>397</v>
      </c>
      <c r="F77" s="315">
        <v>34407</v>
      </c>
      <c r="G77" s="315">
        <v>56339</v>
      </c>
      <c r="H77" s="307"/>
      <c r="I77" s="303">
        <v>7980159725</v>
      </c>
      <c r="J77" s="303">
        <v>7872257353</v>
      </c>
      <c r="K77" s="274" t="s">
        <v>253</v>
      </c>
      <c r="L77" s="125" t="s">
        <v>69</v>
      </c>
      <c r="O77" s="315">
        <v>45110</v>
      </c>
      <c r="P77" s="272">
        <v>46106</v>
      </c>
      <c r="Q77" s="418">
        <v>46032</v>
      </c>
      <c r="R77" s="339" t="s">
        <v>398</v>
      </c>
      <c r="S77" s="285"/>
      <c r="T77" s="317"/>
      <c r="U77" s="285"/>
      <c r="V77" s="285"/>
      <c r="W77" s="3"/>
      <c r="X77" s="3"/>
      <c r="AA77" s="79"/>
    </row>
    <row r="78" spans="1:39">
      <c r="A78" s="231">
        <v>77</v>
      </c>
      <c r="B78" s="426" t="s">
        <v>399</v>
      </c>
      <c r="C78" s="18" t="s">
        <v>77</v>
      </c>
      <c r="D78" s="303" t="s">
        <v>371</v>
      </c>
      <c r="E78" s="427" t="s">
        <v>400</v>
      </c>
      <c r="F78" s="418">
        <v>32794</v>
      </c>
      <c r="G78" s="418">
        <v>54727</v>
      </c>
      <c r="H78" s="275"/>
      <c r="I78" s="407">
        <v>917003049799</v>
      </c>
      <c r="J78" s="433"/>
      <c r="K78" s="274" t="s">
        <v>253</v>
      </c>
      <c r="L78" s="439" t="s">
        <v>44</v>
      </c>
      <c r="O78" s="428">
        <v>45460</v>
      </c>
      <c r="P78" s="418">
        <v>45145</v>
      </c>
      <c r="Q78" s="418">
        <v>46060</v>
      </c>
      <c r="R78" s="281" t="s">
        <v>401</v>
      </c>
      <c r="S78" s="285"/>
      <c r="T78" s="317"/>
      <c r="U78" s="285"/>
      <c r="V78" s="280"/>
      <c r="W78" s="282">
        <f t="shared" ref="W78:W79" ca="1" si="12">INT((TODAY()-F78)/365)</f>
        <v>36</v>
      </c>
    </row>
    <row r="79" spans="1:39" ht="15.75" customHeight="1">
      <c r="A79" s="231">
        <v>78</v>
      </c>
      <c r="B79" s="426" t="s">
        <v>402</v>
      </c>
      <c r="C79" s="18" t="s">
        <v>77</v>
      </c>
      <c r="D79" s="303" t="s">
        <v>371</v>
      </c>
      <c r="E79" s="427" t="s">
        <v>403</v>
      </c>
      <c r="F79" s="440">
        <v>33731</v>
      </c>
      <c r="G79" s="440">
        <v>55670</v>
      </c>
      <c r="H79" s="275"/>
      <c r="I79" s="407">
        <v>919681602268</v>
      </c>
      <c r="J79" s="433"/>
      <c r="K79" s="274" t="s">
        <v>253</v>
      </c>
      <c r="L79" s="18" t="s">
        <v>351</v>
      </c>
      <c r="O79" s="440">
        <v>45446</v>
      </c>
      <c r="P79" s="418">
        <v>45145</v>
      </c>
      <c r="Q79" s="418">
        <v>46060</v>
      </c>
      <c r="R79" s="281" t="s">
        <v>404</v>
      </c>
      <c r="S79" s="280"/>
      <c r="T79" s="280"/>
      <c r="U79" s="280"/>
      <c r="V79" s="280"/>
      <c r="W79" s="282">
        <f t="shared" ca="1" si="12"/>
        <v>33</v>
      </c>
      <c r="X79" s="79"/>
      <c r="Y79" s="79"/>
      <c r="Z79" s="79"/>
      <c r="AA79" s="79"/>
    </row>
    <row r="80" spans="1:39" ht="15.75" customHeight="1">
      <c r="A80" s="231">
        <v>79</v>
      </c>
      <c r="B80" s="422" t="s">
        <v>405</v>
      </c>
      <c r="C80" s="18" t="s">
        <v>76</v>
      </c>
      <c r="D80" s="303" t="s">
        <v>371</v>
      </c>
      <c r="E80" s="423" t="s">
        <v>406</v>
      </c>
      <c r="F80" s="315">
        <v>33344</v>
      </c>
      <c r="G80" s="315">
        <v>55273</v>
      </c>
      <c r="H80" s="307"/>
      <c r="I80" s="303">
        <v>7908003191</v>
      </c>
      <c r="J80" s="303">
        <v>9434389300</v>
      </c>
      <c r="K80" s="274" t="s">
        <v>253</v>
      </c>
      <c r="L80" s="18" t="s">
        <v>93</v>
      </c>
      <c r="O80" s="315">
        <v>45951</v>
      </c>
      <c r="P80" s="272">
        <v>45653</v>
      </c>
      <c r="Q80" s="418">
        <v>45605</v>
      </c>
      <c r="R80" s="318" t="s">
        <v>407</v>
      </c>
      <c r="S80" s="285"/>
      <c r="T80" s="441"/>
      <c r="U80" s="425"/>
      <c r="V80" s="425"/>
      <c r="W80" s="90"/>
      <c r="X80" s="90"/>
    </row>
    <row r="81" spans="1:39" ht="15.75">
      <c r="A81" s="231">
        <v>80</v>
      </c>
      <c r="B81" s="442" t="s">
        <v>408</v>
      </c>
      <c r="C81" s="18" t="s">
        <v>76</v>
      </c>
      <c r="D81" s="303" t="s">
        <v>371</v>
      </c>
      <c r="E81" s="443" t="s">
        <v>409</v>
      </c>
      <c r="F81" s="444">
        <v>31772</v>
      </c>
      <c r="G81" s="444">
        <v>53692</v>
      </c>
      <c r="H81" s="79"/>
      <c r="I81" s="79"/>
      <c r="J81" s="79"/>
      <c r="K81" s="274" t="s">
        <v>253</v>
      </c>
      <c r="L81" s="445" t="s">
        <v>57</v>
      </c>
      <c r="O81" s="446">
        <v>45959</v>
      </c>
      <c r="P81" s="447">
        <v>46070</v>
      </c>
      <c r="Q81" s="448">
        <v>46242</v>
      </c>
      <c r="R81" s="449" t="s">
        <v>37</v>
      </c>
      <c r="S81" s="332"/>
      <c r="T81" s="450"/>
      <c r="U81" s="332"/>
      <c r="V81" s="334"/>
      <c r="W81" s="334"/>
      <c r="AA81" s="451"/>
      <c r="AD81" s="452"/>
      <c r="AJ81" s="199"/>
      <c r="AK81" s="199"/>
      <c r="AL81" s="199"/>
      <c r="AM81" s="199"/>
    </row>
    <row r="82" spans="1:39" ht="15.75">
      <c r="A82" s="231">
        <v>81</v>
      </c>
      <c r="B82" s="453" t="s">
        <v>410</v>
      </c>
      <c r="C82" s="454" t="s">
        <v>76</v>
      </c>
      <c r="D82" s="455" t="s">
        <v>371</v>
      </c>
      <c r="E82" s="456" t="s">
        <v>411</v>
      </c>
      <c r="F82" s="444">
        <v>31781</v>
      </c>
      <c r="G82" s="444">
        <v>53723</v>
      </c>
      <c r="H82" s="79"/>
      <c r="I82" s="79"/>
      <c r="J82" s="79"/>
      <c r="K82" s="274" t="s">
        <v>253</v>
      </c>
      <c r="L82" s="457" t="s">
        <v>66</v>
      </c>
      <c r="O82" s="446">
        <v>46001</v>
      </c>
      <c r="P82" s="447">
        <v>46070</v>
      </c>
      <c r="Q82" s="448">
        <v>46242</v>
      </c>
      <c r="R82" s="449" t="s">
        <v>37</v>
      </c>
      <c r="S82" s="332"/>
      <c r="T82" s="450"/>
      <c r="U82" s="332"/>
      <c r="V82" s="334"/>
      <c r="W82" s="334"/>
      <c r="AA82" s="458"/>
      <c r="AD82" s="459"/>
      <c r="AJ82" s="199"/>
      <c r="AK82" s="199"/>
      <c r="AL82" s="199"/>
      <c r="AM82" s="199"/>
    </row>
    <row r="83" spans="1:39" ht="15.75" customHeight="1">
      <c r="A83" s="231">
        <v>82</v>
      </c>
      <c r="B83" s="305" t="s">
        <v>412</v>
      </c>
      <c r="C83" s="18" t="s">
        <v>76</v>
      </c>
      <c r="D83" s="303" t="s">
        <v>371</v>
      </c>
      <c r="E83" s="460" t="s">
        <v>413</v>
      </c>
      <c r="F83" s="315">
        <v>32918</v>
      </c>
      <c r="G83" s="315">
        <v>51194</v>
      </c>
      <c r="H83" s="307"/>
      <c r="I83" s="461">
        <v>8339911046</v>
      </c>
      <c r="J83" s="307"/>
      <c r="K83" s="274" t="s">
        <v>253</v>
      </c>
      <c r="L83" s="274" t="s">
        <v>61</v>
      </c>
      <c r="O83" s="315">
        <v>46027</v>
      </c>
      <c r="P83" s="272">
        <v>46178</v>
      </c>
      <c r="Q83" s="272">
        <v>46117</v>
      </c>
      <c r="R83" s="339" t="s">
        <v>414</v>
      </c>
      <c r="S83" s="430"/>
      <c r="T83" s="430"/>
      <c r="U83" s="430"/>
      <c r="V83" s="425"/>
      <c r="W83" s="90"/>
      <c r="X83" s="90"/>
      <c r="Y83" s="90"/>
      <c r="AB83" s="311"/>
    </row>
    <row r="84" spans="1:39" ht="15.75" customHeight="1">
      <c r="A84" s="231">
        <v>83</v>
      </c>
      <c r="B84" s="426" t="s">
        <v>415</v>
      </c>
      <c r="C84" s="18" t="s">
        <v>77</v>
      </c>
      <c r="D84" s="303" t="s">
        <v>371</v>
      </c>
      <c r="E84" s="427" t="s">
        <v>416</v>
      </c>
      <c r="F84" s="418">
        <v>31813</v>
      </c>
      <c r="G84" s="418">
        <v>53751</v>
      </c>
      <c r="H84" s="275"/>
      <c r="I84" s="462">
        <v>917842634548</v>
      </c>
      <c r="J84" s="79"/>
      <c r="K84" s="274" t="s">
        <v>253</v>
      </c>
      <c r="L84" s="18" t="s">
        <v>417</v>
      </c>
      <c r="O84" s="428">
        <v>45963</v>
      </c>
      <c r="P84" s="418">
        <v>45107</v>
      </c>
      <c r="Q84" s="418">
        <v>45636</v>
      </c>
      <c r="R84" s="429" t="s">
        <v>418</v>
      </c>
      <c r="S84" s="280"/>
      <c r="T84" s="280"/>
      <c r="U84" s="280"/>
      <c r="V84" s="280"/>
      <c r="W84" s="282">
        <f t="shared" ref="W84:W85" ca="1" si="13">INT((TODAY()-F84)/365)</f>
        <v>39</v>
      </c>
      <c r="X84" s="79"/>
      <c r="Y84" s="395"/>
      <c r="Z84" s="79"/>
      <c r="AA84" s="383"/>
      <c r="AB84" s="282"/>
      <c r="AC84" s="383"/>
      <c r="AD84" s="383"/>
      <c r="AE84" s="383"/>
      <c r="AF84" s="383"/>
      <c r="AG84" s="383"/>
      <c r="AH84" s="383"/>
      <c r="AI84" s="384"/>
      <c r="AJ84" s="384"/>
      <c r="AK84" s="384"/>
      <c r="AL84" s="384"/>
      <c r="AM84" s="384"/>
    </row>
    <row r="85" spans="1:39">
      <c r="A85" s="231">
        <v>84</v>
      </c>
      <c r="B85" s="426" t="s">
        <v>419</v>
      </c>
      <c r="C85" s="18" t="s">
        <v>77</v>
      </c>
      <c r="D85" s="303" t="s">
        <v>371</v>
      </c>
      <c r="E85" s="427" t="s">
        <v>420</v>
      </c>
      <c r="F85" s="418">
        <v>28097</v>
      </c>
      <c r="G85" s="418">
        <v>50040</v>
      </c>
      <c r="H85" s="275"/>
      <c r="I85" s="18">
        <v>9230985257</v>
      </c>
      <c r="J85" s="3"/>
      <c r="K85" s="391" t="s">
        <v>334</v>
      </c>
      <c r="L85" s="18" t="s">
        <v>94</v>
      </c>
      <c r="O85" s="428">
        <v>45767</v>
      </c>
      <c r="P85" s="418">
        <v>45499</v>
      </c>
      <c r="Q85" s="418">
        <v>45373</v>
      </c>
      <c r="R85" s="280"/>
      <c r="S85" s="280"/>
      <c r="T85" s="281" t="s">
        <v>421</v>
      </c>
      <c r="U85" s="280"/>
      <c r="V85" s="280"/>
      <c r="W85" s="208">
        <f t="shared" ca="1" si="13"/>
        <v>49</v>
      </c>
    </row>
    <row r="86" spans="1:39" ht="15.75">
      <c r="A86" s="231">
        <v>85</v>
      </c>
      <c r="B86" s="442" t="s">
        <v>422</v>
      </c>
      <c r="C86" s="18" t="s">
        <v>76</v>
      </c>
      <c r="D86" s="303" t="s">
        <v>371</v>
      </c>
      <c r="E86" s="443" t="s">
        <v>423</v>
      </c>
      <c r="F86" s="444">
        <v>31976</v>
      </c>
      <c r="G86" s="444">
        <v>53904</v>
      </c>
      <c r="H86" s="79"/>
      <c r="I86" s="79"/>
      <c r="J86" s="79"/>
      <c r="K86" s="274" t="s">
        <v>253</v>
      </c>
      <c r="L86" s="445" t="s">
        <v>57</v>
      </c>
      <c r="O86" s="446">
        <v>45997</v>
      </c>
      <c r="P86" s="447">
        <v>46616</v>
      </c>
      <c r="Q86" s="448">
        <v>46242</v>
      </c>
      <c r="R86" s="449" t="s">
        <v>313</v>
      </c>
      <c r="S86" s="332"/>
      <c r="T86" s="450"/>
      <c r="U86" s="332"/>
      <c r="V86" s="334"/>
      <c r="W86" s="334"/>
      <c r="AA86" s="451"/>
      <c r="AD86" s="452"/>
      <c r="AJ86" s="199"/>
      <c r="AK86" s="199"/>
      <c r="AL86" s="199"/>
      <c r="AM86" s="199"/>
    </row>
    <row r="87" spans="1:39">
      <c r="A87" s="231">
        <v>86</v>
      </c>
      <c r="B87" s="305" t="s">
        <v>424</v>
      </c>
      <c r="C87" s="18" t="s">
        <v>77</v>
      </c>
      <c r="D87" s="303" t="s">
        <v>371</v>
      </c>
      <c r="E87" s="420" t="s">
        <v>425</v>
      </c>
      <c r="F87" s="315">
        <v>32584</v>
      </c>
      <c r="G87" s="315">
        <v>54513</v>
      </c>
      <c r="H87" s="307"/>
      <c r="I87" s="303">
        <v>7008625743</v>
      </c>
      <c r="J87" s="303">
        <v>7377658377</v>
      </c>
      <c r="K87" s="391" t="s">
        <v>334</v>
      </c>
      <c r="L87" s="18" t="s">
        <v>306</v>
      </c>
      <c r="O87" s="315">
        <v>45491</v>
      </c>
      <c r="P87" s="272">
        <v>45791</v>
      </c>
      <c r="Q87" s="272">
        <v>45804</v>
      </c>
      <c r="R87" s="317"/>
      <c r="S87" s="285"/>
      <c r="T87" s="317"/>
      <c r="U87" s="285"/>
      <c r="V87" s="285"/>
      <c r="W87" s="90"/>
      <c r="X87" s="90"/>
      <c r="Y87" s="90"/>
      <c r="AB87" s="311"/>
    </row>
    <row r="88" spans="1:39" ht="15.75" customHeight="1">
      <c r="A88" s="231">
        <v>87</v>
      </c>
      <c r="B88" s="305" t="s">
        <v>426</v>
      </c>
      <c r="C88" s="337" t="s">
        <v>77</v>
      </c>
      <c r="D88" s="303" t="s">
        <v>371</v>
      </c>
      <c r="E88" s="420" t="s">
        <v>427</v>
      </c>
      <c r="F88" s="315">
        <v>32567</v>
      </c>
      <c r="G88" s="315">
        <v>54482</v>
      </c>
      <c r="H88" s="79"/>
      <c r="I88" s="303">
        <v>7381599096</v>
      </c>
      <c r="J88" s="303">
        <v>7381599096</v>
      </c>
      <c r="K88" s="391" t="s">
        <v>334</v>
      </c>
      <c r="L88" s="125" t="s">
        <v>67</v>
      </c>
      <c r="O88" s="315">
        <v>46013</v>
      </c>
      <c r="P88" s="418">
        <v>45905</v>
      </c>
      <c r="Q88" s="418">
        <v>45916</v>
      </c>
      <c r="R88" s="318" t="s">
        <v>428</v>
      </c>
      <c r="S88" s="285"/>
      <c r="T88" s="317"/>
      <c r="U88" s="285"/>
      <c r="V88" s="285"/>
      <c r="W88" s="3"/>
      <c r="X88" s="3"/>
      <c r="Y88" s="3"/>
      <c r="Z88" s="79"/>
      <c r="AA88" s="79"/>
      <c r="AB88" s="311"/>
    </row>
    <row r="89" spans="1:39">
      <c r="B89" s="89"/>
      <c r="C89" s="90"/>
      <c r="D89" s="90"/>
      <c r="E89" s="89"/>
      <c r="G89" s="463"/>
      <c r="K89" s="90"/>
      <c r="L89" s="90"/>
    </row>
    <row r="90" spans="1:39">
      <c r="B90" s="89"/>
      <c r="C90" s="90"/>
      <c r="D90" s="90"/>
      <c r="E90" s="89"/>
      <c r="G90" s="463"/>
      <c r="K90" s="90"/>
      <c r="L90" s="90"/>
    </row>
    <row r="91" spans="1:39">
      <c r="B91" s="89"/>
      <c r="C91" s="90"/>
      <c r="D91" s="90"/>
      <c r="E91" s="89"/>
      <c r="G91" s="463"/>
      <c r="K91" s="90"/>
      <c r="L91" s="90"/>
    </row>
    <row r="92" spans="1:39">
      <c r="B92" s="89"/>
      <c r="C92" s="90"/>
      <c r="D92" s="90"/>
      <c r="E92" s="89"/>
      <c r="G92" s="463"/>
      <c r="K92" s="90"/>
      <c r="L92" s="90"/>
    </row>
    <row r="93" spans="1:39">
      <c r="B93" s="89"/>
      <c r="C93" s="90"/>
      <c r="D93" s="90"/>
      <c r="E93" s="89"/>
      <c r="G93" s="463"/>
      <c r="K93" s="90"/>
      <c r="L93" s="90"/>
    </row>
    <row r="94" spans="1:39">
      <c r="B94" s="89"/>
      <c r="C94" s="90"/>
      <c r="D94" s="90"/>
      <c r="E94" s="89"/>
      <c r="G94" s="463"/>
      <c r="K94" s="90"/>
      <c r="L94" s="90"/>
    </row>
    <row r="95" spans="1:39">
      <c r="B95" s="89"/>
      <c r="C95" s="90"/>
      <c r="D95" s="90"/>
      <c r="E95" s="89"/>
      <c r="G95" s="463"/>
      <c r="K95" s="90"/>
      <c r="L95" s="90"/>
    </row>
    <row r="96" spans="1:39">
      <c r="B96" s="89"/>
      <c r="C96" s="90"/>
      <c r="D96" s="90"/>
      <c r="E96" s="89"/>
      <c r="G96" s="463"/>
      <c r="K96" s="90"/>
      <c r="L96" s="90"/>
    </row>
    <row r="97" spans="2:12">
      <c r="B97" s="89"/>
      <c r="C97" s="90"/>
      <c r="D97" s="90"/>
      <c r="E97" s="89"/>
      <c r="G97" s="463"/>
      <c r="K97" s="90"/>
      <c r="L97" s="90"/>
    </row>
    <row r="98" spans="2:12">
      <c r="B98" s="89"/>
      <c r="C98" s="90"/>
      <c r="D98" s="90"/>
      <c r="E98" s="89"/>
      <c r="G98" s="463"/>
      <c r="K98" s="90"/>
      <c r="L98" s="90"/>
    </row>
    <row r="99" spans="2:12">
      <c r="B99" s="89"/>
      <c r="C99" s="90"/>
      <c r="D99" s="90"/>
      <c r="E99" s="89"/>
      <c r="G99" s="463"/>
      <c r="K99" s="90"/>
      <c r="L99" s="90"/>
    </row>
    <row r="100" spans="2:12">
      <c r="B100" s="89"/>
      <c r="C100" s="90"/>
      <c r="D100" s="90"/>
      <c r="E100" s="89"/>
      <c r="G100" s="463"/>
      <c r="K100" s="90"/>
      <c r="L100" s="90"/>
    </row>
    <row r="101" spans="2:12">
      <c r="B101" s="89"/>
      <c r="C101" s="90"/>
      <c r="D101" s="90"/>
      <c r="E101" s="89"/>
      <c r="G101" s="463"/>
      <c r="K101" s="90"/>
      <c r="L101" s="90"/>
    </row>
    <row r="102" spans="2:12">
      <c r="B102" s="89"/>
      <c r="C102" s="90"/>
      <c r="D102" s="90"/>
      <c r="E102" s="89"/>
      <c r="G102" s="463"/>
      <c r="K102" s="90"/>
      <c r="L102" s="90"/>
    </row>
    <row r="103" spans="2:12">
      <c r="B103" s="89"/>
      <c r="C103" s="90"/>
      <c r="D103" s="90"/>
      <c r="E103" s="89"/>
      <c r="G103" s="463"/>
      <c r="K103" s="90"/>
      <c r="L103" s="90"/>
    </row>
    <row r="104" spans="2:12">
      <c r="B104" s="89"/>
      <c r="C104" s="90"/>
      <c r="D104" s="90"/>
      <c r="E104" s="89"/>
      <c r="G104" s="463"/>
      <c r="K104" s="90"/>
      <c r="L104" s="90"/>
    </row>
    <row r="105" spans="2:12">
      <c r="B105" s="89"/>
      <c r="C105" s="90"/>
      <c r="D105" s="90"/>
      <c r="E105" s="89"/>
      <c r="G105" s="463"/>
      <c r="K105" s="90"/>
      <c r="L105" s="90"/>
    </row>
    <row r="106" spans="2:12">
      <c r="B106" s="89"/>
      <c r="C106" s="90"/>
      <c r="D106" s="90"/>
      <c r="E106" s="89"/>
      <c r="G106" s="463"/>
      <c r="K106" s="90"/>
      <c r="L106" s="90"/>
    </row>
    <row r="107" spans="2:12">
      <c r="B107" s="89"/>
      <c r="C107" s="90"/>
      <c r="D107" s="90"/>
      <c r="E107" s="89"/>
      <c r="G107" s="463"/>
      <c r="K107" s="90"/>
      <c r="L107" s="90"/>
    </row>
    <row r="108" spans="2:12">
      <c r="B108" s="89"/>
      <c r="C108" s="90"/>
      <c r="D108" s="90"/>
      <c r="E108" s="89"/>
      <c r="G108" s="463"/>
      <c r="K108" s="90"/>
      <c r="L108" s="90"/>
    </row>
    <row r="109" spans="2:12">
      <c r="B109" s="89"/>
      <c r="C109" s="90"/>
      <c r="D109" s="90"/>
      <c r="E109" s="89"/>
      <c r="G109" s="463"/>
      <c r="K109" s="90"/>
      <c r="L109" s="90"/>
    </row>
    <row r="110" spans="2:12">
      <c r="B110" s="89"/>
      <c r="C110" s="90"/>
      <c r="D110" s="90"/>
      <c r="E110" s="89"/>
      <c r="G110" s="463"/>
      <c r="K110" s="90"/>
      <c r="L110" s="90"/>
    </row>
    <row r="111" spans="2:12">
      <c r="B111" s="89"/>
      <c r="C111" s="90"/>
      <c r="D111" s="90"/>
      <c r="E111" s="89"/>
      <c r="G111" s="463"/>
      <c r="K111" s="90"/>
      <c r="L111" s="90"/>
    </row>
    <row r="112" spans="2:12">
      <c r="B112" s="89"/>
      <c r="C112" s="90"/>
      <c r="D112" s="90"/>
      <c r="E112" s="89"/>
      <c r="G112" s="463"/>
      <c r="K112" s="90"/>
      <c r="L112" s="90"/>
    </row>
    <row r="113" spans="2:12">
      <c r="B113" s="89"/>
      <c r="C113" s="90"/>
      <c r="D113" s="90"/>
      <c r="E113" s="89"/>
      <c r="G113" s="463"/>
      <c r="K113" s="90"/>
      <c r="L113" s="90"/>
    </row>
    <row r="114" spans="2:12">
      <c r="B114" s="89"/>
      <c r="C114" s="90"/>
      <c r="D114" s="90"/>
      <c r="E114" s="89"/>
      <c r="G114" s="463"/>
      <c r="K114" s="90"/>
      <c r="L114" s="90"/>
    </row>
    <row r="115" spans="2:12">
      <c r="B115" s="89"/>
      <c r="C115" s="90"/>
      <c r="D115" s="90"/>
      <c r="E115" s="89"/>
      <c r="G115" s="463"/>
      <c r="K115" s="90"/>
      <c r="L115" s="90"/>
    </row>
    <row r="116" spans="2:12">
      <c r="B116" s="89"/>
      <c r="C116" s="90"/>
      <c r="D116" s="90"/>
      <c r="E116" s="89"/>
      <c r="G116" s="463"/>
      <c r="K116" s="90"/>
      <c r="L116" s="90"/>
    </row>
    <row r="117" spans="2:12">
      <c r="B117" s="89"/>
      <c r="C117" s="90"/>
      <c r="D117" s="90"/>
      <c r="E117" s="89"/>
      <c r="G117" s="463"/>
      <c r="K117" s="90"/>
      <c r="L117" s="90"/>
    </row>
    <row r="118" spans="2:12">
      <c r="B118" s="89"/>
      <c r="C118" s="90"/>
      <c r="D118" s="90"/>
      <c r="E118" s="89"/>
      <c r="G118" s="463"/>
      <c r="K118" s="90"/>
      <c r="L118" s="90"/>
    </row>
    <row r="119" spans="2:12">
      <c r="B119" s="89"/>
      <c r="C119" s="90"/>
      <c r="D119" s="90"/>
      <c r="E119" s="89"/>
      <c r="G119" s="463"/>
      <c r="K119" s="90"/>
      <c r="L119" s="90"/>
    </row>
    <row r="120" spans="2:12">
      <c r="B120" s="89"/>
      <c r="C120" s="90"/>
      <c r="D120" s="90"/>
      <c r="E120" s="89"/>
      <c r="G120" s="463"/>
      <c r="K120" s="90"/>
      <c r="L120" s="90"/>
    </row>
    <row r="121" spans="2:12">
      <c r="B121" s="89"/>
      <c r="C121" s="90"/>
      <c r="D121" s="90"/>
      <c r="E121" s="89"/>
      <c r="G121" s="463"/>
      <c r="K121" s="90"/>
      <c r="L121" s="90"/>
    </row>
    <row r="122" spans="2:12">
      <c r="B122" s="89"/>
      <c r="C122" s="90"/>
      <c r="D122" s="90"/>
      <c r="E122" s="89"/>
      <c r="G122" s="463"/>
      <c r="K122" s="90"/>
      <c r="L122" s="90"/>
    </row>
    <row r="123" spans="2:12">
      <c r="B123" s="89"/>
      <c r="C123" s="90"/>
      <c r="D123" s="90"/>
      <c r="E123" s="89"/>
      <c r="G123" s="463"/>
      <c r="K123" s="90"/>
      <c r="L123" s="90"/>
    </row>
    <row r="124" spans="2:12">
      <c r="B124" s="89"/>
      <c r="C124" s="90"/>
      <c r="D124" s="90"/>
      <c r="E124" s="89"/>
      <c r="G124" s="463"/>
      <c r="K124" s="90"/>
      <c r="L124" s="90"/>
    </row>
    <row r="125" spans="2:12">
      <c r="B125" s="89"/>
      <c r="C125" s="90"/>
      <c r="D125" s="90"/>
      <c r="E125" s="89"/>
      <c r="G125" s="463"/>
      <c r="K125" s="90"/>
      <c r="L125" s="90"/>
    </row>
    <row r="126" spans="2:12">
      <c r="B126" s="89"/>
      <c r="C126" s="90"/>
      <c r="D126" s="90"/>
      <c r="E126" s="89"/>
      <c r="G126" s="463"/>
      <c r="K126" s="90"/>
      <c r="L126" s="90"/>
    </row>
    <row r="127" spans="2:12">
      <c r="B127" s="89"/>
      <c r="C127" s="90"/>
      <c r="D127" s="90"/>
      <c r="E127" s="89"/>
      <c r="G127" s="463"/>
      <c r="K127" s="90"/>
      <c r="L127" s="90"/>
    </row>
    <row r="128" spans="2:12">
      <c r="B128" s="89"/>
      <c r="C128" s="90"/>
      <c r="D128" s="90"/>
      <c r="E128" s="89"/>
      <c r="G128" s="463"/>
      <c r="K128" s="90"/>
      <c r="L128" s="90"/>
    </row>
    <row r="129" spans="2:12">
      <c r="B129" s="89"/>
      <c r="C129" s="90"/>
      <c r="D129" s="90"/>
      <c r="E129" s="89"/>
      <c r="G129" s="463"/>
      <c r="K129" s="90"/>
      <c r="L129" s="90"/>
    </row>
    <row r="130" spans="2:12">
      <c r="B130" s="89"/>
      <c r="C130" s="90"/>
      <c r="D130" s="90"/>
      <c r="E130" s="89"/>
      <c r="G130" s="463"/>
      <c r="K130" s="90"/>
      <c r="L130" s="90"/>
    </row>
    <row r="131" spans="2:12">
      <c r="B131" s="89"/>
      <c r="C131" s="90"/>
      <c r="D131" s="90"/>
      <c r="E131" s="89"/>
      <c r="G131" s="463"/>
      <c r="K131" s="90"/>
      <c r="L131" s="90"/>
    </row>
    <row r="132" spans="2:12">
      <c r="B132" s="89"/>
      <c r="C132" s="90"/>
      <c r="D132" s="90"/>
      <c r="E132" s="89"/>
      <c r="G132" s="463"/>
      <c r="K132" s="90"/>
      <c r="L132" s="90"/>
    </row>
    <row r="133" spans="2:12">
      <c r="B133" s="89"/>
      <c r="C133" s="90"/>
      <c r="D133" s="90"/>
      <c r="E133" s="89"/>
      <c r="G133" s="463"/>
      <c r="K133" s="90"/>
      <c r="L133" s="90"/>
    </row>
    <row r="134" spans="2:12">
      <c r="B134" s="89"/>
      <c r="C134" s="90"/>
      <c r="D134" s="90"/>
      <c r="E134" s="89"/>
      <c r="G134" s="463"/>
      <c r="K134" s="90"/>
      <c r="L134" s="90"/>
    </row>
    <row r="135" spans="2:12">
      <c r="B135" s="89"/>
      <c r="C135" s="90"/>
      <c r="D135" s="90"/>
      <c r="E135" s="89"/>
      <c r="G135" s="463"/>
      <c r="K135" s="90"/>
      <c r="L135" s="90"/>
    </row>
    <row r="136" spans="2:12">
      <c r="B136" s="89"/>
      <c r="C136" s="90"/>
      <c r="D136" s="90"/>
      <c r="E136" s="89"/>
      <c r="G136" s="463"/>
      <c r="K136" s="90"/>
      <c r="L136" s="90"/>
    </row>
    <row r="137" spans="2:12">
      <c r="B137" s="89"/>
      <c r="C137" s="90"/>
      <c r="D137" s="90"/>
      <c r="E137" s="89"/>
      <c r="G137" s="463"/>
      <c r="K137" s="90"/>
      <c r="L137" s="90"/>
    </row>
    <row r="138" spans="2:12">
      <c r="B138" s="89"/>
      <c r="C138" s="90"/>
      <c r="D138" s="90"/>
      <c r="E138" s="89"/>
      <c r="G138" s="463"/>
      <c r="K138" s="90"/>
      <c r="L138" s="90"/>
    </row>
    <row r="139" spans="2:12">
      <c r="B139" s="89"/>
      <c r="C139" s="90"/>
      <c r="D139" s="90"/>
      <c r="E139" s="89"/>
      <c r="G139" s="463"/>
      <c r="K139" s="90"/>
      <c r="L139" s="90"/>
    </row>
    <row r="140" spans="2:12">
      <c r="B140" s="89"/>
      <c r="C140" s="90"/>
      <c r="D140" s="90"/>
      <c r="E140" s="89"/>
      <c r="G140" s="463"/>
      <c r="K140" s="90"/>
      <c r="L140" s="90"/>
    </row>
    <row r="141" spans="2:12">
      <c r="B141" s="89"/>
      <c r="C141" s="90"/>
      <c r="D141" s="90"/>
      <c r="E141" s="89"/>
      <c r="G141" s="463"/>
      <c r="K141" s="90"/>
      <c r="L141" s="90"/>
    </row>
    <row r="142" spans="2:12">
      <c r="B142" s="89"/>
      <c r="C142" s="90"/>
      <c r="D142" s="90"/>
      <c r="E142" s="89"/>
      <c r="G142" s="463"/>
      <c r="K142" s="90"/>
      <c r="L142" s="90"/>
    </row>
    <row r="143" spans="2:12">
      <c r="B143" s="89"/>
      <c r="C143" s="90"/>
      <c r="D143" s="90"/>
      <c r="E143" s="89"/>
      <c r="G143" s="463"/>
      <c r="K143" s="90"/>
      <c r="L143" s="90"/>
    </row>
    <row r="144" spans="2:12">
      <c r="B144" s="89"/>
      <c r="C144" s="90"/>
      <c r="D144" s="90"/>
      <c r="E144" s="89"/>
      <c r="G144" s="463"/>
      <c r="K144" s="90"/>
      <c r="L144" s="90"/>
    </row>
    <row r="145" spans="2:12">
      <c r="B145" s="89"/>
      <c r="C145" s="90"/>
      <c r="D145" s="90"/>
      <c r="E145" s="89"/>
      <c r="G145" s="463"/>
      <c r="K145" s="90"/>
      <c r="L145" s="90"/>
    </row>
    <row r="146" spans="2:12">
      <c r="B146" s="89"/>
      <c r="C146" s="90"/>
      <c r="D146" s="90"/>
      <c r="E146" s="89"/>
      <c r="G146" s="463"/>
      <c r="K146" s="90"/>
      <c r="L146" s="90"/>
    </row>
    <row r="147" spans="2:12">
      <c r="B147" s="89"/>
      <c r="C147" s="90"/>
      <c r="D147" s="90"/>
      <c r="E147" s="89"/>
      <c r="G147" s="463"/>
      <c r="K147" s="90"/>
      <c r="L147" s="90"/>
    </row>
    <row r="148" spans="2:12">
      <c r="B148" s="89"/>
      <c r="C148" s="90"/>
      <c r="D148" s="90"/>
      <c r="E148" s="89"/>
      <c r="G148" s="463"/>
      <c r="K148" s="90"/>
      <c r="L148" s="90"/>
    </row>
    <row r="149" spans="2:12">
      <c r="B149" s="89"/>
      <c r="C149" s="90"/>
      <c r="D149" s="90"/>
      <c r="E149" s="89"/>
      <c r="G149" s="463"/>
      <c r="K149" s="90"/>
      <c r="L149" s="90"/>
    </row>
    <row r="150" spans="2:12">
      <c r="B150" s="89"/>
      <c r="C150" s="90"/>
      <c r="D150" s="90"/>
      <c r="E150" s="89"/>
      <c r="G150" s="463"/>
      <c r="K150" s="90"/>
      <c r="L150" s="90"/>
    </row>
    <row r="151" spans="2:12">
      <c r="B151" s="89"/>
      <c r="C151" s="90"/>
      <c r="D151" s="90"/>
      <c r="E151" s="89"/>
      <c r="G151" s="463"/>
      <c r="K151" s="90"/>
      <c r="L151" s="90"/>
    </row>
    <row r="152" spans="2:12">
      <c r="B152" s="89"/>
      <c r="C152" s="90"/>
      <c r="D152" s="90"/>
      <c r="E152" s="89"/>
      <c r="G152" s="463"/>
      <c r="K152" s="90"/>
      <c r="L152" s="90"/>
    </row>
    <row r="153" spans="2:12">
      <c r="B153" s="89"/>
      <c r="C153" s="90"/>
      <c r="D153" s="90"/>
      <c r="E153" s="89"/>
      <c r="G153" s="463"/>
      <c r="K153" s="90"/>
      <c r="L153" s="90"/>
    </row>
    <row r="154" spans="2:12">
      <c r="B154" s="89"/>
      <c r="C154" s="90"/>
      <c r="D154" s="90"/>
      <c r="E154" s="89"/>
      <c r="G154" s="463"/>
      <c r="K154" s="90"/>
      <c r="L154" s="90"/>
    </row>
    <row r="155" spans="2:12">
      <c r="B155" s="89"/>
      <c r="C155" s="90"/>
      <c r="D155" s="90"/>
      <c r="E155" s="89"/>
      <c r="G155" s="463"/>
      <c r="K155" s="90"/>
      <c r="L155" s="90"/>
    </row>
    <row r="156" spans="2:12">
      <c r="B156" s="89"/>
      <c r="C156" s="90"/>
      <c r="D156" s="90"/>
      <c r="E156" s="89"/>
      <c r="G156" s="463"/>
      <c r="K156" s="90"/>
      <c r="L156" s="90"/>
    </row>
    <row r="157" spans="2:12">
      <c r="B157" s="89"/>
      <c r="C157" s="90"/>
      <c r="D157" s="90"/>
      <c r="E157" s="89"/>
      <c r="G157" s="463"/>
      <c r="K157" s="90"/>
      <c r="L157" s="90"/>
    </row>
    <row r="158" spans="2:12">
      <c r="B158" s="89"/>
      <c r="C158" s="90"/>
      <c r="D158" s="90"/>
      <c r="E158" s="89"/>
      <c r="G158" s="463"/>
      <c r="K158" s="90"/>
      <c r="L158" s="90"/>
    </row>
    <row r="159" spans="2:12">
      <c r="B159" s="89"/>
      <c r="C159" s="90"/>
      <c r="D159" s="90"/>
      <c r="E159" s="89"/>
      <c r="G159" s="463"/>
      <c r="K159" s="90"/>
      <c r="L159" s="90"/>
    </row>
    <row r="160" spans="2:12">
      <c r="B160" s="89"/>
      <c r="C160" s="90"/>
      <c r="D160" s="90"/>
      <c r="E160" s="89"/>
      <c r="G160" s="463"/>
      <c r="K160" s="90"/>
      <c r="L160" s="90"/>
    </row>
    <row r="161" spans="2:12">
      <c r="B161" s="89"/>
      <c r="C161" s="90"/>
      <c r="D161" s="90"/>
      <c r="E161" s="89"/>
      <c r="G161" s="463"/>
      <c r="K161" s="90"/>
      <c r="L161" s="90"/>
    </row>
    <row r="162" spans="2:12">
      <c r="B162" s="89"/>
      <c r="C162" s="90"/>
      <c r="D162" s="90"/>
      <c r="E162" s="89"/>
      <c r="G162" s="463"/>
      <c r="K162" s="90"/>
      <c r="L162" s="90"/>
    </row>
    <row r="163" spans="2:12">
      <c r="B163" s="89"/>
      <c r="C163" s="90"/>
      <c r="D163" s="90"/>
      <c r="E163" s="89"/>
      <c r="G163" s="463"/>
      <c r="K163" s="90"/>
      <c r="L163" s="90"/>
    </row>
    <row r="164" spans="2:12">
      <c r="B164" s="89"/>
      <c r="C164" s="90"/>
      <c r="D164" s="90"/>
      <c r="E164" s="89"/>
      <c r="G164" s="463"/>
      <c r="K164" s="90"/>
      <c r="L164" s="90"/>
    </row>
    <row r="165" spans="2:12">
      <c r="B165" s="89"/>
      <c r="C165" s="90"/>
      <c r="D165" s="90"/>
      <c r="E165" s="89"/>
      <c r="G165" s="463"/>
      <c r="K165" s="90"/>
      <c r="L165" s="90"/>
    </row>
    <row r="166" spans="2:12">
      <c r="B166" s="89"/>
      <c r="C166" s="90"/>
      <c r="D166" s="90"/>
      <c r="E166" s="89"/>
      <c r="G166" s="463"/>
      <c r="K166" s="90"/>
      <c r="L166" s="90"/>
    </row>
    <row r="167" spans="2:12">
      <c r="B167" s="89"/>
      <c r="C167" s="90"/>
      <c r="D167" s="90"/>
      <c r="E167" s="89"/>
      <c r="G167" s="463"/>
      <c r="K167" s="90"/>
      <c r="L167" s="90"/>
    </row>
    <row r="168" spans="2:12">
      <c r="B168" s="89"/>
      <c r="C168" s="90"/>
      <c r="D168" s="90"/>
      <c r="E168" s="89"/>
      <c r="G168" s="463"/>
      <c r="K168" s="90"/>
      <c r="L168" s="90"/>
    </row>
    <row r="169" spans="2:12">
      <c r="B169" s="89"/>
      <c r="C169" s="90"/>
      <c r="D169" s="90"/>
      <c r="E169" s="89"/>
      <c r="G169" s="463"/>
      <c r="K169" s="90"/>
      <c r="L169" s="90"/>
    </row>
    <row r="170" spans="2:12">
      <c r="B170" s="89"/>
      <c r="C170" s="90"/>
      <c r="D170" s="90"/>
      <c r="E170" s="89"/>
      <c r="G170" s="463"/>
      <c r="K170" s="90"/>
      <c r="L170" s="90"/>
    </row>
    <row r="171" spans="2:12">
      <c r="B171" s="89"/>
      <c r="C171" s="90"/>
      <c r="D171" s="90"/>
      <c r="E171" s="89"/>
      <c r="G171" s="463"/>
      <c r="K171" s="90"/>
      <c r="L171" s="90"/>
    </row>
    <row r="172" spans="2:12">
      <c r="B172" s="89"/>
      <c r="C172" s="90"/>
      <c r="D172" s="90"/>
      <c r="E172" s="89"/>
      <c r="G172" s="463"/>
      <c r="K172" s="90"/>
      <c r="L172" s="90"/>
    </row>
    <row r="173" spans="2:12">
      <c r="B173" s="89"/>
      <c r="C173" s="90"/>
      <c r="D173" s="90"/>
      <c r="E173" s="89"/>
      <c r="G173" s="463"/>
      <c r="K173" s="90"/>
      <c r="L173" s="90"/>
    </row>
    <row r="174" spans="2:12">
      <c r="B174" s="89"/>
      <c r="C174" s="90"/>
      <c r="D174" s="90"/>
      <c r="E174" s="89"/>
      <c r="G174" s="463"/>
      <c r="K174" s="90"/>
      <c r="L174" s="90"/>
    </row>
    <row r="175" spans="2:12">
      <c r="B175" s="89"/>
      <c r="C175" s="90"/>
      <c r="D175" s="90"/>
      <c r="E175" s="89"/>
      <c r="G175" s="463"/>
      <c r="K175" s="90"/>
      <c r="L175" s="90"/>
    </row>
    <row r="176" spans="2:12">
      <c r="B176" s="89"/>
      <c r="C176" s="90"/>
      <c r="D176" s="90"/>
      <c r="E176" s="89"/>
      <c r="G176" s="463"/>
      <c r="K176" s="90"/>
      <c r="L176" s="90"/>
    </row>
    <row r="177" spans="2:12">
      <c r="B177" s="89"/>
      <c r="C177" s="90"/>
      <c r="D177" s="90"/>
      <c r="E177" s="89"/>
      <c r="G177" s="463"/>
      <c r="K177" s="90"/>
      <c r="L177" s="90"/>
    </row>
    <row r="178" spans="2:12">
      <c r="B178" s="89"/>
      <c r="C178" s="90"/>
      <c r="D178" s="90"/>
      <c r="E178" s="89"/>
      <c r="G178" s="463"/>
      <c r="K178" s="90"/>
      <c r="L178" s="90"/>
    </row>
    <row r="179" spans="2:12">
      <c r="B179" s="89"/>
      <c r="C179" s="90"/>
      <c r="D179" s="90"/>
      <c r="E179" s="89"/>
      <c r="G179" s="463"/>
      <c r="K179" s="90"/>
      <c r="L179" s="90"/>
    </row>
    <row r="180" spans="2:12">
      <c r="B180" s="89"/>
      <c r="C180" s="90"/>
      <c r="D180" s="90"/>
      <c r="E180" s="89"/>
      <c r="G180" s="463"/>
      <c r="K180" s="90"/>
      <c r="L180" s="90"/>
    </row>
    <row r="181" spans="2:12">
      <c r="B181" s="89"/>
      <c r="C181" s="90"/>
      <c r="D181" s="90"/>
      <c r="E181" s="89"/>
      <c r="G181" s="463"/>
      <c r="K181" s="90"/>
      <c r="L181" s="90"/>
    </row>
    <row r="182" spans="2:12">
      <c r="B182" s="89"/>
      <c r="C182" s="90"/>
      <c r="D182" s="90"/>
      <c r="E182" s="89"/>
      <c r="G182" s="463"/>
      <c r="K182" s="90"/>
      <c r="L182" s="90"/>
    </row>
    <row r="183" spans="2:12">
      <c r="B183" s="89"/>
      <c r="C183" s="90"/>
      <c r="D183" s="90"/>
      <c r="E183" s="89"/>
      <c r="G183" s="463"/>
      <c r="K183" s="90"/>
      <c r="L183" s="90"/>
    </row>
    <row r="184" spans="2:12">
      <c r="B184" s="89"/>
      <c r="C184" s="90"/>
      <c r="D184" s="90"/>
      <c r="E184" s="89"/>
      <c r="G184" s="463"/>
      <c r="K184" s="90"/>
      <c r="L184" s="90"/>
    </row>
    <row r="185" spans="2:12">
      <c r="B185" s="89"/>
      <c r="C185" s="90"/>
      <c r="D185" s="90"/>
      <c r="E185" s="89"/>
      <c r="G185" s="463"/>
      <c r="K185" s="90"/>
      <c r="L185" s="90"/>
    </row>
    <row r="186" spans="2:12">
      <c r="B186" s="89"/>
      <c r="C186" s="90"/>
      <c r="D186" s="90"/>
      <c r="E186" s="89"/>
      <c r="G186" s="463"/>
      <c r="K186" s="90"/>
      <c r="L186" s="90"/>
    </row>
    <row r="187" spans="2:12">
      <c r="B187" s="89"/>
      <c r="C187" s="90"/>
      <c r="D187" s="90"/>
      <c r="E187" s="89"/>
      <c r="G187" s="463"/>
      <c r="K187" s="90"/>
      <c r="L187" s="90"/>
    </row>
    <row r="188" spans="2:12">
      <c r="B188" s="89"/>
      <c r="C188" s="90"/>
      <c r="D188" s="90"/>
      <c r="E188" s="89"/>
      <c r="G188" s="463"/>
      <c r="K188" s="90"/>
      <c r="L188" s="90"/>
    </row>
    <row r="189" spans="2:12">
      <c r="B189" s="89"/>
      <c r="C189" s="90"/>
      <c r="D189" s="90"/>
      <c r="E189" s="89"/>
      <c r="G189" s="463"/>
      <c r="K189" s="90"/>
      <c r="L189" s="90"/>
    </row>
    <row r="190" spans="2:12">
      <c r="B190" s="89"/>
      <c r="C190" s="90"/>
      <c r="D190" s="90"/>
      <c r="E190" s="89"/>
      <c r="G190" s="463"/>
      <c r="K190" s="90"/>
      <c r="L190" s="90"/>
    </row>
    <row r="191" spans="2:12">
      <c r="B191" s="89"/>
      <c r="C191" s="90"/>
      <c r="D191" s="90"/>
      <c r="E191" s="89"/>
      <c r="G191" s="463"/>
      <c r="K191" s="90"/>
      <c r="L191" s="90"/>
    </row>
    <row r="192" spans="2:12">
      <c r="B192" s="89"/>
      <c r="C192" s="90"/>
      <c r="D192" s="90"/>
      <c r="E192" s="89"/>
      <c r="G192" s="463"/>
      <c r="K192" s="90"/>
      <c r="L192" s="90"/>
    </row>
    <row r="193" spans="2:12">
      <c r="B193" s="89"/>
      <c r="C193" s="90"/>
      <c r="D193" s="90"/>
      <c r="E193" s="89"/>
      <c r="G193" s="463"/>
      <c r="K193" s="90"/>
      <c r="L193" s="90"/>
    </row>
    <row r="194" spans="2:12">
      <c r="B194" s="89"/>
      <c r="C194" s="90"/>
      <c r="D194" s="90"/>
      <c r="E194" s="89"/>
      <c r="G194" s="463"/>
      <c r="K194" s="90"/>
      <c r="L194" s="90"/>
    </row>
    <row r="195" spans="2:12">
      <c r="B195" s="89"/>
      <c r="C195" s="90"/>
      <c r="D195" s="90"/>
      <c r="E195" s="89"/>
      <c r="G195" s="463"/>
      <c r="K195" s="90"/>
      <c r="L195" s="90"/>
    </row>
    <row r="196" spans="2:12">
      <c r="B196" s="89"/>
      <c r="C196" s="90"/>
      <c r="D196" s="90"/>
      <c r="E196" s="89"/>
      <c r="G196" s="463"/>
      <c r="K196" s="90"/>
      <c r="L196" s="90"/>
    </row>
    <row r="197" spans="2:12">
      <c r="B197" s="89"/>
      <c r="C197" s="90"/>
      <c r="D197" s="90"/>
      <c r="E197" s="89"/>
      <c r="G197" s="463"/>
      <c r="K197" s="90"/>
      <c r="L197" s="90"/>
    </row>
    <row r="198" spans="2:12">
      <c r="B198" s="89"/>
      <c r="C198" s="90"/>
      <c r="D198" s="90"/>
      <c r="E198" s="89"/>
      <c r="G198" s="463"/>
      <c r="K198" s="90"/>
      <c r="L198" s="90"/>
    </row>
    <row r="199" spans="2:12">
      <c r="B199" s="89"/>
      <c r="C199" s="90"/>
      <c r="D199" s="90"/>
      <c r="E199" s="89"/>
      <c r="G199" s="463"/>
      <c r="K199" s="90"/>
      <c r="L199" s="90"/>
    </row>
    <row r="200" spans="2:12">
      <c r="B200" s="89"/>
      <c r="C200" s="90"/>
      <c r="D200" s="90"/>
      <c r="E200" s="89"/>
      <c r="G200" s="463"/>
      <c r="K200" s="90"/>
      <c r="L200" s="90"/>
    </row>
    <row r="201" spans="2:12">
      <c r="B201" s="89"/>
      <c r="C201" s="90"/>
      <c r="D201" s="90"/>
      <c r="E201" s="89"/>
      <c r="G201" s="463"/>
      <c r="K201" s="90"/>
      <c r="L201" s="90"/>
    </row>
    <row r="202" spans="2:12">
      <c r="B202" s="89"/>
      <c r="C202" s="90"/>
      <c r="D202" s="90"/>
      <c r="E202" s="89"/>
      <c r="G202" s="463"/>
      <c r="K202" s="90"/>
      <c r="L202" s="90"/>
    </row>
    <row r="203" spans="2:12">
      <c r="B203" s="89"/>
      <c r="C203" s="90"/>
      <c r="D203" s="90"/>
      <c r="E203" s="89"/>
      <c r="G203" s="463"/>
      <c r="K203" s="90"/>
      <c r="L203" s="90"/>
    </row>
    <row r="204" spans="2:12">
      <c r="B204" s="89"/>
      <c r="C204" s="90"/>
      <c r="D204" s="90"/>
      <c r="E204" s="89"/>
      <c r="G204" s="463"/>
      <c r="K204" s="90"/>
      <c r="L204" s="90"/>
    </row>
    <row r="205" spans="2:12">
      <c r="B205" s="89"/>
      <c r="C205" s="90"/>
      <c r="D205" s="90"/>
      <c r="E205" s="89"/>
      <c r="G205" s="463"/>
      <c r="K205" s="90"/>
      <c r="L205" s="90"/>
    </row>
    <row r="206" spans="2:12">
      <c r="B206" s="89"/>
      <c r="C206" s="90"/>
      <c r="D206" s="90"/>
      <c r="E206" s="89"/>
      <c r="G206" s="463"/>
      <c r="K206" s="90"/>
      <c r="L206" s="90"/>
    </row>
    <row r="207" spans="2:12">
      <c r="B207" s="89"/>
      <c r="C207" s="90"/>
      <c r="D207" s="90"/>
      <c r="E207" s="89"/>
      <c r="G207" s="463"/>
      <c r="K207" s="90"/>
      <c r="L207" s="90"/>
    </row>
    <row r="208" spans="2:12">
      <c r="B208" s="89"/>
      <c r="C208" s="90"/>
      <c r="D208" s="90"/>
      <c r="E208" s="89"/>
      <c r="G208" s="463"/>
      <c r="K208" s="90"/>
      <c r="L208" s="90"/>
    </row>
    <row r="209" spans="2:12">
      <c r="B209" s="89"/>
      <c r="C209" s="90"/>
      <c r="D209" s="90"/>
      <c r="E209" s="89"/>
      <c r="G209" s="463"/>
      <c r="K209" s="90"/>
      <c r="L209" s="90"/>
    </row>
    <row r="210" spans="2:12">
      <c r="B210" s="89"/>
      <c r="C210" s="90"/>
      <c r="D210" s="90"/>
      <c r="E210" s="89"/>
      <c r="G210" s="463"/>
      <c r="K210" s="90"/>
      <c r="L210" s="90"/>
    </row>
    <row r="211" spans="2:12">
      <c r="B211" s="89"/>
      <c r="C211" s="90"/>
      <c r="D211" s="90"/>
      <c r="E211" s="89"/>
      <c r="G211" s="463"/>
      <c r="K211" s="90"/>
      <c r="L211" s="90"/>
    </row>
    <row r="212" spans="2:12">
      <c r="B212" s="89"/>
      <c r="C212" s="90"/>
      <c r="D212" s="90"/>
      <c r="E212" s="89"/>
      <c r="G212" s="463"/>
      <c r="K212" s="90"/>
      <c r="L212" s="90"/>
    </row>
    <row r="213" spans="2:12">
      <c r="B213" s="89"/>
      <c r="C213" s="90"/>
      <c r="D213" s="90"/>
      <c r="E213" s="89"/>
      <c r="G213" s="463"/>
      <c r="K213" s="90"/>
      <c r="L213" s="90"/>
    </row>
    <row r="214" spans="2:12">
      <c r="B214" s="89"/>
      <c r="C214" s="90"/>
      <c r="D214" s="90"/>
      <c r="E214" s="89"/>
      <c r="G214" s="463"/>
      <c r="K214" s="90"/>
      <c r="L214" s="90"/>
    </row>
    <row r="215" spans="2:12">
      <c r="B215" s="89"/>
      <c r="C215" s="90"/>
      <c r="D215" s="90"/>
      <c r="E215" s="89"/>
      <c r="G215" s="463"/>
      <c r="K215" s="90"/>
      <c r="L215" s="90"/>
    </row>
    <row r="216" spans="2:12">
      <c r="B216" s="89"/>
      <c r="C216" s="90"/>
      <c r="D216" s="90"/>
      <c r="E216" s="89"/>
      <c r="G216" s="463"/>
      <c r="K216" s="90"/>
      <c r="L216" s="90"/>
    </row>
    <row r="217" spans="2:12">
      <c r="B217" s="89"/>
      <c r="C217" s="90"/>
      <c r="D217" s="90"/>
      <c r="E217" s="89"/>
      <c r="G217" s="463"/>
      <c r="K217" s="90"/>
      <c r="L217" s="90"/>
    </row>
    <row r="218" spans="2:12">
      <c r="B218" s="89"/>
      <c r="C218" s="90"/>
      <c r="D218" s="90"/>
      <c r="E218" s="89"/>
      <c r="G218" s="463"/>
      <c r="K218" s="90"/>
      <c r="L218" s="90"/>
    </row>
    <row r="219" spans="2:12">
      <c r="B219" s="89"/>
      <c r="C219" s="90"/>
      <c r="D219" s="90"/>
      <c r="E219" s="89"/>
      <c r="G219" s="463"/>
      <c r="K219" s="90"/>
      <c r="L219" s="90"/>
    </row>
    <row r="220" spans="2:12">
      <c r="B220" s="89"/>
      <c r="C220" s="90"/>
      <c r="D220" s="90"/>
      <c r="E220" s="89"/>
      <c r="G220" s="463"/>
      <c r="K220" s="90"/>
      <c r="L220" s="90"/>
    </row>
    <row r="221" spans="2:12">
      <c r="B221" s="89"/>
      <c r="C221" s="90"/>
      <c r="D221" s="90"/>
      <c r="E221" s="89"/>
      <c r="G221" s="463"/>
      <c r="K221" s="90"/>
      <c r="L221" s="90"/>
    </row>
    <row r="222" spans="2:12">
      <c r="B222" s="89"/>
      <c r="C222" s="90"/>
      <c r="D222" s="90"/>
      <c r="E222" s="89"/>
      <c r="G222" s="463"/>
      <c r="K222" s="90"/>
      <c r="L222" s="90"/>
    </row>
    <row r="223" spans="2:12">
      <c r="B223" s="89"/>
      <c r="C223" s="90"/>
      <c r="D223" s="90"/>
      <c r="E223" s="89"/>
      <c r="G223" s="463"/>
      <c r="K223" s="90"/>
      <c r="L223" s="90"/>
    </row>
    <row r="224" spans="2:12">
      <c r="B224" s="89"/>
      <c r="C224" s="90"/>
      <c r="D224" s="90"/>
      <c r="E224" s="89"/>
      <c r="G224" s="463"/>
      <c r="K224" s="90"/>
      <c r="L224" s="90"/>
    </row>
    <row r="225" spans="2:12">
      <c r="B225" s="89"/>
      <c r="C225" s="90"/>
      <c r="D225" s="90"/>
      <c r="E225" s="89"/>
      <c r="G225" s="463"/>
      <c r="K225" s="90"/>
      <c r="L225" s="90"/>
    </row>
    <row r="226" spans="2:12">
      <c r="B226" s="89"/>
      <c r="C226" s="90"/>
      <c r="D226" s="90"/>
      <c r="E226" s="89"/>
      <c r="G226" s="463"/>
      <c r="K226" s="90"/>
      <c r="L226" s="90"/>
    </row>
    <row r="227" spans="2:12">
      <c r="B227" s="89"/>
      <c r="C227" s="90"/>
      <c r="D227" s="90"/>
      <c r="E227" s="89"/>
      <c r="G227" s="463"/>
      <c r="K227" s="90"/>
      <c r="L227" s="90"/>
    </row>
    <row r="228" spans="2:12">
      <c r="B228" s="89"/>
      <c r="C228" s="90"/>
      <c r="D228" s="90"/>
      <c r="E228" s="89"/>
      <c r="G228" s="463"/>
      <c r="K228" s="90"/>
      <c r="L228" s="90"/>
    </row>
    <row r="229" spans="2:12">
      <c r="B229" s="89"/>
      <c r="C229" s="90"/>
      <c r="D229" s="90"/>
      <c r="E229" s="89"/>
      <c r="G229" s="463"/>
      <c r="K229" s="90"/>
      <c r="L229" s="90"/>
    </row>
    <row r="230" spans="2:12">
      <c r="B230" s="89"/>
      <c r="C230" s="90"/>
      <c r="D230" s="90"/>
      <c r="E230" s="89"/>
      <c r="G230" s="463"/>
      <c r="K230" s="90"/>
      <c r="L230" s="90"/>
    </row>
    <row r="231" spans="2:12">
      <c r="B231" s="89"/>
      <c r="C231" s="90"/>
      <c r="D231" s="90"/>
      <c r="E231" s="89"/>
      <c r="G231" s="463"/>
      <c r="K231" s="90"/>
      <c r="L231" s="90"/>
    </row>
    <row r="232" spans="2:12">
      <c r="B232" s="89"/>
      <c r="C232" s="90"/>
      <c r="D232" s="90"/>
      <c r="E232" s="89"/>
      <c r="G232" s="463"/>
      <c r="K232" s="90"/>
      <c r="L232" s="90"/>
    </row>
    <row r="233" spans="2:12">
      <c r="B233" s="89"/>
      <c r="C233" s="90"/>
      <c r="D233" s="90"/>
      <c r="E233" s="89"/>
      <c r="G233" s="463"/>
      <c r="K233" s="90"/>
      <c r="L233" s="90"/>
    </row>
    <row r="234" spans="2:12">
      <c r="B234" s="89"/>
      <c r="C234" s="90"/>
      <c r="D234" s="90"/>
      <c r="E234" s="89"/>
      <c r="G234" s="463"/>
      <c r="K234" s="90"/>
      <c r="L234" s="90"/>
    </row>
    <row r="235" spans="2:12">
      <c r="B235" s="89"/>
      <c r="C235" s="90"/>
      <c r="D235" s="90"/>
      <c r="E235" s="89"/>
      <c r="G235" s="463"/>
      <c r="K235" s="90"/>
      <c r="L235" s="90"/>
    </row>
    <row r="236" spans="2:12">
      <c r="B236" s="89"/>
      <c r="C236" s="90"/>
      <c r="D236" s="90"/>
      <c r="E236" s="89"/>
      <c r="G236" s="463"/>
      <c r="K236" s="90"/>
      <c r="L236" s="90"/>
    </row>
    <row r="237" spans="2:12">
      <c r="B237" s="89"/>
      <c r="C237" s="90"/>
      <c r="D237" s="90"/>
      <c r="E237" s="89"/>
      <c r="G237" s="463"/>
      <c r="K237" s="90"/>
      <c r="L237" s="90"/>
    </row>
    <row r="238" spans="2:12">
      <c r="B238" s="89"/>
      <c r="C238" s="90"/>
      <c r="D238" s="90"/>
      <c r="E238" s="89"/>
      <c r="G238" s="463"/>
      <c r="K238" s="90"/>
      <c r="L238" s="90"/>
    </row>
    <row r="239" spans="2:12">
      <c r="B239" s="89"/>
      <c r="C239" s="90"/>
      <c r="D239" s="90"/>
      <c r="E239" s="89"/>
      <c r="G239" s="463"/>
      <c r="K239" s="90"/>
      <c r="L239" s="90"/>
    </row>
    <row r="240" spans="2:12">
      <c r="B240" s="89"/>
      <c r="C240" s="90"/>
      <c r="D240" s="90"/>
      <c r="E240" s="89"/>
      <c r="G240" s="463"/>
      <c r="K240" s="90"/>
      <c r="L240" s="90"/>
    </row>
    <row r="241" spans="2:12">
      <c r="B241" s="89"/>
      <c r="C241" s="90"/>
      <c r="D241" s="90"/>
      <c r="E241" s="89"/>
      <c r="G241" s="463"/>
      <c r="K241" s="90"/>
      <c r="L241" s="90"/>
    </row>
    <row r="242" spans="2:12">
      <c r="B242" s="89"/>
      <c r="C242" s="90"/>
      <c r="D242" s="90"/>
      <c r="E242" s="89"/>
      <c r="G242" s="463"/>
      <c r="K242" s="90"/>
      <c r="L242" s="90"/>
    </row>
    <row r="243" spans="2:12">
      <c r="B243" s="89"/>
      <c r="C243" s="90"/>
      <c r="D243" s="90"/>
      <c r="E243" s="89"/>
      <c r="G243" s="463"/>
      <c r="K243" s="90"/>
      <c r="L243" s="90"/>
    </row>
    <row r="244" spans="2:12">
      <c r="B244" s="89"/>
      <c r="C244" s="90"/>
      <c r="D244" s="90"/>
      <c r="E244" s="89"/>
      <c r="G244" s="463"/>
      <c r="K244" s="90"/>
      <c r="L244" s="90"/>
    </row>
    <row r="245" spans="2:12">
      <c r="B245" s="89"/>
      <c r="C245" s="90"/>
      <c r="D245" s="90"/>
      <c r="E245" s="89"/>
      <c r="G245" s="463"/>
      <c r="K245" s="90"/>
      <c r="L245" s="90"/>
    </row>
    <row r="246" spans="2:12">
      <c r="B246" s="89"/>
      <c r="C246" s="90"/>
      <c r="D246" s="90"/>
      <c r="E246" s="89"/>
      <c r="G246" s="463"/>
      <c r="K246" s="90"/>
      <c r="L246" s="90"/>
    </row>
    <row r="247" spans="2:12">
      <c r="B247" s="89"/>
      <c r="C247" s="90"/>
      <c r="D247" s="90"/>
      <c r="E247" s="89"/>
      <c r="G247" s="463"/>
      <c r="K247" s="90"/>
      <c r="L247" s="90"/>
    </row>
    <row r="248" spans="2:12">
      <c r="B248" s="89"/>
      <c r="C248" s="90"/>
      <c r="D248" s="90"/>
      <c r="E248" s="89"/>
      <c r="G248" s="463"/>
      <c r="K248" s="90"/>
      <c r="L248" s="90"/>
    </row>
    <row r="249" spans="2:12">
      <c r="B249" s="89"/>
      <c r="C249" s="90"/>
      <c r="D249" s="90"/>
      <c r="E249" s="89"/>
      <c r="G249" s="463"/>
      <c r="K249" s="90"/>
      <c r="L249" s="90"/>
    </row>
    <row r="250" spans="2:12">
      <c r="B250" s="89"/>
      <c r="C250" s="90"/>
      <c r="D250" s="90"/>
      <c r="E250" s="89"/>
      <c r="G250" s="463"/>
      <c r="K250" s="90"/>
      <c r="L250" s="90"/>
    </row>
    <row r="251" spans="2:12">
      <c r="B251" s="89"/>
      <c r="C251" s="90"/>
      <c r="D251" s="90"/>
      <c r="E251" s="89"/>
      <c r="G251" s="463"/>
      <c r="K251" s="90"/>
      <c r="L251" s="90"/>
    </row>
    <row r="252" spans="2:12">
      <c r="B252" s="89"/>
      <c r="C252" s="90"/>
      <c r="D252" s="90"/>
      <c r="E252" s="89"/>
      <c r="G252" s="463"/>
      <c r="K252" s="90"/>
      <c r="L252" s="90"/>
    </row>
    <row r="253" spans="2:12">
      <c r="B253" s="89"/>
      <c r="C253" s="90"/>
      <c r="D253" s="90"/>
      <c r="E253" s="89"/>
      <c r="G253" s="463"/>
      <c r="K253" s="90"/>
      <c r="L253" s="90"/>
    </row>
    <row r="254" spans="2:12">
      <c r="B254" s="89"/>
      <c r="C254" s="90"/>
      <c r="D254" s="90"/>
      <c r="E254" s="89"/>
      <c r="G254" s="463"/>
      <c r="K254" s="90"/>
      <c r="L254" s="90"/>
    </row>
    <row r="255" spans="2:12">
      <c r="B255" s="89"/>
      <c r="C255" s="90"/>
      <c r="D255" s="90"/>
      <c r="E255" s="89"/>
      <c r="G255" s="463"/>
      <c r="K255" s="90"/>
      <c r="L255" s="90"/>
    </row>
    <row r="256" spans="2:12">
      <c r="B256" s="89"/>
      <c r="C256" s="90"/>
      <c r="D256" s="90"/>
      <c r="E256" s="89"/>
      <c r="G256" s="463"/>
      <c r="K256" s="90"/>
      <c r="L256" s="90"/>
    </row>
    <row r="257" spans="2:12">
      <c r="B257" s="89"/>
      <c r="C257" s="90"/>
      <c r="D257" s="90"/>
      <c r="E257" s="89"/>
      <c r="G257" s="463"/>
      <c r="K257" s="90"/>
      <c r="L257" s="90"/>
    </row>
    <row r="258" spans="2:12">
      <c r="B258" s="89"/>
      <c r="C258" s="90"/>
      <c r="D258" s="90"/>
      <c r="E258" s="89"/>
      <c r="G258" s="463"/>
      <c r="K258" s="90"/>
      <c r="L258" s="90"/>
    </row>
    <row r="259" spans="2:12">
      <c r="B259" s="89"/>
      <c r="C259" s="90"/>
      <c r="D259" s="90"/>
      <c r="E259" s="89"/>
      <c r="G259" s="463"/>
      <c r="K259" s="90"/>
      <c r="L259" s="90"/>
    </row>
    <row r="260" spans="2:12">
      <c r="B260" s="89"/>
      <c r="C260" s="90"/>
      <c r="D260" s="90"/>
      <c r="E260" s="89"/>
      <c r="G260" s="463"/>
      <c r="K260" s="90"/>
      <c r="L260" s="90"/>
    </row>
    <row r="261" spans="2:12">
      <c r="B261" s="89"/>
      <c r="C261" s="90"/>
      <c r="D261" s="90"/>
      <c r="E261" s="89"/>
      <c r="G261" s="463"/>
      <c r="K261" s="90"/>
      <c r="L261" s="90"/>
    </row>
    <row r="262" spans="2:12">
      <c r="B262" s="89"/>
      <c r="C262" s="90"/>
      <c r="D262" s="90"/>
      <c r="E262" s="89"/>
      <c r="G262" s="463"/>
      <c r="K262" s="90"/>
      <c r="L262" s="90"/>
    </row>
    <row r="263" spans="2:12">
      <c r="B263" s="89"/>
      <c r="C263" s="90"/>
      <c r="D263" s="90"/>
      <c r="E263" s="89"/>
      <c r="G263" s="463"/>
      <c r="K263" s="90"/>
      <c r="L263" s="90"/>
    </row>
    <row r="264" spans="2:12">
      <c r="B264" s="89"/>
      <c r="C264" s="90"/>
      <c r="D264" s="90"/>
      <c r="E264" s="89"/>
      <c r="G264" s="463"/>
      <c r="K264" s="90"/>
      <c r="L264" s="90"/>
    </row>
    <row r="265" spans="2:12">
      <c r="B265" s="89"/>
      <c r="C265" s="90"/>
      <c r="D265" s="90"/>
      <c r="E265" s="89"/>
      <c r="G265" s="463"/>
      <c r="K265" s="90"/>
      <c r="L265" s="90"/>
    </row>
    <row r="266" spans="2:12">
      <c r="B266" s="89"/>
      <c r="C266" s="90"/>
      <c r="D266" s="90"/>
      <c r="E266" s="89"/>
      <c r="G266" s="463"/>
      <c r="K266" s="90"/>
      <c r="L266" s="90"/>
    </row>
    <row r="267" spans="2:12">
      <c r="B267" s="89"/>
      <c r="C267" s="90"/>
      <c r="D267" s="90"/>
      <c r="E267" s="89"/>
      <c r="G267" s="463"/>
      <c r="K267" s="90"/>
      <c r="L267" s="90"/>
    </row>
    <row r="268" spans="2:12">
      <c r="B268" s="89"/>
      <c r="C268" s="90"/>
      <c r="D268" s="90"/>
      <c r="E268" s="89"/>
      <c r="G268" s="463"/>
      <c r="K268" s="90"/>
      <c r="L268" s="90"/>
    </row>
    <row r="269" spans="2:12">
      <c r="B269" s="89"/>
      <c r="C269" s="90"/>
      <c r="D269" s="90"/>
      <c r="E269" s="89"/>
      <c r="G269" s="463"/>
      <c r="K269" s="90"/>
      <c r="L269" s="90"/>
    </row>
    <row r="270" spans="2:12">
      <c r="B270" s="89"/>
      <c r="C270" s="90"/>
      <c r="D270" s="90"/>
      <c r="E270" s="89"/>
      <c r="G270" s="463"/>
      <c r="K270" s="90"/>
      <c r="L270" s="90"/>
    </row>
    <row r="271" spans="2:12">
      <c r="B271" s="89"/>
      <c r="C271" s="90"/>
      <c r="D271" s="90"/>
      <c r="E271" s="89"/>
      <c r="G271" s="463"/>
      <c r="K271" s="90"/>
      <c r="L271" s="90"/>
    </row>
    <row r="272" spans="2:12">
      <c r="B272" s="89"/>
      <c r="C272" s="90"/>
      <c r="D272" s="90"/>
      <c r="E272" s="89"/>
      <c r="G272" s="463"/>
      <c r="K272" s="90"/>
      <c r="L272" s="90"/>
    </row>
    <row r="273" spans="2:12">
      <c r="B273" s="89"/>
      <c r="C273" s="90"/>
      <c r="D273" s="90"/>
      <c r="E273" s="89"/>
      <c r="G273" s="463"/>
      <c r="K273" s="90"/>
      <c r="L273" s="90"/>
    </row>
    <row r="274" spans="2:12">
      <c r="B274" s="89"/>
      <c r="C274" s="90"/>
      <c r="D274" s="90"/>
      <c r="E274" s="89"/>
      <c r="G274" s="463"/>
      <c r="K274" s="90"/>
      <c r="L274" s="90"/>
    </row>
    <row r="275" spans="2:12">
      <c r="B275" s="89"/>
      <c r="C275" s="90"/>
      <c r="D275" s="90"/>
      <c r="E275" s="89"/>
      <c r="G275" s="463"/>
      <c r="K275" s="90"/>
      <c r="L275" s="90"/>
    </row>
    <row r="276" spans="2:12">
      <c r="B276" s="89"/>
      <c r="C276" s="90"/>
      <c r="D276" s="90"/>
      <c r="E276" s="89"/>
      <c r="G276" s="463"/>
      <c r="K276" s="90"/>
      <c r="L276" s="90"/>
    </row>
    <row r="277" spans="2:12">
      <c r="B277" s="89"/>
      <c r="C277" s="90"/>
      <c r="D277" s="90"/>
      <c r="E277" s="89"/>
      <c r="G277" s="463"/>
      <c r="K277" s="90"/>
      <c r="L277" s="90"/>
    </row>
    <row r="278" spans="2:12">
      <c r="B278" s="89"/>
      <c r="C278" s="90"/>
      <c r="D278" s="90"/>
      <c r="E278" s="89"/>
      <c r="G278" s="463"/>
      <c r="K278" s="90"/>
      <c r="L278" s="90"/>
    </row>
    <row r="279" spans="2:12">
      <c r="B279" s="89"/>
      <c r="C279" s="90"/>
      <c r="D279" s="90"/>
      <c r="E279" s="89"/>
      <c r="G279" s="463"/>
      <c r="K279" s="90"/>
      <c r="L279" s="90"/>
    </row>
    <row r="280" spans="2:12">
      <c r="B280" s="89"/>
      <c r="C280" s="90"/>
      <c r="D280" s="90"/>
      <c r="E280" s="89"/>
      <c r="G280" s="463"/>
      <c r="K280" s="90"/>
      <c r="L280" s="90"/>
    </row>
    <row r="281" spans="2:12">
      <c r="B281" s="89"/>
      <c r="C281" s="90"/>
      <c r="D281" s="90"/>
      <c r="E281" s="89"/>
      <c r="G281" s="463"/>
      <c r="K281" s="90"/>
      <c r="L281" s="90"/>
    </row>
    <row r="282" spans="2:12">
      <c r="B282" s="89"/>
      <c r="C282" s="90"/>
      <c r="D282" s="90"/>
      <c r="E282" s="89"/>
      <c r="G282" s="463"/>
      <c r="K282" s="90"/>
      <c r="L282" s="90"/>
    </row>
    <row r="283" spans="2:12">
      <c r="B283" s="89"/>
      <c r="C283" s="90"/>
      <c r="D283" s="90"/>
      <c r="E283" s="89"/>
      <c r="G283" s="463"/>
      <c r="K283" s="90"/>
      <c r="L283" s="90"/>
    </row>
    <row r="284" spans="2:12">
      <c r="B284" s="89"/>
      <c r="C284" s="90"/>
      <c r="D284" s="90"/>
      <c r="E284" s="89"/>
      <c r="G284" s="463"/>
      <c r="K284" s="90"/>
      <c r="L284" s="90"/>
    </row>
    <row r="285" spans="2:12">
      <c r="B285" s="89"/>
      <c r="C285" s="90"/>
      <c r="D285" s="90"/>
      <c r="E285" s="89"/>
      <c r="G285" s="463"/>
      <c r="K285" s="90"/>
      <c r="L285" s="90"/>
    </row>
    <row r="286" spans="2:12">
      <c r="B286" s="89"/>
      <c r="C286" s="90"/>
      <c r="D286" s="90"/>
      <c r="E286" s="89"/>
      <c r="G286" s="463"/>
      <c r="K286" s="90"/>
      <c r="L286" s="90"/>
    </row>
    <row r="287" spans="2:12">
      <c r="B287" s="89"/>
      <c r="C287" s="90"/>
      <c r="D287" s="90"/>
      <c r="E287" s="89"/>
      <c r="G287" s="463"/>
      <c r="K287" s="90"/>
      <c r="L287" s="90"/>
    </row>
    <row r="288" spans="2:12">
      <c r="B288" s="89"/>
      <c r="C288" s="90"/>
      <c r="D288" s="90"/>
      <c r="E288" s="89"/>
      <c r="G288" s="463"/>
      <c r="K288" s="90"/>
      <c r="L288" s="90"/>
    </row>
    <row r="289" spans="2:12">
      <c r="B289" s="89"/>
      <c r="C289" s="90"/>
      <c r="D289" s="90"/>
      <c r="E289" s="89"/>
      <c r="G289" s="463"/>
      <c r="K289" s="90"/>
      <c r="L289" s="90"/>
    </row>
    <row r="290" spans="2:12">
      <c r="B290" s="89"/>
      <c r="C290" s="90"/>
      <c r="D290" s="90"/>
      <c r="E290" s="89"/>
      <c r="G290" s="463"/>
      <c r="K290" s="90"/>
      <c r="L290" s="90"/>
    </row>
    <row r="291" spans="2:12">
      <c r="B291" s="89"/>
      <c r="C291" s="90"/>
      <c r="D291" s="90"/>
      <c r="E291" s="89"/>
      <c r="G291" s="463"/>
      <c r="K291" s="90"/>
      <c r="L291" s="90"/>
    </row>
    <row r="292" spans="2:12">
      <c r="B292" s="89"/>
      <c r="C292" s="90"/>
      <c r="D292" s="90"/>
      <c r="E292" s="89"/>
      <c r="G292" s="463"/>
      <c r="K292" s="90"/>
      <c r="L292" s="90"/>
    </row>
    <row r="293" spans="2:12">
      <c r="B293" s="89"/>
      <c r="C293" s="90"/>
      <c r="D293" s="90"/>
      <c r="E293" s="89"/>
      <c r="G293" s="463"/>
      <c r="K293" s="90"/>
      <c r="L293" s="90"/>
    </row>
    <row r="294" spans="2:12">
      <c r="B294" s="89"/>
      <c r="C294" s="90"/>
      <c r="D294" s="90"/>
      <c r="E294" s="89"/>
      <c r="G294" s="463"/>
      <c r="K294" s="90"/>
      <c r="L294" s="90"/>
    </row>
    <row r="295" spans="2:12">
      <c r="B295" s="89"/>
      <c r="C295" s="90"/>
      <c r="D295" s="90"/>
      <c r="E295" s="89"/>
      <c r="G295" s="463"/>
      <c r="K295" s="90"/>
      <c r="L295" s="90"/>
    </row>
    <row r="296" spans="2:12">
      <c r="B296" s="89"/>
      <c r="C296" s="90"/>
      <c r="D296" s="90"/>
      <c r="E296" s="89"/>
      <c r="G296" s="463"/>
      <c r="K296" s="90"/>
      <c r="L296" s="90"/>
    </row>
    <row r="297" spans="2:12">
      <c r="B297" s="89"/>
      <c r="C297" s="90"/>
      <c r="D297" s="90"/>
      <c r="E297" s="89"/>
      <c r="G297" s="463"/>
      <c r="K297" s="90"/>
      <c r="L297" s="90"/>
    </row>
    <row r="298" spans="2:12">
      <c r="B298" s="89"/>
      <c r="C298" s="90"/>
      <c r="D298" s="90"/>
      <c r="E298" s="89"/>
      <c r="G298" s="463"/>
      <c r="K298" s="90"/>
      <c r="L298" s="90"/>
    </row>
    <row r="299" spans="2:12">
      <c r="B299" s="89"/>
      <c r="C299" s="90"/>
      <c r="D299" s="90"/>
      <c r="E299" s="89"/>
      <c r="G299" s="463"/>
      <c r="K299" s="90"/>
      <c r="L299" s="90"/>
    </row>
    <row r="300" spans="2:12">
      <c r="B300" s="89"/>
      <c r="C300" s="90"/>
      <c r="D300" s="90"/>
      <c r="E300" s="89"/>
      <c r="G300" s="463"/>
      <c r="K300" s="90"/>
      <c r="L300" s="90"/>
    </row>
    <row r="301" spans="2:12">
      <c r="B301" s="89"/>
      <c r="C301" s="90"/>
      <c r="D301" s="90"/>
      <c r="E301" s="89"/>
      <c r="G301" s="463"/>
      <c r="K301" s="90"/>
      <c r="L301" s="90"/>
    </row>
    <row r="302" spans="2:12">
      <c r="B302" s="89"/>
      <c r="C302" s="90"/>
      <c r="D302" s="90"/>
      <c r="E302" s="89"/>
      <c r="G302" s="463"/>
      <c r="K302" s="90"/>
      <c r="L302" s="90"/>
    </row>
    <row r="303" spans="2:12">
      <c r="B303" s="89"/>
      <c r="C303" s="90"/>
      <c r="D303" s="90"/>
      <c r="E303" s="89"/>
      <c r="G303" s="463"/>
      <c r="K303" s="90"/>
      <c r="L303" s="90"/>
    </row>
    <row r="304" spans="2:12">
      <c r="B304" s="89"/>
      <c r="C304" s="90"/>
      <c r="D304" s="90"/>
      <c r="E304" s="89"/>
      <c r="G304" s="463"/>
      <c r="K304" s="90"/>
      <c r="L304" s="90"/>
    </row>
    <row r="305" spans="2:12">
      <c r="B305" s="89"/>
      <c r="C305" s="90"/>
      <c r="D305" s="90"/>
      <c r="E305" s="89"/>
      <c r="G305" s="463"/>
      <c r="K305" s="90"/>
      <c r="L305" s="90"/>
    </row>
    <row r="306" spans="2:12">
      <c r="B306" s="89"/>
      <c r="C306" s="90"/>
      <c r="D306" s="90"/>
      <c r="E306" s="89"/>
      <c r="G306" s="463"/>
      <c r="K306" s="90"/>
      <c r="L306" s="90"/>
    </row>
    <row r="307" spans="2:12">
      <c r="B307" s="89"/>
      <c r="C307" s="90"/>
      <c r="D307" s="90"/>
      <c r="E307" s="89"/>
      <c r="G307" s="463"/>
      <c r="K307" s="90"/>
      <c r="L307" s="90"/>
    </row>
    <row r="308" spans="2:12">
      <c r="B308" s="89"/>
      <c r="C308" s="90"/>
      <c r="D308" s="90"/>
      <c r="E308" s="89"/>
      <c r="G308" s="463"/>
      <c r="K308" s="90"/>
      <c r="L308" s="90"/>
    </row>
    <row r="309" spans="2:12">
      <c r="B309" s="89"/>
      <c r="C309" s="90"/>
      <c r="D309" s="90"/>
      <c r="E309" s="89"/>
      <c r="G309" s="463"/>
      <c r="K309" s="90"/>
      <c r="L309" s="90"/>
    </row>
    <row r="310" spans="2:12">
      <c r="B310" s="89"/>
      <c r="C310" s="90"/>
      <c r="D310" s="90"/>
      <c r="E310" s="89"/>
      <c r="G310" s="463"/>
      <c r="K310" s="90"/>
      <c r="L310" s="90"/>
    </row>
    <row r="311" spans="2:12">
      <c r="B311" s="89"/>
      <c r="C311" s="90"/>
      <c r="D311" s="90"/>
      <c r="E311" s="89"/>
      <c r="G311" s="463"/>
      <c r="K311" s="90"/>
      <c r="L311" s="90"/>
    </row>
    <row r="312" spans="2:12">
      <c r="B312" s="89"/>
      <c r="C312" s="90"/>
      <c r="D312" s="90"/>
      <c r="E312" s="89"/>
      <c r="G312" s="463"/>
      <c r="K312" s="90"/>
      <c r="L312" s="90"/>
    </row>
    <row r="313" spans="2:12">
      <c r="B313" s="89"/>
      <c r="C313" s="90"/>
      <c r="D313" s="90"/>
      <c r="E313" s="89"/>
      <c r="G313" s="463"/>
      <c r="K313" s="90"/>
      <c r="L313" s="90"/>
    </row>
    <row r="314" spans="2:12">
      <c r="B314" s="89"/>
      <c r="C314" s="90"/>
      <c r="D314" s="90"/>
      <c r="E314" s="89"/>
      <c r="G314" s="463"/>
      <c r="K314" s="90"/>
      <c r="L314" s="90"/>
    </row>
    <row r="315" spans="2:12">
      <c r="B315" s="89"/>
      <c r="C315" s="90"/>
      <c r="D315" s="90"/>
      <c r="E315" s="89"/>
      <c r="G315" s="463"/>
      <c r="K315" s="90"/>
      <c r="L315" s="90"/>
    </row>
    <row r="316" spans="2:12">
      <c r="B316" s="89"/>
      <c r="C316" s="90"/>
      <c r="D316" s="90"/>
      <c r="E316" s="89"/>
      <c r="G316" s="463"/>
      <c r="K316" s="90"/>
      <c r="L316" s="90"/>
    </row>
    <row r="317" spans="2:12">
      <c r="B317" s="89"/>
      <c r="C317" s="90"/>
      <c r="D317" s="90"/>
      <c r="E317" s="89"/>
      <c r="G317" s="463"/>
      <c r="K317" s="90"/>
      <c r="L317" s="90"/>
    </row>
    <row r="318" spans="2:12">
      <c r="B318" s="89"/>
      <c r="C318" s="90"/>
      <c r="D318" s="90"/>
      <c r="E318" s="89"/>
      <c r="G318" s="463"/>
      <c r="K318" s="90"/>
      <c r="L318" s="90"/>
    </row>
    <row r="319" spans="2:12">
      <c r="B319" s="89"/>
      <c r="C319" s="90"/>
      <c r="D319" s="90"/>
      <c r="E319" s="89"/>
      <c r="G319" s="463"/>
      <c r="K319" s="90"/>
      <c r="L319" s="90"/>
    </row>
    <row r="320" spans="2:12">
      <c r="B320" s="89"/>
      <c r="C320" s="90"/>
      <c r="D320" s="90"/>
      <c r="E320" s="89"/>
      <c r="G320" s="463"/>
      <c r="K320" s="90"/>
      <c r="L320" s="90"/>
    </row>
    <row r="321" spans="2:12">
      <c r="B321" s="89"/>
      <c r="C321" s="90"/>
      <c r="D321" s="90"/>
      <c r="E321" s="89"/>
      <c r="G321" s="463"/>
      <c r="K321" s="90"/>
      <c r="L321" s="90"/>
    </row>
    <row r="322" spans="2:12">
      <c r="B322" s="89"/>
      <c r="C322" s="90"/>
      <c r="D322" s="90"/>
      <c r="E322" s="89"/>
      <c r="G322" s="463"/>
      <c r="K322" s="90"/>
      <c r="L322" s="90"/>
    </row>
    <row r="323" spans="2:12">
      <c r="B323" s="89"/>
      <c r="C323" s="90"/>
      <c r="D323" s="90"/>
      <c r="E323" s="89"/>
      <c r="G323" s="463"/>
      <c r="K323" s="90"/>
      <c r="L323" s="90"/>
    </row>
    <row r="324" spans="2:12">
      <c r="B324" s="89"/>
      <c r="C324" s="90"/>
      <c r="D324" s="90"/>
      <c r="E324" s="89"/>
      <c r="G324" s="463"/>
      <c r="K324" s="90"/>
      <c r="L324" s="90"/>
    </row>
    <row r="325" spans="2:12">
      <c r="B325" s="89"/>
      <c r="C325" s="90"/>
      <c r="D325" s="90"/>
      <c r="E325" s="89"/>
      <c r="G325" s="463"/>
      <c r="K325" s="90"/>
      <c r="L325" s="90"/>
    </row>
    <row r="326" spans="2:12">
      <c r="B326" s="89"/>
      <c r="C326" s="90"/>
      <c r="D326" s="90"/>
      <c r="E326" s="89"/>
      <c r="G326" s="463"/>
      <c r="K326" s="90"/>
      <c r="L326" s="90"/>
    </row>
    <row r="327" spans="2:12">
      <c r="B327" s="89"/>
      <c r="C327" s="90"/>
      <c r="D327" s="90"/>
      <c r="E327" s="89"/>
      <c r="G327" s="463"/>
      <c r="K327" s="90"/>
      <c r="L327" s="90"/>
    </row>
    <row r="328" spans="2:12">
      <c r="B328" s="89"/>
      <c r="C328" s="90"/>
      <c r="D328" s="90"/>
      <c r="E328" s="89"/>
      <c r="G328" s="463"/>
      <c r="K328" s="90"/>
      <c r="L328" s="90"/>
    </row>
    <row r="329" spans="2:12">
      <c r="B329" s="89"/>
      <c r="C329" s="90"/>
      <c r="D329" s="90"/>
      <c r="E329" s="89"/>
      <c r="G329" s="463"/>
      <c r="K329" s="90"/>
      <c r="L329" s="90"/>
    </row>
    <row r="330" spans="2:12">
      <c r="B330" s="89"/>
      <c r="C330" s="90"/>
      <c r="D330" s="90"/>
      <c r="E330" s="89"/>
      <c r="G330" s="463"/>
      <c r="K330" s="90"/>
      <c r="L330" s="90"/>
    </row>
    <row r="331" spans="2:12">
      <c r="B331" s="89"/>
      <c r="C331" s="90"/>
      <c r="D331" s="90"/>
      <c r="E331" s="89"/>
      <c r="G331" s="463"/>
      <c r="K331" s="90"/>
      <c r="L331" s="90"/>
    </row>
    <row r="332" spans="2:12">
      <c r="B332" s="89"/>
      <c r="C332" s="90"/>
      <c r="D332" s="90"/>
      <c r="E332" s="89"/>
      <c r="G332" s="463"/>
      <c r="K332" s="90"/>
      <c r="L332" s="90"/>
    </row>
    <row r="333" spans="2:12">
      <c r="B333" s="89"/>
      <c r="C333" s="90"/>
      <c r="D333" s="90"/>
      <c r="E333" s="89"/>
      <c r="G333" s="463"/>
      <c r="K333" s="90"/>
      <c r="L333" s="90"/>
    </row>
    <row r="334" spans="2:12">
      <c r="B334" s="89"/>
      <c r="C334" s="90"/>
      <c r="D334" s="90"/>
      <c r="E334" s="89"/>
      <c r="G334" s="463"/>
      <c r="K334" s="90"/>
      <c r="L334" s="90"/>
    </row>
    <row r="335" spans="2:12">
      <c r="B335" s="89"/>
      <c r="C335" s="90"/>
      <c r="D335" s="90"/>
      <c r="E335" s="89"/>
      <c r="G335" s="463"/>
      <c r="K335" s="90"/>
      <c r="L335" s="90"/>
    </row>
    <row r="336" spans="2:12">
      <c r="B336" s="89"/>
      <c r="C336" s="90"/>
      <c r="D336" s="90"/>
      <c r="E336" s="89"/>
      <c r="G336" s="463"/>
      <c r="K336" s="90"/>
      <c r="L336" s="90"/>
    </row>
    <row r="337" spans="2:12">
      <c r="B337" s="89"/>
      <c r="C337" s="90"/>
      <c r="D337" s="90"/>
      <c r="E337" s="89"/>
      <c r="G337" s="463"/>
      <c r="K337" s="90"/>
      <c r="L337" s="90"/>
    </row>
    <row r="338" spans="2:12">
      <c r="B338" s="89"/>
      <c r="C338" s="90"/>
      <c r="D338" s="90"/>
      <c r="E338" s="89"/>
      <c r="G338" s="463"/>
      <c r="K338" s="90"/>
      <c r="L338" s="90"/>
    </row>
    <row r="339" spans="2:12">
      <c r="B339" s="89"/>
      <c r="C339" s="90"/>
      <c r="D339" s="90"/>
      <c r="E339" s="89"/>
      <c r="G339" s="463"/>
      <c r="K339" s="90"/>
      <c r="L339" s="90"/>
    </row>
    <row r="340" spans="2:12">
      <c r="B340" s="89"/>
      <c r="C340" s="90"/>
      <c r="D340" s="90"/>
      <c r="E340" s="89"/>
      <c r="G340" s="463"/>
      <c r="K340" s="90"/>
      <c r="L340" s="90"/>
    </row>
    <row r="341" spans="2:12">
      <c r="B341" s="89"/>
      <c r="C341" s="90"/>
      <c r="D341" s="90"/>
      <c r="E341" s="89"/>
      <c r="G341" s="463"/>
      <c r="K341" s="90"/>
      <c r="L341" s="90"/>
    </row>
    <row r="342" spans="2:12">
      <c r="B342" s="89"/>
      <c r="C342" s="90"/>
      <c r="D342" s="90"/>
      <c r="E342" s="89"/>
      <c r="G342" s="463"/>
      <c r="K342" s="90"/>
      <c r="L342" s="90"/>
    </row>
    <row r="343" spans="2:12">
      <c r="B343" s="89"/>
      <c r="C343" s="90"/>
      <c r="D343" s="90"/>
      <c r="E343" s="89"/>
      <c r="G343" s="463"/>
      <c r="K343" s="90"/>
      <c r="L343" s="90"/>
    </row>
    <row r="344" spans="2:12">
      <c r="B344" s="89"/>
      <c r="C344" s="90"/>
      <c r="D344" s="90"/>
      <c r="E344" s="89"/>
      <c r="G344" s="463"/>
      <c r="K344" s="90"/>
      <c r="L344" s="90"/>
    </row>
    <row r="345" spans="2:12">
      <c r="B345" s="89"/>
      <c r="C345" s="90"/>
      <c r="D345" s="90"/>
      <c r="E345" s="89"/>
      <c r="G345" s="463"/>
      <c r="K345" s="90"/>
      <c r="L345" s="90"/>
    </row>
    <row r="346" spans="2:12">
      <c r="B346" s="89"/>
      <c r="C346" s="90"/>
      <c r="D346" s="90"/>
      <c r="E346" s="89"/>
      <c r="G346" s="463"/>
      <c r="K346" s="90"/>
      <c r="L346" s="90"/>
    </row>
    <row r="347" spans="2:12">
      <c r="B347" s="89"/>
      <c r="C347" s="90"/>
      <c r="D347" s="90"/>
      <c r="E347" s="89"/>
      <c r="G347" s="463"/>
      <c r="K347" s="90"/>
      <c r="L347" s="90"/>
    </row>
    <row r="348" spans="2:12">
      <c r="B348" s="89"/>
      <c r="C348" s="90"/>
      <c r="D348" s="90"/>
      <c r="E348" s="89"/>
      <c r="G348" s="463"/>
      <c r="K348" s="90"/>
      <c r="L348" s="90"/>
    </row>
    <row r="349" spans="2:12">
      <c r="B349" s="89"/>
      <c r="C349" s="90"/>
      <c r="D349" s="90"/>
      <c r="E349" s="89"/>
      <c r="G349" s="463"/>
      <c r="K349" s="90"/>
      <c r="L349" s="90"/>
    </row>
    <row r="350" spans="2:12">
      <c r="B350" s="89"/>
      <c r="C350" s="90"/>
      <c r="D350" s="90"/>
      <c r="E350" s="89"/>
      <c r="G350" s="463"/>
      <c r="K350" s="90"/>
      <c r="L350" s="90"/>
    </row>
    <row r="351" spans="2:12">
      <c r="B351" s="89"/>
      <c r="C351" s="90"/>
      <c r="D351" s="90"/>
      <c r="E351" s="89"/>
      <c r="G351" s="463"/>
      <c r="K351" s="90"/>
      <c r="L351" s="90"/>
    </row>
    <row r="352" spans="2:12">
      <c r="B352" s="89"/>
      <c r="C352" s="90"/>
      <c r="D352" s="90"/>
      <c r="E352" s="89"/>
      <c r="G352" s="463"/>
      <c r="K352" s="90"/>
      <c r="L352" s="90"/>
    </row>
    <row r="353" spans="2:12">
      <c r="B353" s="89"/>
      <c r="C353" s="90"/>
      <c r="D353" s="90"/>
      <c r="E353" s="89"/>
      <c r="G353" s="463"/>
      <c r="K353" s="90"/>
      <c r="L353" s="90"/>
    </row>
    <row r="354" spans="2:12">
      <c r="B354" s="89"/>
      <c r="C354" s="90"/>
      <c r="D354" s="90"/>
      <c r="E354" s="89"/>
      <c r="G354" s="463"/>
      <c r="K354" s="90"/>
      <c r="L354" s="90"/>
    </row>
    <row r="355" spans="2:12">
      <c r="B355" s="89"/>
      <c r="C355" s="90"/>
      <c r="D355" s="90"/>
      <c r="E355" s="89"/>
      <c r="G355" s="463"/>
      <c r="K355" s="90"/>
      <c r="L355" s="90"/>
    </row>
    <row r="356" spans="2:12">
      <c r="B356" s="89"/>
      <c r="C356" s="90"/>
      <c r="D356" s="90"/>
      <c r="E356" s="89"/>
      <c r="G356" s="463"/>
      <c r="K356" s="90"/>
      <c r="L356" s="90"/>
    </row>
    <row r="357" spans="2:12">
      <c r="B357" s="89"/>
      <c r="C357" s="90"/>
      <c r="D357" s="90"/>
      <c r="E357" s="89"/>
      <c r="G357" s="463"/>
      <c r="K357" s="90"/>
      <c r="L357" s="90"/>
    </row>
    <row r="358" spans="2:12">
      <c r="B358" s="89"/>
      <c r="C358" s="90"/>
      <c r="D358" s="90"/>
      <c r="E358" s="89"/>
      <c r="G358" s="463"/>
      <c r="K358" s="90"/>
      <c r="L358" s="90"/>
    </row>
    <row r="359" spans="2:12">
      <c r="B359" s="89"/>
      <c r="C359" s="90"/>
      <c r="D359" s="90"/>
      <c r="E359" s="89"/>
      <c r="G359" s="463"/>
      <c r="K359" s="90"/>
      <c r="L359" s="90"/>
    </row>
    <row r="360" spans="2:12">
      <c r="B360" s="89"/>
      <c r="C360" s="90"/>
      <c r="D360" s="90"/>
      <c r="E360" s="89"/>
      <c r="G360" s="463"/>
      <c r="K360" s="90"/>
      <c r="L360" s="90"/>
    </row>
    <row r="361" spans="2:12">
      <c r="B361" s="89"/>
      <c r="C361" s="90"/>
      <c r="D361" s="90"/>
      <c r="E361" s="89"/>
      <c r="G361" s="463"/>
      <c r="K361" s="90"/>
      <c r="L361" s="90"/>
    </row>
    <row r="362" spans="2:12">
      <c r="B362" s="89"/>
      <c r="C362" s="90"/>
      <c r="D362" s="90"/>
      <c r="E362" s="89"/>
      <c r="G362" s="463"/>
      <c r="K362" s="90"/>
      <c r="L362" s="90"/>
    </row>
    <row r="363" spans="2:12">
      <c r="B363" s="89"/>
      <c r="C363" s="90"/>
      <c r="D363" s="90"/>
      <c r="E363" s="89"/>
      <c r="G363" s="463"/>
      <c r="K363" s="90"/>
      <c r="L363" s="90"/>
    </row>
    <row r="364" spans="2:12">
      <c r="B364" s="89"/>
      <c r="C364" s="90"/>
      <c r="D364" s="90"/>
      <c r="E364" s="89"/>
      <c r="G364" s="463"/>
      <c r="K364" s="90"/>
      <c r="L364" s="90"/>
    </row>
    <row r="365" spans="2:12">
      <c r="B365" s="89"/>
      <c r="C365" s="90"/>
      <c r="D365" s="90"/>
      <c r="E365" s="89"/>
      <c r="G365" s="463"/>
      <c r="K365" s="90"/>
      <c r="L365" s="90"/>
    </row>
    <row r="366" spans="2:12">
      <c r="B366" s="89"/>
      <c r="C366" s="90"/>
      <c r="D366" s="90"/>
      <c r="E366" s="89"/>
      <c r="G366" s="463"/>
      <c r="K366" s="90"/>
      <c r="L366" s="90"/>
    </row>
    <row r="367" spans="2:12">
      <c r="B367" s="89"/>
      <c r="C367" s="90"/>
      <c r="D367" s="90"/>
      <c r="E367" s="89"/>
      <c r="G367" s="463"/>
      <c r="K367" s="90"/>
      <c r="L367" s="90"/>
    </row>
    <row r="368" spans="2:12">
      <c r="B368" s="89"/>
      <c r="C368" s="90"/>
      <c r="D368" s="90"/>
      <c r="E368" s="89"/>
      <c r="G368" s="463"/>
      <c r="K368" s="90"/>
      <c r="L368" s="90"/>
    </row>
    <row r="369" spans="2:12">
      <c r="B369" s="89"/>
      <c r="C369" s="90"/>
      <c r="D369" s="90"/>
      <c r="E369" s="89"/>
      <c r="G369" s="463"/>
      <c r="K369" s="90"/>
      <c r="L369" s="90"/>
    </row>
    <row r="370" spans="2:12">
      <c r="B370" s="89"/>
      <c r="C370" s="90"/>
      <c r="D370" s="90"/>
      <c r="E370" s="89"/>
      <c r="G370" s="463"/>
      <c r="K370" s="90"/>
      <c r="L370" s="90"/>
    </row>
    <row r="371" spans="2:12">
      <c r="B371" s="89"/>
      <c r="C371" s="90"/>
      <c r="D371" s="90"/>
      <c r="E371" s="89"/>
      <c r="G371" s="463"/>
      <c r="K371" s="90"/>
      <c r="L371" s="90"/>
    </row>
    <row r="372" spans="2:12">
      <c r="B372" s="89"/>
      <c r="C372" s="90"/>
      <c r="D372" s="90"/>
      <c r="E372" s="89"/>
      <c r="G372" s="463"/>
      <c r="K372" s="90"/>
      <c r="L372" s="90"/>
    </row>
    <row r="373" spans="2:12">
      <c r="B373" s="89"/>
      <c r="C373" s="90"/>
      <c r="D373" s="90"/>
      <c r="E373" s="89"/>
      <c r="G373" s="463"/>
      <c r="K373" s="90"/>
      <c r="L373" s="90"/>
    </row>
    <row r="374" spans="2:12">
      <c r="B374" s="89"/>
      <c r="C374" s="90"/>
      <c r="D374" s="90"/>
      <c r="E374" s="89"/>
      <c r="G374" s="463"/>
      <c r="K374" s="90"/>
      <c r="L374" s="90"/>
    </row>
    <row r="375" spans="2:12">
      <c r="B375" s="89"/>
      <c r="C375" s="90"/>
      <c r="D375" s="90"/>
      <c r="E375" s="89"/>
      <c r="G375" s="463"/>
      <c r="K375" s="90"/>
      <c r="L375" s="90"/>
    </row>
    <row r="376" spans="2:12">
      <c r="B376" s="89"/>
      <c r="C376" s="90"/>
      <c r="D376" s="90"/>
      <c r="E376" s="89"/>
      <c r="G376" s="463"/>
      <c r="K376" s="90"/>
      <c r="L376" s="90"/>
    </row>
    <row r="377" spans="2:12">
      <c r="B377" s="89"/>
      <c r="C377" s="90"/>
      <c r="D377" s="90"/>
      <c r="E377" s="89"/>
      <c r="G377" s="463"/>
      <c r="K377" s="90"/>
      <c r="L377" s="90"/>
    </row>
    <row r="378" spans="2:12">
      <c r="B378" s="89"/>
      <c r="C378" s="90"/>
      <c r="D378" s="90"/>
      <c r="E378" s="89"/>
      <c r="G378" s="463"/>
      <c r="K378" s="90"/>
      <c r="L378" s="90"/>
    </row>
    <row r="379" spans="2:12">
      <c r="B379" s="89"/>
      <c r="C379" s="90"/>
      <c r="D379" s="90"/>
      <c r="E379" s="89"/>
      <c r="G379" s="463"/>
      <c r="K379" s="90"/>
      <c r="L379" s="90"/>
    </row>
    <row r="380" spans="2:12">
      <c r="B380" s="89"/>
      <c r="C380" s="90"/>
      <c r="D380" s="90"/>
      <c r="E380" s="89"/>
      <c r="G380" s="463"/>
      <c r="K380" s="90"/>
      <c r="L380" s="90"/>
    </row>
    <row r="381" spans="2:12">
      <c r="B381" s="89"/>
      <c r="C381" s="90"/>
      <c r="D381" s="90"/>
      <c r="E381" s="89"/>
      <c r="G381" s="463"/>
      <c r="K381" s="90"/>
      <c r="L381" s="90"/>
    </row>
    <row r="382" spans="2:12">
      <c r="B382" s="89"/>
      <c r="C382" s="90"/>
      <c r="D382" s="90"/>
      <c r="E382" s="89"/>
      <c r="G382" s="463"/>
      <c r="K382" s="90"/>
      <c r="L382" s="90"/>
    </row>
    <row r="383" spans="2:12">
      <c r="B383" s="89"/>
      <c r="C383" s="90"/>
      <c r="D383" s="90"/>
      <c r="E383" s="89"/>
      <c r="G383" s="463"/>
      <c r="K383" s="90"/>
      <c r="L383" s="90"/>
    </row>
    <row r="384" spans="2:12">
      <c r="B384" s="89"/>
      <c r="C384" s="90"/>
      <c r="D384" s="90"/>
      <c r="E384" s="89"/>
      <c r="G384" s="463"/>
      <c r="K384" s="90"/>
      <c r="L384" s="90"/>
    </row>
    <row r="385" spans="2:12">
      <c r="B385" s="89"/>
      <c r="C385" s="90"/>
      <c r="D385" s="90"/>
      <c r="E385" s="89"/>
      <c r="G385" s="463"/>
      <c r="K385" s="90"/>
      <c r="L385" s="90"/>
    </row>
    <row r="386" spans="2:12">
      <c r="B386" s="89"/>
      <c r="C386" s="90"/>
      <c r="D386" s="90"/>
      <c r="E386" s="89"/>
      <c r="G386" s="463"/>
      <c r="K386" s="90"/>
      <c r="L386" s="90"/>
    </row>
    <row r="387" spans="2:12">
      <c r="B387" s="89"/>
      <c r="C387" s="90"/>
      <c r="D387" s="90"/>
      <c r="E387" s="89"/>
      <c r="G387" s="463"/>
      <c r="K387" s="90"/>
      <c r="L387" s="90"/>
    </row>
    <row r="388" spans="2:12">
      <c r="B388" s="89"/>
      <c r="C388" s="90"/>
      <c r="D388" s="90"/>
      <c r="E388" s="89"/>
      <c r="G388" s="463"/>
      <c r="K388" s="90"/>
      <c r="L388" s="90"/>
    </row>
    <row r="389" spans="2:12">
      <c r="B389" s="89"/>
      <c r="C389" s="90"/>
      <c r="D389" s="90"/>
      <c r="E389" s="89"/>
      <c r="G389" s="463"/>
      <c r="K389" s="90"/>
      <c r="L389" s="90"/>
    </row>
    <row r="390" spans="2:12">
      <c r="B390" s="89"/>
      <c r="C390" s="90"/>
      <c r="D390" s="90"/>
      <c r="E390" s="89"/>
      <c r="G390" s="463"/>
      <c r="K390" s="90"/>
      <c r="L390" s="90"/>
    </row>
    <row r="391" spans="2:12">
      <c r="B391" s="89"/>
      <c r="C391" s="90"/>
      <c r="D391" s="90"/>
      <c r="E391" s="89"/>
      <c r="G391" s="463"/>
      <c r="K391" s="90"/>
      <c r="L391" s="90"/>
    </row>
    <row r="392" spans="2:12">
      <c r="B392" s="89"/>
      <c r="C392" s="90"/>
      <c r="D392" s="90"/>
      <c r="E392" s="89"/>
      <c r="G392" s="463"/>
      <c r="K392" s="90"/>
      <c r="L392" s="90"/>
    </row>
    <row r="393" spans="2:12">
      <c r="B393" s="89"/>
      <c r="C393" s="90"/>
      <c r="D393" s="90"/>
      <c r="E393" s="89"/>
      <c r="G393" s="463"/>
      <c r="K393" s="90"/>
      <c r="L393" s="90"/>
    </row>
    <row r="394" spans="2:12">
      <c r="B394" s="89"/>
      <c r="C394" s="90"/>
      <c r="D394" s="90"/>
      <c r="E394" s="89"/>
      <c r="G394" s="463"/>
      <c r="K394" s="90"/>
      <c r="L394" s="90"/>
    </row>
    <row r="395" spans="2:12">
      <c r="B395" s="89"/>
      <c r="C395" s="90"/>
      <c r="D395" s="90"/>
      <c r="E395" s="89"/>
      <c r="G395" s="463"/>
      <c r="K395" s="90"/>
      <c r="L395" s="90"/>
    </row>
    <row r="396" spans="2:12">
      <c r="B396" s="89"/>
      <c r="C396" s="90"/>
      <c r="D396" s="90"/>
      <c r="E396" s="89"/>
      <c r="G396" s="463"/>
      <c r="K396" s="90"/>
      <c r="L396" s="90"/>
    </row>
    <row r="397" spans="2:12">
      <c r="B397" s="89"/>
      <c r="C397" s="90"/>
      <c r="D397" s="90"/>
      <c r="E397" s="89"/>
      <c r="G397" s="463"/>
      <c r="K397" s="90"/>
      <c r="L397" s="90"/>
    </row>
    <row r="398" spans="2:12">
      <c r="B398" s="89"/>
      <c r="C398" s="90"/>
      <c r="D398" s="90"/>
      <c r="E398" s="89"/>
      <c r="G398" s="463"/>
      <c r="K398" s="90"/>
      <c r="L398" s="90"/>
    </row>
    <row r="399" spans="2:12">
      <c r="B399" s="89"/>
      <c r="C399" s="90"/>
      <c r="D399" s="90"/>
      <c r="E399" s="89"/>
      <c r="G399" s="463"/>
      <c r="K399" s="90"/>
      <c r="L399" s="90"/>
    </row>
    <row r="400" spans="2:12">
      <c r="B400" s="89"/>
      <c r="C400" s="90"/>
      <c r="D400" s="90"/>
      <c r="E400" s="89"/>
      <c r="G400" s="463"/>
      <c r="K400" s="90"/>
      <c r="L400" s="90"/>
    </row>
    <row r="401" spans="2:12">
      <c r="B401" s="89"/>
      <c r="C401" s="90"/>
      <c r="D401" s="90"/>
      <c r="E401" s="89"/>
      <c r="G401" s="463"/>
      <c r="K401" s="90"/>
      <c r="L401" s="90"/>
    </row>
    <row r="402" spans="2:12">
      <c r="B402" s="89"/>
      <c r="C402" s="90"/>
      <c r="D402" s="90"/>
      <c r="E402" s="89"/>
      <c r="G402" s="463"/>
      <c r="K402" s="90"/>
      <c r="L402" s="90"/>
    </row>
    <row r="403" spans="2:12">
      <c r="B403" s="89"/>
      <c r="C403" s="90"/>
      <c r="D403" s="90"/>
      <c r="E403" s="89"/>
      <c r="G403" s="463"/>
      <c r="K403" s="90"/>
      <c r="L403" s="90"/>
    </row>
    <row r="404" spans="2:12">
      <c r="B404" s="89"/>
      <c r="C404" s="90"/>
      <c r="D404" s="90"/>
      <c r="E404" s="89"/>
      <c r="G404" s="463"/>
      <c r="K404" s="90"/>
      <c r="L404" s="90"/>
    </row>
    <row r="405" spans="2:12">
      <c r="B405" s="89"/>
      <c r="C405" s="90"/>
      <c r="D405" s="90"/>
      <c r="E405" s="89"/>
      <c r="G405" s="463"/>
      <c r="K405" s="90"/>
      <c r="L405" s="90"/>
    </row>
    <row r="406" spans="2:12">
      <c r="B406" s="89"/>
      <c r="C406" s="90"/>
      <c r="D406" s="90"/>
      <c r="E406" s="89"/>
      <c r="G406" s="463"/>
      <c r="K406" s="90"/>
      <c r="L406" s="90"/>
    </row>
    <row r="407" spans="2:12">
      <c r="B407" s="89"/>
      <c r="C407" s="90"/>
      <c r="D407" s="90"/>
      <c r="E407" s="89"/>
      <c r="G407" s="463"/>
      <c r="K407" s="90"/>
      <c r="L407" s="90"/>
    </row>
    <row r="408" spans="2:12">
      <c r="B408" s="89"/>
      <c r="C408" s="90"/>
      <c r="D408" s="90"/>
      <c r="E408" s="89"/>
      <c r="G408" s="463"/>
      <c r="K408" s="90"/>
      <c r="L408" s="90"/>
    </row>
    <row r="409" spans="2:12">
      <c r="B409" s="89"/>
      <c r="C409" s="90"/>
      <c r="D409" s="90"/>
      <c r="E409" s="89"/>
      <c r="G409" s="463"/>
      <c r="K409" s="90"/>
      <c r="L409" s="90"/>
    </row>
    <row r="410" spans="2:12">
      <c r="B410" s="89"/>
      <c r="C410" s="90"/>
      <c r="D410" s="90"/>
      <c r="E410" s="89"/>
      <c r="G410" s="463"/>
      <c r="K410" s="90"/>
      <c r="L410" s="90"/>
    </row>
    <row r="411" spans="2:12">
      <c r="B411" s="89"/>
      <c r="C411" s="90"/>
      <c r="D411" s="90"/>
      <c r="E411" s="89"/>
      <c r="G411" s="463"/>
      <c r="K411" s="90"/>
      <c r="L411" s="90"/>
    </row>
    <row r="412" spans="2:12">
      <c r="B412" s="89"/>
      <c r="C412" s="90"/>
      <c r="D412" s="90"/>
      <c r="E412" s="89"/>
      <c r="G412" s="463"/>
      <c r="K412" s="90"/>
      <c r="L412" s="90"/>
    </row>
    <row r="413" spans="2:12">
      <c r="B413" s="89"/>
      <c r="C413" s="90"/>
      <c r="D413" s="90"/>
      <c r="E413" s="89"/>
      <c r="G413" s="463"/>
      <c r="K413" s="90"/>
      <c r="L413" s="90"/>
    </row>
    <row r="414" spans="2:12">
      <c r="B414" s="89"/>
      <c r="C414" s="90"/>
      <c r="D414" s="90"/>
      <c r="E414" s="89"/>
      <c r="G414" s="463"/>
      <c r="K414" s="90"/>
      <c r="L414" s="90"/>
    </row>
    <row r="415" spans="2:12">
      <c r="B415" s="89"/>
      <c r="C415" s="90"/>
      <c r="D415" s="90"/>
      <c r="E415" s="89"/>
      <c r="G415" s="463"/>
      <c r="K415" s="90"/>
      <c r="L415" s="90"/>
    </row>
    <row r="416" spans="2:12">
      <c r="B416" s="89"/>
      <c r="C416" s="90"/>
      <c r="D416" s="90"/>
      <c r="E416" s="89"/>
      <c r="G416" s="463"/>
      <c r="K416" s="90"/>
      <c r="L416" s="90"/>
    </row>
    <row r="417" spans="2:12">
      <c r="B417" s="89"/>
      <c r="C417" s="90"/>
      <c r="D417" s="90"/>
      <c r="E417" s="89"/>
      <c r="G417" s="463"/>
      <c r="K417" s="90"/>
      <c r="L417" s="90"/>
    </row>
    <row r="418" spans="2:12">
      <c r="B418" s="89"/>
      <c r="C418" s="90"/>
      <c r="D418" s="90"/>
      <c r="E418" s="89"/>
      <c r="G418" s="463"/>
      <c r="K418" s="90"/>
      <c r="L418" s="90"/>
    </row>
    <row r="419" spans="2:12">
      <c r="B419" s="89"/>
      <c r="C419" s="90"/>
      <c r="D419" s="90"/>
      <c r="E419" s="89"/>
      <c r="G419" s="463"/>
      <c r="K419" s="90"/>
      <c r="L419" s="90"/>
    </row>
    <row r="420" spans="2:12">
      <c r="B420" s="89"/>
      <c r="C420" s="90"/>
      <c r="D420" s="90"/>
      <c r="E420" s="89"/>
      <c r="G420" s="463"/>
      <c r="K420" s="90"/>
      <c r="L420" s="90"/>
    </row>
    <row r="421" spans="2:12">
      <c r="B421" s="89"/>
      <c r="C421" s="90"/>
      <c r="D421" s="90"/>
      <c r="E421" s="89"/>
      <c r="G421" s="463"/>
      <c r="K421" s="90"/>
      <c r="L421" s="90"/>
    </row>
    <row r="422" spans="2:12">
      <c r="B422" s="89"/>
      <c r="C422" s="90"/>
      <c r="D422" s="90"/>
      <c r="E422" s="89"/>
      <c r="G422" s="463"/>
      <c r="K422" s="90"/>
      <c r="L422" s="90"/>
    </row>
    <row r="423" spans="2:12">
      <c r="B423" s="89"/>
      <c r="C423" s="90"/>
      <c r="D423" s="90"/>
      <c r="E423" s="89"/>
      <c r="G423" s="463"/>
      <c r="K423" s="90"/>
      <c r="L423" s="90"/>
    </row>
    <row r="424" spans="2:12">
      <c r="B424" s="89"/>
      <c r="C424" s="90"/>
      <c r="D424" s="90"/>
      <c r="E424" s="89"/>
      <c r="G424" s="463"/>
      <c r="K424" s="90"/>
      <c r="L424" s="90"/>
    </row>
    <row r="425" spans="2:12">
      <c r="B425" s="89"/>
      <c r="C425" s="90"/>
      <c r="D425" s="90"/>
      <c r="E425" s="89"/>
      <c r="G425" s="463"/>
      <c r="K425" s="90"/>
      <c r="L425" s="90"/>
    </row>
    <row r="426" spans="2:12">
      <c r="B426" s="89"/>
      <c r="C426" s="90"/>
      <c r="D426" s="90"/>
      <c r="E426" s="89"/>
      <c r="G426" s="463"/>
      <c r="K426" s="90"/>
      <c r="L426" s="90"/>
    </row>
    <row r="427" spans="2:12">
      <c r="B427" s="89"/>
      <c r="C427" s="90"/>
      <c r="D427" s="90"/>
      <c r="E427" s="89"/>
      <c r="G427" s="463"/>
      <c r="K427" s="90"/>
      <c r="L427" s="90"/>
    </row>
    <row r="428" spans="2:12">
      <c r="B428" s="89"/>
      <c r="C428" s="90"/>
      <c r="D428" s="90"/>
      <c r="E428" s="89"/>
      <c r="G428" s="463"/>
      <c r="K428" s="90"/>
      <c r="L428" s="90"/>
    </row>
    <row r="429" spans="2:12">
      <c r="B429" s="89"/>
      <c r="C429" s="90"/>
      <c r="D429" s="90"/>
      <c r="E429" s="89"/>
      <c r="G429" s="463"/>
      <c r="K429" s="90"/>
      <c r="L429" s="90"/>
    </row>
    <row r="430" spans="2:12">
      <c r="B430" s="89"/>
      <c r="C430" s="90"/>
      <c r="D430" s="90"/>
      <c r="E430" s="89"/>
      <c r="G430" s="463"/>
      <c r="K430" s="90"/>
      <c r="L430" s="90"/>
    </row>
    <row r="431" spans="2:12">
      <c r="B431" s="89"/>
      <c r="C431" s="90"/>
      <c r="D431" s="90"/>
      <c r="E431" s="89"/>
      <c r="G431" s="463"/>
      <c r="K431" s="90"/>
      <c r="L431" s="90"/>
    </row>
    <row r="432" spans="2:12">
      <c r="B432" s="89"/>
      <c r="C432" s="90"/>
      <c r="D432" s="90"/>
      <c r="E432" s="89"/>
      <c r="G432" s="463"/>
      <c r="K432" s="90"/>
      <c r="L432" s="90"/>
    </row>
    <row r="433" spans="2:12">
      <c r="B433" s="89"/>
      <c r="C433" s="90"/>
      <c r="D433" s="90"/>
      <c r="E433" s="89"/>
      <c r="G433" s="463"/>
      <c r="K433" s="90"/>
      <c r="L433" s="90"/>
    </row>
    <row r="434" spans="2:12">
      <c r="B434" s="89"/>
      <c r="C434" s="90"/>
      <c r="D434" s="90"/>
      <c r="E434" s="89"/>
      <c r="G434" s="463"/>
      <c r="K434" s="90"/>
      <c r="L434" s="90"/>
    </row>
    <row r="435" spans="2:12">
      <c r="B435" s="89"/>
      <c r="C435" s="90"/>
      <c r="D435" s="90"/>
      <c r="E435" s="89"/>
      <c r="G435" s="463"/>
      <c r="K435" s="90"/>
      <c r="L435" s="90"/>
    </row>
    <row r="436" spans="2:12">
      <c r="B436" s="89"/>
      <c r="C436" s="90"/>
      <c r="D436" s="90"/>
      <c r="E436" s="89"/>
      <c r="G436" s="463"/>
      <c r="K436" s="90"/>
      <c r="L436" s="90"/>
    </row>
    <row r="437" spans="2:12">
      <c r="B437" s="89"/>
      <c r="C437" s="90"/>
      <c r="D437" s="90"/>
      <c r="E437" s="89"/>
      <c r="G437" s="463"/>
      <c r="K437" s="90"/>
      <c r="L437" s="90"/>
    </row>
    <row r="438" spans="2:12">
      <c r="B438" s="89"/>
      <c r="C438" s="90"/>
      <c r="D438" s="90"/>
      <c r="E438" s="89"/>
      <c r="G438" s="463"/>
      <c r="K438" s="90"/>
      <c r="L438" s="90"/>
    </row>
    <row r="439" spans="2:12">
      <c r="B439" s="89"/>
      <c r="C439" s="90"/>
      <c r="D439" s="90"/>
      <c r="E439" s="89"/>
      <c r="G439" s="463"/>
      <c r="K439" s="90"/>
      <c r="L439" s="90"/>
    </row>
    <row r="440" spans="2:12">
      <c r="B440" s="89"/>
      <c r="C440" s="90"/>
      <c r="D440" s="90"/>
      <c r="E440" s="89"/>
      <c r="G440" s="463"/>
      <c r="K440" s="90"/>
      <c r="L440" s="90"/>
    </row>
    <row r="441" spans="2:12">
      <c r="B441" s="89"/>
      <c r="C441" s="90"/>
      <c r="D441" s="90"/>
      <c r="E441" s="89"/>
      <c r="G441" s="463"/>
      <c r="K441" s="90"/>
      <c r="L441" s="90"/>
    </row>
    <row r="442" spans="2:12">
      <c r="B442" s="89"/>
      <c r="C442" s="90"/>
      <c r="D442" s="90"/>
      <c r="E442" s="89"/>
      <c r="G442" s="463"/>
      <c r="K442" s="90"/>
      <c r="L442" s="90"/>
    </row>
    <row r="443" spans="2:12">
      <c r="B443" s="89"/>
      <c r="C443" s="90"/>
      <c r="D443" s="90"/>
      <c r="E443" s="89"/>
      <c r="G443" s="463"/>
      <c r="K443" s="90"/>
      <c r="L443" s="90"/>
    </row>
    <row r="444" spans="2:12">
      <c r="B444" s="89"/>
      <c r="C444" s="90"/>
      <c r="D444" s="90"/>
      <c r="E444" s="89"/>
      <c r="G444" s="463"/>
      <c r="K444" s="90"/>
      <c r="L444" s="90"/>
    </row>
    <row r="445" spans="2:12">
      <c r="B445" s="89"/>
      <c r="C445" s="90"/>
      <c r="D445" s="90"/>
      <c r="E445" s="89"/>
      <c r="G445" s="463"/>
      <c r="K445" s="90"/>
      <c r="L445" s="90"/>
    </row>
    <row r="446" spans="2:12">
      <c r="B446" s="89"/>
      <c r="C446" s="90"/>
      <c r="D446" s="90"/>
      <c r="E446" s="89"/>
      <c r="G446" s="463"/>
      <c r="K446" s="90"/>
      <c r="L446" s="90"/>
    </row>
    <row r="447" spans="2:12">
      <c r="B447" s="89"/>
      <c r="C447" s="90"/>
      <c r="D447" s="90"/>
      <c r="E447" s="89"/>
      <c r="G447" s="463"/>
      <c r="K447" s="90"/>
      <c r="L447" s="90"/>
    </row>
    <row r="448" spans="2:12">
      <c r="B448" s="89"/>
      <c r="C448" s="90"/>
      <c r="D448" s="90"/>
      <c r="E448" s="89"/>
      <c r="G448" s="463"/>
      <c r="K448" s="90"/>
      <c r="L448" s="90"/>
    </row>
    <row r="449" spans="2:12">
      <c r="B449" s="89"/>
      <c r="C449" s="90"/>
      <c r="D449" s="90"/>
      <c r="E449" s="89"/>
      <c r="G449" s="463"/>
      <c r="K449" s="90"/>
      <c r="L449" s="90"/>
    </row>
    <row r="450" spans="2:12">
      <c r="B450" s="89"/>
      <c r="C450" s="90"/>
      <c r="D450" s="90"/>
      <c r="E450" s="89"/>
      <c r="G450" s="463"/>
      <c r="K450" s="90"/>
      <c r="L450" s="90"/>
    </row>
    <row r="451" spans="2:12">
      <c r="B451" s="89"/>
      <c r="C451" s="90"/>
      <c r="D451" s="90"/>
      <c r="E451" s="89"/>
      <c r="G451" s="463"/>
      <c r="K451" s="90"/>
      <c r="L451" s="90"/>
    </row>
    <row r="452" spans="2:12">
      <c r="B452" s="89"/>
      <c r="C452" s="90"/>
      <c r="D452" s="90"/>
      <c r="E452" s="89"/>
      <c r="G452" s="463"/>
      <c r="K452" s="90"/>
      <c r="L452" s="90"/>
    </row>
    <row r="453" spans="2:12">
      <c r="B453" s="89"/>
      <c r="C453" s="90"/>
      <c r="D453" s="90"/>
      <c r="E453" s="89"/>
      <c r="G453" s="463"/>
      <c r="K453" s="90"/>
      <c r="L453" s="90"/>
    </row>
    <row r="454" spans="2:12">
      <c r="B454" s="89"/>
      <c r="C454" s="90"/>
      <c r="D454" s="90"/>
      <c r="E454" s="89"/>
      <c r="G454" s="463"/>
      <c r="K454" s="90"/>
      <c r="L454" s="90"/>
    </row>
    <row r="455" spans="2:12">
      <c r="B455" s="89"/>
      <c r="C455" s="90"/>
      <c r="D455" s="90"/>
      <c r="E455" s="89"/>
      <c r="G455" s="463"/>
      <c r="K455" s="90"/>
      <c r="L455" s="90"/>
    </row>
    <row r="456" spans="2:12">
      <c r="B456" s="89"/>
      <c r="C456" s="90"/>
      <c r="D456" s="90"/>
      <c r="E456" s="89"/>
      <c r="G456" s="463"/>
      <c r="K456" s="90"/>
      <c r="L456" s="90"/>
    </row>
    <row r="457" spans="2:12">
      <c r="B457" s="89"/>
      <c r="C457" s="90"/>
      <c r="D457" s="90"/>
      <c r="E457" s="89"/>
      <c r="G457" s="463"/>
      <c r="K457" s="90"/>
      <c r="L457" s="90"/>
    </row>
    <row r="458" spans="2:12">
      <c r="B458" s="89"/>
      <c r="C458" s="90"/>
      <c r="D458" s="90"/>
      <c r="E458" s="89"/>
      <c r="G458" s="463"/>
      <c r="K458" s="90"/>
      <c r="L458" s="90"/>
    </row>
    <row r="459" spans="2:12">
      <c r="B459" s="89"/>
      <c r="C459" s="90"/>
      <c r="D459" s="90"/>
      <c r="E459" s="89"/>
      <c r="G459" s="463"/>
      <c r="K459" s="90"/>
      <c r="L459" s="90"/>
    </row>
    <row r="460" spans="2:12">
      <c r="B460" s="89"/>
      <c r="C460" s="90"/>
      <c r="D460" s="90"/>
      <c r="E460" s="89"/>
      <c r="G460" s="463"/>
      <c r="K460" s="90"/>
      <c r="L460" s="90"/>
    </row>
    <row r="461" spans="2:12">
      <c r="B461" s="89"/>
      <c r="C461" s="90"/>
      <c r="D461" s="90"/>
      <c r="E461" s="89"/>
      <c r="G461" s="463"/>
      <c r="K461" s="90"/>
      <c r="L461" s="90"/>
    </row>
    <row r="462" spans="2:12">
      <c r="B462" s="89"/>
      <c r="C462" s="90"/>
      <c r="D462" s="90"/>
      <c r="E462" s="89"/>
      <c r="G462" s="463"/>
      <c r="K462" s="90"/>
      <c r="L462" s="90"/>
    </row>
    <row r="463" spans="2:12">
      <c r="B463" s="89"/>
      <c r="C463" s="90"/>
      <c r="D463" s="90"/>
      <c r="E463" s="89"/>
      <c r="G463" s="463"/>
      <c r="K463" s="90"/>
      <c r="L463" s="90"/>
    </row>
    <row r="464" spans="2:12">
      <c r="B464" s="89"/>
      <c r="C464" s="90"/>
      <c r="D464" s="90"/>
      <c r="E464" s="89"/>
      <c r="G464" s="463"/>
      <c r="K464" s="90"/>
      <c r="L464" s="90"/>
    </row>
    <row r="465" spans="2:12">
      <c r="B465" s="89"/>
      <c r="C465" s="90"/>
      <c r="D465" s="90"/>
      <c r="E465" s="89"/>
      <c r="G465" s="463"/>
      <c r="K465" s="90"/>
      <c r="L465" s="90"/>
    </row>
    <row r="466" spans="2:12">
      <c r="B466" s="89"/>
      <c r="C466" s="90"/>
      <c r="D466" s="90"/>
      <c r="E466" s="89"/>
      <c r="G466" s="463"/>
      <c r="K466" s="90"/>
      <c r="L466" s="90"/>
    </row>
    <row r="467" spans="2:12">
      <c r="B467" s="89"/>
      <c r="C467" s="90"/>
      <c r="D467" s="90"/>
      <c r="E467" s="89"/>
      <c r="G467" s="463"/>
      <c r="K467" s="90"/>
      <c r="L467" s="90"/>
    </row>
    <row r="468" spans="2:12">
      <c r="B468" s="89"/>
      <c r="C468" s="90"/>
      <c r="D468" s="90"/>
      <c r="E468" s="89"/>
      <c r="G468" s="463"/>
      <c r="K468" s="90"/>
      <c r="L468" s="90"/>
    </row>
    <row r="469" spans="2:12">
      <c r="B469" s="89"/>
      <c r="C469" s="90"/>
      <c r="D469" s="90"/>
      <c r="E469" s="89"/>
      <c r="G469" s="463"/>
      <c r="K469" s="90"/>
      <c r="L469" s="90"/>
    </row>
    <row r="470" spans="2:12">
      <c r="B470" s="89"/>
      <c r="C470" s="90"/>
      <c r="D470" s="90"/>
      <c r="E470" s="89"/>
      <c r="G470" s="463"/>
      <c r="K470" s="90"/>
      <c r="L470" s="90"/>
    </row>
    <row r="471" spans="2:12">
      <c r="B471" s="89"/>
      <c r="C471" s="90"/>
      <c r="D471" s="90"/>
      <c r="E471" s="89"/>
      <c r="G471" s="463"/>
      <c r="K471" s="90"/>
      <c r="L471" s="90"/>
    </row>
    <row r="472" spans="2:12">
      <c r="B472" s="89"/>
      <c r="C472" s="90"/>
      <c r="D472" s="90"/>
      <c r="E472" s="89"/>
      <c r="G472" s="463"/>
      <c r="K472" s="90"/>
      <c r="L472" s="90"/>
    </row>
    <row r="473" spans="2:12">
      <c r="B473" s="89"/>
      <c r="C473" s="90"/>
      <c r="D473" s="90"/>
      <c r="E473" s="89"/>
      <c r="G473" s="463"/>
      <c r="K473" s="90"/>
      <c r="L473" s="90"/>
    </row>
    <row r="474" spans="2:12">
      <c r="B474" s="89"/>
      <c r="C474" s="90"/>
      <c r="D474" s="90"/>
      <c r="E474" s="89"/>
      <c r="G474" s="463"/>
      <c r="K474" s="90"/>
      <c r="L474" s="90"/>
    </row>
    <row r="475" spans="2:12">
      <c r="B475" s="89"/>
      <c r="C475" s="90"/>
      <c r="D475" s="90"/>
      <c r="E475" s="89"/>
      <c r="G475" s="463"/>
      <c r="K475" s="90"/>
      <c r="L475" s="90"/>
    </row>
    <row r="476" spans="2:12">
      <c r="B476" s="89"/>
      <c r="C476" s="90"/>
      <c r="D476" s="90"/>
      <c r="E476" s="89"/>
      <c r="G476" s="463"/>
      <c r="K476" s="90"/>
      <c r="L476" s="90"/>
    </row>
    <row r="477" spans="2:12">
      <c r="B477" s="89"/>
      <c r="C477" s="90"/>
      <c r="D477" s="90"/>
      <c r="E477" s="89"/>
      <c r="G477" s="463"/>
      <c r="K477" s="90"/>
      <c r="L477" s="90"/>
    </row>
    <row r="478" spans="2:12">
      <c r="B478" s="89"/>
      <c r="C478" s="90"/>
      <c r="D478" s="90"/>
      <c r="E478" s="89"/>
      <c r="G478" s="463"/>
      <c r="K478" s="90"/>
      <c r="L478" s="90"/>
    </row>
    <row r="479" spans="2:12">
      <c r="B479" s="89"/>
      <c r="C479" s="90"/>
      <c r="D479" s="90"/>
      <c r="E479" s="89"/>
      <c r="G479" s="463"/>
      <c r="K479" s="90"/>
      <c r="L479" s="90"/>
    </row>
    <row r="480" spans="2:12">
      <c r="B480" s="89"/>
      <c r="C480" s="90"/>
      <c r="D480" s="90"/>
      <c r="E480" s="89"/>
      <c r="G480" s="463"/>
      <c r="K480" s="90"/>
      <c r="L480" s="90"/>
    </row>
    <row r="481" spans="2:12">
      <c r="B481" s="89"/>
      <c r="C481" s="90"/>
      <c r="D481" s="90"/>
      <c r="E481" s="89"/>
      <c r="G481" s="463"/>
      <c r="K481" s="90"/>
      <c r="L481" s="90"/>
    </row>
    <row r="482" spans="2:12">
      <c r="B482" s="89"/>
      <c r="C482" s="90"/>
      <c r="D482" s="90"/>
      <c r="E482" s="89"/>
      <c r="G482" s="463"/>
      <c r="K482" s="90"/>
      <c r="L482" s="90"/>
    </row>
    <row r="483" spans="2:12">
      <c r="B483" s="89"/>
      <c r="C483" s="90"/>
      <c r="D483" s="90"/>
      <c r="E483" s="89"/>
      <c r="G483" s="463"/>
      <c r="K483" s="90"/>
      <c r="L483" s="90"/>
    </row>
    <row r="484" spans="2:12">
      <c r="B484" s="89"/>
      <c r="C484" s="90"/>
      <c r="D484" s="90"/>
      <c r="E484" s="89"/>
      <c r="G484" s="463"/>
      <c r="K484" s="90"/>
      <c r="L484" s="90"/>
    </row>
    <row r="485" spans="2:12">
      <c r="B485" s="89"/>
      <c r="C485" s="90"/>
      <c r="D485" s="90"/>
      <c r="E485" s="89"/>
      <c r="G485" s="463"/>
      <c r="K485" s="90"/>
      <c r="L485" s="90"/>
    </row>
    <row r="486" spans="2:12">
      <c r="B486" s="89"/>
      <c r="C486" s="90"/>
      <c r="D486" s="90"/>
      <c r="E486" s="89"/>
      <c r="G486" s="463"/>
      <c r="K486" s="90"/>
      <c r="L486" s="90"/>
    </row>
    <row r="487" spans="2:12">
      <c r="B487" s="89"/>
      <c r="C487" s="90"/>
      <c r="D487" s="90"/>
      <c r="E487" s="89"/>
      <c r="G487" s="463"/>
      <c r="K487" s="90"/>
      <c r="L487" s="90"/>
    </row>
    <row r="488" spans="2:12">
      <c r="B488" s="89"/>
      <c r="C488" s="90"/>
      <c r="D488" s="90"/>
      <c r="E488" s="89"/>
      <c r="G488" s="463"/>
      <c r="K488" s="90"/>
      <c r="L488" s="90"/>
    </row>
    <row r="489" spans="2:12">
      <c r="B489" s="89"/>
      <c r="C489" s="90"/>
      <c r="D489" s="90"/>
      <c r="E489" s="89"/>
      <c r="G489" s="463"/>
      <c r="K489" s="90"/>
      <c r="L489" s="90"/>
    </row>
    <row r="490" spans="2:12">
      <c r="B490" s="89"/>
      <c r="C490" s="90"/>
      <c r="D490" s="90"/>
      <c r="E490" s="89"/>
      <c r="G490" s="463"/>
      <c r="K490" s="90"/>
      <c r="L490" s="90"/>
    </row>
    <row r="491" spans="2:12">
      <c r="B491" s="89"/>
      <c r="C491" s="90"/>
      <c r="D491" s="90"/>
      <c r="E491" s="89"/>
      <c r="G491" s="463"/>
      <c r="K491" s="90"/>
      <c r="L491" s="90"/>
    </row>
    <row r="492" spans="2:12">
      <c r="B492" s="89"/>
      <c r="C492" s="90"/>
      <c r="D492" s="90"/>
      <c r="E492" s="89"/>
      <c r="G492" s="463"/>
      <c r="K492" s="90"/>
      <c r="L492" s="90"/>
    </row>
    <row r="493" spans="2:12">
      <c r="B493" s="89"/>
      <c r="C493" s="90"/>
      <c r="D493" s="90"/>
      <c r="E493" s="89"/>
      <c r="G493" s="463"/>
      <c r="K493" s="90"/>
      <c r="L493" s="90"/>
    </row>
    <row r="494" spans="2:12">
      <c r="B494" s="89"/>
      <c r="C494" s="90"/>
      <c r="D494" s="90"/>
      <c r="E494" s="89"/>
      <c r="G494" s="463"/>
      <c r="K494" s="90"/>
      <c r="L494" s="90"/>
    </row>
    <row r="495" spans="2:12">
      <c r="B495" s="89"/>
      <c r="C495" s="90"/>
      <c r="D495" s="90"/>
      <c r="E495" s="89"/>
      <c r="G495" s="463"/>
      <c r="K495" s="90"/>
      <c r="L495" s="90"/>
    </row>
    <row r="496" spans="2:12">
      <c r="B496" s="89"/>
      <c r="C496" s="90"/>
      <c r="D496" s="90"/>
      <c r="E496" s="89"/>
      <c r="G496" s="463"/>
      <c r="K496" s="90"/>
      <c r="L496" s="90"/>
    </row>
    <row r="497" spans="2:12">
      <c r="B497" s="89"/>
      <c r="C497" s="90"/>
      <c r="D497" s="90"/>
      <c r="E497" s="89"/>
      <c r="G497" s="463"/>
      <c r="K497" s="90"/>
      <c r="L497" s="90"/>
    </row>
    <row r="498" spans="2:12">
      <c r="B498" s="89"/>
      <c r="C498" s="90"/>
      <c r="D498" s="90"/>
      <c r="E498" s="89"/>
      <c r="G498" s="463"/>
      <c r="K498" s="90"/>
      <c r="L498" s="90"/>
    </row>
    <row r="499" spans="2:12">
      <c r="B499" s="89"/>
      <c r="C499" s="90"/>
      <c r="D499" s="90"/>
      <c r="E499" s="89"/>
      <c r="G499" s="463"/>
      <c r="K499" s="90"/>
      <c r="L499" s="90"/>
    </row>
    <row r="500" spans="2:12">
      <c r="B500" s="89"/>
      <c r="C500" s="90"/>
      <c r="D500" s="90"/>
      <c r="E500" s="89"/>
      <c r="G500" s="463"/>
      <c r="K500" s="90"/>
      <c r="L500" s="90"/>
    </row>
    <row r="501" spans="2:12">
      <c r="B501" s="89"/>
      <c r="C501" s="90"/>
      <c r="D501" s="90"/>
      <c r="E501" s="89"/>
      <c r="G501" s="463"/>
      <c r="K501" s="90"/>
      <c r="L501" s="90"/>
    </row>
    <row r="502" spans="2:12">
      <c r="B502" s="89"/>
      <c r="C502" s="90"/>
      <c r="D502" s="90"/>
      <c r="E502" s="89"/>
      <c r="G502" s="463"/>
      <c r="K502" s="90"/>
      <c r="L502" s="90"/>
    </row>
    <row r="503" spans="2:12">
      <c r="B503" s="89"/>
      <c r="C503" s="90"/>
      <c r="D503" s="90"/>
      <c r="E503" s="89"/>
      <c r="G503" s="463"/>
      <c r="K503" s="90"/>
      <c r="L503" s="90"/>
    </row>
    <row r="504" spans="2:12">
      <c r="B504" s="89"/>
      <c r="C504" s="90"/>
      <c r="D504" s="90"/>
      <c r="E504" s="89"/>
      <c r="G504" s="463"/>
      <c r="K504" s="90"/>
      <c r="L504" s="90"/>
    </row>
    <row r="505" spans="2:12">
      <c r="B505" s="89"/>
      <c r="C505" s="90"/>
      <c r="D505" s="90"/>
      <c r="E505" s="89"/>
      <c r="G505" s="463"/>
      <c r="K505" s="90"/>
      <c r="L505" s="90"/>
    </row>
    <row r="506" spans="2:12">
      <c r="B506" s="89"/>
      <c r="C506" s="90"/>
      <c r="D506" s="90"/>
      <c r="E506" s="89"/>
      <c r="G506" s="463"/>
      <c r="K506" s="90"/>
      <c r="L506" s="90"/>
    </row>
    <row r="507" spans="2:12">
      <c r="B507" s="89"/>
      <c r="C507" s="90"/>
      <c r="D507" s="90"/>
      <c r="E507" s="89"/>
      <c r="G507" s="463"/>
      <c r="K507" s="90"/>
      <c r="L507" s="90"/>
    </row>
    <row r="508" spans="2:12">
      <c r="B508" s="89"/>
      <c r="C508" s="90"/>
      <c r="D508" s="90"/>
      <c r="E508" s="89"/>
      <c r="G508" s="463"/>
      <c r="K508" s="90"/>
      <c r="L508" s="90"/>
    </row>
    <row r="509" spans="2:12">
      <c r="B509" s="89"/>
      <c r="C509" s="90"/>
      <c r="D509" s="90"/>
      <c r="E509" s="89"/>
      <c r="G509" s="463"/>
      <c r="K509" s="90"/>
      <c r="L509" s="90"/>
    </row>
    <row r="510" spans="2:12">
      <c r="B510" s="89"/>
      <c r="C510" s="90"/>
      <c r="D510" s="90"/>
      <c r="E510" s="89"/>
      <c r="G510" s="463"/>
      <c r="K510" s="90"/>
      <c r="L510" s="90"/>
    </row>
    <row r="511" spans="2:12">
      <c r="B511" s="89"/>
      <c r="C511" s="90"/>
      <c r="D511" s="90"/>
      <c r="E511" s="89"/>
      <c r="G511" s="463"/>
      <c r="K511" s="90"/>
      <c r="L511" s="90"/>
    </row>
    <row r="512" spans="2:12">
      <c r="B512" s="89"/>
      <c r="C512" s="90"/>
      <c r="D512" s="90"/>
      <c r="E512" s="89"/>
      <c r="G512" s="463"/>
      <c r="K512" s="90"/>
      <c r="L512" s="90"/>
    </row>
    <row r="513" spans="2:12">
      <c r="B513" s="89"/>
      <c r="C513" s="90"/>
      <c r="D513" s="90"/>
      <c r="E513" s="89"/>
      <c r="G513" s="463"/>
      <c r="K513" s="90"/>
      <c r="L513" s="90"/>
    </row>
    <row r="514" spans="2:12">
      <c r="B514" s="89"/>
      <c r="C514" s="90"/>
      <c r="D514" s="90"/>
      <c r="E514" s="89"/>
      <c r="G514" s="463"/>
      <c r="K514" s="90"/>
      <c r="L514" s="90"/>
    </row>
    <row r="515" spans="2:12">
      <c r="B515" s="89"/>
      <c r="C515" s="90"/>
      <c r="D515" s="90"/>
      <c r="E515" s="89"/>
      <c r="G515" s="463"/>
      <c r="K515" s="90"/>
      <c r="L515" s="90"/>
    </row>
    <row r="516" spans="2:12">
      <c r="B516" s="89"/>
      <c r="C516" s="90"/>
      <c r="D516" s="90"/>
      <c r="E516" s="89"/>
      <c r="G516" s="463"/>
      <c r="K516" s="90"/>
      <c r="L516" s="90"/>
    </row>
    <row r="517" spans="2:12">
      <c r="B517" s="89"/>
      <c r="C517" s="90"/>
      <c r="D517" s="90"/>
      <c r="E517" s="89"/>
      <c r="G517" s="463"/>
      <c r="K517" s="90"/>
      <c r="L517" s="90"/>
    </row>
    <row r="518" spans="2:12">
      <c r="B518" s="89"/>
      <c r="C518" s="90"/>
      <c r="D518" s="90"/>
      <c r="E518" s="89"/>
      <c r="G518" s="463"/>
      <c r="K518" s="90"/>
      <c r="L518" s="90"/>
    </row>
    <row r="519" spans="2:12">
      <c r="B519" s="89"/>
      <c r="C519" s="90"/>
      <c r="D519" s="90"/>
      <c r="E519" s="89"/>
      <c r="G519" s="463"/>
      <c r="K519" s="90"/>
      <c r="L519" s="90"/>
    </row>
    <row r="520" spans="2:12">
      <c r="B520" s="89"/>
      <c r="C520" s="90"/>
      <c r="D520" s="90"/>
      <c r="E520" s="89"/>
      <c r="G520" s="463"/>
      <c r="K520" s="90"/>
      <c r="L520" s="90"/>
    </row>
    <row r="521" spans="2:12">
      <c r="B521" s="89"/>
      <c r="C521" s="90"/>
      <c r="D521" s="90"/>
      <c r="E521" s="89"/>
      <c r="G521" s="463"/>
      <c r="K521" s="90"/>
      <c r="L521" s="90"/>
    </row>
    <row r="522" spans="2:12">
      <c r="B522" s="89"/>
      <c r="C522" s="90"/>
      <c r="D522" s="90"/>
      <c r="E522" s="89"/>
      <c r="G522" s="463"/>
      <c r="K522" s="90"/>
      <c r="L522" s="90"/>
    </row>
    <row r="523" spans="2:12">
      <c r="B523" s="89"/>
      <c r="C523" s="90"/>
      <c r="D523" s="90"/>
      <c r="E523" s="89"/>
      <c r="G523" s="463"/>
      <c r="K523" s="90"/>
      <c r="L523" s="90"/>
    </row>
    <row r="524" spans="2:12">
      <c r="B524" s="89"/>
      <c r="C524" s="90"/>
      <c r="D524" s="90"/>
      <c r="E524" s="89"/>
      <c r="G524" s="463"/>
      <c r="K524" s="90"/>
      <c r="L524" s="90"/>
    </row>
    <row r="525" spans="2:12">
      <c r="B525" s="89"/>
      <c r="C525" s="90"/>
      <c r="D525" s="90"/>
      <c r="E525" s="89"/>
      <c r="G525" s="463"/>
      <c r="K525" s="90"/>
      <c r="L525" s="90"/>
    </row>
    <row r="526" spans="2:12">
      <c r="B526" s="89"/>
      <c r="C526" s="90"/>
      <c r="D526" s="90"/>
      <c r="E526" s="89"/>
      <c r="G526" s="463"/>
      <c r="K526" s="90"/>
      <c r="L526" s="90"/>
    </row>
    <row r="527" spans="2:12">
      <c r="B527" s="89"/>
      <c r="C527" s="90"/>
      <c r="D527" s="90"/>
      <c r="E527" s="89"/>
      <c r="G527" s="463"/>
      <c r="K527" s="90"/>
      <c r="L527" s="90"/>
    </row>
    <row r="528" spans="2:12">
      <c r="B528" s="89"/>
      <c r="C528" s="90"/>
      <c r="D528" s="90"/>
      <c r="E528" s="89"/>
      <c r="G528" s="463"/>
      <c r="K528" s="90"/>
      <c r="L528" s="90"/>
    </row>
    <row r="529" spans="2:12">
      <c r="B529" s="89"/>
      <c r="C529" s="90"/>
      <c r="D529" s="90"/>
      <c r="E529" s="89"/>
      <c r="G529" s="463"/>
      <c r="K529" s="90"/>
      <c r="L529" s="90"/>
    </row>
    <row r="530" spans="2:12">
      <c r="B530" s="89"/>
      <c r="C530" s="90"/>
      <c r="D530" s="90"/>
      <c r="E530" s="89"/>
      <c r="G530" s="463"/>
      <c r="K530" s="90"/>
      <c r="L530" s="90"/>
    </row>
    <row r="531" spans="2:12">
      <c r="B531" s="89"/>
      <c r="C531" s="90"/>
      <c r="D531" s="90"/>
      <c r="E531" s="89"/>
      <c r="G531" s="463"/>
      <c r="K531" s="90"/>
      <c r="L531" s="90"/>
    </row>
    <row r="532" spans="2:12">
      <c r="B532" s="89"/>
      <c r="C532" s="90"/>
      <c r="D532" s="90"/>
      <c r="E532" s="89"/>
      <c r="G532" s="463"/>
      <c r="K532" s="90"/>
      <c r="L532" s="90"/>
    </row>
    <row r="533" spans="2:12">
      <c r="B533" s="89"/>
      <c r="C533" s="90"/>
      <c r="D533" s="90"/>
      <c r="E533" s="89"/>
      <c r="G533" s="463"/>
      <c r="K533" s="90"/>
      <c r="L533" s="90"/>
    </row>
    <row r="534" spans="2:12">
      <c r="B534" s="89"/>
      <c r="C534" s="90"/>
      <c r="D534" s="90"/>
      <c r="E534" s="89"/>
      <c r="G534" s="463"/>
      <c r="K534" s="90"/>
      <c r="L534" s="90"/>
    </row>
    <row r="535" spans="2:12">
      <c r="B535" s="89"/>
      <c r="C535" s="90"/>
      <c r="D535" s="90"/>
      <c r="E535" s="89"/>
      <c r="G535" s="463"/>
      <c r="K535" s="90"/>
      <c r="L535" s="90"/>
    </row>
    <row r="536" spans="2:12">
      <c r="B536" s="89"/>
      <c r="C536" s="90"/>
      <c r="D536" s="90"/>
      <c r="E536" s="89"/>
      <c r="G536" s="463"/>
      <c r="K536" s="90"/>
      <c r="L536" s="90"/>
    </row>
    <row r="537" spans="2:12">
      <c r="B537" s="89"/>
      <c r="C537" s="90"/>
      <c r="D537" s="90"/>
      <c r="E537" s="89"/>
      <c r="G537" s="463"/>
      <c r="K537" s="90"/>
      <c r="L537" s="90"/>
    </row>
    <row r="538" spans="2:12">
      <c r="B538" s="89"/>
      <c r="C538" s="90"/>
      <c r="D538" s="90"/>
      <c r="E538" s="89"/>
      <c r="G538" s="463"/>
      <c r="K538" s="90"/>
      <c r="L538" s="90"/>
    </row>
    <row r="539" spans="2:12">
      <c r="B539" s="89"/>
      <c r="C539" s="90"/>
      <c r="D539" s="90"/>
      <c r="E539" s="89"/>
      <c r="G539" s="463"/>
      <c r="K539" s="90"/>
      <c r="L539" s="90"/>
    </row>
    <row r="540" spans="2:12">
      <c r="B540" s="89"/>
      <c r="C540" s="90"/>
      <c r="D540" s="90"/>
      <c r="E540" s="89"/>
      <c r="G540" s="463"/>
      <c r="K540" s="90"/>
      <c r="L540" s="90"/>
    </row>
    <row r="541" spans="2:12">
      <c r="B541" s="89"/>
      <c r="C541" s="90"/>
      <c r="D541" s="90"/>
      <c r="E541" s="89"/>
      <c r="G541" s="463"/>
      <c r="K541" s="90"/>
      <c r="L541" s="90"/>
    </row>
    <row r="542" spans="2:12">
      <c r="B542" s="89"/>
      <c r="C542" s="90"/>
      <c r="D542" s="90"/>
      <c r="E542" s="89"/>
      <c r="G542" s="463"/>
      <c r="K542" s="90"/>
      <c r="L542" s="90"/>
    </row>
    <row r="543" spans="2:12">
      <c r="B543" s="89"/>
      <c r="C543" s="90"/>
      <c r="D543" s="90"/>
      <c r="E543" s="89"/>
      <c r="G543" s="463"/>
      <c r="K543" s="90"/>
      <c r="L543" s="90"/>
    </row>
    <row r="544" spans="2:12">
      <c r="B544" s="89"/>
      <c r="C544" s="90"/>
      <c r="D544" s="90"/>
      <c r="E544" s="89"/>
      <c r="G544" s="463"/>
      <c r="K544" s="90"/>
      <c r="L544" s="90"/>
    </row>
    <row r="545" spans="2:12">
      <c r="B545" s="89"/>
      <c r="C545" s="90"/>
      <c r="D545" s="90"/>
      <c r="E545" s="89"/>
      <c r="G545" s="463"/>
      <c r="K545" s="90"/>
      <c r="L545" s="90"/>
    </row>
    <row r="546" spans="2:12">
      <c r="B546" s="89"/>
      <c r="C546" s="90"/>
      <c r="D546" s="90"/>
      <c r="E546" s="89"/>
      <c r="G546" s="463"/>
      <c r="K546" s="90"/>
      <c r="L546" s="90"/>
    </row>
    <row r="547" spans="2:12">
      <c r="B547" s="89"/>
      <c r="C547" s="90"/>
      <c r="D547" s="90"/>
      <c r="E547" s="89"/>
      <c r="G547" s="463"/>
      <c r="K547" s="90"/>
      <c r="L547" s="90"/>
    </row>
    <row r="548" spans="2:12">
      <c r="B548" s="89"/>
      <c r="C548" s="90"/>
      <c r="D548" s="90"/>
      <c r="E548" s="89"/>
      <c r="G548" s="463"/>
      <c r="K548" s="90"/>
      <c r="L548" s="90"/>
    </row>
    <row r="549" spans="2:12">
      <c r="B549" s="89"/>
      <c r="C549" s="90"/>
      <c r="D549" s="90"/>
      <c r="E549" s="89"/>
      <c r="G549" s="463"/>
      <c r="K549" s="90"/>
      <c r="L549" s="90"/>
    </row>
    <row r="550" spans="2:12">
      <c r="B550" s="89"/>
      <c r="C550" s="90"/>
      <c r="D550" s="90"/>
      <c r="E550" s="89"/>
      <c r="G550" s="463"/>
      <c r="K550" s="90"/>
      <c r="L550" s="90"/>
    </row>
    <row r="551" spans="2:12">
      <c r="B551" s="89"/>
      <c r="C551" s="90"/>
      <c r="D551" s="90"/>
      <c r="E551" s="89"/>
      <c r="G551" s="463"/>
      <c r="K551" s="90"/>
      <c r="L551" s="90"/>
    </row>
    <row r="552" spans="2:12">
      <c r="B552" s="89"/>
      <c r="C552" s="90"/>
      <c r="D552" s="90"/>
      <c r="E552" s="89"/>
      <c r="G552" s="463"/>
      <c r="K552" s="90"/>
      <c r="L552" s="90"/>
    </row>
    <row r="553" spans="2:12">
      <c r="B553" s="89"/>
      <c r="C553" s="90"/>
      <c r="D553" s="90"/>
      <c r="E553" s="89"/>
      <c r="G553" s="463"/>
      <c r="K553" s="90"/>
      <c r="L553" s="90"/>
    </row>
    <row r="554" spans="2:12">
      <c r="B554" s="89"/>
      <c r="C554" s="90"/>
      <c r="D554" s="90"/>
      <c r="E554" s="89"/>
      <c r="G554" s="463"/>
      <c r="K554" s="90"/>
      <c r="L554" s="90"/>
    </row>
    <row r="555" spans="2:12">
      <c r="B555" s="89"/>
      <c r="C555" s="90"/>
      <c r="D555" s="90"/>
      <c r="E555" s="89"/>
      <c r="G555" s="463"/>
      <c r="K555" s="90"/>
      <c r="L555" s="90"/>
    </row>
    <row r="556" spans="2:12">
      <c r="B556" s="89"/>
      <c r="C556" s="90"/>
      <c r="D556" s="90"/>
      <c r="E556" s="89"/>
      <c r="G556" s="463"/>
      <c r="K556" s="90"/>
      <c r="L556" s="90"/>
    </row>
    <row r="557" spans="2:12">
      <c r="B557" s="89"/>
      <c r="C557" s="90"/>
      <c r="D557" s="90"/>
      <c r="E557" s="89"/>
      <c r="G557" s="463"/>
      <c r="K557" s="90"/>
      <c r="L557" s="90"/>
    </row>
    <row r="558" spans="2:12">
      <c r="B558" s="89"/>
      <c r="C558" s="90"/>
      <c r="D558" s="90"/>
      <c r="E558" s="89"/>
      <c r="G558" s="463"/>
      <c r="K558" s="90"/>
      <c r="L558" s="90"/>
    </row>
    <row r="559" spans="2:12">
      <c r="B559" s="89"/>
      <c r="C559" s="90"/>
      <c r="D559" s="90"/>
      <c r="E559" s="89"/>
      <c r="G559" s="463"/>
      <c r="K559" s="90"/>
      <c r="L559" s="90"/>
    </row>
    <row r="560" spans="2:12">
      <c r="B560" s="89"/>
      <c r="C560" s="90"/>
      <c r="D560" s="90"/>
      <c r="E560" s="89"/>
      <c r="G560" s="463"/>
      <c r="K560" s="90"/>
      <c r="L560" s="90"/>
    </row>
    <row r="561" spans="2:12">
      <c r="B561" s="89"/>
      <c r="C561" s="90"/>
      <c r="D561" s="90"/>
      <c r="E561" s="89"/>
      <c r="G561" s="463"/>
      <c r="K561" s="90"/>
      <c r="L561" s="90"/>
    </row>
    <row r="562" spans="2:12">
      <c r="B562" s="89"/>
      <c r="C562" s="90"/>
      <c r="D562" s="90"/>
      <c r="E562" s="89"/>
      <c r="G562" s="463"/>
      <c r="K562" s="90"/>
      <c r="L562" s="90"/>
    </row>
    <row r="563" spans="2:12">
      <c r="B563" s="89"/>
      <c r="C563" s="90"/>
      <c r="D563" s="90"/>
      <c r="E563" s="89"/>
      <c r="G563" s="463"/>
      <c r="K563" s="90"/>
      <c r="L563" s="90"/>
    </row>
    <row r="564" spans="2:12">
      <c r="B564" s="89"/>
      <c r="C564" s="90"/>
      <c r="D564" s="90"/>
      <c r="E564" s="89"/>
      <c r="G564" s="463"/>
      <c r="K564" s="90"/>
      <c r="L564" s="90"/>
    </row>
    <row r="565" spans="2:12">
      <c r="B565" s="89"/>
      <c r="C565" s="90"/>
      <c r="D565" s="90"/>
      <c r="E565" s="89"/>
      <c r="G565" s="463"/>
      <c r="K565" s="90"/>
      <c r="L565" s="90"/>
    </row>
    <row r="566" spans="2:12">
      <c r="B566" s="89"/>
      <c r="C566" s="90"/>
      <c r="D566" s="90"/>
      <c r="E566" s="89"/>
      <c r="G566" s="463"/>
      <c r="K566" s="90"/>
      <c r="L566" s="90"/>
    </row>
    <row r="567" spans="2:12">
      <c r="B567" s="89"/>
      <c r="C567" s="90"/>
      <c r="D567" s="90"/>
      <c r="E567" s="89"/>
      <c r="G567" s="463"/>
      <c r="K567" s="90"/>
      <c r="L567" s="90"/>
    </row>
    <row r="568" spans="2:12">
      <c r="B568" s="89"/>
      <c r="C568" s="90"/>
      <c r="D568" s="90"/>
      <c r="E568" s="89"/>
      <c r="G568" s="463"/>
      <c r="K568" s="90"/>
      <c r="L568" s="90"/>
    </row>
    <row r="569" spans="2:12">
      <c r="B569" s="89"/>
      <c r="C569" s="90"/>
      <c r="D569" s="90"/>
      <c r="E569" s="89"/>
      <c r="G569" s="463"/>
      <c r="K569" s="90"/>
      <c r="L569" s="90"/>
    </row>
    <row r="570" spans="2:12">
      <c r="B570" s="89"/>
      <c r="C570" s="90"/>
      <c r="D570" s="90"/>
      <c r="E570" s="89"/>
      <c r="G570" s="463"/>
      <c r="K570" s="90"/>
      <c r="L570" s="90"/>
    </row>
    <row r="571" spans="2:12">
      <c r="B571" s="89"/>
      <c r="C571" s="90"/>
      <c r="D571" s="90"/>
      <c r="E571" s="89"/>
      <c r="G571" s="463"/>
      <c r="K571" s="90"/>
      <c r="L571" s="90"/>
    </row>
    <row r="572" spans="2:12">
      <c r="B572" s="89"/>
      <c r="C572" s="90"/>
      <c r="D572" s="90"/>
      <c r="E572" s="89"/>
      <c r="G572" s="463"/>
      <c r="K572" s="90"/>
      <c r="L572" s="90"/>
    </row>
    <row r="573" spans="2:12">
      <c r="B573" s="89"/>
      <c r="C573" s="90"/>
      <c r="D573" s="90"/>
      <c r="E573" s="89"/>
      <c r="G573" s="463"/>
      <c r="K573" s="90"/>
      <c r="L573" s="90"/>
    </row>
    <row r="574" spans="2:12">
      <c r="B574" s="89"/>
      <c r="C574" s="90"/>
      <c r="D574" s="90"/>
      <c r="E574" s="89"/>
      <c r="G574" s="463"/>
      <c r="K574" s="90"/>
      <c r="L574" s="90"/>
    </row>
    <row r="575" spans="2:12">
      <c r="B575" s="89"/>
      <c r="C575" s="90"/>
      <c r="D575" s="90"/>
      <c r="E575" s="89"/>
      <c r="G575" s="463"/>
      <c r="K575" s="90"/>
      <c r="L575" s="90"/>
    </row>
    <row r="576" spans="2:12">
      <c r="B576" s="89"/>
      <c r="C576" s="90"/>
      <c r="D576" s="90"/>
      <c r="E576" s="89"/>
      <c r="G576" s="463"/>
      <c r="K576" s="90"/>
      <c r="L576" s="90"/>
    </row>
    <row r="577" spans="2:12">
      <c r="B577" s="89"/>
      <c r="C577" s="90"/>
      <c r="D577" s="90"/>
      <c r="E577" s="89"/>
      <c r="G577" s="463"/>
      <c r="K577" s="90"/>
      <c r="L577" s="90"/>
    </row>
    <row r="578" spans="2:12">
      <c r="B578" s="89"/>
      <c r="C578" s="90"/>
      <c r="D578" s="90"/>
      <c r="E578" s="89"/>
      <c r="G578" s="463"/>
      <c r="K578" s="90"/>
      <c r="L578" s="90"/>
    </row>
    <row r="579" spans="2:12">
      <c r="B579" s="89"/>
      <c r="C579" s="90"/>
      <c r="D579" s="90"/>
      <c r="E579" s="89"/>
      <c r="G579" s="463"/>
      <c r="K579" s="90"/>
      <c r="L579" s="90"/>
    </row>
    <row r="580" spans="2:12">
      <c r="B580" s="89"/>
      <c r="C580" s="90"/>
      <c r="D580" s="90"/>
      <c r="E580" s="89"/>
      <c r="G580" s="463"/>
      <c r="K580" s="90"/>
      <c r="L580" s="90"/>
    </row>
    <row r="581" spans="2:12">
      <c r="B581" s="89"/>
      <c r="C581" s="90"/>
      <c r="D581" s="90"/>
      <c r="E581" s="89"/>
      <c r="G581" s="463"/>
      <c r="K581" s="90"/>
      <c r="L581" s="90"/>
    </row>
    <row r="582" spans="2:12">
      <c r="B582" s="89"/>
      <c r="C582" s="90"/>
      <c r="D582" s="90"/>
      <c r="E582" s="89"/>
      <c r="G582" s="463"/>
      <c r="K582" s="90"/>
      <c r="L582" s="90"/>
    </row>
    <row r="583" spans="2:12">
      <c r="B583" s="89"/>
      <c r="C583" s="90"/>
      <c r="D583" s="90"/>
      <c r="E583" s="89"/>
      <c r="G583" s="463"/>
      <c r="K583" s="90"/>
      <c r="L583" s="90"/>
    </row>
    <row r="584" spans="2:12">
      <c r="B584" s="89"/>
      <c r="C584" s="90"/>
      <c r="D584" s="90"/>
      <c r="E584" s="89"/>
      <c r="G584" s="463"/>
      <c r="K584" s="90"/>
      <c r="L584" s="90"/>
    </row>
    <row r="585" spans="2:12">
      <c r="B585" s="89"/>
      <c r="C585" s="90"/>
      <c r="D585" s="90"/>
      <c r="E585" s="89"/>
      <c r="G585" s="463"/>
      <c r="K585" s="90"/>
      <c r="L585" s="90"/>
    </row>
    <row r="586" spans="2:12">
      <c r="B586" s="89"/>
      <c r="C586" s="90"/>
      <c r="D586" s="90"/>
      <c r="E586" s="89"/>
      <c r="G586" s="463"/>
      <c r="K586" s="90"/>
      <c r="L586" s="90"/>
    </row>
    <row r="587" spans="2:12">
      <c r="B587" s="89"/>
      <c r="C587" s="90"/>
      <c r="D587" s="90"/>
      <c r="E587" s="89"/>
      <c r="G587" s="463"/>
      <c r="K587" s="90"/>
      <c r="L587" s="90"/>
    </row>
    <row r="588" spans="2:12">
      <c r="B588" s="89"/>
      <c r="C588" s="90"/>
      <c r="D588" s="90"/>
      <c r="E588" s="89"/>
      <c r="G588" s="463"/>
      <c r="K588" s="90"/>
      <c r="L588" s="90"/>
    </row>
    <row r="589" spans="2:12">
      <c r="B589" s="89"/>
      <c r="C589" s="90"/>
      <c r="D589" s="90"/>
      <c r="E589" s="89"/>
      <c r="G589" s="463"/>
      <c r="K589" s="90"/>
      <c r="L589" s="90"/>
    </row>
    <row r="590" spans="2:12">
      <c r="B590" s="89"/>
      <c r="C590" s="90"/>
      <c r="D590" s="90"/>
      <c r="E590" s="89"/>
      <c r="G590" s="463"/>
      <c r="K590" s="90"/>
      <c r="L590" s="90"/>
    </row>
    <row r="591" spans="2:12">
      <c r="B591" s="89"/>
      <c r="C591" s="90"/>
      <c r="D591" s="90"/>
      <c r="E591" s="89"/>
      <c r="G591" s="463"/>
      <c r="K591" s="90"/>
      <c r="L591" s="90"/>
    </row>
    <row r="592" spans="2:12">
      <c r="B592" s="89"/>
      <c r="C592" s="90"/>
      <c r="D592" s="90"/>
      <c r="E592" s="89"/>
      <c r="G592" s="463"/>
      <c r="K592" s="90"/>
      <c r="L592" s="90"/>
    </row>
    <row r="593" spans="2:12">
      <c r="B593" s="89"/>
      <c r="C593" s="90"/>
      <c r="D593" s="90"/>
      <c r="E593" s="89"/>
      <c r="G593" s="463"/>
      <c r="K593" s="90"/>
      <c r="L593" s="90"/>
    </row>
    <row r="594" spans="2:12">
      <c r="B594" s="89"/>
      <c r="C594" s="90"/>
      <c r="D594" s="90"/>
      <c r="E594" s="89"/>
      <c r="G594" s="463"/>
      <c r="K594" s="90"/>
      <c r="L594" s="90"/>
    </row>
    <row r="595" spans="2:12">
      <c r="B595" s="89"/>
      <c r="C595" s="90"/>
      <c r="D595" s="90"/>
      <c r="E595" s="89"/>
      <c r="G595" s="463"/>
      <c r="K595" s="90"/>
      <c r="L595" s="90"/>
    </row>
    <row r="596" spans="2:12">
      <c r="B596" s="89"/>
      <c r="C596" s="90"/>
      <c r="D596" s="90"/>
      <c r="E596" s="89"/>
      <c r="G596" s="463"/>
      <c r="K596" s="90"/>
      <c r="L596" s="90"/>
    </row>
    <row r="597" spans="2:12">
      <c r="B597" s="89"/>
      <c r="C597" s="90"/>
      <c r="D597" s="90"/>
      <c r="E597" s="89"/>
      <c r="G597" s="463"/>
      <c r="K597" s="90"/>
      <c r="L597" s="90"/>
    </row>
    <row r="598" spans="2:12">
      <c r="B598" s="89"/>
      <c r="C598" s="90"/>
      <c r="D598" s="90"/>
      <c r="E598" s="89"/>
      <c r="G598" s="463"/>
      <c r="K598" s="90"/>
      <c r="L598" s="90"/>
    </row>
    <row r="599" spans="2:12">
      <c r="B599" s="89"/>
      <c r="C599" s="90"/>
      <c r="D599" s="90"/>
      <c r="E599" s="89"/>
      <c r="G599" s="463"/>
      <c r="K599" s="90"/>
      <c r="L599" s="90"/>
    </row>
    <row r="600" spans="2:12">
      <c r="B600" s="89"/>
      <c r="C600" s="90"/>
      <c r="D600" s="90"/>
      <c r="E600" s="89"/>
      <c r="G600" s="463"/>
      <c r="K600" s="90"/>
      <c r="L600" s="90"/>
    </row>
    <row r="601" spans="2:12">
      <c r="B601" s="89"/>
      <c r="C601" s="90"/>
      <c r="D601" s="90"/>
      <c r="E601" s="89"/>
      <c r="G601" s="463"/>
      <c r="K601" s="90"/>
      <c r="L601" s="90"/>
    </row>
    <row r="602" spans="2:12">
      <c r="B602" s="89"/>
      <c r="C602" s="90"/>
      <c r="D602" s="90"/>
      <c r="E602" s="89"/>
      <c r="G602" s="463"/>
      <c r="K602" s="90"/>
      <c r="L602" s="90"/>
    </row>
    <row r="603" spans="2:12">
      <c r="B603" s="89"/>
      <c r="C603" s="90"/>
      <c r="D603" s="90"/>
      <c r="E603" s="89"/>
      <c r="G603" s="463"/>
      <c r="K603" s="90"/>
      <c r="L603" s="90"/>
    </row>
    <row r="604" spans="2:12">
      <c r="B604" s="89"/>
      <c r="C604" s="90"/>
      <c r="D604" s="90"/>
      <c r="E604" s="89"/>
      <c r="G604" s="463"/>
      <c r="K604" s="90"/>
      <c r="L604" s="90"/>
    </row>
    <row r="605" spans="2:12">
      <c r="B605" s="89"/>
      <c r="C605" s="90"/>
      <c r="D605" s="90"/>
      <c r="E605" s="89"/>
      <c r="G605" s="463"/>
      <c r="K605" s="90"/>
      <c r="L605" s="90"/>
    </row>
    <row r="606" spans="2:12">
      <c r="B606" s="89"/>
      <c r="C606" s="90"/>
      <c r="D606" s="90"/>
      <c r="E606" s="89"/>
      <c r="G606" s="463"/>
      <c r="K606" s="90"/>
      <c r="L606" s="90"/>
    </row>
    <row r="607" spans="2:12">
      <c r="B607" s="89"/>
      <c r="C607" s="90"/>
      <c r="D607" s="90"/>
      <c r="E607" s="89"/>
      <c r="G607" s="463"/>
      <c r="K607" s="90"/>
      <c r="L607" s="90"/>
    </row>
    <row r="608" spans="2:12">
      <c r="B608" s="89"/>
      <c r="C608" s="90"/>
      <c r="D608" s="90"/>
      <c r="E608" s="89"/>
      <c r="G608" s="463"/>
      <c r="K608" s="90"/>
      <c r="L608" s="90"/>
    </row>
    <row r="609" spans="2:12">
      <c r="B609" s="89"/>
      <c r="C609" s="90"/>
      <c r="D609" s="90"/>
      <c r="E609" s="89"/>
      <c r="G609" s="463"/>
      <c r="K609" s="90"/>
      <c r="L609" s="90"/>
    </row>
    <row r="610" spans="2:12">
      <c r="B610" s="89"/>
      <c r="C610" s="90"/>
      <c r="D610" s="90"/>
      <c r="E610" s="89"/>
      <c r="G610" s="463"/>
      <c r="K610" s="90"/>
      <c r="L610" s="90"/>
    </row>
    <row r="611" spans="2:12">
      <c r="B611" s="89"/>
      <c r="C611" s="90"/>
      <c r="D611" s="90"/>
      <c r="E611" s="89"/>
      <c r="G611" s="463"/>
      <c r="K611" s="90"/>
      <c r="L611" s="90"/>
    </row>
    <row r="612" spans="2:12">
      <c r="B612" s="89"/>
      <c r="C612" s="90"/>
      <c r="D612" s="90"/>
      <c r="E612" s="89"/>
      <c r="G612" s="463"/>
      <c r="K612" s="90"/>
      <c r="L612" s="90"/>
    </row>
    <row r="613" spans="2:12">
      <c r="B613" s="89"/>
      <c r="C613" s="90"/>
      <c r="D613" s="90"/>
      <c r="E613" s="89"/>
      <c r="G613" s="463"/>
      <c r="K613" s="90"/>
      <c r="L613" s="90"/>
    </row>
    <row r="614" spans="2:12">
      <c r="B614" s="89"/>
      <c r="C614" s="90"/>
      <c r="D614" s="90"/>
      <c r="E614" s="89"/>
      <c r="G614" s="463"/>
      <c r="K614" s="90"/>
      <c r="L614" s="90"/>
    </row>
    <row r="615" spans="2:12">
      <c r="B615" s="89"/>
      <c r="C615" s="90"/>
      <c r="D615" s="90"/>
      <c r="E615" s="89"/>
      <c r="G615" s="463"/>
      <c r="K615" s="90"/>
      <c r="L615" s="90"/>
    </row>
    <row r="616" spans="2:12">
      <c r="B616" s="89"/>
      <c r="C616" s="90"/>
      <c r="D616" s="90"/>
      <c r="E616" s="89"/>
      <c r="G616" s="463"/>
      <c r="K616" s="90"/>
      <c r="L616" s="90"/>
    </row>
    <row r="617" spans="2:12">
      <c r="B617" s="89"/>
      <c r="C617" s="90"/>
      <c r="D617" s="90"/>
      <c r="E617" s="89"/>
      <c r="G617" s="463"/>
      <c r="K617" s="90"/>
      <c r="L617" s="90"/>
    </row>
    <row r="618" spans="2:12">
      <c r="B618" s="89"/>
      <c r="C618" s="90"/>
      <c r="D618" s="90"/>
      <c r="E618" s="89"/>
      <c r="G618" s="463"/>
      <c r="K618" s="90"/>
      <c r="L618" s="90"/>
    </row>
    <row r="619" spans="2:12">
      <c r="B619" s="89"/>
      <c r="C619" s="90"/>
      <c r="D619" s="90"/>
      <c r="E619" s="89"/>
      <c r="G619" s="463"/>
      <c r="K619" s="90"/>
      <c r="L619" s="90"/>
    </row>
    <row r="620" spans="2:12">
      <c r="B620" s="89"/>
      <c r="C620" s="90"/>
      <c r="D620" s="90"/>
      <c r="E620" s="89"/>
      <c r="G620" s="463"/>
      <c r="K620" s="90"/>
      <c r="L620" s="90"/>
    </row>
    <row r="621" spans="2:12">
      <c r="B621" s="89"/>
      <c r="C621" s="90"/>
      <c r="D621" s="90"/>
      <c r="E621" s="89"/>
      <c r="G621" s="463"/>
      <c r="K621" s="90"/>
      <c r="L621" s="90"/>
    </row>
    <row r="622" spans="2:12">
      <c r="B622" s="89"/>
      <c r="C622" s="90"/>
      <c r="D622" s="90"/>
      <c r="E622" s="89"/>
      <c r="G622" s="463"/>
      <c r="K622" s="90"/>
      <c r="L622" s="90"/>
    </row>
    <row r="623" spans="2:12">
      <c r="B623" s="89"/>
      <c r="C623" s="90"/>
      <c r="D623" s="90"/>
      <c r="E623" s="89"/>
      <c r="G623" s="463"/>
      <c r="K623" s="90"/>
      <c r="L623" s="90"/>
    </row>
    <row r="624" spans="2:12">
      <c r="B624" s="89"/>
      <c r="C624" s="90"/>
      <c r="D624" s="90"/>
      <c r="E624" s="89"/>
      <c r="G624" s="463"/>
      <c r="K624" s="90"/>
      <c r="L624" s="90"/>
    </row>
    <row r="625" spans="2:12">
      <c r="B625" s="89"/>
      <c r="C625" s="90"/>
      <c r="D625" s="90"/>
      <c r="E625" s="89"/>
      <c r="G625" s="463"/>
      <c r="K625" s="90"/>
      <c r="L625" s="90"/>
    </row>
    <row r="626" spans="2:12">
      <c r="B626" s="89"/>
      <c r="C626" s="90"/>
      <c r="D626" s="90"/>
      <c r="E626" s="89"/>
      <c r="G626" s="463"/>
      <c r="K626" s="90"/>
      <c r="L626" s="90"/>
    </row>
    <row r="627" spans="2:12">
      <c r="B627" s="89"/>
      <c r="C627" s="90"/>
      <c r="D627" s="90"/>
      <c r="E627" s="89"/>
      <c r="G627" s="463"/>
      <c r="K627" s="90"/>
      <c r="L627" s="90"/>
    </row>
    <row r="628" spans="2:12">
      <c r="B628" s="89"/>
      <c r="C628" s="90"/>
      <c r="D628" s="90"/>
      <c r="E628" s="89"/>
      <c r="G628" s="463"/>
      <c r="K628" s="90"/>
      <c r="L628" s="90"/>
    </row>
    <row r="629" spans="2:12">
      <c r="B629" s="89"/>
      <c r="C629" s="90"/>
      <c r="D629" s="90"/>
      <c r="E629" s="89"/>
      <c r="G629" s="463"/>
      <c r="K629" s="90"/>
      <c r="L629" s="90"/>
    </row>
    <row r="630" spans="2:12">
      <c r="B630" s="89"/>
      <c r="C630" s="90"/>
      <c r="D630" s="90"/>
      <c r="E630" s="89"/>
      <c r="G630" s="463"/>
      <c r="K630" s="90"/>
      <c r="L630" s="90"/>
    </row>
    <row r="631" spans="2:12">
      <c r="B631" s="89"/>
      <c r="C631" s="90"/>
      <c r="D631" s="90"/>
      <c r="E631" s="89"/>
      <c r="G631" s="463"/>
      <c r="K631" s="90"/>
      <c r="L631" s="90"/>
    </row>
    <row r="632" spans="2:12">
      <c r="B632" s="89"/>
      <c r="C632" s="90"/>
      <c r="D632" s="90"/>
      <c r="E632" s="89"/>
      <c r="G632" s="463"/>
      <c r="K632" s="90"/>
      <c r="L632" s="90"/>
    </row>
    <row r="633" spans="2:12">
      <c r="B633" s="89"/>
      <c r="C633" s="90"/>
      <c r="D633" s="90"/>
      <c r="E633" s="89"/>
      <c r="G633" s="463"/>
      <c r="K633" s="90"/>
      <c r="L633" s="90"/>
    </row>
    <row r="634" spans="2:12">
      <c r="B634" s="89"/>
      <c r="C634" s="90"/>
      <c r="D634" s="90"/>
      <c r="E634" s="89"/>
      <c r="G634" s="463"/>
      <c r="K634" s="90"/>
      <c r="L634" s="90"/>
    </row>
    <row r="635" spans="2:12">
      <c r="B635" s="89"/>
      <c r="C635" s="90"/>
      <c r="D635" s="90"/>
      <c r="E635" s="89"/>
      <c r="G635" s="463"/>
      <c r="K635" s="90"/>
      <c r="L635" s="90"/>
    </row>
    <row r="636" spans="2:12">
      <c r="B636" s="89"/>
      <c r="C636" s="90"/>
      <c r="D636" s="90"/>
      <c r="E636" s="89"/>
      <c r="G636" s="463"/>
      <c r="K636" s="90"/>
      <c r="L636" s="90"/>
    </row>
    <row r="637" spans="2:12">
      <c r="B637" s="89"/>
      <c r="C637" s="90"/>
      <c r="D637" s="90"/>
      <c r="E637" s="89"/>
      <c r="G637" s="463"/>
      <c r="K637" s="90"/>
      <c r="L637" s="90"/>
    </row>
    <row r="638" spans="2:12">
      <c r="B638" s="89"/>
      <c r="C638" s="90"/>
      <c r="D638" s="90"/>
      <c r="E638" s="89"/>
      <c r="G638" s="463"/>
      <c r="K638" s="90"/>
      <c r="L638" s="90"/>
    </row>
    <row r="639" spans="2:12">
      <c r="B639" s="89"/>
      <c r="C639" s="90"/>
      <c r="D639" s="90"/>
      <c r="E639" s="89"/>
      <c r="G639" s="463"/>
      <c r="K639" s="90"/>
      <c r="L639" s="90"/>
    </row>
    <row r="640" spans="2:12">
      <c r="B640" s="89"/>
      <c r="C640" s="90"/>
      <c r="D640" s="90"/>
      <c r="E640" s="89"/>
      <c r="G640" s="463"/>
      <c r="K640" s="90"/>
      <c r="L640" s="90"/>
    </row>
    <row r="641" spans="2:12">
      <c r="B641" s="89"/>
      <c r="C641" s="90"/>
      <c r="D641" s="90"/>
      <c r="E641" s="89"/>
      <c r="G641" s="463"/>
      <c r="K641" s="90"/>
      <c r="L641" s="90"/>
    </row>
    <row r="642" spans="2:12">
      <c r="B642" s="89"/>
      <c r="C642" s="90"/>
      <c r="D642" s="90"/>
      <c r="E642" s="89"/>
      <c r="G642" s="463"/>
      <c r="K642" s="90"/>
      <c r="L642" s="90"/>
    </row>
    <row r="643" spans="2:12">
      <c r="B643" s="89"/>
      <c r="C643" s="90"/>
      <c r="D643" s="90"/>
      <c r="E643" s="89"/>
      <c r="G643" s="463"/>
      <c r="K643" s="90"/>
      <c r="L643" s="90"/>
    </row>
    <row r="644" spans="2:12">
      <c r="B644" s="89"/>
      <c r="C644" s="90"/>
      <c r="D644" s="90"/>
      <c r="E644" s="89"/>
      <c r="G644" s="463"/>
      <c r="K644" s="90"/>
      <c r="L644" s="90"/>
    </row>
    <row r="645" spans="2:12">
      <c r="B645" s="89"/>
      <c r="C645" s="90"/>
      <c r="D645" s="90"/>
      <c r="E645" s="89"/>
      <c r="G645" s="463"/>
      <c r="K645" s="90"/>
      <c r="L645" s="90"/>
    </row>
    <row r="646" spans="2:12">
      <c r="B646" s="89"/>
      <c r="C646" s="90"/>
      <c r="D646" s="90"/>
      <c r="E646" s="89"/>
      <c r="G646" s="463"/>
      <c r="K646" s="90"/>
      <c r="L646" s="90"/>
    </row>
    <row r="647" spans="2:12">
      <c r="B647" s="89"/>
      <c r="C647" s="90"/>
      <c r="D647" s="90"/>
      <c r="E647" s="89"/>
      <c r="G647" s="463"/>
      <c r="K647" s="90"/>
      <c r="L647" s="90"/>
    </row>
    <row r="648" spans="2:12">
      <c r="B648" s="89"/>
      <c r="C648" s="90"/>
      <c r="D648" s="90"/>
      <c r="E648" s="89"/>
      <c r="G648" s="463"/>
      <c r="K648" s="90"/>
      <c r="L648" s="90"/>
    </row>
    <row r="649" spans="2:12">
      <c r="B649" s="89"/>
      <c r="C649" s="90"/>
      <c r="D649" s="90"/>
      <c r="E649" s="89"/>
      <c r="G649" s="463"/>
      <c r="K649" s="90"/>
      <c r="L649" s="90"/>
    </row>
    <row r="650" spans="2:12">
      <c r="B650" s="89"/>
      <c r="C650" s="90"/>
      <c r="D650" s="90"/>
      <c r="E650" s="89"/>
      <c r="G650" s="463"/>
      <c r="K650" s="90"/>
      <c r="L650" s="90"/>
    </row>
    <row r="651" spans="2:12">
      <c r="B651" s="89"/>
      <c r="C651" s="90"/>
      <c r="D651" s="90"/>
      <c r="E651" s="89"/>
      <c r="G651" s="463"/>
      <c r="K651" s="90"/>
      <c r="L651" s="90"/>
    </row>
    <row r="652" spans="2:12">
      <c r="B652" s="89"/>
      <c r="C652" s="90"/>
      <c r="D652" s="90"/>
      <c r="E652" s="89"/>
      <c r="G652" s="463"/>
      <c r="K652" s="90"/>
      <c r="L652" s="90"/>
    </row>
    <row r="653" spans="2:12">
      <c r="B653" s="89"/>
      <c r="C653" s="90"/>
      <c r="D653" s="90"/>
      <c r="E653" s="89"/>
      <c r="G653" s="463"/>
      <c r="K653" s="90"/>
      <c r="L653" s="90"/>
    </row>
    <row r="654" spans="2:12">
      <c r="B654" s="89"/>
      <c r="C654" s="90"/>
      <c r="D654" s="90"/>
      <c r="E654" s="89"/>
      <c r="G654" s="463"/>
      <c r="K654" s="90"/>
      <c r="L654" s="90"/>
    </row>
    <row r="655" spans="2:12">
      <c r="B655" s="89"/>
      <c r="C655" s="90"/>
      <c r="D655" s="90"/>
      <c r="E655" s="89"/>
      <c r="G655" s="463"/>
      <c r="K655" s="90"/>
      <c r="L655" s="90"/>
    </row>
    <row r="656" spans="2:12">
      <c r="B656" s="89"/>
      <c r="C656" s="90"/>
      <c r="D656" s="90"/>
      <c r="E656" s="89"/>
      <c r="G656" s="463"/>
      <c r="K656" s="90"/>
      <c r="L656" s="90"/>
    </row>
    <row r="657" spans="2:12">
      <c r="B657" s="89"/>
      <c r="C657" s="90"/>
      <c r="D657" s="90"/>
      <c r="E657" s="89"/>
      <c r="G657" s="463"/>
      <c r="K657" s="90"/>
      <c r="L657" s="90"/>
    </row>
    <row r="658" spans="2:12">
      <c r="B658" s="89"/>
      <c r="C658" s="90"/>
      <c r="D658" s="90"/>
      <c r="E658" s="89"/>
      <c r="G658" s="463"/>
      <c r="K658" s="90"/>
      <c r="L658" s="90"/>
    </row>
    <row r="659" spans="2:12">
      <c r="B659" s="89"/>
      <c r="C659" s="90"/>
      <c r="D659" s="90"/>
      <c r="E659" s="89"/>
      <c r="G659" s="463"/>
      <c r="K659" s="90"/>
      <c r="L659" s="90"/>
    </row>
    <row r="660" spans="2:12">
      <c r="B660" s="89"/>
      <c r="C660" s="90"/>
      <c r="D660" s="90"/>
      <c r="E660" s="89"/>
      <c r="G660" s="463"/>
      <c r="K660" s="90"/>
      <c r="L660" s="90"/>
    </row>
    <row r="661" spans="2:12">
      <c r="B661" s="89"/>
      <c r="C661" s="90"/>
      <c r="D661" s="90"/>
      <c r="E661" s="89"/>
      <c r="G661" s="463"/>
      <c r="K661" s="90"/>
      <c r="L661" s="90"/>
    </row>
    <row r="662" spans="2:12">
      <c r="B662" s="89"/>
      <c r="C662" s="90"/>
      <c r="D662" s="90"/>
      <c r="E662" s="89"/>
      <c r="G662" s="463"/>
      <c r="K662" s="90"/>
      <c r="L662" s="90"/>
    </row>
    <row r="663" spans="2:12">
      <c r="B663" s="89"/>
      <c r="C663" s="90"/>
      <c r="D663" s="90"/>
      <c r="E663" s="89"/>
      <c r="G663" s="463"/>
      <c r="K663" s="90"/>
      <c r="L663" s="90"/>
    </row>
    <row r="664" spans="2:12">
      <c r="B664" s="89"/>
      <c r="C664" s="90"/>
      <c r="D664" s="90"/>
      <c r="E664" s="89"/>
      <c r="G664" s="463"/>
      <c r="K664" s="90"/>
      <c r="L664" s="90"/>
    </row>
    <row r="665" spans="2:12">
      <c r="B665" s="89"/>
      <c r="C665" s="90"/>
      <c r="D665" s="90"/>
      <c r="E665" s="89"/>
      <c r="G665" s="463"/>
      <c r="K665" s="90"/>
      <c r="L665" s="90"/>
    </row>
    <row r="666" spans="2:12">
      <c r="B666" s="89"/>
      <c r="C666" s="90"/>
      <c r="D666" s="90"/>
      <c r="E666" s="89"/>
      <c r="G666" s="463"/>
      <c r="K666" s="90"/>
      <c r="L666" s="90"/>
    </row>
    <row r="667" spans="2:12">
      <c r="B667" s="89"/>
      <c r="C667" s="90"/>
      <c r="D667" s="90"/>
      <c r="E667" s="89"/>
      <c r="G667" s="463"/>
      <c r="K667" s="90"/>
      <c r="L667" s="90"/>
    </row>
    <row r="668" spans="2:12">
      <c r="B668" s="89"/>
      <c r="C668" s="90"/>
      <c r="D668" s="90"/>
      <c r="E668" s="89"/>
      <c r="G668" s="463"/>
      <c r="K668" s="90"/>
      <c r="L668" s="90"/>
    </row>
    <row r="669" spans="2:12">
      <c r="B669" s="89"/>
      <c r="C669" s="90"/>
      <c r="D669" s="90"/>
      <c r="E669" s="89"/>
      <c r="G669" s="463"/>
      <c r="K669" s="90"/>
      <c r="L669" s="90"/>
    </row>
    <row r="670" spans="2:12">
      <c r="B670" s="89"/>
      <c r="C670" s="90"/>
      <c r="D670" s="90"/>
      <c r="E670" s="89"/>
      <c r="G670" s="463"/>
      <c r="K670" s="90"/>
      <c r="L670" s="90"/>
    </row>
    <row r="671" spans="2:12">
      <c r="B671" s="89"/>
      <c r="C671" s="90"/>
      <c r="D671" s="90"/>
      <c r="E671" s="89"/>
      <c r="G671" s="463"/>
      <c r="K671" s="90"/>
      <c r="L671" s="90"/>
    </row>
    <row r="672" spans="2:12">
      <c r="B672" s="89"/>
      <c r="C672" s="90"/>
      <c r="D672" s="90"/>
      <c r="E672" s="89"/>
      <c r="G672" s="463"/>
      <c r="K672" s="90"/>
      <c r="L672" s="90"/>
    </row>
    <row r="673" spans="2:12">
      <c r="B673" s="89"/>
      <c r="C673" s="90"/>
      <c r="D673" s="90"/>
      <c r="E673" s="89"/>
      <c r="G673" s="463"/>
      <c r="K673" s="90"/>
      <c r="L673" s="90"/>
    </row>
    <row r="674" spans="2:12">
      <c r="B674" s="89"/>
      <c r="C674" s="90"/>
      <c r="D674" s="90"/>
      <c r="E674" s="89"/>
      <c r="G674" s="463"/>
      <c r="K674" s="90"/>
      <c r="L674" s="90"/>
    </row>
    <row r="675" spans="2:12">
      <c r="B675" s="89"/>
      <c r="C675" s="90"/>
      <c r="D675" s="90"/>
      <c r="E675" s="89"/>
      <c r="G675" s="463"/>
      <c r="K675" s="90"/>
      <c r="L675" s="90"/>
    </row>
    <row r="676" spans="2:12">
      <c r="B676" s="89"/>
      <c r="C676" s="90"/>
      <c r="D676" s="90"/>
      <c r="E676" s="89"/>
      <c r="G676" s="463"/>
      <c r="K676" s="90"/>
      <c r="L676" s="90"/>
    </row>
    <row r="677" spans="2:12">
      <c r="B677" s="89"/>
      <c r="C677" s="90"/>
      <c r="D677" s="90"/>
      <c r="E677" s="89"/>
      <c r="G677" s="463"/>
      <c r="K677" s="90"/>
      <c r="L677" s="90"/>
    </row>
    <row r="678" spans="2:12">
      <c r="B678" s="89"/>
      <c r="C678" s="90"/>
      <c r="D678" s="90"/>
      <c r="E678" s="89"/>
      <c r="G678" s="463"/>
      <c r="K678" s="90"/>
      <c r="L678" s="90"/>
    </row>
    <row r="679" spans="2:12">
      <c r="B679" s="89"/>
      <c r="C679" s="90"/>
      <c r="D679" s="90"/>
      <c r="E679" s="89"/>
      <c r="G679" s="463"/>
      <c r="K679" s="90"/>
      <c r="L679" s="90"/>
    </row>
    <row r="680" spans="2:12">
      <c r="B680" s="89"/>
      <c r="C680" s="90"/>
      <c r="D680" s="90"/>
      <c r="E680" s="89"/>
      <c r="G680" s="463"/>
      <c r="K680" s="90"/>
      <c r="L680" s="90"/>
    </row>
    <row r="681" spans="2:12">
      <c r="B681" s="89"/>
      <c r="C681" s="90"/>
      <c r="D681" s="90"/>
      <c r="E681" s="89"/>
      <c r="G681" s="463"/>
      <c r="K681" s="90"/>
      <c r="L681" s="90"/>
    </row>
    <row r="682" spans="2:12">
      <c r="B682" s="89"/>
      <c r="C682" s="90"/>
      <c r="D682" s="90"/>
      <c r="E682" s="89"/>
      <c r="G682" s="463"/>
      <c r="K682" s="90"/>
      <c r="L682" s="90"/>
    </row>
    <row r="683" spans="2:12">
      <c r="B683" s="89"/>
      <c r="C683" s="90"/>
      <c r="D683" s="90"/>
      <c r="E683" s="89"/>
      <c r="G683" s="463"/>
      <c r="K683" s="90"/>
      <c r="L683" s="90"/>
    </row>
    <row r="684" spans="2:12">
      <c r="B684" s="89"/>
      <c r="C684" s="90"/>
      <c r="D684" s="90"/>
      <c r="E684" s="89"/>
      <c r="G684" s="463"/>
      <c r="K684" s="90"/>
      <c r="L684" s="90"/>
    </row>
    <row r="685" spans="2:12">
      <c r="B685" s="89"/>
      <c r="C685" s="90"/>
      <c r="D685" s="90"/>
      <c r="E685" s="89"/>
      <c r="G685" s="463"/>
      <c r="K685" s="90"/>
      <c r="L685" s="90"/>
    </row>
    <row r="686" spans="2:12">
      <c r="B686" s="89"/>
      <c r="C686" s="90"/>
      <c r="D686" s="90"/>
      <c r="E686" s="89"/>
      <c r="G686" s="463"/>
      <c r="K686" s="90"/>
      <c r="L686" s="90"/>
    </row>
    <row r="687" spans="2:12">
      <c r="B687" s="89"/>
      <c r="C687" s="90"/>
      <c r="D687" s="90"/>
      <c r="E687" s="89"/>
      <c r="G687" s="463"/>
      <c r="K687" s="90"/>
      <c r="L687" s="90"/>
    </row>
    <row r="688" spans="2:12">
      <c r="B688" s="89"/>
      <c r="C688" s="90"/>
      <c r="D688" s="90"/>
      <c r="E688" s="89"/>
      <c r="G688" s="463"/>
      <c r="K688" s="90"/>
      <c r="L688" s="90"/>
    </row>
    <row r="689" spans="2:12">
      <c r="B689" s="89"/>
      <c r="C689" s="90"/>
      <c r="D689" s="90"/>
      <c r="E689" s="89"/>
      <c r="G689" s="463"/>
      <c r="K689" s="90"/>
      <c r="L689" s="90"/>
    </row>
    <row r="690" spans="2:12">
      <c r="B690" s="89"/>
      <c r="C690" s="90"/>
      <c r="D690" s="90"/>
      <c r="E690" s="89"/>
      <c r="G690" s="463"/>
      <c r="K690" s="90"/>
      <c r="L690" s="90"/>
    </row>
    <row r="691" spans="2:12">
      <c r="B691" s="89"/>
      <c r="C691" s="90"/>
      <c r="D691" s="90"/>
      <c r="E691" s="89"/>
      <c r="G691" s="463"/>
      <c r="K691" s="90"/>
      <c r="L691" s="90"/>
    </row>
    <row r="692" spans="2:12">
      <c r="B692" s="89"/>
      <c r="C692" s="90"/>
      <c r="D692" s="90"/>
      <c r="E692" s="89"/>
      <c r="G692" s="463"/>
      <c r="K692" s="90"/>
      <c r="L692" s="90"/>
    </row>
    <row r="693" spans="2:12">
      <c r="B693" s="89"/>
      <c r="C693" s="90"/>
      <c r="D693" s="90"/>
      <c r="E693" s="89"/>
      <c r="G693" s="463"/>
      <c r="K693" s="90"/>
      <c r="L693" s="90"/>
    </row>
    <row r="694" spans="2:12">
      <c r="B694" s="89"/>
      <c r="C694" s="90"/>
      <c r="D694" s="90"/>
      <c r="E694" s="89"/>
      <c r="G694" s="463"/>
      <c r="K694" s="90"/>
      <c r="L694" s="90"/>
    </row>
    <row r="695" spans="2:12">
      <c r="B695" s="89"/>
      <c r="C695" s="90"/>
      <c r="D695" s="90"/>
      <c r="E695" s="89"/>
      <c r="G695" s="463"/>
      <c r="K695" s="90"/>
      <c r="L695" s="90"/>
    </row>
    <row r="696" spans="2:12">
      <c r="B696" s="89"/>
      <c r="C696" s="90"/>
      <c r="D696" s="90"/>
      <c r="E696" s="89"/>
      <c r="G696" s="463"/>
      <c r="K696" s="90"/>
      <c r="L696" s="90"/>
    </row>
    <row r="697" spans="2:12">
      <c r="B697" s="89"/>
      <c r="C697" s="90"/>
      <c r="D697" s="90"/>
      <c r="E697" s="89"/>
      <c r="G697" s="463"/>
      <c r="K697" s="90"/>
      <c r="L697" s="90"/>
    </row>
    <row r="698" spans="2:12">
      <c r="B698" s="89"/>
      <c r="C698" s="90"/>
      <c r="D698" s="90"/>
      <c r="E698" s="89"/>
      <c r="G698" s="463"/>
      <c r="K698" s="90"/>
      <c r="L698" s="90"/>
    </row>
    <row r="699" spans="2:12">
      <c r="B699" s="89"/>
      <c r="C699" s="90"/>
      <c r="D699" s="90"/>
      <c r="E699" s="89"/>
      <c r="G699" s="463"/>
      <c r="K699" s="90"/>
      <c r="L699" s="90"/>
    </row>
    <row r="700" spans="2:12">
      <c r="B700" s="89"/>
      <c r="C700" s="90"/>
      <c r="D700" s="90"/>
      <c r="E700" s="89"/>
      <c r="G700" s="463"/>
      <c r="K700" s="90"/>
      <c r="L700" s="90"/>
    </row>
    <row r="701" spans="2:12">
      <c r="B701" s="89"/>
      <c r="C701" s="90"/>
      <c r="D701" s="90"/>
      <c r="E701" s="89"/>
      <c r="G701" s="463"/>
      <c r="K701" s="90"/>
      <c r="L701" s="90"/>
    </row>
    <row r="702" spans="2:12">
      <c r="B702" s="89"/>
      <c r="C702" s="90"/>
      <c r="D702" s="90"/>
      <c r="E702" s="89"/>
      <c r="G702" s="463"/>
      <c r="K702" s="90"/>
      <c r="L702" s="90"/>
    </row>
    <row r="703" spans="2:12">
      <c r="B703" s="89"/>
      <c r="C703" s="90"/>
      <c r="D703" s="90"/>
      <c r="E703" s="89"/>
      <c r="G703" s="463"/>
      <c r="K703" s="90"/>
      <c r="L703" s="90"/>
    </row>
    <row r="704" spans="2:12">
      <c r="B704" s="89"/>
      <c r="C704" s="90"/>
      <c r="D704" s="90"/>
      <c r="E704" s="89"/>
      <c r="G704" s="463"/>
      <c r="K704" s="90"/>
      <c r="L704" s="90"/>
    </row>
    <row r="705" spans="2:12">
      <c r="B705" s="89"/>
      <c r="C705" s="90"/>
      <c r="D705" s="90"/>
      <c r="E705" s="89"/>
      <c r="G705" s="463"/>
      <c r="K705" s="90"/>
      <c r="L705" s="90"/>
    </row>
    <row r="706" spans="2:12">
      <c r="B706" s="89"/>
      <c r="C706" s="90"/>
      <c r="D706" s="90"/>
      <c r="E706" s="89"/>
      <c r="G706" s="463"/>
      <c r="K706" s="90"/>
      <c r="L706" s="90"/>
    </row>
    <row r="707" spans="2:12">
      <c r="B707" s="89"/>
      <c r="C707" s="90"/>
      <c r="D707" s="90"/>
      <c r="E707" s="89"/>
      <c r="G707" s="463"/>
      <c r="K707" s="90"/>
      <c r="L707" s="90"/>
    </row>
    <row r="708" spans="2:12">
      <c r="B708" s="89"/>
      <c r="C708" s="90"/>
      <c r="D708" s="90"/>
      <c r="E708" s="89"/>
      <c r="G708" s="463"/>
      <c r="K708" s="90"/>
      <c r="L708" s="90"/>
    </row>
    <row r="709" spans="2:12">
      <c r="B709" s="89"/>
      <c r="C709" s="90"/>
      <c r="D709" s="90"/>
      <c r="E709" s="89"/>
      <c r="G709" s="463"/>
      <c r="K709" s="90"/>
      <c r="L709" s="90"/>
    </row>
    <row r="710" spans="2:12">
      <c r="B710" s="89"/>
      <c r="C710" s="90"/>
      <c r="D710" s="90"/>
      <c r="E710" s="89"/>
      <c r="G710" s="463"/>
      <c r="K710" s="90"/>
      <c r="L710" s="90"/>
    </row>
    <row r="711" spans="2:12">
      <c r="B711" s="89"/>
      <c r="C711" s="90"/>
      <c r="D711" s="90"/>
      <c r="E711" s="89"/>
      <c r="G711" s="463"/>
      <c r="K711" s="90"/>
      <c r="L711" s="90"/>
    </row>
    <row r="712" spans="2:12">
      <c r="B712" s="89"/>
      <c r="C712" s="90"/>
      <c r="D712" s="90"/>
      <c r="E712" s="89"/>
      <c r="G712" s="463"/>
      <c r="K712" s="90"/>
      <c r="L712" s="90"/>
    </row>
    <row r="713" spans="2:12">
      <c r="B713" s="89"/>
      <c r="C713" s="90"/>
      <c r="D713" s="90"/>
      <c r="E713" s="89"/>
      <c r="G713" s="463"/>
      <c r="K713" s="90"/>
      <c r="L713" s="90"/>
    </row>
    <row r="714" spans="2:12">
      <c r="B714" s="89"/>
      <c r="C714" s="90"/>
      <c r="D714" s="90"/>
      <c r="E714" s="89"/>
      <c r="G714" s="463"/>
      <c r="K714" s="90"/>
      <c r="L714" s="90"/>
    </row>
    <row r="715" spans="2:12">
      <c r="B715" s="89"/>
      <c r="C715" s="90"/>
      <c r="D715" s="90"/>
      <c r="E715" s="89"/>
      <c r="G715" s="463"/>
      <c r="K715" s="90"/>
      <c r="L715" s="90"/>
    </row>
    <row r="716" spans="2:12">
      <c r="B716" s="89"/>
      <c r="C716" s="90"/>
      <c r="D716" s="90"/>
      <c r="E716" s="89"/>
      <c r="G716" s="463"/>
      <c r="K716" s="90"/>
      <c r="L716" s="90"/>
    </row>
    <row r="717" spans="2:12">
      <c r="B717" s="89"/>
      <c r="C717" s="90"/>
      <c r="D717" s="90"/>
      <c r="E717" s="89"/>
      <c r="G717" s="463"/>
      <c r="K717" s="90"/>
      <c r="L717" s="90"/>
    </row>
    <row r="718" spans="2:12">
      <c r="B718" s="89"/>
      <c r="C718" s="90"/>
      <c r="D718" s="90"/>
      <c r="E718" s="89"/>
      <c r="G718" s="463"/>
      <c r="K718" s="90"/>
      <c r="L718" s="90"/>
    </row>
    <row r="719" spans="2:12">
      <c r="B719" s="89"/>
      <c r="C719" s="90"/>
      <c r="D719" s="90"/>
      <c r="E719" s="89"/>
      <c r="G719" s="463"/>
      <c r="K719" s="90"/>
      <c r="L719" s="90"/>
    </row>
    <row r="720" spans="2:12">
      <c r="B720" s="89"/>
      <c r="C720" s="90"/>
      <c r="D720" s="90"/>
      <c r="E720" s="89"/>
      <c r="G720" s="463"/>
      <c r="K720" s="90"/>
      <c r="L720" s="90"/>
    </row>
    <row r="721" spans="2:12">
      <c r="B721" s="89"/>
      <c r="C721" s="90"/>
      <c r="D721" s="90"/>
      <c r="E721" s="89"/>
      <c r="G721" s="463"/>
      <c r="K721" s="90"/>
      <c r="L721" s="90"/>
    </row>
    <row r="722" spans="2:12">
      <c r="B722" s="89"/>
      <c r="C722" s="90"/>
      <c r="D722" s="90"/>
      <c r="E722" s="89"/>
      <c r="G722" s="463"/>
      <c r="K722" s="90"/>
      <c r="L722" s="90"/>
    </row>
    <row r="723" spans="2:12">
      <c r="B723" s="89"/>
      <c r="C723" s="90"/>
      <c r="D723" s="90"/>
      <c r="E723" s="89"/>
      <c r="G723" s="463"/>
      <c r="K723" s="90"/>
      <c r="L723" s="90"/>
    </row>
    <row r="724" spans="2:12">
      <c r="B724" s="89"/>
      <c r="C724" s="90"/>
      <c r="D724" s="90"/>
      <c r="E724" s="89"/>
      <c r="G724" s="463"/>
      <c r="K724" s="90"/>
      <c r="L724" s="90"/>
    </row>
    <row r="725" spans="2:12">
      <c r="B725" s="89"/>
      <c r="C725" s="90"/>
      <c r="D725" s="90"/>
      <c r="E725" s="89"/>
      <c r="G725" s="463"/>
      <c r="K725" s="90"/>
      <c r="L725" s="90"/>
    </row>
    <row r="726" spans="2:12">
      <c r="B726" s="89"/>
      <c r="C726" s="90"/>
      <c r="D726" s="90"/>
      <c r="E726" s="89"/>
      <c r="G726" s="463"/>
      <c r="K726" s="90"/>
      <c r="L726" s="90"/>
    </row>
    <row r="727" spans="2:12">
      <c r="B727" s="89"/>
      <c r="C727" s="90"/>
      <c r="D727" s="90"/>
      <c r="E727" s="89"/>
      <c r="G727" s="463"/>
      <c r="K727" s="90"/>
      <c r="L727" s="90"/>
    </row>
    <row r="728" spans="2:12">
      <c r="B728" s="89"/>
      <c r="C728" s="90"/>
      <c r="D728" s="90"/>
      <c r="E728" s="89"/>
      <c r="G728" s="463"/>
      <c r="K728" s="90"/>
      <c r="L728" s="90"/>
    </row>
    <row r="729" spans="2:12">
      <c r="B729" s="89"/>
      <c r="C729" s="90"/>
      <c r="D729" s="90"/>
      <c r="E729" s="89"/>
      <c r="G729" s="463"/>
      <c r="K729" s="90"/>
      <c r="L729" s="90"/>
    </row>
    <row r="730" spans="2:12">
      <c r="B730" s="89"/>
      <c r="C730" s="90"/>
      <c r="D730" s="90"/>
      <c r="E730" s="89"/>
      <c r="G730" s="463"/>
      <c r="K730" s="90"/>
      <c r="L730" s="90"/>
    </row>
    <row r="731" spans="2:12">
      <c r="B731" s="89"/>
      <c r="C731" s="90"/>
      <c r="D731" s="90"/>
      <c r="E731" s="89"/>
      <c r="G731" s="463"/>
      <c r="K731" s="90"/>
      <c r="L731" s="90"/>
    </row>
    <row r="732" spans="2:12">
      <c r="B732" s="89"/>
      <c r="C732" s="90"/>
      <c r="D732" s="90"/>
      <c r="E732" s="89"/>
      <c r="G732" s="463"/>
      <c r="K732" s="90"/>
      <c r="L732" s="90"/>
    </row>
    <row r="733" spans="2:12">
      <c r="B733" s="89"/>
      <c r="C733" s="90"/>
      <c r="D733" s="90"/>
      <c r="E733" s="89"/>
      <c r="G733" s="463"/>
      <c r="K733" s="90"/>
      <c r="L733" s="90"/>
    </row>
    <row r="734" spans="2:12">
      <c r="B734" s="89"/>
      <c r="C734" s="90"/>
      <c r="D734" s="90"/>
      <c r="E734" s="89"/>
      <c r="G734" s="463"/>
      <c r="K734" s="90"/>
      <c r="L734" s="90"/>
    </row>
    <row r="735" spans="2:12">
      <c r="B735" s="89"/>
      <c r="C735" s="90"/>
      <c r="D735" s="90"/>
      <c r="E735" s="89"/>
      <c r="G735" s="463"/>
      <c r="K735" s="90"/>
      <c r="L735" s="90"/>
    </row>
    <row r="736" spans="2:12">
      <c r="B736" s="89"/>
      <c r="C736" s="90"/>
      <c r="D736" s="90"/>
      <c r="E736" s="89"/>
      <c r="G736" s="463"/>
      <c r="K736" s="90"/>
      <c r="L736" s="90"/>
    </row>
    <row r="737" spans="2:12">
      <c r="B737" s="89"/>
      <c r="C737" s="90"/>
      <c r="D737" s="90"/>
      <c r="E737" s="89"/>
      <c r="G737" s="463"/>
      <c r="K737" s="90"/>
      <c r="L737" s="90"/>
    </row>
    <row r="738" spans="2:12">
      <c r="B738" s="89"/>
      <c r="C738" s="90"/>
      <c r="D738" s="90"/>
      <c r="E738" s="89"/>
      <c r="G738" s="463"/>
      <c r="K738" s="90"/>
      <c r="L738" s="90"/>
    </row>
    <row r="739" spans="2:12">
      <c r="B739" s="89"/>
      <c r="C739" s="90"/>
      <c r="D739" s="90"/>
      <c r="E739" s="89"/>
      <c r="G739" s="463"/>
      <c r="K739" s="90"/>
      <c r="L739" s="90"/>
    </row>
    <row r="740" spans="2:12">
      <c r="B740" s="89"/>
      <c r="C740" s="90"/>
      <c r="D740" s="90"/>
      <c r="E740" s="89"/>
      <c r="G740" s="463"/>
      <c r="K740" s="90"/>
      <c r="L740" s="90"/>
    </row>
    <row r="741" spans="2:12">
      <c r="B741" s="89"/>
      <c r="C741" s="90"/>
      <c r="D741" s="90"/>
      <c r="E741" s="89"/>
      <c r="G741" s="463"/>
      <c r="K741" s="90"/>
      <c r="L741" s="90"/>
    </row>
    <row r="742" spans="2:12">
      <c r="B742" s="89"/>
      <c r="C742" s="90"/>
      <c r="D742" s="90"/>
      <c r="E742" s="89"/>
      <c r="G742" s="463"/>
      <c r="K742" s="90"/>
      <c r="L742" s="90"/>
    </row>
    <row r="743" spans="2:12">
      <c r="B743" s="89"/>
      <c r="C743" s="90"/>
      <c r="D743" s="90"/>
      <c r="E743" s="89"/>
      <c r="G743" s="463"/>
      <c r="K743" s="90"/>
      <c r="L743" s="90"/>
    </row>
    <row r="744" spans="2:12">
      <c r="B744" s="89"/>
      <c r="C744" s="90"/>
      <c r="D744" s="90"/>
      <c r="E744" s="89"/>
      <c r="G744" s="463"/>
      <c r="K744" s="90"/>
      <c r="L744" s="90"/>
    </row>
    <row r="745" spans="2:12">
      <c r="B745" s="89"/>
      <c r="C745" s="90"/>
      <c r="D745" s="90"/>
      <c r="E745" s="89"/>
      <c r="G745" s="463"/>
      <c r="K745" s="90"/>
      <c r="L745" s="90"/>
    </row>
    <row r="746" spans="2:12">
      <c r="B746" s="89"/>
      <c r="C746" s="90"/>
      <c r="D746" s="90"/>
      <c r="E746" s="89"/>
      <c r="G746" s="463"/>
      <c r="K746" s="90"/>
      <c r="L746" s="90"/>
    </row>
    <row r="747" spans="2:12">
      <c r="B747" s="89"/>
      <c r="C747" s="90"/>
      <c r="D747" s="90"/>
      <c r="E747" s="89"/>
      <c r="G747" s="463"/>
      <c r="K747" s="90"/>
      <c r="L747" s="90"/>
    </row>
    <row r="748" spans="2:12">
      <c r="B748" s="89"/>
      <c r="C748" s="90"/>
      <c r="D748" s="90"/>
      <c r="E748" s="89"/>
      <c r="G748" s="463"/>
      <c r="K748" s="90"/>
      <c r="L748" s="90"/>
    </row>
    <row r="749" spans="2:12">
      <c r="B749" s="89"/>
      <c r="C749" s="90"/>
      <c r="D749" s="90"/>
      <c r="E749" s="89"/>
      <c r="G749" s="463"/>
      <c r="K749" s="90"/>
      <c r="L749" s="90"/>
    </row>
    <row r="750" spans="2:12">
      <c r="B750" s="89"/>
      <c r="C750" s="90"/>
      <c r="D750" s="90"/>
      <c r="E750" s="89"/>
      <c r="G750" s="463"/>
      <c r="K750" s="90"/>
      <c r="L750" s="90"/>
    </row>
    <row r="751" spans="2:12">
      <c r="B751" s="89"/>
      <c r="C751" s="90"/>
      <c r="D751" s="90"/>
      <c r="E751" s="89"/>
      <c r="G751" s="463"/>
      <c r="K751" s="90"/>
      <c r="L751" s="90"/>
    </row>
    <row r="752" spans="2:12">
      <c r="B752" s="89"/>
      <c r="C752" s="90"/>
      <c r="D752" s="90"/>
      <c r="E752" s="89"/>
      <c r="G752" s="463"/>
      <c r="K752" s="90"/>
      <c r="L752" s="90"/>
    </row>
    <row r="753" spans="2:12">
      <c r="B753" s="89"/>
      <c r="C753" s="90"/>
      <c r="D753" s="90"/>
      <c r="E753" s="89"/>
      <c r="G753" s="463"/>
      <c r="K753" s="90"/>
      <c r="L753" s="90"/>
    </row>
    <row r="754" spans="2:12">
      <c r="B754" s="89"/>
      <c r="C754" s="90"/>
      <c r="D754" s="90"/>
      <c r="E754" s="89"/>
      <c r="G754" s="463"/>
      <c r="K754" s="90"/>
      <c r="L754" s="90"/>
    </row>
    <row r="755" spans="2:12">
      <c r="B755" s="89"/>
      <c r="C755" s="90"/>
      <c r="D755" s="90"/>
      <c r="E755" s="89"/>
      <c r="G755" s="463"/>
      <c r="K755" s="90"/>
      <c r="L755" s="90"/>
    </row>
    <row r="756" spans="2:12">
      <c r="B756" s="89"/>
      <c r="C756" s="90"/>
      <c r="D756" s="90"/>
      <c r="E756" s="89"/>
      <c r="G756" s="463"/>
      <c r="K756" s="90"/>
      <c r="L756" s="90"/>
    </row>
    <row r="757" spans="2:12">
      <c r="B757" s="89"/>
      <c r="C757" s="90"/>
      <c r="D757" s="90"/>
      <c r="E757" s="89"/>
      <c r="G757" s="463"/>
      <c r="K757" s="90"/>
      <c r="L757" s="90"/>
    </row>
    <row r="758" spans="2:12">
      <c r="B758" s="89"/>
      <c r="C758" s="90"/>
      <c r="D758" s="90"/>
      <c r="E758" s="89"/>
      <c r="G758" s="463"/>
      <c r="K758" s="90"/>
      <c r="L758" s="90"/>
    </row>
    <row r="759" spans="2:12">
      <c r="B759" s="89"/>
      <c r="C759" s="90"/>
      <c r="D759" s="90"/>
      <c r="E759" s="89"/>
      <c r="G759" s="463"/>
      <c r="K759" s="90"/>
      <c r="L759" s="90"/>
    </row>
    <row r="760" spans="2:12">
      <c r="B760" s="89"/>
      <c r="C760" s="90"/>
      <c r="D760" s="90"/>
      <c r="E760" s="89"/>
      <c r="G760" s="463"/>
      <c r="K760" s="90"/>
      <c r="L760" s="90"/>
    </row>
    <row r="761" spans="2:12">
      <c r="B761" s="89"/>
      <c r="C761" s="90"/>
      <c r="D761" s="90"/>
      <c r="E761" s="89"/>
      <c r="G761" s="463"/>
      <c r="K761" s="90"/>
      <c r="L761" s="90"/>
    </row>
    <row r="762" spans="2:12">
      <c r="B762" s="89"/>
      <c r="C762" s="90"/>
      <c r="D762" s="90"/>
      <c r="E762" s="89"/>
      <c r="G762" s="463"/>
      <c r="K762" s="90"/>
      <c r="L762" s="90"/>
    </row>
    <row r="763" spans="2:12">
      <c r="B763" s="89"/>
      <c r="C763" s="90"/>
      <c r="D763" s="90"/>
      <c r="E763" s="89"/>
      <c r="G763" s="463"/>
      <c r="K763" s="90"/>
      <c r="L763" s="90"/>
    </row>
    <row r="764" spans="2:12">
      <c r="B764" s="89"/>
      <c r="C764" s="90"/>
      <c r="D764" s="90"/>
      <c r="E764" s="89"/>
      <c r="G764" s="463"/>
      <c r="K764" s="90"/>
      <c r="L764" s="90"/>
    </row>
    <row r="765" spans="2:12">
      <c r="B765" s="89"/>
      <c r="C765" s="90"/>
      <c r="D765" s="90"/>
      <c r="E765" s="89"/>
      <c r="G765" s="463"/>
      <c r="K765" s="90"/>
      <c r="L765" s="90"/>
    </row>
    <row r="766" spans="2:12">
      <c r="B766" s="89"/>
      <c r="C766" s="90"/>
      <c r="D766" s="90"/>
      <c r="E766" s="89"/>
      <c r="G766" s="463"/>
      <c r="K766" s="90"/>
      <c r="L766" s="90"/>
    </row>
    <row r="767" spans="2:12">
      <c r="B767" s="89"/>
      <c r="C767" s="90"/>
      <c r="D767" s="90"/>
      <c r="E767" s="89"/>
      <c r="G767" s="463"/>
      <c r="K767" s="90"/>
      <c r="L767" s="90"/>
    </row>
    <row r="768" spans="2:12">
      <c r="B768" s="89"/>
      <c r="C768" s="90"/>
      <c r="D768" s="90"/>
      <c r="E768" s="89"/>
      <c r="G768" s="463"/>
      <c r="K768" s="90"/>
      <c r="L768" s="90"/>
    </row>
    <row r="769" spans="2:12">
      <c r="B769" s="89"/>
      <c r="C769" s="90"/>
      <c r="D769" s="90"/>
      <c r="E769" s="89"/>
      <c r="G769" s="463"/>
      <c r="K769" s="90"/>
      <c r="L769" s="90"/>
    </row>
    <row r="770" spans="2:12">
      <c r="B770" s="89"/>
      <c r="C770" s="90"/>
      <c r="D770" s="90"/>
      <c r="E770" s="89"/>
      <c r="G770" s="463"/>
      <c r="K770" s="90"/>
      <c r="L770" s="90"/>
    </row>
    <row r="771" spans="2:12">
      <c r="B771" s="89"/>
      <c r="C771" s="90"/>
      <c r="D771" s="90"/>
      <c r="E771" s="89"/>
      <c r="G771" s="463"/>
      <c r="K771" s="90"/>
      <c r="L771" s="90"/>
    </row>
    <row r="772" spans="2:12">
      <c r="B772" s="89"/>
      <c r="C772" s="90"/>
      <c r="D772" s="90"/>
      <c r="E772" s="89"/>
      <c r="G772" s="463"/>
      <c r="K772" s="90"/>
      <c r="L772" s="90"/>
    </row>
    <row r="773" spans="2:12">
      <c r="B773" s="89"/>
      <c r="C773" s="90"/>
      <c r="D773" s="90"/>
      <c r="E773" s="89"/>
      <c r="G773" s="463"/>
      <c r="K773" s="90"/>
      <c r="L773" s="90"/>
    </row>
    <row r="774" spans="2:12">
      <c r="B774" s="89"/>
      <c r="C774" s="90"/>
      <c r="D774" s="90"/>
      <c r="E774" s="89"/>
      <c r="G774" s="463"/>
      <c r="K774" s="90"/>
      <c r="L774" s="90"/>
    </row>
    <row r="775" spans="2:12">
      <c r="B775" s="89"/>
      <c r="C775" s="90"/>
      <c r="D775" s="90"/>
      <c r="E775" s="89"/>
      <c r="G775" s="463"/>
      <c r="K775" s="90"/>
      <c r="L775" s="90"/>
    </row>
    <row r="776" spans="2:12">
      <c r="B776" s="89"/>
      <c r="C776" s="90"/>
      <c r="D776" s="90"/>
      <c r="E776" s="89"/>
      <c r="G776" s="463"/>
      <c r="K776" s="90"/>
      <c r="L776" s="90"/>
    </row>
    <row r="777" spans="2:12">
      <c r="B777" s="89"/>
      <c r="C777" s="90"/>
      <c r="D777" s="90"/>
      <c r="E777" s="89"/>
      <c r="G777" s="463"/>
      <c r="K777" s="90"/>
      <c r="L777" s="90"/>
    </row>
    <row r="778" spans="2:12">
      <c r="B778" s="89"/>
      <c r="C778" s="90"/>
      <c r="D778" s="90"/>
      <c r="E778" s="89"/>
      <c r="G778" s="463"/>
      <c r="K778" s="90"/>
      <c r="L778" s="90"/>
    </row>
    <row r="779" spans="2:12">
      <c r="B779" s="89"/>
      <c r="C779" s="90"/>
      <c r="D779" s="90"/>
      <c r="E779" s="89"/>
      <c r="G779" s="463"/>
      <c r="K779" s="90"/>
      <c r="L779" s="90"/>
    </row>
    <row r="780" spans="2:12">
      <c r="B780" s="89"/>
      <c r="C780" s="90"/>
      <c r="D780" s="90"/>
      <c r="E780" s="89"/>
      <c r="G780" s="463"/>
      <c r="K780" s="90"/>
      <c r="L780" s="90"/>
    </row>
    <row r="781" spans="2:12">
      <c r="B781" s="89"/>
      <c r="C781" s="90"/>
      <c r="D781" s="90"/>
      <c r="E781" s="89"/>
      <c r="G781" s="463"/>
      <c r="K781" s="90"/>
      <c r="L781" s="90"/>
    </row>
    <row r="782" spans="2:12">
      <c r="B782" s="89"/>
      <c r="C782" s="90"/>
      <c r="D782" s="90"/>
      <c r="E782" s="89"/>
      <c r="G782" s="463"/>
      <c r="K782" s="90"/>
      <c r="L782" s="90"/>
    </row>
    <row r="783" spans="2:12">
      <c r="B783" s="89"/>
      <c r="C783" s="90"/>
      <c r="D783" s="90"/>
      <c r="E783" s="89"/>
      <c r="G783" s="463"/>
      <c r="K783" s="90"/>
      <c r="L783" s="90"/>
    </row>
    <row r="784" spans="2:12">
      <c r="B784" s="89"/>
      <c r="C784" s="90"/>
      <c r="D784" s="90"/>
      <c r="E784" s="89"/>
      <c r="G784" s="463"/>
      <c r="K784" s="90"/>
      <c r="L784" s="90"/>
    </row>
    <row r="785" spans="2:12">
      <c r="B785" s="89"/>
      <c r="C785" s="90"/>
      <c r="D785" s="90"/>
      <c r="E785" s="89"/>
      <c r="G785" s="463"/>
      <c r="K785" s="90"/>
      <c r="L785" s="90"/>
    </row>
    <row r="786" spans="2:12">
      <c r="B786" s="89"/>
      <c r="C786" s="90"/>
      <c r="D786" s="90"/>
      <c r="E786" s="89"/>
      <c r="G786" s="463"/>
      <c r="K786" s="90"/>
      <c r="L786" s="90"/>
    </row>
    <row r="787" spans="2:12">
      <c r="B787" s="89"/>
      <c r="C787" s="90"/>
      <c r="D787" s="90"/>
      <c r="E787" s="89"/>
      <c r="G787" s="463"/>
      <c r="K787" s="90"/>
      <c r="L787" s="90"/>
    </row>
    <row r="788" spans="2:12">
      <c r="B788" s="89"/>
      <c r="C788" s="90"/>
      <c r="D788" s="90"/>
      <c r="E788" s="89"/>
      <c r="G788" s="463"/>
      <c r="K788" s="90"/>
      <c r="L788" s="90"/>
    </row>
    <row r="789" spans="2:12">
      <c r="B789" s="89"/>
      <c r="C789" s="90"/>
      <c r="D789" s="90"/>
      <c r="E789" s="89"/>
      <c r="G789" s="463"/>
      <c r="K789" s="90"/>
      <c r="L789" s="90"/>
    </row>
    <row r="790" spans="2:12">
      <c r="B790" s="89"/>
      <c r="C790" s="90"/>
      <c r="D790" s="90"/>
      <c r="E790" s="89"/>
      <c r="G790" s="463"/>
      <c r="K790" s="90"/>
      <c r="L790" s="90"/>
    </row>
    <row r="791" spans="2:12">
      <c r="B791" s="89"/>
      <c r="C791" s="90"/>
      <c r="D791" s="90"/>
      <c r="E791" s="89"/>
      <c r="G791" s="463"/>
      <c r="K791" s="90"/>
      <c r="L791" s="90"/>
    </row>
    <row r="792" spans="2:12">
      <c r="B792" s="89"/>
      <c r="C792" s="90"/>
      <c r="D792" s="90"/>
      <c r="E792" s="89"/>
      <c r="G792" s="463"/>
      <c r="K792" s="90"/>
      <c r="L792" s="90"/>
    </row>
    <row r="793" spans="2:12">
      <c r="B793" s="89"/>
      <c r="C793" s="90"/>
      <c r="D793" s="90"/>
      <c r="E793" s="89"/>
      <c r="G793" s="463"/>
      <c r="K793" s="90"/>
      <c r="L793" s="90"/>
    </row>
    <row r="794" spans="2:12">
      <c r="B794" s="89"/>
      <c r="C794" s="90"/>
      <c r="D794" s="90"/>
      <c r="E794" s="89"/>
      <c r="G794" s="463"/>
      <c r="K794" s="90"/>
      <c r="L794" s="90"/>
    </row>
    <row r="795" spans="2:12">
      <c r="B795" s="89"/>
      <c r="C795" s="90"/>
      <c r="D795" s="90"/>
      <c r="E795" s="89"/>
      <c r="G795" s="463"/>
      <c r="K795" s="90"/>
      <c r="L795" s="90"/>
    </row>
    <row r="796" spans="2:12">
      <c r="B796" s="89"/>
      <c r="C796" s="90"/>
      <c r="D796" s="90"/>
      <c r="E796" s="89"/>
      <c r="G796" s="463"/>
      <c r="K796" s="90"/>
      <c r="L796" s="90"/>
    </row>
    <row r="797" spans="2:12">
      <c r="B797" s="89"/>
      <c r="C797" s="90"/>
      <c r="D797" s="90"/>
      <c r="E797" s="89"/>
      <c r="G797" s="463"/>
      <c r="K797" s="90"/>
      <c r="L797" s="90"/>
    </row>
    <row r="798" spans="2:12">
      <c r="B798" s="89"/>
      <c r="C798" s="90"/>
      <c r="D798" s="90"/>
      <c r="E798" s="89"/>
      <c r="G798" s="463"/>
      <c r="K798" s="90"/>
      <c r="L798" s="90"/>
    </row>
    <row r="799" spans="2:12">
      <c r="B799" s="89"/>
      <c r="C799" s="90"/>
      <c r="D799" s="90"/>
      <c r="E799" s="89"/>
      <c r="G799" s="463"/>
      <c r="K799" s="90"/>
      <c r="L799" s="90"/>
    </row>
    <row r="800" spans="2:12">
      <c r="B800" s="89"/>
      <c r="C800" s="90"/>
      <c r="D800" s="90"/>
      <c r="E800" s="89"/>
      <c r="G800" s="463"/>
      <c r="K800" s="90"/>
      <c r="L800" s="90"/>
    </row>
    <row r="801" spans="2:12">
      <c r="B801" s="89"/>
      <c r="C801" s="90"/>
      <c r="D801" s="90"/>
      <c r="E801" s="89"/>
      <c r="G801" s="463"/>
      <c r="K801" s="90"/>
      <c r="L801" s="90"/>
    </row>
    <row r="802" spans="2:12">
      <c r="B802" s="89"/>
      <c r="C802" s="90"/>
      <c r="D802" s="90"/>
      <c r="E802" s="89"/>
      <c r="G802" s="463"/>
      <c r="K802" s="90"/>
      <c r="L802" s="90"/>
    </row>
    <row r="803" spans="2:12">
      <c r="B803" s="89"/>
      <c r="C803" s="90"/>
      <c r="D803" s="90"/>
      <c r="E803" s="89"/>
      <c r="G803" s="463"/>
      <c r="K803" s="90"/>
      <c r="L803" s="90"/>
    </row>
    <row r="804" spans="2:12">
      <c r="B804" s="89"/>
      <c r="C804" s="90"/>
      <c r="D804" s="90"/>
      <c r="E804" s="89"/>
      <c r="G804" s="463"/>
      <c r="K804" s="90"/>
      <c r="L804" s="90"/>
    </row>
    <row r="805" spans="2:12">
      <c r="B805" s="89"/>
      <c r="C805" s="90"/>
      <c r="D805" s="90"/>
      <c r="E805" s="89"/>
      <c r="G805" s="463"/>
      <c r="K805" s="90"/>
      <c r="L805" s="90"/>
    </row>
    <row r="806" spans="2:12">
      <c r="B806" s="89"/>
      <c r="C806" s="90"/>
      <c r="D806" s="90"/>
      <c r="E806" s="89"/>
      <c r="G806" s="463"/>
      <c r="K806" s="90"/>
      <c r="L806" s="90"/>
    </row>
    <row r="807" spans="2:12">
      <c r="B807" s="89"/>
      <c r="C807" s="90"/>
      <c r="D807" s="90"/>
      <c r="E807" s="89"/>
      <c r="G807" s="463"/>
      <c r="K807" s="90"/>
      <c r="L807" s="90"/>
    </row>
    <row r="808" spans="2:12">
      <c r="B808" s="89"/>
      <c r="C808" s="90"/>
      <c r="D808" s="90"/>
      <c r="E808" s="89"/>
      <c r="G808" s="463"/>
      <c r="K808" s="90"/>
      <c r="L808" s="90"/>
    </row>
    <row r="809" spans="2:12">
      <c r="B809" s="89"/>
      <c r="C809" s="90"/>
      <c r="D809" s="90"/>
      <c r="E809" s="89"/>
      <c r="G809" s="463"/>
      <c r="K809" s="90"/>
      <c r="L809" s="90"/>
    </row>
    <row r="810" spans="2:12">
      <c r="B810" s="89"/>
      <c r="C810" s="90"/>
      <c r="D810" s="90"/>
      <c r="E810" s="89"/>
      <c r="G810" s="463"/>
      <c r="K810" s="90"/>
      <c r="L810" s="90"/>
    </row>
    <row r="811" spans="2:12">
      <c r="B811" s="89"/>
      <c r="C811" s="90"/>
      <c r="D811" s="90"/>
      <c r="E811" s="89"/>
      <c r="G811" s="463"/>
      <c r="K811" s="90"/>
      <c r="L811" s="90"/>
    </row>
    <row r="812" spans="2:12">
      <c r="B812" s="89"/>
      <c r="C812" s="90"/>
      <c r="D812" s="90"/>
      <c r="E812" s="89"/>
      <c r="G812" s="463"/>
      <c r="K812" s="90"/>
      <c r="L812" s="90"/>
    </row>
    <row r="813" spans="2:12">
      <c r="B813" s="89"/>
      <c r="C813" s="90"/>
      <c r="D813" s="90"/>
      <c r="E813" s="89"/>
      <c r="G813" s="463"/>
      <c r="K813" s="90"/>
      <c r="L813" s="90"/>
    </row>
    <row r="814" spans="2:12">
      <c r="B814" s="89"/>
      <c r="C814" s="90"/>
      <c r="D814" s="90"/>
      <c r="E814" s="89"/>
      <c r="G814" s="463"/>
      <c r="K814" s="90"/>
      <c r="L814" s="90"/>
    </row>
    <row r="815" spans="2:12">
      <c r="B815" s="89"/>
      <c r="C815" s="90"/>
      <c r="D815" s="90"/>
      <c r="E815" s="89"/>
      <c r="G815" s="463"/>
      <c r="K815" s="90"/>
      <c r="L815" s="90"/>
    </row>
    <row r="816" spans="2:12">
      <c r="B816" s="89"/>
      <c r="C816" s="90"/>
      <c r="D816" s="90"/>
      <c r="E816" s="89"/>
      <c r="G816" s="463"/>
      <c r="K816" s="90"/>
      <c r="L816" s="90"/>
    </row>
    <row r="817" spans="2:12">
      <c r="B817" s="89"/>
      <c r="C817" s="90"/>
      <c r="D817" s="90"/>
      <c r="E817" s="89"/>
      <c r="G817" s="463"/>
      <c r="K817" s="90"/>
      <c r="L817" s="90"/>
    </row>
    <row r="818" spans="2:12">
      <c r="B818" s="89"/>
      <c r="C818" s="90"/>
      <c r="D818" s="90"/>
      <c r="E818" s="89"/>
      <c r="G818" s="463"/>
      <c r="K818" s="90"/>
      <c r="L818" s="90"/>
    </row>
    <row r="819" spans="2:12">
      <c r="B819" s="89"/>
      <c r="C819" s="90"/>
      <c r="D819" s="90"/>
      <c r="E819" s="89"/>
      <c r="G819" s="463"/>
      <c r="K819" s="90"/>
      <c r="L819" s="90"/>
    </row>
    <row r="820" spans="2:12">
      <c r="B820" s="89"/>
      <c r="C820" s="90"/>
      <c r="D820" s="90"/>
      <c r="E820" s="89"/>
      <c r="G820" s="463"/>
      <c r="K820" s="90"/>
      <c r="L820" s="90"/>
    </row>
    <row r="821" spans="2:12">
      <c r="B821" s="89"/>
      <c r="C821" s="90"/>
      <c r="D821" s="90"/>
      <c r="E821" s="89"/>
      <c r="G821" s="463"/>
      <c r="K821" s="90"/>
      <c r="L821" s="90"/>
    </row>
    <row r="822" spans="2:12">
      <c r="B822" s="89"/>
      <c r="C822" s="90"/>
      <c r="D822" s="90"/>
      <c r="E822" s="89"/>
      <c r="G822" s="463"/>
      <c r="K822" s="90"/>
      <c r="L822" s="90"/>
    </row>
    <row r="823" spans="2:12">
      <c r="B823" s="89"/>
      <c r="C823" s="90"/>
      <c r="D823" s="90"/>
      <c r="E823" s="89"/>
      <c r="G823" s="463"/>
      <c r="K823" s="90"/>
      <c r="L823" s="90"/>
    </row>
    <row r="824" spans="2:12">
      <c r="B824" s="89"/>
      <c r="C824" s="90"/>
      <c r="D824" s="90"/>
      <c r="E824" s="89"/>
      <c r="G824" s="463"/>
      <c r="K824" s="90"/>
      <c r="L824" s="90"/>
    </row>
    <row r="825" spans="2:12">
      <c r="B825" s="89"/>
      <c r="C825" s="90"/>
      <c r="D825" s="90"/>
      <c r="E825" s="89"/>
      <c r="G825" s="463"/>
      <c r="K825" s="90"/>
      <c r="L825" s="90"/>
    </row>
    <row r="826" spans="2:12">
      <c r="B826" s="89"/>
      <c r="C826" s="90"/>
      <c r="D826" s="90"/>
      <c r="E826" s="89"/>
      <c r="G826" s="463"/>
      <c r="K826" s="90"/>
      <c r="L826" s="90"/>
    </row>
    <row r="827" spans="2:12">
      <c r="B827" s="89"/>
      <c r="C827" s="90"/>
      <c r="D827" s="90"/>
      <c r="E827" s="89"/>
      <c r="G827" s="463"/>
      <c r="K827" s="90"/>
      <c r="L827" s="90"/>
    </row>
    <row r="828" spans="2:12">
      <c r="B828" s="89"/>
      <c r="C828" s="90"/>
      <c r="D828" s="90"/>
      <c r="E828" s="89"/>
      <c r="G828" s="463"/>
      <c r="K828" s="90"/>
      <c r="L828" s="90"/>
    </row>
    <row r="829" spans="2:12">
      <c r="B829" s="89"/>
      <c r="C829" s="90"/>
      <c r="D829" s="90"/>
      <c r="E829" s="89"/>
      <c r="G829" s="463"/>
      <c r="K829" s="90"/>
      <c r="L829" s="90"/>
    </row>
    <row r="830" spans="2:12">
      <c r="B830" s="89"/>
      <c r="C830" s="90"/>
      <c r="D830" s="90"/>
      <c r="E830" s="89"/>
      <c r="G830" s="463"/>
      <c r="K830" s="90"/>
      <c r="L830" s="90"/>
    </row>
    <row r="831" spans="2:12">
      <c r="B831" s="89"/>
      <c r="C831" s="90"/>
      <c r="D831" s="90"/>
      <c r="E831" s="89"/>
      <c r="G831" s="463"/>
      <c r="K831" s="90"/>
      <c r="L831" s="90"/>
    </row>
    <row r="832" spans="2:12">
      <c r="B832" s="89"/>
      <c r="C832" s="90"/>
      <c r="D832" s="90"/>
      <c r="E832" s="89"/>
      <c r="G832" s="463"/>
      <c r="K832" s="90"/>
      <c r="L832" s="90"/>
    </row>
    <row r="833" spans="2:12">
      <c r="B833" s="89"/>
      <c r="C833" s="90"/>
      <c r="D833" s="90"/>
      <c r="E833" s="89"/>
      <c r="G833" s="463"/>
      <c r="K833" s="90"/>
      <c r="L833" s="90"/>
    </row>
    <row r="834" spans="2:12">
      <c r="B834" s="89"/>
      <c r="C834" s="90"/>
      <c r="D834" s="90"/>
      <c r="E834" s="89"/>
      <c r="G834" s="463"/>
      <c r="K834" s="90"/>
      <c r="L834" s="90"/>
    </row>
    <row r="835" spans="2:12">
      <c r="B835" s="89"/>
      <c r="C835" s="90"/>
      <c r="D835" s="90"/>
      <c r="E835" s="89"/>
      <c r="G835" s="463"/>
      <c r="K835" s="90"/>
      <c r="L835" s="90"/>
    </row>
    <row r="836" spans="2:12">
      <c r="B836" s="89"/>
      <c r="C836" s="90"/>
      <c r="D836" s="90"/>
      <c r="E836" s="89"/>
      <c r="G836" s="463"/>
      <c r="K836" s="90"/>
      <c r="L836" s="90"/>
    </row>
    <row r="837" spans="2:12">
      <c r="B837" s="89"/>
      <c r="C837" s="90"/>
      <c r="D837" s="90"/>
      <c r="E837" s="89"/>
      <c r="G837" s="463"/>
      <c r="K837" s="90"/>
      <c r="L837" s="90"/>
    </row>
    <row r="838" spans="2:12">
      <c r="B838" s="89"/>
      <c r="C838" s="90"/>
      <c r="D838" s="90"/>
      <c r="E838" s="89"/>
      <c r="G838" s="463"/>
      <c r="K838" s="90"/>
      <c r="L838" s="90"/>
    </row>
    <row r="839" spans="2:12">
      <c r="B839" s="89"/>
      <c r="C839" s="90"/>
      <c r="D839" s="90"/>
      <c r="E839" s="89"/>
      <c r="G839" s="463"/>
      <c r="K839" s="90"/>
      <c r="L839" s="90"/>
    </row>
    <row r="840" spans="2:12">
      <c r="B840" s="89"/>
      <c r="C840" s="90"/>
      <c r="D840" s="90"/>
      <c r="E840" s="89"/>
      <c r="G840" s="463"/>
      <c r="K840" s="90"/>
      <c r="L840" s="90"/>
    </row>
    <row r="841" spans="2:12">
      <c r="B841" s="89"/>
      <c r="C841" s="90"/>
      <c r="D841" s="90"/>
      <c r="E841" s="89"/>
      <c r="G841" s="463"/>
      <c r="K841" s="90"/>
      <c r="L841" s="90"/>
    </row>
    <row r="842" spans="2:12">
      <c r="B842" s="89"/>
      <c r="C842" s="90"/>
      <c r="D842" s="90"/>
      <c r="E842" s="89"/>
      <c r="G842" s="463"/>
      <c r="K842" s="90"/>
      <c r="L842" s="90"/>
    </row>
    <row r="843" spans="2:12">
      <c r="B843" s="89"/>
      <c r="C843" s="90"/>
      <c r="D843" s="90"/>
      <c r="E843" s="89"/>
      <c r="G843" s="463"/>
      <c r="K843" s="90"/>
      <c r="L843" s="90"/>
    </row>
    <row r="844" spans="2:12">
      <c r="B844" s="89"/>
      <c r="C844" s="90"/>
      <c r="D844" s="90"/>
      <c r="E844" s="89"/>
      <c r="G844" s="463"/>
      <c r="K844" s="90"/>
      <c r="L844" s="90"/>
    </row>
    <row r="845" spans="2:12">
      <c r="B845" s="89"/>
      <c r="C845" s="90"/>
      <c r="D845" s="90"/>
      <c r="E845" s="89"/>
      <c r="G845" s="463"/>
      <c r="K845" s="90"/>
      <c r="L845" s="90"/>
    </row>
    <row r="846" spans="2:12">
      <c r="B846" s="89"/>
      <c r="C846" s="90"/>
      <c r="D846" s="90"/>
      <c r="E846" s="89"/>
      <c r="G846" s="463"/>
      <c r="K846" s="90"/>
      <c r="L846" s="90"/>
    </row>
    <row r="847" spans="2:12">
      <c r="B847" s="89"/>
      <c r="C847" s="90"/>
      <c r="D847" s="90"/>
      <c r="E847" s="89"/>
      <c r="G847" s="463"/>
      <c r="K847" s="90"/>
      <c r="L847" s="90"/>
    </row>
    <row r="848" spans="2:12">
      <c r="B848" s="89"/>
      <c r="C848" s="90"/>
      <c r="D848" s="90"/>
      <c r="E848" s="89"/>
      <c r="G848" s="463"/>
      <c r="K848" s="90"/>
      <c r="L848" s="90"/>
    </row>
    <row r="849" spans="2:12">
      <c r="B849" s="89"/>
      <c r="C849" s="90"/>
      <c r="D849" s="90"/>
      <c r="E849" s="89"/>
      <c r="G849" s="463"/>
      <c r="K849" s="90"/>
      <c r="L849" s="90"/>
    </row>
    <row r="850" spans="2:12">
      <c r="B850" s="89"/>
      <c r="C850" s="90"/>
      <c r="D850" s="90"/>
      <c r="E850" s="89"/>
      <c r="G850" s="463"/>
      <c r="K850" s="90"/>
      <c r="L850" s="90"/>
    </row>
    <row r="851" spans="2:12">
      <c r="B851" s="89"/>
      <c r="C851" s="90"/>
      <c r="D851" s="90"/>
      <c r="E851" s="89"/>
      <c r="G851" s="463"/>
      <c r="K851" s="90"/>
      <c r="L851" s="90"/>
    </row>
    <row r="852" spans="2:12">
      <c r="B852" s="89"/>
      <c r="C852" s="90"/>
      <c r="D852" s="90"/>
      <c r="E852" s="89"/>
      <c r="G852" s="463"/>
      <c r="K852" s="90"/>
      <c r="L852" s="90"/>
    </row>
    <row r="853" spans="2:12">
      <c r="B853" s="89"/>
      <c r="C853" s="90"/>
      <c r="D853" s="90"/>
      <c r="E853" s="89"/>
      <c r="G853" s="463"/>
      <c r="K853" s="90"/>
      <c r="L853" s="90"/>
    </row>
    <row r="854" spans="2:12">
      <c r="B854" s="89"/>
      <c r="C854" s="90"/>
      <c r="D854" s="90"/>
      <c r="E854" s="89"/>
      <c r="G854" s="463"/>
      <c r="K854" s="90"/>
      <c r="L854" s="90"/>
    </row>
    <row r="855" spans="2:12">
      <c r="B855" s="89"/>
      <c r="C855" s="90"/>
      <c r="D855" s="90"/>
      <c r="E855" s="89"/>
      <c r="G855" s="463"/>
      <c r="K855" s="90"/>
      <c r="L855" s="90"/>
    </row>
    <row r="856" spans="2:12">
      <c r="B856" s="89"/>
      <c r="C856" s="90"/>
      <c r="D856" s="90"/>
      <c r="E856" s="89"/>
      <c r="G856" s="463"/>
      <c r="K856" s="90"/>
      <c r="L856" s="90"/>
    </row>
    <row r="857" spans="2:12">
      <c r="B857" s="89"/>
      <c r="C857" s="90"/>
      <c r="D857" s="90"/>
      <c r="E857" s="89"/>
      <c r="G857" s="463"/>
      <c r="K857" s="90"/>
      <c r="L857" s="90"/>
    </row>
    <row r="858" spans="2:12">
      <c r="B858" s="89"/>
      <c r="C858" s="90"/>
      <c r="D858" s="90"/>
      <c r="E858" s="89"/>
      <c r="G858" s="463"/>
      <c r="K858" s="90"/>
      <c r="L858" s="90"/>
    </row>
    <row r="859" spans="2:12">
      <c r="B859" s="89"/>
      <c r="C859" s="90"/>
      <c r="D859" s="90"/>
      <c r="E859" s="89"/>
      <c r="G859" s="463"/>
      <c r="K859" s="90"/>
      <c r="L859" s="90"/>
    </row>
    <row r="860" spans="2:12">
      <c r="B860" s="89"/>
      <c r="C860" s="90"/>
      <c r="D860" s="90"/>
      <c r="E860" s="89"/>
      <c r="G860" s="463"/>
      <c r="K860" s="90"/>
      <c r="L860" s="90"/>
    </row>
    <row r="861" spans="2:12">
      <c r="B861" s="89"/>
      <c r="C861" s="90"/>
      <c r="D861" s="90"/>
      <c r="E861" s="89"/>
      <c r="G861" s="463"/>
      <c r="K861" s="90"/>
      <c r="L861" s="90"/>
    </row>
    <row r="862" spans="2:12">
      <c r="B862" s="89"/>
      <c r="C862" s="90"/>
      <c r="D862" s="90"/>
      <c r="E862" s="89"/>
      <c r="G862" s="463"/>
      <c r="K862" s="90"/>
      <c r="L862" s="90"/>
    </row>
    <row r="863" spans="2:12">
      <c r="B863" s="89"/>
      <c r="C863" s="90"/>
      <c r="D863" s="90"/>
      <c r="E863" s="89"/>
      <c r="G863" s="463"/>
      <c r="K863" s="90"/>
      <c r="L863" s="90"/>
    </row>
    <row r="864" spans="2:12">
      <c r="B864" s="89"/>
      <c r="C864" s="90"/>
      <c r="D864" s="90"/>
      <c r="E864" s="89"/>
      <c r="G864" s="463"/>
      <c r="K864" s="90"/>
      <c r="L864" s="90"/>
    </row>
    <row r="865" spans="2:12">
      <c r="B865" s="89"/>
      <c r="C865" s="90"/>
      <c r="D865" s="90"/>
      <c r="E865" s="89"/>
      <c r="G865" s="463"/>
      <c r="K865" s="90"/>
      <c r="L865" s="90"/>
    </row>
    <row r="866" spans="2:12">
      <c r="B866" s="89"/>
      <c r="C866" s="90"/>
      <c r="D866" s="90"/>
      <c r="E866" s="89"/>
      <c r="G866" s="463"/>
      <c r="K866" s="90"/>
      <c r="L866" s="90"/>
    </row>
    <row r="867" spans="2:12">
      <c r="B867" s="89"/>
      <c r="C867" s="90"/>
      <c r="D867" s="90"/>
      <c r="E867" s="89"/>
      <c r="G867" s="463"/>
      <c r="K867" s="90"/>
      <c r="L867" s="90"/>
    </row>
    <row r="868" spans="2:12">
      <c r="B868" s="89"/>
      <c r="C868" s="90"/>
      <c r="D868" s="90"/>
      <c r="E868" s="89"/>
      <c r="G868" s="463"/>
      <c r="K868" s="90"/>
      <c r="L868" s="90"/>
    </row>
    <row r="869" spans="2:12">
      <c r="B869" s="89"/>
      <c r="C869" s="90"/>
      <c r="D869" s="90"/>
      <c r="E869" s="89"/>
      <c r="G869" s="463"/>
      <c r="K869" s="90"/>
      <c r="L869" s="90"/>
    </row>
    <row r="870" spans="2:12">
      <c r="B870" s="89"/>
      <c r="C870" s="90"/>
      <c r="D870" s="90"/>
      <c r="E870" s="89"/>
      <c r="G870" s="463"/>
      <c r="K870" s="90"/>
      <c r="L870" s="90"/>
    </row>
    <row r="871" spans="2:12">
      <c r="B871" s="89"/>
      <c r="C871" s="90"/>
      <c r="D871" s="90"/>
      <c r="E871" s="89"/>
      <c r="G871" s="463"/>
      <c r="K871" s="90"/>
      <c r="L871" s="90"/>
    </row>
    <row r="872" spans="2:12">
      <c r="B872" s="89"/>
      <c r="C872" s="90"/>
      <c r="D872" s="90"/>
      <c r="E872" s="89"/>
      <c r="G872" s="463"/>
      <c r="K872" s="90"/>
      <c r="L872" s="90"/>
    </row>
    <row r="873" spans="2:12">
      <c r="B873" s="89"/>
      <c r="C873" s="90"/>
      <c r="D873" s="90"/>
      <c r="E873" s="89"/>
      <c r="G873" s="463"/>
      <c r="K873" s="90"/>
      <c r="L873" s="90"/>
    </row>
    <row r="874" spans="2:12">
      <c r="B874" s="89"/>
      <c r="C874" s="90"/>
      <c r="D874" s="90"/>
      <c r="E874" s="89"/>
      <c r="G874" s="463"/>
      <c r="K874" s="90"/>
      <c r="L874" s="90"/>
    </row>
    <row r="875" spans="2:12">
      <c r="B875" s="89"/>
      <c r="C875" s="90"/>
      <c r="D875" s="90"/>
      <c r="E875" s="89"/>
      <c r="G875" s="463"/>
      <c r="K875" s="90"/>
      <c r="L875" s="90"/>
    </row>
    <row r="876" spans="2:12">
      <c r="B876" s="89"/>
      <c r="C876" s="90"/>
      <c r="D876" s="90"/>
      <c r="E876" s="89"/>
      <c r="G876" s="463"/>
      <c r="K876" s="90"/>
      <c r="L876" s="90"/>
    </row>
    <row r="877" spans="2:12">
      <c r="B877" s="89"/>
      <c r="C877" s="90"/>
      <c r="D877" s="90"/>
      <c r="E877" s="89"/>
      <c r="G877" s="463"/>
      <c r="K877" s="90"/>
      <c r="L877" s="90"/>
    </row>
    <row r="878" spans="2:12">
      <c r="B878" s="89"/>
      <c r="C878" s="90"/>
      <c r="D878" s="90"/>
      <c r="E878" s="89"/>
      <c r="G878" s="463"/>
      <c r="K878" s="90"/>
      <c r="L878" s="90"/>
    </row>
    <row r="879" spans="2:12">
      <c r="B879" s="89"/>
      <c r="C879" s="90"/>
      <c r="D879" s="90"/>
      <c r="E879" s="89"/>
      <c r="G879" s="463"/>
      <c r="K879" s="90"/>
      <c r="L879" s="90"/>
    </row>
    <row r="880" spans="2:12">
      <c r="B880" s="89"/>
      <c r="C880" s="90"/>
      <c r="D880" s="90"/>
      <c r="E880" s="89"/>
      <c r="G880" s="463"/>
      <c r="K880" s="90"/>
      <c r="L880" s="90"/>
    </row>
    <row r="881" spans="2:12">
      <c r="B881" s="89"/>
      <c r="C881" s="90"/>
      <c r="D881" s="90"/>
      <c r="E881" s="89"/>
      <c r="G881" s="463"/>
      <c r="K881" s="90"/>
      <c r="L881" s="90"/>
    </row>
    <row r="882" spans="2:12">
      <c r="B882" s="89"/>
      <c r="C882" s="90"/>
      <c r="D882" s="90"/>
      <c r="E882" s="89"/>
      <c r="G882" s="463"/>
      <c r="K882" s="90"/>
      <c r="L882" s="90"/>
    </row>
    <row r="883" spans="2:12">
      <c r="B883" s="89"/>
      <c r="C883" s="90"/>
      <c r="D883" s="90"/>
      <c r="E883" s="89"/>
      <c r="G883" s="463"/>
      <c r="K883" s="90"/>
      <c r="L883" s="90"/>
    </row>
    <row r="884" spans="2:12">
      <c r="B884" s="89"/>
      <c r="C884" s="90"/>
      <c r="D884" s="90"/>
      <c r="E884" s="89"/>
      <c r="G884" s="463"/>
      <c r="K884" s="90"/>
      <c r="L884" s="90"/>
    </row>
    <row r="885" spans="2:12">
      <c r="B885" s="89"/>
      <c r="C885" s="90"/>
      <c r="D885" s="90"/>
      <c r="E885" s="89"/>
      <c r="G885" s="463"/>
      <c r="K885" s="90"/>
      <c r="L885" s="90"/>
    </row>
    <row r="886" spans="2:12">
      <c r="B886" s="89"/>
      <c r="C886" s="90"/>
      <c r="D886" s="90"/>
      <c r="E886" s="89"/>
      <c r="G886" s="463"/>
      <c r="K886" s="90"/>
      <c r="L886" s="90"/>
    </row>
    <row r="887" spans="2:12">
      <c r="B887" s="89"/>
      <c r="C887" s="90"/>
      <c r="D887" s="90"/>
      <c r="E887" s="89"/>
      <c r="G887" s="463"/>
      <c r="K887" s="90"/>
      <c r="L887" s="90"/>
    </row>
    <row r="888" spans="2:12">
      <c r="B888" s="89"/>
      <c r="C888" s="90"/>
      <c r="D888" s="90"/>
      <c r="E888" s="89"/>
      <c r="G888" s="463"/>
      <c r="K888" s="90"/>
      <c r="L888" s="90"/>
    </row>
    <row r="889" spans="2:12">
      <c r="B889" s="89"/>
      <c r="C889" s="90"/>
      <c r="D889" s="90"/>
      <c r="E889" s="89"/>
      <c r="G889" s="463"/>
      <c r="K889" s="90"/>
      <c r="L889" s="90"/>
    </row>
    <row r="890" spans="2:12">
      <c r="B890" s="89"/>
      <c r="C890" s="90"/>
      <c r="D890" s="90"/>
      <c r="E890" s="89"/>
      <c r="G890" s="463"/>
      <c r="K890" s="90"/>
      <c r="L890" s="90"/>
    </row>
    <row r="891" spans="2:12">
      <c r="B891" s="89"/>
      <c r="C891" s="90"/>
      <c r="D891" s="90"/>
      <c r="E891" s="89"/>
      <c r="G891" s="463"/>
      <c r="K891" s="90"/>
      <c r="L891" s="90"/>
    </row>
    <row r="892" spans="2:12">
      <c r="B892" s="89"/>
      <c r="C892" s="90"/>
      <c r="D892" s="90"/>
      <c r="E892" s="89"/>
      <c r="G892" s="463"/>
      <c r="K892" s="90"/>
      <c r="L892" s="90"/>
    </row>
    <row r="893" spans="2:12">
      <c r="B893" s="89"/>
      <c r="C893" s="90"/>
      <c r="D893" s="90"/>
      <c r="E893" s="89"/>
      <c r="G893" s="463"/>
      <c r="K893" s="90"/>
      <c r="L893" s="90"/>
    </row>
    <row r="894" spans="2:12">
      <c r="B894" s="89"/>
      <c r="C894" s="90"/>
      <c r="D894" s="90"/>
      <c r="E894" s="89"/>
      <c r="G894" s="463"/>
      <c r="K894" s="90"/>
      <c r="L894" s="90"/>
    </row>
    <row r="895" spans="2:12">
      <c r="B895" s="89"/>
      <c r="C895" s="90"/>
      <c r="D895" s="90"/>
      <c r="E895" s="89"/>
      <c r="G895" s="463"/>
      <c r="K895" s="90"/>
      <c r="L895" s="90"/>
    </row>
    <row r="896" spans="2:12">
      <c r="B896" s="89"/>
      <c r="C896" s="90"/>
      <c r="D896" s="90"/>
      <c r="E896" s="89"/>
      <c r="G896" s="463"/>
      <c r="K896" s="90"/>
      <c r="L896" s="90"/>
    </row>
    <row r="897" spans="2:12">
      <c r="B897" s="89"/>
      <c r="C897" s="90"/>
      <c r="D897" s="90"/>
      <c r="E897" s="89"/>
      <c r="G897" s="463"/>
      <c r="K897" s="90"/>
      <c r="L897" s="90"/>
    </row>
    <row r="898" spans="2:12">
      <c r="B898" s="89"/>
      <c r="C898" s="90"/>
      <c r="D898" s="90"/>
      <c r="E898" s="89"/>
      <c r="G898" s="463"/>
      <c r="K898" s="90"/>
      <c r="L898" s="90"/>
    </row>
    <row r="899" spans="2:12">
      <c r="B899" s="89"/>
      <c r="C899" s="90"/>
      <c r="D899" s="90"/>
      <c r="E899" s="89"/>
      <c r="G899" s="463"/>
      <c r="K899" s="90"/>
      <c r="L899" s="90"/>
    </row>
    <row r="900" spans="2:12">
      <c r="B900" s="89"/>
      <c r="C900" s="90"/>
      <c r="D900" s="90"/>
      <c r="E900" s="89"/>
      <c r="G900" s="463"/>
      <c r="K900" s="90"/>
      <c r="L900" s="90"/>
    </row>
    <row r="901" spans="2:12">
      <c r="B901" s="89"/>
      <c r="C901" s="90"/>
      <c r="D901" s="90"/>
      <c r="E901" s="89"/>
      <c r="G901" s="463"/>
      <c r="K901" s="90"/>
      <c r="L901" s="90"/>
    </row>
    <row r="902" spans="2:12">
      <c r="B902" s="89"/>
      <c r="C902" s="90"/>
      <c r="D902" s="90"/>
      <c r="E902" s="89"/>
      <c r="G902" s="463"/>
      <c r="K902" s="90"/>
      <c r="L902" s="90"/>
    </row>
    <row r="903" spans="2:12">
      <c r="B903" s="89"/>
      <c r="C903" s="90"/>
      <c r="D903" s="90"/>
      <c r="E903" s="89"/>
      <c r="G903" s="463"/>
      <c r="K903" s="90"/>
      <c r="L903" s="90"/>
    </row>
    <row r="904" spans="2:12">
      <c r="B904" s="89"/>
      <c r="C904" s="90"/>
      <c r="D904" s="90"/>
      <c r="E904" s="89"/>
      <c r="G904" s="463"/>
      <c r="K904" s="90"/>
      <c r="L904" s="90"/>
    </row>
    <row r="905" spans="2:12">
      <c r="B905" s="89"/>
      <c r="C905" s="90"/>
      <c r="D905" s="90"/>
      <c r="E905" s="89"/>
      <c r="G905" s="463"/>
      <c r="K905" s="90"/>
      <c r="L905" s="90"/>
    </row>
    <row r="906" spans="2:12">
      <c r="B906" s="89"/>
      <c r="C906" s="90"/>
      <c r="D906" s="90"/>
      <c r="E906" s="89"/>
      <c r="G906" s="463"/>
      <c r="K906" s="90"/>
      <c r="L906" s="90"/>
    </row>
    <row r="907" spans="2:12">
      <c r="B907" s="89"/>
      <c r="C907" s="90"/>
      <c r="D907" s="90"/>
      <c r="E907" s="89"/>
      <c r="G907" s="463"/>
      <c r="K907" s="90"/>
      <c r="L907" s="90"/>
    </row>
    <row r="908" spans="2:12">
      <c r="B908" s="89"/>
      <c r="C908" s="90"/>
      <c r="D908" s="90"/>
      <c r="E908" s="89"/>
      <c r="G908" s="463"/>
      <c r="K908" s="90"/>
      <c r="L908" s="90"/>
    </row>
    <row r="909" spans="2:12">
      <c r="B909" s="89"/>
      <c r="C909" s="90"/>
      <c r="D909" s="90"/>
      <c r="E909" s="89"/>
      <c r="G909" s="463"/>
      <c r="K909" s="90"/>
      <c r="L909" s="90"/>
    </row>
    <row r="910" spans="2:12">
      <c r="B910" s="89"/>
      <c r="C910" s="90"/>
      <c r="D910" s="90"/>
      <c r="E910" s="89"/>
      <c r="G910" s="463"/>
      <c r="K910" s="90"/>
      <c r="L910" s="90"/>
    </row>
    <row r="911" spans="2:12">
      <c r="B911" s="89"/>
      <c r="C911" s="90"/>
      <c r="D911" s="90"/>
      <c r="E911" s="89"/>
      <c r="G911" s="463"/>
      <c r="K911" s="90"/>
      <c r="L911" s="90"/>
    </row>
    <row r="912" spans="2:12">
      <c r="B912" s="89"/>
      <c r="C912" s="90"/>
      <c r="D912" s="90"/>
      <c r="E912" s="89"/>
      <c r="G912" s="463"/>
      <c r="K912" s="90"/>
      <c r="L912" s="90"/>
    </row>
    <row r="913" spans="2:12">
      <c r="B913" s="89"/>
      <c r="C913" s="90"/>
      <c r="D913" s="90"/>
      <c r="E913" s="89"/>
      <c r="G913" s="463"/>
      <c r="K913" s="90"/>
      <c r="L913" s="90"/>
    </row>
    <row r="914" spans="2:12">
      <c r="B914" s="89"/>
      <c r="C914" s="90"/>
      <c r="D914" s="90"/>
      <c r="E914" s="89"/>
      <c r="G914" s="463"/>
      <c r="K914" s="90"/>
      <c r="L914" s="90"/>
    </row>
    <row r="915" spans="2:12">
      <c r="B915" s="89"/>
      <c r="C915" s="90"/>
      <c r="D915" s="90"/>
      <c r="E915" s="89"/>
      <c r="G915" s="463"/>
      <c r="K915" s="90"/>
      <c r="L915" s="90"/>
    </row>
    <row r="916" spans="2:12">
      <c r="B916" s="89"/>
      <c r="C916" s="90"/>
      <c r="D916" s="90"/>
      <c r="E916" s="89"/>
      <c r="G916" s="463"/>
      <c r="K916" s="90"/>
      <c r="L916" s="90"/>
    </row>
    <row r="917" spans="2:12">
      <c r="B917" s="89"/>
      <c r="C917" s="90"/>
      <c r="D917" s="90"/>
      <c r="E917" s="89"/>
      <c r="G917" s="463"/>
      <c r="K917" s="90"/>
      <c r="L917" s="90"/>
    </row>
    <row r="918" spans="2:12">
      <c r="B918" s="89"/>
      <c r="C918" s="90"/>
      <c r="D918" s="90"/>
      <c r="E918" s="89"/>
      <c r="G918" s="463"/>
      <c r="K918" s="90"/>
      <c r="L918" s="90"/>
    </row>
    <row r="919" spans="2:12">
      <c r="B919" s="89"/>
      <c r="C919" s="90"/>
      <c r="D919" s="90"/>
      <c r="E919" s="89"/>
      <c r="G919" s="463"/>
      <c r="K919" s="90"/>
      <c r="L919" s="90"/>
    </row>
    <row r="920" spans="2:12">
      <c r="B920" s="89"/>
      <c r="C920" s="90"/>
      <c r="D920" s="90"/>
      <c r="E920" s="89"/>
      <c r="G920" s="463"/>
      <c r="K920" s="90"/>
      <c r="L920" s="90"/>
    </row>
    <row r="921" spans="2:12">
      <c r="B921" s="89"/>
      <c r="C921" s="90"/>
      <c r="D921" s="90"/>
      <c r="E921" s="89"/>
      <c r="G921" s="463"/>
      <c r="K921" s="90"/>
      <c r="L921" s="90"/>
    </row>
    <row r="922" spans="2:12">
      <c r="B922" s="89"/>
      <c r="C922" s="90"/>
      <c r="D922" s="90"/>
      <c r="E922" s="89"/>
      <c r="G922" s="463"/>
      <c r="K922" s="90"/>
      <c r="L922" s="90"/>
    </row>
    <row r="923" spans="2:12">
      <c r="B923" s="89"/>
      <c r="C923" s="90"/>
      <c r="D923" s="90"/>
      <c r="E923" s="89"/>
      <c r="G923" s="463"/>
      <c r="K923" s="90"/>
      <c r="L923" s="90"/>
    </row>
    <row r="924" spans="2:12">
      <c r="B924" s="89"/>
      <c r="C924" s="90"/>
      <c r="D924" s="90"/>
      <c r="E924" s="89"/>
      <c r="G924" s="463"/>
      <c r="K924" s="90"/>
      <c r="L924" s="90"/>
    </row>
    <row r="925" spans="2:12">
      <c r="B925" s="89"/>
      <c r="C925" s="90"/>
      <c r="D925" s="90"/>
      <c r="E925" s="89"/>
      <c r="G925" s="463"/>
      <c r="K925" s="90"/>
      <c r="L925" s="90"/>
    </row>
    <row r="926" spans="2:12">
      <c r="B926" s="89"/>
      <c r="C926" s="90"/>
      <c r="D926" s="90"/>
      <c r="E926" s="89"/>
      <c r="G926" s="463"/>
      <c r="K926" s="90"/>
      <c r="L926" s="90"/>
    </row>
    <row r="927" spans="2:12">
      <c r="B927" s="89"/>
      <c r="C927" s="90"/>
      <c r="D927" s="90"/>
      <c r="E927" s="89"/>
      <c r="G927" s="463"/>
      <c r="K927" s="90"/>
      <c r="L927" s="90"/>
    </row>
    <row r="928" spans="2:12">
      <c r="B928" s="89"/>
      <c r="C928" s="90"/>
      <c r="D928" s="90"/>
      <c r="E928" s="89"/>
      <c r="G928" s="463"/>
      <c r="K928" s="90"/>
      <c r="L928" s="90"/>
    </row>
    <row r="929" spans="2:12">
      <c r="B929" s="89"/>
      <c r="C929" s="90"/>
      <c r="D929" s="90"/>
      <c r="E929" s="89"/>
      <c r="G929" s="463"/>
      <c r="K929" s="90"/>
      <c r="L929" s="90"/>
    </row>
    <row r="930" spans="2:12">
      <c r="B930" s="89"/>
      <c r="C930" s="90"/>
      <c r="D930" s="90"/>
      <c r="E930" s="89"/>
      <c r="G930" s="463"/>
      <c r="K930" s="90"/>
      <c r="L930" s="90"/>
    </row>
    <row r="931" spans="2:12">
      <c r="B931" s="89"/>
      <c r="C931" s="90"/>
      <c r="D931" s="90"/>
      <c r="E931" s="89"/>
      <c r="G931" s="463"/>
      <c r="K931" s="90"/>
      <c r="L931" s="90"/>
    </row>
    <row r="932" spans="2:12">
      <c r="B932" s="89"/>
      <c r="C932" s="90"/>
      <c r="D932" s="90"/>
      <c r="E932" s="89"/>
      <c r="G932" s="463"/>
      <c r="K932" s="90"/>
      <c r="L932" s="90"/>
    </row>
    <row r="933" spans="2:12">
      <c r="B933" s="89"/>
      <c r="C933" s="90"/>
      <c r="D933" s="90"/>
      <c r="E933" s="89"/>
      <c r="G933" s="463"/>
      <c r="K933" s="90"/>
      <c r="L933" s="90"/>
    </row>
    <row r="934" spans="2:12">
      <c r="B934" s="89"/>
      <c r="C934" s="90"/>
      <c r="D934" s="90"/>
      <c r="E934" s="89"/>
      <c r="G934" s="463"/>
      <c r="K934" s="90"/>
      <c r="L934" s="90"/>
    </row>
    <row r="935" spans="2:12">
      <c r="B935" s="89"/>
      <c r="C935" s="90"/>
      <c r="D935" s="90"/>
      <c r="E935" s="89"/>
      <c r="G935" s="463"/>
      <c r="K935" s="90"/>
      <c r="L935" s="90"/>
    </row>
    <row r="936" spans="2:12">
      <c r="B936" s="89"/>
      <c r="C936" s="90"/>
      <c r="D936" s="90"/>
      <c r="E936" s="89"/>
      <c r="G936" s="463"/>
      <c r="K936" s="90"/>
      <c r="L936" s="90"/>
    </row>
    <row r="937" spans="2:12">
      <c r="B937" s="89"/>
      <c r="C937" s="90"/>
      <c r="D937" s="90"/>
      <c r="E937" s="89"/>
      <c r="G937" s="463"/>
      <c r="K937" s="90"/>
      <c r="L937" s="90"/>
    </row>
    <row r="938" spans="2:12">
      <c r="B938" s="89"/>
      <c r="C938" s="90"/>
      <c r="D938" s="90"/>
      <c r="E938" s="89"/>
      <c r="G938" s="463"/>
      <c r="K938" s="90"/>
      <c r="L938" s="90"/>
    </row>
    <row r="939" spans="2:12">
      <c r="B939" s="89"/>
      <c r="C939" s="90"/>
      <c r="D939" s="90"/>
      <c r="E939" s="89"/>
      <c r="G939" s="463"/>
      <c r="K939" s="90"/>
      <c r="L939" s="90"/>
    </row>
    <row r="940" spans="2:12">
      <c r="B940" s="89"/>
      <c r="C940" s="90"/>
      <c r="D940" s="90"/>
      <c r="E940" s="89"/>
      <c r="G940" s="463"/>
      <c r="K940" s="90"/>
      <c r="L940" s="90"/>
    </row>
    <row r="941" spans="2:12">
      <c r="B941" s="89"/>
      <c r="C941" s="90"/>
      <c r="D941" s="90"/>
      <c r="E941" s="89"/>
      <c r="G941" s="463"/>
      <c r="K941" s="90"/>
      <c r="L941" s="90"/>
    </row>
    <row r="942" spans="2:12">
      <c r="B942" s="89"/>
      <c r="C942" s="90"/>
      <c r="D942" s="90"/>
      <c r="E942" s="89"/>
      <c r="G942" s="463"/>
      <c r="K942" s="90"/>
      <c r="L942" s="90"/>
    </row>
    <row r="943" spans="2:12">
      <c r="B943" s="89"/>
      <c r="C943" s="90"/>
      <c r="D943" s="90"/>
      <c r="E943" s="89"/>
      <c r="G943" s="463"/>
      <c r="K943" s="90"/>
      <c r="L943" s="90"/>
    </row>
    <row r="944" spans="2:12">
      <c r="B944" s="89"/>
      <c r="C944" s="90"/>
      <c r="D944" s="90"/>
      <c r="E944" s="89"/>
      <c r="G944" s="463"/>
      <c r="K944" s="90"/>
      <c r="L944" s="90"/>
    </row>
    <row r="945" spans="2:12">
      <c r="B945" s="89"/>
      <c r="C945" s="90"/>
      <c r="D945" s="90"/>
      <c r="E945" s="89"/>
      <c r="G945" s="463"/>
      <c r="K945" s="90"/>
      <c r="L945" s="90"/>
    </row>
    <row r="946" spans="2:12">
      <c r="B946" s="89"/>
      <c r="C946" s="90"/>
      <c r="D946" s="90"/>
      <c r="E946" s="89"/>
      <c r="G946" s="463"/>
      <c r="K946" s="90"/>
      <c r="L946" s="90"/>
    </row>
    <row r="947" spans="2:12">
      <c r="B947" s="89"/>
      <c r="C947" s="90"/>
      <c r="D947" s="90"/>
      <c r="E947" s="89"/>
      <c r="G947" s="463"/>
      <c r="K947" s="90"/>
      <c r="L947" s="90"/>
    </row>
    <row r="948" spans="2:12">
      <c r="B948" s="89"/>
      <c r="C948" s="90"/>
      <c r="D948" s="90"/>
      <c r="E948" s="89"/>
      <c r="G948" s="463"/>
      <c r="K948" s="90"/>
      <c r="L948" s="90"/>
    </row>
    <row r="949" spans="2:12">
      <c r="B949" s="89"/>
      <c r="C949" s="90"/>
      <c r="D949" s="90"/>
      <c r="E949" s="89"/>
      <c r="G949" s="463"/>
      <c r="K949" s="90"/>
      <c r="L949" s="90"/>
    </row>
    <row r="950" spans="2:12">
      <c r="B950" s="89"/>
      <c r="C950" s="90"/>
      <c r="D950" s="90"/>
      <c r="E950" s="89"/>
      <c r="G950" s="463"/>
      <c r="K950" s="90"/>
      <c r="L950" s="90"/>
    </row>
    <row r="951" spans="2:12">
      <c r="B951" s="89"/>
      <c r="C951" s="90"/>
      <c r="D951" s="90"/>
      <c r="E951" s="89"/>
      <c r="G951" s="463"/>
      <c r="K951" s="90"/>
      <c r="L951" s="90"/>
    </row>
    <row r="952" spans="2:12">
      <c r="B952" s="89"/>
      <c r="C952" s="90"/>
      <c r="D952" s="90"/>
      <c r="E952" s="89"/>
      <c r="G952" s="463"/>
      <c r="K952" s="90"/>
      <c r="L952" s="90"/>
    </row>
    <row r="953" spans="2:12">
      <c r="B953" s="89"/>
      <c r="C953" s="90"/>
      <c r="D953" s="90"/>
      <c r="E953" s="89"/>
      <c r="G953" s="463"/>
      <c r="K953" s="90"/>
      <c r="L953" s="90"/>
    </row>
    <row r="954" spans="2:12">
      <c r="B954" s="89"/>
      <c r="C954" s="90"/>
      <c r="D954" s="90"/>
      <c r="E954" s="89"/>
      <c r="G954" s="463"/>
      <c r="K954" s="90"/>
      <c r="L954" s="90"/>
    </row>
    <row r="955" spans="2:12">
      <c r="B955" s="89"/>
      <c r="C955" s="90"/>
      <c r="D955" s="90"/>
      <c r="E955" s="89"/>
      <c r="G955" s="463"/>
      <c r="K955" s="90"/>
      <c r="L955" s="90"/>
    </row>
    <row r="956" spans="2:12">
      <c r="B956" s="89"/>
      <c r="C956" s="90"/>
      <c r="D956" s="90"/>
      <c r="E956" s="89"/>
      <c r="G956" s="463"/>
      <c r="K956" s="90"/>
      <c r="L956" s="90"/>
    </row>
    <row r="957" spans="2:12">
      <c r="B957" s="89"/>
      <c r="C957" s="90"/>
      <c r="D957" s="90"/>
      <c r="E957" s="89"/>
      <c r="G957" s="463"/>
      <c r="K957" s="90"/>
      <c r="L957" s="90"/>
    </row>
    <row r="958" spans="2:12">
      <c r="B958" s="89"/>
      <c r="C958" s="90"/>
      <c r="D958" s="90"/>
      <c r="E958" s="89"/>
      <c r="G958" s="463"/>
      <c r="K958" s="90"/>
      <c r="L958" s="90"/>
    </row>
  </sheetData>
  <autoFilter ref="A1:L88"/>
  <conditionalFormatting sqref="P88">
    <cfRule type="expression" dxfId="4063" priority="1">
      <formula>AND(ISNUMBER(P88),TRUNC(P88)&lt;TODAY())</formula>
    </cfRule>
  </conditionalFormatting>
  <conditionalFormatting sqref="Q88">
    <cfRule type="expression" dxfId="4062" priority="2">
      <formula>AND(ISNUMBER(Q88),TRUNC(Q88)&lt;TODAY())</formula>
    </cfRule>
  </conditionalFormatting>
  <conditionalFormatting sqref="O88">
    <cfRule type="expression" dxfId="4061" priority="3">
      <formula>AND(ISNUMBER(O88),TRUNC(O88)&lt;TODAY())</formula>
    </cfRule>
  </conditionalFormatting>
  <conditionalFormatting sqref="P88:Q88">
    <cfRule type="expression" dxfId="4060" priority="4">
      <formula>AND(ISNUMBER(P88),TRUNC(P88)&lt;TODAY())</formula>
    </cfRule>
  </conditionalFormatting>
  <conditionalFormatting sqref="P87">
    <cfRule type="expression" dxfId="4059" priority="5">
      <formula>AND(ISNUMBER(P87),TRUNC(P87)&lt;TODAY())</formula>
    </cfRule>
  </conditionalFormatting>
  <conditionalFormatting sqref="O87">
    <cfRule type="expression" dxfId="4058" priority="6">
      <formula>AND(ISNUMBER(O87),TRUNC(O87)&lt;TODAY())</formula>
    </cfRule>
  </conditionalFormatting>
  <conditionalFormatting sqref="Q87">
    <cfRule type="expression" dxfId="4057" priority="7">
      <formula>AND(ISNUMBER(Q87),TRUNC(Q87)&lt;TODAY())</formula>
    </cfRule>
  </conditionalFormatting>
  <conditionalFormatting sqref="P86:Q86 AH86">
    <cfRule type="expression" dxfId="4056" priority="8">
      <formula>AND(ISNUMBER(P86),TRUNC(P86)&lt;TODAY())</formula>
    </cfRule>
  </conditionalFormatting>
  <conditionalFormatting sqref="O85:Q85">
    <cfRule type="expression" dxfId="4055" priority="9">
      <formula>AND(ISNUMBER(O85),TRUNC(O85)&lt;TODAY())</formula>
    </cfRule>
  </conditionalFormatting>
  <conditionalFormatting sqref="O84:Q84">
    <cfRule type="expression" dxfId="4054" priority="10">
      <formula>AND(ISNUMBER(O84),TRUNC(O84)&lt;TODAY())</formula>
    </cfRule>
  </conditionalFormatting>
  <conditionalFormatting sqref="P83">
    <cfRule type="expression" dxfId="4053" priority="11">
      <formula>AND(ISNUMBER(P83),TRUNC(P83)&lt;TODAY())</formula>
    </cfRule>
  </conditionalFormatting>
  <conditionalFormatting sqref="O83:Q83">
    <cfRule type="expression" dxfId="4052" priority="12">
      <formula>AND(ISNUMBER(O83),TRUNC(O83)&lt;TODAY())</formula>
    </cfRule>
  </conditionalFormatting>
  <conditionalFormatting sqref="L82 P82:Q82 AH82">
    <cfRule type="expression" dxfId="4051" priority="13">
      <formula>AND(ISNUMBER(L82),TRUNC(L82)&lt;TODAY())</formula>
    </cfRule>
  </conditionalFormatting>
  <conditionalFormatting sqref="P81:Q81 AH81">
    <cfRule type="expression" dxfId="4050" priority="14">
      <formula>AND(ISNUMBER(P81),TRUNC(P81)&lt;TODAY())</formula>
    </cfRule>
  </conditionalFormatting>
  <conditionalFormatting sqref="O80:Q80">
    <cfRule type="expression" dxfId="4049" priority="15">
      <formula>AND(ISNUMBER(O80),TRUNC(O80)&lt;TODAY())</formula>
    </cfRule>
  </conditionalFormatting>
  <conditionalFormatting sqref="O79">
    <cfRule type="expression" dxfId="4048" priority="16">
      <formula>AND(ISNUMBER(O79),TRUNC(O79)&lt;TODAY())</formula>
    </cfRule>
  </conditionalFormatting>
  <conditionalFormatting sqref="P79">
    <cfRule type="expression" dxfId="4047" priority="17">
      <formula>AND(ISNUMBER(P79),TRUNC(P79)&lt;TODAY())</formula>
    </cfRule>
  </conditionalFormatting>
  <conditionalFormatting sqref="O78:Q78">
    <cfRule type="expression" dxfId="4046" priority="18">
      <formula>AND(ISNUMBER(O78),TRUNC(O78)&lt;TODAY())</formula>
    </cfRule>
  </conditionalFormatting>
  <conditionalFormatting sqref="O77:Q77">
    <cfRule type="expression" dxfId="4045" priority="19">
      <formula>AND(ISNUMBER(O77),TRUNC(O77)&lt;TODAY())</formula>
    </cfRule>
  </conditionalFormatting>
  <conditionalFormatting sqref="P77">
    <cfRule type="expression" dxfId="4044" priority="20">
      <formula>AND(ISNUMBER(P77),TRUNC(P77)&lt;TODAY())</formula>
    </cfRule>
  </conditionalFormatting>
  <conditionalFormatting sqref="P76">
    <cfRule type="expression" dxfId="4043" priority="21">
      <formula>P76&lt;44165</formula>
    </cfRule>
  </conditionalFormatting>
  <conditionalFormatting sqref="O75:Q75">
    <cfRule type="expression" dxfId="4042" priority="22">
      <formula>AND(ISNUMBER(O75),TRUNC(O75)&lt;TODAY())</formula>
    </cfRule>
  </conditionalFormatting>
  <conditionalFormatting sqref="O74">
    <cfRule type="expression" dxfId="4041" priority="23">
      <formula>AND(ISNUMBER(O74),TRUNC(O74)&lt;TODAY())</formula>
    </cfRule>
  </conditionalFormatting>
  <conditionalFormatting sqref="P74">
    <cfRule type="expression" dxfId="4040" priority="24">
      <formula>AND(ISNUMBER(P74),TRUNC(P74)&lt;TODAY())</formula>
    </cfRule>
  </conditionalFormatting>
  <conditionalFormatting sqref="Q74">
    <cfRule type="expression" dxfId="4039" priority="25">
      <formula>AND(ISNUMBER(Q74),TRUNC(Q74)&lt;TODAY())</formula>
    </cfRule>
  </conditionalFormatting>
  <conditionalFormatting sqref="P73">
    <cfRule type="expression" dxfId="4038" priority="26">
      <formula>AND(ISNUMBER(P73),TRUNC(P73)&lt;TODAY())</formula>
    </cfRule>
  </conditionalFormatting>
  <conditionalFormatting sqref="P73">
    <cfRule type="expression" dxfId="4037" priority="27">
      <formula>AND(ISNUMBER(P73),TRUNC(P73)&lt;TODAY())</formula>
    </cfRule>
  </conditionalFormatting>
  <conditionalFormatting sqref="Q73">
    <cfRule type="expression" dxfId="4036" priority="28">
      <formula>AND(ISNUMBER(Q73),TRUNC(Q73)&lt;TODAY())</formula>
    </cfRule>
  </conditionalFormatting>
  <conditionalFormatting sqref="O73">
    <cfRule type="expression" dxfId="4035" priority="29">
      <formula>AND(ISNUMBER(O73),TRUNC(O73)&lt;TODAY())</formula>
    </cfRule>
  </conditionalFormatting>
  <conditionalFormatting sqref="Q72">
    <cfRule type="expression" dxfId="4034" priority="30">
      <formula>AND(ISNUMBER(Q72),TRUNC(Q72)&lt;TODAY())</formula>
    </cfRule>
  </conditionalFormatting>
  <conditionalFormatting sqref="O72">
    <cfRule type="expression" dxfId="4033" priority="31">
      <formula>AND(ISNUMBER(O72),TRUNC(O72)&lt;TODAY())</formula>
    </cfRule>
  </conditionalFormatting>
  <conditionalFormatting sqref="P72">
    <cfRule type="expression" dxfId="4032" priority="32">
      <formula>AND(ISNUMBER(P72),TRUNC(P72)&lt;TODAY())</formula>
    </cfRule>
  </conditionalFormatting>
  <conditionalFormatting sqref="O71:Q71">
    <cfRule type="expression" dxfId="4031" priority="33">
      <formula>AND(ISNUMBER(O71),TRUNC(O71)&lt;TODAY())</formula>
    </cfRule>
  </conditionalFormatting>
  <conditionalFormatting sqref="O70:Q70">
    <cfRule type="expression" dxfId="4030" priority="34">
      <formula>AND(ISNUMBER(O70),TRUNC(O70)&lt;TODAY())</formula>
    </cfRule>
  </conditionalFormatting>
  <conditionalFormatting sqref="P69">
    <cfRule type="expression" dxfId="4029" priority="35">
      <formula>AND(ISNUMBER(P69),TRUNC(P69)&lt;TODAY())</formula>
    </cfRule>
  </conditionalFormatting>
  <conditionalFormatting sqref="P69">
    <cfRule type="expression" dxfId="4028" priority="36">
      <formula>AND(ISNUMBER(P69),TRUNC(P69)&lt;TODAY())</formula>
    </cfRule>
  </conditionalFormatting>
  <conditionalFormatting sqref="O69">
    <cfRule type="expression" dxfId="4027" priority="37">
      <formula>AND(ISNUMBER(O69),TRUNC(O69)&lt;TODAY())</formula>
    </cfRule>
  </conditionalFormatting>
  <conditionalFormatting sqref="Q69">
    <cfRule type="expression" dxfId="4026" priority="38">
      <formula>AND(ISNUMBER(Q69),TRUNC(Q69)&lt;TODAY())</formula>
    </cfRule>
  </conditionalFormatting>
  <conditionalFormatting sqref="Q68">
    <cfRule type="expression" dxfId="4025" priority="39">
      <formula>AND(ISNUMBER(Q68),TRUNC(Q68)&lt;TODAY())</formula>
    </cfRule>
  </conditionalFormatting>
  <conditionalFormatting sqref="P68">
    <cfRule type="expression" dxfId="4024" priority="40">
      <formula>AND(ISNUMBER(P68),TRUNC(P68)&lt;TODAY())</formula>
    </cfRule>
  </conditionalFormatting>
  <conditionalFormatting sqref="P68">
    <cfRule type="expression" dxfId="4023" priority="41">
      <formula>AND(ISNUMBER(P68),TRUNC(P68)&lt;TODAY())</formula>
    </cfRule>
  </conditionalFormatting>
  <conditionalFormatting sqref="O68">
    <cfRule type="expression" dxfId="4022" priority="42">
      <formula>AND(ISNUMBER(O68),TRUNC(O68)&lt;TODAY())</formula>
    </cfRule>
  </conditionalFormatting>
  <conditionalFormatting sqref="V68">
    <cfRule type="notContainsBlanks" dxfId="4021" priority="43">
      <formula>LEN(TRIM(V68))&gt;0</formula>
    </cfRule>
  </conditionalFormatting>
  <conditionalFormatting sqref="O67:Q67">
    <cfRule type="expression" dxfId="4020" priority="44">
      <formula>AND(ISNUMBER(O67),TRUNC(O67)&lt;TODAY())</formula>
    </cfRule>
  </conditionalFormatting>
  <conditionalFormatting sqref="V66">
    <cfRule type="notContainsBlanks" dxfId="4019" priority="45">
      <formula>LEN(TRIM(V66))&gt;0</formula>
    </cfRule>
  </conditionalFormatting>
  <conditionalFormatting sqref="P66">
    <cfRule type="expression" dxfId="4018" priority="46">
      <formula>AND(ISNUMBER(P66),TRUNC(P66)&lt;TODAY())</formula>
    </cfRule>
  </conditionalFormatting>
  <conditionalFormatting sqref="P66:Q66">
    <cfRule type="expression" dxfId="4017" priority="47">
      <formula>AND(ISNUMBER(P66),TRUNC(P66)&lt;TODAY())</formula>
    </cfRule>
  </conditionalFormatting>
  <conditionalFormatting sqref="O66">
    <cfRule type="expression" dxfId="4016" priority="48">
      <formula>AND(ISNUMBER(O66),TRUNC(O66)&lt;TODAY())</formula>
    </cfRule>
  </conditionalFormatting>
  <conditionalFormatting sqref="G65 P65:R65">
    <cfRule type="expression" dxfId="4015" priority="49">
      <formula>AND(ISNUMBER(G65),TRUNC(G65)&lt;TODAY())</formula>
    </cfRule>
  </conditionalFormatting>
  <conditionalFormatting sqref="G64 P64:R64">
    <cfRule type="expression" dxfId="4014" priority="50">
      <formula>AND(ISNUMBER(G64),TRUNC(G64)&lt;TODAY())</formula>
    </cfRule>
  </conditionalFormatting>
  <conditionalFormatting sqref="G63 P63:R63">
    <cfRule type="expression" dxfId="4013" priority="51">
      <formula>AND(ISNUMBER(G63),TRUNC(G63)&lt;TODAY())</formula>
    </cfRule>
  </conditionalFormatting>
  <conditionalFormatting sqref="G62 P62:R62">
    <cfRule type="expression" dxfId="4012" priority="52">
      <formula>AND(ISNUMBER(G62),TRUNC(G62)&lt;TODAY())</formula>
    </cfRule>
  </conditionalFormatting>
  <conditionalFormatting sqref="P61">
    <cfRule type="expression" dxfId="4011" priority="53">
      <formula>AND(ISNUMBER(P61),TRUNC(P61)&lt;TODAY())</formula>
    </cfRule>
  </conditionalFormatting>
  <conditionalFormatting sqref="P61:Q61">
    <cfRule type="expression" dxfId="4010" priority="54">
      <formula>AND(ISNUMBER(P61),TRUNC(P61)&lt;TODAY())</formula>
    </cfRule>
  </conditionalFormatting>
  <conditionalFormatting sqref="O61">
    <cfRule type="expression" dxfId="4009" priority="55">
      <formula>AND(ISNUMBER(O61),TRUNC(O61)&lt;TODAY())</formula>
    </cfRule>
  </conditionalFormatting>
  <conditionalFormatting sqref="Q53">
    <cfRule type="expression" dxfId="4008" priority="56">
      <formula>AND(ISNUMBER(Q53),TRUNC(Q53)&lt;TODAY())</formula>
    </cfRule>
  </conditionalFormatting>
  <conditionalFormatting sqref="G53">
    <cfRule type="containsText" dxfId="4007" priority="57" operator="containsText" text="F">
      <formula>NOT(ISERROR(SEARCH(("F"),(G53))))</formula>
    </cfRule>
  </conditionalFormatting>
  <conditionalFormatting sqref="P53:R53">
    <cfRule type="expression" dxfId="4006" priority="58">
      <formula>AND(ISNUMBER(P53),TRUNC(P53)&lt;TODAY())</formula>
    </cfRule>
  </conditionalFormatting>
  <conditionalFormatting sqref="P53">
    <cfRule type="expression" dxfId="4005" priority="59">
      <formula>AND(ISNUMBER(P53),TRUNC(P53)&lt;TODAY())</formula>
    </cfRule>
  </conditionalFormatting>
  <conditionalFormatting sqref="P60:Q60">
    <cfRule type="expression" dxfId="4004" priority="60">
      <formula>AND(ISNUMBER(P60),TRUNC(P60)&lt;TODAY())</formula>
    </cfRule>
  </conditionalFormatting>
  <conditionalFormatting sqref="P60">
    <cfRule type="expression" dxfId="4003" priority="61">
      <formula>AND(ISNUMBER(P60),TRUNC(P60)&lt;TODAY())</formula>
    </cfRule>
  </conditionalFormatting>
  <conditionalFormatting sqref="Q60">
    <cfRule type="expression" dxfId="4002" priority="62">
      <formula>AND(ISNUMBER(Q60),TRUNC(Q60)&lt;TODAY())</formula>
    </cfRule>
  </conditionalFormatting>
  <conditionalFormatting sqref="O60">
    <cfRule type="expression" dxfId="4001" priority="63">
      <formula>AND(ISNUMBER(O60),TRUNC(O60)&lt;TODAY())</formula>
    </cfRule>
  </conditionalFormatting>
  <conditionalFormatting sqref="G59">
    <cfRule type="containsText" dxfId="4000" priority="64" operator="containsText" text="F">
      <formula>NOT(ISERROR(SEARCH(("F"),(G59))))</formula>
    </cfRule>
  </conditionalFormatting>
  <conditionalFormatting sqref="P59">
    <cfRule type="expression" dxfId="3999" priority="65">
      <formula>AND(ISNUMBER(P59),TRUNC(P59)&lt;TODAY())</formula>
    </cfRule>
  </conditionalFormatting>
  <conditionalFormatting sqref="R59">
    <cfRule type="expression" dxfId="3998" priority="66">
      <formula>AND(ISNUMBER(R59),TRUNC(R59)&lt;TODAY())</formula>
    </cfRule>
  </conditionalFormatting>
  <conditionalFormatting sqref="Q59">
    <cfRule type="expression" dxfId="3997" priority="67">
      <formula>AND(ISNUMBER(Q59),TRUNC(Q59)&lt;TODAY())</formula>
    </cfRule>
  </conditionalFormatting>
  <conditionalFormatting sqref="P58">
    <cfRule type="expression" dxfId="3996" priority="68">
      <formula>AND(ISNUMBER(P58),TRUNC(P58)&lt;TODAY())</formula>
    </cfRule>
  </conditionalFormatting>
  <conditionalFormatting sqref="Q58">
    <cfRule type="expression" dxfId="3995" priority="69">
      <formula>AND(ISNUMBER(Q58),TRUNC(Q58)&lt;TODAY())</formula>
    </cfRule>
  </conditionalFormatting>
  <conditionalFormatting sqref="G58">
    <cfRule type="containsText" dxfId="3994" priority="70" operator="containsText" text="F">
      <formula>NOT(ISERROR(SEARCH(("F"),(G58))))</formula>
    </cfRule>
  </conditionalFormatting>
  <conditionalFormatting sqref="G57">
    <cfRule type="containsText" dxfId="3993" priority="71" operator="containsText" text="F">
      <formula>NOT(ISERROR(SEARCH(("F"),(G57))))</formula>
    </cfRule>
  </conditionalFormatting>
  <conditionalFormatting sqref="G57 O57:R57">
    <cfRule type="expression" dxfId="3992" priority="72">
      <formula>AND(ISNUMBER(G57),TRUNC(G57)&lt;TODAY())</formula>
    </cfRule>
  </conditionalFormatting>
  <conditionalFormatting sqref="G56">
    <cfRule type="containsText" dxfId="3991" priority="73" operator="containsText" text="F">
      <formula>NOT(ISERROR(SEARCH(("F"),(G56))))</formula>
    </cfRule>
  </conditionalFormatting>
  <conditionalFormatting sqref="G56 O56:R56">
    <cfRule type="expression" dxfId="3990" priority="74">
      <formula>AND(ISNUMBER(G56),TRUNC(G56)&lt;TODAY())</formula>
    </cfRule>
  </conditionalFormatting>
  <conditionalFormatting sqref="G55">
    <cfRule type="containsText" dxfId="3989" priority="75" operator="containsText" text="F">
      <formula>NOT(ISERROR(SEARCH(("F"),(G55))))</formula>
    </cfRule>
  </conditionalFormatting>
  <conditionalFormatting sqref="Q55">
    <cfRule type="expression" dxfId="3988" priority="76">
      <formula>AND(ISNUMBER(Q55),TRUNC(Q55)&lt;TODAY())</formula>
    </cfRule>
  </conditionalFormatting>
  <conditionalFormatting sqref="G55 O55:R55">
    <cfRule type="expression" dxfId="3987" priority="77">
      <formula>AND(ISNUMBER(G55),TRUNC(G55)&lt;TODAY())</formula>
    </cfRule>
  </conditionalFormatting>
  <conditionalFormatting sqref="G54 O54:R54">
    <cfRule type="expression" dxfId="3986" priority="78">
      <formula>AND(ISNUMBER(G54),TRUNC(G54)&lt;TODAY())</formula>
    </cfRule>
  </conditionalFormatting>
  <conditionalFormatting sqref="G54">
    <cfRule type="containsText" dxfId="3985" priority="79" operator="containsText" text="F">
      <formula>NOT(ISERROR(SEARCH(("F"),(G54))))</formula>
    </cfRule>
  </conditionalFormatting>
  <conditionalFormatting sqref="G52">
    <cfRule type="containsText" dxfId="3984" priority="80" operator="containsText" text="F">
      <formula>NOT(ISERROR(SEARCH(("F"),(G52))))</formula>
    </cfRule>
  </conditionalFormatting>
  <conditionalFormatting sqref="Q52">
    <cfRule type="expression" dxfId="3983" priority="81">
      <formula>AND(ISNUMBER(Q52),TRUNC(Q52)&lt;TODAY())</formula>
    </cfRule>
  </conditionalFormatting>
  <conditionalFormatting sqref="G52 O52:R52">
    <cfRule type="expression" dxfId="3982" priority="82">
      <formula>AND(ISNUMBER(G52),TRUNC(G52)&lt;TODAY())</formula>
    </cfRule>
  </conditionalFormatting>
  <conditionalFormatting sqref="W52">
    <cfRule type="notContainsBlanks" dxfId="3981" priority="83">
      <formula>LEN(TRIM(W52))&gt;0</formula>
    </cfRule>
  </conditionalFormatting>
  <conditionalFormatting sqref="R51">
    <cfRule type="expression" dxfId="3980" priority="84">
      <formula>AND(ISNUMBER(R51),TRUNC(R51)&lt;TODAY())</formula>
    </cfRule>
  </conditionalFormatting>
  <conditionalFormatting sqref="G51 O51:R51">
    <cfRule type="expression" dxfId="3979" priority="85">
      <formula>AND(ISNUMBER(G51),TRUNC(G51)&lt;TODAY())</formula>
    </cfRule>
  </conditionalFormatting>
  <conditionalFormatting sqref="G50 O50:R50">
    <cfRule type="expression" dxfId="3978" priority="86">
      <formula>AND(ISNUMBER(G50),TRUNC(G50)&lt;TODAY())</formula>
    </cfRule>
  </conditionalFormatting>
  <conditionalFormatting sqref="O49:Q49">
    <cfRule type="expression" dxfId="3977" priority="87">
      <formula>AND(ISNUMBER(O49),TRUNC(O49)&lt;TODAY())</formula>
    </cfRule>
  </conditionalFormatting>
  <conditionalFormatting sqref="O48:Q48">
    <cfRule type="expression" dxfId="3976" priority="88">
      <formula>AND(ISNUMBER(O48),TRUNC(O48)&lt;TODAY())</formula>
    </cfRule>
  </conditionalFormatting>
  <conditionalFormatting sqref="P48">
    <cfRule type="expression" dxfId="3975" priority="89">
      <formula>AND(ISNUMBER(P48),TRUNC(P48)&lt;TODAY())</formula>
    </cfRule>
  </conditionalFormatting>
  <conditionalFormatting sqref="P47:R47">
    <cfRule type="expression" dxfId="3974" priority="90">
      <formula>AND(ISNUMBER(P47),TRUNC(P47)&lt;TODAY())</formula>
    </cfRule>
  </conditionalFormatting>
  <conditionalFormatting sqref="G46 O46:Q46">
    <cfRule type="expression" dxfId="3973" priority="91">
      <formula>AND(ISNUMBER(G46),TRUNC(G46)&lt;TODAY())</formula>
    </cfRule>
  </conditionalFormatting>
  <conditionalFormatting sqref="O45:Q45">
    <cfRule type="expression" dxfId="3972" priority="92">
      <formula>AND(ISNUMBER(O45),TRUNC(O45)&lt;TODAY())</formula>
    </cfRule>
  </conditionalFormatting>
  <conditionalFormatting sqref="Q45">
    <cfRule type="expression" dxfId="3971" priority="93">
      <formula>AND(ISNUMBER(Q45),TRUNC(Q45)&lt;TODAY())</formula>
    </cfRule>
  </conditionalFormatting>
  <conditionalFormatting sqref="Q44">
    <cfRule type="expression" dxfId="3970" priority="94">
      <formula>AND(ISNUMBER(Q44),TRUNC(Q44)&lt;TODAY())</formula>
    </cfRule>
  </conditionalFormatting>
  <conditionalFormatting sqref="V44">
    <cfRule type="notContainsBlanks" dxfId="3969" priority="95">
      <formula>LEN(TRIM(V44))&gt;0</formula>
    </cfRule>
  </conditionalFormatting>
  <conditionalFormatting sqref="P44">
    <cfRule type="expression" dxfId="3968" priority="96">
      <formula>AND(ISNUMBER(P44),TRUNC(P44)&lt;TODAY())</formula>
    </cfRule>
  </conditionalFormatting>
  <conditionalFormatting sqref="O44">
    <cfRule type="expression" dxfId="3967" priority="97">
      <formula>AND(ISNUMBER(O44),TRUNC(O44)&lt;TODAY())</formula>
    </cfRule>
  </conditionalFormatting>
  <conditionalFormatting sqref="O43:Q43">
    <cfRule type="expression" dxfId="3966" priority="98">
      <formula>AND(ISNUMBER(O43),TRUNC(O43)&lt;TODAY())</formula>
    </cfRule>
  </conditionalFormatting>
  <conditionalFormatting sqref="P43:Q43">
    <cfRule type="expression" dxfId="3965" priority="99">
      <formula>AND(ISNUMBER(P43),TRUNC(P43)&lt;TODAY())</formula>
    </cfRule>
  </conditionalFormatting>
  <conditionalFormatting sqref="O42:Q42">
    <cfRule type="expression" dxfId="3964" priority="100">
      <formula>AND(ISNUMBER(O42),TRUNC(O42)&lt;TODAY())</formula>
    </cfRule>
  </conditionalFormatting>
  <conditionalFormatting sqref="O41:Q41">
    <cfRule type="expression" dxfId="3963" priority="101">
      <formula>AND(ISNUMBER(O41),TRUNC(O41)&lt;TODAY())</formula>
    </cfRule>
  </conditionalFormatting>
  <conditionalFormatting sqref="J40">
    <cfRule type="expression" dxfId="3962" priority="102">
      <formula>AND(ISNUMBER(J40),TRUNC(J40)&lt;TODAY())</formula>
    </cfRule>
  </conditionalFormatting>
  <conditionalFormatting sqref="Q40:S40">
    <cfRule type="expression" dxfId="3961" priority="103">
      <formula>AND(ISNUMBER(Q40),TRUNC(Q40)&lt;TODAY())</formula>
    </cfRule>
  </conditionalFormatting>
  <conditionalFormatting sqref="J39">
    <cfRule type="expression" dxfId="3960" priority="104">
      <formula>AND(ISNUMBER(J39),TRUNC(J39)&lt;TODAY())</formula>
    </cfRule>
  </conditionalFormatting>
  <conditionalFormatting sqref="R39">
    <cfRule type="expression" dxfId="3959" priority="105">
      <formula>AND(ISNUMBER(R39),TRUNC(R39)&lt;TODAY())</formula>
    </cfRule>
  </conditionalFormatting>
  <conditionalFormatting sqref="Q39">
    <cfRule type="expression" dxfId="3958" priority="106">
      <formula>AND(ISNUMBER(Q39),TRUNC(Q39)&lt;TODAY())</formula>
    </cfRule>
  </conditionalFormatting>
  <conditionalFormatting sqref="R38">
    <cfRule type="expression" dxfId="3957" priority="107">
      <formula>AND(ISNUMBER(R38),TRUNC(R38)&lt;TODAY())</formula>
    </cfRule>
  </conditionalFormatting>
  <conditionalFormatting sqref="S38">
    <cfRule type="expression" dxfId="3956" priority="108">
      <formula>AND(ISNUMBER(S38),TRUNC(S38)&lt;TODAY())</formula>
    </cfRule>
  </conditionalFormatting>
  <conditionalFormatting sqref="Q38">
    <cfRule type="expression" dxfId="3955" priority="109">
      <formula>AND(ISNUMBER(Q38),TRUNC(Q38)&lt;TODAY())</formula>
    </cfRule>
  </conditionalFormatting>
  <dataValidations count="10">
    <dataValidation type="list" allowBlank="1" sqref="H38 H40:H45 I47 I50:I52 I54:I60 H61 I62:I65 H66:H80 H83:H85 H87">
      <formula1>"A,B,C"</formula1>
    </dataValidation>
    <dataValidation type="custom" allowBlank="1" showDropDown="1" showInputMessage="1" showErrorMessage="1" prompt="Enter a valid date" sqref="F38:G38 G39 Q38:Q40 S38:S40 F40:G43 O41:Q43 F44 Q44 F45:G45 O45:Q45 F47 Q47:R47 O48:Q49 N50:R50 N51:P51 R51 F48:G52 N52:R52 N54:R59 M60:Q60 N61:Q61 Q62:R62 P63 R63 F54:G64 P64:R64 F65 R65 O66:O67 Q66:Q67 F66:G68 O68:Q68 F69:F70 P69:Q70 O71:Q73 F71:G75 O74:O75 Q74:Q75 F76:F77 P76:Q77 F78:G78 O78:Q78 F80 P79:Q80 F83 P83:Q83 F84:G85 O84:Q85 F87:F88 P87:Q88">
      <formula1>OR(NOT(ISERROR(DATEVALUE(F38))), AND(ISNUMBER(F38), LEFT(CELL("format", F38))="D"))</formula1>
    </dataValidation>
    <dataValidation type="list" allowBlank="1" showErrorMessage="1" sqref="R81:R82 R86">
      <formula1>"Elect,DSL"</formula1>
    </dataValidation>
    <dataValidation type="list" allowBlank="1" sqref="I53">
      <formula1>"A,B,C"</formula1>
    </dataValidation>
    <dataValidation type="list" allowBlank="1" showErrorMessage="1" sqref="S53">
      <formula1>"Elect,DSL"</formula1>
    </dataValidation>
    <dataValidation type="list" allowBlank="1" sqref="V44 W65 V66:V67">
      <formula1>"YES,NO,DW"</formula1>
    </dataValidation>
    <dataValidation type="list" allowBlank="1" sqref="C46 C50:C52 C54:C57 C59:C60 C62:C64 C66:C68">
      <formula1>"UR,SC,ST"</formula1>
    </dataValidation>
    <dataValidation type="custom" allowBlank="1" showDropDown="1" showInputMessage="1" prompt="Enter a valid date" sqref="J39 I40:J40">
      <formula1>OR(NOT(ISERROR(DATEVALUE(I39))), AND(ISNUMBER(I39), LEFT(CELL("format", I39))="D"))</formula1>
    </dataValidation>
    <dataValidation type="list" allowBlank="1" showErrorMessage="1" sqref="H47:H49 C58 C61 C65 C88">
      <formula1>"UR,SC,ST"</formula1>
    </dataValidation>
    <dataValidation type="custom" allowBlank="1" showDropDown="1" showErrorMessage="1" sqref="R38:R40 G44 O44:P44 G47 P47 Q51 P62 Q63 G65 P65:Q65 P66:P67 G69:G70 O69:O70 P74:P75 G76:G77 O76:O77 G80 O80 G83 O83 G87:G88 O87:O88">
      <formula1>OR(NOT(ISERROR(DATEVALUE(G38))), AND(ISNUMBER(G38), LEFT(CELL("format", G38))="D"))</formula1>
    </dataValidation>
  </dataValidations>
  <hyperlinks>
    <hyperlink ref="V38" r:id="rId1"/>
    <hyperlink ref="V39" r:id="rId2"/>
    <hyperlink ref="W39" r:id="rId3"/>
    <hyperlink ref="V40" r:id="rId4"/>
    <hyperlink ref="W40" r:id="rId5"/>
    <hyperlink ref="T41" r:id="rId6"/>
    <hyperlink ref="U41" r:id="rId7"/>
    <hyperlink ref="T42" r:id="rId8"/>
    <hyperlink ref="U42" r:id="rId9"/>
    <hyperlink ref="T43" r:id="rId10"/>
    <hyperlink ref="U43" r:id="rId11"/>
    <hyperlink ref="T44" r:id="rId12"/>
    <hyperlink ref="U44" r:id="rId13"/>
    <hyperlink ref="T45" r:id="rId14"/>
    <hyperlink ref="U45" r:id="rId15"/>
    <hyperlink ref="S46" r:id="rId16"/>
    <hyperlink ref="U47" r:id="rId17"/>
    <hyperlink ref="V47" r:id="rId18"/>
    <hyperlink ref="T48" r:id="rId19"/>
    <hyperlink ref="U48" r:id="rId20"/>
    <hyperlink ref="T49" r:id="rId21"/>
    <hyperlink ref="U49" r:id="rId22"/>
    <hyperlink ref="U50" r:id="rId23"/>
    <hyperlink ref="V50" r:id="rId24"/>
    <hyperlink ref="U51" r:id="rId25"/>
    <hyperlink ref="V51" r:id="rId26"/>
    <hyperlink ref="U52" r:id="rId27"/>
    <hyperlink ref="V52" r:id="rId28"/>
    <hyperlink ref="S54" r:id="rId29"/>
    <hyperlink ref="T54" r:id="rId30"/>
    <hyperlink ref="U54" r:id="rId31"/>
    <hyperlink ref="S55" r:id="rId32"/>
    <hyperlink ref="U55" r:id="rId33"/>
    <hyperlink ref="S56" r:id="rId34"/>
    <hyperlink ref="T56" r:id="rId35"/>
    <hyperlink ref="U56" r:id="rId36"/>
    <hyperlink ref="S57" r:id="rId37"/>
    <hyperlink ref="U57" r:id="rId38"/>
    <hyperlink ref="T58" r:id="rId39"/>
    <hyperlink ref="T59" r:id="rId40"/>
    <hyperlink ref="S60" r:id="rId41"/>
    <hyperlink ref="S61" r:id="rId42"/>
    <hyperlink ref="T61" r:id="rId43"/>
    <hyperlink ref="S62" r:id="rId44"/>
    <hyperlink ref="T62" r:id="rId45"/>
    <hyperlink ref="U62" r:id="rId46"/>
    <hyperlink ref="S63" r:id="rId47"/>
    <hyperlink ref="T63" r:id="rId48"/>
    <hyperlink ref="U63" r:id="rId49"/>
    <hyperlink ref="S64" r:id="rId50"/>
    <hyperlink ref="T64" r:id="rId51"/>
    <hyperlink ref="U64" r:id="rId52"/>
    <hyperlink ref="S65" r:id="rId53"/>
    <hyperlink ref="T65" r:id="rId54"/>
    <hyperlink ref="U65" r:id="rId55"/>
    <hyperlink ref="R66" r:id="rId56"/>
    <hyperlink ref="S66" r:id="rId57"/>
    <hyperlink ref="R67" r:id="rId58"/>
    <hyperlink ref="S67" r:id="rId59"/>
    <hyperlink ref="T67" r:id="rId60"/>
    <hyperlink ref="R68" r:id="rId61"/>
    <hyperlink ref="S68" r:id="rId62"/>
    <hyperlink ref="R70" r:id="rId63"/>
    <hyperlink ref="T70" r:id="rId64"/>
    <hyperlink ref="R71" r:id="rId65"/>
    <hyperlink ref="T71" r:id="rId66"/>
    <hyperlink ref="R72" r:id="rId67"/>
    <hyperlink ref="T73" r:id="rId68"/>
    <hyperlink ref="R74" r:id="rId69"/>
    <hyperlink ref="R75" r:id="rId70"/>
    <hyperlink ref="R76" r:id="rId71"/>
    <hyperlink ref="R77" r:id="rId72"/>
    <hyperlink ref="R78" r:id="rId73"/>
    <hyperlink ref="R79" r:id="rId74"/>
    <hyperlink ref="R80" r:id="rId75"/>
    <hyperlink ref="R83" r:id="rId76"/>
    <hyperlink ref="R84" r:id="rId77"/>
    <hyperlink ref="T85" r:id="rId78"/>
    <hyperlink ref="R88" r:id="rId79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AM939"/>
  <sheetViews>
    <sheetView workbookViewId="0"/>
  </sheetViews>
  <sheetFormatPr defaultColWidth="14.42578125" defaultRowHeight="15" customHeight="1"/>
  <cols>
    <col min="1" max="1" width="5.85546875" customWidth="1"/>
    <col min="2" max="2" width="32.7109375" customWidth="1"/>
    <col min="3" max="3" width="17" customWidth="1"/>
    <col min="4" max="4" width="13.42578125" customWidth="1"/>
    <col min="5" max="5" width="13.28515625" customWidth="1"/>
    <col min="6" max="6" width="20.5703125" customWidth="1"/>
    <col min="7" max="7" width="12" customWidth="1"/>
    <col min="8" max="8" width="13.7109375" customWidth="1"/>
    <col min="9" max="9" width="15" customWidth="1"/>
    <col min="10" max="10" width="14.28515625" customWidth="1"/>
    <col min="11" max="11" width="18" customWidth="1"/>
    <col min="12" max="12" width="24.85546875" customWidth="1"/>
    <col min="13" max="13" width="59.42578125" customWidth="1"/>
    <col min="14" max="14" width="19" customWidth="1"/>
  </cols>
  <sheetData>
    <row r="1" spans="1:39" ht="18.75">
      <c r="A1" s="464" t="s">
        <v>86</v>
      </c>
      <c r="B1" s="137"/>
      <c r="C1" s="137"/>
      <c r="D1" s="137"/>
      <c r="E1" s="90"/>
      <c r="F1" s="465" t="s">
        <v>429</v>
      </c>
      <c r="G1" s="466"/>
      <c r="H1" s="466"/>
      <c r="I1" s="137"/>
      <c r="J1" s="137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75" customHeight="1">
      <c r="A2" s="467" t="s">
        <v>40</v>
      </c>
      <c r="B2" s="467" t="s">
        <v>430</v>
      </c>
      <c r="C2" s="467" t="s">
        <v>431</v>
      </c>
      <c r="D2" s="467" t="s">
        <v>432</v>
      </c>
      <c r="E2" s="467" t="s">
        <v>433</v>
      </c>
      <c r="F2" s="467" t="s">
        <v>434</v>
      </c>
      <c r="G2" s="468" t="s">
        <v>435</v>
      </c>
      <c r="H2" s="468" t="s">
        <v>130</v>
      </c>
      <c r="I2" s="467" t="s">
        <v>436</v>
      </c>
      <c r="J2" s="467" t="s">
        <v>2</v>
      </c>
      <c r="L2" s="469"/>
      <c r="M2" s="469"/>
      <c r="N2" s="469"/>
      <c r="O2" s="469"/>
      <c r="P2" s="469"/>
      <c r="Q2" s="469"/>
      <c r="R2" s="470"/>
      <c r="S2" s="471" t="s">
        <v>437</v>
      </c>
      <c r="T2" s="471" t="s">
        <v>437</v>
      </c>
      <c r="U2" s="470">
        <f>LEN(F2)</f>
        <v>14</v>
      </c>
      <c r="V2" s="472"/>
      <c r="W2" s="472"/>
      <c r="X2" s="473"/>
      <c r="Y2" s="473"/>
      <c r="Z2" s="473"/>
      <c r="AA2" s="473"/>
      <c r="AB2" s="473"/>
      <c r="AC2" s="473"/>
      <c r="AD2" s="473"/>
      <c r="AE2" s="473"/>
      <c r="AF2" s="473"/>
      <c r="AG2" s="473"/>
      <c r="AH2" s="473"/>
      <c r="AI2" s="473"/>
      <c r="AJ2" s="473"/>
      <c r="AK2" s="473"/>
      <c r="AL2" s="473"/>
      <c r="AM2" s="473"/>
    </row>
    <row r="3" spans="1:39">
      <c r="A3" s="18">
        <v>1</v>
      </c>
      <c r="B3" s="474" t="s">
        <v>438</v>
      </c>
      <c r="C3" s="18" t="s">
        <v>137</v>
      </c>
      <c r="D3" s="3"/>
      <c r="E3" s="475" t="s">
        <v>439</v>
      </c>
      <c r="F3" s="18" t="s">
        <v>440</v>
      </c>
      <c r="G3" s="476">
        <v>29041</v>
      </c>
      <c r="H3" s="476">
        <v>50982</v>
      </c>
      <c r="I3" s="274" t="s">
        <v>330</v>
      </c>
      <c r="J3" s="18" t="s">
        <v>76</v>
      </c>
      <c r="K3" s="137"/>
      <c r="L3" s="477"/>
    </row>
    <row r="4" spans="1:39">
      <c r="A4" s="18">
        <v>2</v>
      </c>
      <c r="B4" s="286" t="s">
        <v>441</v>
      </c>
      <c r="C4" s="18" t="s">
        <v>20</v>
      </c>
      <c r="D4" s="3"/>
      <c r="E4" s="475" t="s">
        <v>442</v>
      </c>
      <c r="F4" s="18" t="s">
        <v>440</v>
      </c>
      <c r="G4" s="476">
        <v>32509</v>
      </c>
      <c r="H4" s="476">
        <v>54423</v>
      </c>
      <c r="I4" s="307" t="s">
        <v>253</v>
      </c>
      <c r="J4" s="18" t="s">
        <v>76</v>
      </c>
      <c r="K4" s="137"/>
      <c r="L4" s="477"/>
    </row>
    <row r="5" spans="1:39">
      <c r="A5" s="18">
        <v>3</v>
      </c>
      <c r="B5" s="286" t="s">
        <v>443</v>
      </c>
      <c r="C5" s="18" t="s">
        <v>137</v>
      </c>
      <c r="D5" s="3"/>
      <c r="E5" s="475" t="s">
        <v>444</v>
      </c>
      <c r="F5" s="18" t="s">
        <v>440</v>
      </c>
      <c r="G5" s="476">
        <v>24415</v>
      </c>
      <c r="H5" s="476">
        <v>46356</v>
      </c>
      <c r="I5" s="307" t="s">
        <v>253</v>
      </c>
      <c r="J5" s="18" t="s">
        <v>76</v>
      </c>
      <c r="K5" s="137"/>
      <c r="L5" s="477"/>
    </row>
    <row r="6" spans="1:39">
      <c r="A6" s="18">
        <v>4</v>
      </c>
      <c r="B6" s="286" t="s">
        <v>445</v>
      </c>
      <c r="C6" s="18" t="s">
        <v>137</v>
      </c>
      <c r="D6" s="3"/>
      <c r="E6" s="475" t="s">
        <v>446</v>
      </c>
      <c r="F6" s="18" t="s">
        <v>447</v>
      </c>
      <c r="G6" s="476">
        <v>24807</v>
      </c>
      <c r="H6" s="476">
        <v>46721</v>
      </c>
      <c r="I6" s="275" t="s">
        <v>315</v>
      </c>
      <c r="J6" s="18" t="s">
        <v>76</v>
      </c>
      <c r="K6" s="137"/>
      <c r="L6" s="477"/>
    </row>
    <row r="7" spans="1:39">
      <c r="A7" s="18">
        <v>5</v>
      </c>
      <c r="B7" s="286" t="s">
        <v>448</v>
      </c>
      <c r="C7" s="18" t="s">
        <v>137</v>
      </c>
      <c r="D7" s="3"/>
      <c r="E7" s="475" t="s">
        <v>449</v>
      </c>
      <c r="F7" s="18" t="s">
        <v>440</v>
      </c>
      <c r="G7" s="476">
        <v>31782</v>
      </c>
      <c r="H7" s="476">
        <v>53723</v>
      </c>
      <c r="I7" s="275" t="s">
        <v>290</v>
      </c>
      <c r="J7" s="18" t="s">
        <v>76</v>
      </c>
      <c r="K7" s="90"/>
    </row>
    <row r="8" spans="1:39">
      <c r="A8" s="18">
        <v>6</v>
      </c>
      <c r="B8" s="286" t="s">
        <v>450</v>
      </c>
      <c r="C8" s="18" t="s">
        <v>137</v>
      </c>
      <c r="D8" s="478">
        <v>50205384370</v>
      </c>
      <c r="E8" s="475" t="s">
        <v>451</v>
      </c>
      <c r="F8" s="18" t="s">
        <v>452</v>
      </c>
      <c r="G8" s="476">
        <v>24417</v>
      </c>
      <c r="H8" s="476">
        <v>46356</v>
      </c>
      <c r="I8" s="307" t="s">
        <v>253</v>
      </c>
      <c r="J8" s="18" t="s">
        <v>76</v>
      </c>
      <c r="K8" s="90"/>
    </row>
    <row r="9" spans="1:39">
      <c r="A9" s="18">
        <v>7</v>
      </c>
      <c r="B9" s="286" t="s">
        <v>453</v>
      </c>
      <c r="C9" s="18" t="s">
        <v>20</v>
      </c>
      <c r="D9" s="479">
        <v>50205602403</v>
      </c>
      <c r="E9" s="475" t="s">
        <v>454</v>
      </c>
      <c r="F9" s="18" t="s">
        <v>452</v>
      </c>
      <c r="G9" s="476">
        <v>31544</v>
      </c>
      <c r="H9" s="476">
        <v>53478</v>
      </c>
      <c r="I9" s="307" t="s">
        <v>253</v>
      </c>
      <c r="J9" s="18" t="s">
        <v>76</v>
      </c>
      <c r="K9" s="90"/>
    </row>
    <row r="10" spans="1:39">
      <c r="A10" s="18">
        <v>8</v>
      </c>
      <c r="B10" s="270" t="s">
        <v>455</v>
      </c>
      <c r="C10" s="284" t="s">
        <v>20</v>
      </c>
      <c r="D10" s="79"/>
      <c r="E10" s="18" t="s">
        <v>456</v>
      </c>
      <c r="F10" s="306" t="s">
        <v>440</v>
      </c>
      <c r="G10" s="272">
        <v>24171</v>
      </c>
      <c r="H10" s="272">
        <v>46112</v>
      </c>
      <c r="I10" s="275" t="s">
        <v>330</v>
      </c>
      <c r="J10" s="18" t="s">
        <v>76</v>
      </c>
      <c r="K10" s="480"/>
      <c r="N10" s="424"/>
      <c r="O10" s="481"/>
      <c r="P10" s="481"/>
      <c r="Q10" s="482"/>
    </row>
    <row r="11" spans="1:39" ht="15.75" customHeight="1">
      <c r="A11" s="18">
        <v>9</v>
      </c>
      <c r="B11" s="293" t="s">
        <v>457</v>
      </c>
      <c r="C11" s="275" t="s">
        <v>31</v>
      </c>
      <c r="D11" s="483" t="s">
        <v>458</v>
      </c>
      <c r="E11" s="284" t="s">
        <v>459</v>
      </c>
      <c r="F11" s="306" t="s">
        <v>440</v>
      </c>
      <c r="G11" s="289">
        <v>24192</v>
      </c>
      <c r="H11" s="272">
        <v>46112</v>
      </c>
      <c r="I11" s="275" t="s">
        <v>261</v>
      </c>
      <c r="J11" s="306" t="s">
        <v>78</v>
      </c>
      <c r="K11" s="3"/>
      <c r="L11" s="293"/>
      <c r="O11" s="272"/>
      <c r="P11" s="289"/>
      <c r="Q11" s="300"/>
      <c r="R11" s="294"/>
      <c r="S11" s="295"/>
      <c r="T11" s="296" t="s">
        <v>460</v>
      </c>
      <c r="U11" s="296" t="s">
        <v>461</v>
      </c>
      <c r="V11" s="297">
        <f>LEN(TEXT(D11,0))</f>
        <v>11</v>
      </c>
      <c r="W11" s="208">
        <f ca="1">INT((TODAY()-G11)/365)</f>
        <v>60</v>
      </c>
      <c r="X11" s="298"/>
      <c r="Y11" s="298"/>
      <c r="Z11" s="298"/>
      <c r="AA11" s="298"/>
      <c r="AB11" s="298"/>
      <c r="AC11" s="298"/>
      <c r="AD11" s="298"/>
      <c r="AE11" s="298"/>
      <c r="AF11" s="298"/>
      <c r="AG11" s="298"/>
      <c r="AH11" s="298"/>
      <c r="AI11" s="298"/>
      <c r="AJ11" s="298"/>
      <c r="AK11" s="298"/>
      <c r="AL11" s="298"/>
      <c r="AM11" s="298"/>
    </row>
    <row r="12" spans="1:39" ht="15.75" customHeight="1">
      <c r="A12" s="18">
        <v>10</v>
      </c>
      <c r="B12" s="351" t="s">
        <v>462</v>
      </c>
      <c r="C12" s="307" t="s">
        <v>31</v>
      </c>
      <c r="D12" s="304">
        <v>50205607498</v>
      </c>
      <c r="E12" s="303" t="s">
        <v>463</v>
      </c>
      <c r="F12" s="306" t="s">
        <v>440</v>
      </c>
      <c r="G12" s="272">
        <v>30446</v>
      </c>
      <c r="H12" s="272">
        <v>52382</v>
      </c>
      <c r="I12" s="484" t="s">
        <v>464</v>
      </c>
      <c r="J12" s="306" t="s">
        <v>76</v>
      </c>
      <c r="K12" s="307"/>
      <c r="L12" s="274"/>
      <c r="O12" s="272"/>
      <c r="P12" s="278"/>
      <c r="Q12" s="279"/>
      <c r="R12" s="338"/>
      <c r="S12" s="485"/>
      <c r="T12" s="486" t="s">
        <v>465</v>
      </c>
      <c r="U12" s="486" t="s">
        <v>466</v>
      </c>
      <c r="V12" s="382">
        <f t="shared" ref="V12:V13" si="0">LEN(D12)</f>
        <v>11</v>
      </c>
      <c r="W12" s="311"/>
      <c r="X12" s="382"/>
      <c r="Y12" s="382"/>
      <c r="Z12" s="382"/>
      <c r="AA12" s="382"/>
      <c r="AB12" s="382">
        <f ca="1">INT((TODAY()-G12)/365)</f>
        <v>42</v>
      </c>
      <c r="AC12" s="79"/>
      <c r="AD12" s="79"/>
      <c r="AE12" s="79"/>
      <c r="AF12" s="79"/>
      <c r="AG12" s="79"/>
      <c r="AH12" s="79"/>
    </row>
    <row r="13" spans="1:39" ht="15.75" customHeight="1">
      <c r="A13" s="18">
        <v>11</v>
      </c>
      <c r="B13" s="351" t="s">
        <v>467</v>
      </c>
      <c r="C13" s="307" t="s">
        <v>31</v>
      </c>
      <c r="D13" s="487">
        <v>50205607360</v>
      </c>
      <c r="E13" s="18" t="s">
        <v>468</v>
      </c>
      <c r="F13" s="306" t="s">
        <v>440</v>
      </c>
      <c r="G13" s="272">
        <v>32197</v>
      </c>
      <c r="H13" s="272">
        <v>54117</v>
      </c>
      <c r="I13" s="307" t="s">
        <v>253</v>
      </c>
      <c r="J13" s="284" t="s">
        <v>76</v>
      </c>
      <c r="K13" s="3"/>
      <c r="L13" s="275"/>
      <c r="O13" s="277"/>
      <c r="P13" s="315"/>
      <c r="Q13" s="279"/>
      <c r="R13" s="280"/>
      <c r="S13" s="280"/>
      <c r="T13" s="281" t="s">
        <v>469</v>
      </c>
      <c r="U13" s="281" t="s">
        <v>470</v>
      </c>
      <c r="V13" s="79">
        <f t="shared" si="0"/>
        <v>11</v>
      </c>
      <c r="W13" s="208">
        <f ca="1">INT((TODAY()-G13)/365)</f>
        <v>38</v>
      </c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</row>
    <row r="14" spans="1:39" ht="15.75" customHeight="1">
      <c r="A14" s="18">
        <v>12</v>
      </c>
      <c r="B14" s="287" t="s">
        <v>471</v>
      </c>
      <c r="C14" s="275" t="s">
        <v>31</v>
      </c>
      <c r="D14" s="488">
        <v>50212133656</v>
      </c>
      <c r="E14" s="303" t="s">
        <v>472</v>
      </c>
      <c r="F14" s="306" t="s">
        <v>440</v>
      </c>
      <c r="G14" s="272">
        <v>28120</v>
      </c>
      <c r="H14" s="272">
        <v>50040</v>
      </c>
      <c r="I14" s="275" t="s">
        <v>330</v>
      </c>
      <c r="J14" s="306" t="s">
        <v>76</v>
      </c>
      <c r="K14" s="3"/>
      <c r="L14" s="275" t="s">
        <v>48</v>
      </c>
      <c r="M14" s="275">
        <v>8420320025</v>
      </c>
      <c r="O14" s="272">
        <v>45148</v>
      </c>
      <c r="P14" s="278">
        <v>45115</v>
      </c>
      <c r="Q14" s="272">
        <v>45145</v>
      </c>
      <c r="R14" s="309"/>
      <c r="S14" s="309"/>
      <c r="T14" s="310" t="s">
        <v>473</v>
      </c>
      <c r="U14" s="310" t="s">
        <v>474</v>
      </c>
      <c r="V14" s="388">
        <f ca="1">INT((TODAY()-G14)/365)</f>
        <v>49</v>
      </c>
      <c r="W14" s="311"/>
      <c r="X14" s="311"/>
      <c r="Y14" s="311"/>
      <c r="Z14" s="311"/>
      <c r="AA14" s="311"/>
      <c r="AB14" s="311"/>
      <c r="AC14" s="311"/>
      <c r="AD14" s="311"/>
      <c r="AE14" s="311"/>
      <c r="AF14" s="311"/>
      <c r="AG14" s="311"/>
      <c r="AH14" s="311"/>
    </row>
    <row r="15" spans="1:39" ht="15.75" customHeight="1">
      <c r="A15" s="18">
        <v>13</v>
      </c>
      <c r="B15" s="287" t="s">
        <v>475</v>
      </c>
      <c r="C15" s="275" t="s">
        <v>31</v>
      </c>
      <c r="D15" s="489">
        <v>50205419426</v>
      </c>
      <c r="E15" s="303" t="s">
        <v>476</v>
      </c>
      <c r="F15" s="18" t="s">
        <v>477</v>
      </c>
      <c r="G15" s="272">
        <v>26429</v>
      </c>
      <c r="H15" s="272">
        <v>48365</v>
      </c>
      <c r="I15" s="275" t="s">
        <v>290</v>
      </c>
      <c r="J15" s="303" t="s">
        <v>76</v>
      </c>
      <c r="K15" s="275" t="s">
        <v>290</v>
      </c>
      <c r="L15" s="275" t="s">
        <v>94</v>
      </c>
      <c r="M15" s="275">
        <v>9002079031</v>
      </c>
      <c r="O15" s="272">
        <v>45105</v>
      </c>
      <c r="P15" s="279">
        <v>44999</v>
      </c>
      <c r="Q15" s="272">
        <v>46020</v>
      </c>
      <c r="S15" s="309"/>
      <c r="T15" s="310" t="s">
        <v>478</v>
      </c>
      <c r="U15" s="310" t="s">
        <v>478</v>
      </c>
      <c r="V15" s="311">
        <f>LEN(D15)</f>
        <v>11</v>
      </c>
      <c r="W15" s="311"/>
      <c r="X15" s="208">
        <f ca="1">INT((TODAY()-G15)/365)</f>
        <v>53</v>
      </c>
    </row>
    <row r="16" spans="1:39">
      <c r="A16" s="18">
        <v>14</v>
      </c>
      <c r="B16" s="490" t="s">
        <v>479</v>
      </c>
      <c r="C16" s="275" t="s">
        <v>31</v>
      </c>
      <c r="D16" s="488">
        <v>50209822471</v>
      </c>
      <c r="E16" s="491" t="s">
        <v>480</v>
      </c>
      <c r="F16" s="18" t="s">
        <v>477</v>
      </c>
      <c r="G16" s="272">
        <v>29483</v>
      </c>
      <c r="H16" s="272">
        <v>51409</v>
      </c>
      <c r="I16" s="303" t="s">
        <v>253</v>
      </c>
      <c r="J16" s="303" t="s">
        <v>76</v>
      </c>
      <c r="K16" s="18" t="s">
        <v>315</v>
      </c>
      <c r="L16" s="274" t="s">
        <v>256</v>
      </c>
      <c r="M16" s="275">
        <v>9002071365</v>
      </c>
      <c r="O16" s="272">
        <v>45235</v>
      </c>
      <c r="P16" s="279">
        <v>45751</v>
      </c>
      <c r="Q16" s="279">
        <v>45187</v>
      </c>
      <c r="R16" s="485"/>
      <c r="S16" s="486" t="s">
        <v>481</v>
      </c>
      <c r="T16" s="486" t="s">
        <v>482</v>
      </c>
      <c r="U16" s="485"/>
      <c r="V16" s="485">
        <f>LEN(TEXT(D16,0))</f>
        <v>11</v>
      </c>
      <c r="W16" s="208">
        <f ca="1">INT((TODAY()-G16)/365)</f>
        <v>45</v>
      </c>
      <c r="X16" s="311"/>
      <c r="Y16" s="311"/>
      <c r="Z16" s="311"/>
      <c r="AA16" s="311"/>
      <c r="AB16" s="311"/>
      <c r="AC16" s="311"/>
      <c r="AD16" s="311"/>
      <c r="AE16" s="311"/>
      <c r="AF16" s="311"/>
      <c r="AG16" s="311"/>
      <c r="AH16" s="311"/>
      <c r="AI16" s="311"/>
      <c r="AJ16" s="311"/>
      <c r="AK16" s="311"/>
      <c r="AL16" s="311"/>
      <c r="AM16" s="311"/>
    </row>
    <row r="17" spans="1:39" ht="15.75" customHeight="1">
      <c r="A17" s="18">
        <v>15</v>
      </c>
      <c r="B17" s="287" t="s">
        <v>483</v>
      </c>
      <c r="C17" s="275" t="s">
        <v>31</v>
      </c>
      <c r="D17" s="304">
        <v>50205843121</v>
      </c>
      <c r="E17" s="303" t="s">
        <v>484</v>
      </c>
      <c r="F17" s="18" t="s">
        <v>485</v>
      </c>
      <c r="G17" s="272">
        <v>24176</v>
      </c>
      <c r="H17" s="272">
        <v>46112</v>
      </c>
      <c r="I17" s="275" t="s">
        <v>290</v>
      </c>
      <c r="J17" s="286" t="s">
        <v>76</v>
      </c>
      <c r="K17" s="275" t="s">
        <v>290</v>
      </c>
      <c r="L17" s="274" t="s">
        <v>103</v>
      </c>
      <c r="M17" s="275">
        <v>9002071886</v>
      </c>
      <c r="N17" s="284">
        <v>9433438966</v>
      </c>
      <c r="O17" s="272">
        <v>45361</v>
      </c>
      <c r="P17" s="279">
        <v>45527</v>
      </c>
      <c r="Q17" s="302">
        <v>45481</v>
      </c>
      <c r="S17" s="309"/>
      <c r="T17" s="309"/>
      <c r="U17" s="310" t="s">
        <v>486</v>
      </c>
      <c r="V17" s="311">
        <f>LEN(D17)</f>
        <v>11</v>
      </c>
      <c r="W17" s="311"/>
      <c r="X17" s="208">
        <f ca="1">INT((TODAY()-G17)/365)</f>
        <v>60</v>
      </c>
      <c r="Y17" s="311"/>
      <c r="Z17" s="311"/>
      <c r="AA17" s="311"/>
      <c r="AB17" s="311"/>
      <c r="AC17" s="311"/>
      <c r="AD17" s="311"/>
      <c r="AE17" s="311"/>
      <c r="AF17" s="311"/>
      <c r="AG17" s="311"/>
      <c r="AH17" s="311"/>
      <c r="AI17" s="311"/>
      <c r="AJ17" s="311"/>
      <c r="AK17" s="311"/>
      <c r="AL17" s="311"/>
      <c r="AM17" s="311"/>
    </row>
    <row r="18" spans="1:39" ht="15.75" customHeight="1">
      <c r="A18" s="18">
        <v>16</v>
      </c>
      <c r="B18" s="287" t="s">
        <v>487</v>
      </c>
      <c r="C18" s="275" t="s">
        <v>31</v>
      </c>
      <c r="D18" s="284">
        <v>50205520514</v>
      </c>
      <c r="E18" s="303" t="s">
        <v>488</v>
      </c>
      <c r="F18" s="18" t="s">
        <v>485</v>
      </c>
      <c r="G18" s="289">
        <v>28686</v>
      </c>
      <c r="H18" s="289">
        <v>50617</v>
      </c>
      <c r="I18" s="274" t="s">
        <v>330</v>
      </c>
      <c r="J18" s="286" t="s">
        <v>76</v>
      </c>
      <c r="K18" s="275" t="s">
        <v>330</v>
      </c>
      <c r="L18" s="274" t="s">
        <v>489</v>
      </c>
      <c r="M18" s="293">
        <v>9002079753</v>
      </c>
      <c r="N18" s="284">
        <v>9674475290</v>
      </c>
      <c r="O18" s="272">
        <v>45336</v>
      </c>
      <c r="P18" s="272">
        <v>45537</v>
      </c>
      <c r="Q18" s="424">
        <v>45537</v>
      </c>
      <c r="R18" s="492"/>
      <c r="S18" s="493"/>
      <c r="T18" s="493"/>
      <c r="U18" s="494" t="s">
        <v>490</v>
      </c>
      <c r="V18" s="298">
        <f>LEN(TEXT(D18,0))</f>
        <v>11</v>
      </c>
      <c r="W18" s="208">
        <f t="shared" ref="W18:W19" ca="1" si="1">INT((TODAY()-G18)/365)</f>
        <v>47</v>
      </c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  <c r="AH18" s="298"/>
      <c r="AI18" s="298"/>
      <c r="AJ18" s="298"/>
      <c r="AK18" s="298"/>
      <c r="AL18" s="298"/>
      <c r="AM18" s="298"/>
    </row>
    <row r="19" spans="1:39" ht="15.75" customHeight="1">
      <c r="A19" s="18">
        <v>17</v>
      </c>
      <c r="B19" s="351" t="s">
        <v>491</v>
      </c>
      <c r="C19" s="307" t="s">
        <v>31</v>
      </c>
      <c r="D19" s="495">
        <v>50205602543</v>
      </c>
      <c r="E19" s="18" t="s">
        <v>492</v>
      </c>
      <c r="F19" s="306" t="s">
        <v>440</v>
      </c>
      <c r="G19" s="272">
        <v>33470</v>
      </c>
      <c r="H19" s="272">
        <v>55396</v>
      </c>
      <c r="I19" s="274" t="s">
        <v>334</v>
      </c>
      <c r="J19" s="274" t="s">
        <v>76</v>
      </c>
      <c r="K19" s="275" t="s">
        <v>261</v>
      </c>
      <c r="L19" s="275" t="s">
        <v>306</v>
      </c>
      <c r="M19" s="275">
        <v>9002071286</v>
      </c>
      <c r="O19" s="320">
        <v>45832</v>
      </c>
      <c r="P19" s="315">
        <v>45097</v>
      </c>
      <c r="Q19" s="302">
        <v>45622</v>
      </c>
      <c r="R19" s="280"/>
      <c r="S19" s="295"/>
      <c r="T19" s="281" t="s">
        <v>493</v>
      </c>
      <c r="U19" s="281" t="s">
        <v>494</v>
      </c>
      <c r="V19" s="79">
        <f t="shared" ref="V19:V21" si="2">LEN(D19)</f>
        <v>11</v>
      </c>
      <c r="W19" s="208">
        <f t="shared" ca="1" si="1"/>
        <v>34</v>
      </c>
      <c r="AH19" s="311"/>
      <c r="AI19" s="311"/>
      <c r="AJ19" s="311"/>
      <c r="AK19" s="311"/>
      <c r="AL19" s="311"/>
      <c r="AM19" s="311"/>
    </row>
    <row r="20" spans="1:39" ht="15.75" customHeight="1">
      <c r="A20" s="18">
        <v>18</v>
      </c>
      <c r="B20" s="287" t="s">
        <v>495</v>
      </c>
      <c r="C20" s="496" t="s">
        <v>31</v>
      </c>
      <c r="D20" s="497">
        <v>50205612172</v>
      </c>
      <c r="E20" s="484" t="s">
        <v>496</v>
      </c>
      <c r="F20" s="306" t="s">
        <v>440</v>
      </c>
      <c r="G20" s="498">
        <v>31838</v>
      </c>
      <c r="H20" s="498">
        <v>53782</v>
      </c>
      <c r="I20" s="499" t="s">
        <v>315</v>
      </c>
      <c r="J20" s="500" t="s">
        <v>76</v>
      </c>
      <c r="K20" s="501" t="s">
        <v>253</v>
      </c>
      <c r="L20" s="502" t="s">
        <v>256</v>
      </c>
      <c r="M20" s="274">
        <v>8583816485</v>
      </c>
      <c r="N20" s="498">
        <v>53782</v>
      </c>
      <c r="O20" s="498">
        <v>46057</v>
      </c>
      <c r="P20" s="498">
        <v>45280</v>
      </c>
      <c r="Q20" s="503">
        <v>45928</v>
      </c>
      <c r="R20" s="504"/>
      <c r="S20" s="505"/>
      <c r="T20" s="506" t="s">
        <v>497</v>
      </c>
      <c r="U20" s="505"/>
      <c r="V20" s="507">
        <f t="shared" si="2"/>
        <v>11</v>
      </c>
      <c r="W20" s="508"/>
      <c r="X20" s="208">
        <f ca="1">INT((TODAY()-M20)/365)</f>
        <v>-23517180</v>
      </c>
      <c r="Y20" s="508"/>
      <c r="Z20" s="508"/>
      <c r="AA20" s="508"/>
      <c r="AB20" s="508"/>
      <c r="AC20" s="508"/>
      <c r="AD20" s="508"/>
      <c r="AE20" s="508"/>
      <c r="AF20" s="508"/>
      <c r="AG20" s="508"/>
      <c r="AH20" s="508"/>
      <c r="AI20" s="145"/>
      <c r="AJ20" s="145"/>
      <c r="AK20" s="145"/>
      <c r="AL20" s="145"/>
      <c r="AM20" s="508"/>
    </row>
    <row r="21" spans="1:39" ht="15.75" customHeight="1">
      <c r="A21" s="18">
        <v>19</v>
      </c>
      <c r="B21" s="509" t="s">
        <v>498</v>
      </c>
      <c r="C21" s="501" t="s">
        <v>31</v>
      </c>
      <c r="D21" s="510">
        <v>50200116555</v>
      </c>
      <c r="E21" s="499" t="s">
        <v>499</v>
      </c>
      <c r="F21" s="306" t="s">
        <v>440</v>
      </c>
      <c r="G21" s="511">
        <v>29256</v>
      </c>
      <c r="H21" s="512">
        <v>51195</v>
      </c>
      <c r="I21" s="484" t="s">
        <v>464</v>
      </c>
      <c r="J21" s="286" t="s">
        <v>76</v>
      </c>
      <c r="K21" s="484" t="s">
        <v>464</v>
      </c>
      <c r="L21" s="499" t="s">
        <v>115</v>
      </c>
      <c r="M21" s="501">
        <v>9002071000</v>
      </c>
      <c r="N21" s="512">
        <v>51195</v>
      </c>
      <c r="O21" s="513">
        <v>45232</v>
      </c>
      <c r="P21" s="503">
        <v>45720</v>
      </c>
      <c r="Q21" s="511">
        <v>45649</v>
      </c>
      <c r="R21" s="514"/>
      <c r="S21" s="515"/>
      <c r="T21" s="515"/>
      <c r="U21" s="516" t="s">
        <v>500</v>
      </c>
      <c r="V21" s="515">
        <f t="shared" si="2"/>
        <v>11</v>
      </c>
      <c r="W21" s="508"/>
      <c r="X21" s="282" t="e">
        <f ca="1">INT((TODAY()-#REF!)/365)</f>
        <v>#REF!</v>
      </c>
      <c r="Y21" s="507"/>
      <c r="Z21" s="507"/>
      <c r="AA21" s="507"/>
      <c r="AB21" s="508" t="e">
        <f ca="1">INT((TODAY()-#REF!)/365)</f>
        <v>#REF!</v>
      </c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</row>
    <row r="22" spans="1:39">
      <c r="A22" s="18">
        <v>20</v>
      </c>
      <c r="B22" s="517" t="s">
        <v>501</v>
      </c>
      <c r="C22" s="18" t="s">
        <v>20</v>
      </c>
      <c r="D22" s="286" t="s">
        <v>502</v>
      </c>
      <c r="E22" s="518" t="s">
        <v>503</v>
      </c>
      <c r="F22" s="306" t="s">
        <v>440</v>
      </c>
      <c r="G22" s="440">
        <v>31909</v>
      </c>
      <c r="H22" s="440">
        <v>53843</v>
      </c>
      <c r="I22" s="303" t="s">
        <v>330</v>
      </c>
      <c r="J22" s="18" t="s">
        <v>76</v>
      </c>
      <c r="K22" s="3"/>
      <c r="L22" s="79"/>
      <c r="M22" s="519">
        <v>9002071502</v>
      </c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</row>
    <row r="23" spans="1:39">
      <c r="A23" s="18">
        <v>21</v>
      </c>
      <c r="B23" s="287" t="s">
        <v>504</v>
      </c>
      <c r="C23" s="496" t="s">
        <v>31</v>
      </c>
      <c r="D23" s="304">
        <v>50209416961</v>
      </c>
      <c r="E23" s="499" t="s">
        <v>505</v>
      </c>
      <c r="F23" s="306" t="s">
        <v>440</v>
      </c>
      <c r="G23" s="498">
        <v>26910</v>
      </c>
      <c r="H23" s="498">
        <v>48852</v>
      </c>
      <c r="I23" s="496" t="s">
        <v>290</v>
      </c>
      <c r="J23" s="286" t="s">
        <v>76</v>
      </c>
      <c r="K23" s="79"/>
      <c r="L23" s="484" t="s">
        <v>417</v>
      </c>
      <c r="M23" s="496">
        <v>9002071015</v>
      </c>
      <c r="N23" s="520">
        <v>9002240992</v>
      </c>
      <c r="O23" s="498">
        <v>45105</v>
      </c>
      <c r="P23" s="511">
        <v>45608</v>
      </c>
      <c r="Q23" s="521">
        <v>45591</v>
      </c>
      <c r="R23" s="522"/>
      <c r="S23" s="505"/>
      <c r="T23" s="506" t="s">
        <v>506</v>
      </c>
      <c r="U23" s="523" t="s">
        <v>507</v>
      </c>
      <c r="V23" s="507">
        <f>LEN(D23)</f>
        <v>11</v>
      </c>
      <c r="W23" s="507"/>
      <c r="X23" s="48">
        <f ca="1">INT((TODAY()-G23)/365)</f>
        <v>52</v>
      </c>
      <c r="Y23" s="507"/>
      <c r="Z23" s="507"/>
      <c r="AA23" s="507"/>
      <c r="AB23" s="507"/>
      <c r="AC23" s="507"/>
      <c r="AD23" s="507"/>
      <c r="AE23" s="507"/>
      <c r="AF23" s="507"/>
      <c r="AG23" s="507"/>
      <c r="AH23" s="507"/>
      <c r="AI23" s="507"/>
      <c r="AJ23" s="507"/>
      <c r="AK23" s="507"/>
      <c r="AL23" s="507"/>
      <c r="AM23" s="507"/>
    </row>
    <row r="24" spans="1:39">
      <c r="A24" s="18">
        <v>22</v>
      </c>
      <c r="B24" s="524" t="s">
        <v>508</v>
      </c>
      <c r="C24" s="525" t="s">
        <v>31</v>
      </c>
      <c r="D24" s="526">
        <v>50205411828</v>
      </c>
      <c r="E24" s="527" t="s">
        <v>509</v>
      </c>
      <c r="F24" s="18" t="s">
        <v>485</v>
      </c>
      <c r="G24" s="528">
        <v>26330</v>
      </c>
      <c r="H24" s="529">
        <v>48244</v>
      </c>
      <c r="I24" s="328" t="s">
        <v>253</v>
      </c>
      <c r="J24" s="18" t="s">
        <v>76</v>
      </c>
      <c r="K24" s="328" t="s">
        <v>253</v>
      </c>
      <c r="L24" s="445" t="s">
        <v>331</v>
      </c>
      <c r="M24" s="18">
        <v>9002071347</v>
      </c>
      <c r="O24" s="530">
        <v>45329</v>
      </c>
      <c r="P24" s="531">
        <v>45691</v>
      </c>
      <c r="Q24" s="532">
        <v>45654</v>
      </c>
      <c r="R24" s="449" t="s">
        <v>313</v>
      </c>
      <c r="S24" s="533"/>
      <c r="T24" s="533"/>
      <c r="U24" s="534" t="s">
        <v>510</v>
      </c>
      <c r="V24" s="535" t="s">
        <v>511</v>
      </c>
      <c r="W24" s="533"/>
      <c r="X24" s="533"/>
      <c r="Y24" s="533"/>
      <c r="Z24" s="334"/>
      <c r="AA24" s="334"/>
      <c r="AB24" s="334"/>
      <c r="AC24" s="334"/>
      <c r="AD24" s="199"/>
      <c r="AE24" s="199"/>
      <c r="AF24" s="199"/>
      <c r="AG24" s="199"/>
      <c r="AH24" s="199"/>
      <c r="AI24" s="199"/>
      <c r="AJ24" s="199"/>
      <c r="AK24" s="199"/>
      <c r="AL24" s="199"/>
    </row>
    <row r="25" spans="1:39">
      <c r="A25" s="18">
        <v>23</v>
      </c>
      <c r="B25" s="293" t="s">
        <v>512</v>
      </c>
      <c r="C25" s="275" t="s">
        <v>31</v>
      </c>
      <c r="D25" s="284">
        <v>50205613334</v>
      </c>
      <c r="E25" s="491" t="s">
        <v>513</v>
      </c>
      <c r="F25" s="18" t="s">
        <v>514</v>
      </c>
      <c r="G25" s="272">
        <v>30774</v>
      </c>
      <c r="H25" s="272">
        <v>52717</v>
      </c>
      <c r="I25" s="274" t="s">
        <v>253</v>
      </c>
      <c r="J25" s="286" t="s">
        <v>76</v>
      </c>
      <c r="K25" s="274" t="s">
        <v>253</v>
      </c>
      <c r="L25" s="274" t="s">
        <v>43</v>
      </c>
      <c r="M25" s="275">
        <v>6290086813</v>
      </c>
      <c r="N25" s="306">
        <v>6290086813</v>
      </c>
      <c r="O25" s="272">
        <v>46148</v>
      </c>
      <c r="P25" s="278">
        <v>45499</v>
      </c>
      <c r="Q25" s="419">
        <v>45356</v>
      </c>
      <c r="R25" s="485"/>
      <c r="S25" s="485"/>
      <c r="T25" s="486" t="s">
        <v>515</v>
      </c>
      <c r="U25" s="485"/>
      <c r="V25" s="485">
        <f>LEN(TEXT(D25,0))</f>
        <v>11</v>
      </c>
      <c r="W25" s="208" t="e">
        <f ca="1">INT((TODAY()-#REF!)/365)</f>
        <v>#REF!</v>
      </c>
      <c r="X25" s="382"/>
      <c r="Y25" s="395"/>
      <c r="Z25" s="79"/>
      <c r="AA25" s="383"/>
      <c r="AB25" s="383"/>
      <c r="AC25" s="383"/>
      <c r="AD25" s="383"/>
      <c r="AE25" s="383"/>
      <c r="AF25" s="383"/>
      <c r="AG25" s="383"/>
      <c r="AH25" s="383"/>
      <c r="AI25" s="384"/>
      <c r="AJ25" s="384"/>
      <c r="AK25" s="384"/>
      <c r="AL25" s="384"/>
      <c r="AM25" s="384"/>
    </row>
    <row r="26" spans="1:39" ht="15.75" customHeight="1">
      <c r="A26" s="18">
        <v>24</v>
      </c>
      <c r="B26" s="197" t="s">
        <v>516</v>
      </c>
      <c r="C26" s="18" t="s">
        <v>31</v>
      </c>
      <c r="D26" s="536">
        <v>50205419207</v>
      </c>
      <c r="E26" s="475" t="s">
        <v>517</v>
      </c>
      <c r="F26" s="18" t="s">
        <v>514</v>
      </c>
      <c r="G26" s="476">
        <v>26646</v>
      </c>
      <c r="H26" s="476">
        <v>48579</v>
      </c>
      <c r="I26" s="303" t="s">
        <v>261</v>
      </c>
      <c r="J26" s="274" t="s">
        <v>76</v>
      </c>
      <c r="K26" s="275" t="s">
        <v>261</v>
      </c>
      <c r="L26" s="537" t="s">
        <v>48</v>
      </c>
      <c r="O26" s="320"/>
      <c r="P26" s="272"/>
      <c r="Q26" s="272"/>
      <c r="R26" s="280"/>
      <c r="S26" s="280"/>
      <c r="T26" s="338"/>
      <c r="U26" s="280"/>
      <c r="V26" s="538"/>
      <c r="W26" s="208"/>
    </row>
    <row r="27" spans="1:39" ht="15.75" customHeight="1">
      <c r="A27" s="18">
        <v>25</v>
      </c>
      <c r="B27" s="293" t="s">
        <v>518</v>
      </c>
      <c r="C27" s="275" t="s">
        <v>31</v>
      </c>
      <c r="D27" s="284">
        <v>50205407199</v>
      </c>
      <c r="E27" s="303" t="s">
        <v>519</v>
      </c>
      <c r="F27" s="18" t="s">
        <v>477</v>
      </c>
      <c r="G27" s="272">
        <v>26269</v>
      </c>
      <c r="H27" s="289">
        <v>48213</v>
      </c>
      <c r="I27" s="303" t="s">
        <v>261</v>
      </c>
      <c r="J27" s="18" t="s">
        <v>76</v>
      </c>
      <c r="K27" s="275" t="s">
        <v>261</v>
      </c>
      <c r="L27" s="274" t="s">
        <v>64</v>
      </c>
      <c r="M27" s="275">
        <v>9002071891</v>
      </c>
      <c r="N27" s="275">
        <v>9002071891</v>
      </c>
      <c r="O27" s="272">
        <v>45101</v>
      </c>
      <c r="P27" s="302">
        <v>45695</v>
      </c>
      <c r="Q27" s="272">
        <v>45563</v>
      </c>
      <c r="R27" s="79"/>
      <c r="S27" s="79"/>
      <c r="T27" s="296" t="s">
        <v>520</v>
      </c>
      <c r="U27" s="296" t="s">
        <v>521</v>
      </c>
      <c r="V27" s="297">
        <f>LEN(TEXT(D27,0))</f>
        <v>11</v>
      </c>
      <c r="W27" s="208">
        <f t="shared" ref="W27:W28" ca="1" si="3">INT((TODAY()-G27)/365)</f>
        <v>54</v>
      </c>
      <c r="X27" s="298"/>
      <c r="Y27" s="298"/>
      <c r="Z27" s="298"/>
      <c r="AA27" s="298"/>
      <c r="AB27" s="298"/>
      <c r="AC27" s="298"/>
      <c r="AD27" s="298"/>
      <c r="AE27" s="298"/>
      <c r="AF27" s="298"/>
      <c r="AG27" s="298"/>
      <c r="AH27" s="298"/>
      <c r="AI27" s="298"/>
      <c r="AJ27" s="298"/>
      <c r="AK27" s="298"/>
      <c r="AL27" s="298"/>
      <c r="AM27" s="298"/>
    </row>
    <row r="28" spans="1:39" ht="15.75" customHeight="1">
      <c r="A28" s="18">
        <v>26</v>
      </c>
      <c r="B28" s="351" t="s">
        <v>522</v>
      </c>
      <c r="C28" s="539" t="s">
        <v>31</v>
      </c>
      <c r="D28" s="495">
        <v>50205584024</v>
      </c>
      <c r="E28" s="540" t="s">
        <v>523</v>
      </c>
      <c r="F28" s="18" t="s">
        <v>485</v>
      </c>
      <c r="G28" s="272">
        <v>30865</v>
      </c>
      <c r="H28" s="272">
        <v>52809</v>
      </c>
      <c r="I28" s="499" t="s">
        <v>315</v>
      </c>
      <c r="J28" s="274" t="s">
        <v>76</v>
      </c>
      <c r="K28" s="307" t="s">
        <v>253</v>
      </c>
      <c r="L28" s="303" t="s">
        <v>61</v>
      </c>
      <c r="M28" s="541">
        <v>9002071374</v>
      </c>
      <c r="O28" s="320">
        <v>46053</v>
      </c>
      <c r="P28" s="315">
        <v>45825</v>
      </c>
      <c r="Q28" s="272">
        <v>45842</v>
      </c>
      <c r="R28" s="280"/>
      <c r="S28" s="280"/>
      <c r="T28" s="281" t="s">
        <v>524</v>
      </c>
      <c r="U28" s="281" t="s">
        <v>525</v>
      </c>
      <c r="V28" s="280">
        <f>LEN(D28)</f>
        <v>11</v>
      </c>
      <c r="W28" s="282">
        <f t="shared" ca="1" si="3"/>
        <v>41</v>
      </c>
      <c r="X28" s="79"/>
      <c r="Y28" s="79"/>
      <c r="Z28" s="79"/>
      <c r="AA28" s="79"/>
    </row>
    <row r="29" spans="1:39" ht="15.75" customHeight="1">
      <c r="A29" s="18">
        <v>27</v>
      </c>
      <c r="B29" s="542" t="s">
        <v>526</v>
      </c>
      <c r="C29" s="454" t="s">
        <v>20</v>
      </c>
      <c r="D29" s="543">
        <v>50200065730</v>
      </c>
      <c r="E29" s="544" t="s">
        <v>527</v>
      </c>
      <c r="F29" s="18" t="s">
        <v>485</v>
      </c>
      <c r="G29" s="545">
        <v>27396</v>
      </c>
      <c r="H29" s="546">
        <v>49340</v>
      </c>
      <c r="I29" s="520" t="s">
        <v>253</v>
      </c>
      <c r="J29" s="455" t="s">
        <v>76</v>
      </c>
      <c r="K29" s="520" t="s">
        <v>253</v>
      </c>
      <c r="L29" s="520" t="s">
        <v>342</v>
      </c>
      <c r="M29" s="547">
        <v>9002071343</v>
      </c>
      <c r="O29" s="548">
        <v>45614</v>
      </c>
      <c r="P29" s="498">
        <v>46133</v>
      </c>
      <c r="Q29" s="498">
        <v>46133</v>
      </c>
      <c r="R29" s="549"/>
      <c r="S29" s="550" t="s">
        <v>528</v>
      </c>
      <c r="T29" s="550" t="s">
        <v>529</v>
      </c>
      <c r="U29" s="549"/>
      <c r="V29" s="551">
        <f t="shared" ref="V29:V30" si="4">LEN(TEXT(D29,0))</f>
        <v>11</v>
      </c>
      <c r="W29" s="552"/>
      <c r="X29" s="282">
        <f ca="1">INT((TODAY()-G29)/365)</f>
        <v>51</v>
      </c>
      <c r="Y29" s="553"/>
      <c r="Z29" s="554"/>
      <c r="AA29" s="554"/>
      <c r="AB29" s="555" t="s">
        <v>530</v>
      </c>
      <c r="AC29" s="556"/>
      <c r="AD29" s="556"/>
      <c r="AE29" s="556"/>
      <c r="AF29" s="556"/>
      <c r="AG29" s="556"/>
      <c r="AH29" s="556"/>
      <c r="AI29" s="556"/>
      <c r="AJ29" s="556"/>
      <c r="AK29" s="556"/>
      <c r="AL29" s="556"/>
      <c r="AM29" s="556"/>
    </row>
    <row r="30" spans="1:39" ht="15.75" customHeight="1">
      <c r="A30" s="18">
        <v>28</v>
      </c>
      <c r="B30" s="293" t="s">
        <v>531</v>
      </c>
      <c r="C30" s="275" t="s">
        <v>31</v>
      </c>
      <c r="D30" s="284" t="s">
        <v>532</v>
      </c>
      <c r="E30" s="303" t="s">
        <v>533</v>
      </c>
      <c r="F30" s="306" t="s">
        <v>440</v>
      </c>
      <c r="G30" s="289">
        <v>28961</v>
      </c>
      <c r="H30" s="289">
        <v>50890</v>
      </c>
      <c r="I30" s="520" t="s">
        <v>253</v>
      </c>
      <c r="J30" s="274" t="s">
        <v>76</v>
      </c>
      <c r="K30" s="275" t="s">
        <v>261</v>
      </c>
      <c r="L30" s="284" t="s">
        <v>64</v>
      </c>
      <c r="M30" s="275">
        <v>9002071792</v>
      </c>
      <c r="O30" s="272">
        <v>45398</v>
      </c>
      <c r="P30" s="272">
        <v>45748</v>
      </c>
      <c r="Q30" s="272">
        <v>45830</v>
      </c>
      <c r="R30" s="294"/>
      <c r="S30" s="295"/>
      <c r="T30" s="296" t="s">
        <v>534</v>
      </c>
      <c r="U30" s="296" t="s">
        <v>535</v>
      </c>
      <c r="V30" s="297">
        <f t="shared" si="4"/>
        <v>11</v>
      </c>
      <c r="W30" s="208">
        <f ca="1">INT((TODAY()-G30)/365)</f>
        <v>46</v>
      </c>
      <c r="X30" s="298"/>
      <c r="Y30" s="298"/>
      <c r="Z30" s="298"/>
      <c r="AA30" s="298"/>
      <c r="AB30" s="298"/>
      <c r="AC30" s="298"/>
      <c r="AD30" s="298"/>
      <c r="AE30" s="298"/>
      <c r="AF30" s="298"/>
      <c r="AG30" s="298"/>
      <c r="AH30" s="298"/>
      <c r="AI30" s="298"/>
      <c r="AJ30" s="298"/>
      <c r="AK30" s="298"/>
      <c r="AL30" s="298"/>
      <c r="AM30" s="298"/>
    </row>
    <row r="31" spans="1:39">
      <c r="A31" s="18">
        <v>29</v>
      </c>
      <c r="B31" s="426" t="s">
        <v>536</v>
      </c>
      <c r="C31" s="18" t="s">
        <v>20</v>
      </c>
      <c r="D31" s="286">
        <v>50212132123</v>
      </c>
      <c r="E31" s="557" t="s">
        <v>537</v>
      </c>
      <c r="F31" s="306" t="s">
        <v>440</v>
      </c>
      <c r="G31" s="440">
        <v>27552</v>
      </c>
      <c r="H31" s="440">
        <v>49490</v>
      </c>
      <c r="I31" s="484" t="s">
        <v>464</v>
      </c>
      <c r="J31" s="18" t="s">
        <v>76</v>
      </c>
      <c r="K31" s="484" t="s">
        <v>464</v>
      </c>
      <c r="L31" s="79"/>
      <c r="M31" s="558">
        <v>9163382223</v>
      </c>
    </row>
    <row r="32" spans="1:39" ht="15.75">
      <c r="A32" s="18">
        <v>30</v>
      </c>
      <c r="B32" s="559" t="s">
        <v>538</v>
      </c>
      <c r="C32" s="18" t="s">
        <v>20</v>
      </c>
      <c r="D32" s="560">
        <v>50205423521</v>
      </c>
      <c r="E32" s="560" t="s">
        <v>539</v>
      </c>
      <c r="F32" s="18" t="s">
        <v>447</v>
      </c>
      <c r="G32" s="440">
        <v>26538</v>
      </c>
      <c r="H32" s="440">
        <v>48457</v>
      </c>
      <c r="I32" s="484" t="s">
        <v>464</v>
      </c>
      <c r="J32" s="560" t="s">
        <v>9</v>
      </c>
      <c r="K32" s="560" t="s">
        <v>540</v>
      </c>
    </row>
    <row r="33" spans="1:39" ht="15.75">
      <c r="A33" s="18">
        <v>31</v>
      </c>
      <c r="B33" s="559" t="s">
        <v>541</v>
      </c>
      <c r="C33" s="18" t="s">
        <v>20</v>
      </c>
      <c r="D33" s="560">
        <v>50207661952</v>
      </c>
      <c r="E33" s="560" t="s">
        <v>542</v>
      </c>
      <c r="F33" s="306" t="s">
        <v>440</v>
      </c>
      <c r="G33" s="440">
        <v>27631</v>
      </c>
      <c r="H33" s="440">
        <v>49552</v>
      </c>
      <c r="I33" s="520" t="s">
        <v>253</v>
      </c>
      <c r="J33" s="560" t="s">
        <v>543</v>
      </c>
      <c r="K33" s="560" t="s">
        <v>544</v>
      </c>
    </row>
    <row r="34" spans="1:39" ht="15.75">
      <c r="A34" s="18">
        <v>32</v>
      </c>
      <c r="B34" s="559" t="s">
        <v>545</v>
      </c>
      <c r="C34" s="18" t="s">
        <v>20</v>
      </c>
      <c r="D34" s="560">
        <v>50205423510</v>
      </c>
      <c r="E34" s="560" t="s">
        <v>546</v>
      </c>
      <c r="F34" s="306" t="s">
        <v>440</v>
      </c>
      <c r="G34" s="440">
        <v>26665</v>
      </c>
      <c r="H34" s="440">
        <v>48610</v>
      </c>
      <c r="I34" s="499" t="s">
        <v>315</v>
      </c>
      <c r="J34" s="560" t="s">
        <v>36</v>
      </c>
      <c r="K34" s="560" t="s">
        <v>547</v>
      </c>
    </row>
    <row r="35" spans="1:39" ht="15.75">
      <c r="A35" s="18">
        <v>33</v>
      </c>
      <c r="B35" s="559" t="s">
        <v>548</v>
      </c>
      <c r="C35" s="18" t="s">
        <v>20</v>
      </c>
      <c r="D35" s="560">
        <v>50204631821</v>
      </c>
      <c r="E35" s="560" t="s">
        <v>549</v>
      </c>
      <c r="F35" s="306" t="s">
        <v>440</v>
      </c>
      <c r="G35" s="440">
        <v>24797</v>
      </c>
      <c r="H35" s="440">
        <v>46721</v>
      </c>
      <c r="I35" s="499" t="s">
        <v>315</v>
      </c>
      <c r="J35" s="560" t="s">
        <v>36</v>
      </c>
      <c r="K35" s="560" t="s">
        <v>550</v>
      </c>
    </row>
    <row r="36" spans="1:39" ht="15.75" customHeight="1">
      <c r="A36" s="18">
        <v>34</v>
      </c>
      <c r="B36" s="293" t="s">
        <v>551</v>
      </c>
      <c r="C36" s="561" t="s">
        <v>31</v>
      </c>
      <c r="D36" s="562" t="s">
        <v>552</v>
      </c>
      <c r="E36" s="491" t="s">
        <v>553</v>
      </c>
      <c r="F36" s="306" t="s">
        <v>440</v>
      </c>
      <c r="G36" s="272">
        <v>29240</v>
      </c>
      <c r="H36" s="272">
        <v>51166</v>
      </c>
      <c r="I36" s="274" t="s">
        <v>253</v>
      </c>
      <c r="J36" s="275">
        <v>9874335296</v>
      </c>
      <c r="K36" s="274" t="s">
        <v>253</v>
      </c>
      <c r="L36" s="274" t="s">
        <v>417</v>
      </c>
      <c r="O36" s="272">
        <v>45677</v>
      </c>
      <c r="P36" s="279">
        <v>45337</v>
      </c>
      <c r="Q36" s="302">
        <v>45316</v>
      </c>
      <c r="R36" s="485"/>
      <c r="S36" s="485"/>
      <c r="T36" s="486" t="s">
        <v>554</v>
      </c>
      <c r="U36" s="486" t="s">
        <v>555</v>
      </c>
      <c r="V36" s="485">
        <f t="shared" ref="V36:V37" si="5">LEN(TEXT(D36,0))</f>
        <v>11</v>
      </c>
      <c r="W36" s="208">
        <f ca="1">INT((TODAY()-G36)/365)</f>
        <v>46</v>
      </c>
      <c r="X36" s="311"/>
      <c r="Y36" s="563"/>
      <c r="AA36" s="384"/>
      <c r="AB36" s="384"/>
      <c r="AC36" s="384"/>
      <c r="AD36" s="384"/>
      <c r="AE36" s="384"/>
      <c r="AF36" s="384"/>
      <c r="AG36" s="384"/>
      <c r="AH36" s="384"/>
      <c r="AI36" s="384"/>
      <c r="AJ36" s="384"/>
      <c r="AK36" s="384"/>
      <c r="AL36" s="384"/>
      <c r="AM36" s="384"/>
    </row>
    <row r="37" spans="1:39" ht="15.75" customHeight="1">
      <c r="A37" s="18">
        <v>35</v>
      </c>
      <c r="B37" s="351" t="s">
        <v>556</v>
      </c>
      <c r="C37" s="275" t="s">
        <v>31</v>
      </c>
      <c r="D37" s="564" t="s">
        <v>557</v>
      </c>
      <c r="E37" s="565" t="s">
        <v>558</v>
      </c>
      <c r="F37" s="306" t="s">
        <v>440</v>
      </c>
      <c r="G37" s="289">
        <v>31265</v>
      </c>
      <c r="H37" s="289">
        <v>53205</v>
      </c>
      <c r="I37" s="274" t="s">
        <v>334</v>
      </c>
      <c r="J37" s="391">
        <v>8340486155</v>
      </c>
      <c r="K37" s="275" t="s">
        <v>261</v>
      </c>
      <c r="L37" s="18" t="s">
        <v>299</v>
      </c>
      <c r="O37" s="400">
        <v>46067</v>
      </c>
      <c r="P37" s="272">
        <v>45628</v>
      </c>
      <c r="Q37" s="272">
        <v>45524</v>
      </c>
      <c r="R37" s="79"/>
      <c r="S37" s="393"/>
      <c r="T37" s="394" t="s">
        <v>559</v>
      </c>
      <c r="U37" s="394" t="s">
        <v>560</v>
      </c>
      <c r="V37" s="383">
        <f t="shared" si="5"/>
        <v>11</v>
      </c>
      <c r="W37" s="395"/>
      <c r="X37" s="79"/>
      <c r="Y37" s="395"/>
      <c r="Z37" s="79"/>
      <c r="AA37" s="383"/>
      <c r="AB37" s="208">
        <f ca="1">INT((TODAY()-G37)/365)</f>
        <v>40</v>
      </c>
      <c r="AC37" s="384"/>
      <c r="AD37" s="384"/>
      <c r="AE37" s="384"/>
      <c r="AF37" s="384"/>
      <c r="AG37" s="384"/>
      <c r="AH37" s="384"/>
      <c r="AI37" s="384"/>
      <c r="AJ37" s="384"/>
      <c r="AK37" s="384"/>
      <c r="AL37" s="384"/>
      <c r="AM37" s="384"/>
    </row>
    <row r="38" spans="1:39" ht="15.75">
      <c r="A38" s="18">
        <v>36</v>
      </c>
      <c r="B38" s="566" t="s">
        <v>561</v>
      </c>
      <c r="C38" s="457" t="s">
        <v>20</v>
      </c>
      <c r="D38" s="567" t="s">
        <v>562</v>
      </c>
      <c r="E38" s="568" t="s">
        <v>563</v>
      </c>
      <c r="F38" s="306" t="s">
        <v>440</v>
      </c>
      <c r="G38" s="444">
        <v>25331</v>
      </c>
      <c r="H38" s="444">
        <v>47269</v>
      </c>
      <c r="I38" s="499" t="s">
        <v>315</v>
      </c>
      <c r="J38" s="79"/>
      <c r="K38" s="409" t="s">
        <v>315</v>
      </c>
      <c r="L38" s="445" t="s">
        <v>57</v>
      </c>
      <c r="O38" s="569">
        <v>45751</v>
      </c>
      <c r="P38" s="570">
        <v>45839</v>
      </c>
      <c r="Q38" s="569">
        <v>45814</v>
      </c>
      <c r="R38" s="449" t="s">
        <v>37</v>
      </c>
      <c r="S38" s="332"/>
      <c r="T38" s="571"/>
      <c r="U38" s="572"/>
      <c r="V38" s="334"/>
      <c r="W38" s="334"/>
      <c r="X38" s="334"/>
      <c r="Y38" s="334"/>
      <c r="Z38" s="334"/>
      <c r="AA38" s="334"/>
      <c r="AB38" s="334"/>
      <c r="AE38" s="568" t="s">
        <v>564</v>
      </c>
      <c r="AF38" s="568" t="s">
        <v>565</v>
      </c>
      <c r="AH38" s="199"/>
      <c r="AI38" s="199"/>
      <c r="AJ38" s="199"/>
      <c r="AK38" s="199"/>
      <c r="AL38" s="199"/>
      <c r="AM38" s="199"/>
    </row>
    <row r="39" spans="1:39">
      <c r="A39" s="90"/>
      <c r="B39" s="573" t="s">
        <v>566</v>
      </c>
      <c r="C39" s="90"/>
      <c r="E39" s="90"/>
      <c r="F39" s="306"/>
      <c r="G39" s="90"/>
      <c r="H39" s="90"/>
      <c r="I39" s="90"/>
      <c r="J39" s="90"/>
      <c r="K39" s="90"/>
    </row>
    <row r="40" spans="1:39">
      <c r="A40" s="90"/>
      <c r="B40" s="573"/>
      <c r="C40" s="90"/>
      <c r="E40" s="90"/>
      <c r="G40" s="90"/>
      <c r="H40" s="90"/>
      <c r="I40" s="90"/>
      <c r="J40" s="90"/>
      <c r="K40" s="90"/>
    </row>
    <row r="41" spans="1:39">
      <c r="A41" s="90"/>
      <c r="C41" s="90"/>
      <c r="E41" s="90"/>
      <c r="G41" s="90"/>
      <c r="H41" s="90"/>
      <c r="I41" s="90"/>
      <c r="J41" s="90"/>
      <c r="K41" s="90"/>
    </row>
    <row r="42" spans="1:39">
      <c r="A42" s="574" t="s">
        <v>567</v>
      </c>
      <c r="B42" s="574" t="s">
        <v>430</v>
      </c>
      <c r="C42" s="18" t="s">
        <v>568</v>
      </c>
      <c r="D42" s="18" t="s">
        <v>569</v>
      </c>
      <c r="E42" s="18" t="s">
        <v>433</v>
      </c>
      <c r="F42" s="574" t="s">
        <v>570</v>
      </c>
      <c r="G42" s="476" t="s">
        <v>435</v>
      </c>
      <c r="H42" s="476" t="s">
        <v>130</v>
      </c>
      <c r="I42" s="18" t="s">
        <v>571</v>
      </c>
      <c r="J42" s="18" t="s">
        <v>2</v>
      </c>
      <c r="K42" s="90"/>
    </row>
    <row r="43" spans="1:39">
      <c r="A43" s="574">
        <v>1</v>
      </c>
      <c r="B43" s="575" t="s">
        <v>572</v>
      </c>
      <c r="C43" s="574" t="s">
        <v>8</v>
      </c>
      <c r="D43" s="576">
        <v>50205389306</v>
      </c>
      <c r="E43" s="18" t="s">
        <v>573</v>
      </c>
      <c r="F43" s="574" t="s">
        <v>23</v>
      </c>
      <c r="G43" s="476">
        <v>25449</v>
      </c>
      <c r="H43" s="476">
        <v>47391</v>
      </c>
      <c r="I43" s="18">
        <v>9002071696</v>
      </c>
      <c r="J43" s="18" t="s">
        <v>76</v>
      </c>
      <c r="K43" s="90"/>
    </row>
    <row r="44" spans="1:39">
      <c r="A44" s="574">
        <v>2</v>
      </c>
      <c r="B44" s="575" t="s">
        <v>574</v>
      </c>
      <c r="C44" s="574" t="s">
        <v>543</v>
      </c>
      <c r="D44" s="577">
        <v>50205419050</v>
      </c>
      <c r="E44" s="18" t="s">
        <v>575</v>
      </c>
      <c r="F44" s="574" t="s">
        <v>23</v>
      </c>
      <c r="G44" s="476">
        <v>27180</v>
      </c>
      <c r="H44" s="476">
        <v>49095</v>
      </c>
      <c r="I44" s="18">
        <v>9002079068</v>
      </c>
      <c r="J44" s="18" t="s">
        <v>76</v>
      </c>
      <c r="K44" s="90"/>
    </row>
    <row r="45" spans="1:39">
      <c r="A45" s="574">
        <v>3</v>
      </c>
      <c r="B45" s="575" t="s">
        <v>576</v>
      </c>
      <c r="C45" s="574" t="s">
        <v>7</v>
      </c>
      <c r="D45" s="577">
        <v>50207696553</v>
      </c>
      <c r="E45" s="18" t="s">
        <v>577</v>
      </c>
      <c r="F45" s="574" t="s">
        <v>23</v>
      </c>
      <c r="G45" s="476">
        <v>24545</v>
      </c>
      <c r="H45" s="476">
        <v>46477</v>
      </c>
      <c r="I45" s="18">
        <v>9002071193</v>
      </c>
      <c r="J45" s="18" t="s">
        <v>76</v>
      </c>
      <c r="K45" s="90"/>
    </row>
    <row r="46" spans="1:39">
      <c r="A46" s="574">
        <v>4</v>
      </c>
      <c r="B46" s="575" t="s">
        <v>578</v>
      </c>
      <c r="C46" s="574" t="s">
        <v>543</v>
      </c>
      <c r="D46" s="577">
        <v>50205355291</v>
      </c>
      <c r="E46" s="18" t="s">
        <v>579</v>
      </c>
      <c r="F46" s="574" t="s">
        <v>23</v>
      </c>
      <c r="G46" s="476">
        <v>24333</v>
      </c>
      <c r="H46" s="578">
        <v>46265</v>
      </c>
      <c r="I46" s="18">
        <v>9002071287</v>
      </c>
      <c r="J46" s="18" t="s">
        <v>76</v>
      </c>
      <c r="K46" s="90"/>
    </row>
    <row r="47" spans="1:39">
      <c r="A47" s="574">
        <v>5</v>
      </c>
      <c r="B47" s="575" t="s">
        <v>580</v>
      </c>
      <c r="C47" s="574" t="s">
        <v>543</v>
      </c>
      <c r="D47" s="577">
        <v>50209378960</v>
      </c>
      <c r="E47" s="18" t="s">
        <v>581</v>
      </c>
      <c r="F47" s="574" t="s">
        <v>23</v>
      </c>
      <c r="G47" s="476">
        <v>24531</v>
      </c>
      <c r="H47" s="476">
        <v>46446</v>
      </c>
      <c r="I47" s="18">
        <v>9002071756</v>
      </c>
      <c r="J47" s="18" t="s">
        <v>76</v>
      </c>
      <c r="K47" s="90"/>
    </row>
    <row r="48" spans="1:39">
      <c r="A48" s="574">
        <v>6</v>
      </c>
      <c r="B48" s="575" t="s">
        <v>582</v>
      </c>
      <c r="C48" s="574" t="s">
        <v>543</v>
      </c>
      <c r="D48" s="576">
        <v>50205419128</v>
      </c>
      <c r="E48" s="18" t="s">
        <v>583</v>
      </c>
      <c r="F48" s="574" t="s">
        <v>23</v>
      </c>
      <c r="G48" s="476">
        <v>28858</v>
      </c>
      <c r="H48" s="476">
        <v>50801</v>
      </c>
      <c r="I48" s="18">
        <v>9002079797</v>
      </c>
      <c r="J48" s="18" t="s">
        <v>76</v>
      </c>
      <c r="K48" s="90"/>
    </row>
    <row r="49" spans="1:39">
      <c r="A49" s="574">
        <v>7</v>
      </c>
      <c r="B49" s="579" t="s">
        <v>584</v>
      </c>
      <c r="C49" s="574" t="s">
        <v>585</v>
      </c>
      <c r="D49" s="580" t="s">
        <v>586</v>
      </c>
      <c r="E49" s="18" t="s">
        <v>587</v>
      </c>
      <c r="F49" s="574" t="s">
        <v>23</v>
      </c>
      <c r="G49" s="476">
        <v>25235</v>
      </c>
      <c r="H49" s="476">
        <v>47177</v>
      </c>
      <c r="I49" s="18">
        <v>9002074518</v>
      </c>
      <c r="J49" s="18" t="s">
        <v>78</v>
      </c>
      <c r="K49" s="90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  <c r="AG49" s="206"/>
      <c r="AH49" s="206"/>
      <c r="AI49" s="206"/>
      <c r="AJ49" s="206"/>
      <c r="AK49" s="206"/>
      <c r="AL49" s="206"/>
      <c r="AM49" s="206"/>
    </row>
    <row r="50" spans="1:39">
      <c r="A50" s="574">
        <v>8</v>
      </c>
      <c r="B50" s="579" t="s">
        <v>588</v>
      </c>
      <c r="C50" s="574" t="s">
        <v>589</v>
      </c>
      <c r="D50" s="18">
        <v>50205420933</v>
      </c>
      <c r="E50" s="18" t="s">
        <v>590</v>
      </c>
      <c r="F50" s="574" t="s">
        <v>23</v>
      </c>
      <c r="G50" s="476">
        <v>28764</v>
      </c>
      <c r="H50" s="476">
        <v>50709</v>
      </c>
      <c r="I50" s="3"/>
      <c r="J50" s="18" t="s">
        <v>78</v>
      </c>
      <c r="K50" s="90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  <c r="AA50" s="206"/>
      <c r="AB50" s="206"/>
      <c r="AC50" s="206"/>
      <c r="AD50" s="206"/>
      <c r="AE50" s="206"/>
      <c r="AF50" s="206"/>
      <c r="AG50" s="206"/>
      <c r="AH50" s="206"/>
      <c r="AI50" s="206"/>
      <c r="AJ50" s="206"/>
      <c r="AK50" s="206"/>
      <c r="AL50" s="206"/>
      <c r="AM50" s="206"/>
    </row>
    <row r="51" spans="1:39" ht="15.75" customHeight="1">
      <c r="A51" s="574">
        <v>9</v>
      </c>
      <c r="B51" s="270" t="s">
        <v>351</v>
      </c>
      <c r="C51" s="581" t="s">
        <v>5</v>
      </c>
      <c r="D51" s="306">
        <v>50213690176</v>
      </c>
      <c r="E51" s="582" t="s">
        <v>591</v>
      </c>
      <c r="F51" s="574" t="s">
        <v>23</v>
      </c>
      <c r="G51" s="289">
        <v>24616</v>
      </c>
      <c r="H51" s="289">
        <v>46538</v>
      </c>
      <c r="I51" s="391">
        <v>9002071609</v>
      </c>
      <c r="J51" s="284" t="s">
        <v>78</v>
      </c>
      <c r="K51" s="307" t="s">
        <v>253</v>
      </c>
      <c r="L51" s="391" t="s">
        <v>294</v>
      </c>
      <c r="O51" s="392">
        <v>44692</v>
      </c>
      <c r="P51" s="289">
        <v>44519</v>
      </c>
      <c r="Q51" s="302">
        <v>45481</v>
      </c>
      <c r="R51" s="393"/>
      <c r="S51" s="393"/>
      <c r="T51" s="394" t="s">
        <v>592</v>
      </c>
      <c r="U51" s="393"/>
      <c r="V51" s="383">
        <f t="shared" ref="V51:V52" si="6">LEN(TEXT(D51,0))</f>
        <v>11</v>
      </c>
      <c r="W51" s="583">
        <v>42702</v>
      </c>
      <c r="X51" s="79"/>
      <c r="Y51" s="395"/>
      <c r="Z51" s="286" t="s">
        <v>84</v>
      </c>
      <c r="AA51" s="383"/>
      <c r="AB51" s="311">
        <f t="shared" ref="AB51:AB53" ca="1" si="7">INT((TODAY()-G51)/365)</f>
        <v>58</v>
      </c>
    </row>
    <row r="52" spans="1:39" ht="15.75" customHeight="1">
      <c r="A52" s="574">
        <v>10</v>
      </c>
      <c r="B52" s="270" t="s">
        <v>299</v>
      </c>
      <c r="C52" s="581" t="s">
        <v>5</v>
      </c>
      <c r="D52" s="306">
        <v>50205331031</v>
      </c>
      <c r="E52" s="582" t="s">
        <v>593</v>
      </c>
      <c r="F52" s="574" t="s">
        <v>23</v>
      </c>
      <c r="G52" s="289">
        <v>24506</v>
      </c>
      <c r="H52" s="289">
        <v>46446</v>
      </c>
      <c r="I52" s="391">
        <v>9002071248</v>
      </c>
      <c r="J52" s="284" t="s">
        <v>76</v>
      </c>
      <c r="K52" s="307" t="s">
        <v>253</v>
      </c>
      <c r="L52" s="391" t="s">
        <v>594</v>
      </c>
      <c r="O52" s="392">
        <v>44595</v>
      </c>
      <c r="P52" s="272">
        <v>45057</v>
      </c>
      <c r="Q52" s="289">
        <v>44771</v>
      </c>
      <c r="R52" s="393"/>
      <c r="S52" s="394" t="s">
        <v>595</v>
      </c>
      <c r="T52" s="394" t="s">
        <v>596</v>
      </c>
      <c r="U52" s="394" t="s">
        <v>597</v>
      </c>
      <c r="V52" s="383">
        <f t="shared" si="6"/>
        <v>11</v>
      </c>
      <c r="W52" s="584">
        <v>43241</v>
      </c>
      <c r="X52" s="79"/>
      <c r="Y52" s="395"/>
      <c r="Z52" s="286" t="s">
        <v>84</v>
      </c>
      <c r="AA52" s="383"/>
      <c r="AB52" s="311">
        <f t="shared" ca="1" si="7"/>
        <v>59</v>
      </c>
    </row>
    <row r="53" spans="1:39" ht="15.75" customHeight="1">
      <c r="A53" s="574">
        <v>11</v>
      </c>
      <c r="B53" s="313" t="s">
        <v>256</v>
      </c>
      <c r="C53" s="581" t="s">
        <v>5</v>
      </c>
      <c r="D53" s="585">
        <v>50205355424</v>
      </c>
      <c r="E53" s="586" t="s">
        <v>598</v>
      </c>
      <c r="F53" s="574" t="s">
        <v>23</v>
      </c>
      <c r="G53" s="278">
        <v>24455</v>
      </c>
      <c r="H53" s="578">
        <v>46387</v>
      </c>
      <c r="I53" s="307">
        <v>9002071188</v>
      </c>
      <c r="J53" s="337" t="s">
        <v>76</v>
      </c>
      <c r="K53" s="307" t="s">
        <v>253</v>
      </c>
      <c r="L53" s="307" t="s">
        <v>102</v>
      </c>
      <c r="O53" s="278">
        <v>44505</v>
      </c>
      <c r="P53" s="279">
        <v>45487</v>
      </c>
      <c r="Q53" s="302">
        <v>45284</v>
      </c>
      <c r="R53" s="285"/>
      <c r="S53" s="285"/>
      <c r="T53" s="318" t="s">
        <v>599</v>
      </c>
      <c r="U53" s="318" t="s">
        <v>599</v>
      </c>
      <c r="V53" s="285">
        <f>LEN(D53)</f>
        <v>11</v>
      </c>
      <c r="W53" s="3"/>
      <c r="X53" s="3"/>
      <c r="Y53" s="3"/>
      <c r="Z53" s="79"/>
      <c r="AA53" s="79"/>
      <c r="AB53" s="311">
        <f t="shared" ca="1" si="7"/>
        <v>59</v>
      </c>
    </row>
    <row r="54" spans="1:39" ht="17.25">
      <c r="A54" s="574">
        <v>12</v>
      </c>
      <c r="B54" s="587" t="s">
        <v>600</v>
      </c>
      <c r="C54" s="588" t="s">
        <v>543</v>
      </c>
      <c r="D54" s="557">
        <v>50205421044</v>
      </c>
      <c r="E54" s="475" t="s">
        <v>601</v>
      </c>
      <c r="F54" s="574" t="s">
        <v>23</v>
      </c>
      <c r="G54" s="476">
        <v>28523</v>
      </c>
      <c r="H54" s="476">
        <v>50464</v>
      </c>
      <c r="I54" s="303">
        <v>9002071879</v>
      </c>
      <c r="J54" s="284" t="s">
        <v>78</v>
      </c>
      <c r="K54" s="3"/>
      <c r="L54" s="3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</row>
    <row r="55" spans="1:39" ht="15.75" customHeight="1">
      <c r="A55" s="574">
        <v>13</v>
      </c>
      <c r="B55" s="542" t="s">
        <v>602</v>
      </c>
      <c r="C55" s="589" t="s">
        <v>543</v>
      </c>
      <c r="D55" s="306">
        <v>50207958500</v>
      </c>
      <c r="E55" s="18" t="s">
        <v>603</v>
      </c>
      <c r="F55" s="574" t="s">
        <v>23</v>
      </c>
      <c r="G55" s="590">
        <v>25521</v>
      </c>
      <c r="H55" s="590">
        <v>47452</v>
      </c>
      <c r="I55" s="391">
        <v>9002071883</v>
      </c>
      <c r="J55" s="303" t="s">
        <v>76</v>
      </c>
      <c r="K55" s="391" t="s">
        <v>334</v>
      </c>
      <c r="L55" s="275" t="s">
        <v>48</v>
      </c>
      <c r="M55" s="79"/>
      <c r="O55" s="392">
        <v>45610</v>
      </c>
      <c r="P55" s="272">
        <v>45234</v>
      </c>
      <c r="Q55" s="302">
        <v>45622</v>
      </c>
      <c r="R55" s="393"/>
      <c r="S55" s="393"/>
      <c r="T55" s="394" t="s">
        <v>604</v>
      </c>
      <c r="U55" s="394" t="s">
        <v>604</v>
      </c>
      <c r="V55" s="383">
        <f>LEN(TEXT(D55,0))</f>
        <v>11</v>
      </c>
      <c r="W55" s="584">
        <v>43264</v>
      </c>
      <c r="X55" s="79"/>
      <c r="Y55" s="395"/>
      <c r="Z55" s="286" t="s">
        <v>84</v>
      </c>
      <c r="AA55" s="383"/>
      <c r="AB55" s="208">
        <f ca="1">INT((TODAY()-G55)/365)</f>
        <v>56</v>
      </c>
      <c r="AC55" s="384"/>
      <c r="AD55" s="384"/>
      <c r="AE55" s="384"/>
      <c r="AF55" s="384"/>
      <c r="AG55" s="384"/>
      <c r="AH55" s="384"/>
      <c r="AI55" s="384"/>
      <c r="AJ55" s="384"/>
      <c r="AK55" s="384"/>
      <c r="AL55" s="384"/>
      <c r="AM55" s="384"/>
    </row>
    <row r="56" spans="1:39" ht="15.75">
      <c r="A56" s="574">
        <v>14</v>
      </c>
      <c r="B56" s="256" t="s">
        <v>605</v>
      </c>
      <c r="C56" s="274" t="s">
        <v>7</v>
      </c>
      <c r="D56" s="591">
        <v>50205827875</v>
      </c>
      <c r="E56" s="137" t="s">
        <v>606</v>
      </c>
      <c r="F56" s="574" t="s">
        <v>23</v>
      </c>
      <c r="G56" s="592">
        <v>25107</v>
      </c>
      <c r="H56" s="593">
        <v>47026</v>
      </c>
      <c r="I56" s="243">
        <v>9002071283</v>
      </c>
      <c r="J56" s="303" t="s">
        <v>76</v>
      </c>
      <c r="K56" s="238" t="s">
        <v>142</v>
      </c>
      <c r="L56" s="239"/>
      <c r="M56" s="262" t="s">
        <v>209</v>
      </c>
    </row>
    <row r="57" spans="1:39" ht="17.25">
      <c r="A57" s="574">
        <v>15</v>
      </c>
      <c r="B57" s="594" t="s">
        <v>607</v>
      </c>
      <c r="C57" s="589" t="s">
        <v>543</v>
      </c>
      <c r="D57" s="591">
        <v>22114588869</v>
      </c>
      <c r="E57" s="595" t="s">
        <v>608</v>
      </c>
      <c r="F57" s="574" t="s">
        <v>23</v>
      </c>
      <c r="G57" s="596">
        <v>25247</v>
      </c>
      <c r="H57" s="597">
        <v>47177</v>
      </c>
      <c r="I57" s="598">
        <v>9002071640</v>
      </c>
      <c r="J57" s="303" t="s">
        <v>76</v>
      </c>
      <c r="K57" s="238" t="s">
        <v>142</v>
      </c>
      <c r="L57" s="239"/>
      <c r="M57" s="79"/>
    </row>
    <row r="58" spans="1:39" ht="15.75" customHeight="1">
      <c r="A58" s="574">
        <v>16</v>
      </c>
      <c r="B58" s="287" t="s">
        <v>52</v>
      </c>
      <c r="C58" s="274" t="s">
        <v>7</v>
      </c>
      <c r="D58" s="304">
        <v>50205407254</v>
      </c>
      <c r="E58" s="303" t="s">
        <v>609</v>
      </c>
      <c r="F58" s="574" t="s">
        <v>23</v>
      </c>
      <c r="G58" s="599">
        <v>24838</v>
      </c>
      <c r="H58" s="599">
        <v>46752</v>
      </c>
      <c r="I58" s="275">
        <v>9002071888</v>
      </c>
      <c r="J58" s="303" t="s">
        <v>76</v>
      </c>
      <c r="K58" s="275" t="s">
        <v>290</v>
      </c>
      <c r="L58" s="275" t="s">
        <v>610</v>
      </c>
      <c r="M58" s="79"/>
      <c r="O58" s="272">
        <v>44927</v>
      </c>
      <c r="P58" s="279">
        <v>45212</v>
      </c>
      <c r="Q58" s="272">
        <v>45537</v>
      </c>
      <c r="S58" s="309"/>
      <c r="T58" s="310" t="s">
        <v>611</v>
      </c>
      <c r="U58" s="310" t="s">
        <v>612</v>
      </c>
      <c r="V58" s="311">
        <f>LEN(D58)</f>
        <v>11</v>
      </c>
      <c r="W58" s="311"/>
      <c r="X58" s="208">
        <f ca="1">INT((TODAY()-G58)/365)</f>
        <v>58</v>
      </c>
    </row>
    <row r="59" spans="1:39" ht="15.75" customHeight="1">
      <c r="A59" s="574">
        <v>17</v>
      </c>
      <c r="B59" s="587" t="s">
        <v>53</v>
      </c>
      <c r="C59" s="274" t="s">
        <v>7</v>
      </c>
      <c r="D59" s="18">
        <v>50209612348</v>
      </c>
      <c r="E59" s="475" t="s">
        <v>613</v>
      </c>
      <c r="F59" s="574" t="s">
        <v>23</v>
      </c>
      <c r="G59" s="600">
        <v>24695</v>
      </c>
      <c r="H59" s="600">
        <v>46630</v>
      </c>
      <c r="I59" s="274">
        <v>9002071704</v>
      </c>
      <c r="J59" s="337" t="s">
        <v>76</v>
      </c>
      <c r="K59" s="275" t="s">
        <v>290</v>
      </c>
      <c r="L59" s="601" t="s">
        <v>594</v>
      </c>
      <c r="M59" s="79"/>
      <c r="O59" s="602"/>
      <c r="P59" s="602"/>
      <c r="Q59" s="602"/>
      <c r="R59" s="308"/>
      <c r="S59" s="309"/>
      <c r="T59" s="309"/>
      <c r="U59" s="309"/>
      <c r="V59" s="311"/>
      <c r="W59" s="311"/>
      <c r="X59" s="311"/>
      <c r="Y59" s="311"/>
      <c r="Z59" s="311"/>
      <c r="AA59" s="311"/>
      <c r="AB59" s="311"/>
      <c r="AC59" s="311"/>
      <c r="AD59" s="311"/>
      <c r="AE59" s="311"/>
      <c r="AF59" s="311"/>
      <c r="AG59" s="311"/>
      <c r="AH59" s="311"/>
      <c r="AI59" s="311"/>
      <c r="AJ59" s="311"/>
      <c r="AK59" s="311"/>
      <c r="AL59" s="311"/>
      <c r="AM59" s="311"/>
    </row>
    <row r="60" spans="1:39" ht="15.75" customHeight="1">
      <c r="A60" s="574">
        <v>18</v>
      </c>
      <c r="B60" s="287" t="s">
        <v>614</v>
      </c>
      <c r="C60" s="274" t="s">
        <v>7</v>
      </c>
      <c r="D60" s="304">
        <v>50205389290</v>
      </c>
      <c r="E60" s="303" t="s">
        <v>615</v>
      </c>
      <c r="F60" s="574" t="s">
        <v>23</v>
      </c>
      <c r="G60" s="272">
        <v>24390</v>
      </c>
      <c r="H60" s="272">
        <v>46326</v>
      </c>
      <c r="I60" s="275">
        <v>9002071758</v>
      </c>
      <c r="J60" s="303" t="s">
        <v>76</v>
      </c>
      <c r="K60" s="275" t="s">
        <v>290</v>
      </c>
      <c r="L60" s="275" t="s">
        <v>610</v>
      </c>
      <c r="M60" s="79"/>
      <c r="O60" s="272">
        <v>45199</v>
      </c>
      <c r="P60" s="279">
        <v>44968</v>
      </c>
      <c r="Q60" s="272">
        <v>45842</v>
      </c>
      <c r="R60" s="79"/>
      <c r="S60" s="485"/>
      <c r="T60" s="603" t="s">
        <v>616</v>
      </c>
      <c r="U60" s="603" t="s">
        <v>617</v>
      </c>
      <c r="V60" s="382">
        <f>LEN(D60)</f>
        <v>11</v>
      </c>
      <c r="W60" s="311"/>
      <c r="X60" s="208">
        <f ca="1">INT((TODAY()-G60)/365)</f>
        <v>59</v>
      </c>
      <c r="AF60" s="311"/>
      <c r="AG60" s="311"/>
      <c r="AH60" s="311"/>
      <c r="AI60" s="311"/>
      <c r="AJ60" s="311"/>
      <c r="AK60" s="311"/>
      <c r="AL60" s="311"/>
      <c r="AM60" s="311"/>
    </row>
    <row r="61" spans="1:39" ht="15.75" customHeight="1">
      <c r="A61" s="574">
        <v>19</v>
      </c>
      <c r="B61" s="287" t="s">
        <v>64</v>
      </c>
      <c r="C61" s="344" t="s">
        <v>8</v>
      </c>
      <c r="D61" s="604">
        <v>50220052503</v>
      </c>
      <c r="E61" s="274" t="s">
        <v>618</v>
      </c>
      <c r="F61" s="574" t="s">
        <v>23</v>
      </c>
      <c r="G61" s="289">
        <v>26317</v>
      </c>
      <c r="H61" s="289">
        <v>48244</v>
      </c>
      <c r="I61" s="275">
        <v>9002071111</v>
      </c>
      <c r="J61" s="274" t="s">
        <v>78</v>
      </c>
      <c r="K61" s="391" t="s">
        <v>334</v>
      </c>
      <c r="L61" s="502" t="s">
        <v>112</v>
      </c>
      <c r="O61" s="272">
        <v>45674</v>
      </c>
      <c r="P61" s="279">
        <v>45212</v>
      </c>
      <c r="Q61" s="279">
        <v>45108</v>
      </c>
      <c r="R61" s="294"/>
      <c r="S61" s="295"/>
      <c r="T61" s="296" t="s">
        <v>619</v>
      </c>
      <c r="U61" s="296" t="s">
        <v>620</v>
      </c>
      <c r="V61" s="297">
        <f t="shared" ref="V61:V62" si="8">LEN(TEXT(D61,0))</f>
        <v>11</v>
      </c>
      <c r="W61" s="208">
        <f t="shared" ref="W61:W62" ca="1" si="9">INT((TODAY()-G61)/365)</f>
        <v>54</v>
      </c>
      <c r="X61" s="298"/>
      <c r="Y61" s="298"/>
      <c r="Z61" s="298"/>
      <c r="AA61" s="298"/>
      <c r="AB61" s="298"/>
      <c r="AC61" s="298"/>
      <c r="AD61" s="298"/>
      <c r="AE61" s="298"/>
      <c r="AF61" s="298"/>
      <c r="AG61" s="298"/>
      <c r="AH61" s="298"/>
      <c r="AI61" s="298"/>
      <c r="AJ61" s="298"/>
      <c r="AK61" s="298"/>
      <c r="AL61" s="298"/>
      <c r="AM61" s="298"/>
    </row>
    <row r="62" spans="1:39" ht="15.75" customHeight="1">
      <c r="A62" s="574">
        <v>20</v>
      </c>
      <c r="B62" s="287" t="s">
        <v>621</v>
      </c>
      <c r="C62" s="344" t="s">
        <v>9</v>
      </c>
      <c r="D62" s="284">
        <v>50205522468</v>
      </c>
      <c r="E62" s="274" t="s">
        <v>622</v>
      </c>
      <c r="F62" s="574" t="s">
        <v>23</v>
      </c>
      <c r="G62" s="289">
        <v>29179</v>
      </c>
      <c r="H62" s="289">
        <v>51104</v>
      </c>
      <c r="I62" s="275">
        <v>9002079065</v>
      </c>
      <c r="J62" s="274" t="s">
        <v>78</v>
      </c>
      <c r="K62" s="391" t="s">
        <v>334</v>
      </c>
      <c r="L62" s="275" t="s">
        <v>93</v>
      </c>
      <c r="O62" s="272">
        <v>45616</v>
      </c>
      <c r="P62" s="289">
        <v>45232</v>
      </c>
      <c r="Q62" s="272">
        <v>45989</v>
      </c>
      <c r="R62" s="294"/>
      <c r="S62" s="295"/>
      <c r="T62" s="296" t="s">
        <v>623</v>
      </c>
      <c r="U62" s="296" t="s">
        <v>623</v>
      </c>
      <c r="V62" s="297">
        <f t="shared" si="8"/>
        <v>11</v>
      </c>
      <c r="W62" s="208">
        <f t="shared" ca="1" si="9"/>
        <v>46</v>
      </c>
      <c r="X62" s="298"/>
      <c r="Y62" s="298"/>
      <c r="Z62" s="298"/>
      <c r="AA62" s="298"/>
      <c r="AB62" s="298"/>
      <c r="AC62" s="298"/>
      <c r="AD62" s="298"/>
      <c r="AE62" s="298"/>
      <c r="AF62" s="298"/>
      <c r="AG62" s="298"/>
      <c r="AH62" s="298"/>
      <c r="AI62" s="298"/>
      <c r="AJ62" s="298"/>
      <c r="AK62" s="298"/>
      <c r="AL62" s="298"/>
      <c r="AM62" s="298"/>
    </row>
    <row r="63" spans="1:39" ht="15.75" customHeight="1">
      <c r="A63" s="574">
        <v>21</v>
      </c>
      <c r="B63" s="542" t="s">
        <v>624</v>
      </c>
      <c r="C63" s="344" t="s">
        <v>9</v>
      </c>
      <c r="D63" s="605">
        <v>50205373566</v>
      </c>
      <c r="E63" s="475" t="s">
        <v>625</v>
      </c>
      <c r="F63" s="574" t="s">
        <v>23</v>
      </c>
      <c r="G63" s="289">
        <v>24725</v>
      </c>
      <c r="H63" s="289">
        <v>46660</v>
      </c>
      <c r="I63" s="274">
        <v>9002071685</v>
      </c>
      <c r="J63" s="274" t="s">
        <v>76</v>
      </c>
      <c r="K63" s="391" t="s">
        <v>334</v>
      </c>
      <c r="L63" s="284" t="s">
        <v>112</v>
      </c>
      <c r="O63" s="272">
        <v>45128</v>
      </c>
      <c r="P63" s="272">
        <v>46164</v>
      </c>
      <c r="Q63" s="272">
        <v>45760</v>
      </c>
      <c r="R63" s="79"/>
      <c r="S63" s="79"/>
      <c r="V63" s="79"/>
    </row>
    <row r="64" spans="1:39" ht="18" customHeight="1">
      <c r="A64" s="574">
        <v>22</v>
      </c>
      <c r="B64" s="287" t="s">
        <v>109</v>
      </c>
      <c r="C64" s="274" t="s">
        <v>8</v>
      </c>
      <c r="D64" s="488">
        <v>50205390837</v>
      </c>
      <c r="E64" s="303" t="s">
        <v>626</v>
      </c>
      <c r="F64" s="574" t="s">
        <v>23</v>
      </c>
      <c r="G64" s="272">
        <v>24490</v>
      </c>
      <c r="H64" s="272">
        <v>46418</v>
      </c>
      <c r="I64" s="284">
        <v>9002071742</v>
      </c>
      <c r="J64" s="303" t="s">
        <v>76</v>
      </c>
      <c r="K64" s="275" t="s">
        <v>330</v>
      </c>
      <c r="L64" s="275" t="s">
        <v>627</v>
      </c>
      <c r="M64" s="606" t="s">
        <v>628</v>
      </c>
      <c r="O64" s="272">
        <v>45121</v>
      </c>
      <c r="P64" s="278">
        <v>45608</v>
      </c>
      <c r="Q64" s="302">
        <v>45481</v>
      </c>
      <c r="R64" s="309"/>
      <c r="S64" s="309"/>
      <c r="T64" s="310" t="s">
        <v>629</v>
      </c>
      <c r="U64" s="310" t="s">
        <v>630</v>
      </c>
      <c r="V64" s="388">
        <f ca="1">INT((TODAY()-G64)/365)</f>
        <v>59</v>
      </c>
      <c r="W64" s="311"/>
      <c r="X64" s="312" t="s">
        <v>631</v>
      </c>
      <c r="Y64" s="311"/>
      <c r="Z64" s="311"/>
      <c r="AA64" s="311"/>
      <c r="AB64" s="311"/>
      <c r="AC64" s="311"/>
      <c r="AD64" s="311"/>
      <c r="AE64" s="311"/>
      <c r="AF64" s="311"/>
      <c r="AG64" s="311"/>
      <c r="AH64" s="311"/>
    </row>
    <row r="65" spans="1:39" ht="16.5">
      <c r="A65" s="574">
        <v>23</v>
      </c>
      <c r="B65" s="607" t="s">
        <v>57</v>
      </c>
      <c r="C65" s="608" t="s">
        <v>543</v>
      </c>
      <c r="D65" s="609" t="s">
        <v>632</v>
      </c>
      <c r="E65" s="609" t="s">
        <v>633</v>
      </c>
      <c r="F65" s="610" t="s">
        <v>23</v>
      </c>
      <c r="G65" s="611" t="s">
        <v>634</v>
      </c>
      <c r="H65" s="272">
        <v>46418</v>
      </c>
      <c r="I65" s="610">
        <v>9163382027</v>
      </c>
      <c r="J65" s="449" t="s">
        <v>76</v>
      </c>
      <c r="K65" s="3"/>
      <c r="L65" s="79"/>
    </row>
    <row r="66" spans="1:39" ht="16.5">
      <c r="A66" s="574">
        <v>24</v>
      </c>
      <c r="B66" s="607" t="s">
        <v>58</v>
      </c>
      <c r="C66" s="608" t="s">
        <v>543</v>
      </c>
      <c r="D66" s="609">
        <v>50204610738</v>
      </c>
      <c r="E66" s="609" t="s">
        <v>635</v>
      </c>
      <c r="F66" s="610" t="s">
        <v>23</v>
      </c>
      <c r="G66" s="612">
        <v>24473</v>
      </c>
      <c r="H66" s="578">
        <v>46387</v>
      </c>
      <c r="I66" s="610">
        <v>9163382125</v>
      </c>
      <c r="J66" s="449" t="s">
        <v>76</v>
      </c>
      <c r="K66" s="3"/>
      <c r="L66" s="79"/>
    </row>
    <row r="67" spans="1:39" ht="16.5">
      <c r="A67" s="574">
        <v>25</v>
      </c>
      <c r="B67" s="607" t="s">
        <v>59</v>
      </c>
      <c r="C67" s="608" t="s">
        <v>543</v>
      </c>
      <c r="D67" s="609">
        <v>50205825076</v>
      </c>
      <c r="E67" s="609" t="s">
        <v>636</v>
      </c>
      <c r="F67" s="610" t="s">
        <v>23</v>
      </c>
      <c r="G67" s="613">
        <v>28044</v>
      </c>
      <c r="H67" s="272">
        <v>50009</v>
      </c>
      <c r="I67" s="610">
        <v>9163382011</v>
      </c>
      <c r="J67" s="449" t="s">
        <v>76</v>
      </c>
      <c r="K67" s="3"/>
      <c r="L67" s="79"/>
    </row>
    <row r="68" spans="1:39" ht="16.5">
      <c r="A68" s="574">
        <v>26</v>
      </c>
      <c r="B68" s="614" t="s">
        <v>120</v>
      </c>
      <c r="C68" s="608" t="s">
        <v>543</v>
      </c>
      <c r="D68" s="609">
        <v>50212131866</v>
      </c>
      <c r="E68" s="609" t="s">
        <v>637</v>
      </c>
      <c r="F68" s="610" t="s">
        <v>23</v>
      </c>
      <c r="G68" s="615" t="s">
        <v>638</v>
      </c>
      <c r="H68" s="272">
        <v>48791</v>
      </c>
      <c r="I68" s="610">
        <v>9002079472</v>
      </c>
      <c r="J68" s="449" t="s">
        <v>76</v>
      </c>
      <c r="K68" s="3"/>
      <c r="L68" s="79"/>
    </row>
    <row r="69" spans="1:39" ht="16.5">
      <c r="A69" s="574">
        <v>27</v>
      </c>
      <c r="B69" s="607" t="s">
        <v>60</v>
      </c>
      <c r="C69" s="608" t="s">
        <v>543</v>
      </c>
      <c r="D69" s="609">
        <v>50205349916</v>
      </c>
      <c r="E69" s="609" t="s">
        <v>639</v>
      </c>
      <c r="F69" s="610" t="s">
        <v>23</v>
      </c>
      <c r="G69" s="612">
        <v>25571</v>
      </c>
      <c r="H69" s="272">
        <v>47542</v>
      </c>
      <c r="I69" s="610">
        <v>9002071527</v>
      </c>
      <c r="J69" s="449" t="s">
        <v>77</v>
      </c>
      <c r="K69" s="3"/>
      <c r="L69" s="79"/>
    </row>
    <row r="70" spans="1:39" ht="16.5">
      <c r="A70" s="574">
        <v>28</v>
      </c>
      <c r="B70" s="616" t="s">
        <v>640</v>
      </c>
      <c r="C70" s="449" t="s">
        <v>36</v>
      </c>
      <c r="D70" s="609">
        <v>50209362563</v>
      </c>
      <c r="E70" s="609" t="s">
        <v>641</v>
      </c>
      <c r="F70" s="610" t="s">
        <v>23</v>
      </c>
      <c r="G70" s="611" t="s">
        <v>642</v>
      </c>
      <c r="H70" s="578">
        <v>46356</v>
      </c>
      <c r="I70" s="610">
        <v>9002071447</v>
      </c>
      <c r="J70" s="449" t="s">
        <v>76</v>
      </c>
      <c r="K70" s="3"/>
      <c r="L70" s="79"/>
    </row>
    <row r="71" spans="1:39" ht="16.5">
      <c r="A71" s="574">
        <v>29</v>
      </c>
      <c r="B71" s="617" t="s">
        <v>643</v>
      </c>
      <c r="C71" s="608" t="s">
        <v>36</v>
      </c>
      <c r="D71" s="609">
        <v>50212132093</v>
      </c>
      <c r="E71" s="609" t="s">
        <v>644</v>
      </c>
      <c r="F71" s="610" t="s">
        <v>23</v>
      </c>
      <c r="G71" s="611" t="s">
        <v>645</v>
      </c>
      <c r="H71" s="272">
        <v>50313</v>
      </c>
      <c r="I71" s="618">
        <v>9002071501</v>
      </c>
      <c r="J71" s="449" t="s">
        <v>76</v>
      </c>
      <c r="K71" s="3"/>
      <c r="L71" s="79"/>
    </row>
    <row r="72" spans="1:39" ht="15.75" customHeight="1">
      <c r="A72" s="574">
        <v>30</v>
      </c>
      <c r="B72" s="293" t="s">
        <v>67</v>
      </c>
      <c r="C72" s="274" t="s">
        <v>36</v>
      </c>
      <c r="D72" s="619">
        <v>50205419049</v>
      </c>
      <c r="E72" s="303" t="s">
        <v>646</v>
      </c>
      <c r="F72" s="610" t="s">
        <v>23</v>
      </c>
      <c r="G72" s="289">
        <v>29201</v>
      </c>
      <c r="H72" s="272">
        <v>51135</v>
      </c>
      <c r="I72" s="275">
        <v>9002079094</v>
      </c>
      <c r="J72" s="274" t="s">
        <v>76</v>
      </c>
      <c r="K72" s="275" t="s">
        <v>261</v>
      </c>
      <c r="L72" s="398" t="s">
        <v>56</v>
      </c>
      <c r="M72" s="289">
        <v>29201</v>
      </c>
      <c r="N72" s="289">
        <v>51135</v>
      </c>
      <c r="O72" s="272">
        <v>45638</v>
      </c>
      <c r="P72" s="315">
        <v>45222</v>
      </c>
      <c r="Q72" s="272">
        <v>45200</v>
      </c>
      <c r="R72" s="294"/>
      <c r="S72" s="295"/>
      <c r="T72" s="296" t="s">
        <v>647</v>
      </c>
      <c r="U72" s="296" t="s">
        <v>648</v>
      </c>
      <c r="V72" s="297">
        <f>LEN(TEXT(D72,0))</f>
        <v>11</v>
      </c>
      <c r="W72" s="208">
        <f ca="1">INT((TODAY()-M72)/365)</f>
        <v>46</v>
      </c>
      <c r="X72" s="298"/>
      <c r="Y72" s="298"/>
      <c r="Z72" s="298"/>
      <c r="AA72" s="298"/>
      <c r="AB72" s="298"/>
      <c r="AC72" s="298"/>
      <c r="AD72" s="298"/>
      <c r="AE72" s="298"/>
      <c r="AF72" s="298"/>
      <c r="AG72" s="298"/>
      <c r="AH72" s="298"/>
      <c r="AI72" s="298"/>
      <c r="AJ72" s="298"/>
      <c r="AK72" s="298"/>
      <c r="AL72" s="298"/>
      <c r="AM72" s="298"/>
    </row>
    <row r="73" spans="1:39" ht="15.75" customHeight="1">
      <c r="A73" s="574">
        <v>31</v>
      </c>
      <c r="B73" s="286" t="s">
        <v>649</v>
      </c>
      <c r="C73" s="18" t="s">
        <v>543</v>
      </c>
      <c r="D73" s="18">
        <v>27309384030</v>
      </c>
      <c r="E73" s="620" t="s">
        <v>650</v>
      </c>
      <c r="F73" s="610" t="s">
        <v>23</v>
      </c>
      <c r="G73" s="440">
        <v>24510</v>
      </c>
      <c r="H73" s="272">
        <v>46446</v>
      </c>
      <c r="I73" s="18">
        <v>9002071753</v>
      </c>
      <c r="J73" s="18" t="s">
        <v>76</v>
      </c>
      <c r="K73" s="274" t="s">
        <v>253</v>
      </c>
      <c r="L73" s="274" t="s">
        <v>306</v>
      </c>
      <c r="M73" s="440">
        <v>24510</v>
      </c>
      <c r="N73" s="440">
        <v>46446</v>
      </c>
      <c r="O73" s="440">
        <v>45324</v>
      </c>
      <c r="P73" s="418">
        <v>45388</v>
      </c>
      <c r="Q73" s="440">
        <v>45450</v>
      </c>
      <c r="R73" s="79"/>
      <c r="S73" s="79"/>
      <c r="T73" s="281" t="s">
        <v>651</v>
      </c>
      <c r="U73" s="79"/>
      <c r="V73" s="285"/>
      <c r="W73" s="79"/>
      <c r="X73" s="79"/>
      <c r="Y73" s="79"/>
      <c r="AB73" s="311">
        <f ca="1">INT((TODAY()-M73)/365)</f>
        <v>59</v>
      </c>
    </row>
    <row r="74" spans="1:39" ht="15.75" customHeight="1">
      <c r="A74" s="574">
        <v>32</v>
      </c>
      <c r="B74" s="286" t="s">
        <v>652</v>
      </c>
      <c r="C74" s="274" t="s">
        <v>36</v>
      </c>
      <c r="D74" s="621" t="s">
        <v>653</v>
      </c>
      <c r="E74" s="620" t="s">
        <v>654</v>
      </c>
      <c r="F74" s="610" t="s">
        <v>23</v>
      </c>
      <c r="G74" s="476">
        <v>27039</v>
      </c>
      <c r="H74" s="476">
        <v>48975</v>
      </c>
      <c r="I74" s="18">
        <v>9241812079</v>
      </c>
      <c r="J74" s="3"/>
      <c r="K74" s="274" t="s">
        <v>253</v>
      </c>
      <c r="L74" s="39" t="s">
        <v>351</v>
      </c>
      <c r="O74" s="622"/>
      <c r="P74" s="622"/>
      <c r="Q74" s="623"/>
      <c r="R74" s="280"/>
      <c r="S74" s="280"/>
      <c r="T74" s="281" t="s">
        <v>655</v>
      </c>
      <c r="U74" s="280"/>
      <c r="V74" s="280"/>
      <c r="W74" s="3"/>
      <c r="X74" s="3"/>
      <c r="Y74" s="3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</row>
    <row r="75" spans="1:39" ht="15.75">
      <c r="A75" s="574">
        <v>33</v>
      </c>
      <c r="B75" s="351" t="s">
        <v>656</v>
      </c>
      <c r="C75" s="284" t="s">
        <v>543</v>
      </c>
      <c r="D75" s="564" t="s">
        <v>657</v>
      </c>
      <c r="E75" s="582" t="s">
        <v>658</v>
      </c>
      <c r="F75" s="610" t="s">
        <v>23</v>
      </c>
      <c r="G75" s="390">
        <v>26847</v>
      </c>
      <c r="H75" s="289">
        <f>IF(ISBLANK(G75),"", DATE(YEAR(G75)+60,MONTH(G75),DAY(EOMONTH(G75,0))))</f>
        <v>48791</v>
      </c>
      <c r="I75" s="391">
        <v>9002079044</v>
      </c>
      <c r="J75" s="624"/>
      <c r="K75" s="307" t="s">
        <v>253</v>
      </c>
      <c r="L75" s="274" t="s">
        <v>299</v>
      </c>
      <c r="O75" s="392">
        <v>45277</v>
      </c>
      <c r="P75" s="272">
        <v>46095</v>
      </c>
      <c r="Q75" s="272">
        <v>45537</v>
      </c>
      <c r="R75" s="79"/>
      <c r="S75" s="393"/>
      <c r="T75" s="394" t="s">
        <v>659</v>
      </c>
      <c r="U75" s="394" t="s">
        <v>659</v>
      </c>
      <c r="V75" s="383">
        <f>LEN(TEXT(D75,0))</f>
        <v>11</v>
      </c>
      <c r="W75" s="583">
        <v>44119</v>
      </c>
      <c r="X75" s="79"/>
      <c r="Y75" s="395"/>
      <c r="Z75" s="286" t="s">
        <v>84</v>
      </c>
      <c r="AA75" s="625" t="s">
        <v>660</v>
      </c>
      <c r="AB75" s="208">
        <f ca="1">INT((TODAY()-G75)/365)</f>
        <v>52</v>
      </c>
      <c r="AC75" s="384"/>
      <c r="AD75" s="384"/>
      <c r="AE75" s="384"/>
      <c r="AF75" s="384"/>
      <c r="AG75" s="384"/>
      <c r="AH75" s="384"/>
      <c r="AI75" s="384"/>
      <c r="AJ75" s="384"/>
      <c r="AK75" s="384"/>
      <c r="AL75" s="384"/>
      <c r="AM75" s="384"/>
    </row>
    <row r="76" spans="1:39" ht="15.75" customHeight="1">
      <c r="A76" s="574">
        <v>34</v>
      </c>
      <c r="B76" s="626" t="s">
        <v>661</v>
      </c>
      <c r="C76" s="274" t="s">
        <v>543</v>
      </c>
      <c r="D76" s="627" t="s">
        <v>662</v>
      </c>
      <c r="E76" s="527" t="s">
        <v>663</v>
      </c>
      <c r="F76" s="610" t="s">
        <v>23</v>
      </c>
      <c r="G76" s="628">
        <v>28672</v>
      </c>
      <c r="H76" s="629">
        <v>50586</v>
      </c>
      <c r="I76" s="137">
        <v>9230881675</v>
      </c>
      <c r="J76" s="630"/>
      <c r="K76" s="275" t="s">
        <v>261</v>
      </c>
      <c r="L76" s="631" t="s">
        <v>664</v>
      </c>
      <c r="O76" s="632"/>
      <c r="P76" s="632"/>
      <c r="Q76" s="632"/>
      <c r="R76" s="633"/>
      <c r="S76" s="634"/>
      <c r="T76" s="634"/>
      <c r="U76" s="635" t="s">
        <v>665</v>
      </c>
      <c r="V76" s="633"/>
      <c r="W76" s="199"/>
      <c r="X76" s="199"/>
      <c r="Y76" s="199"/>
      <c r="Z76" s="199"/>
      <c r="AA76" s="199"/>
      <c r="AB76" s="199"/>
      <c r="AC76" s="199"/>
      <c r="AD76" s="199"/>
      <c r="AE76" s="199"/>
      <c r="AF76" s="199"/>
      <c r="AG76" s="199"/>
      <c r="AH76" s="199"/>
      <c r="AI76" s="199"/>
      <c r="AJ76" s="199"/>
      <c r="AK76" s="199"/>
      <c r="AL76" s="199"/>
      <c r="AM76" s="199"/>
    </row>
    <row r="77" spans="1:39" ht="15.75" customHeight="1">
      <c r="A77" s="574">
        <v>35</v>
      </c>
      <c r="B77" s="286" t="s">
        <v>666</v>
      </c>
      <c r="C77" s="18" t="s">
        <v>36</v>
      </c>
      <c r="D77" s="636" t="s">
        <v>667</v>
      </c>
      <c r="E77" s="475" t="s">
        <v>668</v>
      </c>
      <c r="F77" s="610" t="s">
        <v>23</v>
      </c>
      <c r="G77" s="476">
        <v>24583</v>
      </c>
      <c r="H77" s="476">
        <v>46507</v>
      </c>
      <c r="I77" s="637">
        <v>9002071256</v>
      </c>
      <c r="J77" s="18"/>
      <c r="K77" s="307" t="s">
        <v>253</v>
      </c>
      <c r="L77" s="18" t="s">
        <v>64</v>
      </c>
      <c r="O77" s="79"/>
      <c r="P77" s="79"/>
      <c r="Q77" s="79"/>
      <c r="R77" s="79"/>
      <c r="S77" s="79"/>
      <c r="T77" s="79"/>
      <c r="U77" s="638" t="s">
        <v>669</v>
      </c>
      <c r="V77" s="639"/>
    </row>
    <row r="78" spans="1:39" ht="15.75" customHeight="1">
      <c r="A78" s="574">
        <v>36</v>
      </c>
      <c r="B78" s="287" t="s">
        <v>670</v>
      </c>
      <c r="C78" s="274" t="s">
        <v>543</v>
      </c>
      <c r="D78" s="604">
        <v>50205419074</v>
      </c>
      <c r="E78" s="303" t="s">
        <v>671</v>
      </c>
      <c r="F78" s="610" t="s">
        <v>23</v>
      </c>
      <c r="G78" s="289">
        <v>28552</v>
      </c>
      <c r="H78" s="289">
        <v>50495</v>
      </c>
      <c r="I78" s="301">
        <v>9002079085</v>
      </c>
      <c r="J78" s="303" t="s">
        <v>76</v>
      </c>
      <c r="K78" s="275" t="s">
        <v>261</v>
      </c>
      <c r="L78" s="275" t="s">
        <v>627</v>
      </c>
      <c r="O78" s="272">
        <v>45527</v>
      </c>
      <c r="P78" s="289"/>
      <c r="Q78" s="272">
        <v>45258</v>
      </c>
      <c r="R78" s="294"/>
      <c r="S78" s="295"/>
      <c r="T78" s="296" t="s">
        <v>672</v>
      </c>
      <c r="U78" s="296" t="s">
        <v>673</v>
      </c>
      <c r="V78" s="297">
        <f>LEN(TEXT(D78,0))</f>
        <v>11</v>
      </c>
      <c r="W78" s="208">
        <f ca="1">INT((TODAY()-G78)/365)</f>
        <v>48</v>
      </c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  <c r="AH78" s="298"/>
      <c r="AI78" s="298"/>
      <c r="AJ78" s="298"/>
      <c r="AK78" s="298"/>
      <c r="AL78" s="298"/>
      <c r="AM78" s="298"/>
    </row>
    <row r="79" spans="1:39" ht="16.5">
      <c r="A79" s="90"/>
      <c r="B79" s="640"/>
      <c r="C79" s="90"/>
      <c r="F79" s="90"/>
      <c r="H79" s="641"/>
      <c r="J79" s="90"/>
      <c r="K79" s="90"/>
    </row>
    <row r="80" spans="1:39" ht="16.5">
      <c r="A80" s="90"/>
      <c r="B80" s="642"/>
      <c r="C80" s="480"/>
      <c r="F80" s="90"/>
      <c r="G80" s="643"/>
      <c r="H80" s="641"/>
      <c r="J80" s="90"/>
      <c r="K80" s="90"/>
    </row>
    <row r="81" spans="1:11" ht="16.5">
      <c r="A81" s="90"/>
      <c r="B81" s="642"/>
      <c r="C81" s="480"/>
      <c r="F81" s="90"/>
      <c r="G81" s="643"/>
      <c r="H81" s="641"/>
      <c r="I81" s="643"/>
      <c r="J81" s="90"/>
      <c r="K81" s="90"/>
    </row>
    <row r="82" spans="1:11" ht="16.5">
      <c r="A82" s="90"/>
      <c r="B82" s="642"/>
      <c r="C82" s="480"/>
      <c r="F82" s="90"/>
      <c r="G82" s="643"/>
      <c r="H82" s="641"/>
      <c r="I82" s="643"/>
      <c r="J82" s="90"/>
      <c r="K82" s="90"/>
    </row>
    <row r="83" spans="1:11">
      <c r="A83" s="90"/>
      <c r="B83" s="644"/>
      <c r="C83" s="645"/>
      <c r="F83" s="90"/>
      <c r="G83" s="643"/>
      <c r="H83" s="481"/>
      <c r="I83" s="643"/>
      <c r="J83" s="90"/>
      <c r="K83" s="90"/>
    </row>
    <row r="84" spans="1:11">
      <c r="A84" s="90"/>
      <c r="B84" s="646"/>
      <c r="C84" s="645"/>
      <c r="F84" s="90"/>
      <c r="G84" s="643"/>
      <c r="H84" s="647"/>
      <c r="I84" s="643"/>
      <c r="J84" s="90"/>
      <c r="K84" s="90"/>
    </row>
    <row r="85" spans="1:11">
      <c r="A85" s="90"/>
      <c r="B85" s="648"/>
      <c r="C85" s="645"/>
      <c r="D85" s="90"/>
      <c r="E85" s="90"/>
      <c r="F85" s="90"/>
      <c r="G85" s="643"/>
      <c r="H85" s="643"/>
      <c r="I85" s="90"/>
      <c r="J85" s="90"/>
      <c r="K85" s="90"/>
    </row>
    <row r="86" spans="1:11">
      <c r="A86" s="90"/>
      <c r="B86" s="642"/>
      <c r="C86" s="480"/>
      <c r="D86" s="90"/>
      <c r="E86" s="90"/>
      <c r="F86" s="90"/>
      <c r="G86" s="643"/>
      <c r="H86" s="643"/>
      <c r="I86" s="90"/>
      <c r="J86" s="90"/>
      <c r="K86" s="90"/>
    </row>
    <row r="87" spans="1:11">
      <c r="A87" s="90"/>
      <c r="B87" s="642"/>
      <c r="C87" s="480"/>
      <c r="D87" s="90"/>
      <c r="E87" s="90"/>
      <c r="F87" s="90"/>
      <c r="G87" s="643"/>
      <c r="H87" s="643"/>
      <c r="I87" s="90"/>
      <c r="J87" s="90"/>
      <c r="K87" s="90"/>
    </row>
    <row r="88" spans="1:11">
      <c r="A88" s="90"/>
      <c r="B88" s="642"/>
      <c r="C88" s="480"/>
      <c r="D88" s="90"/>
      <c r="E88" s="90"/>
      <c r="F88" s="90"/>
      <c r="G88" s="643"/>
      <c r="H88" s="643"/>
      <c r="I88" s="90"/>
      <c r="J88" s="90"/>
      <c r="K88" s="90"/>
    </row>
    <row r="89" spans="1:11">
      <c r="A89" s="90"/>
      <c r="C89" s="421"/>
      <c r="D89" s="90"/>
      <c r="E89" s="90"/>
      <c r="F89" s="90"/>
      <c r="G89" s="643"/>
      <c r="H89" s="643"/>
      <c r="I89" s="90"/>
      <c r="J89" s="90"/>
      <c r="K89" s="90"/>
    </row>
    <row r="90" spans="1:11">
      <c r="A90" s="90"/>
      <c r="B90" s="649"/>
      <c r="C90" s="650"/>
      <c r="D90" s="90"/>
      <c r="E90" s="90"/>
      <c r="F90" s="90"/>
      <c r="G90" s="643"/>
      <c r="H90" s="643"/>
      <c r="I90" s="90"/>
      <c r="J90" s="90"/>
      <c r="K90" s="90"/>
    </row>
    <row r="91" spans="1:11">
      <c r="A91" s="90"/>
      <c r="C91" s="90"/>
      <c r="D91" s="90"/>
      <c r="E91" s="90"/>
      <c r="F91" s="90"/>
      <c r="G91" s="643"/>
      <c r="H91" s="643"/>
      <c r="I91" s="90"/>
      <c r="J91" s="90"/>
      <c r="K91" s="90"/>
    </row>
    <row r="92" spans="1:11">
      <c r="A92" s="90"/>
      <c r="C92" s="90"/>
      <c r="D92" s="90"/>
      <c r="E92" s="90"/>
      <c r="F92" s="90"/>
      <c r="G92" s="643"/>
      <c r="H92" s="643"/>
      <c r="I92" s="90"/>
      <c r="J92" s="90"/>
      <c r="K92" s="90"/>
    </row>
    <row r="93" spans="1:11">
      <c r="A93" s="90"/>
      <c r="C93" s="90"/>
      <c r="D93" s="90"/>
      <c r="E93" s="90"/>
      <c r="F93" s="90"/>
      <c r="G93" s="643"/>
      <c r="H93" s="643"/>
      <c r="I93" s="90"/>
      <c r="J93" s="90"/>
      <c r="K93" s="90"/>
    </row>
    <row r="94" spans="1:11">
      <c r="A94" s="90"/>
      <c r="C94" s="90"/>
      <c r="D94" s="90"/>
      <c r="E94" s="90"/>
      <c r="F94" s="90"/>
      <c r="G94" s="643"/>
      <c r="H94" s="643"/>
      <c r="I94" s="90"/>
      <c r="J94" s="90"/>
      <c r="K94" s="90"/>
    </row>
    <row r="95" spans="1:11">
      <c r="A95" s="90"/>
      <c r="C95" s="90"/>
      <c r="D95" s="90"/>
      <c r="E95" s="90"/>
      <c r="F95" s="90"/>
      <c r="G95" s="643"/>
      <c r="H95" s="643"/>
      <c r="I95" s="90"/>
      <c r="J95" s="90"/>
      <c r="K95" s="90"/>
    </row>
    <row r="96" spans="1:11">
      <c r="A96" s="90"/>
      <c r="C96" s="90"/>
      <c r="D96" s="90"/>
      <c r="E96" s="90"/>
      <c r="F96" s="90"/>
      <c r="G96" s="643"/>
      <c r="H96" s="643"/>
      <c r="I96" s="90"/>
      <c r="J96" s="90"/>
      <c r="K96" s="90"/>
    </row>
    <row r="97" spans="1:11">
      <c r="A97" s="90"/>
      <c r="C97" s="90"/>
      <c r="D97" s="90"/>
      <c r="E97" s="90"/>
      <c r="F97" s="90"/>
      <c r="G97" s="643"/>
      <c r="H97" s="643"/>
      <c r="I97" s="90"/>
      <c r="J97" s="90"/>
      <c r="K97" s="90"/>
    </row>
    <row r="98" spans="1:11">
      <c r="A98" s="90"/>
      <c r="C98" s="90"/>
      <c r="D98" s="90"/>
      <c r="E98" s="90"/>
      <c r="F98" s="90"/>
      <c r="G98" s="643"/>
      <c r="H98" s="643"/>
      <c r="I98" s="90"/>
      <c r="J98" s="90"/>
      <c r="K98" s="90"/>
    </row>
    <row r="99" spans="1:11">
      <c r="A99" s="90"/>
      <c r="C99" s="90"/>
      <c r="D99" s="90"/>
      <c r="E99" s="90"/>
      <c r="F99" s="90"/>
      <c r="G99" s="643"/>
      <c r="H99" s="643"/>
      <c r="I99" s="90"/>
      <c r="J99" s="90"/>
      <c r="K99" s="90"/>
    </row>
    <row r="100" spans="1:11">
      <c r="A100" s="90"/>
      <c r="C100" s="90"/>
      <c r="D100" s="90"/>
      <c r="E100" s="90"/>
      <c r="F100" s="90"/>
      <c r="G100" s="643"/>
      <c r="H100" s="643"/>
      <c r="I100" s="90"/>
      <c r="J100" s="90"/>
      <c r="K100" s="90"/>
    </row>
    <row r="101" spans="1:11">
      <c r="A101" s="90"/>
      <c r="C101" s="90"/>
      <c r="D101" s="90"/>
      <c r="E101" s="90"/>
      <c r="F101" s="90"/>
      <c r="G101" s="643"/>
      <c r="H101" s="643"/>
      <c r="I101" s="90"/>
      <c r="J101" s="90"/>
      <c r="K101" s="90"/>
    </row>
    <row r="102" spans="1:11">
      <c r="A102" s="90"/>
      <c r="C102" s="90"/>
      <c r="D102" s="90"/>
      <c r="E102" s="90"/>
      <c r="F102" s="90"/>
      <c r="G102" s="643"/>
      <c r="H102" s="643"/>
      <c r="I102" s="90"/>
      <c r="J102" s="90"/>
      <c r="K102" s="90"/>
    </row>
    <row r="103" spans="1:11">
      <c r="A103" s="90"/>
      <c r="C103" s="90"/>
      <c r="D103" s="90"/>
      <c r="E103" s="90"/>
      <c r="F103" s="90"/>
      <c r="G103" s="643"/>
      <c r="H103" s="643"/>
      <c r="I103" s="90"/>
      <c r="J103" s="90"/>
      <c r="K103" s="90"/>
    </row>
    <row r="104" spans="1:11">
      <c r="A104" s="90"/>
      <c r="C104" s="90"/>
      <c r="D104" s="90"/>
      <c r="E104" s="90"/>
      <c r="F104" s="90"/>
      <c r="G104" s="643"/>
      <c r="H104" s="643"/>
      <c r="I104" s="90"/>
      <c r="J104" s="90"/>
      <c r="K104" s="90"/>
    </row>
    <row r="105" spans="1:11">
      <c r="A105" s="90"/>
      <c r="C105" s="90"/>
      <c r="D105" s="90"/>
      <c r="E105" s="90"/>
      <c r="F105" s="90"/>
      <c r="G105" s="643"/>
      <c r="H105" s="643"/>
      <c r="I105" s="90"/>
      <c r="J105" s="90"/>
      <c r="K105" s="90"/>
    </row>
    <row r="106" spans="1:11">
      <c r="A106" s="90"/>
      <c r="C106" s="90"/>
      <c r="D106" s="90"/>
      <c r="E106" s="90"/>
      <c r="F106" s="90"/>
      <c r="G106" s="643"/>
      <c r="H106" s="643"/>
      <c r="I106" s="90"/>
      <c r="J106" s="90"/>
      <c r="K106" s="90"/>
    </row>
    <row r="107" spans="1:11">
      <c r="A107" s="90"/>
      <c r="C107" s="90"/>
      <c r="D107" s="90"/>
      <c r="E107" s="90"/>
      <c r="F107" s="90"/>
      <c r="G107" s="643"/>
      <c r="H107" s="643"/>
      <c r="I107" s="90"/>
      <c r="J107" s="90"/>
      <c r="K107" s="90"/>
    </row>
    <row r="108" spans="1:11">
      <c r="A108" s="90"/>
      <c r="C108" s="90"/>
      <c r="D108" s="90"/>
      <c r="E108" s="90"/>
      <c r="F108" s="90"/>
      <c r="G108" s="643"/>
      <c r="H108" s="643"/>
      <c r="I108" s="90"/>
      <c r="J108" s="90"/>
      <c r="K108" s="90"/>
    </row>
    <row r="109" spans="1:11">
      <c r="A109" s="90"/>
      <c r="C109" s="90"/>
      <c r="D109" s="90"/>
      <c r="E109" s="90"/>
      <c r="F109" s="90"/>
      <c r="G109" s="643"/>
      <c r="H109" s="643"/>
      <c r="I109" s="90"/>
      <c r="J109" s="90"/>
      <c r="K109" s="90"/>
    </row>
    <row r="110" spans="1:11">
      <c r="A110" s="90"/>
      <c r="C110" s="90"/>
      <c r="D110" s="90"/>
      <c r="E110" s="90"/>
      <c r="F110" s="90"/>
      <c r="G110" s="643"/>
      <c r="H110" s="643"/>
      <c r="I110" s="90"/>
      <c r="J110" s="90"/>
      <c r="K110" s="90"/>
    </row>
    <row r="111" spans="1:11">
      <c r="A111" s="90"/>
      <c r="C111" s="90"/>
      <c r="D111" s="90"/>
      <c r="E111" s="90"/>
      <c r="F111" s="90"/>
      <c r="G111" s="643"/>
      <c r="H111" s="643"/>
      <c r="I111" s="90"/>
      <c r="J111" s="90"/>
      <c r="K111" s="90"/>
    </row>
    <row r="112" spans="1:11">
      <c r="A112" s="90"/>
      <c r="C112" s="90"/>
      <c r="D112" s="90"/>
      <c r="E112" s="90"/>
      <c r="F112" s="90"/>
      <c r="G112" s="643"/>
      <c r="H112" s="643"/>
      <c r="I112" s="90"/>
      <c r="J112" s="90"/>
      <c r="K112" s="90"/>
    </row>
    <row r="113" spans="1:11">
      <c r="A113" s="90"/>
      <c r="C113" s="90"/>
      <c r="D113" s="90"/>
      <c r="E113" s="90"/>
      <c r="F113" s="90"/>
      <c r="G113" s="643"/>
      <c r="H113" s="643"/>
      <c r="I113" s="90"/>
      <c r="J113" s="90"/>
      <c r="K113" s="90"/>
    </row>
    <row r="114" spans="1:11">
      <c r="A114" s="90"/>
      <c r="C114" s="90"/>
      <c r="D114" s="90"/>
      <c r="E114" s="90"/>
      <c r="F114" s="90"/>
      <c r="G114" s="643"/>
      <c r="H114" s="643"/>
      <c r="I114" s="90"/>
      <c r="J114" s="90"/>
      <c r="K114" s="90"/>
    </row>
    <row r="115" spans="1:11">
      <c r="A115" s="90"/>
      <c r="C115" s="90"/>
      <c r="D115" s="90"/>
      <c r="E115" s="90"/>
      <c r="F115" s="90"/>
      <c r="G115" s="643"/>
      <c r="H115" s="643"/>
      <c r="I115" s="90"/>
      <c r="J115" s="90"/>
      <c r="K115" s="90"/>
    </row>
    <row r="116" spans="1:11">
      <c r="A116" s="90"/>
      <c r="C116" s="90"/>
      <c r="D116" s="90"/>
      <c r="E116" s="90"/>
      <c r="F116" s="90"/>
      <c r="G116" s="643"/>
      <c r="H116" s="643"/>
      <c r="I116" s="90"/>
      <c r="J116" s="90"/>
      <c r="K116" s="90"/>
    </row>
    <row r="117" spans="1:11">
      <c r="A117" s="90"/>
      <c r="C117" s="90"/>
      <c r="D117" s="90"/>
      <c r="E117" s="90"/>
      <c r="F117" s="90"/>
      <c r="G117" s="643"/>
      <c r="H117" s="643"/>
      <c r="I117" s="90"/>
      <c r="J117" s="90"/>
      <c r="K117" s="90"/>
    </row>
    <row r="118" spans="1:11">
      <c r="A118" s="90"/>
      <c r="C118" s="90"/>
      <c r="D118" s="90"/>
      <c r="E118" s="90"/>
      <c r="F118" s="90"/>
      <c r="G118" s="643"/>
      <c r="H118" s="643"/>
      <c r="I118" s="90"/>
      <c r="J118" s="90"/>
      <c r="K118" s="90"/>
    </row>
    <row r="119" spans="1:11">
      <c r="A119" s="90"/>
      <c r="C119" s="90"/>
      <c r="D119" s="90"/>
      <c r="E119" s="90"/>
      <c r="F119" s="90"/>
      <c r="G119" s="643"/>
      <c r="H119" s="643"/>
      <c r="I119" s="90"/>
      <c r="J119" s="90"/>
      <c r="K119" s="90"/>
    </row>
    <row r="120" spans="1:11">
      <c r="A120" s="90"/>
      <c r="C120" s="90"/>
      <c r="D120" s="90"/>
      <c r="E120" s="90"/>
      <c r="F120" s="90"/>
      <c r="G120" s="643"/>
      <c r="H120" s="643"/>
      <c r="I120" s="90"/>
      <c r="J120" s="90"/>
      <c r="K120" s="90"/>
    </row>
    <row r="121" spans="1:11">
      <c r="A121" s="90"/>
      <c r="C121" s="90"/>
      <c r="D121" s="90"/>
      <c r="E121" s="90"/>
      <c r="F121" s="90"/>
      <c r="G121" s="643"/>
      <c r="H121" s="643"/>
      <c r="I121" s="90"/>
      <c r="J121" s="90"/>
      <c r="K121" s="90"/>
    </row>
    <row r="122" spans="1:11">
      <c r="A122" s="90"/>
      <c r="C122" s="90"/>
      <c r="D122" s="90"/>
      <c r="E122" s="90"/>
      <c r="F122" s="90"/>
      <c r="G122" s="643"/>
      <c r="H122" s="643"/>
      <c r="I122" s="90"/>
      <c r="J122" s="90"/>
      <c r="K122" s="90"/>
    </row>
    <row r="123" spans="1:11">
      <c r="A123" s="90"/>
      <c r="C123" s="90"/>
      <c r="D123" s="90"/>
      <c r="E123" s="90"/>
      <c r="F123" s="90"/>
      <c r="G123" s="643"/>
      <c r="H123" s="643"/>
      <c r="I123" s="90"/>
      <c r="J123" s="90"/>
      <c r="K123" s="90"/>
    </row>
    <row r="124" spans="1:11">
      <c r="A124" s="90"/>
      <c r="C124" s="90"/>
      <c r="D124" s="90"/>
      <c r="E124" s="90"/>
      <c r="F124" s="90"/>
      <c r="G124" s="643"/>
      <c r="H124" s="643"/>
      <c r="I124" s="90"/>
      <c r="J124" s="90"/>
      <c r="K124" s="90"/>
    </row>
    <row r="125" spans="1:11">
      <c r="A125" s="90"/>
      <c r="C125" s="90"/>
      <c r="D125" s="90"/>
      <c r="E125" s="90"/>
      <c r="F125" s="90"/>
      <c r="G125" s="643"/>
      <c r="H125" s="643"/>
      <c r="I125" s="90"/>
      <c r="J125" s="90"/>
      <c r="K125" s="90"/>
    </row>
    <row r="126" spans="1:11">
      <c r="A126" s="90"/>
      <c r="C126" s="90"/>
      <c r="D126" s="90"/>
      <c r="E126" s="90"/>
      <c r="F126" s="90"/>
      <c r="G126" s="643"/>
      <c r="H126" s="643"/>
      <c r="I126" s="90"/>
      <c r="J126" s="90"/>
      <c r="K126" s="90"/>
    </row>
    <row r="127" spans="1:11">
      <c r="A127" s="90"/>
      <c r="C127" s="90"/>
      <c r="D127" s="90"/>
      <c r="E127" s="90"/>
      <c r="F127" s="90"/>
      <c r="G127" s="643"/>
      <c r="H127" s="643"/>
      <c r="I127" s="90"/>
      <c r="J127" s="90"/>
      <c r="K127" s="90"/>
    </row>
    <row r="128" spans="1:11">
      <c r="A128" s="90"/>
      <c r="C128" s="90"/>
      <c r="D128" s="90"/>
      <c r="E128" s="90"/>
      <c r="F128" s="90"/>
      <c r="G128" s="643"/>
      <c r="H128" s="643"/>
      <c r="I128" s="90"/>
      <c r="J128" s="90"/>
      <c r="K128" s="90"/>
    </row>
    <row r="129" spans="1:11">
      <c r="A129" s="90"/>
      <c r="C129" s="90"/>
      <c r="D129" s="90"/>
      <c r="E129" s="90"/>
      <c r="F129" s="90"/>
      <c r="G129" s="643"/>
      <c r="H129" s="643"/>
      <c r="I129" s="90"/>
      <c r="J129" s="90"/>
      <c r="K129" s="90"/>
    </row>
    <row r="130" spans="1:11">
      <c r="A130" s="90"/>
      <c r="C130" s="90"/>
      <c r="D130" s="90"/>
      <c r="E130" s="90"/>
      <c r="F130" s="90"/>
      <c r="G130" s="643"/>
      <c r="H130" s="643"/>
      <c r="I130" s="90"/>
      <c r="J130" s="90"/>
      <c r="K130" s="90"/>
    </row>
    <row r="131" spans="1:11">
      <c r="A131" s="90"/>
      <c r="C131" s="90"/>
      <c r="D131" s="90"/>
      <c r="E131" s="90"/>
      <c r="F131" s="90"/>
      <c r="G131" s="643"/>
      <c r="H131" s="643"/>
      <c r="I131" s="90"/>
      <c r="J131" s="90"/>
      <c r="K131" s="90"/>
    </row>
    <row r="132" spans="1:11">
      <c r="A132" s="90"/>
      <c r="C132" s="90"/>
      <c r="D132" s="90"/>
      <c r="E132" s="90"/>
      <c r="F132" s="90"/>
      <c r="G132" s="643"/>
      <c r="H132" s="643"/>
      <c r="I132" s="90"/>
      <c r="J132" s="90"/>
      <c r="K132" s="90"/>
    </row>
    <row r="133" spans="1:11">
      <c r="A133" s="90"/>
      <c r="C133" s="90"/>
      <c r="D133" s="90"/>
      <c r="E133" s="90"/>
      <c r="F133" s="90"/>
      <c r="G133" s="643"/>
      <c r="H133" s="643"/>
      <c r="I133" s="90"/>
      <c r="J133" s="90"/>
      <c r="K133" s="90"/>
    </row>
    <row r="134" spans="1:11">
      <c r="A134" s="90"/>
      <c r="C134" s="90"/>
      <c r="D134" s="90"/>
      <c r="E134" s="90"/>
      <c r="F134" s="90"/>
      <c r="G134" s="643"/>
      <c r="H134" s="643"/>
      <c r="I134" s="90"/>
      <c r="J134" s="90"/>
      <c r="K134" s="90"/>
    </row>
    <row r="135" spans="1:11">
      <c r="A135" s="90"/>
      <c r="C135" s="90"/>
      <c r="D135" s="90"/>
      <c r="E135" s="90"/>
      <c r="F135" s="90"/>
      <c r="G135" s="643"/>
      <c r="H135" s="643"/>
      <c r="I135" s="90"/>
      <c r="J135" s="90"/>
      <c r="K135" s="90"/>
    </row>
    <row r="136" spans="1:11">
      <c r="A136" s="90"/>
      <c r="C136" s="90"/>
      <c r="D136" s="90"/>
      <c r="E136" s="90"/>
      <c r="F136" s="90"/>
      <c r="G136" s="643"/>
      <c r="H136" s="643"/>
      <c r="I136" s="90"/>
      <c r="J136" s="90"/>
      <c r="K136" s="90"/>
    </row>
    <row r="137" spans="1:11">
      <c r="A137" s="90"/>
      <c r="C137" s="90"/>
      <c r="D137" s="90"/>
      <c r="E137" s="90"/>
      <c r="F137" s="90"/>
      <c r="G137" s="643"/>
      <c r="H137" s="643"/>
      <c r="I137" s="90"/>
      <c r="J137" s="90"/>
      <c r="K137" s="90"/>
    </row>
    <row r="138" spans="1:11">
      <c r="A138" s="90"/>
      <c r="C138" s="90"/>
      <c r="D138" s="90"/>
      <c r="E138" s="90"/>
      <c r="F138" s="90"/>
      <c r="G138" s="643"/>
      <c r="H138" s="643"/>
      <c r="I138" s="90"/>
      <c r="J138" s="90"/>
      <c r="K138" s="90"/>
    </row>
    <row r="139" spans="1:11">
      <c r="A139" s="90"/>
      <c r="C139" s="90"/>
      <c r="D139" s="90"/>
      <c r="E139" s="90"/>
      <c r="F139" s="90"/>
      <c r="G139" s="643"/>
      <c r="H139" s="643"/>
      <c r="I139" s="90"/>
      <c r="J139" s="90"/>
      <c r="K139" s="90"/>
    </row>
    <row r="140" spans="1:11">
      <c r="A140" s="90"/>
      <c r="C140" s="90"/>
      <c r="D140" s="90"/>
      <c r="E140" s="90"/>
      <c r="F140" s="90"/>
      <c r="G140" s="643"/>
      <c r="H140" s="643"/>
      <c r="I140" s="90"/>
      <c r="J140" s="90"/>
      <c r="K140" s="90"/>
    </row>
    <row r="141" spans="1:11">
      <c r="A141" s="90"/>
      <c r="C141" s="90"/>
      <c r="D141" s="90"/>
      <c r="E141" s="90"/>
      <c r="F141" s="90"/>
      <c r="G141" s="643"/>
      <c r="H141" s="643"/>
      <c r="I141" s="90"/>
      <c r="J141" s="90"/>
      <c r="K141" s="90"/>
    </row>
    <row r="142" spans="1:11">
      <c r="A142" s="90"/>
      <c r="C142" s="90"/>
      <c r="D142" s="90"/>
      <c r="E142" s="90"/>
      <c r="F142" s="90"/>
      <c r="G142" s="643"/>
      <c r="H142" s="643"/>
      <c r="I142" s="90"/>
      <c r="J142" s="90"/>
      <c r="K142" s="90"/>
    </row>
    <row r="143" spans="1:11">
      <c r="A143" s="90"/>
      <c r="C143" s="90"/>
      <c r="D143" s="90"/>
      <c r="E143" s="90"/>
      <c r="F143" s="90"/>
      <c r="G143" s="643"/>
      <c r="H143" s="643"/>
      <c r="I143" s="90"/>
      <c r="J143" s="90"/>
      <c r="K143" s="90"/>
    </row>
    <row r="144" spans="1:11">
      <c r="A144" s="90"/>
      <c r="C144" s="90"/>
      <c r="D144" s="90"/>
      <c r="E144" s="90"/>
      <c r="F144" s="90"/>
      <c r="G144" s="643"/>
      <c r="H144" s="643"/>
      <c r="I144" s="90"/>
      <c r="J144" s="90"/>
      <c r="K144" s="90"/>
    </row>
    <row r="145" spans="1:11">
      <c r="A145" s="90"/>
      <c r="C145" s="90"/>
      <c r="D145" s="90"/>
      <c r="E145" s="90"/>
      <c r="F145" s="90"/>
      <c r="G145" s="643"/>
      <c r="H145" s="643"/>
      <c r="I145" s="90"/>
      <c r="J145" s="90"/>
      <c r="K145" s="90"/>
    </row>
    <row r="146" spans="1:11">
      <c r="A146" s="90"/>
      <c r="C146" s="90"/>
      <c r="D146" s="90"/>
      <c r="E146" s="90"/>
      <c r="F146" s="90"/>
      <c r="G146" s="643"/>
      <c r="H146" s="643"/>
      <c r="I146" s="90"/>
      <c r="J146" s="90"/>
      <c r="K146" s="90"/>
    </row>
    <row r="147" spans="1:11">
      <c r="A147" s="90"/>
      <c r="C147" s="90"/>
      <c r="D147" s="90"/>
      <c r="E147" s="90"/>
      <c r="F147" s="90"/>
      <c r="G147" s="643"/>
      <c r="H147" s="643"/>
      <c r="I147" s="90"/>
      <c r="J147" s="90"/>
      <c r="K147" s="90"/>
    </row>
    <row r="148" spans="1:11">
      <c r="A148" s="90"/>
      <c r="C148" s="90"/>
      <c r="D148" s="90"/>
      <c r="E148" s="90"/>
      <c r="F148" s="90"/>
      <c r="G148" s="643"/>
      <c r="H148" s="643"/>
      <c r="I148" s="90"/>
      <c r="J148" s="90"/>
      <c r="K148" s="90"/>
    </row>
    <row r="149" spans="1:11">
      <c r="A149" s="90"/>
      <c r="C149" s="90"/>
      <c r="D149" s="90"/>
      <c r="E149" s="90"/>
      <c r="F149" s="90"/>
      <c r="G149" s="643"/>
      <c r="H149" s="643"/>
      <c r="I149" s="90"/>
      <c r="J149" s="90"/>
      <c r="K149" s="90"/>
    </row>
    <row r="150" spans="1:11">
      <c r="A150" s="90"/>
      <c r="C150" s="90"/>
      <c r="D150" s="90"/>
      <c r="E150" s="90"/>
      <c r="F150" s="90"/>
      <c r="G150" s="643"/>
      <c r="H150" s="643"/>
      <c r="I150" s="90"/>
      <c r="J150" s="90"/>
      <c r="K150" s="90"/>
    </row>
    <row r="151" spans="1:11">
      <c r="A151" s="90"/>
      <c r="C151" s="90"/>
      <c r="D151" s="90"/>
      <c r="E151" s="90"/>
      <c r="F151" s="90"/>
      <c r="G151" s="643"/>
      <c r="H151" s="643"/>
      <c r="I151" s="90"/>
      <c r="J151" s="90"/>
      <c r="K151" s="90"/>
    </row>
    <row r="152" spans="1:11">
      <c r="A152" s="90"/>
      <c r="C152" s="90"/>
      <c r="D152" s="90"/>
      <c r="E152" s="90"/>
      <c r="F152" s="90"/>
      <c r="G152" s="643"/>
      <c r="H152" s="643"/>
      <c r="I152" s="90"/>
      <c r="J152" s="90"/>
      <c r="K152" s="90"/>
    </row>
    <row r="153" spans="1:11">
      <c r="A153" s="90"/>
      <c r="C153" s="90"/>
      <c r="D153" s="90"/>
      <c r="E153" s="90"/>
      <c r="F153" s="90"/>
      <c r="G153" s="643"/>
      <c r="H153" s="643"/>
      <c r="I153" s="90"/>
      <c r="J153" s="90"/>
      <c r="K153" s="90"/>
    </row>
    <row r="154" spans="1:11">
      <c r="A154" s="90"/>
      <c r="C154" s="90"/>
      <c r="D154" s="90"/>
      <c r="E154" s="90"/>
      <c r="F154" s="90"/>
      <c r="G154" s="643"/>
      <c r="H154" s="643"/>
      <c r="I154" s="90"/>
      <c r="J154" s="90"/>
      <c r="K154" s="90"/>
    </row>
    <row r="155" spans="1:11">
      <c r="A155" s="90"/>
      <c r="C155" s="90"/>
      <c r="D155" s="90"/>
      <c r="E155" s="90"/>
      <c r="F155" s="90"/>
      <c r="G155" s="643"/>
      <c r="H155" s="643"/>
      <c r="I155" s="90"/>
      <c r="J155" s="90"/>
      <c r="K155" s="90"/>
    </row>
    <row r="156" spans="1:11">
      <c r="A156" s="90"/>
      <c r="C156" s="90"/>
      <c r="D156" s="90"/>
      <c r="E156" s="90"/>
      <c r="F156" s="90"/>
      <c r="G156" s="643"/>
      <c r="H156" s="643"/>
      <c r="I156" s="90"/>
      <c r="J156" s="90"/>
      <c r="K156" s="90"/>
    </row>
    <row r="157" spans="1:11">
      <c r="A157" s="90"/>
      <c r="C157" s="90"/>
      <c r="D157" s="90"/>
      <c r="E157" s="90"/>
      <c r="F157" s="90"/>
      <c r="G157" s="643"/>
      <c r="H157" s="643"/>
      <c r="I157" s="90"/>
      <c r="J157" s="90"/>
      <c r="K157" s="90"/>
    </row>
    <row r="158" spans="1:11">
      <c r="A158" s="90"/>
      <c r="C158" s="90"/>
      <c r="D158" s="90"/>
      <c r="E158" s="90"/>
      <c r="F158" s="90"/>
      <c r="G158" s="643"/>
      <c r="H158" s="643"/>
      <c r="I158" s="90"/>
      <c r="J158" s="90"/>
      <c r="K158" s="90"/>
    </row>
    <row r="159" spans="1:11">
      <c r="A159" s="90"/>
      <c r="C159" s="90"/>
      <c r="D159" s="90"/>
      <c r="E159" s="90"/>
      <c r="F159" s="90"/>
      <c r="G159" s="643"/>
      <c r="H159" s="643"/>
      <c r="I159" s="90"/>
      <c r="J159" s="90"/>
      <c r="K159" s="90"/>
    </row>
    <row r="160" spans="1:11">
      <c r="A160" s="90"/>
      <c r="C160" s="90"/>
      <c r="D160" s="90"/>
      <c r="E160" s="90"/>
      <c r="F160" s="90"/>
      <c r="G160" s="643"/>
      <c r="H160" s="643"/>
      <c r="I160" s="90"/>
      <c r="J160" s="90"/>
      <c r="K160" s="90"/>
    </row>
    <row r="161" spans="1:11">
      <c r="A161" s="90"/>
      <c r="C161" s="90"/>
      <c r="D161" s="90"/>
      <c r="E161" s="90"/>
      <c r="F161" s="90"/>
      <c r="G161" s="643"/>
      <c r="H161" s="643"/>
      <c r="I161" s="90"/>
      <c r="J161" s="90"/>
      <c r="K161" s="90"/>
    </row>
    <row r="162" spans="1:11">
      <c r="A162" s="90"/>
      <c r="C162" s="90"/>
      <c r="D162" s="90"/>
      <c r="E162" s="90"/>
      <c r="F162" s="90"/>
      <c r="G162" s="643"/>
      <c r="H162" s="643"/>
      <c r="I162" s="90"/>
      <c r="J162" s="90"/>
      <c r="K162" s="90"/>
    </row>
    <row r="163" spans="1:11">
      <c r="A163" s="90"/>
      <c r="C163" s="90"/>
      <c r="D163" s="90"/>
      <c r="E163" s="90"/>
      <c r="F163" s="90"/>
      <c r="G163" s="643"/>
      <c r="H163" s="643"/>
      <c r="I163" s="90"/>
      <c r="J163" s="90"/>
      <c r="K163" s="90"/>
    </row>
    <row r="164" spans="1:11">
      <c r="A164" s="90"/>
      <c r="C164" s="90"/>
      <c r="D164" s="90"/>
      <c r="E164" s="90"/>
      <c r="F164" s="90"/>
      <c r="G164" s="643"/>
      <c r="H164" s="643"/>
      <c r="I164" s="90"/>
      <c r="J164" s="90"/>
      <c r="K164" s="90"/>
    </row>
    <row r="165" spans="1:11">
      <c r="A165" s="90"/>
      <c r="C165" s="90"/>
      <c r="D165" s="90"/>
      <c r="E165" s="90"/>
      <c r="F165" s="90"/>
      <c r="G165" s="643"/>
      <c r="H165" s="643"/>
      <c r="I165" s="90"/>
      <c r="J165" s="90"/>
      <c r="K165" s="90"/>
    </row>
    <row r="166" spans="1:11">
      <c r="A166" s="90"/>
      <c r="C166" s="90"/>
      <c r="D166" s="90"/>
      <c r="E166" s="90"/>
      <c r="F166" s="90"/>
      <c r="G166" s="643"/>
      <c r="H166" s="643"/>
      <c r="I166" s="90"/>
      <c r="J166" s="90"/>
      <c r="K166" s="90"/>
    </row>
    <row r="167" spans="1:11">
      <c r="A167" s="90"/>
      <c r="C167" s="90"/>
      <c r="D167" s="90"/>
      <c r="E167" s="90"/>
      <c r="F167" s="90"/>
      <c r="G167" s="643"/>
      <c r="H167" s="643"/>
      <c r="I167" s="90"/>
      <c r="J167" s="90"/>
      <c r="K167" s="90"/>
    </row>
    <row r="168" spans="1:11">
      <c r="A168" s="90"/>
      <c r="C168" s="90"/>
      <c r="D168" s="90"/>
      <c r="E168" s="90"/>
      <c r="F168" s="90"/>
      <c r="G168" s="643"/>
      <c r="H168" s="643"/>
      <c r="I168" s="90"/>
      <c r="J168" s="90"/>
      <c r="K168" s="90"/>
    </row>
    <row r="169" spans="1:11">
      <c r="A169" s="90"/>
      <c r="C169" s="90"/>
      <c r="D169" s="90"/>
      <c r="E169" s="90"/>
      <c r="F169" s="90"/>
      <c r="G169" s="643"/>
      <c r="H169" s="643"/>
      <c r="I169" s="90"/>
      <c r="J169" s="90"/>
      <c r="K169" s="90"/>
    </row>
    <row r="170" spans="1:11">
      <c r="A170" s="90"/>
      <c r="C170" s="90"/>
      <c r="D170" s="90"/>
      <c r="E170" s="90"/>
      <c r="F170" s="90"/>
      <c r="G170" s="643"/>
      <c r="H170" s="643"/>
      <c r="I170" s="90"/>
      <c r="J170" s="90"/>
      <c r="K170" s="90"/>
    </row>
    <row r="171" spans="1:11">
      <c r="A171" s="90"/>
      <c r="C171" s="90"/>
      <c r="D171" s="90"/>
      <c r="E171" s="90"/>
      <c r="F171" s="90"/>
      <c r="G171" s="643"/>
      <c r="H171" s="643"/>
      <c r="I171" s="90"/>
      <c r="J171" s="90"/>
      <c r="K171" s="90"/>
    </row>
    <row r="172" spans="1:11">
      <c r="A172" s="90"/>
      <c r="C172" s="90"/>
      <c r="D172" s="90"/>
      <c r="E172" s="90"/>
      <c r="F172" s="90"/>
      <c r="G172" s="643"/>
      <c r="H172" s="643"/>
      <c r="I172" s="90"/>
      <c r="J172" s="90"/>
      <c r="K172" s="90"/>
    </row>
    <row r="173" spans="1:11">
      <c r="A173" s="90"/>
      <c r="C173" s="90"/>
      <c r="D173" s="90"/>
      <c r="E173" s="90"/>
      <c r="F173" s="90"/>
      <c r="G173" s="643"/>
      <c r="H173" s="643"/>
      <c r="I173" s="90"/>
      <c r="J173" s="90"/>
      <c r="K173" s="90"/>
    </row>
    <row r="174" spans="1:11">
      <c r="A174" s="90"/>
      <c r="C174" s="90"/>
      <c r="D174" s="90"/>
      <c r="E174" s="90"/>
      <c r="F174" s="90"/>
      <c r="G174" s="643"/>
      <c r="H174" s="643"/>
      <c r="I174" s="90"/>
      <c r="J174" s="90"/>
      <c r="K174" s="90"/>
    </row>
    <row r="175" spans="1:11">
      <c r="A175" s="90"/>
      <c r="C175" s="90"/>
      <c r="D175" s="90"/>
      <c r="E175" s="90"/>
      <c r="F175" s="90"/>
      <c r="G175" s="643"/>
      <c r="H175" s="643"/>
      <c r="I175" s="90"/>
      <c r="J175" s="90"/>
      <c r="K175" s="90"/>
    </row>
    <row r="176" spans="1:11">
      <c r="A176" s="90"/>
      <c r="C176" s="90"/>
      <c r="D176" s="90"/>
      <c r="E176" s="90"/>
      <c r="F176" s="90"/>
      <c r="G176" s="643"/>
      <c r="H176" s="643"/>
      <c r="I176" s="90"/>
      <c r="J176" s="90"/>
      <c r="K176" s="90"/>
    </row>
    <row r="177" spans="1:11">
      <c r="A177" s="90"/>
      <c r="C177" s="90"/>
      <c r="D177" s="90"/>
      <c r="E177" s="90"/>
      <c r="F177" s="90"/>
      <c r="G177" s="643"/>
      <c r="H177" s="643"/>
      <c r="I177" s="90"/>
      <c r="J177" s="90"/>
      <c r="K177" s="90"/>
    </row>
    <row r="178" spans="1:11">
      <c r="A178" s="90"/>
      <c r="C178" s="90"/>
      <c r="D178" s="90"/>
      <c r="E178" s="90"/>
      <c r="F178" s="90"/>
      <c r="G178" s="643"/>
      <c r="H178" s="643"/>
      <c r="I178" s="90"/>
      <c r="J178" s="90"/>
      <c r="K178" s="90"/>
    </row>
    <row r="179" spans="1:11">
      <c r="A179" s="90"/>
      <c r="C179" s="90"/>
      <c r="D179" s="90"/>
      <c r="E179" s="90"/>
      <c r="F179" s="90"/>
      <c r="G179" s="643"/>
      <c r="H179" s="643"/>
      <c r="I179" s="90"/>
      <c r="J179" s="90"/>
      <c r="K179" s="90"/>
    </row>
    <row r="180" spans="1:11">
      <c r="A180" s="90"/>
      <c r="C180" s="90"/>
      <c r="D180" s="90"/>
      <c r="E180" s="90"/>
      <c r="F180" s="90"/>
      <c r="G180" s="643"/>
      <c r="H180" s="643"/>
      <c r="I180" s="90"/>
      <c r="J180" s="90"/>
      <c r="K180" s="90"/>
    </row>
    <row r="181" spans="1:11">
      <c r="A181" s="90"/>
      <c r="C181" s="90"/>
      <c r="D181" s="90"/>
      <c r="E181" s="90"/>
      <c r="F181" s="90"/>
      <c r="G181" s="643"/>
      <c r="H181" s="643"/>
      <c r="I181" s="90"/>
      <c r="J181" s="90"/>
      <c r="K181" s="90"/>
    </row>
    <row r="182" spans="1:11">
      <c r="A182" s="90"/>
      <c r="C182" s="90"/>
      <c r="D182" s="90"/>
      <c r="E182" s="90"/>
      <c r="F182" s="90"/>
      <c r="G182" s="643"/>
      <c r="H182" s="643"/>
      <c r="I182" s="90"/>
      <c r="J182" s="90"/>
      <c r="K182" s="90"/>
    </row>
    <row r="183" spans="1:11">
      <c r="A183" s="90"/>
      <c r="C183" s="90"/>
      <c r="D183" s="90"/>
      <c r="E183" s="90"/>
      <c r="F183" s="90"/>
      <c r="G183" s="643"/>
      <c r="H183" s="643"/>
      <c r="I183" s="90"/>
      <c r="J183" s="90"/>
      <c r="K183" s="90"/>
    </row>
    <row r="184" spans="1:11">
      <c r="A184" s="90"/>
      <c r="C184" s="90"/>
      <c r="D184" s="90"/>
      <c r="E184" s="90"/>
      <c r="F184" s="90"/>
      <c r="G184" s="643"/>
      <c r="H184" s="643"/>
      <c r="I184" s="90"/>
      <c r="J184" s="90"/>
      <c r="K184" s="90"/>
    </row>
    <row r="185" spans="1:11">
      <c r="A185" s="90"/>
      <c r="C185" s="90"/>
      <c r="D185" s="90"/>
      <c r="E185" s="90"/>
      <c r="F185" s="90"/>
      <c r="G185" s="643"/>
      <c r="H185" s="643"/>
      <c r="I185" s="90"/>
      <c r="J185" s="90"/>
      <c r="K185" s="90"/>
    </row>
    <row r="186" spans="1:11">
      <c r="A186" s="90"/>
      <c r="C186" s="90"/>
      <c r="D186" s="90"/>
      <c r="E186" s="90"/>
      <c r="F186" s="90"/>
      <c r="G186" s="643"/>
      <c r="H186" s="643"/>
      <c r="I186" s="90"/>
      <c r="J186" s="90"/>
      <c r="K186" s="90"/>
    </row>
    <row r="187" spans="1:11">
      <c r="A187" s="90"/>
      <c r="C187" s="90"/>
      <c r="D187" s="90"/>
      <c r="E187" s="90"/>
      <c r="F187" s="90"/>
      <c r="G187" s="643"/>
      <c r="H187" s="643"/>
      <c r="I187" s="90"/>
      <c r="J187" s="90"/>
      <c r="K187" s="90"/>
    </row>
    <row r="188" spans="1:11">
      <c r="A188" s="90"/>
      <c r="C188" s="90"/>
      <c r="D188" s="90"/>
      <c r="E188" s="90"/>
      <c r="F188" s="90"/>
      <c r="G188" s="643"/>
      <c r="H188" s="643"/>
      <c r="I188" s="90"/>
      <c r="J188" s="90"/>
      <c r="K188" s="90"/>
    </row>
    <row r="189" spans="1:11">
      <c r="A189" s="90"/>
      <c r="C189" s="90"/>
      <c r="D189" s="90"/>
      <c r="E189" s="90"/>
      <c r="F189" s="90"/>
      <c r="G189" s="643"/>
      <c r="H189" s="643"/>
      <c r="I189" s="90"/>
      <c r="J189" s="90"/>
      <c r="K189" s="90"/>
    </row>
    <row r="190" spans="1:11">
      <c r="A190" s="90"/>
      <c r="C190" s="90"/>
      <c r="D190" s="90"/>
      <c r="E190" s="90"/>
      <c r="F190" s="90"/>
      <c r="G190" s="643"/>
      <c r="H190" s="643"/>
      <c r="I190" s="90"/>
      <c r="J190" s="90"/>
      <c r="K190" s="90"/>
    </row>
    <row r="191" spans="1:11">
      <c r="A191" s="90"/>
      <c r="C191" s="90"/>
      <c r="D191" s="90"/>
      <c r="E191" s="90"/>
      <c r="F191" s="90"/>
      <c r="G191" s="643"/>
      <c r="H191" s="643"/>
      <c r="I191" s="90"/>
      <c r="J191" s="90"/>
      <c r="K191" s="90"/>
    </row>
    <row r="192" spans="1:11">
      <c r="A192" s="90"/>
      <c r="C192" s="90"/>
      <c r="D192" s="90"/>
      <c r="E192" s="90"/>
      <c r="F192" s="90"/>
      <c r="G192" s="643"/>
      <c r="H192" s="643"/>
      <c r="I192" s="90"/>
      <c r="J192" s="90"/>
      <c r="K192" s="90"/>
    </row>
    <row r="193" spans="1:11">
      <c r="A193" s="90"/>
      <c r="C193" s="90"/>
      <c r="D193" s="90"/>
      <c r="E193" s="90"/>
      <c r="F193" s="90"/>
      <c r="G193" s="643"/>
      <c r="H193" s="643"/>
      <c r="I193" s="90"/>
      <c r="J193" s="90"/>
      <c r="K193" s="90"/>
    </row>
    <row r="194" spans="1:11">
      <c r="A194" s="90"/>
      <c r="C194" s="90"/>
      <c r="D194" s="90"/>
      <c r="E194" s="90"/>
      <c r="F194" s="90"/>
      <c r="G194" s="643"/>
      <c r="H194" s="643"/>
      <c r="I194" s="90"/>
      <c r="J194" s="90"/>
      <c r="K194" s="90"/>
    </row>
    <row r="195" spans="1:11">
      <c r="A195" s="90"/>
      <c r="C195" s="90"/>
      <c r="D195" s="90"/>
      <c r="E195" s="90"/>
      <c r="F195" s="90"/>
      <c r="G195" s="643"/>
      <c r="H195" s="643"/>
      <c r="I195" s="90"/>
      <c r="J195" s="90"/>
      <c r="K195" s="90"/>
    </row>
    <row r="196" spans="1:11">
      <c r="A196" s="90"/>
      <c r="C196" s="90"/>
      <c r="D196" s="90"/>
      <c r="E196" s="90"/>
      <c r="F196" s="90"/>
      <c r="G196" s="643"/>
      <c r="H196" s="643"/>
      <c r="I196" s="90"/>
      <c r="J196" s="90"/>
      <c r="K196" s="90"/>
    </row>
    <row r="197" spans="1:11">
      <c r="A197" s="90"/>
      <c r="C197" s="90"/>
      <c r="D197" s="90"/>
      <c r="E197" s="90"/>
      <c r="F197" s="90"/>
      <c r="G197" s="643"/>
      <c r="H197" s="643"/>
      <c r="I197" s="90"/>
      <c r="J197" s="90"/>
      <c r="K197" s="90"/>
    </row>
    <row r="198" spans="1:11">
      <c r="A198" s="90"/>
      <c r="C198" s="90"/>
      <c r="D198" s="90"/>
      <c r="E198" s="90"/>
      <c r="F198" s="90"/>
      <c r="G198" s="643"/>
      <c r="H198" s="643"/>
      <c r="I198" s="90"/>
      <c r="J198" s="90"/>
      <c r="K198" s="90"/>
    </row>
    <row r="199" spans="1:11">
      <c r="A199" s="90"/>
      <c r="C199" s="90"/>
      <c r="D199" s="90"/>
      <c r="E199" s="90"/>
      <c r="F199" s="90"/>
      <c r="G199" s="643"/>
      <c r="H199" s="643"/>
      <c r="I199" s="90"/>
      <c r="J199" s="90"/>
      <c r="K199" s="90"/>
    </row>
    <row r="200" spans="1:11">
      <c r="A200" s="90"/>
      <c r="C200" s="90"/>
      <c r="D200" s="90"/>
      <c r="E200" s="90"/>
      <c r="F200" s="90"/>
      <c r="G200" s="643"/>
      <c r="H200" s="643"/>
      <c r="I200" s="90"/>
      <c r="J200" s="90"/>
      <c r="K200" s="90"/>
    </row>
    <row r="201" spans="1:11">
      <c r="A201" s="90"/>
      <c r="C201" s="90"/>
      <c r="D201" s="90"/>
      <c r="E201" s="90"/>
      <c r="F201" s="90"/>
      <c r="G201" s="643"/>
      <c r="H201" s="643"/>
      <c r="I201" s="90"/>
      <c r="J201" s="90"/>
      <c r="K201" s="90"/>
    </row>
    <row r="202" spans="1:11">
      <c r="A202" s="90"/>
      <c r="C202" s="90"/>
      <c r="D202" s="90"/>
      <c r="E202" s="90"/>
      <c r="F202" s="90"/>
      <c r="G202" s="643"/>
      <c r="H202" s="643"/>
      <c r="I202" s="90"/>
      <c r="J202" s="90"/>
      <c r="K202" s="90"/>
    </row>
    <row r="203" spans="1:11">
      <c r="A203" s="90"/>
      <c r="C203" s="90"/>
      <c r="D203" s="90"/>
      <c r="E203" s="90"/>
      <c r="F203" s="90"/>
      <c r="G203" s="643"/>
      <c r="H203" s="643"/>
      <c r="I203" s="90"/>
      <c r="J203" s="90"/>
      <c r="K203" s="90"/>
    </row>
    <row r="204" spans="1:11">
      <c r="A204" s="90"/>
      <c r="C204" s="90"/>
      <c r="D204" s="90"/>
      <c r="E204" s="90"/>
      <c r="F204" s="90"/>
      <c r="G204" s="643"/>
      <c r="H204" s="643"/>
      <c r="I204" s="90"/>
      <c r="J204" s="90"/>
      <c r="K204" s="90"/>
    </row>
    <row r="205" spans="1:11">
      <c r="A205" s="90"/>
      <c r="C205" s="90"/>
      <c r="D205" s="90"/>
      <c r="E205" s="90"/>
      <c r="F205" s="90"/>
      <c r="G205" s="643"/>
      <c r="H205" s="643"/>
      <c r="I205" s="90"/>
      <c r="J205" s="90"/>
      <c r="K205" s="90"/>
    </row>
    <row r="206" spans="1:11">
      <c r="A206" s="90"/>
      <c r="C206" s="90"/>
      <c r="D206" s="90"/>
      <c r="E206" s="90"/>
      <c r="F206" s="90"/>
      <c r="G206" s="643"/>
      <c r="H206" s="643"/>
      <c r="I206" s="90"/>
      <c r="J206" s="90"/>
      <c r="K206" s="90"/>
    </row>
    <row r="207" spans="1:11">
      <c r="A207" s="90"/>
      <c r="C207" s="90"/>
      <c r="D207" s="90"/>
      <c r="E207" s="90"/>
      <c r="F207" s="90"/>
      <c r="G207" s="643"/>
      <c r="H207" s="643"/>
      <c r="I207" s="90"/>
      <c r="J207" s="90"/>
      <c r="K207" s="90"/>
    </row>
    <row r="208" spans="1:11">
      <c r="A208" s="90"/>
      <c r="C208" s="90"/>
      <c r="D208" s="90"/>
      <c r="E208" s="90"/>
      <c r="F208" s="90"/>
      <c r="G208" s="643"/>
      <c r="H208" s="643"/>
      <c r="I208" s="90"/>
      <c r="J208" s="90"/>
      <c r="K208" s="90"/>
    </row>
    <row r="209" spans="1:11">
      <c r="A209" s="90"/>
      <c r="C209" s="90"/>
      <c r="D209" s="90"/>
      <c r="E209" s="90"/>
      <c r="F209" s="90"/>
      <c r="G209" s="643"/>
      <c r="H209" s="643"/>
      <c r="I209" s="90"/>
      <c r="J209" s="90"/>
      <c r="K209" s="90"/>
    </row>
    <row r="210" spans="1:11">
      <c r="A210" s="90"/>
      <c r="C210" s="90"/>
      <c r="D210" s="90"/>
      <c r="E210" s="90"/>
      <c r="F210" s="90"/>
      <c r="G210" s="643"/>
      <c r="H210" s="643"/>
      <c r="I210" s="90"/>
      <c r="J210" s="90"/>
      <c r="K210" s="90"/>
    </row>
    <row r="211" spans="1:11">
      <c r="A211" s="90"/>
      <c r="C211" s="90"/>
      <c r="D211" s="90"/>
      <c r="E211" s="90"/>
      <c r="F211" s="90"/>
      <c r="G211" s="643"/>
      <c r="H211" s="643"/>
      <c r="I211" s="90"/>
      <c r="J211" s="90"/>
      <c r="K211" s="90"/>
    </row>
    <row r="212" spans="1:11">
      <c r="A212" s="90"/>
      <c r="C212" s="90"/>
      <c r="D212" s="90"/>
      <c r="E212" s="90"/>
      <c r="F212" s="90"/>
      <c r="G212" s="643"/>
      <c r="H212" s="643"/>
      <c r="I212" s="90"/>
      <c r="J212" s="90"/>
      <c r="K212" s="90"/>
    </row>
    <row r="213" spans="1:11">
      <c r="A213" s="90"/>
      <c r="C213" s="90"/>
      <c r="D213" s="90"/>
      <c r="E213" s="90"/>
      <c r="F213" s="90"/>
      <c r="G213" s="643"/>
      <c r="H213" s="643"/>
      <c r="I213" s="90"/>
      <c r="J213" s="90"/>
      <c r="K213" s="90"/>
    </row>
    <row r="214" spans="1:11">
      <c r="A214" s="90"/>
      <c r="C214" s="90"/>
      <c r="D214" s="90"/>
      <c r="E214" s="90"/>
      <c r="F214" s="90"/>
      <c r="G214" s="643"/>
      <c r="H214" s="643"/>
      <c r="I214" s="90"/>
      <c r="J214" s="90"/>
      <c r="K214" s="90"/>
    </row>
    <row r="215" spans="1:11">
      <c r="A215" s="90"/>
      <c r="C215" s="90"/>
      <c r="D215" s="90"/>
      <c r="E215" s="90"/>
      <c r="F215" s="90"/>
      <c r="G215" s="643"/>
      <c r="H215" s="643"/>
      <c r="I215" s="90"/>
      <c r="J215" s="90"/>
      <c r="K215" s="90"/>
    </row>
    <row r="216" spans="1:11">
      <c r="A216" s="90"/>
      <c r="C216" s="90"/>
      <c r="D216" s="90"/>
      <c r="E216" s="90"/>
      <c r="F216" s="90"/>
      <c r="G216" s="643"/>
      <c r="H216" s="643"/>
      <c r="I216" s="90"/>
      <c r="J216" s="90"/>
      <c r="K216" s="90"/>
    </row>
    <row r="217" spans="1:11">
      <c r="A217" s="90"/>
      <c r="C217" s="90"/>
      <c r="D217" s="90"/>
      <c r="E217" s="90"/>
      <c r="F217" s="90"/>
      <c r="G217" s="643"/>
      <c r="H217" s="643"/>
      <c r="I217" s="90"/>
      <c r="J217" s="90"/>
      <c r="K217" s="90"/>
    </row>
    <row r="218" spans="1:11">
      <c r="A218" s="90"/>
      <c r="C218" s="90"/>
      <c r="D218" s="90"/>
      <c r="E218" s="90"/>
      <c r="F218" s="90"/>
      <c r="G218" s="643"/>
      <c r="H218" s="643"/>
      <c r="I218" s="90"/>
      <c r="J218" s="90"/>
      <c r="K218" s="90"/>
    </row>
    <row r="219" spans="1:11">
      <c r="A219" s="90"/>
      <c r="C219" s="90"/>
      <c r="D219" s="90"/>
      <c r="E219" s="90"/>
      <c r="F219" s="90"/>
      <c r="G219" s="643"/>
      <c r="H219" s="643"/>
      <c r="I219" s="90"/>
      <c r="J219" s="90"/>
      <c r="K219" s="90"/>
    </row>
    <row r="220" spans="1:11">
      <c r="A220" s="90"/>
      <c r="C220" s="90"/>
      <c r="D220" s="90"/>
      <c r="E220" s="90"/>
      <c r="F220" s="90"/>
      <c r="G220" s="643"/>
      <c r="H220" s="643"/>
      <c r="I220" s="90"/>
      <c r="J220" s="90"/>
      <c r="K220" s="90"/>
    </row>
    <row r="221" spans="1:11">
      <c r="A221" s="90"/>
      <c r="C221" s="90"/>
      <c r="D221" s="90"/>
      <c r="E221" s="90"/>
      <c r="F221" s="90"/>
      <c r="G221" s="643"/>
      <c r="H221" s="643"/>
      <c r="I221" s="90"/>
      <c r="J221" s="90"/>
      <c r="K221" s="90"/>
    </row>
    <row r="222" spans="1:11">
      <c r="A222" s="90"/>
      <c r="C222" s="90"/>
      <c r="D222" s="90"/>
      <c r="E222" s="90"/>
      <c r="F222" s="90"/>
      <c r="G222" s="643"/>
      <c r="H222" s="643"/>
      <c r="I222" s="90"/>
      <c r="J222" s="90"/>
      <c r="K222" s="90"/>
    </row>
    <row r="223" spans="1:11">
      <c r="A223" s="90"/>
      <c r="C223" s="90"/>
      <c r="D223" s="90"/>
      <c r="E223" s="90"/>
      <c r="F223" s="90"/>
      <c r="G223" s="643"/>
      <c r="H223" s="643"/>
      <c r="I223" s="90"/>
      <c r="J223" s="90"/>
      <c r="K223" s="90"/>
    </row>
    <row r="224" spans="1:11">
      <c r="A224" s="90"/>
      <c r="C224" s="90"/>
      <c r="D224" s="90"/>
      <c r="E224" s="90"/>
      <c r="F224" s="90"/>
      <c r="G224" s="643"/>
      <c r="H224" s="643"/>
      <c r="I224" s="90"/>
      <c r="J224" s="90"/>
      <c r="K224" s="90"/>
    </row>
    <row r="225" spans="1:11">
      <c r="A225" s="90"/>
      <c r="C225" s="90"/>
      <c r="D225" s="90"/>
      <c r="E225" s="90"/>
      <c r="F225" s="90"/>
      <c r="G225" s="643"/>
      <c r="H225" s="643"/>
      <c r="I225" s="90"/>
      <c r="J225" s="90"/>
      <c r="K225" s="90"/>
    </row>
    <row r="226" spans="1:11">
      <c r="A226" s="90"/>
      <c r="C226" s="90"/>
      <c r="D226" s="90"/>
      <c r="E226" s="90"/>
      <c r="F226" s="90"/>
      <c r="G226" s="643"/>
      <c r="H226" s="643"/>
      <c r="I226" s="90"/>
      <c r="J226" s="90"/>
      <c r="K226" s="90"/>
    </row>
    <row r="227" spans="1:11">
      <c r="A227" s="90"/>
      <c r="C227" s="90"/>
      <c r="D227" s="90"/>
      <c r="E227" s="90"/>
      <c r="F227" s="90"/>
      <c r="G227" s="643"/>
      <c r="H227" s="643"/>
      <c r="I227" s="90"/>
      <c r="J227" s="90"/>
      <c r="K227" s="90"/>
    </row>
    <row r="228" spans="1:11">
      <c r="A228" s="90"/>
      <c r="C228" s="90"/>
      <c r="D228" s="90"/>
      <c r="E228" s="90"/>
      <c r="F228" s="90"/>
      <c r="G228" s="643"/>
      <c r="H228" s="643"/>
      <c r="I228" s="90"/>
      <c r="J228" s="90"/>
      <c r="K228" s="90"/>
    </row>
    <row r="229" spans="1:11">
      <c r="A229" s="90"/>
      <c r="C229" s="90"/>
      <c r="D229" s="90"/>
      <c r="E229" s="90"/>
      <c r="F229" s="90"/>
      <c r="G229" s="643"/>
      <c r="H229" s="643"/>
      <c r="I229" s="90"/>
      <c r="J229" s="90"/>
      <c r="K229" s="90"/>
    </row>
    <row r="230" spans="1:11">
      <c r="A230" s="90"/>
      <c r="C230" s="90"/>
      <c r="D230" s="90"/>
      <c r="E230" s="90"/>
      <c r="F230" s="90"/>
      <c r="G230" s="643"/>
      <c r="H230" s="643"/>
      <c r="I230" s="90"/>
      <c r="J230" s="90"/>
      <c r="K230" s="90"/>
    </row>
    <row r="231" spans="1:11">
      <c r="A231" s="90"/>
      <c r="C231" s="90"/>
      <c r="D231" s="90"/>
      <c r="E231" s="90"/>
      <c r="F231" s="90"/>
      <c r="G231" s="643"/>
      <c r="H231" s="643"/>
      <c r="I231" s="90"/>
      <c r="J231" s="90"/>
      <c r="K231" s="90"/>
    </row>
    <row r="232" spans="1:11">
      <c r="A232" s="90"/>
      <c r="C232" s="90"/>
      <c r="D232" s="90"/>
      <c r="E232" s="90"/>
      <c r="F232" s="90"/>
      <c r="G232" s="643"/>
      <c r="H232" s="643"/>
      <c r="I232" s="90"/>
      <c r="J232" s="90"/>
      <c r="K232" s="90"/>
    </row>
    <row r="233" spans="1:11">
      <c r="A233" s="90"/>
      <c r="C233" s="90"/>
      <c r="D233" s="90"/>
      <c r="E233" s="90"/>
      <c r="F233" s="90"/>
      <c r="G233" s="643"/>
      <c r="H233" s="643"/>
      <c r="I233" s="90"/>
      <c r="J233" s="90"/>
      <c r="K233" s="90"/>
    </row>
    <row r="234" spans="1:11">
      <c r="A234" s="90"/>
      <c r="C234" s="90"/>
      <c r="D234" s="90"/>
      <c r="E234" s="90"/>
      <c r="F234" s="90"/>
      <c r="G234" s="643"/>
      <c r="H234" s="643"/>
      <c r="I234" s="90"/>
      <c r="J234" s="90"/>
      <c r="K234" s="90"/>
    </row>
    <row r="235" spans="1:11">
      <c r="A235" s="90"/>
      <c r="C235" s="90"/>
      <c r="D235" s="90"/>
      <c r="E235" s="90"/>
      <c r="F235" s="90"/>
      <c r="G235" s="643"/>
      <c r="H235" s="643"/>
      <c r="I235" s="90"/>
      <c r="J235" s="90"/>
      <c r="K235" s="90"/>
    </row>
    <row r="236" spans="1:11">
      <c r="A236" s="90"/>
      <c r="C236" s="90"/>
      <c r="D236" s="90"/>
      <c r="E236" s="90"/>
      <c r="F236" s="90"/>
      <c r="G236" s="643"/>
      <c r="H236" s="643"/>
      <c r="I236" s="90"/>
      <c r="J236" s="90"/>
      <c r="K236" s="90"/>
    </row>
    <row r="237" spans="1:11">
      <c r="A237" s="90"/>
      <c r="C237" s="90"/>
      <c r="D237" s="90"/>
      <c r="E237" s="90"/>
      <c r="F237" s="90"/>
      <c r="G237" s="643"/>
      <c r="H237" s="643"/>
      <c r="I237" s="90"/>
      <c r="J237" s="90"/>
      <c r="K237" s="90"/>
    </row>
    <row r="238" spans="1:11">
      <c r="A238" s="90"/>
      <c r="C238" s="90"/>
      <c r="D238" s="90"/>
      <c r="E238" s="90"/>
      <c r="F238" s="90"/>
      <c r="G238" s="643"/>
      <c r="H238" s="643"/>
      <c r="I238" s="90"/>
      <c r="J238" s="90"/>
      <c r="K238" s="90"/>
    </row>
    <row r="239" spans="1:11">
      <c r="A239" s="90"/>
      <c r="C239" s="90"/>
      <c r="D239" s="90"/>
      <c r="E239" s="90"/>
      <c r="F239" s="90"/>
      <c r="G239" s="643"/>
      <c r="H239" s="643"/>
      <c r="I239" s="90"/>
      <c r="J239" s="90"/>
      <c r="K239" s="90"/>
    </row>
    <row r="240" spans="1:11">
      <c r="A240" s="90"/>
      <c r="C240" s="90"/>
      <c r="D240" s="90"/>
      <c r="E240" s="90"/>
      <c r="F240" s="90"/>
      <c r="G240" s="643"/>
      <c r="H240" s="643"/>
      <c r="I240" s="90"/>
      <c r="J240" s="90"/>
      <c r="K240" s="90"/>
    </row>
    <row r="241" spans="1:11">
      <c r="A241" s="90"/>
      <c r="C241" s="90"/>
      <c r="D241" s="90"/>
      <c r="E241" s="90"/>
      <c r="F241" s="90"/>
      <c r="G241" s="643"/>
      <c r="H241" s="643"/>
      <c r="I241" s="90"/>
      <c r="J241" s="90"/>
      <c r="K241" s="90"/>
    </row>
    <row r="242" spans="1:11">
      <c r="A242" s="90"/>
      <c r="C242" s="90"/>
      <c r="D242" s="90"/>
      <c r="E242" s="90"/>
      <c r="F242" s="90"/>
      <c r="G242" s="643"/>
      <c r="H242" s="643"/>
      <c r="I242" s="90"/>
      <c r="J242" s="90"/>
      <c r="K242" s="90"/>
    </row>
    <row r="243" spans="1:11">
      <c r="A243" s="90"/>
      <c r="C243" s="90"/>
      <c r="D243" s="90"/>
      <c r="E243" s="90"/>
      <c r="F243" s="90"/>
      <c r="G243" s="643"/>
      <c r="H243" s="643"/>
      <c r="I243" s="90"/>
      <c r="J243" s="90"/>
      <c r="K243" s="90"/>
    </row>
    <row r="244" spans="1:11">
      <c r="A244" s="90"/>
      <c r="C244" s="90"/>
      <c r="D244" s="90"/>
      <c r="E244" s="90"/>
      <c r="F244" s="90"/>
      <c r="G244" s="643"/>
      <c r="H244" s="643"/>
      <c r="I244" s="90"/>
      <c r="J244" s="90"/>
      <c r="K244" s="90"/>
    </row>
    <row r="245" spans="1:11">
      <c r="A245" s="90"/>
      <c r="C245" s="90"/>
      <c r="D245" s="90"/>
      <c r="E245" s="90"/>
      <c r="F245" s="90"/>
      <c r="G245" s="643"/>
      <c r="H245" s="643"/>
      <c r="I245" s="90"/>
      <c r="J245" s="90"/>
      <c r="K245" s="90"/>
    </row>
    <row r="246" spans="1:11">
      <c r="A246" s="90"/>
      <c r="C246" s="90"/>
      <c r="D246" s="90"/>
      <c r="E246" s="90"/>
      <c r="F246" s="90"/>
      <c r="G246" s="643"/>
      <c r="H246" s="643"/>
      <c r="I246" s="90"/>
      <c r="J246" s="90"/>
      <c r="K246" s="90"/>
    </row>
    <row r="247" spans="1:11">
      <c r="A247" s="90"/>
      <c r="C247" s="90"/>
      <c r="D247" s="90"/>
      <c r="E247" s="90"/>
      <c r="F247" s="90"/>
      <c r="G247" s="643"/>
      <c r="H247" s="643"/>
      <c r="I247" s="90"/>
      <c r="J247" s="90"/>
      <c r="K247" s="90"/>
    </row>
    <row r="248" spans="1:11">
      <c r="A248" s="90"/>
      <c r="C248" s="90"/>
      <c r="D248" s="90"/>
      <c r="E248" s="90"/>
      <c r="F248" s="90"/>
      <c r="G248" s="643"/>
      <c r="H248" s="643"/>
      <c r="I248" s="90"/>
      <c r="J248" s="90"/>
      <c r="K248" s="90"/>
    </row>
    <row r="249" spans="1:11">
      <c r="A249" s="90"/>
      <c r="C249" s="90"/>
      <c r="D249" s="90"/>
      <c r="E249" s="90"/>
      <c r="F249" s="90"/>
      <c r="G249" s="643"/>
      <c r="H249" s="643"/>
      <c r="I249" s="90"/>
      <c r="J249" s="90"/>
      <c r="K249" s="90"/>
    </row>
    <row r="250" spans="1:11">
      <c r="A250" s="90"/>
      <c r="C250" s="90"/>
      <c r="D250" s="90"/>
      <c r="E250" s="90"/>
      <c r="F250" s="90"/>
      <c r="G250" s="643"/>
      <c r="H250" s="643"/>
      <c r="I250" s="90"/>
      <c r="J250" s="90"/>
      <c r="K250" s="90"/>
    </row>
    <row r="251" spans="1:11">
      <c r="A251" s="90"/>
      <c r="C251" s="90"/>
      <c r="D251" s="90"/>
      <c r="E251" s="90"/>
      <c r="F251" s="90"/>
      <c r="G251" s="643"/>
      <c r="H251" s="643"/>
      <c r="I251" s="90"/>
      <c r="J251" s="90"/>
      <c r="K251" s="90"/>
    </row>
    <row r="252" spans="1:11">
      <c r="A252" s="90"/>
      <c r="C252" s="90"/>
      <c r="D252" s="90"/>
      <c r="E252" s="90"/>
      <c r="F252" s="90"/>
      <c r="G252" s="643"/>
      <c r="H252" s="643"/>
      <c r="I252" s="90"/>
      <c r="J252" s="90"/>
      <c r="K252" s="90"/>
    </row>
    <row r="253" spans="1:11">
      <c r="A253" s="90"/>
      <c r="C253" s="90"/>
      <c r="D253" s="90"/>
      <c r="E253" s="90"/>
      <c r="F253" s="90"/>
      <c r="G253" s="643"/>
      <c r="H253" s="643"/>
      <c r="I253" s="90"/>
      <c r="J253" s="90"/>
      <c r="K253" s="90"/>
    </row>
    <row r="254" spans="1:11">
      <c r="A254" s="90"/>
      <c r="C254" s="90"/>
      <c r="D254" s="90"/>
      <c r="E254" s="90"/>
      <c r="F254" s="90"/>
      <c r="G254" s="643"/>
      <c r="H254" s="643"/>
      <c r="I254" s="90"/>
      <c r="J254" s="90"/>
      <c r="K254" s="90"/>
    </row>
    <row r="255" spans="1:11">
      <c r="A255" s="90"/>
      <c r="C255" s="90"/>
      <c r="D255" s="90"/>
      <c r="E255" s="90"/>
      <c r="F255" s="90"/>
      <c r="G255" s="643"/>
      <c r="H255" s="643"/>
      <c r="I255" s="90"/>
      <c r="J255" s="90"/>
      <c r="K255" s="90"/>
    </row>
    <row r="256" spans="1:11">
      <c r="A256" s="90"/>
      <c r="C256" s="90"/>
      <c r="D256" s="90"/>
      <c r="E256" s="90"/>
      <c r="F256" s="90"/>
      <c r="G256" s="643"/>
      <c r="H256" s="643"/>
      <c r="I256" s="90"/>
      <c r="J256" s="90"/>
      <c r="K256" s="90"/>
    </row>
    <row r="257" spans="1:11">
      <c r="A257" s="90"/>
      <c r="C257" s="90"/>
      <c r="D257" s="90"/>
      <c r="E257" s="90"/>
      <c r="F257" s="90"/>
      <c r="G257" s="643"/>
      <c r="H257" s="643"/>
      <c r="I257" s="90"/>
      <c r="J257" s="90"/>
      <c r="K257" s="90"/>
    </row>
    <row r="258" spans="1:11">
      <c r="A258" s="90"/>
      <c r="C258" s="90"/>
      <c r="D258" s="90"/>
      <c r="E258" s="90"/>
      <c r="F258" s="90"/>
      <c r="G258" s="643"/>
      <c r="H258" s="643"/>
      <c r="I258" s="90"/>
      <c r="J258" s="90"/>
      <c r="K258" s="90"/>
    </row>
    <row r="259" spans="1:11">
      <c r="A259" s="90"/>
      <c r="C259" s="90"/>
      <c r="D259" s="90"/>
      <c r="E259" s="90"/>
      <c r="F259" s="90"/>
      <c r="G259" s="643"/>
      <c r="H259" s="643"/>
      <c r="I259" s="90"/>
      <c r="J259" s="90"/>
      <c r="K259" s="90"/>
    </row>
    <row r="260" spans="1:11">
      <c r="A260" s="90"/>
      <c r="C260" s="90"/>
      <c r="D260" s="90"/>
      <c r="E260" s="90"/>
      <c r="F260" s="90"/>
      <c r="G260" s="643"/>
      <c r="H260" s="643"/>
      <c r="I260" s="90"/>
      <c r="J260" s="90"/>
      <c r="K260" s="90"/>
    </row>
    <row r="261" spans="1:11">
      <c r="A261" s="90"/>
      <c r="C261" s="90"/>
      <c r="D261" s="90"/>
      <c r="E261" s="90"/>
      <c r="F261" s="90"/>
      <c r="G261" s="643"/>
      <c r="H261" s="643"/>
      <c r="I261" s="90"/>
      <c r="J261" s="90"/>
      <c r="K261" s="90"/>
    </row>
    <row r="262" spans="1:11">
      <c r="A262" s="90"/>
      <c r="C262" s="90"/>
      <c r="D262" s="90"/>
      <c r="E262" s="90"/>
      <c r="F262" s="90"/>
      <c r="G262" s="643"/>
      <c r="H262" s="643"/>
      <c r="I262" s="90"/>
      <c r="J262" s="90"/>
      <c r="K262" s="90"/>
    </row>
    <row r="263" spans="1:11">
      <c r="A263" s="90"/>
      <c r="C263" s="90"/>
      <c r="D263" s="90"/>
      <c r="E263" s="90"/>
      <c r="F263" s="90"/>
      <c r="G263" s="643"/>
      <c r="H263" s="643"/>
      <c r="I263" s="90"/>
      <c r="J263" s="90"/>
      <c r="K263" s="90"/>
    </row>
    <row r="264" spans="1:11">
      <c r="A264" s="90"/>
      <c r="C264" s="90"/>
      <c r="D264" s="90"/>
      <c r="E264" s="90"/>
      <c r="F264" s="90"/>
      <c r="G264" s="643"/>
      <c r="H264" s="643"/>
      <c r="I264" s="90"/>
      <c r="J264" s="90"/>
      <c r="K264" s="90"/>
    </row>
    <row r="265" spans="1:11">
      <c r="A265" s="90"/>
      <c r="C265" s="90"/>
      <c r="D265" s="90"/>
      <c r="E265" s="90"/>
      <c r="F265" s="90"/>
      <c r="G265" s="643"/>
      <c r="H265" s="643"/>
      <c r="I265" s="90"/>
      <c r="J265" s="90"/>
      <c r="K265" s="90"/>
    </row>
    <row r="266" spans="1:11">
      <c r="A266" s="90"/>
      <c r="C266" s="90"/>
      <c r="D266" s="90"/>
      <c r="E266" s="90"/>
      <c r="F266" s="90"/>
      <c r="G266" s="643"/>
      <c r="H266" s="643"/>
      <c r="I266" s="90"/>
      <c r="J266" s="90"/>
      <c r="K266" s="90"/>
    </row>
    <row r="267" spans="1:11">
      <c r="A267" s="90"/>
      <c r="C267" s="90"/>
      <c r="D267" s="90"/>
      <c r="E267" s="90"/>
      <c r="F267" s="90"/>
      <c r="G267" s="643"/>
      <c r="H267" s="643"/>
      <c r="I267" s="90"/>
      <c r="J267" s="90"/>
      <c r="K267" s="90"/>
    </row>
    <row r="268" spans="1:11">
      <c r="A268" s="90"/>
      <c r="C268" s="90"/>
      <c r="D268" s="90"/>
      <c r="E268" s="90"/>
      <c r="F268" s="90"/>
      <c r="G268" s="643"/>
      <c r="H268" s="643"/>
      <c r="I268" s="90"/>
      <c r="J268" s="90"/>
      <c r="K268" s="90"/>
    </row>
    <row r="269" spans="1:11">
      <c r="A269" s="90"/>
      <c r="C269" s="90"/>
      <c r="D269" s="90"/>
      <c r="E269" s="90"/>
      <c r="F269" s="90"/>
      <c r="G269" s="643"/>
      <c r="H269" s="643"/>
      <c r="I269" s="90"/>
      <c r="J269" s="90"/>
      <c r="K269" s="90"/>
    </row>
    <row r="270" spans="1:11">
      <c r="A270" s="90"/>
      <c r="C270" s="90"/>
      <c r="D270" s="90"/>
      <c r="E270" s="90"/>
      <c r="F270" s="90"/>
      <c r="G270" s="643"/>
      <c r="H270" s="643"/>
      <c r="I270" s="90"/>
      <c r="J270" s="90"/>
      <c r="K270" s="90"/>
    </row>
    <row r="271" spans="1:11">
      <c r="A271" s="90"/>
      <c r="C271" s="90"/>
      <c r="D271" s="90"/>
      <c r="E271" s="90"/>
      <c r="F271" s="90"/>
      <c r="G271" s="643"/>
      <c r="H271" s="643"/>
      <c r="I271" s="90"/>
      <c r="J271" s="90"/>
      <c r="K271" s="90"/>
    </row>
    <row r="272" spans="1:11">
      <c r="A272" s="90"/>
      <c r="C272" s="90"/>
      <c r="D272" s="90"/>
      <c r="E272" s="90"/>
      <c r="F272" s="90"/>
      <c r="G272" s="643"/>
      <c r="H272" s="643"/>
      <c r="I272" s="90"/>
      <c r="J272" s="90"/>
      <c r="K272" s="90"/>
    </row>
    <row r="273" spans="1:11">
      <c r="A273" s="90"/>
      <c r="C273" s="90"/>
      <c r="D273" s="90"/>
      <c r="E273" s="90"/>
      <c r="F273" s="90"/>
      <c r="G273" s="643"/>
      <c r="H273" s="643"/>
      <c r="I273" s="90"/>
      <c r="J273" s="90"/>
      <c r="K273" s="90"/>
    </row>
    <row r="274" spans="1:11">
      <c r="A274" s="90"/>
      <c r="C274" s="90"/>
      <c r="D274" s="90"/>
      <c r="E274" s="90"/>
      <c r="F274" s="90"/>
      <c r="G274" s="643"/>
      <c r="H274" s="643"/>
      <c r="I274" s="90"/>
      <c r="J274" s="90"/>
      <c r="K274" s="90"/>
    </row>
    <row r="275" spans="1:11">
      <c r="A275" s="90"/>
      <c r="C275" s="90"/>
      <c r="D275" s="90"/>
      <c r="E275" s="90"/>
      <c r="F275" s="90"/>
      <c r="G275" s="643"/>
      <c r="H275" s="643"/>
      <c r="I275" s="90"/>
      <c r="J275" s="90"/>
      <c r="K275" s="90"/>
    </row>
    <row r="276" spans="1:11">
      <c r="A276" s="90"/>
      <c r="C276" s="90"/>
      <c r="D276" s="90"/>
      <c r="E276" s="90"/>
      <c r="F276" s="90"/>
      <c r="G276" s="643"/>
      <c r="H276" s="643"/>
      <c r="I276" s="90"/>
      <c r="J276" s="90"/>
      <c r="K276" s="90"/>
    </row>
    <row r="277" spans="1:11">
      <c r="A277" s="90"/>
      <c r="C277" s="90"/>
      <c r="D277" s="90"/>
      <c r="E277" s="90"/>
      <c r="F277" s="90"/>
      <c r="G277" s="643"/>
      <c r="H277" s="643"/>
      <c r="I277" s="90"/>
      <c r="J277" s="90"/>
      <c r="K277" s="90"/>
    </row>
    <row r="278" spans="1:11">
      <c r="A278" s="90"/>
      <c r="C278" s="90"/>
      <c r="D278" s="90"/>
      <c r="E278" s="90"/>
      <c r="F278" s="90"/>
      <c r="G278" s="643"/>
      <c r="H278" s="643"/>
      <c r="I278" s="90"/>
      <c r="J278" s="90"/>
      <c r="K278" s="90"/>
    </row>
    <row r="279" spans="1:11">
      <c r="A279" s="90"/>
      <c r="C279" s="90"/>
      <c r="D279" s="90"/>
      <c r="E279" s="90"/>
      <c r="F279" s="90"/>
      <c r="G279" s="643"/>
      <c r="H279" s="643"/>
      <c r="I279" s="90"/>
      <c r="J279" s="90"/>
      <c r="K279" s="90"/>
    </row>
    <row r="280" spans="1:11">
      <c r="A280" s="90"/>
      <c r="C280" s="90"/>
      <c r="D280" s="90"/>
      <c r="E280" s="90"/>
      <c r="F280" s="90"/>
      <c r="G280" s="643"/>
      <c r="H280" s="643"/>
      <c r="I280" s="90"/>
      <c r="J280" s="90"/>
      <c r="K280" s="90"/>
    </row>
    <row r="281" spans="1:11">
      <c r="A281" s="90"/>
      <c r="C281" s="90"/>
      <c r="D281" s="90"/>
      <c r="E281" s="90"/>
      <c r="F281" s="90"/>
      <c r="G281" s="643"/>
      <c r="H281" s="643"/>
      <c r="I281" s="90"/>
      <c r="J281" s="90"/>
      <c r="K281" s="90"/>
    </row>
    <row r="282" spans="1:11">
      <c r="A282" s="90"/>
      <c r="C282" s="90"/>
      <c r="D282" s="90"/>
      <c r="E282" s="90"/>
      <c r="F282" s="90"/>
      <c r="G282" s="643"/>
      <c r="H282" s="643"/>
      <c r="I282" s="90"/>
      <c r="J282" s="90"/>
      <c r="K282" s="90"/>
    </row>
    <row r="283" spans="1:11">
      <c r="A283" s="90"/>
      <c r="C283" s="90"/>
      <c r="D283" s="90"/>
      <c r="E283" s="90"/>
      <c r="F283" s="90"/>
      <c r="G283" s="643"/>
      <c r="H283" s="643"/>
      <c r="I283" s="90"/>
      <c r="J283" s="90"/>
      <c r="K283" s="90"/>
    </row>
    <row r="284" spans="1:11">
      <c r="A284" s="90"/>
      <c r="C284" s="90"/>
      <c r="D284" s="90"/>
      <c r="E284" s="90"/>
      <c r="F284" s="90"/>
      <c r="G284" s="643"/>
      <c r="H284" s="643"/>
      <c r="I284" s="90"/>
      <c r="J284" s="90"/>
      <c r="K284" s="90"/>
    </row>
    <row r="285" spans="1:11">
      <c r="A285" s="90"/>
      <c r="C285" s="90"/>
      <c r="D285" s="90"/>
      <c r="E285" s="90"/>
      <c r="F285" s="90"/>
      <c r="G285" s="643"/>
      <c r="H285" s="643"/>
      <c r="I285" s="90"/>
      <c r="J285" s="90"/>
      <c r="K285" s="90"/>
    </row>
    <row r="286" spans="1:11">
      <c r="A286" s="90"/>
      <c r="C286" s="90"/>
      <c r="D286" s="90"/>
      <c r="E286" s="90"/>
      <c r="F286" s="90"/>
      <c r="G286" s="643"/>
      <c r="H286" s="643"/>
      <c r="I286" s="90"/>
      <c r="J286" s="90"/>
      <c r="K286" s="90"/>
    </row>
    <row r="287" spans="1:11">
      <c r="A287" s="90"/>
      <c r="C287" s="90"/>
      <c r="D287" s="90"/>
      <c r="E287" s="90"/>
      <c r="F287" s="90"/>
      <c r="G287" s="643"/>
      <c r="H287" s="643"/>
      <c r="I287" s="90"/>
      <c r="J287" s="90"/>
      <c r="K287" s="90"/>
    </row>
    <row r="288" spans="1:11">
      <c r="A288" s="90"/>
      <c r="C288" s="90"/>
      <c r="D288" s="90"/>
      <c r="E288" s="90"/>
      <c r="F288" s="90"/>
      <c r="G288" s="643"/>
      <c r="H288" s="643"/>
      <c r="I288" s="90"/>
      <c r="J288" s="90"/>
      <c r="K288" s="90"/>
    </row>
    <row r="289" spans="1:11">
      <c r="A289" s="90"/>
      <c r="C289" s="90"/>
      <c r="D289" s="90"/>
      <c r="E289" s="90"/>
      <c r="F289" s="90"/>
      <c r="G289" s="643"/>
      <c r="H289" s="643"/>
      <c r="I289" s="90"/>
      <c r="J289" s="90"/>
      <c r="K289" s="90"/>
    </row>
    <row r="290" spans="1:11">
      <c r="A290" s="90"/>
      <c r="C290" s="90"/>
      <c r="D290" s="90"/>
      <c r="E290" s="90"/>
      <c r="F290" s="90"/>
      <c r="G290" s="643"/>
      <c r="H290" s="643"/>
      <c r="I290" s="90"/>
      <c r="J290" s="90"/>
      <c r="K290" s="90"/>
    </row>
    <row r="291" spans="1:11">
      <c r="A291" s="90"/>
      <c r="C291" s="90"/>
      <c r="D291" s="90"/>
      <c r="E291" s="90"/>
      <c r="F291" s="90"/>
      <c r="G291" s="643"/>
      <c r="H291" s="643"/>
      <c r="I291" s="90"/>
      <c r="J291" s="90"/>
      <c r="K291" s="90"/>
    </row>
    <row r="292" spans="1:11">
      <c r="A292" s="90"/>
      <c r="C292" s="90"/>
      <c r="D292" s="90"/>
      <c r="E292" s="90"/>
      <c r="F292" s="90"/>
      <c r="G292" s="643"/>
      <c r="H292" s="643"/>
      <c r="I292" s="90"/>
      <c r="J292" s="90"/>
      <c r="K292" s="90"/>
    </row>
    <row r="293" spans="1:11">
      <c r="A293" s="90"/>
      <c r="C293" s="90"/>
      <c r="D293" s="90"/>
      <c r="E293" s="90"/>
      <c r="F293" s="90"/>
      <c r="G293" s="643"/>
      <c r="H293" s="643"/>
      <c r="I293" s="90"/>
      <c r="J293" s="90"/>
      <c r="K293" s="90"/>
    </row>
    <row r="294" spans="1:11">
      <c r="A294" s="90"/>
      <c r="C294" s="90"/>
      <c r="D294" s="90"/>
      <c r="E294" s="90"/>
      <c r="F294" s="90"/>
      <c r="G294" s="643"/>
      <c r="H294" s="643"/>
      <c r="I294" s="90"/>
      <c r="J294" s="90"/>
      <c r="K294" s="90"/>
    </row>
    <row r="295" spans="1:11">
      <c r="A295" s="90"/>
      <c r="C295" s="90"/>
      <c r="D295" s="90"/>
      <c r="E295" s="90"/>
      <c r="F295" s="90"/>
      <c r="G295" s="643"/>
      <c r="H295" s="643"/>
      <c r="I295" s="90"/>
      <c r="J295" s="90"/>
      <c r="K295" s="90"/>
    </row>
    <row r="296" spans="1:11">
      <c r="A296" s="90"/>
      <c r="C296" s="90"/>
      <c r="D296" s="90"/>
      <c r="E296" s="90"/>
      <c r="F296" s="90"/>
      <c r="G296" s="643"/>
      <c r="H296" s="643"/>
      <c r="I296" s="90"/>
      <c r="J296" s="90"/>
      <c r="K296" s="90"/>
    </row>
    <row r="297" spans="1:11">
      <c r="A297" s="90"/>
      <c r="C297" s="90"/>
      <c r="D297" s="90"/>
      <c r="E297" s="90"/>
      <c r="F297" s="90"/>
      <c r="G297" s="643"/>
      <c r="H297" s="643"/>
      <c r="I297" s="90"/>
      <c r="J297" s="90"/>
      <c r="K297" s="90"/>
    </row>
    <row r="298" spans="1:11">
      <c r="A298" s="90"/>
      <c r="C298" s="90"/>
      <c r="D298" s="90"/>
      <c r="E298" s="90"/>
      <c r="F298" s="90"/>
      <c r="G298" s="643"/>
      <c r="H298" s="643"/>
      <c r="I298" s="90"/>
      <c r="J298" s="90"/>
      <c r="K298" s="90"/>
    </row>
    <row r="299" spans="1:11">
      <c r="A299" s="90"/>
      <c r="C299" s="90"/>
      <c r="D299" s="90"/>
      <c r="E299" s="90"/>
      <c r="F299" s="90"/>
      <c r="G299" s="643"/>
      <c r="H299" s="643"/>
      <c r="I299" s="90"/>
      <c r="J299" s="90"/>
      <c r="K299" s="90"/>
    </row>
    <row r="300" spans="1:11">
      <c r="A300" s="90"/>
      <c r="C300" s="90"/>
      <c r="D300" s="90"/>
      <c r="E300" s="90"/>
      <c r="F300" s="90"/>
      <c r="G300" s="643"/>
      <c r="H300" s="643"/>
      <c r="I300" s="90"/>
      <c r="J300" s="90"/>
      <c r="K300" s="90"/>
    </row>
    <row r="301" spans="1:11">
      <c r="A301" s="90"/>
      <c r="C301" s="90"/>
      <c r="D301" s="90"/>
      <c r="E301" s="90"/>
      <c r="F301" s="90"/>
      <c r="G301" s="643"/>
      <c r="H301" s="643"/>
      <c r="I301" s="90"/>
      <c r="J301" s="90"/>
      <c r="K301" s="90"/>
    </row>
    <row r="302" spans="1:11">
      <c r="A302" s="90"/>
      <c r="C302" s="90"/>
      <c r="D302" s="90"/>
      <c r="E302" s="90"/>
      <c r="F302" s="90"/>
      <c r="G302" s="643"/>
      <c r="H302" s="643"/>
      <c r="I302" s="90"/>
      <c r="J302" s="90"/>
      <c r="K302" s="90"/>
    </row>
    <row r="303" spans="1:11">
      <c r="A303" s="90"/>
      <c r="C303" s="90"/>
      <c r="D303" s="90"/>
      <c r="E303" s="90"/>
      <c r="F303" s="90"/>
      <c r="G303" s="643"/>
      <c r="H303" s="643"/>
      <c r="I303" s="90"/>
      <c r="J303" s="90"/>
      <c r="K303" s="90"/>
    </row>
    <row r="304" spans="1:11">
      <c r="A304" s="90"/>
      <c r="C304" s="90"/>
      <c r="D304" s="90"/>
      <c r="E304" s="90"/>
      <c r="F304" s="90"/>
      <c r="G304" s="643"/>
      <c r="H304" s="643"/>
      <c r="I304" s="90"/>
      <c r="J304" s="90"/>
      <c r="K304" s="90"/>
    </row>
    <row r="305" spans="1:11">
      <c r="A305" s="90"/>
      <c r="C305" s="90"/>
      <c r="D305" s="90"/>
      <c r="E305" s="90"/>
      <c r="F305" s="90"/>
      <c r="G305" s="643"/>
      <c r="H305" s="643"/>
      <c r="I305" s="90"/>
      <c r="J305" s="90"/>
      <c r="K305" s="90"/>
    </row>
    <row r="306" spans="1:11">
      <c r="A306" s="90"/>
      <c r="C306" s="90"/>
      <c r="D306" s="90"/>
      <c r="E306" s="90"/>
      <c r="F306" s="90"/>
      <c r="G306" s="643"/>
      <c r="H306" s="643"/>
      <c r="I306" s="90"/>
      <c r="J306" s="90"/>
      <c r="K306" s="90"/>
    </row>
    <row r="307" spans="1:11">
      <c r="A307" s="90"/>
      <c r="C307" s="90"/>
      <c r="D307" s="90"/>
      <c r="E307" s="90"/>
      <c r="F307" s="90"/>
      <c r="G307" s="643"/>
      <c r="H307" s="643"/>
      <c r="I307" s="90"/>
      <c r="J307" s="90"/>
      <c r="K307" s="90"/>
    </row>
    <row r="308" spans="1:11">
      <c r="A308" s="90"/>
      <c r="C308" s="90"/>
      <c r="D308" s="90"/>
      <c r="E308" s="90"/>
      <c r="F308" s="90"/>
      <c r="G308" s="643"/>
      <c r="H308" s="643"/>
      <c r="I308" s="90"/>
      <c r="J308" s="90"/>
      <c r="K308" s="90"/>
    </row>
    <row r="309" spans="1:11">
      <c r="A309" s="90"/>
      <c r="C309" s="90"/>
      <c r="D309" s="90"/>
      <c r="E309" s="90"/>
      <c r="F309" s="90"/>
      <c r="G309" s="643"/>
      <c r="H309" s="643"/>
      <c r="I309" s="90"/>
      <c r="J309" s="90"/>
      <c r="K309" s="90"/>
    </row>
    <row r="310" spans="1:11">
      <c r="A310" s="90"/>
      <c r="C310" s="90"/>
      <c r="D310" s="90"/>
      <c r="E310" s="90"/>
      <c r="F310" s="90"/>
      <c r="G310" s="643"/>
      <c r="H310" s="643"/>
      <c r="I310" s="90"/>
      <c r="J310" s="90"/>
      <c r="K310" s="90"/>
    </row>
    <row r="311" spans="1:11">
      <c r="A311" s="90"/>
      <c r="C311" s="90"/>
      <c r="D311" s="90"/>
      <c r="E311" s="90"/>
      <c r="F311" s="90"/>
      <c r="G311" s="643"/>
      <c r="H311" s="643"/>
      <c r="I311" s="90"/>
      <c r="J311" s="90"/>
      <c r="K311" s="90"/>
    </row>
    <row r="312" spans="1:11">
      <c r="A312" s="90"/>
      <c r="C312" s="90"/>
      <c r="D312" s="90"/>
      <c r="E312" s="90"/>
      <c r="F312" s="90"/>
      <c r="G312" s="643"/>
      <c r="H312" s="643"/>
      <c r="I312" s="90"/>
      <c r="J312" s="90"/>
      <c r="K312" s="90"/>
    </row>
    <row r="313" spans="1:11">
      <c r="A313" s="90"/>
      <c r="C313" s="90"/>
      <c r="D313" s="90"/>
      <c r="E313" s="90"/>
      <c r="F313" s="90"/>
      <c r="G313" s="643"/>
      <c r="H313" s="643"/>
      <c r="I313" s="90"/>
      <c r="J313" s="90"/>
      <c r="K313" s="90"/>
    </row>
    <row r="314" spans="1:11">
      <c r="A314" s="90"/>
      <c r="C314" s="90"/>
      <c r="D314" s="90"/>
      <c r="E314" s="90"/>
      <c r="F314" s="90"/>
      <c r="G314" s="643"/>
      <c r="H314" s="643"/>
      <c r="I314" s="90"/>
      <c r="J314" s="90"/>
      <c r="K314" s="90"/>
    </row>
    <row r="315" spans="1:11">
      <c r="A315" s="90"/>
      <c r="C315" s="90"/>
      <c r="D315" s="90"/>
      <c r="E315" s="90"/>
      <c r="F315" s="90"/>
      <c r="G315" s="643"/>
      <c r="H315" s="643"/>
      <c r="I315" s="90"/>
      <c r="J315" s="90"/>
      <c r="K315" s="90"/>
    </row>
    <row r="316" spans="1:11">
      <c r="A316" s="90"/>
      <c r="C316" s="90"/>
      <c r="D316" s="90"/>
      <c r="E316" s="90"/>
      <c r="F316" s="90"/>
      <c r="G316" s="643"/>
      <c r="H316" s="643"/>
      <c r="I316" s="90"/>
      <c r="J316" s="90"/>
      <c r="K316" s="90"/>
    </row>
    <row r="317" spans="1:11">
      <c r="A317" s="90"/>
      <c r="C317" s="90"/>
      <c r="D317" s="90"/>
      <c r="E317" s="90"/>
      <c r="F317" s="90"/>
      <c r="G317" s="643"/>
      <c r="H317" s="643"/>
      <c r="I317" s="90"/>
      <c r="J317" s="90"/>
      <c r="K317" s="90"/>
    </row>
    <row r="318" spans="1:11">
      <c r="A318" s="90"/>
      <c r="C318" s="90"/>
      <c r="D318" s="90"/>
      <c r="E318" s="90"/>
      <c r="F318" s="90"/>
      <c r="G318" s="643"/>
      <c r="H318" s="643"/>
      <c r="I318" s="90"/>
      <c r="J318" s="90"/>
      <c r="K318" s="90"/>
    </row>
    <row r="319" spans="1:11">
      <c r="A319" s="90"/>
      <c r="C319" s="90"/>
      <c r="D319" s="90"/>
      <c r="E319" s="90"/>
      <c r="F319" s="90"/>
      <c r="G319" s="643"/>
      <c r="H319" s="643"/>
      <c r="I319" s="90"/>
      <c r="J319" s="90"/>
      <c r="K319" s="90"/>
    </row>
    <row r="320" spans="1:11">
      <c r="A320" s="90"/>
      <c r="C320" s="90"/>
      <c r="D320" s="90"/>
      <c r="E320" s="90"/>
      <c r="F320" s="90"/>
      <c r="G320" s="643"/>
      <c r="H320" s="643"/>
      <c r="I320" s="90"/>
      <c r="J320" s="90"/>
      <c r="K320" s="90"/>
    </row>
    <row r="321" spans="1:11">
      <c r="A321" s="90"/>
      <c r="C321" s="90"/>
      <c r="D321" s="90"/>
      <c r="E321" s="90"/>
      <c r="F321" s="90"/>
      <c r="G321" s="643"/>
      <c r="H321" s="643"/>
      <c r="I321" s="90"/>
      <c r="J321" s="90"/>
      <c r="K321" s="90"/>
    </row>
    <row r="322" spans="1:11">
      <c r="A322" s="90"/>
      <c r="C322" s="90"/>
      <c r="D322" s="90"/>
      <c r="E322" s="90"/>
      <c r="F322" s="90"/>
      <c r="G322" s="643"/>
      <c r="H322" s="643"/>
      <c r="I322" s="90"/>
      <c r="J322" s="90"/>
      <c r="K322" s="90"/>
    </row>
    <row r="323" spans="1:11">
      <c r="A323" s="90"/>
      <c r="C323" s="90"/>
      <c r="D323" s="90"/>
      <c r="E323" s="90"/>
      <c r="F323" s="90"/>
      <c r="G323" s="643"/>
      <c r="H323" s="643"/>
      <c r="I323" s="90"/>
      <c r="J323" s="90"/>
      <c r="K323" s="90"/>
    </row>
    <row r="324" spans="1:11">
      <c r="A324" s="90"/>
      <c r="C324" s="90"/>
      <c r="D324" s="90"/>
      <c r="E324" s="90"/>
      <c r="F324" s="90"/>
      <c r="G324" s="643"/>
      <c r="H324" s="643"/>
      <c r="I324" s="90"/>
      <c r="J324" s="90"/>
      <c r="K324" s="90"/>
    </row>
    <row r="325" spans="1:11">
      <c r="A325" s="90"/>
      <c r="C325" s="90"/>
      <c r="D325" s="90"/>
      <c r="E325" s="90"/>
      <c r="F325" s="90"/>
      <c r="G325" s="643"/>
      <c r="H325" s="643"/>
      <c r="I325" s="90"/>
      <c r="J325" s="90"/>
      <c r="K325" s="90"/>
    </row>
    <row r="326" spans="1:11">
      <c r="A326" s="90"/>
      <c r="C326" s="90"/>
      <c r="D326" s="90"/>
      <c r="E326" s="90"/>
      <c r="F326" s="90"/>
      <c r="G326" s="643"/>
      <c r="H326" s="643"/>
      <c r="I326" s="90"/>
      <c r="J326" s="90"/>
      <c r="K326" s="90"/>
    </row>
    <row r="327" spans="1:11">
      <c r="A327" s="90"/>
      <c r="C327" s="90"/>
      <c r="D327" s="90"/>
      <c r="E327" s="90"/>
      <c r="F327" s="90"/>
      <c r="G327" s="643"/>
      <c r="H327" s="643"/>
      <c r="I327" s="90"/>
      <c r="J327" s="90"/>
      <c r="K327" s="90"/>
    </row>
    <row r="328" spans="1:11">
      <c r="A328" s="90"/>
      <c r="C328" s="90"/>
      <c r="D328" s="90"/>
      <c r="E328" s="90"/>
      <c r="F328" s="90"/>
      <c r="G328" s="643"/>
      <c r="H328" s="643"/>
      <c r="I328" s="90"/>
      <c r="J328" s="90"/>
      <c r="K328" s="90"/>
    </row>
    <row r="329" spans="1:11">
      <c r="A329" s="90"/>
      <c r="C329" s="90"/>
      <c r="D329" s="90"/>
      <c r="E329" s="90"/>
      <c r="F329" s="90"/>
      <c r="G329" s="643"/>
      <c r="H329" s="643"/>
      <c r="I329" s="90"/>
      <c r="J329" s="90"/>
      <c r="K329" s="90"/>
    </row>
    <row r="330" spans="1:11">
      <c r="A330" s="90"/>
      <c r="C330" s="90"/>
      <c r="D330" s="90"/>
      <c r="E330" s="90"/>
      <c r="F330" s="90"/>
      <c r="G330" s="643"/>
      <c r="H330" s="643"/>
      <c r="I330" s="90"/>
      <c r="J330" s="90"/>
      <c r="K330" s="90"/>
    </row>
    <row r="331" spans="1:11">
      <c r="A331" s="90"/>
      <c r="C331" s="90"/>
      <c r="D331" s="90"/>
      <c r="E331" s="90"/>
      <c r="F331" s="90"/>
      <c r="G331" s="643"/>
      <c r="H331" s="643"/>
      <c r="I331" s="90"/>
      <c r="J331" s="90"/>
      <c r="K331" s="90"/>
    </row>
    <row r="332" spans="1:11">
      <c r="A332" s="90"/>
      <c r="C332" s="90"/>
      <c r="D332" s="90"/>
      <c r="E332" s="90"/>
      <c r="F332" s="90"/>
      <c r="G332" s="643"/>
      <c r="H332" s="643"/>
      <c r="I332" s="90"/>
      <c r="J332" s="90"/>
      <c r="K332" s="90"/>
    </row>
    <row r="333" spans="1:11">
      <c r="A333" s="90"/>
      <c r="C333" s="90"/>
      <c r="D333" s="90"/>
      <c r="E333" s="90"/>
      <c r="F333" s="90"/>
      <c r="G333" s="643"/>
      <c r="H333" s="643"/>
      <c r="I333" s="90"/>
      <c r="J333" s="90"/>
      <c r="K333" s="90"/>
    </row>
    <row r="334" spans="1:11">
      <c r="A334" s="90"/>
      <c r="C334" s="90"/>
      <c r="D334" s="90"/>
      <c r="E334" s="90"/>
      <c r="F334" s="90"/>
      <c r="G334" s="643"/>
      <c r="H334" s="643"/>
      <c r="I334" s="90"/>
      <c r="J334" s="90"/>
      <c r="K334" s="90"/>
    </row>
    <row r="335" spans="1:11">
      <c r="A335" s="90"/>
      <c r="C335" s="90"/>
      <c r="D335" s="90"/>
      <c r="E335" s="90"/>
      <c r="F335" s="90"/>
      <c r="G335" s="643"/>
      <c r="H335" s="643"/>
      <c r="I335" s="90"/>
      <c r="J335" s="90"/>
      <c r="K335" s="90"/>
    </row>
    <row r="336" spans="1:11">
      <c r="A336" s="90"/>
      <c r="C336" s="90"/>
      <c r="D336" s="90"/>
      <c r="E336" s="90"/>
      <c r="F336" s="90"/>
      <c r="G336" s="643"/>
      <c r="H336" s="643"/>
      <c r="I336" s="90"/>
      <c r="J336" s="90"/>
      <c r="K336" s="90"/>
    </row>
    <row r="337" spans="1:11">
      <c r="A337" s="90"/>
      <c r="C337" s="90"/>
      <c r="D337" s="90"/>
      <c r="E337" s="90"/>
      <c r="F337" s="90"/>
      <c r="G337" s="643"/>
      <c r="H337" s="643"/>
      <c r="I337" s="90"/>
      <c r="J337" s="90"/>
      <c r="K337" s="90"/>
    </row>
    <row r="338" spans="1:11">
      <c r="A338" s="90"/>
      <c r="C338" s="90"/>
      <c r="D338" s="90"/>
      <c r="E338" s="90"/>
      <c r="F338" s="90"/>
      <c r="G338" s="643"/>
      <c r="H338" s="643"/>
      <c r="I338" s="90"/>
      <c r="J338" s="90"/>
      <c r="K338" s="90"/>
    </row>
    <row r="339" spans="1:11">
      <c r="A339" s="90"/>
      <c r="C339" s="90"/>
      <c r="D339" s="90"/>
      <c r="E339" s="90"/>
      <c r="F339" s="90"/>
      <c r="G339" s="643"/>
      <c r="H339" s="643"/>
      <c r="I339" s="90"/>
      <c r="J339" s="90"/>
      <c r="K339" s="90"/>
    </row>
    <row r="340" spans="1:11">
      <c r="A340" s="90"/>
      <c r="C340" s="90"/>
      <c r="D340" s="90"/>
      <c r="E340" s="90"/>
      <c r="F340" s="90"/>
      <c r="G340" s="643"/>
      <c r="H340" s="643"/>
      <c r="I340" s="90"/>
      <c r="J340" s="90"/>
      <c r="K340" s="90"/>
    </row>
    <row r="341" spans="1:11">
      <c r="A341" s="90"/>
      <c r="C341" s="90"/>
      <c r="D341" s="90"/>
      <c r="E341" s="90"/>
      <c r="F341" s="90"/>
      <c r="G341" s="643"/>
      <c r="H341" s="643"/>
      <c r="I341" s="90"/>
      <c r="J341" s="90"/>
      <c r="K341" s="90"/>
    </row>
    <row r="342" spans="1:11">
      <c r="A342" s="90"/>
      <c r="C342" s="90"/>
      <c r="D342" s="90"/>
      <c r="E342" s="90"/>
      <c r="F342" s="90"/>
      <c r="G342" s="643"/>
      <c r="H342" s="643"/>
      <c r="I342" s="90"/>
      <c r="J342" s="90"/>
      <c r="K342" s="90"/>
    </row>
    <row r="343" spans="1:11">
      <c r="A343" s="90"/>
      <c r="C343" s="90"/>
      <c r="D343" s="90"/>
      <c r="E343" s="90"/>
      <c r="F343" s="90"/>
      <c r="G343" s="643"/>
      <c r="H343" s="643"/>
      <c r="I343" s="90"/>
      <c r="J343" s="90"/>
      <c r="K343" s="90"/>
    </row>
    <row r="344" spans="1:11">
      <c r="A344" s="90"/>
      <c r="C344" s="90"/>
      <c r="D344" s="90"/>
      <c r="E344" s="90"/>
      <c r="F344" s="90"/>
      <c r="G344" s="643"/>
      <c r="H344" s="643"/>
      <c r="I344" s="90"/>
      <c r="J344" s="90"/>
      <c r="K344" s="90"/>
    </row>
    <row r="345" spans="1:11">
      <c r="A345" s="90"/>
      <c r="C345" s="90"/>
      <c r="D345" s="90"/>
      <c r="E345" s="90"/>
      <c r="F345" s="90"/>
      <c r="G345" s="643"/>
      <c r="H345" s="643"/>
      <c r="I345" s="90"/>
      <c r="J345" s="90"/>
      <c r="K345" s="90"/>
    </row>
    <row r="346" spans="1:11">
      <c r="A346" s="90"/>
      <c r="C346" s="90"/>
      <c r="D346" s="90"/>
      <c r="E346" s="90"/>
      <c r="F346" s="90"/>
      <c r="G346" s="643"/>
      <c r="H346" s="643"/>
      <c r="I346" s="90"/>
      <c r="J346" s="90"/>
      <c r="K346" s="90"/>
    </row>
    <row r="347" spans="1:11">
      <c r="A347" s="90"/>
      <c r="C347" s="90"/>
      <c r="D347" s="90"/>
      <c r="E347" s="90"/>
      <c r="F347" s="90"/>
      <c r="G347" s="643"/>
      <c r="H347" s="643"/>
      <c r="I347" s="90"/>
      <c r="J347" s="90"/>
      <c r="K347" s="90"/>
    </row>
    <row r="348" spans="1:11">
      <c r="A348" s="90"/>
      <c r="C348" s="90"/>
      <c r="D348" s="90"/>
      <c r="E348" s="90"/>
      <c r="F348" s="90"/>
      <c r="G348" s="643"/>
      <c r="H348" s="643"/>
      <c r="I348" s="90"/>
      <c r="J348" s="90"/>
      <c r="K348" s="90"/>
    </row>
    <row r="349" spans="1:11">
      <c r="A349" s="90"/>
      <c r="C349" s="90"/>
      <c r="D349" s="90"/>
      <c r="E349" s="90"/>
      <c r="F349" s="90"/>
      <c r="G349" s="643"/>
      <c r="H349" s="643"/>
      <c r="I349" s="90"/>
      <c r="J349" s="90"/>
      <c r="K349" s="90"/>
    </row>
    <row r="350" spans="1:11">
      <c r="A350" s="90"/>
      <c r="C350" s="90"/>
      <c r="D350" s="90"/>
      <c r="E350" s="90"/>
      <c r="F350" s="90"/>
      <c r="G350" s="643"/>
      <c r="H350" s="643"/>
      <c r="I350" s="90"/>
      <c r="J350" s="90"/>
      <c r="K350" s="90"/>
    </row>
    <row r="351" spans="1:11">
      <c r="A351" s="90"/>
      <c r="C351" s="90"/>
      <c r="D351" s="90"/>
      <c r="E351" s="90"/>
      <c r="F351" s="90"/>
      <c r="G351" s="643"/>
      <c r="H351" s="643"/>
      <c r="I351" s="90"/>
      <c r="J351" s="90"/>
      <c r="K351" s="90"/>
    </row>
    <row r="352" spans="1:11">
      <c r="A352" s="90"/>
      <c r="C352" s="90"/>
      <c r="D352" s="90"/>
      <c r="E352" s="90"/>
      <c r="F352" s="90"/>
      <c r="G352" s="643"/>
      <c r="H352" s="643"/>
      <c r="I352" s="90"/>
      <c r="J352" s="90"/>
      <c r="K352" s="90"/>
    </row>
    <row r="353" spans="1:11">
      <c r="A353" s="90"/>
      <c r="C353" s="90"/>
      <c r="D353" s="90"/>
      <c r="E353" s="90"/>
      <c r="F353" s="90"/>
      <c r="G353" s="643"/>
      <c r="H353" s="643"/>
      <c r="I353" s="90"/>
      <c r="J353" s="90"/>
      <c r="K353" s="90"/>
    </row>
    <row r="354" spans="1:11">
      <c r="A354" s="90"/>
      <c r="C354" s="90"/>
      <c r="D354" s="90"/>
      <c r="E354" s="90"/>
      <c r="F354" s="90"/>
      <c r="G354" s="643"/>
      <c r="H354" s="643"/>
      <c r="I354" s="90"/>
      <c r="J354" s="90"/>
      <c r="K354" s="90"/>
    </row>
    <row r="355" spans="1:11">
      <c r="A355" s="90"/>
      <c r="C355" s="90"/>
      <c r="D355" s="90"/>
      <c r="E355" s="90"/>
      <c r="F355" s="90"/>
      <c r="G355" s="643"/>
      <c r="H355" s="643"/>
      <c r="I355" s="90"/>
      <c r="J355" s="90"/>
      <c r="K355" s="90"/>
    </row>
    <row r="356" spans="1:11">
      <c r="A356" s="90"/>
      <c r="C356" s="90"/>
      <c r="D356" s="90"/>
      <c r="E356" s="90"/>
      <c r="F356" s="90"/>
      <c r="G356" s="643"/>
      <c r="H356" s="643"/>
      <c r="I356" s="90"/>
      <c r="J356" s="90"/>
      <c r="K356" s="90"/>
    </row>
    <row r="357" spans="1:11">
      <c r="A357" s="90"/>
      <c r="C357" s="90"/>
      <c r="D357" s="90"/>
      <c r="E357" s="90"/>
      <c r="F357" s="90"/>
      <c r="G357" s="643"/>
      <c r="H357" s="643"/>
      <c r="I357" s="90"/>
      <c r="J357" s="90"/>
      <c r="K357" s="90"/>
    </row>
    <row r="358" spans="1:11">
      <c r="A358" s="90"/>
      <c r="C358" s="90"/>
      <c r="D358" s="90"/>
      <c r="E358" s="90"/>
      <c r="F358" s="90"/>
      <c r="G358" s="643"/>
      <c r="H358" s="643"/>
      <c r="I358" s="90"/>
      <c r="J358" s="90"/>
      <c r="K358" s="90"/>
    </row>
    <row r="359" spans="1:11">
      <c r="A359" s="90"/>
      <c r="C359" s="90"/>
      <c r="D359" s="90"/>
      <c r="E359" s="90"/>
      <c r="F359" s="90"/>
      <c r="G359" s="643"/>
      <c r="H359" s="643"/>
      <c r="I359" s="90"/>
      <c r="J359" s="90"/>
      <c r="K359" s="90"/>
    </row>
    <row r="360" spans="1:11">
      <c r="A360" s="90"/>
      <c r="C360" s="90"/>
      <c r="D360" s="90"/>
      <c r="E360" s="90"/>
      <c r="F360" s="90"/>
      <c r="G360" s="643"/>
      <c r="H360" s="643"/>
      <c r="I360" s="90"/>
      <c r="J360" s="90"/>
      <c r="K360" s="90"/>
    </row>
    <row r="361" spans="1:11">
      <c r="A361" s="90"/>
      <c r="C361" s="90"/>
      <c r="D361" s="90"/>
      <c r="E361" s="90"/>
      <c r="F361" s="90"/>
      <c r="G361" s="643"/>
      <c r="H361" s="643"/>
      <c r="I361" s="90"/>
      <c r="J361" s="90"/>
      <c r="K361" s="90"/>
    </row>
    <row r="362" spans="1:11">
      <c r="A362" s="90"/>
      <c r="C362" s="90"/>
      <c r="D362" s="90"/>
      <c r="E362" s="90"/>
      <c r="F362" s="90"/>
      <c r="G362" s="643"/>
      <c r="H362" s="643"/>
      <c r="I362" s="90"/>
      <c r="J362" s="90"/>
      <c r="K362" s="90"/>
    </row>
    <row r="363" spans="1:11">
      <c r="A363" s="90"/>
      <c r="C363" s="90"/>
      <c r="D363" s="90"/>
      <c r="E363" s="90"/>
      <c r="F363" s="90"/>
      <c r="G363" s="643"/>
      <c r="H363" s="643"/>
      <c r="I363" s="90"/>
      <c r="J363" s="90"/>
      <c r="K363" s="90"/>
    </row>
    <row r="364" spans="1:11">
      <c r="A364" s="90"/>
      <c r="C364" s="90"/>
      <c r="D364" s="90"/>
      <c r="E364" s="90"/>
      <c r="F364" s="90"/>
      <c r="G364" s="643"/>
      <c r="H364" s="643"/>
      <c r="I364" s="90"/>
      <c r="J364" s="90"/>
      <c r="K364" s="90"/>
    </row>
    <row r="365" spans="1:11">
      <c r="A365" s="90"/>
      <c r="C365" s="90"/>
      <c r="D365" s="90"/>
      <c r="E365" s="90"/>
      <c r="F365" s="90"/>
      <c r="G365" s="643"/>
      <c r="H365" s="643"/>
      <c r="I365" s="90"/>
      <c r="J365" s="90"/>
      <c r="K365" s="90"/>
    </row>
    <row r="366" spans="1:11">
      <c r="A366" s="90"/>
      <c r="C366" s="90"/>
      <c r="D366" s="90"/>
      <c r="E366" s="90"/>
      <c r="F366" s="90"/>
      <c r="G366" s="643"/>
      <c r="H366" s="643"/>
      <c r="I366" s="90"/>
      <c r="J366" s="90"/>
      <c r="K366" s="90"/>
    </row>
    <row r="367" spans="1:11">
      <c r="A367" s="90"/>
      <c r="C367" s="90"/>
      <c r="D367" s="90"/>
      <c r="E367" s="90"/>
      <c r="F367" s="90"/>
      <c r="G367" s="643"/>
      <c r="H367" s="643"/>
      <c r="I367" s="90"/>
      <c r="J367" s="90"/>
      <c r="K367" s="90"/>
    </row>
    <row r="368" spans="1:11">
      <c r="A368" s="90"/>
      <c r="C368" s="90"/>
      <c r="D368" s="90"/>
      <c r="E368" s="90"/>
      <c r="F368" s="90"/>
      <c r="G368" s="643"/>
      <c r="H368" s="643"/>
      <c r="I368" s="90"/>
      <c r="J368" s="90"/>
      <c r="K368" s="90"/>
    </row>
    <row r="369" spans="1:11">
      <c r="A369" s="90"/>
      <c r="C369" s="90"/>
      <c r="D369" s="90"/>
      <c r="E369" s="90"/>
      <c r="F369" s="90"/>
      <c r="G369" s="643"/>
      <c r="H369" s="643"/>
      <c r="I369" s="90"/>
      <c r="J369" s="90"/>
      <c r="K369" s="90"/>
    </row>
    <row r="370" spans="1:11">
      <c r="A370" s="90"/>
      <c r="C370" s="90"/>
      <c r="D370" s="90"/>
      <c r="E370" s="90"/>
      <c r="F370" s="90"/>
      <c r="G370" s="643"/>
      <c r="H370" s="643"/>
      <c r="I370" s="90"/>
      <c r="J370" s="90"/>
      <c r="K370" s="90"/>
    </row>
    <row r="371" spans="1:11">
      <c r="A371" s="90"/>
      <c r="C371" s="90"/>
      <c r="D371" s="90"/>
      <c r="E371" s="90"/>
      <c r="F371" s="90"/>
      <c r="G371" s="643"/>
      <c r="H371" s="643"/>
      <c r="I371" s="90"/>
      <c r="J371" s="90"/>
      <c r="K371" s="90"/>
    </row>
    <row r="372" spans="1:11">
      <c r="A372" s="90"/>
      <c r="C372" s="90"/>
      <c r="D372" s="90"/>
      <c r="E372" s="90"/>
      <c r="F372" s="90"/>
      <c r="G372" s="643"/>
      <c r="H372" s="643"/>
      <c r="I372" s="90"/>
      <c r="J372" s="90"/>
      <c r="K372" s="90"/>
    </row>
    <row r="373" spans="1:11">
      <c r="A373" s="90"/>
      <c r="C373" s="90"/>
      <c r="D373" s="90"/>
      <c r="E373" s="90"/>
      <c r="F373" s="90"/>
      <c r="G373" s="643"/>
      <c r="H373" s="643"/>
      <c r="I373" s="90"/>
      <c r="J373" s="90"/>
      <c r="K373" s="90"/>
    </row>
    <row r="374" spans="1:11">
      <c r="A374" s="90"/>
      <c r="C374" s="90"/>
      <c r="D374" s="90"/>
      <c r="E374" s="90"/>
      <c r="F374" s="90"/>
      <c r="G374" s="643"/>
      <c r="H374" s="643"/>
      <c r="I374" s="90"/>
      <c r="J374" s="90"/>
      <c r="K374" s="90"/>
    </row>
    <row r="375" spans="1:11">
      <c r="A375" s="90"/>
      <c r="C375" s="90"/>
      <c r="D375" s="90"/>
      <c r="E375" s="90"/>
      <c r="F375" s="90"/>
      <c r="G375" s="643"/>
      <c r="H375" s="643"/>
      <c r="I375" s="90"/>
      <c r="J375" s="90"/>
      <c r="K375" s="90"/>
    </row>
    <row r="376" spans="1:11">
      <c r="A376" s="90"/>
      <c r="C376" s="90"/>
      <c r="D376" s="90"/>
      <c r="E376" s="90"/>
      <c r="F376" s="90"/>
      <c r="G376" s="643"/>
      <c r="H376" s="643"/>
      <c r="I376" s="90"/>
      <c r="J376" s="90"/>
      <c r="K376" s="90"/>
    </row>
    <row r="377" spans="1:11">
      <c r="A377" s="90"/>
      <c r="C377" s="90"/>
      <c r="D377" s="90"/>
      <c r="E377" s="90"/>
      <c r="F377" s="90"/>
      <c r="G377" s="643"/>
      <c r="H377" s="643"/>
      <c r="I377" s="90"/>
      <c r="J377" s="90"/>
      <c r="K377" s="90"/>
    </row>
    <row r="378" spans="1:11">
      <c r="A378" s="90"/>
      <c r="C378" s="90"/>
      <c r="D378" s="90"/>
      <c r="E378" s="90"/>
      <c r="F378" s="90"/>
      <c r="G378" s="643"/>
      <c r="H378" s="643"/>
      <c r="I378" s="90"/>
      <c r="J378" s="90"/>
      <c r="K378" s="90"/>
    </row>
    <row r="379" spans="1:11">
      <c r="A379" s="90"/>
      <c r="C379" s="90"/>
      <c r="D379" s="90"/>
      <c r="E379" s="90"/>
      <c r="F379" s="90"/>
      <c r="G379" s="643"/>
      <c r="H379" s="643"/>
      <c r="I379" s="90"/>
      <c r="J379" s="90"/>
      <c r="K379" s="90"/>
    </row>
    <row r="380" spans="1:11">
      <c r="A380" s="90"/>
      <c r="C380" s="90"/>
      <c r="D380" s="90"/>
      <c r="E380" s="90"/>
      <c r="F380" s="90"/>
      <c r="G380" s="643"/>
      <c r="H380" s="643"/>
      <c r="I380" s="90"/>
      <c r="J380" s="90"/>
      <c r="K380" s="90"/>
    </row>
    <row r="381" spans="1:11">
      <c r="A381" s="90"/>
      <c r="C381" s="90"/>
      <c r="D381" s="90"/>
      <c r="E381" s="90"/>
      <c r="F381" s="90"/>
      <c r="G381" s="643"/>
      <c r="H381" s="643"/>
      <c r="I381" s="90"/>
      <c r="J381" s="90"/>
      <c r="K381" s="90"/>
    </row>
    <row r="382" spans="1:11">
      <c r="A382" s="90"/>
      <c r="C382" s="90"/>
      <c r="D382" s="90"/>
      <c r="E382" s="90"/>
      <c r="F382" s="90"/>
      <c r="G382" s="643"/>
      <c r="H382" s="643"/>
      <c r="I382" s="90"/>
      <c r="J382" s="90"/>
      <c r="K382" s="90"/>
    </row>
    <row r="383" spans="1:11">
      <c r="A383" s="90"/>
      <c r="C383" s="90"/>
      <c r="D383" s="90"/>
      <c r="E383" s="90"/>
      <c r="F383" s="90"/>
      <c r="G383" s="643"/>
      <c r="H383" s="643"/>
      <c r="I383" s="90"/>
      <c r="J383" s="90"/>
      <c r="K383" s="90"/>
    </row>
    <row r="384" spans="1:11">
      <c r="A384" s="90"/>
      <c r="C384" s="90"/>
      <c r="D384" s="90"/>
      <c r="E384" s="90"/>
      <c r="F384" s="90"/>
      <c r="G384" s="643"/>
      <c r="H384" s="643"/>
      <c r="I384" s="90"/>
      <c r="J384" s="90"/>
      <c r="K384" s="90"/>
    </row>
    <row r="385" spans="1:11">
      <c r="A385" s="90"/>
      <c r="C385" s="90"/>
      <c r="D385" s="90"/>
      <c r="E385" s="90"/>
      <c r="F385" s="90"/>
      <c r="G385" s="643"/>
      <c r="H385" s="643"/>
      <c r="I385" s="90"/>
      <c r="J385" s="90"/>
      <c r="K385" s="90"/>
    </row>
    <row r="386" spans="1:11">
      <c r="A386" s="90"/>
      <c r="C386" s="90"/>
      <c r="D386" s="90"/>
      <c r="E386" s="90"/>
      <c r="F386" s="90"/>
      <c r="G386" s="643"/>
      <c r="H386" s="643"/>
      <c r="I386" s="90"/>
      <c r="J386" s="90"/>
      <c r="K386" s="90"/>
    </row>
    <row r="387" spans="1:11">
      <c r="A387" s="90"/>
      <c r="C387" s="90"/>
      <c r="D387" s="90"/>
      <c r="E387" s="90"/>
      <c r="F387" s="90"/>
      <c r="G387" s="643"/>
      <c r="H387" s="643"/>
      <c r="I387" s="90"/>
      <c r="J387" s="90"/>
      <c r="K387" s="90"/>
    </row>
    <row r="388" spans="1:11">
      <c r="A388" s="90"/>
      <c r="C388" s="90"/>
      <c r="D388" s="90"/>
      <c r="E388" s="90"/>
      <c r="F388" s="90"/>
      <c r="G388" s="643"/>
      <c r="H388" s="643"/>
      <c r="I388" s="90"/>
      <c r="J388" s="90"/>
      <c r="K388" s="90"/>
    </row>
    <row r="389" spans="1:11">
      <c r="A389" s="90"/>
      <c r="C389" s="90"/>
      <c r="D389" s="90"/>
      <c r="E389" s="90"/>
      <c r="F389" s="90"/>
      <c r="G389" s="643"/>
      <c r="H389" s="643"/>
      <c r="I389" s="90"/>
      <c r="J389" s="90"/>
      <c r="K389" s="90"/>
    </row>
    <row r="390" spans="1:11">
      <c r="A390" s="90"/>
      <c r="C390" s="90"/>
      <c r="D390" s="90"/>
      <c r="E390" s="90"/>
      <c r="F390" s="90"/>
      <c r="G390" s="643"/>
      <c r="H390" s="643"/>
      <c r="I390" s="90"/>
      <c r="J390" s="90"/>
      <c r="K390" s="90"/>
    </row>
    <row r="391" spans="1:11">
      <c r="A391" s="90"/>
      <c r="C391" s="90"/>
      <c r="D391" s="90"/>
      <c r="E391" s="90"/>
      <c r="F391" s="90"/>
      <c r="G391" s="643"/>
      <c r="H391" s="643"/>
      <c r="I391" s="90"/>
      <c r="J391" s="90"/>
      <c r="K391" s="90"/>
    </row>
    <row r="392" spans="1:11">
      <c r="A392" s="90"/>
      <c r="C392" s="90"/>
      <c r="D392" s="90"/>
      <c r="E392" s="90"/>
      <c r="F392" s="90"/>
      <c r="G392" s="643"/>
      <c r="H392" s="643"/>
      <c r="I392" s="90"/>
      <c r="J392" s="90"/>
      <c r="K392" s="90"/>
    </row>
    <row r="393" spans="1:11">
      <c r="A393" s="90"/>
      <c r="C393" s="90"/>
      <c r="D393" s="90"/>
      <c r="E393" s="90"/>
      <c r="F393" s="90"/>
      <c r="G393" s="643"/>
      <c r="H393" s="643"/>
      <c r="I393" s="90"/>
      <c r="J393" s="90"/>
      <c r="K393" s="90"/>
    </row>
    <row r="394" spans="1:11">
      <c r="A394" s="90"/>
      <c r="C394" s="90"/>
      <c r="D394" s="90"/>
      <c r="E394" s="90"/>
      <c r="F394" s="90"/>
      <c r="G394" s="643"/>
      <c r="H394" s="643"/>
      <c r="I394" s="90"/>
      <c r="J394" s="90"/>
      <c r="K394" s="90"/>
    </row>
    <row r="395" spans="1:11">
      <c r="A395" s="90"/>
      <c r="C395" s="90"/>
      <c r="D395" s="90"/>
      <c r="E395" s="90"/>
      <c r="F395" s="90"/>
      <c r="G395" s="643"/>
      <c r="H395" s="643"/>
      <c r="I395" s="90"/>
      <c r="J395" s="90"/>
      <c r="K395" s="90"/>
    </row>
    <row r="396" spans="1:11">
      <c r="A396" s="90"/>
      <c r="C396" s="90"/>
      <c r="D396" s="90"/>
      <c r="E396" s="90"/>
      <c r="F396" s="90"/>
      <c r="G396" s="643"/>
      <c r="H396" s="643"/>
      <c r="I396" s="90"/>
      <c r="J396" s="90"/>
      <c r="K396" s="90"/>
    </row>
    <row r="397" spans="1:11">
      <c r="A397" s="90"/>
      <c r="C397" s="90"/>
      <c r="D397" s="90"/>
      <c r="E397" s="90"/>
      <c r="F397" s="90"/>
      <c r="G397" s="643"/>
      <c r="H397" s="643"/>
      <c r="I397" s="90"/>
      <c r="J397" s="90"/>
      <c r="K397" s="90"/>
    </row>
    <row r="398" spans="1:11">
      <c r="A398" s="90"/>
      <c r="C398" s="90"/>
      <c r="D398" s="90"/>
      <c r="E398" s="90"/>
      <c r="F398" s="90"/>
      <c r="G398" s="643"/>
      <c r="H398" s="643"/>
      <c r="I398" s="90"/>
      <c r="J398" s="90"/>
      <c r="K398" s="90"/>
    </row>
    <row r="399" spans="1:11">
      <c r="A399" s="90"/>
      <c r="C399" s="90"/>
      <c r="D399" s="90"/>
      <c r="E399" s="90"/>
      <c r="F399" s="90"/>
      <c r="G399" s="643"/>
      <c r="H399" s="643"/>
      <c r="I399" s="90"/>
      <c r="J399" s="90"/>
      <c r="K399" s="90"/>
    </row>
    <row r="400" spans="1:11">
      <c r="A400" s="90"/>
      <c r="C400" s="90"/>
      <c r="D400" s="90"/>
      <c r="E400" s="90"/>
      <c r="F400" s="90"/>
      <c r="G400" s="643"/>
      <c r="H400" s="643"/>
      <c r="I400" s="90"/>
      <c r="J400" s="90"/>
      <c r="K400" s="90"/>
    </row>
    <row r="401" spans="1:11">
      <c r="A401" s="90"/>
      <c r="C401" s="90"/>
      <c r="D401" s="90"/>
      <c r="E401" s="90"/>
      <c r="F401" s="90"/>
      <c r="G401" s="643"/>
      <c r="H401" s="643"/>
      <c r="I401" s="90"/>
      <c r="J401" s="90"/>
      <c r="K401" s="90"/>
    </row>
    <row r="402" spans="1:11">
      <c r="A402" s="90"/>
      <c r="C402" s="90"/>
      <c r="D402" s="90"/>
      <c r="E402" s="90"/>
      <c r="F402" s="90"/>
      <c r="G402" s="643"/>
      <c r="H402" s="643"/>
      <c r="I402" s="90"/>
      <c r="J402" s="90"/>
      <c r="K402" s="90"/>
    </row>
    <row r="403" spans="1:11">
      <c r="A403" s="90"/>
      <c r="C403" s="90"/>
      <c r="D403" s="90"/>
      <c r="E403" s="90"/>
      <c r="F403" s="90"/>
      <c r="G403" s="643"/>
      <c r="H403" s="643"/>
      <c r="I403" s="90"/>
      <c r="J403" s="90"/>
      <c r="K403" s="90"/>
    </row>
    <row r="404" spans="1:11">
      <c r="A404" s="90"/>
      <c r="C404" s="90"/>
      <c r="D404" s="90"/>
      <c r="E404" s="90"/>
      <c r="F404" s="90"/>
      <c r="G404" s="643"/>
      <c r="H404" s="643"/>
      <c r="I404" s="90"/>
      <c r="J404" s="90"/>
      <c r="K404" s="90"/>
    </row>
    <row r="405" spans="1:11">
      <c r="A405" s="90"/>
      <c r="C405" s="90"/>
      <c r="D405" s="90"/>
      <c r="E405" s="90"/>
      <c r="F405" s="90"/>
      <c r="G405" s="643"/>
      <c r="H405" s="643"/>
      <c r="I405" s="90"/>
      <c r="J405" s="90"/>
      <c r="K405" s="90"/>
    </row>
    <row r="406" spans="1:11">
      <c r="A406" s="90"/>
      <c r="C406" s="90"/>
      <c r="D406" s="90"/>
      <c r="E406" s="90"/>
      <c r="F406" s="90"/>
      <c r="G406" s="643"/>
      <c r="H406" s="643"/>
      <c r="I406" s="90"/>
      <c r="J406" s="90"/>
      <c r="K406" s="90"/>
    </row>
    <row r="407" spans="1:11">
      <c r="A407" s="90"/>
      <c r="C407" s="90"/>
      <c r="D407" s="90"/>
      <c r="E407" s="90"/>
      <c r="F407" s="90"/>
      <c r="G407" s="643"/>
      <c r="H407" s="643"/>
      <c r="I407" s="90"/>
      <c r="J407" s="90"/>
      <c r="K407" s="90"/>
    </row>
    <row r="408" spans="1:11">
      <c r="A408" s="90"/>
      <c r="C408" s="90"/>
      <c r="D408" s="90"/>
      <c r="E408" s="90"/>
      <c r="F408" s="90"/>
      <c r="G408" s="643"/>
      <c r="H408" s="643"/>
      <c r="I408" s="90"/>
      <c r="J408" s="90"/>
      <c r="K408" s="90"/>
    </row>
    <row r="409" spans="1:11">
      <c r="A409" s="90"/>
      <c r="C409" s="90"/>
      <c r="D409" s="90"/>
      <c r="E409" s="90"/>
      <c r="F409" s="90"/>
      <c r="G409" s="643"/>
      <c r="H409" s="643"/>
      <c r="I409" s="90"/>
      <c r="J409" s="90"/>
      <c r="K409" s="90"/>
    </row>
    <row r="410" spans="1:11">
      <c r="A410" s="90"/>
      <c r="C410" s="90"/>
      <c r="D410" s="90"/>
      <c r="E410" s="90"/>
      <c r="F410" s="90"/>
      <c r="G410" s="643"/>
      <c r="H410" s="643"/>
      <c r="I410" s="90"/>
      <c r="J410" s="90"/>
      <c r="K410" s="90"/>
    </row>
    <row r="411" spans="1:11">
      <c r="A411" s="90"/>
      <c r="C411" s="90"/>
      <c r="D411" s="90"/>
      <c r="E411" s="90"/>
      <c r="F411" s="90"/>
      <c r="G411" s="643"/>
      <c r="H411" s="643"/>
      <c r="I411" s="90"/>
      <c r="J411" s="90"/>
      <c r="K411" s="90"/>
    </row>
    <row r="412" spans="1:11">
      <c r="A412" s="90"/>
      <c r="C412" s="90"/>
      <c r="D412" s="90"/>
      <c r="E412" s="90"/>
      <c r="F412" s="90"/>
      <c r="G412" s="643"/>
      <c r="H412" s="643"/>
      <c r="I412" s="90"/>
      <c r="J412" s="90"/>
      <c r="K412" s="90"/>
    </row>
    <row r="413" spans="1:11">
      <c r="A413" s="90"/>
      <c r="C413" s="90"/>
      <c r="D413" s="90"/>
      <c r="E413" s="90"/>
      <c r="F413" s="90"/>
      <c r="G413" s="643"/>
      <c r="H413" s="643"/>
      <c r="I413" s="90"/>
      <c r="J413" s="90"/>
      <c r="K413" s="90"/>
    </row>
    <row r="414" spans="1:11">
      <c r="A414" s="90"/>
      <c r="C414" s="90"/>
      <c r="D414" s="90"/>
      <c r="E414" s="90"/>
      <c r="F414" s="90"/>
      <c r="G414" s="643"/>
      <c r="H414" s="643"/>
      <c r="I414" s="90"/>
      <c r="J414" s="90"/>
      <c r="K414" s="90"/>
    </row>
    <row r="415" spans="1:11">
      <c r="A415" s="90"/>
      <c r="C415" s="90"/>
      <c r="D415" s="90"/>
      <c r="E415" s="90"/>
      <c r="F415" s="90"/>
      <c r="G415" s="643"/>
      <c r="H415" s="643"/>
      <c r="I415" s="90"/>
      <c r="J415" s="90"/>
      <c r="K415" s="90"/>
    </row>
    <row r="416" spans="1:11">
      <c r="A416" s="90"/>
      <c r="C416" s="90"/>
      <c r="D416" s="90"/>
      <c r="E416" s="90"/>
      <c r="F416" s="90"/>
      <c r="G416" s="643"/>
      <c r="H416" s="643"/>
      <c r="I416" s="90"/>
      <c r="J416" s="90"/>
      <c r="K416" s="90"/>
    </row>
    <row r="417" spans="1:11">
      <c r="A417" s="90"/>
      <c r="C417" s="90"/>
      <c r="D417" s="90"/>
      <c r="E417" s="90"/>
      <c r="F417" s="90"/>
      <c r="G417" s="643"/>
      <c r="H417" s="643"/>
      <c r="I417" s="90"/>
      <c r="J417" s="90"/>
      <c r="K417" s="90"/>
    </row>
    <row r="418" spans="1:11">
      <c r="A418" s="90"/>
      <c r="C418" s="90"/>
      <c r="D418" s="90"/>
      <c r="E418" s="90"/>
      <c r="F418" s="90"/>
      <c r="G418" s="643"/>
      <c r="H418" s="643"/>
      <c r="I418" s="90"/>
      <c r="J418" s="90"/>
      <c r="K418" s="90"/>
    </row>
    <row r="419" spans="1:11">
      <c r="A419" s="90"/>
      <c r="C419" s="90"/>
      <c r="D419" s="90"/>
      <c r="E419" s="90"/>
      <c r="F419" s="90"/>
      <c r="G419" s="643"/>
      <c r="H419" s="643"/>
      <c r="I419" s="90"/>
      <c r="J419" s="90"/>
      <c r="K419" s="90"/>
    </row>
    <row r="420" spans="1:11">
      <c r="A420" s="90"/>
      <c r="C420" s="90"/>
      <c r="D420" s="90"/>
      <c r="E420" s="90"/>
      <c r="F420" s="90"/>
      <c r="G420" s="643"/>
      <c r="H420" s="643"/>
      <c r="I420" s="90"/>
      <c r="J420" s="90"/>
      <c r="K420" s="90"/>
    </row>
    <row r="421" spans="1:11">
      <c r="A421" s="90"/>
      <c r="C421" s="90"/>
      <c r="D421" s="90"/>
      <c r="E421" s="90"/>
      <c r="F421" s="90"/>
      <c r="G421" s="643"/>
      <c r="H421" s="643"/>
      <c r="I421" s="90"/>
      <c r="J421" s="90"/>
      <c r="K421" s="90"/>
    </row>
    <row r="422" spans="1:11">
      <c r="A422" s="90"/>
      <c r="C422" s="90"/>
      <c r="D422" s="90"/>
      <c r="E422" s="90"/>
      <c r="F422" s="90"/>
      <c r="G422" s="643"/>
      <c r="H422" s="643"/>
      <c r="I422" s="90"/>
      <c r="J422" s="90"/>
      <c r="K422" s="90"/>
    </row>
    <row r="423" spans="1:11">
      <c r="A423" s="90"/>
      <c r="C423" s="90"/>
      <c r="D423" s="90"/>
      <c r="E423" s="90"/>
      <c r="F423" s="90"/>
      <c r="G423" s="643"/>
      <c r="H423" s="643"/>
      <c r="I423" s="90"/>
      <c r="J423" s="90"/>
      <c r="K423" s="90"/>
    </row>
    <row r="424" spans="1:11">
      <c r="A424" s="90"/>
      <c r="C424" s="90"/>
      <c r="D424" s="90"/>
      <c r="E424" s="90"/>
      <c r="F424" s="90"/>
      <c r="G424" s="643"/>
      <c r="H424" s="643"/>
      <c r="I424" s="90"/>
      <c r="J424" s="90"/>
      <c r="K424" s="90"/>
    </row>
    <row r="425" spans="1:11">
      <c r="A425" s="90"/>
      <c r="C425" s="90"/>
      <c r="D425" s="90"/>
      <c r="E425" s="90"/>
      <c r="F425" s="90"/>
      <c r="G425" s="643"/>
      <c r="H425" s="643"/>
      <c r="I425" s="90"/>
      <c r="J425" s="90"/>
      <c r="K425" s="90"/>
    </row>
    <row r="426" spans="1:11">
      <c r="A426" s="90"/>
      <c r="C426" s="90"/>
      <c r="D426" s="90"/>
      <c r="E426" s="90"/>
      <c r="F426" s="90"/>
      <c r="G426" s="643"/>
      <c r="H426" s="643"/>
      <c r="I426" s="90"/>
      <c r="J426" s="90"/>
      <c r="K426" s="90"/>
    </row>
    <row r="427" spans="1:11">
      <c r="A427" s="90"/>
      <c r="C427" s="90"/>
      <c r="D427" s="90"/>
      <c r="E427" s="90"/>
      <c r="F427" s="90"/>
      <c r="G427" s="643"/>
      <c r="H427" s="643"/>
      <c r="I427" s="90"/>
      <c r="J427" s="90"/>
      <c r="K427" s="90"/>
    </row>
    <row r="428" spans="1:11">
      <c r="A428" s="90"/>
      <c r="C428" s="90"/>
      <c r="D428" s="90"/>
      <c r="E428" s="90"/>
      <c r="F428" s="90"/>
      <c r="G428" s="643"/>
      <c r="H428" s="643"/>
      <c r="I428" s="90"/>
      <c r="J428" s="90"/>
      <c r="K428" s="90"/>
    </row>
    <row r="429" spans="1:11">
      <c r="A429" s="90"/>
      <c r="C429" s="90"/>
      <c r="D429" s="90"/>
      <c r="E429" s="90"/>
      <c r="F429" s="90"/>
      <c r="G429" s="643"/>
      <c r="H429" s="643"/>
      <c r="I429" s="90"/>
      <c r="J429" s="90"/>
      <c r="K429" s="90"/>
    </row>
    <row r="430" spans="1:11">
      <c r="A430" s="90"/>
      <c r="C430" s="90"/>
      <c r="D430" s="90"/>
      <c r="E430" s="90"/>
      <c r="F430" s="90"/>
      <c r="G430" s="643"/>
      <c r="H430" s="643"/>
      <c r="I430" s="90"/>
      <c r="J430" s="90"/>
      <c r="K430" s="90"/>
    </row>
    <row r="431" spans="1:11">
      <c r="A431" s="90"/>
      <c r="C431" s="90"/>
      <c r="D431" s="90"/>
      <c r="E431" s="90"/>
      <c r="F431" s="90"/>
      <c r="G431" s="643"/>
      <c r="H431" s="643"/>
      <c r="I431" s="90"/>
      <c r="J431" s="90"/>
      <c r="K431" s="90"/>
    </row>
    <row r="432" spans="1:11">
      <c r="A432" s="90"/>
      <c r="C432" s="90"/>
      <c r="D432" s="90"/>
      <c r="E432" s="90"/>
      <c r="F432" s="90"/>
      <c r="G432" s="643"/>
      <c r="H432" s="643"/>
      <c r="I432" s="90"/>
      <c r="J432" s="90"/>
      <c r="K432" s="90"/>
    </row>
    <row r="433" spans="1:11">
      <c r="A433" s="90"/>
      <c r="C433" s="90"/>
      <c r="D433" s="90"/>
      <c r="E433" s="90"/>
      <c r="F433" s="90"/>
      <c r="G433" s="643"/>
      <c r="H433" s="643"/>
      <c r="I433" s="90"/>
      <c r="J433" s="90"/>
      <c r="K433" s="90"/>
    </row>
    <row r="434" spans="1:11">
      <c r="A434" s="90"/>
      <c r="C434" s="90"/>
      <c r="D434" s="90"/>
      <c r="E434" s="90"/>
      <c r="F434" s="90"/>
      <c r="G434" s="643"/>
      <c r="H434" s="643"/>
      <c r="I434" s="90"/>
      <c r="J434" s="90"/>
      <c r="K434" s="90"/>
    </row>
    <row r="435" spans="1:11">
      <c r="A435" s="90"/>
      <c r="C435" s="90"/>
      <c r="D435" s="90"/>
      <c r="E435" s="90"/>
      <c r="F435" s="90"/>
      <c r="G435" s="643"/>
      <c r="H435" s="643"/>
      <c r="I435" s="90"/>
      <c r="J435" s="90"/>
      <c r="K435" s="90"/>
    </row>
    <row r="436" spans="1:11">
      <c r="A436" s="90"/>
      <c r="C436" s="90"/>
      <c r="D436" s="90"/>
      <c r="E436" s="90"/>
      <c r="F436" s="90"/>
      <c r="G436" s="643"/>
      <c r="H436" s="643"/>
      <c r="I436" s="90"/>
      <c r="J436" s="90"/>
      <c r="K436" s="90"/>
    </row>
    <row r="437" spans="1:11">
      <c r="A437" s="90"/>
      <c r="C437" s="90"/>
      <c r="D437" s="90"/>
      <c r="E437" s="90"/>
      <c r="F437" s="90"/>
      <c r="G437" s="643"/>
      <c r="H437" s="643"/>
      <c r="I437" s="90"/>
      <c r="J437" s="90"/>
      <c r="K437" s="90"/>
    </row>
    <row r="438" spans="1:11">
      <c r="A438" s="90"/>
      <c r="C438" s="90"/>
      <c r="D438" s="90"/>
      <c r="E438" s="90"/>
      <c r="F438" s="90"/>
      <c r="G438" s="643"/>
      <c r="H438" s="643"/>
      <c r="I438" s="90"/>
      <c r="J438" s="90"/>
      <c r="K438" s="90"/>
    </row>
    <row r="439" spans="1:11">
      <c r="A439" s="90"/>
      <c r="C439" s="90"/>
      <c r="D439" s="90"/>
      <c r="E439" s="90"/>
      <c r="F439" s="90"/>
      <c r="G439" s="643"/>
      <c r="H439" s="643"/>
      <c r="I439" s="90"/>
      <c r="J439" s="90"/>
      <c r="K439" s="90"/>
    </row>
    <row r="440" spans="1:11">
      <c r="A440" s="90"/>
      <c r="C440" s="90"/>
      <c r="D440" s="90"/>
      <c r="E440" s="90"/>
      <c r="F440" s="90"/>
      <c r="G440" s="643"/>
      <c r="H440" s="643"/>
      <c r="I440" s="90"/>
      <c r="J440" s="90"/>
      <c r="K440" s="90"/>
    </row>
    <row r="441" spans="1:11">
      <c r="A441" s="90"/>
      <c r="C441" s="90"/>
      <c r="D441" s="90"/>
      <c r="E441" s="90"/>
      <c r="F441" s="90"/>
      <c r="G441" s="643"/>
      <c r="H441" s="643"/>
      <c r="I441" s="90"/>
      <c r="J441" s="90"/>
      <c r="K441" s="90"/>
    </row>
    <row r="442" spans="1:11">
      <c r="A442" s="90"/>
      <c r="C442" s="90"/>
      <c r="D442" s="90"/>
      <c r="E442" s="90"/>
      <c r="F442" s="90"/>
      <c r="G442" s="643"/>
      <c r="H442" s="643"/>
      <c r="I442" s="90"/>
      <c r="J442" s="90"/>
      <c r="K442" s="90"/>
    </row>
    <row r="443" spans="1:11">
      <c r="A443" s="90"/>
      <c r="C443" s="90"/>
      <c r="D443" s="90"/>
      <c r="E443" s="90"/>
      <c r="F443" s="90"/>
      <c r="G443" s="643"/>
      <c r="H443" s="643"/>
      <c r="I443" s="90"/>
      <c r="J443" s="90"/>
      <c r="K443" s="90"/>
    </row>
    <row r="444" spans="1:11">
      <c r="A444" s="90"/>
      <c r="C444" s="90"/>
      <c r="D444" s="90"/>
      <c r="E444" s="90"/>
      <c r="F444" s="90"/>
      <c r="G444" s="643"/>
      <c r="H444" s="643"/>
      <c r="I444" s="90"/>
      <c r="J444" s="90"/>
      <c r="K444" s="90"/>
    </row>
    <row r="445" spans="1:11">
      <c r="A445" s="90"/>
      <c r="C445" s="90"/>
      <c r="D445" s="90"/>
      <c r="E445" s="90"/>
      <c r="F445" s="90"/>
      <c r="G445" s="643"/>
      <c r="H445" s="643"/>
      <c r="I445" s="90"/>
      <c r="J445" s="90"/>
      <c r="K445" s="90"/>
    </row>
    <row r="446" spans="1:11">
      <c r="A446" s="90"/>
      <c r="C446" s="90"/>
      <c r="D446" s="90"/>
      <c r="E446" s="90"/>
      <c r="F446" s="90"/>
      <c r="G446" s="643"/>
      <c r="H446" s="643"/>
      <c r="I446" s="90"/>
      <c r="J446" s="90"/>
      <c r="K446" s="90"/>
    </row>
    <row r="447" spans="1:11">
      <c r="A447" s="90"/>
      <c r="C447" s="90"/>
      <c r="D447" s="90"/>
      <c r="E447" s="90"/>
      <c r="F447" s="90"/>
      <c r="G447" s="643"/>
      <c r="H447" s="643"/>
      <c r="I447" s="90"/>
      <c r="J447" s="90"/>
      <c r="K447" s="90"/>
    </row>
    <row r="448" spans="1:11">
      <c r="A448" s="90"/>
      <c r="C448" s="90"/>
      <c r="D448" s="90"/>
      <c r="E448" s="90"/>
      <c r="F448" s="90"/>
      <c r="G448" s="643"/>
      <c r="H448" s="643"/>
      <c r="I448" s="90"/>
      <c r="J448" s="90"/>
      <c r="K448" s="90"/>
    </row>
    <row r="449" spans="1:11">
      <c r="A449" s="90"/>
      <c r="C449" s="90"/>
      <c r="D449" s="90"/>
      <c r="E449" s="90"/>
      <c r="F449" s="90"/>
      <c r="G449" s="643"/>
      <c r="H449" s="643"/>
      <c r="I449" s="90"/>
      <c r="J449" s="90"/>
      <c r="K449" s="90"/>
    </row>
    <row r="450" spans="1:11">
      <c r="A450" s="90"/>
      <c r="C450" s="90"/>
      <c r="D450" s="90"/>
      <c r="E450" s="90"/>
      <c r="F450" s="90"/>
      <c r="G450" s="643"/>
      <c r="H450" s="643"/>
      <c r="I450" s="90"/>
      <c r="J450" s="90"/>
      <c r="K450" s="90"/>
    </row>
    <row r="451" spans="1:11">
      <c r="A451" s="90"/>
      <c r="C451" s="90"/>
      <c r="D451" s="90"/>
      <c r="E451" s="90"/>
      <c r="F451" s="90"/>
      <c r="G451" s="643"/>
      <c r="H451" s="643"/>
      <c r="I451" s="90"/>
      <c r="J451" s="90"/>
      <c r="K451" s="90"/>
    </row>
    <row r="452" spans="1:11">
      <c r="A452" s="90"/>
      <c r="C452" s="90"/>
      <c r="D452" s="90"/>
      <c r="E452" s="90"/>
      <c r="F452" s="90"/>
      <c r="G452" s="643"/>
      <c r="H452" s="643"/>
      <c r="I452" s="90"/>
      <c r="J452" s="90"/>
      <c r="K452" s="90"/>
    </row>
    <row r="453" spans="1:11">
      <c r="A453" s="90"/>
      <c r="C453" s="90"/>
      <c r="D453" s="90"/>
      <c r="E453" s="90"/>
      <c r="F453" s="90"/>
      <c r="G453" s="643"/>
      <c r="H453" s="643"/>
      <c r="I453" s="90"/>
      <c r="J453" s="90"/>
      <c r="K453" s="90"/>
    </row>
    <row r="454" spans="1:11">
      <c r="A454" s="90"/>
      <c r="C454" s="90"/>
      <c r="D454" s="90"/>
      <c r="E454" s="90"/>
      <c r="F454" s="90"/>
      <c r="G454" s="643"/>
      <c r="H454" s="643"/>
      <c r="I454" s="90"/>
      <c r="J454" s="90"/>
      <c r="K454" s="90"/>
    </row>
    <row r="455" spans="1:11">
      <c r="A455" s="90"/>
      <c r="C455" s="90"/>
      <c r="D455" s="90"/>
      <c r="E455" s="90"/>
      <c r="F455" s="90"/>
      <c r="G455" s="643"/>
      <c r="H455" s="643"/>
      <c r="I455" s="90"/>
      <c r="J455" s="90"/>
      <c r="K455" s="90"/>
    </row>
    <row r="456" spans="1:11">
      <c r="A456" s="90"/>
      <c r="C456" s="90"/>
      <c r="D456" s="90"/>
      <c r="E456" s="90"/>
      <c r="F456" s="90"/>
      <c r="G456" s="643"/>
      <c r="H456" s="643"/>
      <c r="I456" s="90"/>
      <c r="J456" s="90"/>
      <c r="K456" s="90"/>
    </row>
    <row r="457" spans="1:11">
      <c r="A457" s="90"/>
      <c r="C457" s="90"/>
      <c r="D457" s="90"/>
      <c r="E457" s="90"/>
      <c r="F457" s="90"/>
      <c r="G457" s="643"/>
      <c r="H457" s="643"/>
      <c r="I457" s="90"/>
      <c r="J457" s="90"/>
      <c r="K457" s="90"/>
    </row>
    <row r="458" spans="1:11">
      <c r="A458" s="90"/>
      <c r="C458" s="90"/>
      <c r="D458" s="90"/>
      <c r="E458" s="90"/>
      <c r="F458" s="90"/>
      <c r="G458" s="643"/>
      <c r="H458" s="643"/>
      <c r="I458" s="90"/>
      <c r="J458" s="90"/>
      <c r="K458" s="90"/>
    </row>
    <row r="459" spans="1:11">
      <c r="A459" s="90"/>
      <c r="C459" s="90"/>
      <c r="D459" s="90"/>
      <c r="E459" s="90"/>
      <c r="F459" s="90"/>
      <c r="G459" s="643"/>
      <c r="H459" s="643"/>
      <c r="I459" s="90"/>
      <c r="J459" s="90"/>
      <c r="K459" s="90"/>
    </row>
    <row r="460" spans="1:11">
      <c r="A460" s="90"/>
      <c r="C460" s="90"/>
      <c r="D460" s="90"/>
      <c r="E460" s="90"/>
      <c r="F460" s="90"/>
      <c r="G460" s="643"/>
      <c r="H460" s="643"/>
      <c r="I460" s="90"/>
      <c r="J460" s="90"/>
      <c r="K460" s="90"/>
    </row>
    <row r="461" spans="1:11">
      <c r="A461" s="90"/>
      <c r="C461" s="90"/>
      <c r="D461" s="90"/>
      <c r="E461" s="90"/>
      <c r="F461" s="90"/>
      <c r="G461" s="643"/>
      <c r="H461" s="643"/>
      <c r="I461" s="90"/>
      <c r="J461" s="90"/>
      <c r="K461" s="90"/>
    </row>
    <row r="462" spans="1:11">
      <c r="A462" s="90"/>
      <c r="C462" s="90"/>
      <c r="D462" s="90"/>
      <c r="E462" s="90"/>
      <c r="F462" s="90"/>
      <c r="G462" s="643"/>
      <c r="H462" s="643"/>
      <c r="I462" s="90"/>
      <c r="J462" s="90"/>
      <c r="K462" s="90"/>
    </row>
    <row r="463" spans="1:11">
      <c r="A463" s="90"/>
      <c r="C463" s="90"/>
      <c r="D463" s="90"/>
      <c r="E463" s="90"/>
      <c r="F463" s="90"/>
      <c r="G463" s="643"/>
      <c r="H463" s="643"/>
      <c r="I463" s="90"/>
      <c r="J463" s="90"/>
      <c r="K463" s="90"/>
    </row>
    <row r="464" spans="1:11">
      <c r="A464" s="90"/>
      <c r="C464" s="90"/>
      <c r="D464" s="90"/>
      <c r="E464" s="90"/>
      <c r="F464" s="90"/>
      <c r="G464" s="643"/>
      <c r="H464" s="643"/>
      <c r="I464" s="90"/>
      <c r="J464" s="90"/>
      <c r="K464" s="90"/>
    </row>
    <row r="465" spans="1:11">
      <c r="A465" s="90"/>
      <c r="C465" s="90"/>
      <c r="D465" s="90"/>
      <c r="E465" s="90"/>
      <c r="F465" s="90"/>
      <c r="G465" s="643"/>
      <c r="H465" s="643"/>
      <c r="I465" s="90"/>
      <c r="J465" s="90"/>
      <c r="K465" s="90"/>
    </row>
    <row r="466" spans="1:11">
      <c r="A466" s="90"/>
      <c r="C466" s="90"/>
      <c r="D466" s="90"/>
      <c r="E466" s="90"/>
      <c r="F466" s="90"/>
      <c r="G466" s="643"/>
      <c r="H466" s="643"/>
      <c r="I466" s="90"/>
      <c r="J466" s="90"/>
      <c r="K466" s="90"/>
    </row>
    <row r="467" spans="1:11">
      <c r="A467" s="90"/>
      <c r="C467" s="90"/>
      <c r="D467" s="90"/>
      <c r="E467" s="90"/>
      <c r="F467" s="90"/>
      <c r="G467" s="643"/>
      <c r="H467" s="643"/>
      <c r="I467" s="90"/>
      <c r="J467" s="90"/>
      <c r="K467" s="90"/>
    </row>
    <row r="468" spans="1:11">
      <c r="A468" s="90"/>
      <c r="C468" s="90"/>
      <c r="D468" s="90"/>
      <c r="E468" s="90"/>
      <c r="F468" s="90"/>
      <c r="G468" s="643"/>
      <c r="H468" s="643"/>
      <c r="I468" s="90"/>
      <c r="J468" s="90"/>
      <c r="K468" s="90"/>
    </row>
    <row r="469" spans="1:11">
      <c r="A469" s="90"/>
      <c r="C469" s="90"/>
      <c r="D469" s="90"/>
      <c r="E469" s="90"/>
      <c r="F469" s="90"/>
      <c r="G469" s="643"/>
      <c r="H469" s="643"/>
      <c r="I469" s="90"/>
      <c r="J469" s="90"/>
      <c r="K469" s="90"/>
    </row>
    <row r="470" spans="1:11">
      <c r="A470" s="90"/>
      <c r="C470" s="90"/>
      <c r="D470" s="90"/>
      <c r="E470" s="90"/>
      <c r="F470" s="90"/>
      <c r="G470" s="643"/>
      <c r="H470" s="643"/>
      <c r="I470" s="90"/>
      <c r="J470" s="90"/>
      <c r="K470" s="90"/>
    </row>
    <row r="471" spans="1:11">
      <c r="A471" s="90"/>
      <c r="C471" s="90"/>
      <c r="D471" s="90"/>
      <c r="E471" s="90"/>
      <c r="F471" s="90"/>
      <c r="G471" s="643"/>
      <c r="H471" s="643"/>
      <c r="I471" s="90"/>
      <c r="J471" s="90"/>
      <c r="K471" s="90"/>
    </row>
    <row r="472" spans="1:11">
      <c r="A472" s="90"/>
      <c r="C472" s="90"/>
      <c r="D472" s="90"/>
      <c r="E472" s="90"/>
      <c r="F472" s="90"/>
      <c r="G472" s="643"/>
      <c r="H472" s="643"/>
      <c r="I472" s="90"/>
      <c r="J472" s="90"/>
      <c r="K472" s="90"/>
    </row>
    <row r="473" spans="1:11">
      <c r="A473" s="90"/>
      <c r="C473" s="90"/>
      <c r="D473" s="90"/>
      <c r="E473" s="90"/>
      <c r="F473" s="90"/>
      <c r="G473" s="643"/>
      <c r="H473" s="643"/>
      <c r="I473" s="90"/>
      <c r="J473" s="90"/>
      <c r="K473" s="90"/>
    </row>
    <row r="474" spans="1:11">
      <c r="A474" s="90"/>
      <c r="C474" s="90"/>
      <c r="D474" s="90"/>
      <c r="E474" s="90"/>
      <c r="F474" s="90"/>
      <c r="G474" s="643"/>
      <c r="H474" s="643"/>
      <c r="I474" s="90"/>
      <c r="J474" s="90"/>
      <c r="K474" s="90"/>
    </row>
    <row r="475" spans="1:11">
      <c r="A475" s="90"/>
      <c r="C475" s="90"/>
      <c r="D475" s="90"/>
      <c r="E475" s="90"/>
      <c r="F475" s="90"/>
      <c r="G475" s="643"/>
      <c r="H475" s="643"/>
      <c r="I475" s="90"/>
      <c r="J475" s="90"/>
      <c r="K475" s="90"/>
    </row>
    <row r="476" spans="1:11">
      <c r="A476" s="90"/>
      <c r="C476" s="90"/>
      <c r="D476" s="90"/>
      <c r="E476" s="90"/>
      <c r="F476" s="90"/>
      <c r="G476" s="643"/>
      <c r="H476" s="643"/>
      <c r="I476" s="90"/>
      <c r="J476" s="90"/>
      <c r="K476" s="90"/>
    </row>
    <row r="477" spans="1:11">
      <c r="A477" s="90"/>
      <c r="C477" s="90"/>
      <c r="D477" s="90"/>
      <c r="E477" s="90"/>
      <c r="F477" s="90"/>
      <c r="G477" s="643"/>
      <c r="H477" s="643"/>
      <c r="I477" s="90"/>
      <c r="J477" s="90"/>
      <c r="K477" s="90"/>
    </row>
    <row r="478" spans="1:11">
      <c r="A478" s="90"/>
      <c r="C478" s="90"/>
      <c r="D478" s="90"/>
      <c r="E478" s="90"/>
      <c r="F478" s="90"/>
      <c r="G478" s="643"/>
      <c r="H478" s="643"/>
      <c r="I478" s="90"/>
      <c r="J478" s="90"/>
      <c r="K478" s="90"/>
    </row>
    <row r="479" spans="1:11">
      <c r="A479" s="90"/>
      <c r="C479" s="90"/>
      <c r="D479" s="90"/>
      <c r="E479" s="90"/>
      <c r="F479" s="90"/>
      <c r="G479" s="643"/>
      <c r="H479" s="643"/>
      <c r="I479" s="90"/>
      <c r="J479" s="90"/>
      <c r="K479" s="90"/>
    </row>
    <row r="480" spans="1:11">
      <c r="A480" s="90"/>
      <c r="C480" s="90"/>
      <c r="D480" s="90"/>
      <c r="E480" s="90"/>
      <c r="F480" s="90"/>
      <c r="G480" s="643"/>
      <c r="H480" s="643"/>
      <c r="I480" s="90"/>
      <c r="J480" s="90"/>
      <c r="K480" s="90"/>
    </row>
    <row r="481" spans="1:11">
      <c r="A481" s="90"/>
      <c r="C481" s="90"/>
      <c r="D481" s="90"/>
      <c r="E481" s="90"/>
      <c r="F481" s="90"/>
      <c r="G481" s="643"/>
      <c r="H481" s="643"/>
      <c r="I481" s="90"/>
      <c r="J481" s="90"/>
      <c r="K481" s="90"/>
    </row>
    <row r="482" spans="1:11">
      <c r="A482" s="90"/>
      <c r="C482" s="90"/>
      <c r="D482" s="90"/>
      <c r="E482" s="90"/>
      <c r="F482" s="90"/>
      <c r="G482" s="643"/>
      <c r="H482" s="643"/>
      <c r="I482" s="90"/>
      <c r="J482" s="90"/>
      <c r="K482" s="90"/>
    </row>
    <row r="483" spans="1:11">
      <c r="A483" s="90"/>
      <c r="C483" s="90"/>
      <c r="D483" s="90"/>
      <c r="E483" s="90"/>
      <c r="F483" s="90"/>
      <c r="G483" s="643"/>
      <c r="H483" s="643"/>
      <c r="I483" s="90"/>
      <c r="J483" s="90"/>
      <c r="K483" s="90"/>
    </row>
    <row r="484" spans="1:11">
      <c r="A484" s="90"/>
      <c r="C484" s="90"/>
      <c r="D484" s="90"/>
      <c r="E484" s="90"/>
      <c r="F484" s="90"/>
      <c r="G484" s="643"/>
      <c r="H484" s="643"/>
      <c r="I484" s="90"/>
      <c r="J484" s="90"/>
      <c r="K484" s="90"/>
    </row>
    <row r="485" spans="1:11">
      <c r="A485" s="90"/>
      <c r="C485" s="90"/>
      <c r="D485" s="90"/>
      <c r="E485" s="90"/>
      <c r="F485" s="90"/>
      <c r="G485" s="643"/>
      <c r="H485" s="643"/>
      <c r="I485" s="90"/>
      <c r="J485" s="90"/>
      <c r="K485" s="90"/>
    </row>
    <row r="486" spans="1:11">
      <c r="A486" s="90"/>
      <c r="C486" s="90"/>
      <c r="D486" s="90"/>
      <c r="E486" s="90"/>
      <c r="F486" s="90"/>
      <c r="G486" s="643"/>
      <c r="H486" s="643"/>
      <c r="I486" s="90"/>
      <c r="J486" s="90"/>
      <c r="K486" s="90"/>
    </row>
    <row r="487" spans="1:11">
      <c r="A487" s="90"/>
      <c r="C487" s="90"/>
      <c r="D487" s="90"/>
      <c r="E487" s="90"/>
      <c r="F487" s="90"/>
      <c r="G487" s="643"/>
      <c r="H487" s="643"/>
      <c r="I487" s="90"/>
      <c r="J487" s="90"/>
      <c r="K487" s="90"/>
    </row>
    <row r="488" spans="1:11">
      <c r="A488" s="90"/>
      <c r="C488" s="90"/>
      <c r="D488" s="90"/>
      <c r="E488" s="90"/>
      <c r="F488" s="90"/>
      <c r="G488" s="643"/>
      <c r="H488" s="643"/>
      <c r="I488" s="90"/>
      <c r="J488" s="90"/>
      <c r="K488" s="90"/>
    </row>
    <row r="489" spans="1:11">
      <c r="A489" s="90"/>
      <c r="C489" s="90"/>
      <c r="D489" s="90"/>
      <c r="E489" s="90"/>
      <c r="F489" s="90"/>
      <c r="G489" s="643"/>
      <c r="H489" s="643"/>
      <c r="I489" s="90"/>
      <c r="J489" s="90"/>
      <c r="K489" s="90"/>
    </row>
    <row r="490" spans="1:11">
      <c r="A490" s="90"/>
      <c r="C490" s="90"/>
      <c r="D490" s="90"/>
      <c r="E490" s="90"/>
      <c r="F490" s="90"/>
      <c r="G490" s="643"/>
      <c r="H490" s="643"/>
      <c r="I490" s="90"/>
      <c r="J490" s="90"/>
      <c r="K490" s="90"/>
    </row>
    <row r="491" spans="1:11">
      <c r="A491" s="90"/>
      <c r="C491" s="90"/>
      <c r="D491" s="90"/>
      <c r="E491" s="90"/>
      <c r="F491" s="90"/>
      <c r="G491" s="643"/>
      <c r="H491" s="643"/>
      <c r="I491" s="90"/>
      <c r="J491" s="90"/>
      <c r="K491" s="90"/>
    </row>
    <row r="492" spans="1:11">
      <c r="A492" s="90"/>
      <c r="C492" s="90"/>
      <c r="D492" s="90"/>
      <c r="E492" s="90"/>
      <c r="F492" s="90"/>
      <c r="G492" s="643"/>
      <c r="H492" s="643"/>
      <c r="I492" s="90"/>
      <c r="J492" s="90"/>
      <c r="K492" s="90"/>
    </row>
    <row r="493" spans="1:11">
      <c r="A493" s="90"/>
      <c r="C493" s="90"/>
      <c r="D493" s="90"/>
      <c r="E493" s="90"/>
      <c r="F493" s="90"/>
      <c r="G493" s="643"/>
      <c r="H493" s="643"/>
      <c r="I493" s="90"/>
      <c r="J493" s="90"/>
      <c r="K493" s="90"/>
    </row>
    <row r="494" spans="1:11">
      <c r="A494" s="90"/>
      <c r="C494" s="90"/>
      <c r="D494" s="90"/>
      <c r="E494" s="90"/>
      <c r="F494" s="90"/>
      <c r="G494" s="643"/>
      <c r="H494" s="643"/>
      <c r="I494" s="90"/>
      <c r="J494" s="90"/>
      <c r="K494" s="90"/>
    </row>
    <row r="495" spans="1:11">
      <c r="A495" s="90"/>
      <c r="C495" s="90"/>
      <c r="D495" s="90"/>
      <c r="E495" s="90"/>
      <c r="F495" s="90"/>
      <c r="G495" s="643"/>
      <c r="H495" s="643"/>
      <c r="I495" s="90"/>
      <c r="J495" s="90"/>
      <c r="K495" s="90"/>
    </row>
    <row r="496" spans="1:11">
      <c r="A496" s="90"/>
      <c r="C496" s="90"/>
      <c r="D496" s="90"/>
      <c r="E496" s="90"/>
      <c r="F496" s="90"/>
      <c r="G496" s="643"/>
      <c r="H496" s="643"/>
      <c r="I496" s="90"/>
      <c r="J496" s="90"/>
      <c r="K496" s="90"/>
    </row>
    <row r="497" spans="1:11">
      <c r="A497" s="90"/>
      <c r="C497" s="90"/>
      <c r="D497" s="90"/>
      <c r="E497" s="90"/>
      <c r="F497" s="90"/>
      <c r="G497" s="643"/>
      <c r="H497" s="643"/>
      <c r="I497" s="90"/>
      <c r="J497" s="90"/>
      <c r="K497" s="90"/>
    </row>
    <row r="498" spans="1:11">
      <c r="A498" s="90"/>
      <c r="C498" s="90"/>
      <c r="D498" s="90"/>
      <c r="E498" s="90"/>
      <c r="F498" s="90"/>
      <c r="G498" s="643"/>
      <c r="H498" s="643"/>
      <c r="I498" s="90"/>
      <c r="J498" s="90"/>
      <c r="K498" s="90"/>
    </row>
    <row r="499" spans="1:11">
      <c r="A499" s="90"/>
      <c r="C499" s="90"/>
      <c r="D499" s="90"/>
      <c r="E499" s="90"/>
      <c r="F499" s="90"/>
      <c r="G499" s="643"/>
      <c r="H499" s="643"/>
      <c r="I499" s="90"/>
      <c r="J499" s="90"/>
      <c r="K499" s="90"/>
    </row>
    <row r="500" spans="1:11">
      <c r="A500" s="90"/>
      <c r="C500" s="90"/>
      <c r="D500" s="90"/>
      <c r="E500" s="90"/>
      <c r="F500" s="90"/>
      <c r="G500" s="643"/>
      <c r="H500" s="643"/>
      <c r="I500" s="90"/>
      <c r="J500" s="90"/>
      <c r="K500" s="90"/>
    </row>
    <row r="501" spans="1:11">
      <c r="A501" s="90"/>
      <c r="C501" s="90"/>
      <c r="D501" s="90"/>
      <c r="E501" s="90"/>
      <c r="F501" s="90"/>
      <c r="G501" s="643"/>
      <c r="H501" s="643"/>
      <c r="I501" s="90"/>
      <c r="J501" s="90"/>
      <c r="K501" s="90"/>
    </row>
    <row r="502" spans="1:11">
      <c r="A502" s="90"/>
      <c r="C502" s="90"/>
      <c r="D502" s="90"/>
      <c r="E502" s="90"/>
      <c r="F502" s="90"/>
      <c r="G502" s="643"/>
      <c r="H502" s="643"/>
      <c r="I502" s="90"/>
      <c r="J502" s="90"/>
      <c r="K502" s="90"/>
    </row>
    <row r="503" spans="1:11">
      <c r="A503" s="90"/>
      <c r="C503" s="90"/>
      <c r="D503" s="90"/>
      <c r="E503" s="90"/>
      <c r="F503" s="90"/>
      <c r="G503" s="643"/>
      <c r="H503" s="643"/>
      <c r="I503" s="90"/>
      <c r="J503" s="90"/>
      <c r="K503" s="90"/>
    </row>
    <row r="504" spans="1:11">
      <c r="A504" s="90"/>
      <c r="C504" s="90"/>
      <c r="D504" s="90"/>
      <c r="E504" s="90"/>
      <c r="F504" s="90"/>
      <c r="G504" s="643"/>
      <c r="H504" s="643"/>
      <c r="I504" s="90"/>
      <c r="J504" s="90"/>
      <c r="K504" s="90"/>
    </row>
    <row r="505" spans="1:11">
      <c r="A505" s="90"/>
      <c r="C505" s="90"/>
      <c r="D505" s="90"/>
      <c r="E505" s="90"/>
      <c r="F505" s="90"/>
      <c r="G505" s="643"/>
      <c r="H505" s="643"/>
      <c r="I505" s="90"/>
      <c r="J505" s="90"/>
      <c r="K505" s="90"/>
    </row>
    <row r="506" spans="1:11">
      <c r="A506" s="90"/>
      <c r="C506" s="90"/>
      <c r="D506" s="90"/>
      <c r="E506" s="90"/>
      <c r="F506" s="90"/>
      <c r="G506" s="643"/>
      <c r="H506" s="643"/>
      <c r="I506" s="90"/>
      <c r="J506" s="90"/>
      <c r="K506" s="90"/>
    </row>
    <row r="507" spans="1:11">
      <c r="A507" s="90"/>
      <c r="C507" s="90"/>
      <c r="D507" s="90"/>
      <c r="E507" s="90"/>
      <c r="F507" s="90"/>
      <c r="G507" s="643"/>
      <c r="H507" s="643"/>
      <c r="I507" s="90"/>
      <c r="J507" s="90"/>
      <c r="K507" s="90"/>
    </row>
    <row r="508" spans="1:11">
      <c r="A508" s="90"/>
      <c r="C508" s="90"/>
      <c r="D508" s="90"/>
      <c r="E508" s="90"/>
      <c r="F508" s="90"/>
      <c r="G508" s="643"/>
      <c r="H508" s="643"/>
      <c r="I508" s="90"/>
      <c r="J508" s="90"/>
      <c r="K508" s="90"/>
    </row>
    <row r="509" spans="1:11">
      <c r="A509" s="90"/>
      <c r="C509" s="90"/>
      <c r="D509" s="90"/>
      <c r="E509" s="90"/>
      <c r="F509" s="90"/>
      <c r="G509" s="643"/>
      <c r="H509" s="643"/>
      <c r="I509" s="90"/>
      <c r="J509" s="90"/>
      <c r="K509" s="90"/>
    </row>
    <row r="510" spans="1:11">
      <c r="A510" s="90"/>
      <c r="C510" s="90"/>
      <c r="D510" s="90"/>
      <c r="E510" s="90"/>
      <c r="F510" s="90"/>
      <c r="G510" s="643"/>
      <c r="H510" s="643"/>
      <c r="I510" s="90"/>
      <c r="J510" s="90"/>
      <c r="K510" s="90"/>
    </row>
    <row r="511" spans="1:11">
      <c r="A511" s="90"/>
      <c r="C511" s="90"/>
      <c r="D511" s="90"/>
      <c r="E511" s="90"/>
      <c r="F511" s="90"/>
      <c r="G511" s="643"/>
      <c r="H511" s="643"/>
      <c r="I511" s="90"/>
      <c r="J511" s="90"/>
      <c r="K511" s="90"/>
    </row>
    <row r="512" spans="1:11">
      <c r="A512" s="90"/>
      <c r="C512" s="90"/>
      <c r="D512" s="90"/>
      <c r="E512" s="90"/>
      <c r="F512" s="90"/>
      <c r="G512" s="643"/>
      <c r="H512" s="643"/>
      <c r="I512" s="90"/>
      <c r="J512" s="90"/>
      <c r="K512" s="90"/>
    </row>
    <row r="513" spans="1:11">
      <c r="A513" s="90"/>
      <c r="C513" s="90"/>
      <c r="D513" s="90"/>
      <c r="E513" s="90"/>
      <c r="F513" s="90"/>
      <c r="G513" s="643"/>
      <c r="H513" s="643"/>
      <c r="I513" s="90"/>
      <c r="J513" s="90"/>
      <c r="K513" s="90"/>
    </row>
    <row r="514" spans="1:11">
      <c r="A514" s="90"/>
      <c r="C514" s="90"/>
      <c r="D514" s="90"/>
      <c r="E514" s="90"/>
      <c r="F514" s="90"/>
      <c r="G514" s="643"/>
      <c r="H514" s="643"/>
      <c r="I514" s="90"/>
      <c r="J514" s="90"/>
      <c r="K514" s="90"/>
    </row>
    <row r="515" spans="1:11">
      <c r="A515" s="90"/>
      <c r="C515" s="90"/>
      <c r="D515" s="90"/>
      <c r="E515" s="90"/>
      <c r="F515" s="90"/>
      <c r="G515" s="643"/>
      <c r="H515" s="643"/>
      <c r="I515" s="90"/>
      <c r="J515" s="90"/>
      <c r="K515" s="90"/>
    </row>
    <row r="516" spans="1:11">
      <c r="A516" s="90"/>
      <c r="C516" s="90"/>
      <c r="D516" s="90"/>
      <c r="E516" s="90"/>
      <c r="F516" s="90"/>
      <c r="G516" s="643"/>
      <c r="H516" s="643"/>
      <c r="I516" s="90"/>
      <c r="J516" s="90"/>
      <c r="K516" s="90"/>
    </row>
    <row r="517" spans="1:11">
      <c r="A517" s="90"/>
      <c r="C517" s="90"/>
      <c r="D517" s="90"/>
      <c r="E517" s="90"/>
      <c r="F517" s="90"/>
      <c r="G517" s="643"/>
      <c r="H517" s="643"/>
      <c r="I517" s="90"/>
      <c r="J517" s="90"/>
      <c r="K517" s="90"/>
    </row>
    <row r="518" spans="1:11">
      <c r="A518" s="90"/>
      <c r="C518" s="90"/>
      <c r="D518" s="90"/>
      <c r="E518" s="90"/>
      <c r="F518" s="90"/>
      <c r="G518" s="643"/>
      <c r="H518" s="643"/>
      <c r="I518" s="90"/>
      <c r="J518" s="90"/>
      <c r="K518" s="90"/>
    </row>
    <row r="519" spans="1:11">
      <c r="A519" s="90"/>
      <c r="C519" s="90"/>
      <c r="D519" s="90"/>
      <c r="E519" s="90"/>
      <c r="F519" s="90"/>
      <c r="G519" s="643"/>
      <c r="H519" s="643"/>
      <c r="I519" s="90"/>
      <c r="J519" s="90"/>
      <c r="K519" s="90"/>
    </row>
    <row r="520" spans="1:11">
      <c r="A520" s="90"/>
      <c r="C520" s="90"/>
      <c r="D520" s="90"/>
      <c r="E520" s="90"/>
      <c r="F520" s="90"/>
      <c r="G520" s="643"/>
      <c r="H520" s="643"/>
      <c r="I520" s="90"/>
      <c r="J520" s="90"/>
      <c r="K520" s="90"/>
    </row>
    <row r="521" spans="1:11">
      <c r="A521" s="90"/>
      <c r="C521" s="90"/>
      <c r="D521" s="90"/>
      <c r="E521" s="90"/>
      <c r="F521" s="90"/>
      <c r="G521" s="643"/>
      <c r="H521" s="643"/>
      <c r="I521" s="90"/>
      <c r="J521" s="90"/>
      <c r="K521" s="90"/>
    </row>
    <row r="522" spans="1:11">
      <c r="A522" s="90"/>
      <c r="C522" s="90"/>
      <c r="D522" s="90"/>
      <c r="E522" s="90"/>
      <c r="F522" s="90"/>
      <c r="G522" s="643"/>
      <c r="H522" s="643"/>
      <c r="I522" s="90"/>
      <c r="J522" s="90"/>
      <c r="K522" s="90"/>
    </row>
    <row r="523" spans="1:11">
      <c r="A523" s="90"/>
      <c r="C523" s="90"/>
      <c r="D523" s="90"/>
      <c r="E523" s="90"/>
      <c r="F523" s="90"/>
      <c r="G523" s="643"/>
      <c r="H523" s="643"/>
      <c r="I523" s="90"/>
      <c r="J523" s="90"/>
      <c r="K523" s="90"/>
    </row>
    <row r="524" spans="1:11">
      <c r="A524" s="90"/>
      <c r="C524" s="90"/>
      <c r="D524" s="90"/>
      <c r="E524" s="90"/>
      <c r="F524" s="90"/>
      <c r="G524" s="643"/>
      <c r="H524" s="643"/>
      <c r="I524" s="90"/>
      <c r="J524" s="90"/>
      <c r="K524" s="90"/>
    </row>
    <row r="525" spans="1:11">
      <c r="A525" s="90"/>
      <c r="C525" s="90"/>
      <c r="D525" s="90"/>
      <c r="E525" s="90"/>
      <c r="F525" s="90"/>
      <c r="G525" s="643"/>
      <c r="H525" s="643"/>
      <c r="I525" s="90"/>
      <c r="J525" s="90"/>
      <c r="K525" s="90"/>
    </row>
    <row r="526" spans="1:11">
      <c r="A526" s="90"/>
      <c r="C526" s="90"/>
      <c r="D526" s="90"/>
      <c r="E526" s="90"/>
      <c r="F526" s="90"/>
      <c r="G526" s="643"/>
      <c r="H526" s="643"/>
      <c r="I526" s="90"/>
      <c r="J526" s="90"/>
      <c r="K526" s="90"/>
    </row>
    <row r="527" spans="1:11">
      <c r="A527" s="90"/>
      <c r="C527" s="90"/>
      <c r="D527" s="90"/>
      <c r="E527" s="90"/>
      <c r="F527" s="90"/>
      <c r="G527" s="643"/>
      <c r="H527" s="643"/>
      <c r="I527" s="90"/>
      <c r="J527" s="90"/>
      <c r="K527" s="90"/>
    </row>
    <row r="528" spans="1:11">
      <c r="A528" s="90"/>
      <c r="C528" s="90"/>
      <c r="D528" s="90"/>
      <c r="E528" s="90"/>
      <c r="F528" s="90"/>
      <c r="G528" s="643"/>
      <c r="H528" s="643"/>
      <c r="I528" s="90"/>
      <c r="J528" s="90"/>
      <c r="K528" s="90"/>
    </row>
    <row r="529" spans="1:11">
      <c r="A529" s="90"/>
      <c r="C529" s="90"/>
      <c r="D529" s="90"/>
      <c r="E529" s="90"/>
      <c r="F529" s="90"/>
      <c r="G529" s="643"/>
      <c r="H529" s="643"/>
      <c r="I529" s="90"/>
      <c r="J529" s="90"/>
      <c r="K529" s="90"/>
    </row>
    <row r="530" spans="1:11">
      <c r="A530" s="90"/>
      <c r="C530" s="90"/>
      <c r="D530" s="90"/>
      <c r="E530" s="90"/>
      <c r="F530" s="90"/>
      <c r="G530" s="643"/>
      <c r="H530" s="643"/>
      <c r="I530" s="90"/>
      <c r="J530" s="90"/>
      <c r="K530" s="90"/>
    </row>
    <row r="531" spans="1:11">
      <c r="A531" s="90"/>
      <c r="C531" s="90"/>
      <c r="D531" s="90"/>
      <c r="E531" s="90"/>
      <c r="F531" s="90"/>
      <c r="G531" s="643"/>
      <c r="H531" s="643"/>
      <c r="I531" s="90"/>
      <c r="J531" s="90"/>
      <c r="K531" s="90"/>
    </row>
    <row r="532" spans="1:11">
      <c r="A532" s="90"/>
      <c r="C532" s="90"/>
      <c r="D532" s="90"/>
      <c r="E532" s="90"/>
      <c r="F532" s="90"/>
      <c r="G532" s="643"/>
      <c r="H532" s="643"/>
      <c r="I532" s="90"/>
      <c r="J532" s="90"/>
      <c r="K532" s="90"/>
    </row>
    <row r="533" spans="1:11">
      <c r="A533" s="90"/>
      <c r="C533" s="90"/>
      <c r="D533" s="90"/>
      <c r="E533" s="90"/>
      <c r="F533" s="90"/>
      <c r="G533" s="643"/>
      <c r="H533" s="643"/>
      <c r="I533" s="90"/>
      <c r="J533" s="90"/>
      <c r="K533" s="90"/>
    </row>
    <row r="534" spans="1:11">
      <c r="A534" s="90"/>
      <c r="C534" s="90"/>
      <c r="D534" s="90"/>
      <c r="E534" s="90"/>
      <c r="F534" s="90"/>
      <c r="G534" s="643"/>
      <c r="H534" s="643"/>
      <c r="I534" s="90"/>
      <c r="J534" s="90"/>
      <c r="K534" s="90"/>
    </row>
    <row r="535" spans="1:11">
      <c r="A535" s="90"/>
      <c r="C535" s="90"/>
      <c r="D535" s="90"/>
      <c r="E535" s="90"/>
      <c r="F535" s="90"/>
      <c r="G535" s="643"/>
      <c r="H535" s="643"/>
      <c r="I535" s="90"/>
      <c r="J535" s="90"/>
      <c r="K535" s="90"/>
    </row>
    <row r="536" spans="1:11">
      <c r="A536" s="90"/>
      <c r="C536" s="90"/>
      <c r="D536" s="90"/>
      <c r="E536" s="90"/>
      <c r="F536" s="90"/>
      <c r="G536" s="643"/>
      <c r="H536" s="643"/>
      <c r="I536" s="90"/>
      <c r="J536" s="90"/>
      <c r="K536" s="90"/>
    </row>
    <row r="537" spans="1:11">
      <c r="A537" s="90"/>
      <c r="C537" s="90"/>
      <c r="D537" s="90"/>
      <c r="E537" s="90"/>
      <c r="F537" s="90"/>
      <c r="G537" s="643"/>
      <c r="H537" s="643"/>
      <c r="I537" s="90"/>
      <c r="J537" s="90"/>
      <c r="K537" s="90"/>
    </row>
    <row r="538" spans="1:11">
      <c r="A538" s="90"/>
      <c r="C538" s="90"/>
      <c r="D538" s="90"/>
      <c r="E538" s="90"/>
      <c r="F538" s="90"/>
      <c r="G538" s="643"/>
      <c r="H538" s="643"/>
      <c r="I538" s="90"/>
      <c r="J538" s="90"/>
      <c r="K538" s="90"/>
    </row>
    <row r="539" spans="1:11">
      <c r="A539" s="90"/>
      <c r="C539" s="90"/>
      <c r="D539" s="90"/>
      <c r="E539" s="90"/>
      <c r="F539" s="90"/>
      <c r="G539" s="643"/>
      <c r="H539" s="643"/>
      <c r="I539" s="90"/>
      <c r="J539" s="90"/>
      <c r="K539" s="90"/>
    </row>
    <row r="540" spans="1:11">
      <c r="A540" s="90"/>
      <c r="C540" s="90"/>
      <c r="D540" s="90"/>
      <c r="E540" s="90"/>
      <c r="F540" s="90"/>
      <c r="G540" s="643"/>
      <c r="H540" s="643"/>
      <c r="I540" s="90"/>
      <c r="J540" s="90"/>
      <c r="K540" s="90"/>
    </row>
    <row r="541" spans="1:11">
      <c r="A541" s="90"/>
      <c r="C541" s="90"/>
      <c r="D541" s="90"/>
      <c r="E541" s="90"/>
      <c r="F541" s="90"/>
      <c r="G541" s="643"/>
      <c r="H541" s="643"/>
      <c r="I541" s="90"/>
      <c r="J541" s="90"/>
      <c r="K541" s="90"/>
    </row>
    <row r="542" spans="1:11">
      <c r="A542" s="90"/>
      <c r="C542" s="90"/>
      <c r="D542" s="90"/>
      <c r="E542" s="90"/>
      <c r="F542" s="90"/>
      <c r="G542" s="643"/>
      <c r="H542" s="643"/>
      <c r="I542" s="90"/>
      <c r="J542" s="90"/>
      <c r="K542" s="90"/>
    </row>
    <row r="543" spans="1:11">
      <c r="A543" s="90"/>
      <c r="C543" s="90"/>
      <c r="D543" s="90"/>
      <c r="E543" s="90"/>
      <c r="F543" s="90"/>
      <c r="G543" s="643"/>
      <c r="H543" s="643"/>
      <c r="I543" s="90"/>
      <c r="J543" s="90"/>
      <c r="K543" s="90"/>
    </row>
    <row r="544" spans="1:11">
      <c r="A544" s="90"/>
      <c r="C544" s="90"/>
      <c r="D544" s="90"/>
      <c r="E544" s="90"/>
      <c r="F544" s="90"/>
      <c r="G544" s="643"/>
      <c r="H544" s="643"/>
      <c r="I544" s="90"/>
      <c r="J544" s="90"/>
      <c r="K544" s="90"/>
    </row>
    <row r="545" spans="1:11">
      <c r="A545" s="90"/>
      <c r="C545" s="90"/>
      <c r="D545" s="90"/>
      <c r="E545" s="90"/>
      <c r="F545" s="90"/>
      <c r="G545" s="643"/>
      <c r="H545" s="643"/>
      <c r="I545" s="90"/>
      <c r="J545" s="90"/>
      <c r="K545" s="90"/>
    </row>
    <row r="546" spans="1:11">
      <c r="A546" s="90"/>
      <c r="C546" s="90"/>
      <c r="D546" s="90"/>
      <c r="E546" s="90"/>
      <c r="F546" s="90"/>
      <c r="G546" s="643"/>
      <c r="H546" s="643"/>
      <c r="I546" s="90"/>
      <c r="J546" s="90"/>
      <c r="K546" s="90"/>
    </row>
    <row r="547" spans="1:11">
      <c r="A547" s="90"/>
      <c r="C547" s="90"/>
      <c r="D547" s="90"/>
      <c r="E547" s="90"/>
      <c r="F547" s="90"/>
      <c r="G547" s="643"/>
      <c r="H547" s="643"/>
      <c r="I547" s="90"/>
      <c r="J547" s="90"/>
      <c r="K547" s="90"/>
    </row>
    <row r="548" spans="1:11">
      <c r="A548" s="90"/>
      <c r="C548" s="90"/>
      <c r="D548" s="90"/>
      <c r="E548" s="90"/>
      <c r="F548" s="90"/>
      <c r="G548" s="643"/>
      <c r="H548" s="643"/>
      <c r="I548" s="90"/>
      <c r="J548" s="90"/>
      <c r="K548" s="90"/>
    </row>
    <row r="549" spans="1:11">
      <c r="A549" s="90"/>
      <c r="C549" s="90"/>
      <c r="D549" s="90"/>
      <c r="E549" s="90"/>
      <c r="F549" s="90"/>
      <c r="G549" s="643"/>
      <c r="H549" s="643"/>
      <c r="I549" s="90"/>
      <c r="J549" s="90"/>
      <c r="K549" s="90"/>
    </row>
    <row r="550" spans="1:11">
      <c r="A550" s="90"/>
      <c r="C550" s="90"/>
      <c r="D550" s="90"/>
      <c r="E550" s="90"/>
      <c r="F550" s="90"/>
      <c r="G550" s="643"/>
      <c r="H550" s="643"/>
      <c r="I550" s="90"/>
      <c r="J550" s="90"/>
      <c r="K550" s="90"/>
    </row>
    <row r="551" spans="1:11">
      <c r="A551" s="90"/>
      <c r="C551" s="90"/>
      <c r="D551" s="90"/>
      <c r="E551" s="90"/>
      <c r="F551" s="90"/>
      <c r="G551" s="643"/>
      <c r="H551" s="643"/>
      <c r="I551" s="90"/>
      <c r="J551" s="90"/>
      <c r="K551" s="90"/>
    </row>
    <row r="552" spans="1:11">
      <c r="A552" s="90"/>
      <c r="C552" s="90"/>
      <c r="D552" s="90"/>
      <c r="E552" s="90"/>
      <c r="F552" s="90"/>
      <c r="G552" s="643"/>
      <c r="H552" s="643"/>
      <c r="I552" s="90"/>
      <c r="J552" s="90"/>
      <c r="K552" s="90"/>
    </row>
    <row r="553" spans="1:11">
      <c r="A553" s="90"/>
      <c r="C553" s="90"/>
      <c r="D553" s="90"/>
      <c r="E553" s="90"/>
      <c r="F553" s="90"/>
      <c r="G553" s="643"/>
      <c r="H553" s="643"/>
      <c r="I553" s="90"/>
      <c r="J553" s="90"/>
      <c r="K553" s="90"/>
    </row>
    <row r="554" spans="1:11">
      <c r="A554" s="90"/>
      <c r="C554" s="90"/>
      <c r="D554" s="90"/>
      <c r="E554" s="90"/>
      <c r="F554" s="90"/>
      <c r="G554" s="643"/>
      <c r="H554" s="643"/>
      <c r="I554" s="90"/>
      <c r="J554" s="90"/>
      <c r="K554" s="90"/>
    </row>
    <row r="555" spans="1:11">
      <c r="A555" s="90"/>
      <c r="C555" s="90"/>
      <c r="D555" s="90"/>
      <c r="E555" s="90"/>
      <c r="F555" s="90"/>
      <c r="G555" s="643"/>
      <c r="H555" s="643"/>
      <c r="I555" s="90"/>
      <c r="J555" s="90"/>
      <c r="K555" s="90"/>
    </row>
    <row r="556" spans="1:11">
      <c r="A556" s="90"/>
      <c r="C556" s="90"/>
      <c r="D556" s="90"/>
      <c r="E556" s="90"/>
      <c r="F556" s="90"/>
      <c r="G556" s="643"/>
      <c r="H556" s="643"/>
      <c r="I556" s="90"/>
      <c r="J556" s="90"/>
      <c r="K556" s="90"/>
    </row>
    <row r="557" spans="1:11">
      <c r="A557" s="90"/>
      <c r="C557" s="90"/>
      <c r="D557" s="90"/>
      <c r="E557" s="90"/>
      <c r="F557" s="90"/>
      <c r="G557" s="643"/>
      <c r="H557" s="643"/>
      <c r="I557" s="90"/>
      <c r="J557" s="90"/>
      <c r="K557" s="90"/>
    </row>
    <row r="558" spans="1:11">
      <c r="A558" s="90"/>
      <c r="C558" s="90"/>
      <c r="D558" s="90"/>
      <c r="E558" s="90"/>
      <c r="F558" s="90"/>
      <c r="G558" s="643"/>
      <c r="H558" s="643"/>
      <c r="I558" s="90"/>
      <c r="J558" s="90"/>
      <c r="K558" s="90"/>
    </row>
    <row r="559" spans="1:11">
      <c r="A559" s="90"/>
      <c r="C559" s="90"/>
      <c r="D559" s="90"/>
      <c r="E559" s="90"/>
      <c r="F559" s="90"/>
      <c r="G559" s="643"/>
      <c r="H559" s="643"/>
      <c r="I559" s="90"/>
      <c r="J559" s="90"/>
      <c r="K559" s="90"/>
    </row>
    <row r="560" spans="1:11">
      <c r="A560" s="90"/>
      <c r="C560" s="90"/>
      <c r="D560" s="90"/>
      <c r="E560" s="90"/>
      <c r="F560" s="90"/>
      <c r="G560" s="643"/>
      <c r="H560" s="643"/>
      <c r="I560" s="90"/>
      <c r="J560" s="90"/>
      <c r="K560" s="90"/>
    </row>
    <row r="561" spans="1:11">
      <c r="A561" s="90"/>
      <c r="C561" s="90"/>
      <c r="D561" s="90"/>
      <c r="E561" s="90"/>
      <c r="F561" s="90"/>
      <c r="G561" s="643"/>
      <c r="H561" s="643"/>
      <c r="I561" s="90"/>
      <c r="J561" s="90"/>
      <c r="K561" s="90"/>
    </row>
    <row r="562" spans="1:11">
      <c r="A562" s="90"/>
      <c r="C562" s="90"/>
      <c r="D562" s="90"/>
      <c r="E562" s="90"/>
      <c r="F562" s="90"/>
      <c r="G562" s="643"/>
      <c r="H562" s="643"/>
      <c r="I562" s="90"/>
      <c r="J562" s="90"/>
      <c r="K562" s="90"/>
    </row>
    <row r="563" spans="1:11">
      <c r="A563" s="90"/>
      <c r="C563" s="90"/>
      <c r="D563" s="90"/>
      <c r="E563" s="90"/>
      <c r="F563" s="90"/>
      <c r="G563" s="643"/>
      <c r="H563" s="643"/>
      <c r="I563" s="90"/>
      <c r="J563" s="90"/>
      <c r="K563" s="90"/>
    </row>
    <row r="564" spans="1:11">
      <c r="A564" s="90"/>
      <c r="C564" s="90"/>
      <c r="D564" s="90"/>
      <c r="E564" s="90"/>
      <c r="F564" s="90"/>
      <c r="G564" s="643"/>
      <c r="H564" s="643"/>
      <c r="I564" s="90"/>
      <c r="J564" s="90"/>
      <c r="K564" s="90"/>
    </row>
    <row r="565" spans="1:11">
      <c r="A565" s="90"/>
      <c r="C565" s="90"/>
      <c r="D565" s="90"/>
      <c r="E565" s="90"/>
      <c r="F565" s="90"/>
      <c r="G565" s="643"/>
      <c r="H565" s="643"/>
      <c r="I565" s="90"/>
      <c r="J565" s="90"/>
      <c r="K565" s="90"/>
    </row>
    <row r="566" spans="1:11">
      <c r="A566" s="90"/>
      <c r="C566" s="90"/>
      <c r="D566" s="90"/>
      <c r="E566" s="90"/>
      <c r="F566" s="90"/>
      <c r="G566" s="643"/>
      <c r="H566" s="643"/>
      <c r="I566" s="90"/>
      <c r="J566" s="90"/>
      <c r="K566" s="90"/>
    </row>
    <row r="567" spans="1:11">
      <c r="A567" s="90"/>
      <c r="C567" s="90"/>
      <c r="D567" s="90"/>
      <c r="E567" s="90"/>
      <c r="F567" s="90"/>
      <c r="G567" s="643"/>
      <c r="H567" s="643"/>
      <c r="I567" s="90"/>
      <c r="J567" s="90"/>
      <c r="K567" s="90"/>
    </row>
    <row r="568" spans="1:11">
      <c r="A568" s="90"/>
      <c r="C568" s="90"/>
      <c r="D568" s="90"/>
      <c r="E568" s="90"/>
      <c r="F568" s="90"/>
      <c r="G568" s="643"/>
      <c r="H568" s="643"/>
      <c r="I568" s="90"/>
      <c r="J568" s="90"/>
      <c r="K568" s="90"/>
    </row>
    <row r="569" spans="1:11">
      <c r="A569" s="90"/>
      <c r="C569" s="90"/>
      <c r="D569" s="90"/>
      <c r="E569" s="90"/>
      <c r="F569" s="90"/>
      <c r="G569" s="643"/>
      <c r="H569" s="643"/>
      <c r="I569" s="90"/>
      <c r="J569" s="90"/>
      <c r="K569" s="90"/>
    </row>
    <row r="570" spans="1:11">
      <c r="A570" s="90"/>
      <c r="C570" s="90"/>
      <c r="D570" s="90"/>
      <c r="E570" s="90"/>
      <c r="F570" s="90"/>
      <c r="G570" s="643"/>
      <c r="H570" s="643"/>
      <c r="I570" s="90"/>
      <c r="J570" s="90"/>
      <c r="K570" s="90"/>
    </row>
    <row r="571" spans="1:11">
      <c r="A571" s="90"/>
      <c r="C571" s="90"/>
      <c r="D571" s="90"/>
      <c r="E571" s="90"/>
      <c r="F571" s="90"/>
      <c r="G571" s="643"/>
      <c r="H571" s="643"/>
      <c r="I571" s="90"/>
      <c r="J571" s="90"/>
      <c r="K571" s="90"/>
    </row>
    <row r="572" spans="1:11">
      <c r="A572" s="90"/>
      <c r="C572" s="90"/>
      <c r="D572" s="90"/>
      <c r="E572" s="90"/>
      <c r="F572" s="90"/>
      <c r="G572" s="643"/>
      <c r="H572" s="643"/>
      <c r="I572" s="90"/>
      <c r="J572" s="90"/>
      <c r="K572" s="90"/>
    </row>
    <row r="573" spans="1:11">
      <c r="A573" s="90"/>
      <c r="C573" s="90"/>
      <c r="D573" s="90"/>
      <c r="E573" s="90"/>
      <c r="F573" s="90"/>
      <c r="G573" s="643"/>
      <c r="H573" s="643"/>
      <c r="I573" s="90"/>
      <c r="J573" s="90"/>
      <c r="K573" s="90"/>
    </row>
    <row r="574" spans="1:11">
      <c r="A574" s="90"/>
      <c r="C574" s="90"/>
      <c r="D574" s="90"/>
      <c r="E574" s="90"/>
      <c r="F574" s="90"/>
      <c r="G574" s="643"/>
      <c r="H574" s="643"/>
      <c r="I574" s="90"/>
      <c r="J574" s="90"/>
      <c r="K574" s="90"/>
    </row>
    <row r="575" spans="1:11">
      <c r="A575" s="90"/>
      <c r="C575" s="90"/>
      <c r="D575" s="90"/>
      <c r="E575" s="90"/>
      <c r="F575" s="90"/>
      <c r="G575" s="643"/>
      <c r="H575" s="643"/>
      <c r="I575" s="90"/>
      <c r="J575" s="90"/>
      <c r="K575" s="90"/>
    </row>
    <row r="576" spans="1:11">
      <c r="A576" s="90"/>
      <c r="C576" s="90"/>
      <c r="D576" s="90"/>
      <c r="E576" s="90"/>
      <c r="F576" s="90"/>
      <c r="G576" s="643"/>
      <c r="H576" s="643"/>
      <c r="I576" s="90"/>
      <c r="J576" s="90"/>
      <c r="K576" s="90"/>
    </row>
    <row r="577" spans="1:11">
      <c r="A577" s="90"/>
      <c r="C577" s="90"/>
      <c r="D577" s="90"/>
      <c r="E577" s="90"/>
      <c r="F577" s="90"/>
      <c r="G577" s="643"/>
      <c r="H577" s="643"/>
      <c r="I577" s="90"/>
      <c r="J577" s="90"/>
      <c r="K577" s="90"/>
    </row>
    <row r="578" spans="1:11">
      <c r="A578" s="90"/>
      <c r="C578" s="90"/>
      <c r="D578" s="90"/>
      <c r="E578" s="90"/>
      <c r="F578" s="90"/>
      <c r="G578" s="643"/>
      <c r="H578" s="643"/>
      <c r="I578" s="90"/>
      <c r="J578" s="90"/>
      <c r="K578" s="90"/>
    </row>
    <row r="579" spans="1:11">
      <c r="A579" s="90"/>
      <c r="C579" s="90"/>
      <c r="D579" s="90"/>
      <c r="E579" s="90"/>
      <c r="F579" s="90"/>
      <c r="G579" s="643"/>
      <c r="H579" s="643"/>
      <c r="I579" s="90"/>
      <c r="J579" s="90"/>
      <c r="K579" s="90"/>
    </row>
    <row r="580" spans="1:11">
      <c r="A580" s="90"/>
      <c r="C580" s="90"/>
      <c r="D580" s="90"/>
      <c r="E580" s="90"/>
      <c r="F580" s="90"/>
      <c r="G580" s="643"/>
      <c r="H580" s="643"/>
      <c r="I580" s="90"/>
      <c r="J580" s="90"/>
      <c r="K580" s="90"/>
    </row>
    <row r="581" spans="1:11">
      <c r="A581" s="90"/>
      <c r="C581" s="90"/>
      <c r="D581" s="90"/>
      <c r="E581" s="90"/>
      <c r="F581" s="90"/>
      <c r="G581" s="643"/>
      <c r="H581" s="643"/>
      <c r="I581" s="90"/>
      <c r="J581" s="90"/>
      <c r="K581" s="90"/>
    </row>
    <row r="582" spans="1:11">
      <c r="A582" s="90"/>
      <c r="C582" s="90"/>
      <c r="D582" s="90"/>
      <c r="E582" s="90"/>
      <c r="F582" s="90"/>
      <c r="G582" s="643"/>
      <c r="H582" s="643"/>
      <c r="I582" s="90"/>
      <c r="J582" s="90"/>
      <c r="K582" s="90"/>
    </row>
    <row r="583" spans="1:11">
      <c r="A583" s="90"/>
      <c r="C583" s="90"/>
      <c r="D583" s="90"/>
      <c r="E583" s="90"/>
      <c r="F583" s="90"/>
      <c r="G583" s="643"/>
      <c r="H583" s="643"/>
      <c r="I583" s="90"/>
      <c r="J583" s="90"/>
      <c r="K583" s="90"/>
    </row>
    <row r="584" spans="1:11">
      <c r="A584" s="90"/>
      <c r="C584" s="90"/>
      <c r="D584" s="90"/>
      <c r="E584" s="90"/>
      <c r="F584" s="90"/>
      <c r="G584" s="643"/>
      <c r="H584" s="643"/>
      <c r="I584" s="90"/>
      <c r="J584" s="90"/>
      <c r="K584" s="90"/>
    </row>
    <row r="585" spans="1:11">
      <c r="A585" s="90"/>
      <c r="C585" s="90"/>
      <c r="D585" s="90"/>
      <c r="E585" s="90"/>
      <c r="F585" s="90"/>
      <c r="G585" s="643"/>
      <c r="H585" s="643"/>
      <c r="I585" s="90"/>
      <c r="J585" s="90"/>
      <c r="K585" s="90"/>
    </row>
    <row r="586" spans="1:11">
      <c r="A586" s="90"/>
      <c r="C586" s="90"/>
      <c r="D586" s="90"/>
      <c r="E586" s="90"/>
      <c r="F586" s="90"/>
      <c r="G586" s="643"/>
      <c r="H586" s="643"/>
      <c r="I586" s="90"/>
      <c r="J586" s="90"/>
      <c r="K586" s="90"/>
    </row>
    <row r="587" spans="1:11">
      <c r="A587" s="90"/>
      <c r="C587" s="90"/>
      <c r="D587" s="90"/>
      <c r="E587" s="90"/>
      <c r="F587" s="90"/>
      <c r="G587" s="643"/>
      <c r="H587" s="643"/>
      <c r="I587" s="90"/>
      <c r="J587" s="90"/>
      <c r="K587" s="90"/>
    </row>
    <row r="588" spans="1:11">
      <c r="A588" s="90"/>
      <c r="C588" s="90"/>
      <c r="D588" s="90"/>
      <c r="E588" s="90"/>
      <c r="F588" s="90"/>
      <c r="G588" s="643"/>
      <c r="H588" s="643"/>
      <c r="I588" s="90"/>
      <c r="J588" s="90"/>
      <c r="K588" s="90"/>
    </row>
    <row r="589" spans="1:11">
      <c r="A589" s="90"/>
      <c r="C589" s="90"/>
      <c r="D589" s="90"/>
      <c r="E589" s="90"/>
      <c r="F589" s="90"/>
      <c r="G589" s="643"/>
      <c r="H589" s="643"/>
      <c r="I589" s="90"/>
      <c r="J589" s="90"/>
      <c r="K589" s="90"/>
    </row>
    <row r="590" spans="1:11">
      <c r="A590" s="90"/>
      <c r="C590" s="90"/>
      <c r="D590" s="90"/>
      <c r="E590" s="90"/>
      <c r="F590" s="90"/>
      <c r="G590" s="643"/>
      <c r="H590" s="643"/>
      <c r="I590" s="90"/>
      <c r="J590" s="90"/>
      <c r="K590" s="90"/>
    </row>
    <row r="591" spans="1:11">
      <c r="A591" s="90"/>
      <c r="C591" s="90"/>
      <c r="D591" s="90"/>
      <c r="E591" s="90"/>
      <c r="F591" s="90"/>
      <c r="G591" s="643"/>
      <c r="H591" s="643"/>
      <c r="I591" s="90"/>
      <c r="J591" s="90"/>
      <c r="K591" s="90"/>
    </row>
    <row r="592" spans="1:11">
      <c r="A592" s="90"/>
      <c r="C592" s="90"/>
      <c r="D592" s="90"/>
      <c r="E592" s="90"/>
      <c r="F592" s="90"/>
      <c r="G592" s="643"/>
      <c r="H592" s="643"/>
      <c r="I592" s="90"/>
      <c r="J592" s="90"/>
      <c r="K592" s="90"/>
    </row>
    <row r="593" spans="1:11">
      <c r="A593" s="90"/>
      <c r="C593" s="90"/>
      <c r="D593" s="90"/>
      <c r="E593" s="90"/>
      <c r="F593" s="90"/>
      <c r="G593" s="643"/>
      <c r="H593" s="643"/>
      <c r="I593" s="90"/>
      <c r="J593" s="90"/>
      <c r="K593" s="90"/>
    </row>
    <row r="594" spans="1:11">
      <c r="A594" s="90"/>
      <c r="C594" s="90"/>
      <c r="D594" s="90"/>
      <c r="E594" s="90"/>
      <c r="F594" s="90"/>
      <c r="G594" s="643"/>
      <c r="H594" s="643"/>
      <c r="I594" s="90"/>
      <c r="J594" s="90"/>
      <c r="K594" s="90"/>
    </row>
    <row r="595" spans="1:11">
      <c r="A595" s="90"/>
      <c r="C595" s="90"/>
      <c r="D595" s="90"/>
      <c r="E595" s="90"/>
      <c r="F595" s="90"/>
      <c r="G595" s="643"/>
      <c r="H595" s="643"/>
      <c r="I595" s="90"/>
      <c r="J595" s="90"/>
      <c r="K595" s="90"/>
    </row>
    <row r="596" spans="1:11">
      <c r="A596" s="90"/>
      <c r="C596" s="90"/>
      <c r="D596" s="90"/>
      <c r="E596" s="90"/>
      <c r="F596" s="90"/>
      <c r="G596" s="643"/>
      <c r="H596" s="643"/>
      <c r="I596" s="90"/>
      <c r="J596" s="90"/>
      <c r="K596" s="90"/>
    </row>
    <row r="597" spans="1:11">
      <c r="A597" s="90"/>
      <c r="C597" s="90"/>
      <c r="D597" s="90"/>
      <c r="E597" s="90"/>
      <c r="F597" s="90"/>
      <c r="G597" s="643"/>
      <c r="H597" s="643"/>
      <c r="I597" s="90"/>
      <c r="J597" s="90"/>
      <c r="K597" s="90"/>
    </row>
    <row r="598" spans="1:11">
      <c r="A598" s="90"/>
      <c r="C598" s="90"/>
      <c r="D598" s="90"/>
      <c r="E598" s="90"/>
      <c r="F598" s="90"/>
      <c r="G598" s="643"/>
      <c r="H598" s="643"/>
      <c r="I598" s="90"/>
      <c r="J598" s="90"/>
      <c r="K598" s="90"/>
    </row>
    <row r="599" spans="1:11">
      <c r="A599" s="90"/>
      <c r="C599" s="90"/>
      <c r="D599" s="90"/>
      <c r="E599" s="90"/>
      <c r="F599" s="90"/>
      <c r="G599" s="643"/>
      <c r="H599" s="643"/>
      <c r="I599" s="90"/>
      <c r="J599" s="90"/>
      <c r="K599" s="90"/>
    </row>
    <row r="600" spans="1:11">
      <c r="A600" s="90"/>
      <c r="C600" s="90"/>
      <c r="D600" s="90"/>
      <c r="E600" s="90"/>
      <c r="F600" s="90"/>
      <c r="G600" s="643"/>
      <c r="H600" s="643"/>
      <c r="I600" s="90"/>
      <c r="J600" s="90"/>
      <c r="K600" s="90"/>
    </row>
    <row r="601" spans="1:11">
      <c r="A601" s="90"/>
      <c r="C601" s="90"/>
      <c r="D601" s="90"/>
      <c r="E601" s="90"/>
      <c r="F601" s="90"/>
      <c r="G601" s="643"/>
      <c r="H601" s="643"/>
      <c r="I601" s="90"/>
      <c r="J601" s="90"/>
      <c r="K601" s="90"/>
    </row>
    <row r="602" spans="1:11">
      <c r="A602" s="90"/>
      <c r="C602" s="90"/>
      <c r="D602" s="90"/>
      <c r="E602" s="90"/>
      <c r="F602" s="90"/>
      <c r="G602" s="643"/>
      <c r="H602" s="643"/>
      <c r="I602" s="90"/>
      <c r="J602" s="90"/>
      <c r="K602" s="90"/>
    </row>
    <row r="603" spans="1:11">
      <c r="A603" s="90"/>
      <c r="C603" s="90"/>
      <c r="D603" s="90"/>
      <c r="E603" s="90"/>
      <c r="F603" s="90"/>
      <c r="G603" s="643"/>
      <c r="H603" s="643"/>
      <c r="I603" s="90"/>
      <c r="J603" s="90"/>
      <c r="K603" s="90"/>
    </row>
    <row r="604" spans="1:11">
      <c r="A604" s="90"/>
      <c r="C604" s="90"/>
      <c r="D604" s="90"/>
      <c r="E604" s="90"/>
      <c r="F604" s="90"/>
      <c r="G604" s="643"/>
      <c r="H604" s="643"/>
      <c r="I604" s="90"/>
      <c r="J604" s="90"/>
      <c r="K604" s="90"/>
    </row>
    <row r="605" spans="1:11">
      <c r="A605" s="90"/>
      <c r="C605" s="90"/>
      <c r="D605" s="90"/>
      <c r="E605" s="90"/>
      <c r="F605" s="90"/>
      <c r="G605" s="643"/>
      <c r="H605" s="643"/>
      <c r="I605" s="90"/>
      <c r="J605" s="90"/>
      <c r="K605" s="90"/>
    </row>
    <row r="606" spans="1:11">
      <c r="A606" s="90"/>
      <c r="C606" s="90"/>
      <c r="D606" s="90"/>
      <c r="E606" s="90"/>
      <c r="F606" s="90"/>
      <c r="G606" s="643"/>
      <c r="H606" s="643"/>
      <c r="I606" s="90"/>
      <c r="J606" s="90"/>
      <c r="K606" s="90"/>
    </row>
    <row r="607" spans="1:11">
      <c r="A607" s="90"/>
      <c r="C607" s="90"/>
      <c r="D607" s="90"/>
      <c r="E607" s="90"/>
      <c r="F607" s="90"/>
      <c r="G607" s="643"/>
      <c r="H607" s="643"/>
      <c r="I607" s="90"/>
      <c r="J607" s="90"/>
      <c r="K607" s="90"/>
    </row>
    <row r="608" spans="1:11">
      <c r="A608" s="90"/>
      <c r="C608" s="90"/>
      <c r="D608" s="90"/>
      <c r="E608" s="90"/>
      <c r="F608" s="90"/>
      <c r="G608" s="643"/>
      <c r="H608" s="643"/>
      <c r="I608" s="90"/>
      <c r="J608" s="90"/>
      <c r="K608" s="90"/>
    </row>
    <row r="609" spans="1:11">
      <c r="A609" s="90"/>
      <c r="C609" s="90"/>
      <c r="D609" s="90"/>
      <c r="E609" s="90"/>
      <c r="F609" s="90"/>
      <c r="G609" s="643"/>
      <c r="H609" s="643"/>
      <c r="I609" s="90"/>
      <c r="J609" s="90"/>
      <c r="K609" s="90"/>
    </row>
    <row r="610" spans="1:11">
      <c r="A610" s="90"/>
      <c r="C610" s="90"/>
      <c r="D610" s="90"/>
      <c r="E610" s="90"/>
      <c r="F610" s="90"/>
      <c r="G610" s="643"/>
      <c r="H610" s="643"/>
      <c r="I610" s="90"/>
      <c r="J610" s="90"/>
      <c r="K610" s="90"/>
    </row>
    <row r="611" spans="1:11">
      <c r="A611" s="90"/>
      <c r="C611" s="90"/>
      <c r="D611" s="90"/>
      <c r="E611" s="90"/>
      <c r="F611" s="90"/>
      <c r="G611" s="643"/>
      <c r="H611" s="643"/>
      <c r="I611" s="90"/>
      <c r="J611" s="90"/>
      <c r="K611" s="90"/>
    </row>
    <row r="612" spans="1:11">
      <c r="A612" s="90"/>
      <c r="C612" s="90"/>
      <c r="D612" s="90"/>
      <c r="E612" s="90"/>
      <c r="F612" s="90"/>
      <c r="G612" s="643"/>
      <c r="H612" s="643"/>
      <c r="I612" s="90"/>
      <c r="J612" s="90"/>
      <c r="K612" s="90"/>
    </row>
    <row r="613" spans="1:11">
      <c r="A613" s="90"/>
      <c r="C613" s="90"/>
      <c r="D613" s="90"/>
      <c r="E613" s="90"/>
      <c r="F613" s="90"/>
      <c r="G613" s="643"/>
      <c r="H613" s="643"/>
      <c r="I613" s="90"/>
      <c r="J613" s="90"/>
      <c r="K613" s="90"/>
    </row>
    <row r="614" spans="1:11">
      <c r="A614" s="90"/>
      <c r="C614" s="90"/>
      <c r="D614" s="90"/>
      <c r="E614" s="90"/>
      <c r="F614" s="90"/>
      <c r="G614" s="643"/>
      <c r="H614" s="643"/>
      <c r="I614" s="90"/>
      <c r="J614" s="90"/>
      <c r="K614" s="90"/>
    </row>
    <row r="615" spans="1:11">
      <c r="A615" s="90"/>
      <c r="C615" s="90"/>
      <c r="D615" s="90"/>
      <c r="E615" s="90"/>
      <c r="F615" s="90"/>
      <c r="G615" s="643"/>
      <c r="H615" s="643"/>
      <c r="I615" s="90"/>
      <c r="J615" s="90"/>
      <c r="K615" s="90"/>
    </row>
    <row r="616" spans="1:11">
      <c r="A616" s="90"/>
      <c r="C616" s="90"/>
      <c r="D616" s="90"/>
      <c r="E616" s="90"/>
      <c r="F616" s="90"/>
      <c r="G616" s="643"/>
      <c r="H616" s="643"/>
      <c r="I616" s="90"/>
      <c r="J616" s="90"/>
      <c r="K616" s="90"/>
    </row>
    <row r="617" spans="1:11">
      <c r="A617" s="90"/>
      <c r="C617" s="90"/>
      <c r="D617" s="90"/>
      <c r="E617" s="90"/>
      <c r="F617" s="90"/>
      <c r="G617" s="643"/>
      <c r="H617" s="643"/>
      <c r="I617" s="90"/>
      <c r="J617" s="90"/>
      <c r="K617" s="90"/>
    </row>
    <row r="618" spans="1:11">
      <c r="A618" s="90"/>
      <c r="C618" s="90"/>
      <c r="D618" s="90"/>
      <c r="E618" s="90"/>
      <c r="F618" s="90"/>
      <c r="G618" s="643"/>
      <c r="H618" s="643"/>
      <c r="I618" s="90"/>
      <c r="J618" s="90"/>
      <c r="K618" s="90"/>
    </row>
    <row r="619" spans="1:11">
      <c r="A619" s="90"/>
      <c r="C619" s="90"/>
      <c r="D619" s="90"/>
      <c r="E619" s="90"/>
      <c r="F619" s="90"/>
      <c r="G619" s="643"/>
      <c r="H619" s="643"/>
      <c r="I619" s="90"/>
      <c r="J619" s="90"/>
      <c r="K619" s="90"/>
    </row>
    <row r="620" spans="1:11">
      <c r="A620" s="90"/>
      <c r="C620" s="90"/>
      <c r="D620" s="90"/>
      <c r="E620" s="90"/>
      <c r="F620" s="90"/>
      <c r="G620" s="643"/>
      <c r="H620" s="643"/>
      <c r="I620" s="90"/>
      <c r="J620" s="90"/>
      <c r="K620" s="90"/>
    </row>
    <row r="621" spans="1:11">
      <c r="A621" s="90"/>
      <c r="C621" s="90"/>
      <c r="D621" s="90"/>
      <c r="E621" s="90"/>
      <c r="F621" s="90"/>
      <c r="G621" s="643"/>
      <c r="H621" s="643"/>
      <c r="I621" s="90"/>
      <c r="J621" s="90"/>
      <c r="K621" s="90"/>
    </row>
    <row r="622" spans="1:11">
      <c r="A622" s="90"/>
      <c r="C622" s="90"/>
      <c r="D622" s="90"/>
      <c r="E622" s="90"/>
      <c r="F622" s="90"/>
      <c r="G622" s="643"/>
      <c r="H622" s="643"/>
      <c r="I622" s="90"/>
      <c r="J622" s="90"/>
      <c r="K622" s="90"/>
    </row>
    <row r="623" spans="1:11">
      <c r="A623" s="90"/>
      <c r="C623" s="90"/>
      <c r="D623" s="90"/>
      <c r="E623" s="90"/>
      <c r="F623" s="90"/>
      <c r="G623" s="643"/>
      <c r="H623" s="643"/>
      <c r="I623" s="90"/>
      <c r="J623" s="90"/>
      <c r="K623" s="90"/>
    </row>
    <row r="624" spans="1:11">
      <c r="A624" s="90"/>
      <c r="C624" s="90"/>
      <c r="D624" s="90"/>
      <c r="E624" s="90"/>
      <c r="F624" s="90"/>
      <c r="G624" s="643"/>
      <c r="H624" s="643"/>
      <c r="I624" s="90"/>
      <c r="J624" s="90"/>
      <c r="K624" s="90"/>
    </row>
    <row r="625" spans="1:11">
      <c r="A625" s="90"/>
      <c r="C625" s="90"/>
      <c r="D625" s="90"/>
      <c r="E625" s="90"/>
      <c r="F625" s="90"/>
      <c r="G625" s="643"/>
      <c r="H625" s="643"/>
      <c r="I625" s="90"/>
      <c r="J625" s="90"/>
      <c r="K625" s="90"/>
    </row>
    <row r="626" spans="1:11">
      <c r="A626" s="90"/>
      <c r="C626" s="90"/>
      <c r="D626" s="90"/>
      <c r="E626" s="90"/>
      <c r="F626" s="90"/>
      <c r="G626" s="643"/>
      <c r="H626" s="643"/>
      <c r="I626" s="90"/>
      <c r="J626" s="90"/>
      <c r="K626" s="90"/>
    </row>
    <row r="627" spans="1:11">
      <c r="A627" s="90"/>
      <c r="C627" s="90"/>
      <c r="D627" s="90"/>
      <c r="E627" s="90"/>
      <c r="F627" s="90"/>
      <c r="G627" s="643"/>
      <c r="H627" s="643"/>
      <c r="I627" s="90"/>
      <c r="J627" s="90"/>
      <c r="K627" s="90"/>
    </row>
    <row r="628" spans="1:11">
      <c r="A628" s="90"/>
      <c r="C628" s="90"/>
      <c r="D628" s="90"/>
      <c r="E628" s="90"/>
      <c r="F628" s="90"/>
      <c r="G628" s="643"/>
      <c r="H628" s="643"/>
      <c r="I628" s="90"/>
      <c r="J628" s="90"/>
      <c r="K628" s="90"/>
    </row>
    <row r="629" spans="1:11">
      <c r="A629" s="90"/>
      <c r="C629" s="90"/>
      <c r="D629" s="90"/>
      <c r="E629" s="90"/>
      <c r="F629" s="90"/>
      <c r="G629" s="643"/>
      <c r="H629" s="643"/>
      <c r="I629" s="90"/>
      <c r="J629" s="90"/>
      <c r="K629" s="90"/>
    </row>
    <row r="630" spans="1:11">
      <c r="A630" s="90"/>
      <c r="C630" s="90"/>
      <c r="D630" s="90"/>
      <c r="E630" s="90"/>
      <c r="F630" s="90"/>
      <c r="G630" s="643"/>
      <c r="H630" s="643"/>
      <c r="I630" s="90"/>
      <c r="J630" s="90"/>
      <c r="K630" s="90"/>
    </row>
    <row r="631" spans="1:11">
      <c r="A631" s="90"/>
      <c r="C631" s="90"/>
      <c r="D631" s="90"/>
      <c r="E631" s="90"/>
      <c r="F631" s="90"/>
      <c r="G631" s="643"/>
      <c r="H631" s="643"/>
      <c r="I631" s="90"/>
      <c r="J631" s="90"/>
      <c r="K631" s="90"/>
    </row>
    <row r="632" spans="1:11">
      <c r="A632" s="90"/>
      <c r="C632" s="90"/>
      <c r="D632" s="90"/>
      <c r="E632" s="90"/>
      <c r="F632" s="90"/>
      <c r="G632" s="643"/>
      <c r="H632" s="643"/>
      <c r="I632" s="90"/>
      <c r="J632" s="90"/>
      <c r="K632" s="90"/>
    </row>
    <row r="633" spans="1:11">
      <c r="A633" s="90"/>
      <c r="C633" s="90"/>
      <c r="D633" s="90"/>
      <c r="E633" s="90"/>
      <c r="F633" s="90"/>
      <c r="G633" s="643"/>
      <c r="H633" s="643"/>
      <c r="I633" s="90"/>
      <c r="J633" s="90"/>
      <c r="K633" s="90"/>
    </row>
    <row r="634" spans="1:11">
      <c r="A634" s="90"/>
      <c r="C634" s="90"/>
      <c r="D634" s="90"/>
      <c r="E634" s="90"/>
      <c r="F634" s="90"/>
      <c r="G634" s="643"/>
      <c r="H634" s="643"/>
      <c r="I634" s="90"/>
      <c r="J634" s="90"/>
      <c r="K634" s="90"/>
    </row>
    <row r="635" spans="1:11">
      <c r="A635" s="90"/>
      <c r="C635" s="90"/>
      <c r="D635" s="90"/>
      <c r="E635" s="90"/>
      <c r="F635" s="90"/>
      <c r="G635" s="643"/>
      <c r="H635" s="643"/>
      <c r="I635" s="90"/>
      <c r="J635" s="90"/>
      <c r="K635" s="90"/>
    </row>
    <row r="636" spans="1:11">
      <c r="A636" s="90"/>
      <c r="C636" s="90"/>
      <c r="D636" s="90"/>
      <c r="E636" s="90"/>
      <c r="F636" s="90"/>
      <c r="G636" s="643"/>
      <c r="H636" s="643"/>
      <c r="I636" s="90"/>
      <c r="J636" s="90"/>
      <c r="K636" s="90"/>
    </row>
    <row r="637" spans="1:11">
      <c r="A637" s="90"/>
      <c r="C637" s="90"/>
      <c r="D637" s="90"/>
      <c r="E637" s="90"/>
      <c r="F637" s="90"/>
      <c r="G637" s="643"/>
      <c r="H637" s="643"/>
      <c r="I637" s="90"/>
      <c r="J637" s="90"/>
      <c r="K637" s="90"/>
    </row>
    <row r="638" spans="1:11">
      <c r="A638" s="90"/>
      <c r="C638" s="90"/>
      <c r="D638" s="90"/>
      <c r="E638" s="90"/>
      <c r="F638" s="90"/>
      <c r="G638" s="643"/>
      <c r="H638" s="643"/>
      <c r="I638" s="90"/>
      <c r="J638" s="90"/>
      <c r="K638" s="90"/>
    </row>
    <row r="639" spans="1:11">
      <c r="A639" s="90"/>
      <c r="C639" s="90"/>
      <c r="D639" s="90"/>
      <c r="E639" s="90"/>
      <c r="F639" s="90"/>
      <c r="G639" s="643"/>
      <c r="H639" s="643"/>
      <c r="I639" s="90"/>
      <c r="J639" s="90"/>
      <c r="K639" s="90"/>
    </row>
    <row r="640" spans="1:11">
      <c r="A640" s="90"/>
      <c r="C640" s="90"/>
      <c r="D640" s="90"/>
      <c r="E640" s="90"/>
      <c r="F640" s="90"/>
      <c r="G640" s="643"/>
      <c r="H640" s="643"/>
      <c r="I640" s="90"/>
      <c r="J640" s="90"/>
      <c r="K640" s="90"/>
    </row>
    <row r="641" spans="1:11">
      <c r="A641" s="90"/>
      <c r="C641" s="90"/>
      <c r="D641" s="90"/>
      <c r="E641" s="90"/>
      <c r="F641" s="90"/>
      <c r="G641" s="643"/>
      <c r="H641" s="643"/>
      <c r="I641" s="90"/>
      <c r="J641" s="90"/>
      <c r="K641" s="90"/>
    </row>
    <row r="642" spans="1:11">
      <c r="A642" s="90"/>
      <c r="C642" s="90"/>
      <c r="D642" s="90"/>
      <c r="E642" s="90"/>
      <c r="F642" s="90"/>
      <c r="G642" s="643"/>
      <c r="H642" s="643"/>
      <c r="I642" s="90"/>
      <c r="J642" s="90"/>
      <c r="K642" s="90"/>
    </row>
    <row r="643" spans="1:11">
      <c r="A643" s="90"/>
      <c r="C643" s="90"/>
      <c r="D643" s="90"/>
      <c r="E643" s="90"/>
      <c r="F643" s="90"/>
      <c r="G643" s="643"/>
      <c r="H643" s="643"/>
      <c r="I643" s="90"/>
      <c r="J643" s="90"/>
      <c r="K643" s="90"/>
    </row>
    <row r="644" spans="1:11">
      <c r="A644" s="90"/>
      <c r="C644" s="90"/>
      <c r="D644" s="90"/>
      <c r="E644" s="90"/>
      <c r="F644" s="90"/>
      <c r="G644" s="643"/>
      <c r="H644" s="643"/>
      <c r="I644" s="90"/>
      <c r="J644" s="90"/>
      <c r="K644" s="90"/>
    </row>
    <row r="645" spans="1:11">
      <c r="A645" s="90"/>
      <c r="C645" s="90"/>
      <c r="D645" s="90"/>
      <c r="E645" s="90"/>
      <c r="F645" s="90"/>
      <c r="G645" s="643"/>
      <c r="H645" s="643"/>
      <c r="I645" s="90"/>
      <c r="J645" s="90"/>
      <c r="K645" s="90"/>
    </row>
    <row r="646" spans="1:11">
      <c r="A646" s="90"/>
      <c r="C646" s="90"/>
      <c r="D646" s="90"/>
      <c r="E646" s="90"/>
      <c r="F646" s="90"/>
      <c r="G646" s="643"/>
      <c r="H646" s="643"/>
      <c r="I646" s="90"/>
      <c r="J646" s="90"/>
      <c r="K646" s="90"/>
    </row>
    <row r="647" spans="1:11">
      <c r="A647" s="90"/>
      <c r="C647" s="90"/>
      <c r="D647" s="90"/>
      <c r="E647" s="90"/>
      <c r="F647" s="90"/>
      <c r="G647" s="643"/>
      <c r="H647" s="643"/>
      <c r="I647" s="90"/>
      <c r="J647" s="90"/>
      <c r="K647" s="90"/>
    </row>
    <row r="648" spans="1:11">
      <c r="A648" s="90"/>
      <c r="C648" s="90"/>
      <c r="D648" s="90"/>
      <c r="E648" s="90"/>
      <c r="F648" s="90"/>
      <c r="G648" s="643"/>
      <c r="H648" s="643"/>
      <c r="I648" s="90"/>
      <c r="J648" s="90"/>
      <c r="K648" s="90"/>
    </row>
    <row r="649" spans="1:11">
      <c r="A649" s="90"/>
      <c r="C649" s="90"/>
      <c r="D649" s="90"/>
      <c r="E649" s="90"/>
      <c r="F649" s="90"/>
      <c r="G649" s="643"/>
      <c r="H649" s="643"/>
      <c r="I649" s="90"/>
      <c r="J649" s="90"/>
      <c r="K649" s="90"/>
    </row>
    <row r="650" spans="1:11">
      <c r="A650" s="90"/>
      <c r="C650" s="90"/>
      <c r="D650" s="90"/>
      <c r="E650" s="90"/>
      <c r="F650" s="90"/>
      <c r="G650" s="643"/>
      <c r="H650" s="643"/>
      <c r="I650" s="90"/>
      <c r="J650" s="90"/>
      <c r="K650" s="90"/>
    </row>
    <row r="651" spans="1:11">
      <c r="A651" s="90"/>
      <c r="C651" s="90"/>
      <c r="D651" s="90"/>
      <c r="E651" s="90"/>
      <c r="F651" s="90"/>
      <c r="G651" s="643"/>
      <c r="H651" s="643"/>
      <c r="I651" s="90"/>
      <c r="J651" s="90"/>
      <c r="K651" s="90"/>
    </row>
    <row r="652" spans="1:11">
      <c r="A652" s="90"/>
      <c r="C652" s="90"/>
      <c r="D652" s="90"/>
      <c r="E652" s="90"/>
      <c r="F652" s="90"/>
      <c r="G652" s="643"/>
      <c r="H652" s="643"/>
      <c r="I652" s="90"/>
      <c r="J652" s="90"/>
      <c r="K652" s="90"/>
    </row>
    <row r="653" spans="1:11">
      <c r="A653" s="90"/>
      <c r="C653" s="90"/>
      <c r="D653" s="90"/>
      <c r="E653" s="90"/>
      <c r="F653" s="90"/>
      <c r="G653" s="643"/>
      <c r="H653" s="643"/>
      <c r="I653" s="90"/>
      <c r="J653" s="90"/>
      <c r="K653" s="90"/>
    </row>
    <row r="654" spans="1:11">
      <c r="A654" s="90"/>
      <c r="C654" s="90"/>
      <c r="D654" s="90"/>
      <c r="E654" s="90"/>
      <c r="F654" s="90"/>
      <c r="G654" s="643"/>
      <c r="H654" s="643"/>
      <c r="I654" s="90"/>
      <c r="J654" s="90"/>
      <c r="K654" s="90"/>
    </row>
    <row r="655" spans="1:11">
      <c r="A655" s="90"/>
      <c r="C655" s="90"/>
      <c r="D655" s="90"/>
      <c r="E655" s="90"/>
      <c r="F655" s="90"/>
      <c r="G655" s="643"/>
      <c r="H655" s="643"/>
      <c r="I655" s="90"/>
      <c r="J655" s="90"/>
      <c r="K655" s="90"/>
    </row>
    <row r="656" spans="1:11">
      <c r="A656" s="90"/>
      <c r="C656" s="90"/>
      <c r="D656" s="90"/>
      <c r="E656" s="90"/>
      <c r="F656" s="90"/>
      <c r="G656" s="643"/>
      <c r="H656" s="643"/>
      <c r="I656" s="90"/>
      <c r="J656" s="90"/>
      <c r="K656" s="90"/>
    </row>
    <row r="657" spans="1:11">
      <c r="A657" s="90"/>
      <c r="C657" s="90"/>
      <c r="D657" s="90"/>
      <c r="E657" s="90"/>
      <c r="F657" s="90"/>
      <c r="G657" s="643"/>
      <c r="H657" s="643"/>
      <c r="I657" s="90"/>
      <c r="J657" s="90"/>
      <c r="K657" s="90"/>
    </row>
    <row r="658" spans="1:11">
      <c r="A658" s="90"/>
      <c r="C658" s="90"/>
      <c r="D658" s="90"/>
      <c r="E658" s="90"/>
      <c r="F658" s="90"/>
      <c r="G658" s="643"/>
      <c r="H658" s="643"/>
      <c r="I658" s="90"/>
      <c r="J658" s="90"/>
      <c r="K658" s="90"/>
    </row>
    <row r="659" spans="1:11">
      <c r="A659" s="90"/>
      <c r="C659" s="90"/>
      <c r="D659" s="90"/>
      <c r="E659" s="90"/>
      <c r="F659" s="90"/>
      <c r="G659" s="643"/>
      <c r="H659" s="643"/>
      <c r="I659" s="90"/>
      <c r="J659" s="90"/>
      <c r="K659" s="90"/>
    </row>
    <row r="660" spans="1:11">
      <c r="A660" s="90"/>
      <c r="C660" s="90"/>
      <c r="D660" s="90"/>
      <c r="E660" s="90"/>
      <c r="F660" s="90"/>
      <c r="G660" s="643"/>
      <c r="H660" s="643"/>
      <c r="I660" s="90"/>
      <c r="J660" s="90"/>
      <c r="K660" s="90"/>
    </row>
    <row r="661" spans="1:11">
      <c r="A661" s="90"/>
      <c r="C661" s="90"/>
      <c r="D661" s="90"/>
      <c r="E661" s="90"/>
      <c r="F661" s="90"/>
      <c r="G661" s="643"/>
      <c r="H661" s="643"/>
      <c r="I661" s="90"/>
      <c r="J661" s="90"/>
      <c r="K661" s="90"/>
    </row>
    <row r="662" spans="1:11">
      <c r="A662" s="90"/>
      <c r="C662" s="90"/>
      <c r="D662" s="90"/>
      <c r="E662" s="90"/>
      <c r="F662" s="90"/>
      <c r="G662" s="643"/>
      <c r="H662" s="643"/>
      <c r="I662" s="90"/>
      <c r="J662" s="90"/>
      <c r="K662" s="90"/>
    </row>
    <row r="663" spans="1:11">
      <c r="A663" s="90"/>
      <c r="C663" s="90"/>
      <c r="D663" s="90"/>
      <c r="E663" s="90"/>
      <c r="F663" s="90"/>
      <c r="G663" s="643"/>
      <c r="H663" s="643"/>
      <c r="I663" s="90"/>
      <c r="J663" s="90"/>
      <c r="K663" s="90"/>
    </row>
    <row r="664" spans="1:11">
      <c r="A664" s="90"/>
      <c r="C664" s="90"/>
      <c r="D664" s="90"/>
      <c r="E664" s="90"/>
      <c r="F664" s="90"/>
      <c r="G664" s="643"/>
      <c r="H664" s="643"/>
      <c r="I664" s="90"/>
      <c r="J664" s="90"/>
      <c r="K664" s="90"/>
    </row>
    <row r="665" spans="1:11">
      <c r="A665" s="90"/>
      <c r="C665" s="90"/>
      <c r="D665" s="90"/>
      <c r="E665" s="90"/>
      <c r="F665" s="90"/>
      <c r="G665" s="643"/>
      <c r="H665" s="643"/>
      <c r="I665" s="90"/>
      <c r="J665" s="90"/>
      <c r="K665" s="90"/>
    </row>
    <row r="666" spans="1:11">
      <c r="A666" s="90"/>
      <c r="C666" s="90"/>
      <c r="D666" s="90"/>
      <c r="E666" s="90"/>
      <c r="F666" s="90"/>
      <c r="G666" s="643"/>
      <c r="H666" s="643"/>
      <c r="I666" s="90"/>
      <c r="J666" s="90"/>
      <c r="K666" s="90"/>
    </row>
    <row r="667" spans="1:11">
      <c r="A667" s="90"/>
      <c r="C667" s="90"/>
      <c r="D667" s="90"/>
      <c r="E667" s="90"/>
      <c r="F667" s="90"/>
      <c r="G667" s="643"/>
      <c r="H667" s="643"/>
      <c r="I667" s="90"/>
      <c r="J667" s="90"/>
      <c r="K667" s="90"/>
    </row>
    <row r="668" spans="1:11">
      <c r="A668" s="90"/>
      <c r="C668" s="90"/>
      <c r="D668" s="90"/>
      <c r="E668" s="90"/>
      <c r="F668" s="90"/>
      <c r="G668" s="643"/>
      <c r="H668" s="643"/>
      <c r="I668" s="90"/>
      <c r="J668" s="90"/>
      <c r="K668" s="90"/>
    </row>
    <row r="669" spans="1:11">
      <c r="A669" s="90"/>
      <c r="C669" s="90"/>
      <c r="D669" s="90"/>
      <c r="E669" s="90"/>
      <c r="F669" s="90"/>
      <c r="G669" s="643"/>
      <c r="H669" s="643"/>
      <c r="I669" s="90"/>
      <c r="J669" s="90"/>
      <c r="K669" s="90"/>
    </row>
    <row r="670" spans="1:11">
      <c r="A670" s="90"/>
      <c r="C670" s="90"/>
      <c r="D670" s="90"/>
      <c r="E670" s="90"/>
      <c r="F670" s="90"/>
      <c r="G670" s="643"/>
      <c r="H670" s="643"/>
      <c r="I670" s="90"/>
      <c r="J670" s="90"/>
      <c r="K670" s="90"/>
    </row>
    <row r="671" spans="1:11">
      <c r="A671" s="90"/>
      <c r="C671" s="90"/>
      <c r="D671" s="90"/>
      <c r="E671" s="90"/>
      <c r="F671" s="90"/>
      <c r="G671" s="643"/>
      <c r="H671" s="643"/>
      <c r="I671" s="90"/>
      <c r="J671" s="90"/>
      <c r="K671" s="90"/>
    </row>
    <row r="672" spans="1:11">
      <c r="A672" s="90"/>
      <c r="C672" s="90"/>
      <c r="D672" s="90"/>
      <c r="E672" s="90"/>
      <c r="F672" s="90"/>
      <c r="G672" s="643"/>
      <c r="H672" s="643"/>
      <c r="I672" s="90"/>
      <c r="J672" s="90"/>
      <c r="K672" s="90"/>
    </row>
    <row r="673" spans="1:11">
      <c r="A673" s="90"/>
      <c r="C673" s="90"/>
      <c r="D673" s="90"/>
      <c r="E673" s="90"/>
      <c r="F673" s="90"/>
      <c r="G673" s="643"/>
      <c r="H673" s="643"/>
      <c r="I673" s="90"/>
      <c r="J673" s="90"/>
      <c r="K673" s="90"/>
    </row>
    <row r="674" spans="1:11">
      <c r="A674" s="90"/>
      <c r="C674" s="90"/>
      <c r="D674" s="90"/>
      <c r="E674" s="90"/>
      <c r="F674" s="90"/>
      <c r="G674" s="643"/>
      <c r="H674" s="643"/>
      <c r="I674" s="90"/>
      <c r="J674" s="90"/>
      <c r="K674" s="90"/>
    </row>
    <row r="675" spans="1:11">
      <c r="A675" s="90"/>
      <c r="C675" s="90"/>
      <c r="D675" s="90"/>
      <c r="E675" s="90"/>
      <c r="F675" s="90"/>
      <c r="G675" s="643"/>
      <c r="H675" s="643"/>
      <c r="I675" s="90"/>
      <c r="J675" s="90"/>
      <c r="K675" s="90"/>
    </row>
    <row r="676" spans="1:11">
      <c r="A676" s="90"/>
      <c r="C676" s="90"/>
      <c r="D676" s="90"/>
      <c r="E676" s="90"/>
      <c r="F676" s="90"/>
      <c r="G676" s="643"/>
      <c r="H676" s="643"/>
      <c r="I676" s="90"/>
      <c r="J676" s="90"/>
      <c r="K676" s="90"/>
    </row>
    <row r="677" spans="1:11">
      <c r="A677" s="90"/>
      <c r="C677" s="90"/>
      <c r="D677" s="90"/>
      <c r="E677" s="90"/>
      <c r="F677" s="90"/>
      <c r="G677" s="643"/>
      <c r="H677" s="643"/>
      <c r="I677" s="90"/>
      <c r="J677" s="90"/>
      <c r="K677" s="90"/>
    </row>
    <row r="678" spans="1:11">
      <c r="A678" s="90"/>
      <c r="C678" s="90"/>
      <c r="D678" s="90"/>
      <c r="E678" s="90"/>
      <c r="F678" s="90"/>
      <c r="G678" s="643"/>
      <c r="H678" s="643"/>
      <c r="I678" s="90"/>
      <c r="J678" s="90"/>
      <c r="K678" s="90"/>
    </row>
    <row r="679" spans="1:11">
      <c r="A679" s="90"/>
      <c r="C679" s="90"/>
      <c r="D679" s="90"/>
      <c r="E679" s="90"/>
      <c r="F679" s="90"/>
      <c r="G679" s="643"/>
      <c r="H679" s="643"/>
      <c r="I679" s="90"/>
      <c r="J679" s="90"/>
      <c r="K679" s="90"/>
    </row>
    <row r="680" spans="1:11">
      <c r="A680" s="90"/>
      <c r="C680" s="90"/>
      <c r="D680" s="90"/>
      <c r="E680" s="90"/>
      <c r="F680" s="90"/>
      <c r="G680" s="643"/>
      <c r="H680" s="643"/>
      <c r="I680" s="90"/>
      <c r="J680" s="90"/>
      <c r="K680" s="90"/>
    </row>
    <row r="681" spans="1:11">
      <c r="A681" s="90"/>
      <c r="C681" s="90"/>
      <c r="D681" s="90"/>
      <c r="E681" s="90"/>
      <c r="F681" s="90"/>
      <c r="G681" s="643"/>
      <c r="H681" s="643"/>
      <c r="I681" s="90"/>
      <c r="J681" s="90"/>
      <c r="K681" s="90"/>
    </row>
    <row r="682" spans="1:11">
      <c r="A682" s="90"/>
      <c r="C682" s="90"/>
      <c r="D682" s="90"/>
      <c r="E682" s="90"/>
      <c r="F682" s="90"/>
      <c r="G682" s="643"/>
      <c r="H682" s="643"/>
      <c r="I682" s="90"/>
      <c r="J682" s="90"/>
      <c r="K682" s="90"/>
    </row>
    <row r="683" spans="1:11">
      <c r="A683" s="90"/>
      <c r="C683" s="90"/>
      <c r="D683" s="90"/>
      <c r="E683" s="90"/>
      <c r="F683" s="90"/>
      <c r="G683" s="643"/>
      <c r="H683" s="643"/>
      <c r="I683" s="90"/>
      <c r="J683" s="90"/>
      <c r="K683" s="90"/>
    </row>
    <row r="684" spans="1:11">
      <c r="A684" s="90"/>
      <c r="C684" s="90"/>
      <c r="D684" s="90"/>
      <c r="E684" s="90"/>
      <c r="F684" s="90"/>
      <c r="G684" s="643"/>
      <c r="H684" s="643"/>
      <c r="I684" s="90"/>
      <c r="J684" s="90"/>
      <c r="K684" s="90"/>
    </row>
    <row r="685" spans="1:11">
      <c r="A685" s="90"/>
      <c r="C685" s="90"/>
      <c r="D685" s="90"/>
      <c r="E685" s="90"/>
      <c r="F685" s="90"/>
      <c r="G685" s="643"/>
      <c r="H685" s="643"/>
      <c r="I685" s="90"/>
      <c r="J685" s="90"/>
      <c r="K685" s="90"/>
    </row>
    <row r="686" spans="1:11">
      <c r="A686" s="90"/>
      <c r="C686" s="90"/>
      <c r="D686" s="90"/>
      <c r="E686" s="90"/>
      <c r="F686" s="90"/>
      <c r="G686" s="643"/>
      <c r="H686" s="643"/>
      <c r="I686" s="90"/>
      <c r="J686" s="90"/>
      <c r="K686" s="90"/>
    </row>
    <row r="687" spans="1:11">
      <c r="A687" s="90"/>
      <c r="C687" s="90"/>
      <c r="D687" s="90"/>
      <c r="E687" s="90"/>
      <c r="F687" s="90"/>
      <c r="G687" s="643"/>
      <c r="H687" s="643"/>
      <c r="I687" s="90"/>
      <c r="J687" s="90"/>
      <c r="K687" s="90"/>
    </row>
    <row r="688" spans="1:11">
      <c r="A688" s="90"/>
      <c r="C688" s="90"/>
      <c r="D688" s="90"/>
      <c r="E688" s="90"/>
      <c r="F688" s="90"/>
      <c r="G688" s="643"/>
      <c r="H688" s="643"/>
      <c r="I688" s="90"/>
      <c r="J688" s="90"/>
      <c r="K688" s="90"/>
    </row>
    <row r="689" spans="1:11">
      <c r="A689" s="90"/>
      <c r="C689" s="90"/>
      <c r="D689" s="90"/>
      <c r="E689" s="90"/>
      <c r="F689" s="90"/>
      <c r="G689" s="643"/>
      <c r="H689" s="643"/>
      <c r="I689" s="90"/>
      <c r="J689" s="90"/>
      <c r="K689" s="90"/>
    </row>
    <row r="690" spans="1:11">
      <c r="A690" s="90"/>
      <c r="C690" s="90"/>
      <c r="D690" s="90"/>
      <c r="E690" s="90"/>
      <c r="F690" s="90"/>
      <c r="G690" s="643"/>
      <c r="H690" s="643"/>
      <c r="I690" s="90"/>
      <c r="J690" s="90"/>
      <c r="K690" s="90"/>
    </row>
    <row r="691" spans="1:11">
      <c r="A691" s="90"/>
      <c r="C691" s="90"/>
      <c r="D691" s="90"/>
      <c r="E691" s="90"/>
      <c r="F691" s="90"/>
      <c r="G691" s="643"/>
      <c r="H691" s="643"/>
      <c r="I691" s="90"/>
      <c r="J691" s="90"/>
      <c r="K691" s="90"/>
    </row>
    <row r="692" spans="1:11">
      <c r="A692" s="90"/>
      <c r="C692" s="90"/>
      <c r="D692" s="90"/>
      <c r="E692" s="90"/>
      <c r="F692" s="90"/>
      <c r="G692" s="643"/>
      <c r="H692" s="643"/>
      <c r="I692" s="90"/>
      <c r="J692" s="90"/>
      <c r="K692" s="90"/>
    </row>
    <row r="693" spans="1:11">
      <c r="A693" s="90"/>
      <c r="C693" s="90"/>
      <c r="D693" s="90"/>
      <c r="E693" s="90"/>
      <c r="F693" s="90"/>
      <c r="G693" s="643"/>
      <c r="H693" s="643"/>
      <c r="I693" s="90"/>
      <c r="J693" s="90"/>
      <c r="K693" s="90"/>
    </row>
    <row r="694" spans="1:11">
      <c r="A694" s="90"/>
      <c r="C694" s="90"/>
      <c r="D694" s="90"/>
      <c r="E694" s="90"/>
      <c r="F694" s="90"/>
      <c r="G694" s="643"/>
      <c r="H694" s="643"/>
      <c r="I694" s="90"/>
      <c r="J694" s="90"/>
      <c r="K694" s="90"/>
    </row>
    <row r="695" spans="1:11">
      <c r="A695" s="90"/>
      <c r="C695" s="90"/>
      <c r="D695" s="90"/>
      <c r="E695" s="90"/>
      <c r="F695" s="90"/>
      <c r="G695" s="643"/>
      <c r="H695" s="643"/>
      <c r="I695" s="90"/>
      <c r="J695" s="90"/>
      <c r="K695" s="90"/>
    </row>
    <row r="696" spans="1:11">
      <c r="A696" s="90"/>
      <c r="C696" s="90"/>
      <c r="D696" s="90"/>
      <c r="E696" s="90"/>
      <c r="F696" s="90"/>
      <c r="G696" s="643"/>
      <c r="H696" s="643"/>
      <c r="I696" s="90"/>
      <c r="J696" s="90"/>
      <c r="K696" s="90"/>
    </row>
    <row r="697" spans="1:11">
      <c r="A697" s="90"/>
      <c r="C697" s="90"/>
      <c r="D697" s="90"/>
      <c r="E697" s="90"/>
      <c r="F697" s="90"/>
      <c r="G697" s="643"/>
      <c r="H697" s="643"/>
      <c r="I697" s="90"/>
      <c r="J697" s="90"/>
      <c r="K697" s="90"/>
    </row>
    <row r="698" spans="1:11">
      <c r="A698" s="90"/>
      <c r="C698" s="90"/>
      <c r="D698" s="90"/>
      <c r="E698" s="90"/>
      <c r="F698" s="90"/>
      <c r="G698" s="643"/>
      <c r="H698" s="643"/>
      <c r="I698" s="90"/>
      <c r="J698" s="90"/>
      <c r="K698" s="90"/>
    </row>
    <row r="699" spans="1:11">
      <c r="A699" s="90"/>
      <c r="C699" s="90"/>
      <c r="D699" s="90"/>
      <c r="E699" s="90"/>
      <c r="F699" s="90"/>
      <c r="G699" s="643"/>
      <c r="H699" s="643"/>
      <c r="I699" s="90"/>
      <c r="J699" s="90"/>
      <c r="K699" s="90"/>
    </row>
    <row r="700" spans="1:11">
      <c r="A700" s="90"/>
      <c r="C700" s="90"/>
      <c r="D700" s="90"/>
      <c r="E700" s="90"/>
      <c r="F700" s="90"/>
      <c r="G700" s="643"/>
      <c r="H700" s="643"/>
      <c r="I700" s="90"/>
      <c r="J700" s="90"/>
      <c r="K700" s="90"/>
    </row>
    <row r="701" spans="1:11">
      <c r="A701" s="90"/>
      <c r="C701" s="90"/>
      <c r="D701" s="90"/>
      <c r="E701" s="90"/>
      <c r="F701" s="90"/>
      <c r="G701" s="643"/>
      <c r="H701" s="643"/>
      <c r="I701" s="90"/>
      <c r="J701" s="90"/>
      <c r="K701" s="90"/>
    </row>
    <row r="702" spans="1:11">
      <c r="A702" s="90"/>
      <c r="C702" s="90"/>
      <c r="D702" s="90"/>
      <c r="E702" s="90"/>
      <c r="F702" s="90"/>
      <c r="G702" s="643"/>
      <c r="H702" s="643"/>
      <c r="I702" s="90"/>
      <c r="J702" s="90"/>
      <c r="K702" s="90"/>
    </row>
    <row r="703" spans="1:11">
      <c r="A703" s="90"/>
      <c r="C703" s="90"/>
      <c r="D703" s="90"/>
      <c r="E703" s="90"/>
      <c r="F703" s="90"/>
      <c r="G703" s="643"/>
      <c r="H703" s="643"/>
      <c r="I703" s="90"/>
      <c r="J703" s="90"/>
      <c r="K703" s="90"/>
    </row>
    <row r="704" spans="1:11">
      <c r="A704" s="90"/>
      <c r="C704" s="90"/>
      <c r="D704" s="90"/>
      <c r="E704" s="90"/>
      <c r="F704" s="90"/>
      <c r="G704" s="643"/>
      <c r="H704" s="643"/>
      <c r="I704" s="90"/>
      <c r="J704" s="90"/>
      <c r="K704" s="90"/>
    </row>
    <row r="705" spans="1:11">
      <c r="A705" s="90"/>
      <c r="C705" s="90"/>
      <c r="D705" s="90"/>
      <c r="E705" s="90"/>
      <c r="F705" s="90"/>
      <c r="G705" s="643"/>
      <c r="H705" s="643"/>
      <c r="I705" s="90"/>
      <c r="J705" s="90"/>
      <c r="K705" s="90"/>
    </row>
    <row r="706" spans="1:11">
      <c r="A706" s="90"/>
      <c r="C706" s="90"/>
      <c r="D706" s="90"/>
      <c r="E706" s="90"/>
      <c r="F706" s="90"/>
      <c r="G706" s="643"/>
      <c r="H706" s="643"/>
      <c r="I706" s="90"/>
      <c r="J706" s="90"/>
      <c r="K706" s="90"/>
    </row>
    <row r="707" spans="1:11">
      <c r="A707" s="90"/>
      <c r="C707" s="90"/>
      <c r="D707" s="90"/>
      <c r="E707" s="90"/>
      <c r="F707" s="90"/>
      <c r="G707" s="643"/>
      <c r="H707" s="643"/>
      <c r="I707" s="90"/>
      <c r="J707" s="90"/>
      <c r="K707" s="90"/>
    </row>
    <row r="708" spans="1:11">
      <c r="A708" s="90"/>
      <c r="C708" s="90"/>
      <c r="D708" s="90"/>
      <c r="E708" s="90"/>
      <c r="F708" s="90"/>
      <c r="G708" s="643"/>
      <c r="H708" s="643"/>
      <c r="I708" s="90"/>
      <c r="J708" s="90"/>
      <c r="K708" s="90"/>
    </row>
    <row r="709" spans="1:11">
      <c r="A709" s="90"/>
      <c r="C709" s="90"/>
      <c r="D709" s="90"/>
      <c r="E709" s="90"/>
      <c r="F709" s="90"/>
      <c r="G709" s="643"/>
      <c r="H709" s="643"/>
      <c r="I709" s="90"/>
      <c r="J709" s="90"/>
      <c r="K709" s="90"/>
    </row>
    <row r="710" spans="1:11">
      <c r="A710" s="90"/>
      <c r="C710" s="90"/>
      <c r="D710" s="90"/>
      <c r="E710" s="90"/>
      <c r="F710" s="90"/>
      <c r="G710" s="643"/>
      <c r="H710" s="643"/>
      <c r="I710" s="90"/>
      <c r="J710" s="90"/>
      <c r="K710" s="90"/>
    </row>
    <row r="711" spans="1:11">
      <c r="A711" s="90"/>
      <c r="C711" s="90"/>
      <c r="D711" s="90"/>
      <c r="E711" s="90"/>
      <c r="F711" s="90"/>
      <c r="G711" s="643"/>
      <c r="H711" s="643"/>
      <c r="I711" s="90"/>
      <c r="J711" s="90"/>
      <c r="K711" s="90"/>
    </row>
    <row r="712" spans="1:11">
      <c r="A712" s="90"/>
      <c r="C712" s="90"/>
      <c r="D712" s="90"/>
      <c r="E712" s="90"/>
      <c r="F712" s="90"/>
      <c r="G712" s="643"/>
      <c r="H712" s="643"/>
      <c r="I712" s="90"/>
      <c r="J712" s="90"/>
      <c r="K712" s="90"/>
    </row>
    <row r="713" spans="1:11">
      <c r="A713" s="90"/>
      <c r="C713" s="90"/>
      <c r="D713" s="90"/>
      <c r="E713" s="90"/>
      <c r="F713" s="90"/>
      <c r="G713" s="643"/>
      <c r="H713" s="643"/>
      <c r="I713" s="90"/>
      <c r="J713" s="90"/>
      <c r="K713" s="90"/>
    </row>
    <row r="714" spans="1:11">
      <c r="A714" s="90"/>
      <c r="C714" s="90"/>
      <c r="D714" s="90"/>
      <c r="E714" s="90"/>
      <c r="F714" s="90"/>
      <c r="G714" s="643"/>
      <c r="H714" s="643"/>
      <c r="I714" s="90"/>
      <c r="J714" s="90"/>
      <c r="K714" s="90"/>
    </row>
    <row r="715" spans="1:11">
      <c r="A715" s="90"/>
      <c r="C715" s="90"/>
      <c r="D715" s="90"/>
      <c r="E715" s="90"/>
      <c r="F715" s="90"/>
      <c r="G715" s="643"/>
      <c r="H715" s="643"/>
      <c r="I715" s="90"/>
      <c r="J715" s="90"/>
      <c r="K715" s="90"/>
    </row>
    <row r="716" spans="1:11">
      <c r="A716" s="90"/>
      <c r="C716" s="90"/>
      <c r="D716" s="90"/>
      <c r="E716" s="90"/>
      <c r="F716" s="90"/>
      <c r="G716" s="643"/>
      <c r="H716" s="643"/>
      <c r="I716" s="90"/>
      <c r="J716" s="90"/>
      <c r="K716" s="90"/>
    </row>
    <row r="717" spans="1:11">
      <c r="A717" s="90"/>
      <c r="C717" s="90"/>
      <c r="D717" s="90"/>
      <c r="E717" s="90"/>
      <c r="F717" s="90"/>
      <c r="G717" s="643"/>
      <c r="H717" s="643"/>
      <c r="I717" s="90"/>
      <c r="J717" s="90"/>
      <c r="K717" s="90"/>
    </row>
    <row r="718" spans="1:11">
      <c r="A718" s="90"/>
      <c r="C718" s="90"/>
      <c r="D718" s="90"/>
      <c r="E718" s="90"/>
      <c r="F718" s="90"/>
      <c r="G718" s="643"/>
      <c r="H718" s="643"/>
      <c r="I718" s="90"/>
      <c r="J718" s="90"/>
      <c r="K718" s="90"/>
    </row>
    <row r="719" spans="1:11">
      <c r="A719" s="90"/>
      <c r="C719" s="90"/>
      <c r="D719" s="90"/>
      <c r="E719" s="90"/>
      <c r="F719" s="90"/>
      <c r="G719" s="643"/>
      <c r="H719" s="643"/>
      <c r="I719" s="90"/>
      <c r="J719" s="90"/>
      <c r="K719" s="90"/>
    </row>
    <row r="720" spans="1:11">
      <c r="A720" s="90"/>
      <c r="C720" s="90"/>
      <c r="D720" s="90"/>
      <c r="E720" s="90"/>
      <c r="F720" s="90"/>
      <c r="G720" s="643"/>
      <c r="H720" s="643"/>
      <c r="I720" s="90"/>
      <c r="J720" s="90"/>
      <c r="K720" s="90"/>
    </row>
    <row r="721" spans="1:11">
      <c r="A721" s="90"/>
      <c r="C721" s="90"/>
      <c r="D721" s="90"/>
      <c r="E721" s="90"/>
      <c r="F721" s="90"/>
      <c r="G721" s="643"/>
      <c r="H721" s="643"/>
      <c r="I721" s="90"/>
      <c r="J721" s="90"/>
      <c r="K721" s="90"/>
    </row>
    <row r="722" spans="1:11">
      <c r="A722" s="90"/>
      <c r="C722" s="90"/>
      <c r="D722" s="90"/>
      <c r="E722" s="90"/>
      <c r="F722" s="90"/>
      <c r="G722" s="643"/>
      <c r="H722" s="643"/>
      <c r="I722" s="90"/>
      <c r="J722" s="90"/>
      <c r="K722" s="90"/>
    </row>
    <row r="723" spans="1:11">
      <c r="A723" s="90"/>
      <c r="C723" s="90"/>
      <c r="D723" s="90"/>
      <c r="E723" s="90"/>
      <c r="F723" s="90"/>
      <c r="G723" s="643"/>
      <c r="H723" s="643"/>
      <c r="I723" s="90"/>
      <c r="J723" s="90"/>
      <c r="K723" s="90"/>
    </row>
    <row r="724" spans="1:11">
      <c r="A724" s="90"/>
      <c r="C724" s="90"/>
      <c r="D724" s="90"/>
      <c r="E724" s="90"/>
      <c r="F724" s="90"/>
      <c r="G724" s="643"/>
      <c r="H724" s="643"/>
      <c r="I724" s="90"/>
      <c r="J724" s="90"/>
      <c r="K724" s="90"/>
    </row>
    <row r="725" spans="1:11">
      <c r="A725" s="90"/>
      <c r="C725" s="90"/>
      <c r="D725" s="90"/>
      <c r="E725" s="90"/>
      <c r="F725" s="90"/>
      <c r="G725" s="643"/>
      <c r="H725" s="643"/>
      <c r="I725" s="90"/>
      <c r="J725" s="90"/>
      <c r="K725" s="90"/>
    </row>
    <row r="726" spans="1:11">
      <c r="A726" s="90"/>
      <c r="C726" s="90"/>
      <c r="D726" s="90"/>
      <c r="E726" s="90"/>
      <c r="F726" s="90"/>
      <c r="G726" s="643"/>
      <c r="H726" s="643"/>
      <c r="I726" s="90"/>
      <c r="J726" s="90"/>
      <c r="K726" s="90"/>
    </row>
    <row r="727" spans="1:11">
      <c r="A727" s="90"/>
      <c r="C727" s="90"/>
      <c r="D727" s="90"/>
      <c r="E727" s="90"/>
      <c r="F727" s="90"/>
      <c r="G727" s="643"/>
      <c r="H727" s="643"/>
      <c r="I727" s="90"/>
      <c r="J727" s="90"/>
      <c r="K727" s="90"/>
    </row>
    <row r="728" spans="1:11">
      <c r="A728" s="90"/>
      <c r="C728" s="90"/>
      <c r="D728" s="90"/>
      <c r="E728" s="90"/>
      <c r="F728" s="90"/>
      <c r="G728" s="643"/>
      <c r="H728" s="643"/>
      <c r="I728" s="90"/>
      <c r="J728" s="90"/>
      <c r="K728" s="90"/>
    </row>
    <row r="729" spans="1:11">
      <c r="A729" s="90"/>
      <c r="C729" s="90"/>
      <c r="D729" s="90"/>
      <c r="E729" s="90"/>
      <c r="F729" s="90"/>
      <c r="G729" s="643"/>
      <c r="H729" s="643"/>
      <c r="I729" s="90"/>
      <c r="J729" s="90"/>
      <c r="K729" s="90"/>
    </row>
    <row r="730" spans="1:11">
      <c r="A730" s="90"/>
      <c r="C730" s="90"/>
      <c r="D730" s="90"/>
      <c r="E730" s="90"/>
      <c r="F730" s="90"/>
      <c r="G730" s="643"/>
      <c r="H730" s="643"/>
      <c r="I730" s="90"/>
      <c r="J730" s="90"/>
      <c r="K730" s="90"/>
    </row>
    <row r="731" spans="1:11">
      <c r="A731" s="90"/>
      <c r="C731" s="90"/>
      <c r="D731" s="90"/>
      <c r="E731" s="90"/>
      <c r="F731" s="90"/>
      <c r="G731" s="643"/>
      <c r="H731" s="643"/>
      <c r="I731" s="90"/>
      <c r="J731" s="90"/>
      <c r="K731" s="90"/>
    </row>
    <row r="732" spans="1:11">
      <c r="A732" s="90"/>
      <c r="C732" s="90"/>
      <c r="D732" s="90"/>
      <c r="E732" s="90"/>
      <c r="F732" s="90"/>
      <c r="G732" s="643"/>
      <c r="H732" s="643"/>
      <c r="I732" s="90"/>
      <c r="J732" s="90"/>
      <c r="K732" s="90"/>
    </row>
    <row r="733" spans="1:11">
      <c r="A733" s="90"/>
      <c r="C733" s="90"/>
      <c r="D733" s="90"/>
      <c r="E733" s="90"/>
      <c r="F733" s="90"/>
      <c r="G733" s="643"/>
      <c r="H733" s="643"/>
      <c r="I733" s="90"/>
      <c r="J733" s="90"/>
      <c r="K733" s="90"/>
    </row>
    <row r="734" spans="1:11">
      <c r="A734" s="90"/>
      <c r="C734" s="90"/>
      <c r="D734" s="90"/>
      <c r="E734" s="90"/>
      <c r="F734" s="90"/>
      <c r="G734" s="643"/>
      <c r="H734" s="643"/>
      <c r="I734" s="90"/>
      <c r="J734" s="90"/>
      <c r="K734" s="90"/>
    </row>
    <row r="735" spans="1:11">
      <c r="A735" s="90"/>
      <c r="C735" s="90"/>
      <c r="D735" s="90"/>
      <c r="E735" s="90"/>
      <c r="F735" s="90"/>
      <c r="G735" s="643"/>
      <c r="H735" s="643"/>
      <c r="I735" s="90"/>
      <c r="J735" s="90"/>
      <c r="K735" s="90"/>
    </row>
    <row r="736" spans="1:11">
      <c r="A736" s="90"/>
      <c r="C736" s="90"/>
      <c r="D736" s="90"/>
      <c r="E736" s="90"/>
      <c r="F736" s="90"/>
      <c r="G736" s="643"/>
      <c r="H736" s="643"/>
      <c r="I736" s="90"/>
      <c r="J736" s="90"/>
      <c r="K736" s="90"/>
    </row>
    <row r="737" spans="1:11">
      <c r="A737" s="90"/>
      <c r="C737" s="90"/>
      <c r="D737" s="90"/>
      <c r="E737" s="90"/>
      <c r="F737" s="90"/>
      <c r="G737" s="643"/>
      <c r="H737" s="643"/>
      <c r="I737" s="90"/>
      <c r="J737" s="90"/>
      <c r="K737" s="90"/>
    </row>
    <row r="738" spans="1:11">
      <c r="A738" s="90"/>
      <c r="C738" s="90"/>
      <c r="D738" s="90"/>
      <c r="E738" s="90"/>
      <c r="F738" s="90"/>
      <c r="G738" s="643"/>
      <c r="H738" s="643"/>
      <c r="I738" s="90"/>
      <c r="J738" s="90"/>
      <c r="K738" s="90"/>
    </row>
    <row r="739" spans="1:11">
      <c r="A739" s="90"/>
      <c r="C739" s="90"/>
      <c r="D739" s="90"/>
      <c r="E739" s="90"/>
      <c r="F739" s="90"/>
      <c r="G739" s="643"/>
      <c r="H739" s="643"/>
      <c r="I739" s="90"/>
      <c r="J739" s="90"/>
      <c r="K739" s="90"/>
    </row>
    <row r="740" spans="1:11">
      <c r="A740" s="90"/>
      <c r="C740" s="90"/>
      <c r="D740" s="90"/>
      <c r="E740" s="90"/>
      <c r="F740" s="90"/>
      <c r="G740" s="643"/>
      <c r="H740" s="643"/>
      <c r="I740" s="90"/>
      <c r="J740" s="90"/>
      <c r="K740" s="90"/>
    </row>
    <row r="741" spans="1:11">
      <c r="A741" s="90"/>
      <c r="C741" s="90"/>
      <c r="D741" s="90"/>
      <c r="E741" s="90"/>
      <c r="F741" s="90"/>
      <c r="G741" s="643"/>
      <c r="H741" s="643"/>
      <c r="I741" s="90"/>
      <c r="J741" s="90"/>
      <c r="K741" s="90"/>
    </row>
    <row r="742" spans="1:11">
      <c r="A742" s="90"/>
      <c r="C742" s="90"/>
      <c r="D742" s="90"/>
      <c r="E742" s="90"/>
      <c r="F742" s="90"/>
      <c r="G742" s="643"/>
      <c r="H742" s="643"/>
      <c r="I742" s="90"/>
      <c r="J742" s="90"/>
      <c r="K742" s="90"/>
    </row>
    <row r="743" spans="1:11">
      <c r="A743" s="90"/>
      <c r="C743" s="90"/>
      <c r="D743" s="90"/>
      <c r="E743" s="90"/>
      <c r="F743" s="90"/>
      <c r="G743" s="643"/>
      <c r="H743" s="643"/>
      <c r="I743" s="90"/>
      <c r="J743" s="90"/>
      <c r="K743" s="90"/>
    </row>
    <row r="744" spans="1:11">
      <c r="A744" s="90"/>
      <c r="C744" s="90"/>
      <c r="D744" s="90"/>
      <c r="E744" s="90"/>
      <c r="F744" s="90"/>
      <c r="G744" s="643"/>
      <c r="H744" s="643"/>
      <c r="I744" s="90"/>
      <c r="J744" s="90"/>
      <c r="K744" s="90"/>
    </row>
    <row r="745" spans="1:11">
      <c r="A745" s="90"/>
      <c r="C745" s="90"/>
      <c r="D745" s="90"/>
      <c r="E745" s="90"/>
      <c r="F745" s="90"/>
      <c r="G745" s="643"/>
      <c r="H745" s="643"/>
      <c r="I745" s="90"/>
      <c r="J745" s="90"/>
      <c r="K745" s="90"/>
    </row>
    <row r="746" spans="1:11">
      <c r="A746" s="90"/>
      <c r="C746" s="90"/>
      <c r="D746" s="90"/>
      <c r="E746" s="90"/>
      <c r="F746" s="90"/>
      <c r="G746" s="643"/>
      <c r="H746" s="643"/>
      <c r="I746" s="90"/>
      <c r="J746" s="90"/>
      <c r="K746" s="90"/>
    </row>
    <row r="747" spans="1:11">
      <c r="A747" s="90"/>
      <c r="C747" s="90"/>
      <c r="D747" s="90"/>
      <c r="E747" s="90"/>
      <c r="F747" s="90"/>
      <c r="G747" s="643"/>
      <c r="H747" s="643"/>
      <c r="I747" s="90"/>
      <c r="J747" s="90"/>
      <c r="K747" s="90"/>
    </row>
    <row r="748" spans="1:11">
      <c r="A748" s="90"/>
      <c r="C748" s="90"/>
      <c r="D748" s="90"/>
      <c r="E748" s="90"/>
      <c r="F748" s="90"/>
      <c r="G748" s="643"/>
      <c r="H748" s="643"/>
      <c r="I748" s="90"/>
      <c r="J748" s="90"/>
      <c r="K748" s="90"/>
    </row>
    <row r="749" spans="1:11">
      <c r="A749" s="90"/>
      <c r="C749" s="90"/>
      <c r="D749" s="90"/>
      <c r="E749" s="90"/>
      <c r="F749" s="90"/>
      <c r="G749" s="643"/>
      <c r="H749" s="643"/>
      <c r="I749" s="90"/>
      <c r="J749" s="90"/>
      <c r="K749" s="90"/>
    </row>
    <row r="750" spans="1:11">
      <c r="A750" s="90"/>
      <c r="C750" s="90"/>
      <c r="D750" s="90"/>
      <c r="E750" s="90"/>
      <c r="F750" s="90"/>
      <c r="G750" s="643"/>
      <c r="H750" s="643"/>
      <c r="I750" s="90"/>
      <c r="J750" s="90"/>
      <c r="K750" s="90"/>
    </row>
    <row r="751" spans="1:11">
      <c r="A751" s="90"/>
      <c r="C751" s="90"/>
      <c r="D751" s="90"/>
      <c r="E751" s="90"/>
      <c r="F751" s="90"/>
      <c r="G751" s="643"/>
      <c r="H751" s="643"/>
      <c r="I751" s="90"/>
      <c r="J751" s="90"/>
      <c r="K751" s="90"/>
    </row>
    <row r="752" spans="1:11">
      <c r="A752" s="90"/>
      <c r="C752" s="90"/>
      <c r="D752" s="90"/>
      <c r="E752" s="90"/>
      <c r="F752" s="90"/>
      <c r="G752" s="643"/>
      <c r="H752" s="643"/>
      <c r="I752" s="90"/>
      <c r="J752" s="90"/>
      <c r="K752" s="90"/>
    </row>
    <row r="753" spans="1:11">
      <c r="A753" s="90"/>
      <c r="C753" s="90"/>
      <c r="D753" s="90"/>
      <c r="E753" s="90"/>
      <c r="F753" s="90"/>
      <c r="G753" s="643"/>
      <c r="H753" s="643"/>
      <c r="I753" s="90"/>
      <c r="J753" s="90"/>
      <c r="K753" s="90"/>
    </row>
    <row r="754" spans="1:11">
      <c r="A754" s="90"/>
      <c r="C754" s="90"/>
      <c r="D754" s="90"/>
      <c r="E754" s="90"/>
      <c r="F754" s="90"/>
      <c r="G754" s="643"/>
      <c r="H754" s="643"/>
      <c r="I754" s="90"/>
      <c r="J754" s="90"/>
      <c r="K754" s="90"/>
    </row>
    <row r="755" spans="1:11">
      <c r="A755" s="90"/>
      <c r="C755" s="90"/>
      <c r="D755" s="90"/>
      <c r="E755" s="90"/>
      <c r="F755" s="90"/>
      <c r="G755" s="643"/>
      <c r="H755" s="643"/>
      <c r="I755" s="90"/>
      <c r="J755" s="90"/>
      <c r="K755" s="90"/>
    </row>
    <row r="756" spans="1:11">
      <c r="A756" s="90"/>
      <c r="C756" s="90"/>
      <c r="D756" s="90"/>
      <c r="E756" s="90"/>
      <c r="F756" s="90"/>
      <c r="G756" s="643"/>
      <c r="H756" s="643"/>
      <c r="I756" s="90"/>
      <c r="J756" s="90"/>
      <c r="K756" s="90"/>
    </row>
    <row r="757" spans="1:11">
      <c r="A757" s="90"/>
      <c r="C757" s="90"/>
      <c r="D757" s="90"/>
      <c r="E757" s="90"/>
      <c r="F757" s="90"/>
      <c r="G757" s="643"/>
      <c r="H757" s="643"/>
      <c r="I757" s="90"/>
      <c r="J757" s="90"/>
      <c r="K757" s="90"/>
    </row>
    <row r="758" spans="1:11">
      <c r="A758" s="90"/>
      <c r="C758" s="90"/>
      <c r="D758" s="90"/>
      <c r="E758" s="90"/>
      <c r="F758" s="90"/>
      <c r="G758" s="643"/>
      <c r="H758" s="643"/>
      <c r="I758" s="90"/>
      <c r="J758" s="90"/>
      <c r="K758" s="90"/>
    </row>
    <row r="759" spans="1:11">
      <c r="A759" s="90"/>
      <c r="C759" s="90"/>
      <c r="D759" s="90"/>
      <c r="E759" s="90"/>
      <c r="F759" s="90"/>
      <c r="G759" s="643"/>
      <c r="H759" s="643"/>
      <c r="I759" s="90"/>
      <c r="J759" s="90"/>
      <c r="K759" s="90"/>
    </row>
    <row r="760" spans="1:11">
      <c r="A760" s="90"/>
      <c r="C760" s="90"/>
      <c r="D760" s="90"/>
      <c r="E760" s="90"/>
      <c r="F760" s="90"/>
      <c r="G760" s="643"/>
      <c r="H760" s="643"/>
      <c r="I760" s="90"/>
      <c r="J760" s="90"/>
      <c r="K760" s="90"/>
    </row>
    <row r="761" spans="1:11">
      <c r="A761" s="90"/>
      <c r="C761" s="90"/>
      <c r="D761" s="90"/>
      <c r="E761" s="90"/>
      <c r="F761" s="90"/>
      <c r="G761" s="643"/>
      <c r="H761" s="643"/>
      <c r="I761" s="90"/>
      <c r="J761" s="90"/>
      <c r="K761" s="90"/>
    </row>
    <row r="762" spans="1:11">
      <c r="A762" s="90"/>
      <c r="C762" s="90"/>
      <c r="D762" s="90"/>
      <c r="E762" s="90"/>
      <c r="F762" s="90"/>
      <c r="G762" s="643"/>
      <c r="H762" s="643"/>
      <c r="I762" s="90"/>
      <c r="J762" s="90"/>
      <c r="K762" s="90"/>
    </row>
    <row r="763" spans="1:11">
      <c r="A763" s="90"/>
      <c r="C763" s="90"/>
      <c r="D763" s="90"/>
      <c r="E763" s="90"/>
      <c r="F763" s="90"/>
      <c r="G763" s="643"/>
      <c r="H763" s="643"/>
      <c r="I763" s="90"/>
      <c r="J763" s="90"/>
      <c r="K763" s="90"/>
    </row>
    <row r="764" spans="1:11">
      <c r="A764" s="90"/>
      <c r="C764" s="90"/>
      <c r="D764" s="90"/>
      <c r="E764" s="90"/>
      <c r="F764" s="90"/>
      <c r="G764" s="643"/>
      <c r="H764" s="643"/>
      <c r="I764" s="90"/>
      <c r="J764" s="90"/>
      <c r="K764" s="90"/>
    </row>
    <row r="765" spans="1:11">
      <c r="A765" s="90"/>
      <c r="C765" s="90"/>
      <c r="D765" s="90"/>
      <c r="E765" s="90"/>
      <c r="F765" s="90"/>
      <c r="G765" s="643"/>
      <c r="H765" s="643"/>
      <c r="I765" s="90"/>
      <c r="J765" s="90"/>
      <c r="K765" s="90"/>
    </row>
    <row r="766" spans="1:11">
      <c r="A766" s="90"/>
      <c r="C766" s="90"/>
      <c r="D766" s="90"/>
      <c r="E766" s="90"/>
      <c r="F766" s="90"/>
      <c r="G766" s="643"/>
      <c r="H766" s="643"/>
      <c r="I766" s="90"/>
      <c r="J766" s="90"/>
      <c r="K766" s="90"/>
    </row>
    <row r="767" spans="1:11">
      <c r="A767" s="90"/>
      <c r="C767" s="90"/>
      <c r="D767" s="90"/>
      <c r="E767" s="90"/>
      <c r="F767" s="90"/>
      <c r="G767" s="643"/>
      <c r="H767" s="643"/>
      <c r="I767" s="90"/>
      <c r="J767" s="90"/>
      <c r="K767" s="90"/>
    </row>
    <row r="768" spans="1:11">
      <c r="A768" s="90"/>
      <c r="C768" s="90"/>
      <c r="D768" s="90"/>
      <c r="E768" s="90"/>
      <c r="F768" s="90"/>
      <c r="G768" s="643"/>
      <c r="H768" s="643"/>
      <c r="I768" s="90"/>
      <c r="J768" s="90"/>
      <c r="K768" s="90"/>
    </row>
    <row r="769" spans="1:11">
      <c r="A769" s="90"/>
      <c r="C769" s="90"/>
      <c r="D769" s="90"/>
      <c r="E769" s="90"/>
      <c r="F769" s="90"/>
      <c r="G769" s="643"/>
      <c r="H769" s="643"/>
      <c r="I769" s="90"/>
      <c r="J769" s="90"/>
      <c r="K769" s="90"/>
    </row>
    <row r="770" spans="1:11">
      <c r="A770" s="90"/>
      <c r="C770" s="90"/>
      <c r="D770" s="90"/>
      <c r="E770" s="90"/>
      <c r="F770" s="90"/>
      <c r="G770" s="643"/>
      <c r="H770" s="643"/>
      <c r="I770" s="90"/>
      <c r="J770" s="90"/>
      <c r="K770" s="90"/>
    </row>
    <row r="771" spans="1:11">
      <c r="A771" s="90"/>
      <c r="C771" s="90"/>
      <c r="D771" s="90"/>
      <c r="E771" s="90"/>
      <c r="F771" s="90"/>
      <c r="G771" s="643"/>
      <c r="H771" s="643"/>
      <c r="I771" s="90"/>
      <c r="J771" s="90"/>
      <c r="K771" s="90"/>
    </row>
    <row r="772" spans="1:11">
      <c r="A772" s="90"/>
      <c r="C772" s="90"/>
      <c r="D772" s="90"/>
      <c r="E772" s="90"/>
      <c r="F772" s="90"/>
      <c r="G772" s="643"/>
      <c r="H772" s="643"/>
      <c r="I772" s="90"/>
      <c r="J772" s="90"/>
      <c r="K772" s="90"/>
    </row>
    <row r="773" spans="1:11">
      <c r="A773" s="90"/>
      <c r="C773" s="90"/>
      <c r="D773" s="90"/>
      <c r="E773" s="90"/>
      <c r="F773" s="90"/>
      <c r="G773" s="643"/>
      <c r="H773" s="643"/>
      <c r="I773" s="90"/>
      <c r="J773" s="90"/>
      <c r="K773" s="90"/>
    </row>
    <row r="774" spans="1:11">
      <c r="A774" s="90"/>
      <c r="C774" s="90"/>
      <c r="D774" s="90"/>
      <c r="E774" s="90"/>
      <c r="F774" s="90"/>
      <c r="G774" s="643"/>
      <c r="H774" s="643"/>
      <c r="I774" s="90"/>
      <c r="J774" s="90"/>
      <c r="K774" s="90"/>
    </row>
    <row r="775" spans="1:11">
      <c r="A775" s="90"/>
      <c r="C775" s="90"/>
      <c r="D775" s="90"/>
      <c r="E775" s="90"/>
      <c r="F775" s="90"/>
      <c r="G775" s="643"/>
      <c r="H775" s="643"/>
      <c r="I775" s="90"/>
      <c r="J775" s="90"/>
      <c r="K775" s="90"/>
    </row>
    <row r="776" spans="1:11">
      <c r="A776" s="90"/>
      <c r="C776" s="90"/>
      <c r="D776" s="90"/>
      <c r="E776" s="90"/>
      <c r="F776" s="90"/>
      <c r="G776" s="643"/>
      <c r="H776" s="643"/>
      <c r="I776" s="90"/>
      <c r="J776" s="90"/>
      <c r="K776" s="90"/>
    </row>
    <row r="777" spans="1:11">
      <c r="A777" s="90"/>
      <c r="C777" s="90"/>
      <c r="D777" s="90"/>
      <c r="E777" s="90"/>
      <c r="F777" s="90"/>
      <c r="G777" s="643"/>
      <c r="H777" s="643"/>
      <c r="I777" s="90"/>
      <c r="J777" s="90"/>
      <c r="K777" s="90"/>
    </row>
    <row r="778" spans="1:11">
      <c r="A778" s="90"/>
      <c r="C778" s="90"/>
      <c r="D778" s="90"/>
      <c r="E778" s="90"/>
      <c r="F778" s="90"/>
      <c r="G778" s="643"/>
      <c r="H778" s="643"/>
      <c r="I778" s="90"/>
      <c r="J778" s="90"/>
      <c r="K778" s="90"/>
    </row>
    <row r="779" spans="1:11">
      <c r="A779" s="90"/>
      <c r="C779" s="90"/>
      <c r="D779" s="90"/>
      <c r="E779" s="90"/>
      <c r="F779" s="90"/>
      <c r="G779" s="643"/>
      <c r="H779" s="643"/>
      <c r="I779" s="90"/>
      <c r="J779" s="90"/>
      <c r="K779" s="90"/>
    </row>
    <row r="780" spans="1:11">
      <c r="A780" s="90"/>
      <c r="C780" s="90"/>
      <c r="D780" s="90"/>
      <c r="E780" s="90"/>
      <c r="F780" s="90"/>
      <c r="G780" s="643"/>
      <c r="H780" s="643"/>
      <c r="I780" s="90"/>
      <c r="J780" s="90"/>
      <c r="K780" s="90"/>
    </row>
    <row r="781" spans="1:11">
      <c r="A781" s="90"/>
      <c r="C781" s="90"/>
      <c r="D781" s="90"/>
      <c r="E781" s="90"/>
      <c r="F781" s="90"/>
      <c r="G781" s="643"/>
      <c r="H781" s="643"/>
      <c r="I781" s="90"/>
      <c r="J781" s="90"/>
      <c r="K781" s="90"/>
    </row>
    <row r="782" spans="1:11">
      <c r="A782" s="90"/>
      <c r="C782" s="90"/>
      <c r="D782" s="90"/>
      <c r="E782" s="90"/>
      <c r="F782" s="90"/>
      <c r="G782" s="643"/>
      <c r="H782" s="643"/>
      <c r="I782" s="90"/>
      <c r="J782" s="90"/>
      <c r="K782" s="90"/>
    </row>
    <row r="783" spans="1:11">
      <c r="A783" s="90"/>
      <c r="C783" s="90"/>
      <c r="D783" s="90"/>
      <c r="E783" s="90"/>
      <c r="F783" s="90"/>
      <c r="G783" s="643"/>
      <c r="H783" s="643"/>
      <c r="I783" s="90"/>
      <c r="J783" s="90"/>
      <c r="K783" s="90"/>
    </row>
    <row r="784" spans="1:11">
      <c r="A784" s="90"/>
      <c r="C784" s="90"/>
      <c r="D784" s="90"/>
      <c r="E784" s="90"/>
      <c r="F784" s="90"/>
      <c r="G784" s="643"/>
      <c r="H784" s="643"/>
      <c r="I784" s="90"/>
      <c r="J784" s="90"/>
      <c r="K784" s="90"/>
    </row>
    <row r="785" spans="1:11">
      <c r="A785" s="90"/>
      <c r="C785" s="90"/>
      <c r="D785" s="90"/>
      <c r="E785" s="90"/>
      <c r="F785" s="90"/>
      <c r="G785" s="643"/>
      <c r="H785" s="643"/>
      <c r="I785" s="90"/>
      <c r="J785" s="90"/>
      <c r="K785" s="90"/>
    </row>
    <row r="786" spans="1:11">
      <c r="A786" s="90"/>
      <c r="C786" s="90"/>
      <c r="D786" s="90"/>
      <c r="E786" s="90"/>
      <c r="F786" s="90"/>
      <c r="G786" s="643"/>
      <c r="H786" s="643"/>
      <c r="I786" s="90"/>
      <c r="J786" s="90"/>
      <c r="K786" s="90"/>
    </row>
    <row r="787" spans="1:11">
      <c r="A787" s="90"/>
      <c r="C787" s="90"/>
      <c r="D787" s="90"/>
      <c r="E787" s="90"/>
      <c r="F787" s="90"/>
      <c r="G787" s="643"/>
      <c r="H787" s="643"/>
      <c r="I787" s="90"/>
      <c r="J787" s="90"/>
      <c r="K787" s="90"/>
    </row>
    <row r="788" spans="1:11">
      <c r="A788" s="90"/>
      <c r="C788" s="90"/>
      <c r="D788" s="90"/>
      <c r="E788" s="90"/>
      <c r="F788" s="90"/>
      <c r="G788" s="643"/>
      <c r="H788" s="643"/>
      <c r="I788" s="90"/>
      <c r="J788" s="90"/>
      <c r="K788" s="90"/>
    </row>
    <row r="789" spans="1:11">
      <c r="A789" s="90"/>
      <c r="C789" s="90"/>
      <c r="D789" s="90"/>
      <c r="E789" s="90"/>
      <c r="F789" s="90"/>
      <c r="G789" s="643"/>
      <c r="H789" s="643"/>
      <c r="I789" s="90"/>
      <c r="J789" s="90"/>
      <c r="K789" s="90"/>
    </row>
    <row r="790" spans="1:11">
      <c r="A790" s="90"/>
      <c r="C790" s="90"/>
      <c r="D790" s="90"/>
      <c r="E790" s="90"/>
      <c r="F790" s="90"/>
      <c r="G790" s="643"/>
      <c r="H790" s="643"/>
      <c r="I790" s="90"/>
      <c r="J790" s="90"/>
      <c r="K790" s="90"/>
    </row>
    <row r="791" spans="1:11">
      <c r="A791" s="90"/>
      <c r="C791" s="90"/>
      <c r="D791" s="90"/>
      <c r="E791" s="90"/>
      <c r="F791" s="90"/>
      <c r="G791" s="643"/>
      <c r="H791" s="643"/>
      <c r="I791" s="90"/>
      <c r="J791" s="90"/>
      <c r="K791" s="90"/>
    </row>
    <row r="792" spans="1:11">
      <c r="A792" s="90"/>
      <c r="C792" s="90"/>
      <c r="D792" s="90"/>
      <c r="E792" s="90"/>
      <c r="F792" s="90"/>
      <c r="G792" s="643"/>
      <c r="H792" s="643"/>
      <c r="I792" s="90"/>
      <c r="J792" s="90"/>
      <c r="K792" s="90"/>
    </row>
    <row r="793" spans="1:11">
      <c r="A793" s="90"/>
      <c r="C793" s="90"/>
      <c r="D793" s="90"/>
      <c r="E793" s="90"/>
      <c r="F793" s="90"/>
      <c r="G793" s="643"/>
      <c r="H793" s="643"/>
      <c r="I793" s="90"/>
      <c r="J793" s="90"/>
      <c r="K793" s="90"/>
    </row>
    <row r="794" spans="1:11">
      <c r="A794" s="90"/>
      <c r="C794" s="90"/>
      <c r="D794" s="90"/>
      <c r="E794" s="90"/>
      <c r="F794" s="90"/>
      <c r="G794" s="643"/>
      <c r="H794" s="643"/>
      <c r="I794" s="90"/>
      <c r="J794" s="90"/>
      <c r="K794" s="90"/>
    </row>
    <row r="795" spans="1:11">
      <c r="A795" s="90"/>
      <c r="C795" s="90"/>
      <c r="D795" s="90"/>
      <c r="E795" s="90"/>
      <c r="F795" s="90"/>
      <c r="G795" s="643"/>
      <c r="H795" s="643"/>
      <c r="I795" s="90"/>
      <c r="J795" s="90"/>
      <c r="K795" s="90"/>
    </row>
    <row r="796" spans="1:11">
      <c r="A796" s="90"/>
      <c r="C796" s="90"/>
      <c r="D796" s="90"/>
      <c r="E796" s="90"/>
      <c r="F796" s="90"/>
      <c r="G796" s="643"/>
      <c r="H796" s="643"/>
      <c r="I796" s="90"/>
      <c r="J796" s="90"/>
      <c r="K796" s="90"/>
    </row>
    <row r="797" spans="1:11">
      <c r="A797" s="90"/>
      <c r="C797" s="90"/>
      <c r="D797" s="90"/>
      <c r="E797" s="90"/>
      <c r="F797" s="90"/>
      <c r="G797" s="643"/>
      <c r="H797" s="643"/>
      <c r="I797" s="90"/>
      <c r="J797" s="90"/>
      <c r="K797" s="90"/>
    </row>
    <row r="798" spans="1:11">
      <c r="A798" s="90"/>
      <c r="C798" s="90"/>
      <c r="D798" s="90"/>
      <c r="E798" s="90"/>
      <c r="F798" s="90"/>
      <c r="G798" s="643"/>
      <c r="H798" s="643"/>
      <c r="I798" s="90"/>
      <c r="J798" s="90"/>
      <c r="K798" s="90"/>
    </row>
    <row r="799" spans="1:11">
      <c r="A799" s="90"/>
      <c r="C799" s="90"/>
      <c r="D799" s="90"/>
      <c r="E799" s="90"/>
      <c r="F799" s="90"/>
      <c r="G799" s="643"/>
      <c r="H799" s="643"/>
      <c r="I799" s="90"/>
      <c r="J799" s="90"/>
      <c r="K799" s="90"/>
    </row>
    <row r="800" spans="1:11">
      <c r="A800" s="90"/>
      <c r="C800" s="90"/>
      <c r="D800" s="90"/>
      <c r="E800" s="90"/>
      <c r="F800" s="90"/>
      <c r="G800" s="643"/>
      <c r="H800" s="643"/>
      <c r="I800" s="90"/>
      <c r="J800" s="90"/>
      <c r="K800" s="90"/>
    </row>
    <row r="801" spans="1:11">
      <c r="A801" s="90"/>
      <c r="C801" s="90"/>
      <c r="D801" s="90"/>
      <c r="E801" s="90"/>
      <c r="F801" s="90"/>
      <c r="G801" s="643"/>
      <c r="H801" s="643"/>
      <c r="I801" s="90"/>
      <c r="J801" s="90"/>
      <c r="K801" s="90"/>
    </row>
    <row r="802" spans="1:11">
      <c r="A802" s="90"/>
      <c r="C802" s="90"/>
      <c r="D802" s="90"/>
      <c r="E802" s="90"/>
      <c r="F802" s="90"/>
      <c r="G802" s="643"/>
      <c r="H802" s="643"/>
      <c r="I802" s="90"/>
      <c r="J802" s="90"/>
      <c r="K802" s="90"/>
    </row>
    <row r="803" spans="1:11">
      <c r="A803" s="90"/>
      <c r="C803" s="90"/>
      <c r="D803" s="90"/>
      <c r="E803" s="90"/>
      <c r="F803" s="90"/>
      <c r="G803" s="643"/>
      <c r="H803" s="643"/>
      <c r="I803" s="90"/>
      <c r="J803" s="90"/>
      <c r="K803" s="90"/>
    </row>
    <row r="804" spans="1:11">
      <c r="A804" s="90"/>
      <c r="C804" s="90"/>
      <c r="D804" s="90"/>
      <c r="E804" s="90"/>
      <c r="F804" s="90"/>
      <c r="G804" s="643"/>
      <c r="H804" s="643"/>
      <c r="I804" s="90"/>
      <c r="J804" s="90"/>
      <c r="K804" s="90"/>
    </row>
    <row r="805" spans="1:11">
      <c r="A805" s="90"/>
      <c r="C805" s="90"/>
      <c r="D805" s="90"/>
      <c r="E805" s="90"/>
      <c r="F805" s="90"/>
      <c r="G805" s="643"/>
      <c r="H805" s="643"/>
      <c r="I805" s="90"/>
      <c r="J805" s="90"/>
      <c r="K805" s="90"/>
    </row>
    <row r="806" spans="1:11">
      <c r="A806" s="90"/>
      <c r="C806" s="90"/>
      <c r="D806" s="90"/>
      <c r="E806" s="90"/>
      <c r="F806" s="90"/>
      <c r="G806" s="643"/>
      <c r="H806" s="643"/>
      <c r="I806" s="90"/>
      <c r="J806" s="90"/>
      <c r="K806" s="90"/>
    </row>
    <row r="807" spans="1:11">
      <c r="A807" s="90"/>
      <c r="C807" s="90"/>
      <c r="D807" s="90"/>
      <c r="E807" s="90"/>
      <c r="F807" s="90"/>
      <c r="G807" s="643"/>
      <c r="H807" s="643"/>
      <c r="I807" s="90"/>
      <c r="J807" s="90"/>
      <c r="K807" s="90"/>
    </row>
    <row r="808" spans="1:11">
      <c r="A808" s="90"/>
      <c r="C808" s="90"/>
      <c r="D808" s="90"/>
      <c r="E808" s="90"/>
      <c r="F808" s="90"/>
      <c r="G808" s="643"/>
      <c r="H808" s="643"/>
      <c r="I808" s="90"/>
      <c r="J808" s="90"/>
      <c r="K808" s="90"/>
    </row>
    <row r="809" spans="1:11">
      <c r="A809" s="90"/>
      <c r="C809" s="90"/>
      <c r="D809" s="90"/>
      <c r="E809" s="90"/>
      <c r="F809" s="90"/>
      <c r="G809" s="643"/>
      <c r="H809" s="643"/>
      <c r="I809" s="90"/>
      <c r="J809" s="90"/>
      <c r="K809" s="90"/>
    </row>
    <row r="810" spans="1:11">
      <c r="A810" s="90"/>
      <c r="C810" s="90"/>
      <c r="D810" s="90"/>
      <c r="E810" s="90"/>
      <c r="F810" s="90"/>
      <c r="G810" s="643"/>
      <c r="H810" s="643"/>
      <c r="I810" s="90"/>
      <c r="J810" s="90"/>
      <c r="K810" s="90"/>
    </row>
    <row r="811" spans="1:11">
      <c r="A811" s="90"/>
      <c r="C811" s="90"/>
      <c r="D811" s="90"/>
      <c r="E811" s="90"/>
      <c r="F811" s="90"/>
      <c r="G811" s="643"/>
      <c r="H811" s="643"/>
      <c r="I811" s="90"/>
      <c r="J811" s="90"/>
      <c r="K811" s="90"/>
    </row>
    <row r="812" spans="1:11">
      <c r="A812" s="90"/>
      <c r="C812" s="90"/>
      <c r="D812" s="90"/>
      <c r="E812" s="90"/>
      <c r="F812" s="90"/>
      <c r="G812" s="643"/>
      <c r="H812" s="643"/>
      <c r="I812" s="90"/>
      <c r="J812" s="90"/>
      <c r="K812" s="90"/>
    </row>
    <row r="813" spans="1:11">
      <c r="A813" s="90"/>
      <c r="C813" s="90"/>
      <c r="D813" s="90"/>
      <c r="E813" s="90"/>
      <c r="F813" s="90"/>
      <c r="G813" s="643"/>
      <c r="H813" s="643"/>
      <c r="I813" s="90"/>
      <c r="J813" s="90"/>
      <c r="K813" s="90"/>
    </row>
    <row r="814" spans="1:11">
      <c r="A814" s="90"/>
      <c r="C814" s="90"/>
      <c r="D814" s="90"/>
      <c r="E814" s="90"/>
      <c r="F814" s="90"/>
      <c r="G814" s="643"/>
      <c r="H814" s="643"/>
      <c r="I814" s="90"/>
      <c r="J814" s="90"/>
      <c r="K814" s="90"/>
    </row>
    <row r="815" spans="1:11">
      <c r="A815" s="90"/>
      <c r="C815" s="90"/>
      <c r="D815" s="90"/>
      <c r="E815" s="90"/>
      <c r="F815" s="90"/>
      <c r="G815" s="643"/>
      <c r="H815" s="643"/>
      <c r="I815" s="90"/>
      <c r="J815" s="90"/>
      <c r="K815" s="90"/>
    </row>
    <row r="816" spans="1:11">
      <c r="A816" s="90"/>
      <c r="C816" s="90"/>
      <c r="D816" s="90"/>
      <c r="E816" s="90"/>
      <c r="F816" s="90"/>
      <c r="G816" s="643"/>
      <c r="H816" s="643"/>
      <c r="I816" s="90"/>
      <c r="J816" s="90"/>
      <c r="K816" s="90"/>
    </row>
    <row r="817" spans="1:11">
      <c r="A817" s="90"/>
      <c r="C817" s="90"/>
      <c r="D817" s="90"/>
      <c r="E817" s="90"/>
      <c r="F817" s="90"/>
      <c r="G817" s="643"/>
      <c r="H817" s="643"/>
      <c r="I817" s="90"/>
      <c r="J817" s="90"/>
      <c r="K817" s="90"/>
    </row>
    <row r="818" spans="1:11">
      <c r="A818" s="90"/>
      <c r="C818" s="90"/>
      <c r="D818" s="90"/>
      <c r="E818" s="90"/>
      <c r="F818" s="90"/>
      <c r="G818" s="643"/>
      <c r="H818" s="643"/>
      <c r="I818" s="90"/>
      <c r="J818" s="90"/>
      <c r="K818" s="90"/>
    </row>
    <row r="819" spans="1:11">
      <c r="A819" s="90"/>
      <c r="C819" s="90"/>
      <c r="D819" s="90"/>
      <c r="E819" s="90"/>
      <c r="F819" s="90"/>
      <c r="G819" s="643"/>
      <c r="H819" s="643"/>
      <c r="I819" s="90"/>
      <c r="J819" s="90"/>
      <c r="K819" s="90"/>
    </row>
    <row r="820" spans="1:11">
      <c r="A820" s="90"/>
      <c r="C820" s="90"/>
      <c r="D820" s="90"/>
      <c r="E820" s="90"/>
      <c r="F820" s="90"/>
      <c r="G820" s="643"/>
      <c r="H820" s="643"/>
      <c r="I820" s="90"/>
      <c r="J820" s="90"/>
      <c r="K820" s="90"/>
    </row>
    <row r="821" spans="1:11">
      <c r="A821" s="90"/>
      <c r="C821" s="90"/>
      <c r="D821" s="90"/>
      <c r="E821" s="90"/>
      <c r="F821" s="90"/>
      <c r="G821" s="643"/>
      <c r="H821" s="643"/>
      <c r="I821" s="90"/>
      <c r="J821" s="90"/>
      <c r="K821" s="90"/>
    </row>
    <row r="822" spans="1:11">
      <c r="A822" s="90"/>
      <c r="C822" s="90"/>
      <c r="D822" s="90"/>
      <c r="E822" s="90"/>
      <c r="F822" s="90"/>
      <c r="G822" s="643"/>
      <c r="H822" s="643"/>
      <c r="I822" s="90"/>
      <c r="J822" s="90"/>
      <c r="K822" s="90"/>
    </row>
    <row r="823" spans="1:11">
      <c r="A823" s="90"/>
      <c r="C823" s="90"/>
      <c r="D823" s="90"/>
      <c r="E823" s="90"/>
      <c r="F823" s="90"/>
      <c r="G823" s="643"/>
      <c r="H823" s="643"/>
      <c r="I823" s="90"/>
      <c r="J823" s="90"/>
      <c r="K823" s="90"/>
    </row>
    <row r="824" spans="1:11">
      <c r="A824" s="90"/>
      <c r="C824" s="90"/>
      <c r="D824" s="90"/>
      <c r="E824" s="90"/>
      <c r="F824" s="90"/>
      <c r="G824" s="643"/>
      <c r="H824" s="643"/>
      <c r="I824" s="90"/>
      <c r="J824" s="90"/>
      <c r="K824" s="90"/>
    </row>
    <row r="825" spans="1:11">
      <c r="A825" s="90"/>
      <c r="C825" s="90"/>
      <c r="D825" s="90"/>
      <c r="E825" s="90"/>
      <c r="F825" s="90"/>
      <c r="G825" s="643"/>
      <c r="H825" s="643"/>
      <c r="I825" s="90"/>
      <c r="J825" s="90"/>
      <c r="K825" s="90"/>
    </row>
    <row r="826" spans="1:11">
      <c r="A826" s="90"/>
      <c r="C826" s="90"/>
      <c r="D826" s="90"/>
      <c r="E826" s="90"/>
      <c r="F826" s="90"/>
      <c r="G826" s="643"/>
      <c r="H826" s="643"/>
      <c r="I826" s="90"/>
      <c r="J826" s="90"/>
      <c r="K826" s="90"/>
    </row>
    <row r="827" spans="1:11">
      <c r="A827" s="90"/>
      <c r="C827" s="90"/>
      <c r="D827" s="90"/>
      <c r="E827" s="90"/>
      <c r="F827" s="90"/>
      <c r="G827" s="643"/>
      <c r="H827" s="643"/>
      <c r="I827" s="90"/>
      <c r="J827" s="90"/>
      <c r="K827" s="90"/>
    </row>
    <row r="828" spans="1:11">
      <c r="A828" s="90"/>
      <c r="C828" s="90"/>
      <c r="D828" s="90"/>
      <c r="E828" s="90"/>
      <c r="F828" s="90"/>
      <c r="G828" s="643"/>
      <c r="H828" s="643"/>
      <c r="I828" s="90"/>
      <c r="J828" s="90"/>
      <c r="K828" s="90"/>
    </row>
    <row r="829" spans="1:11">
      <c r="A829" s="90"/>
      <c r="C829" s="90"/>
      <c r="D829" s="90"/>
      <c r="E829" s="90"/>
      <c r="F829" s="90"/>
      <c r="G829" s="643"/>
      <c r="H829" s="643"/>
      <c r="I829" s="90"/>
      <c r="J829" s="90"/>
      <c r="K829" s="90"/>
    </row>
    <row r="830" spans="1:11">
      <c r="A830" s="90"/>
      <c r="C830" s="90"/>
      <c r="D830" s="90"/>
      <c r="E830" s="90"/>
      <c r="F830" s="90"/>
      <c r="G830" s="643"/>
      <c r="H830" s="643"/>
      <c r="I830" s="90"/>
      <c r="J830" s="90"/>
      <c r="K830" s="90"/>
    </row>
    <row r="831" spans="1:11">
      <c r="A831" s="90"/>
      <c r="C831" s="90"/>
      <c r="D831" s="90"/>
      <c r="E831" s="90"/>
      <c r="F831" s="90"/>
      <c r="G831" s="643"/>
      <c r="H831" s="643"/>
      <c r="I831" s="90"/>
      <c r="J831" s="90"/>
      <c r="K831" s="90"/>
    </row>
    <row r="832" spans="1:11">
      <c r="A832" s="90"/>
      <c r="C832" s="90"/>
      <c r="D832" s="90"/>
      <c r="E832" s="90"/>
      <c r="F832" s="90"/>
      <c r="G832" s="643"/>
      <c r="H832" s="643"/>
      <c r="I832" s="90"/>
      <c r="J832" s="90"/>
      <c r="K832" s="90"/>
    </row>
    <row r="833" spans="1:11">
      <c r="A833" s="90"/>
      <c r="C833" s="90"/>
      <c r="D833" s="90"/>
      <c r="E833" s="90"/>
      <c r="F833" s="90"/>
      <c r="G833" s="643"/>
      <c r="H833" s="643"/>
      <c r="I833" s="90"/>
      <c r="J833" s="90"/>
      <c r="K833" s="90"/>
    </row>
    <row r="834" spans="1:11">
      <c r="A834" s="90"/>
      <c r="C834" s="90"/>
      <c r="D834" s="90"/>
      <c r="E834" s="90"/>
      <c r="F834" s="90"/>
      <c r="G834" s="643"/>
      <c r="H834" s="643"/>
      <c r="I834" s="90"/>
      <c r="J834" s="90"/>
      <c r="K834" s="90"/>
    </row>
    <row r="835" spans="1:11">
      <c r="A835" s="90"/>
      <c r="C835" s="90"/>
      <c r="D835" s="90"/>
      <c r="E835" s="90"/>
      <c r="F835" s="90"/>
      <c r="G835" s="643"/>
      <c r="H835" s="643"/>
      <c r="I835" s="90"/>
      <c r="J835" s="90"/>
      <c r="K835" s="90"/>
    </row>
    <row r="836" spans="1:11">
      <c r="A836" s="90"/>
      <c r="C836" s="90"/>
      <c r="D836" s="90"/>
      <c r="E836" s="90"/>
      <c r="F836" s="90"/>
      <c r="G836" s="643"/>
      <c r="H836" s="643"/>
      <c r="I836" s="90"/>
      <c r="J836" s="90"/>
      <c r="K836" s="90"/>
    </row>
    <row r="837" spans="1:11">
      <c r="A837" s="90"/>
      <c r="C837" s="90"/>
      <c r="D837" s="90"/>
      <c r="E837" s="90"/>
      <c r="F837" s="90"/>
      <c r="G837" s="643"/>
      <c r="H837" s="643"/>
      <c r="I837" s="90"/>
      <c r="J837" s="90"/>
      <c r="K837" s="90"/>
    </row>
    <row r="838" spans="1:11">
      <c r="A838" s="90"/>
      <c r="C838" s="90"/>
      <c r="D838" s="90"/>
      <c r="E838" s="90"/>
      <c r="F838" s="90"/>
      <c r="G838" s="643"/>
      <c r="H838" s="643"/>
      <c r="I838" s="90"/>
      <c r="J838" s="90"/>
      <c r="K838" s="90"/>
    </row>
    <row r="839" spans="1:11">
      <c r="A839" s="90"/>
      <c r="C839" s="90"/>
      <c r="D839" s="90"/>
      <c r="E839" s="90"/>
      <c r="F839" s="90"/>
      <c r="G839" s="643"/>
      <c r="H839" s="643"/>
      <c r="I839" s="90"/>
      <c r="J839" s="90"/>
      <c r="K839" s="90"/>
    </row>
    <row r="840" spans="1:11">
      <c r="A840" s="90"/>
      <c r="C840" s="90"/>
      <c r="D840" s="90"/>
      <c r="E840" s="90"/>
      <c r="F840" s="90"/>
      <c r="G840" s="643"/>
      <c r="H840" s="643"/>
      <c r="I840" s="90"/>
      <c r="J840" s="90"/>
      <c r="K840" s="90"/>
    </row>
    <row r="841" spans="1:11">
      <c r="A841" s="90"/>
      <c r="C841" s="90"/>
      <c r="D841" s="90"/>
      <c r="E841" s="90"/>
      <c r="F841" s="90"/>
      <c r="G841" s="643"/>
      <c r="H841" s="643"/>
      <c r="I841" s="90"/>
      <c r="J841" s="90"/>
      <c r="K841" s="90"/>
    </row>
    <row r="842" spans="1:11">
      <c r="A842" s="90"/>
      <c r="C842" s="90"/>
      <c r="D842" s="90"/>
      <c r="E842" s="90"/>
      <c r="F842" s="90"/>
      <c r="G842" s="643"/>
      <c r="H842" s="643"/>
      <c r="I842" s="90"/>
      <c r="J842" s="90"/>
      <c r="K842" s="90"/>
    </row>
    <row r="843" spans="1:11">
      <c r="A843" s="90"/>
      <c r="C843" s="90"/>
      <c r="D843" s="90"/>
      <c r="E843" s="90"/>
      <c r="F843" s="90"/>
      <c r="G843" s="643"/>
      <c r="H843" s="643"/>
      <c r="I843" s="90"/>
      <c r="J843" s="90"/>
      <c r="K843" s="90"/>
    </row>
    <row r="844" spans="1:11">
      <c r="A844" s="90"/>
      <c r="C844" s="90"/>
      <c r="D844" s="90"/>
      <c r="E844" s="90"/>
      <c r="F844" s="90"/>
      <c r="G844" s="643"/>
      <c r="H844" s="643"/>
      <c r="I844" s="90"/>
      <c r="J844" s="90"/>
      <c r="K844" s="90"/>
    </row>
    <row r="845" spans="1:11">
      <c r="A845" s="90"/>
      <c r="C845" s="90"/>
      <c r="D845" s="90"/>
      <c r="E845" s="90"/>
      <c r="F845" s="90"/>
      <c r="G845" s="643"/>
      <c r="H845" s="643"/>
      <c r="I845" s="90"/>
      <c r="J845" s="90"/>
      <c r="K845" s="90"/>
    </row>
    <row r="846" spans="1:11">
      <c r="A846" s="90"/>
      <c r="C846" s="90"/>
      <c r="D846" s="90"/>
      <c r="E846" s="90"/>
      <c r="F846" s="90"/>
      <c r="G846" s="643"/>
      <c r="H846" s="643"/>
      <c r="I846" s="90"/>
      <c r="J846" s="90"/>
      <c r="K846" s="90"/>
    </row>
    <row r="847" spans="1:11">
      <c r="A847" s="90"/>
      <c r="C847" s="90"/>
      <c r="D847" s="90"/>
      <c r="E847" s="90"/>
      <c r="F847" s="90"/>
      <c r="G847" s="643"/>
      <c r="H847" s="643"/>
      <c r="I847" s="90"/>
      <c r="J847" s="90"/>
      <c r="K847" s="90"/>
    </row>
    <row r="848" spans="1:11">
      <c r="A848" s="90"/>
      <c r="C848" s="90"/>
      <c r="D848" s="90"/>
      <c r="E848" s="90"/>
      <c r="F848" s="90"/>
      <c r="G848" s="643"/>
      <c r="H848" s="643"/>
      <c r="I848" s="90"/>
      <c r="J848" s="90"/>
      <c r="K848" s="90"/>
    </row>
    <row r="849" spans="1:11">
      <c r="A849" s="90"/>
      <c r="C849" s="90"/>
      <c r="D849" s="90"/>
      <c r="E849" s="90"/>
      <c r="F849" s="90"/>
      <c r="G849" s="643"/>
      <c r="H849" s="643"/>
      <c r="I849" s="90"/>
      <c r="J849" s="90"/>
      <c r="K849" s="90"/>
    </row>
    <row r="850" spans="1:11">
      <c r="A850" s="90"/>
      <c r="C850" s="90"/>
      <c r="D850" s="90"/>
      <c r="E850" s="90"/>
      <c r="F850" s="90"/>
      <c r="G850" s="643"/>
      <c r="H850" s="643"/>
      <c r="I850" s="90"/>
      <c r="J850" s="90"/>
      <c r="K850" s="90"/>
    </row>
    <row r="851" spans="1:11">
      <c r="A851" s="90"/>
      <c r="C851" s="90"/>
      <c r="D851" s="90"/>
      <c r="E851" s="90"/>
      <c r="F851" s="90"/>
      <c r="G851" s="643"/>
      <c r="H851" s="643"/>
      <c r="I851" s="90"/>
      <c r="J851" s="90"/>
      <c r="K851" s="90"/>
    </row>
    <row r="852" spans="1:11">
      <c r="A852" s="90"/>
      <c r="C852" s="90"/>
      <c r="D852" s="90"/>
      <c r="E852" s="90"/>
      <c r="F852" s="90"/>
      <c r="G852" s="643"/>
      <c r="H852" s="643"/>
      <c r="I852" s="90"/>
      <c r="J852" s="90"/>
      <c r="K852" s="90"/>
    </row>
    <row r="853" spans="1:11">
      <c r="A853" s="90"/>
      <c r="C853" s="90"/>
      <c r="D853" s="90"/>
      <c r="E853" s="90"/>
      <c r="F853" s="90"/>
      <c r="G853" s="643"/>
      <c r="H853" s="643"/>
      <c r="I853" s="90"/>
      <c r="J853" s="90"/>
      <c r="K853" s="90"/>
    </row>
    <row r="854" spans="1:11">
      <c r="A854" s="90"/>
      <c r="C854" s="90"/>
      <c r="D854" s="90"/>
      <c r="E854" s="90"/>
      <c r="F854" s="90"/>
      <c r="G854" s="643"/>
      <c r="H854" s="643"/>
      <c r="I854" s="90"/>
      <c r="J854" s="90"/>
      <c r="K854" s="90"/>
    </row>
    <row r="855" spans="1:11">
      <c r="A855" s="90"/>
      <c r="C855" s="90"/>
      <c r="D855" s="90"/>
      <c r="E855" s="90"/>
      <c r="F855" s="90"/>
      <c r="G855" s="643"/>
      <c r="H855" s="643"/>
      <c r="I855" s="90"/>
      <c r="J855" s="90"/>
      <c r="K855" s="90"/>
    </row>
    <row r="856" spans="1:11">
      <c r="A856" s="90"/>
      <c r="C856" s="90"/>
      <c r="D856" s="90"/>
      <c r="E856" s="90"/>
      <c r="F856" s="90"/>
      <c r="G856" s="643"/>
      <c r="H856" s="643"/>
      <c r="I856" s="90"/>
      <c r="J856" s="90"/>
      <c r="K856" s="90"/>
    </row>
    <row r="857" spans="1:11">
      <c r="A857" s="90"/>
      <c r="C857" s="90"/>
      <c r="D857" s="90"/>
      <c r="E857" s="90"/>
      <c r="F857" s="90"/>
      <c r="G857" s="643"/>
      <c r="H857" s="643"/>
      <c r="I857" s="90"/>
      <c r="J857" s="90"/>
      <c r="K857" s="90"/>
    </row>
    <row r="858" spans="1:11">
      <c r="A858" s="90"/>
      <c r="C858" s="90"/>
      <c r="D858" s="90"/>
      <c r="E858" s="90"/>
      <c r="F858" s="90"/>
      <c r="G858" s="643"/>
      <c r="H858" s="643"/>
      <c r="I858" s="90"/>
      <c r="J858" s="90"/>
      <c r="K858" s="90"/>
    </row>
    <row r="859" spans="1:11">
      <c r="A859" s="90"/>
      <c r="C859" s="90"/>
      <c r="D859" s="90"/>
      <c r="E859" s="90"/>
      <c r="F859" s="90"/>
      <c r="G859" s="643"/>
      <c r="H859" s="643"/>
      <c r="I859" s="90"/>
      <c r="J859" s="90"/>
      <c r="K859" s="90"/>
    </row>
    <row r="860" spans="1:11">
      <c r="A860" s="90"/>
      <c r="C860" s="90"/>
      <c r="D860" s="90"/>
      <c r="E860" s="90"/>
      <c r="F860" s="90"/>
      <c r="G860" s="643"/>
      <c r="H860" s="643"/>
      <c r="I860" s="90"/>
      <c r="J860" s="90"/>
      <c r="K860" s="90"/>
    </row>
    <row r="861" spans="1:11">
      <c r="A861" s="90"/>
      <c r="C861" s="90"/>
      <c r="D861" s="90"/>
      <c r="E861" s="90"/>
      <c r="F861" s="90"/>
      <c r="G861" s="643"/>
      <c r="H861" s="643"/>
      <c r="I861" s="90"/>
      <c r="J861" s="90"/>
      <c r="K861" s="90"/>
    </row>
    <row r="862" spans="1:11">
      <c r="A862" s="90"/>
      <c r="C862" s="90"/>
      <c r="D862" s="90"/>
      <c r="E862" s="90"/>
      <c r="F862" s="90"/>
      <c r="G862" s="643"/>
      <c r="H862" s="643"/>
      <c r="I862" s="90"/>
      <c r="J862" s="90"/>
      <c r="K862" s="90"/>
    </row>
    <row r="863" spans="1:11">
      <c r="A863" s="90"/>
      <c r="C863" s="90"/>
      <c r="D863" s="90"/>
      <c r="E863" s="90"/>
      <c r="F863" s="90"/>
      <c r="G863" s="643"/>
      <c r="H863" s="643"/>
      <c r="I863" s="90"/>
      <c r="J863" s="90"/>
      <c r="K863" s="90"/>
    </row>
    <row r="864" spans="1:11">
      <c r="A864" s="90"/>
      <c r="C864" s="90"/>
      <c r="D864" s="90"/>
      <c r="E864" s="90"/>
      <c r="F864" s="90"/>
      <c r="G864" s="643"/>
      <c r="H864" s="643"/>
      <c r="I864" s="90"/>
      <c r="J864" s="90"/>
      <c r="K864" s="90"/>
    </row>
    <row r="865" spans="1:11">
      <c r="A865" s="90"/>
      <c r="C865" s="90"/>
      <c r="D865" s="90"/>
      <c r="E865" s="90"/>
      <c r="F865" s="90"/>
      <c r="G865" s="643"/>
      <c r="H865" s="643"/>
      <c r="I865" s="90"/>
      <c r="J865" s="90"/>
      <c r="K865" s="90"/>
    </row>
    <row r="866" spans="1:11">
      <c r="A866" s="90"/>
      <c r="C866" s="90"/>
      <c r="D866" s="90"/>
      <c r="E866" s="90"/>
      <c r="F866" s="90"/>
      <c r="G866" s="643"/>
      <c r="H866" s="643"/>
      <c r="I866" s="90"/>
      <c r="J866" s="90"/>
      <c r="K866" s="90"/>
    </row>
    <row r="867" spans="1:11">
      <c r="A867" s="90"/>
      <c r="C867" s="90"/>
      <c r="D867" s="90"/>
      <c r="E867" s="90"/>
      <c r="F867" s="90"/>
      <c r="G867" s="643"/>
      <c r="H867" s="643"/>
      <c r="I867" s="90"/>
      <c r="J867" s="90"/>
      <c r="K867" s="90"/>
    </row>
    <row r="868" spans="1:11">
      <c r="A868" s="90"/>
      <c r="C868" s="90"/>
      <c r="D868" s="90"/>
      <c r="E868" s="90"/>
      <c r="F868" s="90"/>
      <c r="G868" s="643"/>
      <c r="H868" s="643"/>
      <c r="I868" s="90"/>
      <c r="J868" s="90"/>
      <c r="K868" s="90"/>
    </row>
    <row r="869" spans="1:11">
      <c r="A869" s="90"/>
      <c r="C869" s="90"/>
      <c r="D869" s="90"/>
      <c r="E869" s="90"/>
      <c r="F869" s="90"/>
      <c r="G869" s="643"/>
      <c r="H869" s="643"/>
      <c r="I869" s="90"/>
      <c r="J869" s="90"/>
      <c r="K869" s="90"/>
    </row>
    <row r="870" spans="1:11">
      <c r="A870" s="90"/>
      <c r="C870" s="90"/>
      <c r="D870" s="90"/>
      <c r="E870" s="90"/>
      <c r="F870" s="90"/>
      <c r="G870" s="643"/>
      <c r="H870" s="643"/>
      <c r="I870" s="90"/>
      <c r="J870" s="90"/>
      <c r="K870" s="90"/>
    </row>
    <row r="871" spans="1:11">
      <c r="A871" s="90"/>
      <c r="C871" s="90"/>
      <c r="D871" s="90"/>
      <c r="E871" s="90"/>
      <c r="F871" s="90"/>
      <c r="G871" s="643"/>
      <c r="H871" s="643"/>
      <c r="I871" s="90"/>
      <c r="J871" s="90"/>
      <c r="K871" s="90"/>
    </row>
    <row r="872" spans="1:11">
      <c r="A872" s="90"/>
      <c r="C872" s="90"/>
      <c r="D872" s="90"/>
      <c r="E872" s="90"/>
      <c r="F872" s="90"/>
      <c r="G872" s="643"/>
      <c r="H872" s="643"/>
      <c r="I872" s="90"/>
      <c r="J872" s="90"/>
      <c r="K872" s="90"/>
    </row>
    <row r="873" spans="1:11">
      <c r="A873" s="90"/>
      <c r="C873" s="90"/>
      <c r="D873" s="90"/>
      <c r="E873" s="90"/>
      <c r="F873" s="90"/>
      <c r="G873" s="643"/>
      <c r="H873" s="643"/>
      <c r="I873" s="90"/>
      <c r="J873" s="90"/>
      <c r="K873" s="90"/>
    </row>
    <row r="874" spans="1:11">
      <c r="A874" s="90"/>
      <c r="C874" s="90"/>
      <c r="D874" s="90"/>
      <c r="E874" s="90"/>
      <c r="F874" s="90"/>
      <c r="G874" s="643"/>
      <c r="H874" s="643"/>
      <c r="I874" s="90"/>
      <c r="J874" s="90"/>
      <c r="K874" s="90"/>
    </row>
    <row r="875" spans="1:11">
      <c r="A875" s="90"/>
      <c r="C875" s="90"/>
      <c r="D875" s="90"/>
      <c r="E875" s="90"/>
      <c r="F875" s="90"/>
      <c r="G875" s="643"/>
      <c r="H875" s="643"/>
      <c r="I875" s="90"/>
      <c r="J875" s="90"/>
      <c r="K875" s="90"/>
    </row>
    <row r="876" spans="1:11">
      <c r="A876" s="90"/>
      <c r="C876" s="90"/>
      <c r="D876" s="90"/>
      <c r="E876" s="90"/>
      <c r="F876" s="90"/>
      <c r="G876" s="643"/>
      <c r="H876" s="643"/>
      <c r="I876" s="90"/>
      <c r="J876" s="90"/>
      <c r="K876" s="90"/>
    </row>
    <row r="877" spans="1:11">
      <c r="A877" s="90"/>
      <c r="C877" s="90"/>
      <c r="D877" s="90"/>
      <c r="E877" s="90"/>
      <c r="F877" s="90"/>
      <c r="G877" s="643"/>
      <c r="H877" s="643"/>
      <c r="I877" s="90"/>
      <c r="J877" s="90"/>
      <c r="K877" s="90"/>
    </row>
    <row r="878" spans="1:11">
      <c r="A878" s="90"/>
      <c r="C878" s="90"/>
      <c r="D878" s="90"/>
      <c r="E878" s="90"/>
      <c r="F878" s="90"/>
      <c r="G878" s="643"/>
      <c r="H878" s="643"/>
      <c r="I878" s="90"/>
      <c r="J878" s="90"/>
      <c r="K878" s="90"/>
    </row>
    <row r="879" spans="1:11">
      <c r="A879" s="90"/>
      <c r="C879" s="90"/>
      <c r="D879" s="90"/>
      <c r="E879" s="90"/>
      <c r="F879" s="90"/>
      <c r="G879" s="643"/>
      <c r="H879" s="643"/>
      <c r="I879" s="90"/>
      <c r="J879" s="90"/>
      <c r="K879" s="90"/>
    </row>
    <row r="880" spans="1:11">
      <c r="A880" s="90"/>
      <c r="C880" s="90"/>
      <c r="D880" s="90"/>
      <c r="E880" s="90"/>
      <c r="F880" s="90"/>
      <c r="G880" s="643"/>
      <c r="H880" s="643"/>
      <c r="I880" s="90"/>
      <c r="J880" s="90"/>
      <c r="K880" s="90"/>
    </row>
    <row r="881" spans="1:11">
      <c r="A881" s="90"/>
      <c r="C881" s="90"/>
      <c r="D881" s="90"/>
      <c r="E881" s="90"/>
      <c r="F881" s="90"/>
      <c r="G881" s="643"/>
      <c r="H881" s="643"/>
      <c r="I881" s="90"/>
      <c r="J881" s="90"/>
      <c r="K881" s="90"/>
    </row>
    <row r="882" spans="1:11">
      <c r="A882" s="90"/>
      <c r="C882" s="90"/>
      <c r="D882" s="90"/>
      <c r="E882" s="90"/>
      <c r="F882" s="90"/>
      <c r="G882" s="643"/>
      <c r="H882" s="643"/>
      <c r="I882" s="90"/>
      <c r="J882" s="90"/>
      <c r="K882" s="90"/>
    </row>
    <row r="883" spans="1:11">
      <c r="A883" s="90"/>
      <c r="C883" s="90"/>
      <c r="D883" s="90"/>
      <c r="E883" s="90"/>
      <c r="F883" s="90"/>
      <c r="G883" s="643"/>
      <c r="H883" s="643"/>
      <c r="I883" s="90"/>
      <c r="J883" s="90"/>
      <c r="K883" s="90"/>
    </row>
    <row r="884" spans="1:11">
      <c r="A884" s="90"/>
      <c r="C884" s="90"/>
      <c r="D884" s="90"/>
      <c r="E884" s="90"/>
      <c r="F884" s="90"/>
      <c r="G884" s="643"/>
      <c r="H884" s="643"/>
      <c r="I884" s="90"/>
      <c r="J884" s="90"/>
      <c r="K884" s="90"/>
    </row>
    <row r="885" spans="1:11">
      <c r="A885" s="90"/>
      <c r="C885" s="90"/>
      <c r="D885" s="90"/>
      <c r="E885" s="90"/>
      <c r="F885" s="90"/>
      <c r="G885" s="643"/>
      <c r="H885" s="643"/>
      <c r="I885" s="90"/>
      <c r="J885" s="90"/>
      <c r="K885" s="90"/>
    </row>
    <row r="886" spans="1:11">
      <c r="A886" s="90"/>
      <c r="C886" s="90"/>
      <c r="D886" s="90"/>
      <c r="E886" s="90"/>
      <c r="F886" s="90"/>
      <c r="G886" s="643"/>
      <c r="H886" s="643"/>
      <c r="I886" s="90"/>
      <c r="J886" s="90"/>
      <c r="K886" s="90"/>
    </row>
    <row r="887" spans="1:11">
      <c r="A887" s="90"/>
      <c r="C887" s="90"/>
      <c r="D887" s="90"/>
      <c r="E887" s="90"/>
      <c r="F887" s="90"/>
      <c r="G887" s="643"/>
      <c r="H887" s="643"/>
      <c r="I887" s="90"/>
      <c r="J887" s="90"/>
      <c r="K887" s="90"/>
    </row>
    <row r="888" spans="1:11">
      <c r="A888" s="90"/>
      <c r="C888" s="90"/>
      <c r="D888" s="90"/>
      <c r="E888" s="90"/>
      <c r="F888" s="90"/>
      <c r="G888" s="643"/>
      <c r="H888" s="643"/>
      <c r="I888" s="90"/>
      <c r="J888" s="90"/>
      <c r="K888" s="90"/>
    </row>
    <row r="889" spans="1:11">
      <c r="A889" s="90"/>
      <c r="C889" s="90"/>
      <c r="D889" s="90"/>
      <c r="E889" s="90"/>
      <c r="F889" s="90"/>
      <c r="G889" s="643"/>
      <c r="H889" s="643"/>
      <c r="I889" s="90"/>
      <c r="J889" s="90"/>
      <c r="K889" s="90"/>
    </row>
    <row r="890" spans="1:11">
      <c r="A890" s="90"/>
      <c r="C890" s="90"/>
      <c r="D890" s="90"/>
      <c r="E890" s="90"/>
      <c r="F890" s="90"/>
      <c r="G890" s="643"/>
      <c r="H890" s="643"/>
      <c r="I890" s="90"/>
      <c r="J890" s="90"/>
      <c r="K890" s="90"/>
    </row>
    <row r="891" spans="1:11">
      <c r="A891" s="90"/>
      <c r="C891" s="90"/>
      <c r="D891" s="90"/>
      <c r="E891" s="90"/>
      <c r="F891" s="90"/>
      <c r="G891" s="643"/>
      <c r="H891" s="643"/>
      <c r="I891" s="90"/>
      <c r="J891" s="90"/>
      <c r="K891" s="90"/>
    </row>
    <row r="892" spans="1:11">
      <c r="A892" s="90"/>
      <c r="C892" s="90"/>
      <c r="D892" s="90"/>
      <c r="E892" s="90"/>
      <c r="F892" s="90"/>
      <c r="G892" s="643"/>
      <c r="H892" s="643"/>
      <c r="I892" s="90"/>
      <c r="J892" s="90"/>
      <c r="K892" s="90"/>
    </row>
    <row r="893" spans="1:11">
      <c r="A893" s="90"/>
      <c r="C893" s="90"/>
      <c r="D893" s="90"/>
      <c r="E893" s="90"/>
      <c r="F893" s="90"/>
      <c r="G893" s="643"/>
      <c r="H893" s="643"/>
      <c r="I893" s="90"/>
      <c r="J893" s="90"/>
      <c r="K893" s="90"/>
    </row>
    <row r="894" spans="1:11">
      <c r="A894" s="90"/>
      <c r="C894" s="90"/>
      <c r="D894" s="90"/>
      <c r="E894" s="90"/>
      <c r="F894" s="90"/>
      <c r="G894" s="643"/>
      <c r="H894" s="643"/>
      <c r="I894" s="90"/>
      <c r="J894" s="90"/>
      <c r="K894" s="90"/>
    </row>
    <row r="895" spans="1:11">
      <c r="A895" s="90"/>
      <c r="C895" s="90"/>
      <c r="D895" s="90"/>
      <c r="E895" s="90"/>
      <c r="F895" s="90"/>
      <c r="G895" s="643"/>
      <c r="H895" s="643"/>
      <c r="I895" s="90"/>
      <c r="J895" s="90"/>
      <c r="K895" s="90"/>
    </row>
    <row r="896" spans="1:11">
      <c r="A896" s="90"/>
      <c r="C896" s="90"/>
      <c r="D896" s="90"/>
      <c r="E896" s="90"/>
      <c r="F896" s="90"/>
      <c r="G896" s="643"/>
      <c r="H896" s="643"/>
      <c r="I896" s="90"/>
      <c r="J896" s="90"/>
      <c r="K896" s="90"/>
    </row>
    <row r="897" spans="1:11">
      <c r="A897" s="90"/>
      <c r="C897" s="90"/>
      <c r="D897" s="90"/>
      <c r="E897" s="90"/>
      <c r="F897" s="90"/>
      <c r="G897" s="643"/>
      <c r="H897" s="643"/>
      <c r="I897" s="90"/>
      <c r="J897" s="90"/>
      <c r="K897" s="90"/>
    </row>
    <row r="898" spans="1:11">
      <c r="A898" s="90"/>
      <c r="C898" s="90"/>
      <c r="D898" s="90"/>
      <c r="E898" s="90"/>
      <c r="F898" s="90"/>
      <c r="G898" s="643"/>
      <c r="H898" s="643"/>
      <c r="I898" s="90"/>
      <c r="J898" s="90"/>
      <c r="K898" s="90"/>
    </row>
    <row r="899" spans="1:11">
      <c r="A899" s="90"/>
      <c r="C899" s="90"/>
      <c r="D899" s="90"/>
      <c r="E899" s="90"/>
      <c r="F899" s="90"/>
      <c r="G899" s="643"/>
      <c r="H899" s="643"/>
      <c r="I899" s="90"/>
      <c r="J899" s="90"/>
      <c r="K899" s="90"/>
    </row>
    <row r="900" spans="1:11">
      <c r="A900" s="90"/>
      <c r="C900" s="90"/>
      <c r="D900" s="90"/>
      <c r="E900" s="90"/>
      <c r="F900" s="90"/>
      <c r="G900" s="643"/>
      <c r="H900" s="643"/>
      <c r="I900" s="90"/>
      <c r="J900" s="90"/>
      <c r="K900" s="90"/>
    </row>
    <row r="901" spans="1:11">
      <c r="A901" s="90"/>
      <c r="C901" s="90"/>
      <c r="D901" s="90"/>
      <c r="E901" s="90"/>
      <c r="F901" s="90"/>
      <c r="G901" s="643"/>
      <c r="H901" s="643"/>
      <c r="I901" s="90"/>
      <c r="J901" s="90"/>
      <c r="K901" s="90"/>
    </row>
    <row r="902" spans="1:11">
      <c r="A902" s="90"/>
      <c r="C902" s="90"/>
      <c r="D902" s="90"/>
      <c r="E902" s="90"/>
      <c r="F902" s="90"/>
      <c r="G902" s="643"/>
      <c r="H902" s="643"/>
      <c r="I902" s="90"/>
      <c r="J902" s="90"/>
      <c r="K902" s="90"/>
    </row>
    <row r="903" spans="1:11">
      <c r="A903" s="90"/>
      <c r="C903" s="90"/>
      <c r="D903" s="90"/>
      <c r="E903" s="90"/>
      <c r="F903" s="90"/>
      <c r="G903" s="643"/>
      <c r="H903" s="643"/>
      <c r="I903" s="90"/>
      <c r="J903" s="90"/>
      <c r="K903" s="90"/>
    </row>
    <row r="904" spans="1:11">
      <c r="A904" s="90"/>
      <c r="C904" s="90"/>
      <c r="D904" s="90"/>
      <c r="E904" s="90"/>
      <c r="F904" s="90"/>
      <c r="G904" s="643"/>
      <c r="H904" s="643"/>
      <c r="I904" s="90"/>
      <c r="J904" s="90"/>
      <c r="K904" s="90"/>
    </row>
    <row r="905" spans="1:11">
      <c r="A905" s="90"/>
      <c r="C905" s="90"/>
      <c r="D905" s="90"/>
      <c r="E905" s="90"/>
      <c r="F905" s="90"/>
      <c r="G905" s="643"/>
      <c r="H905" s="643"/>
      <c r="I905" s="90"/>
      <c r="J905" s="90"/>
      <c r="K905" s="90"/>
    </row>
    <row r="906" spans="1:11">
      <c r="A906" s="90"/>
      <c r="C906" s="90"/>
      <c r="D906" s="90"/>
      <c r="E906" s="90"/>
      <c r="F906" s="90"/>
      <c r="G906" s="643"/>
      <c r="H906" s="643"/>
      <c r="I906" s="90"/>
      <c r="J906" s="90"/>
      <c r="K906" s="90"/>
    </row>
    <row r="907" spans="1:11">
      <c r="A907" s="90"/>
      <c r="C907" s="90"/>
      <c r="D907" s="90"/>
      <c r="E907" s="90"/>
      <c r="F907" s="90"/>
      <c r="G907" s="643"/>
      <c r="H907" s="643"/>
      <c r="I907" s="90"/>
      <c r="J907" s="90"/>
      <c r="K907" s="90"/>
    </row>
    <row r="908" spans="1:11">
      <c r="A908" s="90"/>
      <c r="C908" s="90"/>
      <c r="D908" s="90"/>
      <c r="E908" s="90"/>
      <c r="F908" s="90"/>
      <c r="G908" s="643"/>
      <c r="H908" s="643"/>
      <c r="I908" s="90"/>
      <c r="J908" s="90"/>
      <c r="K908" s="90"/>
    </row>
    <row r="909" spans="1:11">
      <c r="A909" s="90"/>
      <c r="C909" s="90"/>
      <c r="D909" s="90"/>
      <c r="E909" s="90"/>
      <c r="F909" s="90"/>
      <c r="G909" s="643"/>
      <c r="H909" s="643"/>
      <c r="I909" s="90"/>
      <c r="J909" s="90"/>
      <c r="K909" s="90"/>
    </row>
    <row r="910" spans="1:11">
      <c r="A910" s="90"/>
      <c r="C910" s="90"/>
      <c r="D910" s="90"/>
      <c r="E910" s="90"/>
      <c r="F910" s="90"/>
      <c r="G910" s="643"/>
      <c r="H910" s="643"/>
      <c r="I910" s="90"/>
      <c r="J910" s="90"/>
      <c r="K910" s="90"/>
    </row>
    <row r="911" spans="1:11">
      <c r="A911" s="90"/>
      <c r="C911" s="90"/>
      <c r="D911" s="90"/>
      <c r="E911" s="90"/>
      <c r="F911" s="90"/>
      <c r="G911" s="643"/>
      <c r="H911" s="643"/>
      <c r="I911" s="90"/>
      <c r="J911" s="90"/>
      <c r="K911" s="90"/>
    </row>
    <row r="912" spans="1:11">
      <c r="A912" s="90"/>
      <c r="C912" s="90"/>
      <c r="D912" s="90"/>
      <c r="E912" s="90"/>
      <c r="F912" s="90"/>
      <c r="G912" s="643"/>
      <c r="H912" s="643"/>
      <c r="I912" s="90"/>
      <c r="J912" s="90"/>
      <c r="K912" s="90"/>
    </row>
    <row r="913" spans="1:11">
      <c r="A913" s="90"/>
      <c r="C913" s="90"/>
      <c r="D913" s="90"/>
      <c r="E913" s="90"/>
      <c r="F913" s="90"/>
      <c r="G913" s="643"/>
      <c r="H913" s="643"/>
      <c r="I913" s="90"/>
      <c r="J913" s="90"/>
      <c r="K913" s="90"/>
    </row>
    <row r="914" spans="1:11">
      <c r="A914" s="90"/>
      <c r="C914" s="90"/>
      <c r="D914" s="90"/>
      <c r="E914" s="90"/>
      <c r="F914" s="90"/>
      <c r="G914" s="643"/>
      <c r="H914" s="643"/>
      <c r="I914" s="90"/>
      <c r="J914" s="90"/>
      <c r="K914" s="90"/>
    </row>
    <row r="915" spans="1:11">
      <c r="A915" s="90"/>
      <c r="C915" s="90"/>
      <c r="D915" s="90"/>
      <c r="E915" s="90"/>
      <c r="F915" s="90"/>
      <c r="G915" s="643"/>
      <c r="H915" s="643"/>
      <c r="I915" s="90"/>
      <c r="J915" s="90"/>
      <c r="K915" s="90"/>
    </row>
    <row r="916" spans="1:11">
      <c r="A916" s="90"/>
      <c r="C916" s="90"/>
      <c r="D916" s="90"/>
      <c r="E916" s="90"/>
      <c r="F916" s="90"/>
      <c r="G916" s="643"/>
      <c r="H916" s="643"/>
      <c r="I916" s="90"/>
      <c r="J916" s="90"/>
      <c r="K916" s="90"/>
    </row>
    <row r="917" spans="1:11">
      <c r="A917" s="90"/>
      <c r="C917" s="90"/>
      <c r="D917" s="90"/>
      <c r="E917" s="90"/>
      <c r="F917" s="90"/>
      <c r="G917" s="643"/>
      <c r="H917" s="643"/>
      <c r="I917" s="90"/>
      <c r="J917" s="90"/>
      <c r="K917" s="90"/>
    </row>
    <row r="918" spans="1:11">
      <c r="A918" s="90"/>
      <c r="C918" s="90"/>
      <c r="D918" s="90"/>
      <c r="E918" s="90"/>
      <c r="F918" s="90"/>
      <c r="G918" s="643"/>
      <c r="H918" s="643"/>
      <c r="I918" s="90"/>
      <c r="J918" s="90"/>
      <c r="K918" s="90"/>
    </row>
    <row r="919" spans="1:11">
      <c r="A919" s="90"/>
      <c r="C919" s="90"/>
      <c r="D919" s="90"/>
      <c r="E919" s="90"/>
      <c r="F919" s="90"/>
      <c r="G919" s="643"/>
      <c r="H919" s="643"/>
      <c r="I919" s="90"/>
      <c r="J919" s="90"/>
      <c r="K919" s="90"/>
    </row>
    <row r="920" spans="1:11">
      <c r="A920" s="90"/>
      <c r="C920" s="90"/>
      <c r="D920" s="90"/>
      <c r="E920" s="90"/>
      <c r="F920" s="90"/>
      <c r="G920" s="643"/>
      <c r="H920" s="643"/>
      <c r="I920" s="90"/>
      <c r="J920" s="90"/>
      <c r="K920" s="90"/>
    </row>
    <row r="921" spans="1:11">
      <c r="A921" s="90"/>
      <c r="C921" s="90"/>
      <c r="D921" s="90"/>
      <c r="E921" s="90"/>
      <c r="F921" s="90"/>
      <c r="G921" s="643"/>
      <c r="H921" s="643"/>
      <c r="I921" s="90"/>
      <c r="J921" s="90"/>
      <c r="K921" s="90"/>
    </row>
    <row r="922" spans="1:11">
      <c r="A922" s="90"/>
      <c r="C922" s="90"/>
      <c r="D922" s="90"/>
      <c r="E922" s="90"/>
      <c r="F922" s="90"/>
      <c r="G922" s="643"/>
      <c r="H922" s="643"/>
      <c r="I922" s="90"/>
      <c r="J922" s="90"/>
      <c r="K922" s="90"/>
    </row>
    <row r="923" spans="1:11">
      <c r="A923" s="90"/>
      <c r="C923" s="90"/>
      <c r="D923" s="90"/>
      <c r="E923" s="90"/>
      <c r="F923" s="90"/>
      <c r="G923" s="643"/>
      <c r="H923" s="643"/>
      <c r="I923" s="90"/>
      <c r="J923" s="90"/>
      <c r="K923" s="90"/>
    </row>
    <row r="924" spans="1:11">
      <c r="A924" s="90"/>
      <c r="C924" s="90"/>
      <c r="D924" s="90"/>
      <c r="E924" s="90"/>
      <c r="F924" s="90"/>
      <c r="G924" s="643"/>
      <c r="H924" s="643"/>
      <c r="I924" s="90"/>
      <c r="J924" s="90"/>
      <c r="K924" s="90"/>
    </row>
    <row r="925" spans="1:11">
      <c r="A925" s="90"/>
      <c r="C925" s="90"/>
      <c r="D925" s="90"/>
      <c r="E925" s="90"/>
      <c r="F925" s="90"/>
      <c r="G925" s="643"/>
      <c r="H925" s="643"/>
      <c r="I925" s="90"/>
      <c r="J925" s="90"/>
      <c r="K925" s="90"/>
    </row>
    <row r="926" spans="1:11">
      <c r="A926" s="90"/>
      <c r="C926" s="90"/>
      <c r="D926" s="90"/>
      <c r="E926" s="90"/>
      <c r="F926" s="90"/>
      <c r="G926" s="643"/>
      <c r="H926" s="643"/>
      <c r="I926" s="90"/>
      <c r="J926" s="90"/>
      <c r="K926" s="90"/>
    </row>
    <row r="927" spans="1:11">
      <c r="A927" s="90"/>
      <c r="C927" s="90"/>
      <c r="D927" s="90"/>
      <c r="E927" s="90"/>
      <c r="F927" s="90"/>
      <c r="G927" s="643"/>
      <c r="H927" s="643"/>
      <c r="I927" s="90"/>
      <c r="J927" s="90"/>
      <c r="K927" s="90"/>
    </row>
    <row r="928" spans="1:11">
      <c r="A928" s="90"/>
      <c r="C928" s="90"/>
      <c r="D928" s="90"/>
      <c r="E928" s="90"/>
      <c r="F928" s="90"/>
      <c r="G928" s="643"/>
      <c r="H928" s="643"/>
      <c r="I928" s="90"/>
      <c r="J928" s="90"/>
      <c r="K928" s="90"/>
    </row>
    <row r="929" spans="1:11">
      <c r="A929" s="90"/>
      <c r="C929" s="90"/>
      <c r="D929" s="90"/>
      <c r="E929" s="90"/>
      <c r="F929" s="90"/>
      <c r="G929" s="643"/>
      <c r="H929" s="643"/>
      <c r="I929" s="90"/>
      <c r="J929" s="90"/>
      <c r="K929" s="90"/>
    </row>
    <row r="930" spans="1:11">
      <c r="A930" s="90"/>
      <c r="C930" s="90"/>
      <c r="D930" s="90"/>
      <c r="E930" s="90"/>
      <c r="F930" s="90"/>
      <c r="G930" s="643"/>
      <c r="H930" s="643"/>
      <c r="I930" s="90"/>
      <c r="J930" s="90"/>
      <c r="K930" s="90"/>
    </row>
    <row r="931" spans="1:11">
      <c r="A931" s="90"/>
      <c r="C931" s="90"/>
      <c r="D931" s="90"/>
      <c r="E931" s="90"/>
      <c r="F931" s="90"/>
      <c r="G931" s="643"/>
      <c r="H931" s="643"/>
      <c r="I931" s="90"/>
      <c r="J931" s="90"/>
      <c r="K931" s="90"/>
    </row>
    <row r="932" spans="1:11">
      <c r="A932" s="90"/>
      <c r="C932" s="90"/>
      <c r="D932" s="90"/>
      <c r="E932" s="90"/>
      <c r="F932" s="90"/>
      <c r="G932" s="643"/>
      <c r="H932" s="643"/>
      <c r="I932" s="90"/>
      <c r="J932" s="90"/>
      <c r="K932" s="90"/>
    </row>
    <row r="933" spans="1:11">
      <c r="A933" s="90"/>
      <c r="C933" s="90"/>
      <c r="D933" s="90"/>
      <c r="E933" s="90"/>
      <c r="F933" s="90"/>
      <c r="G933" s="643"/>
      <c r="H933" s="643"/>
      <c r="I933" s="90"/>
      <c r="J933" s="90"/>
      <c r="K933" s="90"/>
    </row>
    <row r="934" spans="1:11">
      <c r="A934" s="90"/>
      <c r="C934" s="90"/>
      <c r="D934" s="90"/>
      <c r="E934" s="90"/>
      <c r="F934" s="90"/>
      <c r="G934" s="643"/>
      <c r="H934" s="643"/>
      <c r="I934" s="90"/>
      <c r="J934" s="90"/>
      <c r="K934" s="90"/>
    </row>
    <row r="935" spans="1:11">
      <c r="A935" s="90"/>
      <c r="C935" s="90"/>
      <c r="D935" s="90"/>
      <c r="E935" s="90"/>
      <c r="F935" s="90"/>
      <c r="G935" s="643"/>
      <c r="H935" s="643"/>
      <c r="I935" s="90"/>
      <c r="J935" s="90"/>
      <c r="K935" s="90"/>
    </row>
    <row r="936" spans="1:11">
      <c r="A936" s="90"/>
      <c r="C936" s="90"/>
      <c r="D936" s="90"/>
      <c r="E936" s="90"/>
      <c r="F936" s="90"/>
      <c r="G936" s="643"/>
      <c r="H936" s="643"/>
      <c r="I936" s="90"/>
      <c r="J936" s="90"/>
      <c r="K936" s="90"/>
    </row>
    <row r="937" spans="1:11">
      <c r="A937" s="90"/>
      <c r="C937" s="90"/>
      <c r="D937" s="90"/>
      <c r="E937" s="90"/>
      <c r="F937" s="90"/>
      <c r="G937" s="643"/>
      <c r="H937" s="643"/>
      <c r="I937" s="90"/>
      <c r="J937" s="90"/>
      <c r="K937" s="90"/>
    </row>
    <row r="938" spans="1:11">
      <c r="A938" s="90"/>
      <c r="C938" s="90"/>
      <c r="D938" s="90"/>
      <c r="E938" s="90"/>
      <c r="F938" s="90"/>
      <c r="G938" s="643"/>
      <c r="H938" s="643"/>
      <c r="I938" s="90"/>
      <c r="J938" s="90"/>
      <c r="K938" s="90"/>
    </row>
    <row r="939" spans="1:11">
      <c r="A939" s="90"/>
      <c r="C939" s="90"/>
      <c r="D939" s="90"/>
      <c r="E939" s="90"/>
      <c r="F939" s="90"/>
      <c r="G939" s="643"/>
      <c r="H939" s="643"/>
      <c r="I939" s="90"/>
      <c r="J939" s="90"/>
      <c r="K939" s="90"/>
    </row>
  </sheetData>
  <conditionalFormatting sqref="O77:Q77">
    <cfRule type="expression" dxfId="3954" priority="1">
      <formula>AND(ISNUMBER(O77),TRUNC(O77)&lt;TODAY())</formula>
    </cfRule>
  </conditionalFormatting>
  <conditionalFormatting sqref="O76:Q76">
    <cfRule type="expression" dxfId="3953" priority="2">
      <formula>AND(ISNUMBER(O76),TRUNC(O76)&lt;TODAY())</formula>
    </cfRule>
  </conditionalFormatting>
  <conditionalFormatting sqref="Q75">
    <cfRule type="expression" dxfId="3952" priority="3">
      <formula>AND(ISNUMBER(Q75),TRUNC(Q75)&lt;TODAY())</formula>
    </cfRule>
  </conditionalFormatting>
  <conditionalFormatting sqref="P75">
    <cfRule type="expression" dxfId="3951" priority="4">
      <formula>AND(ISNUMBER(P75),TRUNC(P75)&lt;TODAY())</formula>
    </cfRule>
  </conditionalFormatting>
  <conditionalFormatting sqref="O75">
    <cfRule type="expression" dxfId="3950" priority="5">
      <formula>AND(ISNUMBER(O75),TRUNC(O75)&lt;TODAY())</formula>
    </cfRule>
  </conditionalFormatting>
  <conditionalFormatting sqref="Q74">
    <cfRule type="expression" dxfId="3949" priority="6">
      <formula>AND(ISNUMBER(Q74),TRUNC(Q74)&lt;TODAY())</formula>
    </cfRule>
  </conditionalFormatting>
  <conditionalFormatting sqref="O74">
    <cfRule type="expression" dxfId="3948" priority="7">
      <formula>AND(ISNUMBER(O74),TRUNC(O74)&lt;TODAY())</formula>
    </cfRule>
  </conditionalFormatting>
  <conditionalFormatting sqref="P74">
    <cfRule type="expression" dxfId="3947" priority="8">
      <formula>AND(ISNUMBER(P74),TRUNC(P74)&lt;TODAY())</formula>
    </cfRule>
  </conditionalFormatting>
  <conditionalFormatting sqref="P38:Q38 T38">
    <cfRule type="expression" dxfId="3946" priority="9">
      <formula>AND(ISNUMBER(P38),TRUNC(P38)&lt;TODAY())</formula>
    </cfRule>
  </conditionalFormatting>
  <conditionalFormatting sqref="O37:Q37">
    <cfRule type="expression" dxfId="3945" priority="10">
      <formula>AND(ISNUMBER(O37),TRUNC(O37)&lt;TODAY())</formula>
    </cfRule>
  </conditionalFormatting>
  <conditionalFormatting sqref="O36:Q36">
    <cfRule type="expression" dxfId="3944" priority="11">
      <formula>AND(ISNUMBER(O36),TRUNC(O36)&lt;TODAY())</formula>
    </cfRule>
  </conditionalFormatting>
  <conditionalFormatting sqref="O73:Q73">
    <cfRule type="expression" dxfId="3943" priority="12">
      <formula>AND(ISNUMBER(O73),TRUNC(O73)&lt;TODAY())</formula>
    </cfRule>
  </conditionalFormatting>
  <conditionalFormatting sqref="O72:Q72">
    <cfRule type="expression" dxfId="3942" priority="13">
      <formula>AND(ISNUMBER(O72),TRUNC(O72)&lt;TODAY())</formula>
    </cfRule>
  </conditionalFormatting>
  <conditionalFormatting sqref="Q72">
    <cfRule type="expression" dxfId="3941" priority="14">
      <formula>AND(ISNUMBER(Q72),TRUNC(Q72)&lt;TODAY())</formula>
    </cfRule>
  </conditionalFormatting>
  <conditionalFormatting sqref="O30:Q30">
    <cfRule type="expression" dxfId="3940" priority="15">
      <formula>AND(ISNUMBER(O30),TRUNC(O30)&lt;TODAY())</formula>
    </cfRule>
  </conditionalFormatting>
  <conditionalFormatting sqref="O29">
    <cfRule type="expression" dxfId="3939" priority="16">
      <formula>AND(ISNUMBER(O29),TRUNC(O29)&lt;TODAY())</formula>
    </cfRule>
  </conditionalFormatting>
  <conditionalFormatting sqref="Q29">
    <cfRule type="expression" dxfId="3938" priority="17">
      <formula>AND(ISNUMBER(Q29),TRUNC(Q29)&lt;TODAY())</formula>
    </cfRule>
  </conditionalFormatting>
  <conditionalFormatting sqref="P29">
    <cfRule type="expression" dxfId="3937" priority="18">
      <formula>AND(ISNUMBER(P29),TRUNC(P29)&lt;TODAY())</formula>
    </cfRule>
  </conditionalFormatting>
  <conditionalFormatting sqref="V28">
    <cfRule type="notContainsBlanks" dxfId="3936" priority="19">
      <formula>LEN(TRIM(V28))&gt;0</formula>
    </cfRule>
  </conditionalFormatting>
  <conditionalFormatting sqref="O28">
    <cfRule type="expression" dxfId="3935" priority="20">
      <formula>AND(ISNUMBER(O28),TRUNC(O28)&lt;TODAY())</formula>
    </cfRule>
  </conditionalFormatting>
  <conditionalFormatting sqref="Q28">
    <cfRule type="expression" dxfId="3934" priority="21">
      <formula>AND(ISNUMBER(Q28),TRUNC(Q28)&lt;TODAY())</formula>
    </cfRule>
  </conditionalFormatting>
  <conditionalFormatting sqref="P28">
    <cfRule type="expression" dxfId="3933" priority="22">
      <formula>AND(ISNUMBER(P28),TRUNC(P28)&lt;TODAY())</formula>
    </cfRule>
  </conditionalFormatting>
  <conditionalFormatting sqref="O27:Q27">
    <cfRule type="expression" dxfId="3932" priority="23">
      <formula>AND(ISNUMBER(O27),TRUNC(O27)&lt;TODAY())</formula>
    </cfRule>
  </conditionalFormatting>
  <conditionalFormatting sqref="O26:Q26">
    <cfRule type="expression" dxfId="3931" priority="24">
      <formula>AND(ISNUMBER(O26),TRUNC(O26)&lt;TODAY())</formula>
    </cfRule>
  </conditionalFormatting>
  <conditionalFormatting sqref="O25:Q25">
    <cfRule type="expression" dxfId="3930" priority="25">
      <formula>AND(ISNUMBER(O25),TRUNC(O25)&lt;TODAY())</formula>
    </cfRule>
  </conditionalFormatting>
  <conditionalFormatting sqref="P25">
    <cfRule type="expression" dxfId="3929" priority="26">
      <formula>AND(ISNUMBER(P25),TRUNC(P25)&lt;TODAY())</formula>
    </cfRule>
  </conditionalFormatting>
  <conditionalFormatting sqref="H24 O24:Q24">
    <cfRule type="expression" dxfId="3928" priority="27">
      <formula>AND(ISNUMBER(H24),TRUNC(H24)&lt;TODAY())</formula>
    </cfRule>
  </conditionalFormatting>
  <conditionalFormatting sqref="O23:Q23">
    <cfRule type="expression" dxfId="3927" priority="28">
      <formula>AND(ISNUMBER(O23),TRUNC(O23)&lt;TODAY())</formula>
    </cfRule>
  </conditionalFormatting>
  <conditionalFormatting sqref="O20:Q21">
    <cfRule type="expression" dxfId="3926" priority="29">
      <formula>AND(ISNUMBER(O20),TRUNC(O20)&lt;TODAY())</formula>
    </cfRule>
  </conditionalFormatting>
  <conditionalFormatting sqref="O64">
    <cfRule type="expression" dxfId="3925" priority="30">
      <formula>AND(ISNUMBER(O64),TRUNC(O64)&lt;TODAY())</formula>
    </cfRule>
  </conditionalFormatting>
  <conditionalFormatting sqref="P64">
    <cfRule type="expression" dxfId="3924" priority="31">
      <formula>AND(ISNUMBER(P64),TRUNC(P64)&lt;TODAY())</formula>
    </cfRule>
  </conditionalFormatting>
  <conditionalFormatting sqref="Q64">
    <cfRule type="expression" dxfId="3923" priority="32">
      <formula>AND(ISNUMBER(Q64),TRUNC(Q64)&lt;TODAY())</formula>
    </cfRule>
  </conditionalFormatting>
  <conditionalFormatting sqref="O19:Q19">
    <cfRule type="expression" dxfId="3922" priority="33">
      <formula>AND(ISNUMBER(O19),TRUNC(O19)&lt;TODAY())</formula>
    </cfRule>
  </conditionalFormatting>
  <conditionalFormatting sqref="P18">
    <cfRule type="expression" dxfId="3921" priority="34">
      <formula>AND(ISNUMBER(P18),TRUNC(P18)&lt;TODAY())</formula>
    </cfRule>
  </conditionalFormatting>
  <conditionalFormatting sqref="O18">
    <cfRule type="expression" dxfId="3920" priority="35">
      <formula>AND(ISNUMBER(O18),TRUNC(O18)&lt;TODAY())</formula>
    </cfRule>
  </conditionalFormatting>
  <conditionalFormatting sqref="O17:Q17">
    <cfRule type="expression" dxfId="3919" priority="36">
      <formula>AND(ISNUMBER(O17),TRUNC(O17)&lt;TODAY())</formula>
    </cfRule>
  </conditionalFormatting>
  <conditionalFormatting sqref="O63:Q63">
    <cfRule type="expression" dxfId="3918" priority="37">
      <formula>AND(ISNUMBER(O63),TRUNC(O63)&lt;TODAY())</formula>
    </cfRule>
  </conditionalFormatting>
  <conditionalFormatting sqref="O62:Q62">
    <cfRule type="expression" dxfId="3917" priority="38">
      <formula>AND(ISNUMBER(O62),TRUNC(O62)&lt;TODAY())</formula>
    </cfRule>
  </conditionalFormatting>
  <conditionalFormatting sqref="O61:Q61">
    <cfRule type="expression" dxfId="3916" priority="39">
      <formula>AND(ISNUMBER(O61),TRUNC(O61)&lt;TODAY())</formula>
    </cfRule>
  </conditionalFormatting>
  <conditionalFormatting sqref="O16:Q16">
    <cfRule type="expression" dxfId="3915" priority="40">
      <formula>AND(ISNUMBER(O16),TRUNC(O16)&lt;TODAY())</formula>
    </cfRule>
  </conditionalFormatting>
  <conditionalFormatting sqref="Q78">
    <cfRule type="expression" dxfId="3914" priority="41">
      <formula>AND(ISNUMBER(Q78),TRUNC(Q78)&lt;TODAY())</formula>
    </cfRule>
  </conditionalFormatting>
  <conditionalFormatting sqref="O78:Q78">
    <cfRule type="expression" dxfId="3913" priority="42">
      <formula>AND(ISNUMBER(O78),TRUNC(O78)&lt;TODAY())</formula>
    </cfRule>
  </conditionalFormatting>
  <conditionalFormatting sqref="P78">
    <cfRule type="expression" dxfId="3912" priority="43">
      <formula>AND(ISNUMBER(P78),TRUNC(P78)&lt;TODAY())</formula>
    </cfRule>
  </conditionalFormatting>
  <conditionalFormatting sqref="O15:Q15">
    <cfRule type="expression" dxfId="3911" priority="44">
      <formula>AND(ISNUMBER(O15),TRUNC(O15)&lt;TODAY())</formula>
    </cfRule>
  </conditionalFormatting>
  <conditionalFormatting sqref="O60:Q60">
    <cfRule type="expression" dxfId="3910" priority="45">
      <formula>AND(ISNUMBER(O60),TRUNC(O60)&lt;TODAY())</formula>
    </cfRule>
  </conditionalFormatting>
  <conditionalFormatting sqref="O59:Q59">
    <cfRule type="expression" dxfId="3909" priority="46">
      <formula>AND(ISNUMBER(O59),TRUNC(O59)&lt;TODAY())</formula>
    </cfRule>
  </conditionalFormatting>
  <conditionalFormatting sqref="O58:Q58">
    <cfRule type="expression" dxfId="3908" priority="47">
      <formula>AND(ISNUMBER(O58),TRUNC(O58)&lt;TODAY())</formula>
    </cfRule>
  </conditionalFormatting>
  <conditionalFormatting sqref="O55">
    <cfRule type="expression" dxfId="3907" priority="48">
      <formula>AND(ISNUMBER(O55),TRUNC(O55)&lt;TODAY())</formula>
    </cfRule>
  </conditionalFormatting>
  <conditionalFormatting sqref="Q55">
    <cfRule type="expression" dxfId="3906" priority="49">
      <formula>AND(ISNUMBER(Q55),TRUNC(Q55)&lt;TODAY())</formula>
    </cfRule>
  </conditionalFormatting>
  <conditionalFormatting sqref="Q55">
    <cfRule type="expression" dxfId="3905" priority="50">
      <formula>AND(ISNUMBER(Q55),TRUNC(Q55)&lt;TODAY())</formula>
    </cfRule>
  </conditionalFormatting>
  <conditionalFormatting sqref="P55">
    <cfRule type="expression" dxfId="3904" priority="51">
      <formula>AND(ISNUMBER(P55),TRUNC(P55)&lt;TODAY())</formula>
    </cfRule>
  </conditionalFormatting>
  <conditionalFormatting sqref="P14">
    <cfRule type="expression" dxfId="3903" priority="52">
      <formula>P14&lt;44165</formula>
    </cfRule>
  </conditionalFormatting>
  <conditionalFormatting sqref="O14">
    <cfRule type="expression" dxfId="3902" priority="53">
      <formula>AND(ISNUMBER(O14),TRUNC(O14)&lt;TODAY())</formula>
    </cfRule>
  </conditionalFormatting>
  <conditionalFormatting sqref="P14">
    <cfRule type="expression" dxfId="3901" priority="54">
      <formula>AND(ISNUMBER(P14),TRUNC(P14)&lt;TODAY())</formula>
    </cfRule>
  </conditionalFormatting>
  <conditionalFormatting sqref="Q14">
    <cfRule type="expression" dxfId="3900" priority="55">
      <formula>AND(ISNUMBER(Q14),TRUNC(Q14)&lt;TODAY())</formula>
    </cfRule>
  </conditionalFormatting>
  <conditionalFormatting sqref="Q12">
    <cfRule type="expression" dxfId="3899" priority="56">
      <formula>AND(ISNUMBER(Q12),TRUNC(Q12)&lt;TODAY())</formula>
    </cfRule>
  </conditionalFormatting>
  <conditionalFormatting sqref="P12">
    <cfRule type="expression" dxfId="3898" priority="57">
      <formula>AND(ISNUMBER(P12),TRUNC(P12)&lt;TODAY())</formula>
    </cfRule>
  </conditionalFormatting>
  <conditionalFormatting sqref="O12">
    <cfRule type="expression" dxfId="3897" priority="58">
      <formula>AND(ISNUMBER(O12),TRUNC(O12)&lt;TODAY())</formula>
    </cfRule>
  </conditionalFormatting>
  <conditionalFormatting sqref="O13:Q13">
    <cfRule type="expression" dxfId="3896" priority="59">
      <formula>AND(ISNUMBER(O13),TRUNC(O13)&lt;TODAY())</formula>
    </cfRule>
  </conditionalFormatting>
  <conditionalFormatting sqref="O11:Q11">
    <cfRule type="expression" dxfId="3895" priority="60">
      <formula>AND(ISNUMBER(O11),TRUNC(O11)&lt;TODAY())</formula>
    </cfRule>
  </conditionalFormatting>
  <conditionalFormatting sqref="Q53">
    <cfRule type="expression" dxfId="3894" priority="61">
      <formula>AND(ISNUMBER(Q53),TRUNC(Q53)&lt;TODAY())</formula>
    </cfRule>
  </conditionalFormatting>
  <conditionalFormatting sqref="P53">
    <cfRule type="expression" dxfId="3893" priority="62">
      <formula>AND(ISNUMBER(P53),TRUNC(P53)&lt;TODAY())</formula>
    </cfRule>
  </conditionalFormatting>
  <conditionalFormatting sqref="O53">
    <cfRule type="expression" dxfId="3892" priority="63">
      <formula>AND(ISNUMBER(O53),TRUNC(O53)&lt;TODAY())</formula>
    </cfRule>
  </conditionalFormatting>
  <conditionalFormatting sqref="P53">
    <cfRule type="expression" dxfId="3891" priority="64">
      <formula>AND(ISNUMBER(P53),TRUNC(P53)&lt;TODAY())</formula>
    </cfRule>
  </conditionalFormatting>
  <conditionalFormatting sqref="O52">
    <cfRule type="expression" dxfId="3890" priority="65">
      <formula>AND(ISNUMBER(O52),TRUNC(O52)&lt;TODAY())</formula>
    </cfRule>
  </conditionalFormatting>
  <conditionalFormatting sqref="Q52">
    <cfRule type="expression" dxfId="3889" priority="66">
      <formula>AND(ISNUMBER(Q52),TRUNC(Q52)&lt;TODAY())</formula>
    </cfRule>
  </conditionalFormatting>
  <conditionalFormatting sqref="P52">
    <cfRule type="expression" dxfId="3888" priority="67">
      <formula>AND(ISNUMBER(P52),TRUNC(P52)&lt;TODAY())</formula>
    </cfRule>
  </conditionalFormatting>
  <conditionalFormatting sqref="Q51">
    <cfRule type="expression" dxfId="3887" priority="68">
      <formula>AND(ISNUMBER(Q51),TRUNC(Q51)&lt;TODAY())</formula>
    </cfRule>
  </conditionalFormatting>
  <conditionalFormatting sqref="O51">
    <cfRule type="expression" dxfId="3886" priority="69">
      <formula>AND(ISNUMBER(O51),TRUNC(O51)&lt;TODAY())</formula>
    </cfRule>
  </conditionalFormatting>
  <conditionalFormatting sqref="P51">
    <cfRule type="expression" dxfId="3885" priority="70">
      <formula>AND(ISNUMBER(P51),TRUNC(P51)&lt;TODAY())</formula>
    </cfRule>
  </conditionalFormatting>
  <conditionalFormatting sqref="O2">
    <cfRule type="expression" dxfId="3884" priority="71">
      <formula>AND(ISNUMBER(O2),TRUNC(O2)&lt;TODAY())</formula>
    </cfRule>
  </conditionalFormatting>
  <conditionalFormatting sqref="P2">
    <cfRule type="expression" dxfId="3883" priority="72">
      <formula>AND(ISNUMBER(P2),TRUNC(P2)&lt;TODAY())</formula>
    </cfRule>
  </conditionalFormatting>
  <dataValidations count="6">
    <dataValidation type="custom" allowBlank="1" showDropDown="1" showInputMessage="1" showErrorMessage="1" prompt="Enter a valid date" sqref="N10:P10 O11:Q11 O12:O14 Q12:Q14 O15:Q18 O19 Q19 G10:H20 N20:Q20 G21 P21:Q21 G23:H23 O23 Q23 G25:H25 O25 Q25 O26:Q27 O28 Q28 G27:H30 O29:Q30 G36:H37 O36:Q37 G51:H52 O51:Q52 G53 P53:Q53 G55:H55 O55:Q55 G58:H58 O58:Q63 G60:H64 O64 Q64 H65:H71 G72:H72 M72:O72 Q72 H73 P73 G74 Q74 G75:H75 O75:Q75 G76 P76:Q76 G78:H78 O78:Q78 H83">
      <formula1>OR(NOT(ISERROR(DATEVALUE(G10))), AND(ISNUMBER(G10), LEFT(CELL("format", G10))="D"))</formula1>
    </dataValidation>
    <dataValidation type="list" allowBlank="1" showErrorMessage="1" sqref="R24 R38">
      <formula1>"Elect,DSL"</formula1>
    </dataValidation>
    <dataValidation type="list" allowBlank="1" sqref="J19 J28 J51:J52 J54">
      <formula1>"UR,SC,ST"</formula1>
    </dataValidation>
    <dataValidation type="list" allowBlank="1" sqref="V73">
      <formula1>"YES,NO,DW"</formula1>
    </dataValidation>
    <dataValidation type="list" allowBlank="1" showErrorMessage="1" sqref="J15:J16 J29 J53 J55:J64 J78">
      <formula1>"UR,SC,ST"</formula1>
    </dataValidation>
    <dataValidation type="custom" allowBlank="1" showDropDown="1" showErrorMessage="1" sqref="P12:P14 P19 H21 N21:O21 P23 P25 P28 H53 O53 P64 P72 P74 H76 O76">
      <formula1>OR(NOT(ISERROR(DATEVALUE(H12))), AND(ISNUMBER(H12), LEFT(CELL("format", H12))="D"))</formula1>
    </dataValidation>
  </dataValidations>
  <hyperlinks>
    <hyperlink ref="S2" r:id="rId1"/>
    <hyperlink ref="T2" r:id="rId2"/>
    <hyperlink ref="T11" r:id="rId3"/>
    <hyperlink ref="U11" r:id="rId4"/>
    <hyperlink ref="T12" r:id="rId5"/>
    <hyperlink ref="U12" r:id="rId6"/>
    <hyperlink ref="T13" r:id="rId7"/>
    <hyperlink ref="U13" r:id="rId8"/>
    <hyperlink ref="T14" r:id="rId9"/>
    <hyperlink ref="U14" r:id="rId10"/>
    <hyperlink ref="T15" r:id="rId11"/>
    <hyperlink ref="U15" r:id="rId12"/>
    <hyperlink ref="S16" r:id="rId13"/>
    <hyperlink ref="T16" r:id="rId14"/>
    <hyperlink ref="U17" r:id="rId15"/>
    <hyperlink ref="U18" r:id="rId16"/>
    <hyperlink ref="T19" r:id="rId17"/>
    <hyperlink ref="U19" r:id="rId18"/>
    <hyperlink ref="T20" r:id="rId19"/>
    <hyperlink ref="U21" r:id="rId20"/>
    <hyperlink ref="T23" r:id="rId21"/>
    <hyperlink ref="U23" r:id="rId22"/>
    <hyperlink ref="U24" r:id="rId23"/>
    <hyperlink ref="V24" r:id="rId24"/>
    <hyperlink ref="T25" r:id="rId25"/>
    <hyperlink ref="T27" r:id="rId26"/>
    <hyperlink ref="U27" r:id="rId27"/>
    <hyperlink ref="T28" r:id="rId28"/>
    <hyperlink ref="U28" r:id="rId29"/>
    <hyperlink ref="S29" r:id="rId30"/>
    <hyperlink ref="T29" r:id="rId31"/>
    <hyperlink ref="AB29" r:id="rId32"/>
    <hyperlink ref="T30" r:id="rId33"/>
    <hyperlink ref="U30" r:id="rId34"/>
    <hyperlink ref="T36" r:id="rId35"/>
    <hyperlink ref="U36" r:id="rId36"/>
    <hyperlink ref="T37" r:id="rId37"/>
    <hyperlink ref="U37" r:id="rId38"/>
    <hyperlink ref="T51" r:id="rId39"/>
    <hyperlink ref="S52" r:id="rId40"/>
    <hyperlink ref="T52" r:id="rId41"/>
    <hyperlink ref="U52" r:id="rId42"/>
    <hyperlink ref="T53" r:id="rId43"/>
    <hyperlink ref="U53" r:id="rId44"/>
    <hyperlink ref="T55" r:id="rId45"/>
    <hyperlink ref="U55" r:id="rId46"/>
    <hyperlink ref="T58" r:id="rId47"/>
    <hyperlink ref="U58" r:id="rId48"/>
    <hyperlink ref="T60" r:id="rId49"/>
    <hyperlink ref="U60" r:id="rId50"/>
    <hyperlink ref="T61" r:id="rId51"/>
    <hyperlink ref="U61" r:id="rId52"/>
    <hyperlink ref="T62" r:id="rId53"/>
    <hyperlink ref="U62" r:id="rId54"/>
    <hyperlink ref="T64" r:id="rId55"/>
    <hyperlink ref="U64" r:id="rId56"/>
    <hyperlink ref="T72" r:id="rId57"/>
    <hyperlink ref="U72" r:id="rId58"/>
    <hyperlink ref="T73" r:id="rId59"/>
    <hyperlink ref="T74" r:id="rId60"/>
    <hyperlink ref="T75" r:id="rId61"/>
    <hyperlink ref="U75" r:id="rId62"/>
    <hyperlink ref="AA75" r:id="rId63"/>
    <hyperlink ref="U76" r:id="rId64"/>
    <hyperlink ref="U77" r:id="rId65"/>
    <hyperlink ref="T78" r:id="rId66"/>
    <hyperlink ref="U78" r:id="rId67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M1292"/>
  <sheetViews>
    <sheetView workbookViewId="0"/>
  </sheetViews>
  <sheetFormatPr defaultColWidth="14.42578125" defaultRowHeight="15" customHeight="1"/>
  <cols>
    <col min="1" max="1" width="7.42578125" customWidth="1"/>
    <col min="2" max="2" width="25.42578125" customWidth="1"/>
    <col min="6" max="6" width="11.140625" customWidth="1"/>
    <col min="7" max="7" width="13.28515625" customWidth="1"/>
    <col min="9" max="9" width="22.140625" customWidth="1"/>
    <col min="10" max="10" width="14.140625" customWidth="1"/>
    <col min="11" max="11" width="13.28515625" customWidth="1"/>
    <col min="12" max="12" width="17.140625" customWidth="1"/>
    <col min="14" max="14" width="19.85546875" customWidth="1"/>
    <col min="15" max="15" width="11.28515625" customWidth="1"/>
  </cols>
  <sheetData>
    <row r="1" spans="1:39">
      <c r="A1" s="651" t="s">
        <v>40</v>
      </c>
      <c r="B1" s="652" t="s">
        <v>674</v>
      </c>
      <c r="C1" s="218" t="s">
        <v>675</v>
      </c>
      <c r="D1" s="652"/>
      <c r="E1" s="652" t="s">
        <v>676</v>
      </c>
      <c r="F1" s="651" t="s">
        <v>677</v>
      </c>
      <c r="G1" s="653" t="s">
        <v>432</v>
      </c>
      <c r="H1" s="654" t="s">
        <v>678</v>
      </c>
      <c r="I1" s="652" t="s">
        <v>679</v>
      </c>
      <c r="J1" s="655" t="s">
        <v>435</v>
      </c>
      <c r="K1" s="655" t="s">
        <v>130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idden="1">
      <c r="A2" s="656">
        <v>1</v>
      </c>
      <c r="B2" s="334" t="s">
        <v>680</v>
      </c>
      <c r="C2" s="327" t="s">
        <v>681</v>
      </c>
      <c r="D2" s="334"/>
      <c r="E2" s="327" t="s">
        <v>682</v>
      </c>
      <c r="F2" s="327" t="s">
        <v>683</v>
      </c>
      <c r="G2" s="657"/>
      <c r="H2" s="328" t="s">
        <v>12</v>
      </c>
      <c r="I2" s="656" t="s">
        <v>684</v>
      </c>
      <c r="J2" s="329">
        <v>24855</v>
      </c>
      <c r="K2" s="329">
        <v>46783</v>
      </c>
    </row>
    <row r="3" spans="1:39" hidden="1">
      <c r="A3" s="656">
        <v>2</v>
      </c>
      <c r="B3" s="334" t="s">
        <v>685</v>
      </c>
      <c r="C3" s="327" t="s">
        <v>686</v>
      </c>
      <c r="D3" s="334"/>
      <c r="E3" s="327" t="s">
        <v>682</v>
      </c>
      <c r="F3" s="327" t="s">
        <v>687</v>
      </c>
      <c r="G3" s="657"/>
      <c r="H3" s="328" t="s">
        <v>12</v>
      </c>
      <c r="I3" s="656" t="s">
        <v>684</v>
      </c>
      <c r="J3" s="329">
        <v>24878</v>
      </c>
      <c r="K3" s="329">
        <v>46811</v>
      </c>
    </row>
    <row r="4" spans="1:39" hidden="1">
      <c r="A4" s="656">
        <v>3</v>
      </c>
      <c r="B4" s="334" t="s">
        <v>688</v>
      </c>
      <c r="C4" s="327" t="s">
        <v>689</v>
      </c>
      <c r="D4" s="334"/>
      <c r="E4" s="327" t="s">
        <v>682</v>
      </c>
      <c r="F4" s="327" t="s">
        <v>690</v>
      </c>
      <c r="G4" s="657"/>
      <c r="H4" s="328" t="s">
        <v>12</v>
      </c>
      <c r="I4" s="656" t="s">
        <v>684</v>
      </c>
      <c r="J4" s="329">
        <v>25204</v>
      </c>
      <c r="K4" s="329">
        <v>47118</v>
      </c>
    </row>
    <row r="5" spans="1:39" hidden="1">
      <c r="A5" s="656">
        <v>4</v>
      </c>
      <c r="B5" s="334" t="s">
        <v>691</v>
      </c>
      <c r="C5" s="327" t="s">
        <v>692</v>
      </c>
      <c r="D5" s="334"/>
      <c r="E5" s="327" t="s">
        <v>682</v>
      </c>
      <c r="F5" s="327" t="s">
        <v>693</v>
      </c>
      <c r="G5" s="657"/>
      <c r="H5" s="328" t="s">
        <v>12</v>
      </c>
      <c r="I5" s="656" t="s">
        <v>684</v>
      </c>
      <c r="J5" s="329">
        <v>25574</v>
      </c>
      <c r="K5" s="329">
        <v>47514</v>
      </c>
    </row>
    <row r="6" spans="1:39" hidden="1">
      <c r="A6" s="656">
        <v>5</v>
      </c>
      <c r="B6" s="334" t="s">
        <v>694</v>
      </c>
      <c r="C6" s="327" t="s">
        <v>689</v>
      </c>
      <c r="D6" s="334"/>
      <c r="E6" s="327" t="s">
        <v>682</v>
      </c>
      <c r="F6" s="327" t="s">
        <v>695</v>
      </c>
      <c r="G6" s="657"/>
      <c r="H6" s="328" t="s">
        <v>12</v>
      </c>
      <c r="I6" s="656" t="s">
        <v>684</v>
      </c>
      <c r="J6" s="329">
        <v>25576</v>
      </c>
      <c r="K6" s="329">
        <v>47514</v>
      </c>
    </row>
    <row r="7" spans="1:39" hidden="1">
      <c r="A7" s="656">
        <v>6</v>
      </c>
      <c r="B7" s="334" t="s">
        <v>696</v>
      </c>
      <c r="C7" s="327" t="s">
        <v>686</v>
      </c>
      <c r="D7" s="334"/>
      <c r="E7" s="327" t="s">
        <v>682</v>
      </c>
      <c r="F7" s="327" t="s">
        <v>697</v>
      </c>
      <c r="G7" s="657"/>
      <c r="H7" s="328" t="s">
        <v>12</v>
      </c>
      <c r="I7" s="656" t="s">
        <v>684</v>
      </c>
      <c r="J7" s="329">
        <v>31616</v>
      </c>
      <c r="K7" s="329">
        <v>53539</v>
      </c>
    </row>
    <row r="8" spans="1:39" hidden="1">
      <c r="A8" s="656">
        <v>7</v>
      </c>
      <c r="B8" s="334" t="s">
        <v>698</v>
      </c>
      <c r="C8" s="656" t="s">
        <v>686</v>
      </c>
      <c r="D8" s="334"/>
      <c r="E8" s="327" t="s">
        <v>682</v>
      </c>
      <c r="F8" s="327" t="s">
        <v>699</v>
      </c>
      <c r="G8" s="657"/>
      <c r="H8" s="328" t="s">
        <v>12</v>
      </c>
      <c r="I8" s="656" t="s">
        <v>684</v>
      </c>
      <c r="J8" s="329">
        <v>35935</v>
      </c>
      <c r="K8" s="329">
        <v>57861</v>
      </c>
      <c r="R8" s="197"/>
      <c r="S8" s="658"/>
    </row>
    <row r="9" spans="1:39" ht="15.75" hidden="1">
      <c r="A9" s="656">
        <v>12</v>
      </c>
      <c r="B9" s="659" t="s">
        <v>700</v>
      </c>
      <c r="C9" s="525" t="s">
        <v>681</v>
      </c>
      <c r="D9" s="660"/>
      <c r="E9" s="327" t="s">
        <v>682</v>
      </c>
      <c r="F9" s="327" t="s">
        <v>701</v>
      </c>
      <c r="G9" s="661">
        <v>50205400156</v>
      </c>
      <c r="H9" s="662" t="s">
        <v>253</v>
      </c>
      <c r="I9" s="663" t="s">
        <v>702</v>
      </c>
      <c r="J9" s="329">
        <v>24515</v>
      </c>
      <c r="K9" s="329">
        <v>46446</v>
      </c>
    </row>
    <row r="10" spans="1:39" ht="15.75" hidden="1">
      <c r="A10" s="656">
        <v>13</v>
      </c>
      <c r="B10" s="659" t="s">
        <v>703</v>
      </c>
      <c r="C10" s="525" t="s">
        <v>681</v>
      </c>
      <c r="D10" s="660"/>
      <c r="E10" s="327" t="s">
        <v>682</v>
      </c>
      <c r="F10" s="327" t="s">
        <v>704</v>
      </c>
      <c r="G10" s="661">
        <v>50205400144</v>
      </c>
      <c r="H10" s="662" t="s">
        <v>253</v>
      </c>
      <c r="I10" s="663" t="s">
        <v>702</v>
      </c>
      <c r="J10" s="329">
        <v>25712</v>
      </c>
      <c r="K10" s="329">
        <v>47634</v>
      </c>
    </row>
    <row r="11" spans="1:39" ht="15.75" hidden="1">
      <c r="A11" s="656">
        <v>14</v>
      </c>
      <c r="B11" s="659" t="s">
        <v>705</v>
      </c>
      <c r="C11" s="327" t="s">
        <v>686</v>
      </c>
      <c r="D11" s="334"/>
      <c r="E11" s="327" t="s">
        <v>682</v>
      </c>
      <c r="F11" s="327" t="s">
        <v>706</v>
      </c>
      <c r="G11" s="661">
        <v>51101470281</v>
      </c>
      <c r="H11" s="662" t="s">
        <v>253</v>
      </c>
      <c r="I11" s="663" t="s">
        <v>702</v>
      </c>
      <c r="J11" s="329">
        <v>25934</v>
      </c>
      <c r="K11" s="329">
        <v>47848</v>
      </c>
    </row>
    <row r="12" spans="1:39" ht="15.75" hidden="1">
      <c r="A12" s="656">
        <v>15</v>
      </c>
      <c r="B12" s="659" t="s">
        <v>707</v>
      </c>
      <c r="C12" s="327" t="s">
        <v>689</v>
      </c>
      <c r="D12" s="334"/>
      <c r="E12" s="327" t="s">
        <v>682</v>
      </c>
      <c r="F12" s="327" t="s">
        <v>708</v>
      </c>
      <c r="G12" s="661">
        <v>50205407114</v>
      </c>
      <c r="H12" s="662" t="s">
        <v>253</v>
      </c>
      <c r="I12" s="663" t="s">
        <v>702</v>
      </c>
      <c r="J12" s="329">
        <v>26104</v>
      </c>
      <c r="K12" s="329">
        <v>48029</v>
      </c>
    </row>
    <row r="13" spans="1:39" ht="15.75" hidden="1">
      <c r="A13" s="656">
        <v>16</v>
      </c>
      <c r="B13" s="659" t="s">
        <v>709</v>
      </c>
      <c r="C13" s="664" t="s">
        <v>710</v>
      </c>
      <c r="D13" s="659"/>
      <c r="E13" s="327" t="s">
        <v>682</v>
      </c>
      <c r="F13" s="327" t="s">
        <v>711</v>
      </c>
      <c r="G13" s="661" t="s">
        <v>712</v>
      </c>
      <c r="H13" s="662" t="s">
        <v>253</v>
      </c>
      <c r="I13" s="663" t="s">
        <v>702</v>
      </c>
      <c r="J13" s="329">
        <v>28564</v>
      </c>
      <c r="K13" s="329">
        <v>50495</v>
      </c>
    </row>
    <row r="14" spans="1:39" ht="15.75" hidden="1">
      <c r="A14" s="656">
        <v>17</v>
      </c>
      <c r="B14" s="659" t="s">
        <v>713</v>
      </c>
      <c r="C14" s="327" t="s">
        <v>686</v>
      </c>
      <c r="D14" s="334"/>
      <c r="E14" s="327" t="s">
        <v>682</v>
      </c>
      <c r="F14" s="327" t="s">
        <v>714</v>
      </c>
      <c r="G14" s="661">
        <v>50200021570</v>
      </c>
      <c r="H14" s="662" t="s">
        <v>315</v>
      </c>
      <c r="I14" s="663" t="s">
        <v>702</v>
      </c>
      <c r="J14" s="329">
        <v>28783</v>
      </c>
      <c r="K14" s="329">
        <v>50709</v>
      </c>
    </row>
    <row r="15" spans="1:39" ht="15.75" hidden="1">
      <c r="A15" s="656">
        <v>18</v>
      </c>
      <c r="B15" s="659" t="s">
        <v>715</v>
      </c>
      <c r="C15" s="327" t="s">
        <v>686</v>
      </c>
      <c r="D15" s="334"/>
      <c r="E15" s="327" t="s">
        <v>682</v>
      </c>
      <c r="F15" s="327" t="s">
        <v>716</v>
      </c>
      <c r="G15" s="661">
        <v>50205555632</v>
      </c>
      <c r="H15" s="665" t="s">
        <v>12</v>
      </c>
      <c r="I15" s="666" t="s">
        <v>684</v>
      </c>
      <c r="J15" s="329">
        <v>30348</v>
      </c>
      <c r="K15" s="329">
        <v>52262</v>
      </c>
      <c r="Q15" s="667"/>
    </row>
    <row r="16" spans="1:39" ht="15.75" hidden="1">
      <c r="A16" s="656">
        <v>19</v>
      </c>
      <c r="B16" s="659" t="s">
        <v>717</v>
      </c>
      <c r="C16" s="327" t="s">
        <v>686</v>
      </c>
      <c r="D16" s="334"/>
      <c r="E16" s="327" t="s">
        <v>682</v>
      </c>
      <c r="F16" s="327" t="s">
        <v>718</v>
      </c>
      <c r="G16" s="661">
        <v>50205607474</v>
      </c>
      <c r="H16" s="662" t="s">
        <v>253</v>
      </c>
      <c r="I16" s="663" t="s">
        <v>702</v>
      </c>
      <c r="J16" s="329">
        <v>31405</v>
      </c>
      <c r="K16" s="329">
        <v>53327</v>
      </c>
    </row>
    <row r="17" spans="1:39" hidden="1">
      <c r="A17" s="656">
        <v>21</v>
      </c>
      <c r="B17" s="668" t="s">
        <v>719</v>
      </c>
      <c r="C17" s="669" t="s">
        <v>686</v>
      </c>
      <c r="D17" s="670"/>
      <c r="E17" s="327" t="s">
        <v>682</v>
      </c>
      <c r="F17" s="327" t="s">
        <v>720</v>
      </c>
      <c r="G17" s="671">
        <v>50205420301</v>
      </c>
      <c r="H17" s="665" t="s">
        <v>12</v>
      </c>
      <c r="I17" s="663" t="s">
        <v>578</v>
      </c>
      <c r="J17" s="329">
        <v>27628</v>
      </c>
      <c r="K17" s="329">
        <v>49552</v>
      </c>
      <c r="L17" s="79"/>
      <c r="M17" s="79"/>
    </row>
    <row r="18" spans="1:39" hidden="1">
      <c r="A18" s="656">
        <v>22</v>
      </c>
      <c r="B18" s="668" t="s">
        <v>721</v>
      </c>
      <c r="C18" s="656" t="s">
        <v>689</v>
      </c>
      <c r="D18" s="335"/>
      <c r="E18" s="327" t="s">
        <v>682</v>
      </c>
      <c r="F18" s="327" t="s">
        <v>722</v>
      </c>
      <c r="G18" s="671">
        <v>50209843309</v>
      </c>
      <c r="H18" s="662" t="s">
        <v>315</v>
      </c>
      <c r="I18" s="663" t="s">
        <v>578</v>
      </c>
      <c r="J18" s="329">
        <v>27822</v>
      </c>
      <c r="K18" s="329">
        <v>49765</v>
      </c>
      <c r="L18" s="79"/>
      <c r="M18" s="79"/>
    </row>
    <row r="19" spans="1:39" hidden="1">
      <c r="A19" s="656">
        <v>23</v>
      </c>
      <c r="B19" s="668" t="s">
        <v>723</v>
      </c>
      <c r="C19" s="672" t="s">
        <v>681</v>
      </c>
      <c r="D19" s="673"/>
      <c r="E19" s="327" t="s">
        <v>682</v>
      </c>
      <c r="F19" s="327" t="s">
        <v>724</v>
      </c>
      <c r="G19" s="671">
        <v>50202563235</v>
      </c>
      <c r="H19" s="662" t="s">
        <v>315</v>
      </c>
      <c r="I19" s="663" t="s">
        <v>578</v>
      </c>
      <c r="J19" s="329">
        <v>28574</v>
      </c>
      <c r="K19" s="329">
        <v>50495</v>
      </c>
      <c r="L19" s="79"/>
      <c r="M19" s="79"/>
    </row>
    <row r="20" spans="1:39" hidden="1">
      <c r="A20" s="656">
        <v>24</v>
      </c>
      <c r="B20" s="668" t="s">
        <v>725</v>
      </c>
      <c r="C20" s="669" t="s">
        <v>726</v>
      </c>
      <c r="D20" s="670"/>
      <c r="E20" s="327" t="s">
        <v>682</v>
      </c>
      <c r="F20" s="327" t="s">
        <v>727</v>
      </c>
      <c r="G20" s="671">
        <v>50200116397</v>
      </c>
      <c r="H20" s="662" t="s">
        <v>315</v>
      </c>
      <c r="I20" s="663" t="s">
        <v>578</v>
      </c>
      <c r="J20" s="329">
        <v>30416</v>
      </c>
      <c r="K20" s="329">
        <v>52351</v>
      </c>
      <c r="L20" s="79"/>
      <c r="M20" s="79"/>
    </row>
    <row r="21" spans="1:39" hidden="1">
      <c r="A21" s="656">
        <v>25</v>
      </c>
      <c r="B21" s="668" t="s">
        <v>728</v>
      </c>
      <c r="C21" s="669" t="s">
        <v>729</v>
      </c>
      <c r="D21" s="670"/>
      <c r="E21" s="327" t="s">
        <v>682</v>
      </c>
      <c r="F21" s="327" t="s">
        <v>730</v>
      </c>
      <c r="G21" s="671" t="s">
        <v>731</v>
      </c>
      <c r="H21" s="662" t="s">
        <v>315</v>
      </c>
      <c r="I21" s="663" t="s">
        <v>578</v>
      </c>
      <c r="J21" s="329">
        <v>30512</v>
      </c>
      <c r="K21" s="329">
        <v>52443</v>
      </c>
      <c r="L21" s="79"/>
      <c r="M21" s="79"/>
    </row>
    <row r="22" spans="1:39" ht="15.75" hidden="1" customHeight="1">
      <c r="A22" s="656">
        <v>26</v>
      </c>
      <c r="B22" s="276" t="s">
        <v>732</v>
      </c>
      <c r="C22" s="18" t="s">
        <v>686</v>
      </c>
      <c r="D22" s="286"/>
      <c r="E22" s="327" t="s">
        <v>682</v>
      </c>
      <c r="F22" s="674" t="s">
        <v>733</v>
      </c>
      <c r="G22" s="675">
        <v>50200101382</v>
      </c>
      <c r="H22" s="665" t="s">
        <v>11</v>
      </c>
      <c r="I22" s="663" t="s">
        <v>702</v>
      </c>
      <c r="J22" s="278">
        <v>29670</v>
      </c>
      <c r="K22" s="315">
        <v>51591</v>
      </c>
      <c r="L22" s="79"/>
      <c r="M22" s="79"/>
      <c r="R22" s="676"/>
      <c r="S22" s="285"/>
      <c r="T22" s="285"/>
      <c r="U22" s="318" t="s">
        <v>734</v>
      </c>
      <c r="V22" s="318" t="s">
        <v>735</v>
      </c>
      <c r="W22" s="285">
        <f t="shared" ref="W22:W24" si="0">LEN(G22)</f>
        <v>11</v>
      </c>
      <c r="X22" s="3"/>
      <c r="Y22" s="3"/>
      <c r="Z22" s="3"/>
      <c r="AA22" s="79"/>
      <c r="AB22" s="79"/>
    </row>
    <row r="23" spans="1:39" ht="15.75" hidden="1" customHeight="1">
      <c r="A23" s="656">
        <v>27</v>
      </c>
      <c r="B23" s="305" t="s">
        <v>736</v>
      </c>
      <c r="C23" s="18" t="s">
        <v>686</v>
      </c>
      <c r="D23" s="286"/>
      <c r="E23" s="656" t="s">
        <v>682</v>
      </c>
      <c r="F23" s="674" t="s">
        <v>737</v>
      </c>
      <c r="G23" s="677">
        <v>50205602531</v>
      </c>
      <c r="H23" s="662" t="s">
        <v>253</v>
      </c>
      <c r="I23" s="663" t="s">
        <v>702</v>
      </c>
      <c r="J23" s="278">
        <v>30202</v>
      </c>
      <c r="K23" s="315">
        <v>52139</v>
      </c>
      <c r="L23" s="307"/>
      <c r="M23" s="79"/>
      <c r="Q23" s="678"/>
      <c r="R23" s="679"/>
      <c r="S23" s="425"/>
      <c r="T23" s="425"/>
      <c r="U23" s="339" t="s">
        <v>738</v>
      </c>
      <c r="V23" s="339" t="s">
        <v>738</v>
      </c>
      <c r="W23" s="425">
        <f t="shared" si="0"/>
        <v>11</v>
      </c>
      <c r="X23" s="90"/>
      <c r="Y23" s="90"/>
      <c r="Z23" s="90"/>
      <c r="AC23" s="311"/>
      <c r="AD23" s="311"/>
      <c r="AE23" s="311"/>
      <c r="AF23" s="311"/>
      <c r="AG23" s="311"/>
      <c r="AH23" s="311"/>
    </row>
    <row r="24" spans="1:39" hidden="1">
      <c r="A24" s="656">
        <v>28</v>
      </c>
      <c r="B24" s="351" t="s">
        <v>739</v>
      </c>
      <c r="C24" s="669" t="s">
        <v>729</v>
      </c>
      <c r="D24" s="670"/>
      <c r="E24" s="656" t="s">
        <v>682</v>
      </c>
      <c r="F24" s="475" t="s">
        <v>740</v>
      </c>
      <c r="G24" s="680">
        <v>27329803617</v>
      </c>
      <c r="H24" s="665" t="s">
        <v>12</v>
      </c>
      <c r="I24" s="656" t="s">
        <v>684</v>
      </c>
      <c r="J24" s="272">
        <v>32147</v>
      </c>
      <c r="K24" s="272">
        <v>54088</v>
      </c>
      <c r="L24" s="275" t="s">
        <v>315</v>
      </c>
      <c r="M24" s="293" t="s">
        <v>93</v>
      </c>
      <c r="P24" s="277">
        <v>44255</v>
      </c>
      <c r="Q24" s="272">
        <v>45064</v>
      </c>
      <c r="R24" s="302">
        <v>45111</v>
      </c>
      <c r="S24" s="321" t="s">
        <v>741</v>
      </c>
      <c r="T24" s="280"/>
      <c r="U24" s="280"/>
      <c r="V24" s="280"/>
      <c r="W24" s="79">
        <f t="shared" si="0"/>
        <v>11</v>
      </c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</row>
    <row r="25" spans="1:39" hidden="1">
      <c r="A25" s="656">
        <v>29</v>
      </c>
      <c r="B25" s="335" t="s">
        <v>742</v>
      </c>
      <c r="C25" s="669" t="s">
        <v>729</v>
      </c>
      <c r="D25" s="670"/>
      <c r="E25" s="656" t="s">
        <v>682</v>
      </c>
      <c r="F25" s="681" t="s">
        <v>743</v>
      </c>
      <c r="G25" s="682"/>
      <c r="H25" s="665" t="s">
        <v>290</v>
      </c>
      <c r="I25" s="656" t="s">
        <v>684</v>
      </c>
      <c r="J25" s="315">
        <v>30910</v>
      </c>
      <c r="K25" s="315">
        <v>52840</v>
      </c>
      <c r="L25" s="79"/>
      <c r="M25" s="79"/>
    </row>
    <row r="26" spans="1:39" hidden="1">
      <c r="A26" s="656">
        <v>30</v>
      </c>
      <c r="B26" s="335" t="s">
        <v>744</v>
      </c>
      <c r="C26" s="656" t="s">
        <v>745</v>
      </c>
      <c r="D26" s="335"/>
      <c r="E26" s="656" t="s">
        <v>682</v>
      </c>
      <c r="F26" s="656" t="s">
        <v>746</v>
      </c>
      <c r="G26" s="682"/>
      <c r="H26" s="656" t="s">
        <v>12</v>
      </c>
      <c r="I26" s="656" t="s">
        <v>684</v>
      </c>
      <c r="J26" s="326">
        <v>35402</v>
      </c>
      <c r="K26" s="326">
        <v>57345</v>
      </c>
      <c r="L26" s="79"/>
      <c r="M26" s="79"/>
    </row>
    <row r="27" spans="1:39" ht="15.75" hidden="1" customHeight="1">
      <c r="A27" s="656">
        <v>31</v>
      </c>
      <c r="B27" s="276" t="s">
        <v>747</v>
      </c>
      <c r="C27" s="18" t="s">
        <v>686</v>
      </c>
      <c r="D27" s="286"/>
      <c r="E27" s="656" t="s">
        <v>682</v>
      </c>
      <c r="F27" s="683" t="s">
        <v>748</v>
      </c>
      <c r="G27" s="677">
        <v>50205522602</v>
      </c>
      <c r="H27" s="656" t="s">
        <v>12</v>
      </c>
      <c r="I27" s="307"/>
      <c r="J27" s="278">
        <v>29502</v>
      </c>
      <c r="K27" s="315">
        <v>51440</v>
      </c>
      <c r="L27" s="307" t="s">
        <v>253</v>
      </c>
      <c r="M27" s="275" t="s">
        <v>43</v>
      </c>
      <c r="P27" s="315"/>
      <c r="Q27" s="279">
        <v>45204</v>
      </c>
      <c r="R27" s="316">
        <v>45412</v>
      </c>
      <c r="S27" s="285"/>
      <c r="T27" s="318" t="s">
        <v>749</v>
      </c>
      <c r="U27" s="285"/>
      <c r="V27" s="285"/>
      <c r="W27" s="285"/>
      <c r="X27" s="3"/>
      <c r="Y27" s="18" t="s">
        <v>750</v>
      </c>
      <c r="Z27" s="3"/>
      <c r="AA27" s="79"/>
      <c r="AB27" s="79"/>
      <c r="AC27" s="311">
        <f t="shared" ref="AC27:AC28" ca="1" si="1">INT((TODAY()-J27)/365)</f>
        <v>45</v>
      </c>
    </row>
    <row r="28" spans="1:39" ht="15.75" hidden="1" customHeight="1">
      <c r="A28" s="656">
        <v>32</v>
      </c>
      <c r="B28" s="276" t="s">
        <v>751</v>
      </c>
      <c r="C28" s="669" t="s">
        <v>729</v>
      </c>
      <c r="D28" s="670"/>
      <c r="E28" s="656" t="s">
        <v>682</v>
      </c>
      <c r="F28" s="620" t="s">
        <v>752</v>
      </c>
      <c r="G28" s="677">
        <v>50205618411</v>
      </c>
      <c r="H28" s="662" t="s">
        <v>315</v>
      </c>
      <c r="I28" s="307"/>
      <c r="J28" s="315">
        <v>31100</v>
      </c>
      <c r="K28" s="315">
        <v>53021</v>
      </c>
      <c r="L28" s="307" t="s">
        <v>253</v>
      </c>
      <c r="M28" s="274" t="s">
        <v>103</v>
      </c>
      <c r="P28" s="315"/>
      <c r="Q28" s="279">
        <v>45531</v>
      </c>
      <c r="R28" s="302">
        <v>45506</v>
      </c>
      <c r="S28" s="318" t="s">
        <v>753</v>
      </c>
      <c r="T28" s="285"/>
      <c r="U28" s="285"/>
      <c r="V28" s="285"/>
      <c r="W28" s="285"/>
      <c r="X28" s="3"/>
      <c r="Y28" s="3"/>
      <c r="Z28" s="3"/>
      <c r="AA28" s="79"/>
      <c r="AB28" s="79"/>
      <c r="AC28" s="311">
        <f t="shared" ca="1" si="1"/>
        <v>41</v>
      </c>
    </row>
    <row r="29" spans="1:39" ht="15.75" hidden="1" customHeight="1">
      <c r="A29" s="656">
        <v>33</v>
      </c>
      <c r="B29" s="305" t="s">
        <v>754</v>
      </c>
      <c r="C29" s="18" t="s">
        <v>755</v>
      </c>
      <c r="D29" s="286"/>
      <c r="E29" s="656" t="s">
        <v>682</v>
      </c>
      <c r="F29" s="303" t="s">
        <v>756</v>
      </c>
      <c r="G29" s="684">
        <v>3329805405</v>
      </c>
      <c r="H29" s="662" t="s">
        <v>315</v>
      </c>
      <c r="I29" s="685"/>
      <c r="J29" s="278"/>
      <c r="K29" s="278"/>
      <c r="L29" s="307"/>
      <c r="M29" s="307"/>
      <c r="N29" s="645"/>
      <c r="O29" s="686"/>
      <c r="P29" s="278"/>
      <c r="S29" s="687"/>
      <c r="T29" s="302"/>
      <c r="U29" s="338"/>
      <c r="V29" s="285"/>
      <c r="W29" s="441"/>
      <c r="X29" s="441"/>
      <c r="Y29" s="425"/>
      <c r="Z29" s="90"/>
      <c r="AA29" s="90"/>
      <c r="AB29" s="90"/>
      <c r="AE29" s="311"/>
    </row>
    <row r="30" spans="1:39" ht="15.75" hidden="1" customHeight="1">
      <c r="A30" s="656">
        <v>34</v>
      </c>
      <c r="B30" s="276" t="s">
        <v>757</v>
      </c>
      <c r="C30" s="18" t="s">
        <v>686</v>
      </c>
      <c r="D30" s="286"/>
      <c r="E30" s="656" t="s">
        <v>682</v>
      </c>
      <c r="F30" s="303" t="s">
        <v>758</v>
      </c>
      <c r="G30" s="675">
        <v>50205421007</v>
      </c>
      <c r="H30" s="662" t="s">
        <v>253</v>
      </c>
      <c r="I30" s="685" t="s">
        <v>759</v>
      </c>
      <c r="J30" s="278">
        <v>24563</v>
      </c>
      <c r="K30" s="278">
        <v>46477</v>
      </c>
      <c r="L30" s="307">
        <v>9002071850</v>
      </c>
      <c r="M30" s="307"/>
      <c r="N30" s="307" t="s">
        <v>253</v>
      </c>
      <c r="O30" s="274" t="s">
        <v>108</v>
      </c>
      <c r="P30" s="278">
        <v>24563</v>
      </c>
      <c r="S30" s="687">
        <v>45212</v>
      </c>
      <c r="T30" s="302">
        <v>45169</v>
      </c>
      <c r="U30" s="338"/>
      <c r="V30" s="285"/>
      <c r="W30" s="339" t="s">
        <v>760</v>
      </c>
      <c r="X30" s="339" t="s">
        <v>760</v>
      </c>
      <c r="Y30" s="425">
        <f t="shared" ref="Y30:Y31" si="2">LEN(G30)</f>
        <v>11</v>
      </c>
      <c r="Z30" s="90"/>
      <c r="AA30" s="90"/>
      <c r="AB30" s="90"/>
      <c r="AE30" s="311">
        <f ca="1">INT((TODAY()-P30)/365)</f>
        <v>59</v>
      </c>
    </row>
    <row r="31" spans="1:39" ht="15.75" hidden="1" customHeight="1">
      <c r="A31" s="656">
        <v>35</v>
      </c>
      <c r="B31" s="688" t="s">
        <v>761</v>
      </c>
      <c r="C31" s="18" t="s">
        <v>729</v>
      </c>
      <c r="D31" s="286"/>
      <c r="E31" s="656" t="s">
        <v>682</v>
      </c>
      <c r="F31" s="274" t="s">
        <v>762</v>
      </c>
      <c r="G31" s="689">
        <v>50205677877</v>
      </c>
      <c r="H31" s="18" t="s">
        <v>12</v>
      </c>
      <c r="I31" s="656" t="s">
        <v>684</v>
      </c>
      <c r="J31" s="272">
        <v>34360</v>
      </c>
      <c r="K31" s="272">
        <v>56280</v>
      </c>
      <c r="L31" s="275">
        <v>8981931327</v>
      </c>
      <c r="M31" s="690"/>
      <c r="N31" s="274" t="s">
        <v>253</v>
      </c>
      <c r="O31" s="275" t="s">
        <v>610</v>
      </c>
      <c r="R31" s="272">
        <v>45122</v>
      </c>
      <c r="S31" s="279">
        <v>46020</v>
      </c>
      <c r="T31" s="279">
        <v>45948</v>
      </c>
      <c r="U31" s="603" t="s">
        <v>763</v>
      </c>
      <c r="V31" s="485"/>
      <c r="W31" s="280"/>
      <c r="X31" s="485"/>
      <c r="Y31" s="382">
        <f t="shared" si="2"/>
        <v>11</v>
      </c>
      <c r="Z31" s="311"/>
      <c r="AA31" s="208">
        <f ca="1">INT((TODAY()-J31)/365)</f>
        <v>32</v>
      </c>
      <c r="AB31" s="311"/>
      <c r="AC31" s="311"/>
      <c r="AD31" s="311"/>
      <c r="AE31" s="311"/>
    </row>
    <row r="32" spans="1:39" hidden="1">
      <c r="A32" s="656">
        <v>36</v>
      </c>
      <c r="B32" s="691" t="s">
        <v>764</v>
      </c>
      <c r="C32" s="18" t="s">
        <v>729</v>
      </c>
      <c r="D32" s="79"/>
      <c r="E32" s="656" t="s">
        <v>682</v>
      </c>
      <c r="F32" s="692" t="s">
        <v>765</v>
      </c>
      <c r="G32" s="693">
        <v>50714403357</v>
      </c>
      <c r="H32" s="520" t="s">
        <v>766</v>
      </c>
      <c r="I32" s="499">
        <v>8101384513</v>
      </c>
      <c r="J32" s="512">
        <v>29042</v>
      </c>
      <c r="K32" s="512">
        <v>50982</v>
      </c>
      <c r="L32" s="484" t="s">
        <v>55</v>
      </c>
      <c r="M32" s="79"/>
      <c r="O32" s="512">
        <v>45286</v>
      </c>
      <c r="P32" s="498">
        <v>45653</v>
      </c>
      <c r="Q32" s="694">
        <v>45605</v>
      </c>
      <c r="R32" s="516" t="s">
        <v>767</v>
      </c>
      <c r="S32" s="515"/>
      <c r="T32" s="695"/>
      <c r="U32" s="515"/>
      <c r="V32" s="515"/>
      <c r="W32" s="696"/>
      <c r="X32" s="696"/>
      <c r="Y32" s="696"/>
      <c r="Z32" s="145"/>
      <c r="AA32" s="145"/>
      <c r="AB32" s="508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</row>
    <row r="33" spans="1:39" hidden="1">
      <c r="A33" s="656">
        <v>37</v>
      </c>
      <c r="B33" s="335" t="s">
        <v>768</v>
      </c>
      <c r="C33" s="656" t="s">
        <v>769</v>
      </c>
      <c r="D33" s="334"/>
      <c r="E33" s="656" t="s">
        <v>682</v>
      </c>
      <c r="F33" s="656" t="s">
        <v>770</v>
      </c>
      <c r="G33" s="656">
        <v>6329807603</v>
      </c>
      <c r="H33" s="662" t="s">
        <v>253</v>
      </c>
      <c r="I33" s="656">
        <v>8292112323</v>
      </c>
      <c r="J33" s="440">
        <v>36196</v>
      </c>
      <c r="K33" s="440">
        <v>58134</v>
      </c>
      <c r="L33" s="334"/>
      <c r="M33" s="334"/>
      <c r="N33" s="199"/>
    </row>
    <row r="34" spans="1:39" ht="15.75" hidden="1" customHeight="1">
      <c r="A34" s="656">
        <v>38</v>
      </c>
      <c r="B34" s="287" t="s">
        <v>771</v>
      </c>
      <c r="C34" s="18" t="s">
        <v>686</v>
      </c>
      <c r="D34" s="79"/>
      <c r="E34" s="656" t="s">
        <v>682</v>
      </c>
      <c r="F34" s="499" t="s">
        <v>772</v>
      </c>
      <c r="G34" s="304">
        <v>50209776254</v>
      </c>
      <c r="H34" s="662" t="s">
        <v>253</v>
      </c>
      <c r="I34" s="496">
        <v>9002071699</v>
      </c>
      <c r="J34" s="498">
        <v>27081</v>
      </c>
      <c r="K34" s="498">
        <v>49003</v>
      </c>
      <c r="L34" s="484" t="s">
        <v>54</v>
      </c>
      <c r="M34" s="79"/>
      <c r="O34" s="498">
        <v>45457</v>
      </c>
      <c r="P34" s="511">
        <v>45499</v>
      </c>
      <c r="Q34" s="511">
        <v>45186</v>
      </c>
      <c r="R34" s="504"/>
      <c r="S34" s="506" t="s">
        <v>773</v>
      </c>
      <c r="T34" s="506" t="s">
        <v>774</v>
      </c>
      <c r="U34" s="505"/>
      <c r="V34" s="505">
        <f>LEN(G34)</f>
        <v>11</v>
      </c>
      <c r="W34" s="508"/>
      <c r="X34" s="208">
        <f ca="1">INT((TODAY()-J34)/365)</f>
        <v>52</v>
      </c>
      <c r="Y34" s="696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</row>
    <row r="35" spans="1:39" ht="15.75" hidden="1" customHeight="1">
      <c r="A35" s="697">
        <v>39</v>
      </c>
      <c r="B35" s="287" t="s">
        <v>775</v>
      </c>
      <c r="C35" s="18" t="s">
        <v>686</v>
      </c>
      <c r="D35" s="79"/>
      <c r="E35" s="656" t="s">
        <v>682</v>
      </c>
      <c r="F35" s="698" t="s">
        <v>776</v>
      </c>
      <c r="G35" s="520">
        <v>50205616300</v>
      </c>
      <c r="H35" s="662" t="s">
        <v>315</v>
      </c>
      <c r="I35" s="547">
        <v>9836211132</v>
      </c>
      <c r="J35" s="498">
        <v>28202</v>
      </c>
      <c r="K35" s="498">
        <v>50130</v>
      </c>
      <c r="L35" s="699" t="s">
        <v>64</v>
      </c>
      <c r="M35" s="79"/>
      <c r="O35" s="498">
        <v>45373</v>
      </c>
      <c r="P35" s="503">
        <v>45552</v>
      </c>
      <c r="Q35" s="512">
        <v>45468</v>
      </c>
      <c r="R35" s="505"/>
      <c r="S35" s="505"/>
      <c r="T35" s="506" t="s">
        <v>777</v>
      </c>
      <c r="U35" s="505"/>
      <c r="V35" s="505">
        <f>LEN(TEXT(G35,0))</f>
        <v>11</v>
      </c>
      <c r="W35" s="208">
        <f ca="1">INT((TODAY()-J35)/365)</f>
        <v>49</v>
      </c>
      <c r="X35" s="508"/>
      <c r="Y35" s="700"/>
      <c r="Z35" s="700"/>
      <c r="AA35" s="700"/>
      <c r="AB35" s="508">
        <f ca="1">INT((TODAY()-J35)/365)</f>
        <v>49</v>
      </c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</row>
    <row r="36" spans="1:39" ht="15.75" hidden="1" customHeight="1">
      <c r="A36" s="656">
        <v>40</v>
      </c>
      <c r="B36" s="293" t="s">
        <v>778</v>
      </c>
      <c r="C36" s="303" t="s">
        <v>686</v>
      </c>
      <c r="D36" s="79"/>
      <c r="E36" s="656" t="s">
        <v>682</v>
      </c>
      <c r="F36" s="274" t="s">
        <v>779</v>
      </c>
      <c r="G36" s="304" t="s">
        <v>780</v>
      </c>
      <c r="H36" s="274" t="s">
        <v>77</v>
      </c>
      <c r="I36" s="275">
        <v>7029311688</v>
      </c>
      <c r="J36" s="272">
        <v>29263</v>
      </c>
      <c r="K36" s="272">
        <v>51195</v>
      </c>
      <c r="L36" s="275" t="s">
        <v>261</v>
      </c>
      <c r="M36" s="274" t="s">
        <v>256</v>
      </c>
      <c r="P36" s="424">
        <v>45440</v>
      </c>
      <c r="Q36" s="424">
        <v>45305</v>
      </c>
      <c r="R36" s="387">
        <v>45284</v>
      </c>
      <c r="S36" s="701" t="s">
        <v>781</v>
      </c>
      <c r="T36" s="310" t="s">
        <v>782</v>
      </c>
      <c r="U36" s="310" t="s">
        <v>783</v>
      </c>
      <c r="V36" s="485"/>
      <c r="W36" s="311">
        <f>LEN(G36)</f>
        <v>11</v>
      </c>
      <c r="X36" s="312" t="s">
        <v>784</v>
      </c>
      <c r="Y36" s="208">
        <f ca="1">INT((TODAY()-J36)/365)</f>
        <v>46</v>
      </c>
      <c r="Z36" s="311"/>
      <c r="AA36" s="311"/>
      <c r="AB36" s="311"/>
      <c r="AC36" s="311"/>
      <c r="AD36" s="311"/>
      <c r="AE36" s="311"/>
      <c r="AF36" s="311"/>
      <c r="AG36" s="311"/>
      <c r="AH36" s="311"/>
      <c r="AI36" s="311"/>
      <c r="AJ36" s="311"/>
      <c r="AK36" s="311"/>
      <c r="AL36" s="311"/>
      <c r="AM36" s="311"/>
    </row>
    <row r="37" spans="1:39" hidden="1">
      <c r="A37" s="697">
        <v>41</v>
      </c>
      <c r="B37" s="702" t="s">
        <v>785</v>
      </c>
      <c r="C37" s="703" t="s">
        <v>686</v>
      </c>
      <c r="D37" s="704"/>
      <c r="E37" s="665" t="s">
        <v>682</v>
      </c>
      <c r="F37" s="520" t="s">
        <v>786</v>
      </c>
      <c r="G37" s="304">
        <v>50220061755</v>
      </c>
      <c r="H37" s="547" t="s">
        <v>290</v>
      </c>
      <c r="I37" s="704"/>
      <c r="J37" s="498">
        <v>28065</v>
      </c>
      <c r="K37" s="498">
        <v>49979</v>
      </c>
      <c r="L37" s="705"/>
      <c r="M37" s="454" t="s">
        <v>62</v>
      </c>
      <c r="N37" s="705"/>
      <c r="O37" s="498">
        <v>45233</v>
      </c>
      <c r="P37" s="503">
        <v>45527</v>
      </c>
      <c r="Q37" s="498">
        <v>45537</v>
      </c>
      <c r="R37" s="554"/>
      <c r="S37" s="706"/>
      <c r="T37" s="706"/>
      <c r="U37" s="707" t="s">
        <v>787</v>
      </c>
      <c r="V37" s="708">
        <f>LEN(G37)</f>
        <v>11</v>
      </c>
      <c r="W37" s="709"/>
      <c r="X37" s="48">
        <f ca="1">INT((TODAY()-J37)/365)</f>
        <v>49</v>
      </c>
      <c r="Y37" s="554"/>
      <c r="Z37" s="554"/>
      <c r="AA37" s="554"/>
      <c r="AB37" s="554"/>
      <c r="AC37" s="554"/>
      <c r="AD37" s="554"/>
      <c r="AE37" s="554"/>
      <c r="AF37" s="554"/>
      <c r="AG37" s="554"/>
      <c r="AH37" s="554"/>
      <c r="AI37" s="556"/>
      <c r="AJ37" s="556"/>
      <c r="AK37" s="556"/>
      <c r="AL37" s="556"/>
      <c r="AM37" s="556"/>
    </row>
    <row r="38" spans="1:39" hidden="1">
      <c r="A38" s="656">
        <v>42</v>
      </c>
      <c r="B38" s="223" t="s">
        <v>788</v>
      </c>
      <c r="C38" s="656" t="s">
        <v>769</v>
      </c>
      <c r="D38" s="327"/>
      <c r="E38" s="656" t="s">
        <v>682</v>
      </c>
      <c r="F38" s="656" t="s">
        <v>789</v>
      </c>
      <c r="G38" s="18">
        <v>30229802872</v>
      </c>
      <c r="H38" s="18" t="s">
        <v>12</v>
      </c>
      <c r="I38" s="656">
        <v>9062360446</v>
      </c>
      <c r="J38" s="440">
        <v>34377</v>
      </c>
      <c r="K38" s="440">
        <f>EOMONTH(J38,(12*60))</f>
        <v>56308</v>
      </c>
      <c r="L38" s="329"/>
      <c r="M38" s="32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>
      <c r="A39" s="666"/>
      <c r="C39" s="710"/>
      <c r="D39" s="199"/>
      <c r="E39" s="656"/>
      <c r="F39" s="666"/>
      <c r="I39" s="710"/>
      <c r="L39" s="711"/>
      <c r="M39" s="711"/>
    </row>
    <row r="40" spans="1:39">
      <c r="A40" s="712"/>
      <c r="C40" s="199"/>
      <c r="D40" s="199"/>
      <c r="E40" s="199"/>
      <c r="F40" s="712"/>
      <c r="I40" s="199"/>
      <c r="J40" s="711"/>
      <c r="K40" s="711"/>
      <c r="L40" s="711"/>
      <c r="M40" s="711"/>
    </row>
    <row r="41" spans="1:39">
      <c r="A41" s="712"/>
      <c r="C41" s="199"/>
      <c r="D41" s="199"/>
      <c r="E41" s="199"/>
      <c r="F41" s="712"/>
      <c r="I41" s="199"/>
      <c r="J41" s="711"/>
      <c r="K41" s="711"/>
      <c r="L41" s="711"/>
      <c r="M41" s="711"/>
    </row>
    <row r="42" spans="1:39">
      <c r="A42" s="712"/>
      <c r="C42" s="199"/>
      <c r="D42" s="199"/>
      <c r="E42" s="199"/>
      <c r="F42" s="712"/>
      <c r="I42" s="199"/>
      <c r="J42" s="711"/>
      <c r="K42" s="711"/>
      <c r="L42" s="711"/>
      <c r="M42" s="711"/>
    </row>
    <row r="43" spans="1:39">
      <c r="A43" s="712"/>
      <c r="B43" s="199"/>
      <c r="C43" s="199"/>
      <c r="D43" s="199"/>
      <c r="E43" s="199"/>
      <c r="F43" s="712"/>
      <c r="I43" s="199"/>
      <c r="J43" s="711"/>
      <c r="K43" s="711"/>
    </row>
    <row r="44" spans="1:39">
      <c r="A44" s="712"/>
      <c r="B44" s="199"/>
      <c r="C44" s="713"/>
      <c r="D44" s="199"/>
      <c r="E44" s="199"/>
      <c r="F44" s="712"/>
      <c r="I44" s="199"/>
      <c r="J44" s="711"/>
      <c r="K44" s="711"/>
    </row>
    <row r="45" spans="1:39">
      <c r="A45" s="712"/>
      <c r="B45" s="199"/>
      <c r="C45" s="713"/>
      <c r="D45" s="199"/>
      <c r="E45" s="199"/>
      <c r="F45" s="712"/>
      <c r="I45" s="199"/>
      <c r="J45" s="711"/>
      <c r="K45" s="711"/>
    </row>
    <row r="46" spans="1:39">
      <c r="A46" s="712"/>
      <c r="B46" s="199"/>
      <c r="C46" s="713"/>
      <c r="D46" s="199"/>
      <c r="E46" s="199"/>
      <c r="F46" s="712"/>
      <c r="J46" s="711"/>
      <c r="K46" s="711"/>
    </row>
    <row r="47" spans="1:39">
      <c r="A47" s="712"/>
      <c r="B47" s="199"/>
      <c r="C47" s="713"/>
      <c r="D47" s="199"/>
      <c r="E47" s="199"/>
      <c r="F47" s="712"/>
      <c r="G47" s="714"/>
      <c r="H47" s="712"/>
      <c r="I47" s="199"/>
      <c r="J47" s="711"/>
      <c r="K47" s="711"/>
    </row>
    <row r="48" spans="1:39">
      <c r="A48" s="712"/>
      <c r="B48" s="199"/>
      <c r="C48" s="713"/>
      <c r="D48" s="199"/>
      <c r="E48" s="199"/>
      <c r="F48" s="712"/>
      <c r="G48" s="714"/>
      <c r="H48" s="712"/>
      <c r="I48" s="199"/>
      <c r="J48" s="711"/>
      <c r="K48" s="711"/>
    </row>
    <row r="49" spans="1:11">
      <c r="A49" s="712"/>
      <c r="B49" s="199"/>
      <c r="C49" s="713"/>
      <c r="D49" s="199"/>
      <c r="E49" s="199"/>
      <c r="F49" s="712"/>
      <c r="I49" s="199"/>
      <c r="J49" s="711"/>
      <c r="K49" s="711"/>
    </row>
    <row r="50" spans="1:11">
      <c r="A50" s="712"/>
      <c r="B50" s="199"/>
      <c r="C50" s="713"/>
      <c r="D50" s="199"/>
      <c r="E50" s="199"/>
      <c r="F50" s="712"/>
      <c r="I50" s="199"/>
      <c r="J50" s="711"/>
      <c r="K50" s="711"/>
    </row>
    <row r="51" spans="1:11">
      <c r="A51" s="712"/>
      <c r="B51" s="199"/>
      <c r="C51" s="713"/>
      <c r="D51" s="199"/>
      <c r="E51" s="199"/>
      <c r="F51" s="712"/>
      <c r="I51" s="199"/>
      <c r="J51" s="711"/>
      <c r="K51" s="711"/>
    </row>
    <row r="52" spans="1:11">
      <c r="A52" s="712"/>
      <c r="B52" s="199"/>
      <c r="C52" s="713"/>
      <c r="D52" s="199"/>
      <c r="E52" s="199"/>
      <c r="F52" s="712"/>
      <c r="I52" s="199"/>
      <c r="J52" s="711"/>
      <c r="K52" s="711"/>
    </row>
    <row r="53" spans="1:11">
      <c r="A53" s="712"/>
      <c r="B53" s="199"/>
      <c r="C53" s="713"/>
      <c r="D53" s="199"/>
      <c r="E53" s="199"/>
      <c r="F53" s="712"/>
      <c r="I53" s="199"/>
      <c r="J53" s="711"/>
      <c r="K53" s="711"/>
    </row>
    <row r="54" spans="1:11">
      <c r="A54" s="712"/>
      <c r="B54" s="199"/>
      <c r="C54" s="713"/>
      <c r="D54" s="199"/>
      <c r="E54" s="199"/>
      <c r="F54" s="712"/>
      <c r="I54" s="199"/>
      <c r="J54" s="711"/>
      <c r="K54" s="711"/>
    </row>
    <row r="55" spans="1:11">
      <c r="A55" s="712"/>
      <c r="B55" s="199"/>
      <c r="C55" s="713"/>
      <c r="D55" s="199"/>
      <c r="E55" s="199"/>
      <c r="F55" s="712"/>
      <c r="I55" s="199"/>
      <c r="J55" s="711"/>
      <c r="K55" s="711"/>
    </row>
    <row r="56" spans="1:11">
      <c r="A56" s="712"/>
      <c r="B56" s="199"/>
      <c r="C56" s="713"/>
      <c r="D56" s="199"/>
      <c r="E56" s="199"/>
      <c r="F56" s="712"/>
      <c r="I56" s="199"/>
      <c r="J56" s="711"/>
      <c r="K56" s="711"/>
    </row>
    <row r="57" spans="1:11">
      <c r="A57" s="712"/>
      <c r="B57" s="199"/>
      <c r="C57" s="713"/>
      <c r="D57" s="199"/>
      <c r="E57" s="199"/>
      <c r="F57" s="712"/>
      <c r="I57" s="199"/>
      <c r="J57" s="711"/>
      <c r="K57" s="711"/>
    </row>
    <row r="58" spans="1:11">
      <c r="A58" s="712"/>
      <c r="B58" s="199"/>
      <c r="C58" s="713"/>
      <c r="D58" s="199"/>
      <c r="E58" s="199"/>
      <c r="F58" s="712"/>
      <c r="I58" s="199"/>
      <c r="J58" s="711"/>
      <c r="K58" s="711"/>
    </row>
    <row r="59" spans="1:11">
      <c r="A59" s="712"/>
      <c r="B59" s="199"/>
      <c r="C59" s="713"/>
      <c r="D59" s="199"/>
      <c r="E59" s="199"/>
      <c r="F59" s="712"/>
      <c r="I59" s="199"/>
      <c r="J59" s="711"/>
      <c r="K59" s="711"/>
    </row>
    <row r="60" spans="1:11">
      <c r="A60" s="712"/>
      <c r="B60" s="199"/>
      <c r="C60" s="713"/>
      <c r="D60" s="199"/>
      <c r="E60" s="199"/>
      <c r="F60" s="712"/>
      <c r="I60" s="199"/>
      <c r="J60" s="711"/>
      <c r="K60" s="711"/>
    </row>
    <row r="61" spans="1:11">
      <c r="A61" s="712"/>
      <c r="B61" s="199"/>
      <c r="C61" s="713"/>
      <c r="D61" s="199"/>
      <c r="E61" s="199"/>
      <c r="F61" s="712"/>
      <c r="I61" s="199"/>
      <c r="J61" s="711"/>
      <c r="K61" s="711"/>
    </row>
    <row r="62" spans="1:11">
      <c r="A62" s="712"/>
      <c r="B62" s="199"/>
      <c r="C62" s="713"/>
      <c r="D62" s="199"/>
      <c r="E62" s="199"/>
      <c r="F62" s="712"/>
      <c r="I62" s="199"/>
      <c r="J62" s="711"/>
      <c r="K62" s="711"/>
    </row>
    <row r="63" spans="1:11">
      <c r="A63" s="712"/>
      <c r="B63" s="199"/>
      <c r="C63" s="713"/>
      <c r="D63" s="199"/>
      <c r="E63" s="199"/>
      <c r="F63" s="712"/>
      <c r="I63" s="199"/>
      <c r="J63" s="711"/>
      <c r="K63" s="711"/>
    </row>
    <row r="64" spans="1:11">
      <c r="A64" s="712"/>
      <c r="B64" s="199"/>
      <c r="C64" s="713"/>
      <c r="D64" s="199"/>
      <c r="E64" s="199"/>
      <c r="F64" s="712"/>
      <c r="I64" s="199"/>
      <c r="J64" s="711"/>
      <c r="K64" s="711"/>
    </row>
    <row r="65" spans="1:11">
      <c r="A65" s="712"/>
      <c r="B65" s="199"/>
      <c r="C65" s="713"/>
      <c r="D65" s="199"/>
      <c r="E65" s="199"/>
      <c r="F65" s="712"/>
      <c r="I65" s="199"/>
      <c r="J65" s="711"/>
      <c r="K65" s="711"/>
    </row>
    <row r="66" spans="1:11">
      <c r="A66" s="712"/>
      <c r="B66" s="199"/>
      <c r="C66" s="713"/>
      <c r="D66" s="199"/>
      <c r="E66" s="199"/>
      <c r="F66" s="712"/>
      <c r="G66" s="714"/>
      <c r="H66" s="712"/>
      <c r="I66" s="199"/>
      <c r="J66" s="711"/>
      <c r="K66" s="711"/>
    </row>
    <row r="67" spans="1:11">
      <c r="A67" s="712"/>
      <c r="B67" s="199"/>
      <c r="C67" s="713"/>
      <c r="D67" s="199"/>
      <c r="E67" s="199"/>
      <c r="F67" s="712"/>
      <c r="G67" s="714"/>
      <c r="H67" s="712"/>
      <c r="I67" s="199"/>
      <c r="J67" s="711"/>
      <c r="K67" s="711"/>
    </row>
    <row r="68" spans="1:11">
      <c r="A68" s="712"/>
      <c r="B68" s="199"/>
      <c r="C68" s="713"/>
      <c r="D68" s="199"/>
      <c r="E68" s="199"/>
      <c r="F68" s="712"/>
      <c r="G68" s="712"/>
      <c r="H68" s="712"/>
      <c r="I68" s="199"/>
      <c r="J68" s="711"/>
      <c r="K68" s="711"/>
    </row>
    <row r="69" spans="1:11">
      <c r="A69" s="712"/>
      <c r="B69" s="199"/>
      <c r="C69" s="713"/>
      <c r="D69" s="199"/>
      <c r="E69" s="199"/>
      <c r="F69" s="712"/>
      <c r="G69" s="712"/>
      <c r="H69" s="712"/>
      <c r="I69" s="199"/>
      <c r="J69" s="711"/>
      <c r="K69" s="711"/>
    </row>
    <row r="70" spans="1:11">
      <c r="A70" s="712"/>
      <c r="B70" s="199"/>
      <c r="C70" s="713"/>
      <c r="D70" s="199"/>
      <c r="E70" s="199"/>
      <c r="F70" s="712"/>
      <c r="G70" s="712"/>
      <c r="H70" s="712"/>
      <c r="I70" s="199"/>
      <c r="J70" s="711"/>
      <c r="K70" s="711"/>
    </row>
    <row r="71" spans="1:11">
      <c r="A71" s="712"/>
      <c r="B71" s="199"/>
      <c r="C71" s="713"/>
      <c r="D71" s="199"/>
      <c r="E71" s="199"/>
      <c r="F71" s="712"/>
      <c r="G71" s="712"/>
      <c r="H71" s="712"/>
      <c r="I71" s="199"/>
      <c r="J71" s="711"/>
      <c r="K71" s="711"/>
    </row>
    <row r="72" spans="1:11">
      <c r="A72" s="712"/>
      <c r="B72" s="199"/>
      <c r="C72" s="713"/>
      <c r="D72" s="199"/>
      <c r="E72" s="199"/>
      <c r="F72" s="712"/>
      <c r="G72" s="712"/>
      <c r="H72" s="712"/>
      <c r="I72" s="199"/>
      <c r="J72" s="711"/>
      <c r="K72" s="711"/>
    </row>
    <row r="73" spans="1:11">
      <c r="A73" s="712"/>
      <c r="B73" s="199"/>
      <c r="C73" s="713"/>
      <c r="D73" s="199"/>
      <c r="E73" s="199"/>
      <c r="F73" s="712"/>
      <c r="G73" s="712"/>
      <c r="H73" s="712"/>
      <c r="I73" s="199"/>
      <c r="J73" s="711"/>
      <c r="K73" s="711"/>
    </row>
    <row r="74" spans="1:11">
      <c r="A74" s="712"/>
      <c r="B74" s="199"/>
      <c r="C74" s="713"/>
      <c r="D74" s="199"/>
      <c r="E74" s="199"/>
      <c r="F74" s="712"/>
      <c r="G74" s="712"/>
      <c r="H74" s="712"/>
      <c r="I74" s="199"/>
      <c r="J74" s="711"/>
      <c r="K74" s="711"/>
    </row>
    <row r="75" spans="1:11">
      <c r="A75" s="712"/>
      <c r="B75" s="199"/>
      <c r="C75" s="713"/>
      <c r="D75" s="199"/>
      <c r="E75" s="199"/>
      <c r="F75" s="712"/>
      <c r="G75" s="712"/>
      <c r="H75" s="712"/>
      <c r="I75" s="199"/>
      <c r="J75" s="711"/>
      <c r="K75" s="711"/>
    </row>
    <row r="76" spans="1:11">
      <c r="A76" s="712"/>
      <c r="B76" s="199"/>
      <c r="C76" s="713"/>
      <c r="D76" s="199"/>
      <c r="E76" s="199"/>
      <c r="F76" s="712"/>
      <c r="G76" s="712"/>
      <c r="H76" s="712"/>
      <c r="I76" s="199"/>
      <c r="J76" s="711"/>
      <c r="K76" s="711"/>
    </row>
    <row r="77" spans="1:11">
      <c r="A77" s="712"/>
      <c r="B77" s="199"/>
      <c r="C77" s="713"/>
      <c r="D77" s="199"/>
      <c r="E77" s="199"/>
      <c r="F77" s="712"/>
      <c r="G77" s="712"/>
      <c r="H77" s="712"/>
      <c r="I77" s="199"/>
      <c r="J77" s="711"/>
      <c r="K77" s="711"/>
    </row>
    <row r="78" spans="1:11">
      <c r="A78" s="712"/>
      <c r="B78" s="199"/>
      <c r="C78" s="713"/>
      <c r="D78" s="199"/>
      <c r="E78" s="199"/>
      <c r="F78" s="712"/>
      <c r="G78" s="712"/>
      <c r="H78" s="712"/>
      <c r="I78" s="199"/>
      <c r="J78" s="711"/>
      <c r="K78" s="711"/>
    </row>
    <row r="79" spans="1:11">
      <c r="A79" s="712"/>
      <c r="B79" s="199"/>
      <c r="C79" s="713"/>
      <c r="D79" s="199"/>
      <c r="E79" s="199"/>
      <c r="F79" s="712"/>
      <c r="G79" s="712"/>
      <c r="H79" s="712"/>
      <c r="I79" s="199"/>
      <c r="J79" s="711"/>
      <c r="K79" s="711"/>
    </row>
    <row r="80" spans="1:11">
      <c r="A80" s="712"/>
      <c r="B80" s="199"/>
      <c r="C80" s="713"/>
      <c r="D80" s="199"/>
      <c r="E80" s="199"/>
      <c r="F80" s="712"/>
      <c r="G80" s="712"/>
      <c r="H80" s="712"/>
      <c r="I80" s="199"/>
      <c r="J80" s="711"/>
      <c r="K80" s="711"/>
    </row>
    <row r="81" spans="1:11">
      <c r="A81" s="712"/>
      <c r="B81" s="199"/>
      <c r="C81" s="713"/>
      <c r="D81" s="199"/>
      <c r="E81" s="199"/>
      <c r="F81" s="712"/>
      <c r="G81" s="714"/>
      <c r="H81" s="712"/>
      <c r="I81" s="199"/>
      <c r="J81" s="711"/>
      <c r="K81" s="711"/>
    </row>
    <row r="82" spans="1:11">
      <c r="A82" s="712"/>
      <c r="B82" s="199"/>
      <c r="C82" s="713"/>
      <c r="D82" s="199"/>
      <c r="E82" s="199"/>
      <c r="F82" s="712"/>
      <c r="G82" s="712"/>
      <c r="H82" s="712"/>
      <c r="I82" s="199"/>
      <c r="J82" s="711"/>
      <c r="K82" s="711"/>
    </row>
    <row r="83" spans="1:11">
      <c r="A83" s="712"/>
      <c r="B83" s="199"/>
      <c r="C83" s="713"/>
      <c r="D83" s="199"/>
      <c r="E83" s="199"/>
      <c r="F83" s="712"/>
      <c r="G83" s="712"/>
      <c r="H83" s="712"/>
      <c r="I83" s="199"/>
      <c r="J83" s="711"/>
      <c r="K83" s="711"/>
    </row>
    <row r="84" spans="1:11">
      <c r="A84" s="712"/>
      <c r="B84" s="199"/>
      <c r="C84" s="713"/>
      <c r="D84" s="199"/>
      <c r="E84" s="199"/>
      <c r="F84" s="712"/>
      <c r="G84" s="712"/>
      <c r="H84" s="712"/>
      <c r="I84" s="199"/>
      <c r="J84" s="711"/>
      <c r="K84" s="711"/>
    </row>
    <row r="85" spans="1:11">
      <c r="A85" s="712"/>
      <c r="B85" s="199"/>
      <c r="C85" s="713"/>
      <c r="D85" s="199"/>
      <c r="E85" s="199"/>
      <c r="F85" s="712"/>
      <c r="G85" s="712"/>
      <c r="H85" s="712"/>
      <c r="I85" s="199"/>
      <c r="J85" s="711"/>
      <c r="K85" s="711"/>
    </row>
    <row r="86" spans="1:11">
      <c r="A86" s="712"/>
      <c r="B86" s="199"/>
      <c r="C86" s="713"/>
      <c r="D86" s="199"/>
      <c r="E86" s="199"/>
      <c r="F86" s="712"/>
      <c r="G86" s="712"/>
      <c r="H86" s="712"/>
      <c r="I86" s="199"/>
      <c r="J86" s="711"/>
      <c r="K86" s="711"/>
    </row>
    <row r="87" spans="1:11">
      <c r="A87" s="712"/>
      <c r="B87" s="199"/>
      <c r="C87" s="713"/>
      <c r="D87" s="199"/>
      <c r="E87" s="199"/>
      <c r="F87" s="712"/>
      <c r="G87" s="712"/>
      <c r="H87" s="712"/>
      <c r="I87" s="199"/>
      <c r="J87" s="711"/>
      <c r="K87" s="711"/>
    </row>
    <row r="88" spans="1:11">
      <c r="A88" s="712"/>
      <c r="B88" s="199"/>
      <c r="C88" s="713"/>
      <c r="D88" s="199"/>
      <c r="E88" s="199"/>
      <c r="F88" s="712"/>
      <c r="G88" s="712"/>
      <c r="H88" s="712"/>
      <c r="I88" s="199"/>
      <c r="J88" s="711"/>
      <c r="K88" s="711"/>
    </row>
    <row r="89" spans="1:11">
      <c r="A89" s="712"/>
      <c r="B89" s="199"/>
      <c r="C89" s="713"/>
      <c r="D89" s="199"/>
      <c r="E89" s="199"/>
      <c r="F89" s="712"/>
      <c r="G89" s="714"/>
      <c r="H89" s="712"/>
      <c r="I89" s="199"/>
      <c r="J89" s="711"/>
      <c r="K89" s="711"/>
    </row>
    <row r="90" spans="1:11">
      <c r="A90" s="712"/>
      <c r="B90" s="199"/>
      <c r="C90" s="713"/>
      <c r="D90" s="199"/>
      <c r="E90" s="199"/>
      <c r="F90" s="712"/>
      <c r="G90" s="714"/>
      <c r="H90" s="712"/>
      <c r="I90" s="199"/>
      <c r="J90" s="711"/>
      <c r="K90" s="711"/>
    </row>
    <row r="91" spans="1:11">
      <c r="A91" s="712"/>
      <c r="B91" s="199"/>
      <c r="C91" s="713"/>
      <c r="D91" s="199"/>
      <c r="E91" s="199"/>
      <c r="F91" s="712"/>
      <c r="G91" s="712"/>
      <c r="H91" s="712"/>
      <c r="I91" s="199"/>
      <c r="J91" s="711"/>
      <c r="K91" s="711"/>
    </row>
    <row r="92" spans="1:11">
      <c r="A92" s="712"/>
      <c r="B92" s="199"/>
      <c r="C92" s="713"/>
      <c r="D92" s="199"/>
      <c r="E92" s="199"/>
      <c r="F92" s="712"/>
      <c r="G92" s="712"/>
      <c r="H92" s="712"/>
      <c r="I92" s="199"/>
      <c r="J92" s="711"/>
      <c r="K92" s="711"/>
    </row>
    <row r="93" spans="1:11">
      <c r="A93" s="712"/>
      <c r="B93" s="199"/>
      <c r="C93" s="713"/>
      <c r="D93" s="199"/>
      <c r="E93" s="199"/>
      <c r="F93" s="712"/>
      <c r="G93" s="712"/>
      <c r="H93" s="712"/>
      <c r="I93" s="199"/>
      <c r="J93" s="711"/>
      <c r="K93" s="711"/>
    </row>
    <row r="94" spans="1:11">
      <c r="A94" s="714"/>
      <c r="B94" s="199"/>
      <c r="C94" s="713"/>
      <c r="D94" s="199"/>
      <c r="E94" s="199"/>
      <c r="F94" s="714"/>
      <c r="G94" s="712"/>
      <c r="H94" s="712"/>
      <c r="I94" s="199"/>
      <c r="J94" s="711"/>
      <c r="K94" s="711"/>
    </row>
    <row r="95" spans="1:11">
      <c r="A95" s="712"/>
      <c r="B95" s="199"/>
      <c r="C95" s="713"/>
      <c r="D95" s="199"/>
      <c r="E95" s="199"/>
      <c r="F95" s="712"/>
      <c r="G95" s="712"/>
      <c r="H95" s="712"/>
      <c r="I95" s="199"/>
      <c r="J95" s="711"/>
      <c r="K95" s="711"/>
    </row>
    <row r="96" spans="1:11">
      <c r="A96" s="712"/>
      <c r="B96" s="199"/>
      <c r="C96" s="713"/>
      <c r="D96" s="199"/>
      <c r="E96" s="199"/>
      <c r="F96" s="712"/>
      <c r="G96" s="712"/>
      <c r="H96" s="712"/>
      <c r="I96" s="199"/>
      <c r="J96" s="711"/>
      <c r="K96" s="711"/>
    </row>
    <row r="97" spans="1:11">
      <c r="A97" s="712"/>
      <c r="B97" s="199"/>
      <c r="C97" s="713"/>
      <c r="D97" s="199"/>
      <c r="E97" s="199"/>
      <c r="F97" s="712"/>
      <c r="G97" s="714"/>
      <c r="H97" s="712"/>
      <c r="I97" s="199"/>
      <c r="J97" s="711"/>
      <c r="K97" s="711"/>
    </row>
    <row r="98" spans="1:11">
      <c r="A98" s="712"/>
      <c r="B98" s="199"/>
      <c r="C98" s="713"/>
      <c r="D98" s="199"/>
      <c r="E98" s="199"/>
      <c r="F98" s="712"/>
      <c r="G98" s="712"/>
      <c r="H98" s="712"/>
      <c r="I98" s="199"/>
      <c r="J98" s="711"/>
      <c r="K98" s="711"/>
    </row>
    <row r="99" spans="1:11">
      <c r="A99" s="712"/>
      <c r="B99" s="199"/>
      <c r="C99" s="713"/>
      <c r="D99" s="199"/>
      <c r="E99" s="199"/>
      <c r="F99" s="712"/>
      <c r="G99" s="714"/>
      <c r="H99" s="712"/>
      <c r="I99" s="199"/>
      <c r="J99" s="711"/>
      <c r="K99" s="711"/>
    </row>
    <row r="100" spans="1:11">
      <c r="A100" s="712"/>
      <c r="B100" s="199"/>
      <c r="C100" s="713"/>
      <c r="D100" s="199"/>
      <c r="E100" s="199"/>
      <c r="F100" s="712"/>
      <c r="G100" s="712"/>
      <c r="H100" s="712"/>
      <c r="I100" s="199"/>
      <c r="J100" s="711"/>
      <c r="K100" s="711"/>
    </row>
    <row r="101" spans="1:11">
      <c r="A101" s="712"/>
      <c r="B101" s="199"/>
      <c r="C101" s="713"/>
      <c r="D101" s="199"/>
      <c r="E101" s="199"/>
      <c r="F101" s="712"/>
      <c r="G101" s="712"/>
      <c r="H101" s="712"/>
      <c r="I101" s="199"/>
      <c r="J101" s="711"/>
      <c r="K101" s="711"/>
    </row>
    <row r="102" spans="1:11">
      <c r="A102" s="712"/>
      <c r="B102" s="199"/>
      <c r="C102" s="713"/>
      <c r="D102" s="199"/>
      <c r="E102" s="199"/>
      <c r="F102" s="712"/>
      <c r="G102" s="712"/>
      <c r="H102" s="712"/>
      <c r="I102" s="199"/>
      <c r="J102" s="711"/>
      <c r="K102" s="711"/>
    </row>
    <row r="103" spans="1:11">
      <c r="A103" s="712"/>
      <c r="B103" s="199"/>
      <c r="C103" s="713"/>
      <c r="D103" s="199"/>
      <c r="E103" s="199"/>
      <c r="F103" s="712"/>
      <c r="G103" s="712"/>
      <c r="H103" s="712"/>
      <c r="I103" s="199"/>
      <c r="J103" s="711"/>
      <c r="K103" s="711"/>
    </row>
    <row r="104" spans="1:11">
      <c r="A104" s="712"/>
      <c r="B104" s="199"/>
      <c r="C104" s="713"/>
      <c r="D104" s="199"/>
      <c r="E104" s="199"/>
      <c r="F104" s="712"/>
      <c r="G104" s="712"/>
      <c r="H104" s="712"/>
      <c r="I104" s="199"/>
      <c r="J104" s="711"/>
      <c r="K104" s="711"/>
    </row>
    <row r="105" spans="1:11">
      <c r="A105" s="712"/>
      <c r="B105" s="199"/>
      <c r="C105" s="713"/>
      <c r="D105" s="199"/>
      <c r="E105" s="199"/>
      <c r="F105" s="712"/>
      <c r="G105" s="712"/>
      <c r="H105" s="712"/>
      <c r="I105" s="199"/>
      <c r="J105" s="711"/>
      <c r="K105" s="711"/>
    </row>
    <row r="106" spans="1:11">
      <c r="A106" s="712"/>
      <c r="B106" s="199"/>
      <c r="C106" s="713"/>
      <c r="D106" s="199"/>
      <c r="E106" s="199"/>
      <c r="F106" s="712"/>
      <c r="G106" s="712"/>
      <c r="H106" s="712"/>
      <c r="I106" s="199"/>
      <c r="J106" s="711"/>
      <c r="K106" s="711"/>
    </row>
    <row r="107" spans="1:11">
      <c r="A107" s="712"/>
      <c r="B107" s="199"/>
      <c r="C107" s="713"/>
      <c r="D107" s="199"/>
      <c r="E107" s="199"/>
      <c r="F107" s="712"/>
      <c r="G107" s="712"/>
      <c r="H107" s="712"/>
      <c r="I107" s="199"/>
      <c r="J107" s="711"/>
      <c r="K107" s="711"/>
    </row>
    <row r="108" spans="1:11">
      <c r="A108" s="714"/>
      <c r="B108" s="199"/>
      <c r="C108" s="713"/>
      <c r="D108" s="199"/>
      <c r="E108" s="199"/>
      <c r="F108" s="714"/>
      <c r="G108" s="712"/>
      <c r="H108" s="712"/>
      <c r="I108" s="199"/>
      <c r="J108" s="711"/>
      <c r="K108" s="711"/>
    </row>
    <row r="109" spans="1:11">
      <c r="A109" s="714"/>
      <c r="B109" s="199"/>
      <c r="C109" s="713"/>
      <c r="D109" s="199"/>
      <c r="E109" s="199"/>
      <c r="F109" s="714"/>
      <c r="G109" s="712"/>
      <c r="H109" s="712"/>
      <c r="I109" s="199"/>
      <c r="J109" s="711"/>
      <c r="K109" s="711"/>
    </row>
    <row r="110" spans="1:11">
      <c r="A110" s="712"/>
      <c r="B110" s="199"/>
      <c r="C110" s="713"/>
      <c r="D110" s="199"/>
      <c r="E110" s="199"/>
      <c r="F110" s="712"/>
      <c r="G110" s="712"/>
      <c r="H110" s="712"/>
      <c r="I110" s="199"/>
      <c r="J110" s="711"/>
      <c r="K110" s="711"/>
    </row>
    <row r="111" spans="1:11">
      <c r="A111" s="712"/>
      <c r="B111" s="199"/>
      <c r="C111" s="713"/>
      <c r="D111" s="199"/>
      <c r="E111" s="199"/>
      <c r="F111" s="712"/>
      <c r="G111" s="714"/>
      <c r="H111" s="712"/>
      <c r="I111" s="199"/>
      <c r="J111" s="711"/>
      <c r="K111" s="711"/>
    </row>
    <row r="112" spans="1:11">
      <c r="A112" s="712"/>
      <c r="B112" s="199"/>
      <c r="C112" s="713"/>
      <c r="D112" s="199"/>
      <c r="E112" s="199"/>
      <c r="F112" s="712"/>
      <c r="G112" s="712"/>
      <c r="H112" s="712"/>
      <c r="I112" s="199"/>
      <c r="J112" s="711"/>
      <c r="K112" s="711"/>
    </row>
    <row r="113" spans="1:11">
      <c r="A113" s="712"/>
      <c r="B113" s="199"/>
      <c r="C113" s="713"/>
      <c r="D113" s="199"/>
      <c r="E113" s="199"/>
      <c r="F113" s="712"/>
      <c r="G113" s="712"/>
      <c r="H113" s="712"/>
      <c r="I113" s="199"/>
      <c r="J113" s="711"/>
      <c r="K113" s="711"/>
    </row>
    <row r="114" spans="1:11">
      <c r="A114" s="714"/>
      <c r="B114" s="199"/>
      <c r="C114" s="713"/>
      <c r="D114" s="199"/>
      <c r="E114" s="199"/>
      <c r="F114" s="714"/>
      <c r="G114" s="712"/>
      <c r="H114" s="712"/>
      <c r="I114" s="199"/>
      <c r="J114" s="711"/>
      <c r="K114" s="711"/>
    </row>
    <row r="115" spans="1:11">
      <c r="A115" s="712"/>
      <c r="B115" s="199"/>
      <c r="C115" s="713"/>
      <c r="D115" s="199"/>
      <c r="E115" s="199"/>
      <c r="F115" s="712"/>
      <c r="G115" s="712"/>
      <c r="H115" s="712"/>
      <c r="I115" s="199"/>
      <c r="J115" s="711"/>
      <c r="K115" s="711"/>
    </row>
    <row r="116" spans="1:11">
      <c r="A116" s="712"/>
      <c r="B116" s="199"/>
      <c r="C116" s="713"/>
      <c r="D116" s="199"/>
      <c r="E116" s="199"/>
      <c r="F116" s="712"/>
      <c r="G116" s="712"/>
      <c r="H116" s="712"/>
      <c r="I116" s="199"/>
      <c r="J116" s="711"/>
      <c r="K116" s="711"/>
    </row>
    <row r="117" spans="1:11">
      <c r="A117" s="712"/>
      <c r="B117" s="199"/>
      <c r="C117" s="713"/>
      <c r="D117" s="199"/>
      <c r="E117" s="199"/>
      <c r="F117" s="712"/>
      <c r="G117" s="712"/>
      <c r="H117" s="712"/>
      <c r="I117" s="199"/>
      <c r="J117" s="711"/>
      <c r="K117" s="711"/>
    </row>
    <row r="118" spans="1:11">
      <c r="A118" s="712"/>
      <c r="B118" s="199"/>
      <c r="C118" s="713"/>
      <c r="D118" s="199"/>
      <c r="E118" s="199"/>
      <c r="F118" s="712"/>
      <c r="G118" s="712"/>
      <c r="H118" s="712"/>
      <c r="I118" s="199"/>
      <c r="J118" s="711"/>
      <c r="K118" s="711"/>
    </row>
    <row r="119" spans="1:11">
      <c r="A119" s="712"/>
      <c r="B119" s="199"/>
      <c r="C119" s="713"/>
      <c r="D119" s="199"/>
      <c r="E119" s="199"/>
      <c r="F119" s="712"/>
      <c r="G119" s="714"/>
      <c r="H119" s="712"/>
      <c r="I119" s="199"/>
      <c r="J119" s="711"/>
      <c r="K119" s="711"/>
    </row>
    <row r="120" spans="1:11">
      <c r="A120" s="712"/>
      <c r="B120" s="199"/>
      <c r="C120" s="713"/>
      <c r="D120" s="199"/>
      <c r="E120" s="199"/>
      <c r="F120" s="712"/>
      <c r="G120" s="712"/>
      <c r="H120" s="712"/>
      <c r="I120" s="199"/>
      <c r="J120" s="711"/>
      <c r="K120" s="711"/>
    </row>
    <row r="121" spans="1:11">
      <c r="A121" s="712"/>
      <c r="B121" s="199"/>
      <c r="C121" s="713"/>
      <c r="D121" s="199"/>
      <c r="E121" s="199"/>
      <c r="F121" s="712"/>
      <c r="G121" s="714"/>
      <c r="H121" s="712"/>
      <c r="I121" s="199"/>
      <c r="J121" s="711"/>
      <c r="K121" s="711"/>
    </row>
    <row r="122" spans="1:11">
      <c r="A122" s="712"/>
      <c r="B122" s="199"/>
      <c r="C122" s="713"/>
      <c r="D122" s="199"/>
      <c r="E122" s="199"/>
      <c r="F122" s="712"/>
      <c r="G122" s="712"/>
      <c r="H122" s="712"/>
      <c r="I122" s="199"/>
      <c r="J122" s="711"/>
      <c r="K122" s="711"/>
    </row>
    <row r="123" spans="1:11">
      <c r="A123" s="712"/>
      <c r="B123" s="199"/>
      <c r="C123" s="713"/>
      <c r="D123" s="199"/>
      <c r="E123" s="199"/>
      <c r="F123" s="712"/>
      <c r="G123" s="712"/>
      <c r="H123" s="712"/>
      <c r="I123" s="199"/>
      <c r="J123" s="711"/>
      <c r="K123" s="711"/>
    </row>
    <row r="124" spans="1:11">
      <c r="A124" s="712"/>
      <c r="B124" s="199"/>
      <c r="C124" s="713"/>
      <c r="D124" s="199"/>
      <c r="E124" s="199"/>
      <c r="F124" s="712"/>
      <c r="G124" s="712"/>
      <c r="H124" s="712"/>
      <c r="I124" s="199"/>
      <c r="J124" s="711"/>
      <c r="K124" s="711"/>
    </row>
    <row r="125" spans="1:11">
      <c r="A125" s="712"/>
      <c r="B125" s="199"/>
      <c r="C125" s="713"/>
      <c r="D125" s="199"/>
      <c r="E125" s="199"/>
      <c r="F125" s="712"/>
      <c r="G125" s="712"/>
      <c r="H125" s="712"/>
      <c r="I125" s="199"/>
      <c r="J125" s="711"/>
      <c r="K125" s="711"/>
    </row>
    <row r="126" spans="1:11">
      <c r="A126" s="712"/>
      <c r="B126" s="199"/>
      <c r="C126" s="713"/>
      <c r="D126" s="199"/>
      <c r="E126" s="199"/>
      <c r="F126" s="712"/>
      <c r="G126" s="712"/>
      <c r="H126" s="712"/>
      <c r="I126" s="199"/>
      <c r="J126" s="711"/>
      <c r="K126" s="711"/>
    </row>
    <row r="127" spans="1:11">
      <c r="A127" s="712"/>
      <c r="B127" s="199"/>
      <c r="C127" s="713"/>
      <c r="D127" s="199"/>
      <c r="E127" s="199"/>
      <c r="F127" s="712"/>
      <c r="G127" s="712"/>
      <c r="H127" s="712"/>
      <c r="I127" s="199"/>
      <c r="J127" s="711"/>
      <c r="K127" s="711"/>
    </row>
    <row r="128" spans="1:11">
      <c r="A128" s="712"/>
      <c r="B128" s="199"/>
      <c r="C128" s="713"/>
      <c r="D128" s="199"/>
      <c r="E128" s="199"/>
      <c r="F128" s="712"/>
      <c r="G128" s="712"/>
      <c r="H128" s="712"/>
      <c r="I128" s="199"/>
      <c r="J128" s="711"/>
      <c r="K128" s="711"/>
    </row>
    <row r="129" spans="1:11">
      <c r="A129" s="714"/>
      <c r="B129" s="199"/>
      <c r="C129" s="713"/>
      <c r="D129" s="199"/>
      <c r="E129" s="199"/>
      <c r="F129" s="714"/>
      <c r="G129" s="712"/>
      <c r="H129" s="712"/>
      <c r="I129" s="199"/>
      <c r="J129" s="711"/>
      <c r="K129" s="711"/>
    </row>
    <row r="130" spans="1:11">
      <c r="A130" s="712"/>
      <c r="B130" s="199"/>
      <c r="C130" s="713"/>
      <c r="D130" s="199"/>
      <c r="E130" s="199"/>
      <c r="F130" s="712"/>
      <c r="G130" s="712"/>
      <c r="H130" s="712"/>
      <c r="I130" s="199"/>
      <c r="J130" s="711"/>
      <c r="K130" s="711"/>
    </row>
    <row r="131" spans="1:11">
      <c r="A131" s="712"/>
      <c r="B131" s="199"/>
      <c r="C131" s="713"/>
      <c r="D131" s="199"/>
      <c r="E131" s="199"/>
      <c r="F131" s="712"/>
      <c r="G131" s="712"/>
      <c r="H131" s="712"/>
      <c r="I131" s="199"/>
      <c r="J131" s="711"/>
      <c r="K131" s="711"/>
    </row>
    <row r="132" spans="1:11">
      <c r="A132" s="712"/>
      <c r="B132" s="199"/>
      <c r="C132" s="713"/>
      <c r="D132" s="199"/>
      <c r="E132" s="199"/>
      <c r="F132" s="712"/>
      <c r="G132" s="712"/>
      <c r="H132" s="712"/>
      <c r="I132" s="199"/>
      <c r="J132" s="711"/>
      <c r="K132" s="711"/>
    </row>
    <row r="133" spans="1:11">
      <c r="A133" s="712"/>
      <c r="B133" s="199"/>
      <c r="C133" s="713"/>
      <c r="D133" s="199"/>
      <c r="E133" s="199"/>
      <c r="F133" s="712"/>
      <c r="G133" s="712"/>
      <c r="H133" s="712"/>
      <c r="I133" s="199"/>
      <c r="J133" s="711"/>
      <c r="K133" s="711"/>
    </row>
    <row r="134" spans="1:11">
      <c r="A134" s="712"/>
      <c r="B134" s="199"/>
      <c r="C134" s="713"/>
      <c r="D134" s="199"/>
      <c r="E134" s="199"/>
      <c r="F134" s="712"/>
      <c r="G134" s="712"/>
      <c r="H134" s="712"/>
      <c r="I134" s="199"/>
      <c r="J134" s="711"/>
      <c r="K134" s="711"/>
    </row>
    <row r="135" spans="1:11">
      <c r="A135" s="712"/>
      <c r="B135" s="199"/>
      <c r="C135" s="713"/>
      <c r="D135" s="199"/>
      <c r="E135" s="199"/>
      <c r="F135" s="712"/>
      <c r="G135" s="712"/>
      <c r="H135" s="712"/>
      <c r="I135" s="199"/>
      <c r="J135" s="711"/>
      <c r="K135" s="711"/>
    </row>
    <row r="136" spans="1:11">
      <c r="A136" s="712"/>
      <c r="B136" s="199"/>
      <c r="C136" s="713"/>
      <c r="D136" s="199"/>
      <c r="E136" s="199"/>
      <c r="F136" s="712"/>
      <c r="G136" s="712"/>
      <c r="H136" s="712"/>
      <c r="I136" s="199"/>
      <c r="J136" s="711"/>
      <c r="K136" s="711"/>
    </row>
    <row r="137" spans="1:11">
      <c r="A137" s="712"/>
      <c r="B137" s="199"/>
      <c r="C137" s="713"/>
      <c r="D137" s="199"/>
      <c r="E137" s="199"/>
      <c r="F137" s="712"/>
      <c r="G137" s="712"/>
      <c r="H137" s="712"/>
      <c r="I137" s="199"/>
      <c r="J137" s="711"/>
      <c r="K137" s="711"/>
    </row>
    <row r="138" spans="1:11">
      <c r="A138" s="712"/>
      <c r="B138" s="199"/>
      <c r="C138" s="713"/>
      <c r="D138" s="199"/>
      <c r="E138" s="199"/>
      <c r="F138" s="712"/>
      <c r="G138" s="712"/>
      <c r="H138" s="712"/>
      <c r="I138" s="199"/>
      <c r="J138" s="711"/>
      <c r="K138" s="711"/>
    </row>
    <row r="139" spans="1:11">
      <c r="A139" s="712"/>
      <c r="B139" s="199"/>
      <c r="C139" s="713"/>
      <c r="D139" s="199"/>
      <c r="E139" s="199"/>
      <c r="F139" s="712"/>
      <c r="G139" s="712"/>
      <c r="H139" s="712"/>
      <c r="I139" s="199"/>
      <c r="J139" s="711"/>
      <c r="K139" s="711"/>
    </row>
    <row r="140" spans="1:11">
      <c r="A140" s="712"/>
      <c r="B140" s="199"/>
      <c r="C140" s="713"/>
      <c r="D140" s="199"/>
      <c r="E140" s="199"/>
      <c r="F140" s="712"/>
      <c r="G140" s="712"/>
      <c r="H140" s="712"/>
      <c r="I140" s="199"/>
      <c r="J140" s="711"/>
      <c r="K140" s="711"/>
    </row>
    <row r="141" spans="1:11">
      <c r="A141" s="712"/>
      <c r="B141" s="199"/>
      <c r="C141" s="713"/>
      <c r="D141" s="199"/>
      <c r="E141" s="199"/>
      <c r="F141" s="712"/>
      <c r="G141" s="712"/>
      <c r="H141" s="712"/>
      <c r="I141" s="199"/>
      <c r="J141" s="711"/>
      <c r="K141" s="711"/>
    </row>
    <row r="142" spans="1:11">
      <c r="A142" s="712"/>
      <c r="B142" s="199"/>
      <c r="C142" s="713"/>
      <c r="D142" s="199"/>
      <c r="E142" s="199"/>
      <c r="F142" s="712"/>
      <c r="G142" s="712"/>
      <c r="H142" s="712"/>
      <c r="I142" s="199"/>
      <c r="J142" s="711"/>
      <c r="K142" s="711"/>
    </row>
    <row r="143" spans="1:11">
      <c r="A143" s="712"/>
      <c r="B143" s="199"/>
      <c r="C143" s="713"/>
      <c r="D143" s="199"/>
      <c r="E143" s="199"/>
      <c r="F143" s="712"/>
      <c r="G143" s="712"/>
      <c r="H143" s="712"/>
      <c r="I143" s="199"/>
      <c r="J143" s="711"/>
      <c r="K143" s="711"/>
    </row>
    <row r="144" spans="1:11">
      <c r="A144" s="712"/>
      <c r="B144" s="199"/>
      <c r="C144" s="713"/>
      <c r="D144" s="199"/>
      <c r="E144" s="199"/>
      <c r="F144" s="712"/>
      <c r="G144" s="712"/>
      <c r="H144" s="712"/>
      <c r="I144" s="199"/>
      <c r="J144" s="711"/>
      <c r="K144" s="711"/>
    </row>
    <row r="145" spans="1:11">
      <c r="A145" s="712"/>
      <c r="B145" s="199"/>
      <c r="C145" s="713"/>
      <c r="D145" s="199"/>
      <c r="E145" s="199"/>
      <c r="F145" s="712"/>
      <c r="G145" s="712"/>
      <c r="H145" s="712"/>
      <c r="I145" s="199"/>
      <c r="J145" s="711"/>
      <c r="K145" s="711"/>
    </row>
    <row r="146" spans="1:11">
      <c r="A146" s="712"/>
      <c r="B146" s="199"/>
      <c r="C146" s="713"/>
      <c r="D146" s="199"/>
      <c r="E146" s="199"/>
      <c r="F146" s="712"/>
      <c r="G146" s="712"/>
      <c r="H146" s="712"/>
      <c r="I146" s="199"/>
      <c r="J146" s="711"/>
      <c r="K146" s="711"/>
    </row>
    <row r="147" spans="1:11">
      <c r="A147" s="712"/>
      <c r="B147" s="199"/>
      <c r="C147" s="713"/>
      <c r="D147" s="199"/>
      <c r="E147" s="199"/>
      <c r="F147" s="712"/>
      <c r="G147" s="712"/>
      <c r="H147" s="712"/>
      <c r="I147" s="199"/>
      <c r="J147" s="711"/>
      <c r="K147" s="711"/>
    </row>
    <row r="148" spans="1:11">
      <c r="A148" s="712"/>
      <c r="B148" s="199"/>
      <c r="C148" s="713"/>
      <c r="D148" s="199"/>
      <c r="E148" s="199"/>
      <c r="F148" s="712"/>
      <c r="G148" s="712"/>
      <c r="H148" s="712"/>
      <c r="I148" s="199"/>
      <c r="J148" s="711"/>
      <c r="K148" s="711"/>
    </row>
    <row r="149" spans="1:11">
      <c r="A149" s="712"/>
      <c r="B149" s="199"/>
      <c r="C149" s="713"/>
      <c r="D149" s="199"/>
      <c r="E149" s="199"/>
      <c r="F149" s="712"/>
      <c r="G149" s="712"/>
      <c r="H149" s="712"/>
      <c r="I149" s="199"/>
      <c r="J149" s="711"/>
      <c r="K149" s="711"/>
    </row>
    <row r="150" spans="1:11">
      <c r="A150" s="712"/>
      <c r="B150" s="199"/>
      <c r="C150" s="713"/>
      <c r="D150" s="199"/>
      <c r="E150" s="199"/>
      <c r="F150" s="712"/>
      <c r="G150" s="712"/>
      <c r="H150" s="712"/>
      <c r="I150" s="199"/>
      <c r="J150" s="711"/>
      <c r="K150" s="711"/>
    </row>
    <row r="151" spans="1:11">
      <c r="A151" s="712"/>
      <c r="B151" s="199"/>
      <c r="C151" s="713"/>
      <c r="D151" s="199"/>
      <c r="E151" s="199"/>
      <c r="F151" s="712"/>
      <c r="G151" s="712"/>
      <c r="H151" s="712"/>
      <c r="I151" s="199"/>
      <c r="J151" s="711"/>
      <c r="K151" s="711"/>
    </row>
    <row r="152" spans="1:11">
      <c r="A152" s="712"/>
      <c r="B152" s="199"/>
      <c r="C152" s="713"/>
      <c r="D152" s="199"/>
      <c r="E152" s="199"/>
      <c r="F152" s="712"/>
      <c r="G152" s="712"/>
      <c r="H152" s="712"/>
      <c r="I152" s="199"/>
      <c r="J152" s="711"/>
      <c r="K152" s="711"/>
    </row>
    <row r="153" spans="1:11">
      <c r="A153" s="712"/>
      <c r="B153" s="199"/>
      <c r="C153" s="713"/>
      <c r="D153" s="199"/>
      <c r="E153" s="199"/>
      <c r="F153" s="712"/>
      <c r="G153" s="714"/>
      <c r="H153" s="712"/>
      <c r="I153" s="199"/>
      <c r="J153" s="711"/>
      <c r="K153" s="711"/>
    </row>
    <row r="154" spans="1:11">
      <c r="A154" s="712"/>
      <c r="B154" s="199"/>
      <c r="C154" s="713"/>
      <c r="D154" s="199"/>
      <c r="E154" s="199"/>
      <c r="F154" s="712"/>
      <c r="G154" s="712"/>
      <c r="H154" s="712"/>
      <c r="I154" s="199"/>
      <c r="J154" s="711"/>
      <c r="K154" s="711"/>
    </row>
    <row r="155" spans="1:11">
      <c r="A155" s="712"/>
      <c r="B155" s="199"/>
      <c r="C155" s="713"/>
      <c r="D155" s="199"/>
      <c r="E155" s="199"/>
      <c r="F155" s="712"/>
      <c r="G155" s="712"/>
      <c r="H155" s="712"/>
      <c r="I155" s="199"/>
      <c r="J155" s="711"/>
      <c r="K155" s="711"/>
    </row>
    <row r="156" spans="1:11">
      <c r="A156" s="712"/>
      <c r="B156" s="199"/>
      <c r="C156" s="713"/>
      <c r="D156" s="199"/>
      <c r="E156" s="199"/>
      <c r="F156" s="712"/>
      <c r="G156" s="712"/>
      <c r="H156" s="712"/>
      <c r="I156" s="199"/>
      <c r="J156" s="711"/>
      <c r="K156" s="711"/>
    </row>
    <row r="157" spans="1:11">
      <c r="A157" s="712"/>
      <c r="B157" s="199"/>
      <c r="C157" s="713"/>
      <c r="D157" s="199"/>
      <c r="E157" s="199"/>
      <c r="F157" s="712"/>
      <c r="G157" s="712"/>
      <c r="H157" s="712"/>
      <c r="I157" s="199"/>
      <c r="J157" s="711"/>
      <c r="K157" s="711"/>
    </row>
    <row r="158" spans="1:11">
      <c r="A158" s="712"/>
      <c r="B158" s="199"/>
      <c r="C158" s="713"/>
      <c r="D158" s="199"/>
      <c r="E158" s="199"/>
      <c r="F158" s="712"/>
      <c r="G158" s="714"/>
      <c r="H158" s="712"/>
      <c r="I158" s="199"/>
      <c r="J158" s="711"/>
      <c r="K158" s="711"/>
    </row>
    <row r="159" spans="1:11">
      <c r="A159" s="712"/>
      <c r="B159" s="199"/>
      <c r="C159" s="713"/>
      <c r="D159" s="199"/>
      <c r="E159" s="199"/>
      <c r="F159" s="712"/>
      <c r="G159" s="712"/>
      <c r="H159" s="712"/>
      <c r="I159" s="199"/>
      <c r="J159" s="711"/>
      <c r="K159" s="711"/>
    </row>
    <row r="160" spans="1:11">
      <c r="A160" s="712"/>
      <c r="B160" s="199"/>
      <c r="C160" s="713"/>
      <c r="D160" s="199"/>
      <c r="E160" s="199"/>
      <c r="F160" s="712"/>
      <c r="G160" s="712"/>
      <c r="H160" s="712"/>
      <c r="I160" s="199"/>
      <c r="J160" s="711"/>
      <c r="K160" s="711"/>
    </row>
    <row r="161" spans="1:11">
      <c r="A161" s="712"/>
      <c r="B161" s="199"/>
      <c r="C161" s="713"/>
      <c r="D161" s="199"/>
      <c r="E161" s="199"/>
      <c r="F161" s="712"/>
      <c r="G161" s="712"/>
      <c r="H161" s="712"/>
      <c r="I161" s="199"/>
      <c r="J161" s="711"/>
      <c r="K161" s="711"/>
    </row>
    <row r="162" spans="1:11">
      <c r="A162" s="712"/>
      <c r="B162" s="199"/>
      <c r="C162" s="713"/>
      <c r="D162" s="199"/>
      <c r="E162" s="199"/>
      <c r="F162" s="712"/>
      <c r="G162" s="712"/>
      <c r="H162" s="712"/>
      <c r="I162" s="199"/>
      <c r="J162" s="711"/>
      <c r="K162" s="711"/>
    </row>
    <row r="163" spans="1:11">
      <c r="A163" s="712"/>
      <c r="B163" s="199"/>
      <c r="C163" s="713"/>
      <c r="D163" s="199"/>
      <c r="E163" s="199"/>
      <c r="F163" s="712"/>
      <c r="G163" s="712"/>
      <c r="H163" s="712"/>
      <c r="I163" s="199"/>
      <c r="J163" s="711"/>
      <c r="K163" s="711"/>
    </row>
    <row r="164" spans="1:11">
      <c r="A164" s="712"/>
      <c r="B164" s="199"/>
      <c r="C164" s="713"/>
      <c r="D164" s="199"/>
      <c r="E164" s="199"/>
      <c r="F164" s="712"/>
      <c r="G164" s="712"/>
      <c r="H164" s="712"/>
      <c r="I164" s="199"/>
      <c r="J164" s="711"/>
      <c r="K164" s="711"/>
    </row>
    <row r="165" spans="1:11">
      <c r="A165" s="712"/>
      <c r="B165" s="199"/>
      <c r="C165" s="713"/>
      <c r="D165" s="199"/>
      <c r="E165" s="199"/>
      <c r="F165" s="712"/>
      <c r="G165" s="712"/>
      <c r="H165" s="712"/>
      <c r="I165" s="199"/>
      <c r="J165" s="711"/>
      <c r="K165" s="711"/>
    </row>
    <row r="166" spans="1:11">
      <c r="A166" s="712"/>
      <c r="B166" s="199"/>
      <c r="C166" s="713"/>
      <c r="D166" s="199"/>
      <c r="E166" s="199"/>
      <c r="F166" s="712"/>
      <c r="G166" s="712"/>
      <c r="H166" s="712"/>
      <c r="I166" s="199"/>
      <c r="J166" s="711"/>
      <c r="K166" s="711"/>
    </row>
    <row r="167" spans="1:11">
      <c r="A167" s="712"/>
      <c r="B167" s="199"/>
      <c r="C167" s="713"/>
      <c r="D167" s="199"/>
      <c r="E167" s="199"/>
      <c r="F167" s="712"/>
      <c r="G167" s="712"/>
      <c r="H167" s="712"/>
      <c r="I167" s="199"/>
      <c r="J167" s="711"/>
      <c r="K167" s="711"/>
    </row>
    <row r="168" spans="1:11">
      <c r="A168" s="712"/>
      <c r="B168" s="199"/>
      <c r="C168" s="713"/>
      <c r="D168" s="199"/>
      <c r="E168" s="199"/>
      <c r="F168" s="712"/>
      <c r="G168" s="712"/>
      <c r="H168" s="712"/>
      <c r="I168" s="199"/>
      <c r="J168" s="711"/>
      <c r="K168" s="711"/>
    </row>
    <row r="169" spans="1:11">
      <c r="A169" s="712"/>
      <c r="B169" s="199"/>
      <c r="C169" s="713"/>
      <c r="D169" s="199"/>
      <c r="E169" s="199"/>
      <c r="F169" s="712"/>
      <c r="G169" s="712"/>
      <c r="H169" s="712"/>
      <c r="I169" s="199"/>
      <c r="J169" s="711"/>
      <c r="K169" s="711"/>
    </row>
    <row r="170" spans="1:11">
      <c r="A170" s="712"/>
      <c r="B170" s="199"/>
      <c r="C170" s="713"/>
      <c r="D170" s="199"/>
      <c r="E170" s="199"/>
      <c r="F170" s="712"/>
      <c r="G170" s="712"/>
      <c r="H170" s="712"/>
      <c r="I170" s="199"/>
      <c r="J170" s="711"/>
      <c r="K170" s="711"/>
    </row>
    <row r="171" spans="1:11">
      <c r="A171" s="712"/>
      <c r="B171" s="199"/>
      <c r="C171" s="713"/>
      <c r="D171" s="199"/>
      <c r="E171" s="199"/>
      <c r="F171" s="712"/>
      <c r="G171" s="712"/>
      <c r="H171" s="712"/>
      <c r="I171" s="199"/>
      <c r="J171" s="711"/>
      <c r="K171" s="711"/>
    </row>
    <row r="172" spans="1:11">
      <c r="A172" s="712"/>
      <c r="B172" s="199"/>
      <c r="C172" s="713"/>
      <c r="D172" s="199"/>
      <c r="E172" s="199"/>
      <c r="F172" s="712"/>
      <c r="G172" s="712"/>
      <c r="H172" s="712"/>
      <c r="I172" s="199"/>
      <c r="J172" s="711"/>
      <c r="K172" s="711"/>
    </row>
    <row r="173" spans="1:11">
      <c r="A173" s="712"/>
      <c r="B173" s="199"/>
      <c r="C173" s="713"/>
      <c r="D173" s="199"/>
      <c r="E173" s="199"/>
      <c r="F173" s="712"/>
      <c r="G173" s="712"/>
      <c r="H173" s="712"/>
      <c r="I173" s="199"/>
      <c r="J173" s="711"/>
      <c r="K173" s="711"/>
    </row>
    <row r="174" spans="1:11">
      <c r="A174" s="712"/>
      <c r="B174" s="199"/>
      <c r="C174" s="713"/>
      <c r="D174" s="199"/>
      <c r="E174" s="199"/>
      <c r="F174" s="712"/>
      <c r="G174" s="714"/>
      <c r="H174" s="712"/>
      <c r="I174" s="199"/>
      <c r="J174" s="711"/>
      <c r="K174" s="711"/>
    </row>
    <row r="175" spans="1:11">
      <c r="A175" s="712"/>
      <c r="B175" s="199"/>
      <c r="C175" s="713"/>
      <c r="D175" s="199"/>
      <c r="E175" s="199"/>
      <c r="F175" s="712"/>
      <c r="G175" s="712"/>
      <c r="H175" s="712"/>
      <c r="I175" s="199"/>
      <c r="J175" s="711"/>
      <c r="K175" s="711"/>
    </row>
    <row r="176" spans="1:11">
      <c r="A176" s="712"/>
      <c r="B176" s="199"/>
      <c r="C176" s="713"/>
      <c r="D176" s="199"/>
      <c r="E176" s="199"/>
      <c r="F176" s="712"/>
      <c r="G176" s="712"/>
      <c r="H176" s="712"/>
      <c r="I176" s="199"/>
      <c r="J176" s="711"/>
      <c r="K176" s="711"/>
    </row>
    <row r="177" spans="1:11">
      <c r="A177" s="712"/>
      <c r="B177" s="199"/>
      <c r="C177" s="713"/>
      <c r="D177" s="199"/>
      <c r="E177" s="199"/>
      <c r="F177" s="712"/>
      <c r="G177" s="712"/>
      <c r="H177" s="712"/>
      <c r="I177" s="199"/>
      <c r="J177" s="711"/>
      <c r="K177" s="711"/>
    </row>
    <row r="178" spans="1:11">
      <c r="A178" s="712"/>
      <c r="B178" s="199"/>
      <c r="C178" s="713"/>
      <c r="D178" s="199"/>
      <c r="E178" s="199"/>
      <c r="F178" s="712"/>
      <c r="G178" s="712"/>
      <c r="H178" s="712"/>
      <c r="I178" s="199"/>
      <c r="J178" s="711"/>
      <c r="K178" s="711"/>
    </row>
    <row r="179" spans="1:11">
      <c r="A179" s="712"/>
      <c r="B179" s="199"/>
      <c r="C179" s="713"/>
      <c r="D179" s="199"/>
      <c r="E179" s="199"/>
      <c r="F179" s="712"/>
      <c r="G179" s="712"/>
      <c r="H179" s="712"/>
      <c r="I179" s="199"/>
      <c r="J179" s="711"/>
      <c r="K179" s="711"/>
    </row>
    <row r="180" spans="1:11">
      <c r="A180" s="712"/>
      <c r="B180" s="199"/>
      <c r="C180" s="713"/>
      <c r="D180" s="199"/>
      <c r="E180" s="199"/>
      <c r="F180" s="712"/>
      <c r="G180" s="712"/>
      <c r="H180" s="712"/>
      <c r="I180" s="199"/>
      <c r="J180" s="711"/>
      <c r="K180" s="711"/>
    </row>
    <row r="181" spans="1:11">
      <c r="A181" s="712"/>
      <c r="B181" s="199"/>
      <c r="C181" s="713"/>
      <c r="D181" s="199"/>
      <c r="E181" s="199"/>
      <c r="F181" s="712"/>
      <c r="G181" s="712"/>
      <c r="H181" s="712"/>
      <c r="I181" s="199"/>
      <c r="J181" s="711"/>
      <c r="K181" s="711"/>
    </row>
    <row r="182" spans="1:11">
      <c r="A182" s="712"/>
      <c r="B182" s="199"/>
      <c r="C182" s="713"/>
      <c r="D182" s="199"/>
      <c r="E182" s="199"/>
      <c r="F182" s="712"/>
      <c r="G182" s="714"/>
      <c r="H182" s="712"/>
      <c r="I182" s="199"/>
      <c r="J182" s="711"/>
      <c r="K182" s="711"/>
    </row>
    <row r="183" spans="1:11">
      <c r="A183" s="712"/>
      <c r="B183" s="199"/>
      <c r="C183" s="713"/>
      <c r="D183" s="199"/>
      <c r="E183" s="199"/>
      <c r="F183" s="712"/>
      <c r="G183" s="712"/>
      <c r="H183" s="712"/>
      <c r="I183" s="199"/>
      <c r="J183" s="711"/>
      <c r="K183" s="711"/>
    </row>
    <row r="184" spans="1:11">
      <c r="A184" s="712"/>
      <c r="B184" s="199"/>
      <c r="C184" s="713"/>
      <c r="D184" s="199"/>
      <c r="E184" s="199"/>
      <c r="F184" s="712"/>
      <c r="G184" s="712"/>
      <c r="H184" s="712"/>
      <c r="I184" s="199"/>
      <c r="J184" s="711"/>
      <c r="K184" s="711"/>
    </row>
    <row r="185" spans="1:11">
      <c r="A185" s="712"/>
      <c r="B185" s="199"/>
      <c r="C185" s="713"/>
      <c r="D185" s="199"/>
      <c r="E185" s="199"/>
      <c r="F185" s="712"/>
      <c r="G185" s="712"/>
      <c r="H185" s="712"/>
      <c r="I185" s="199"/>
      <c r="J185" s="711"/>
      <c r="K185" s="711"/>
    </row>
    <row r="186" spans="1:11">
      <c r="A186" s="712"/>
      <c r="B186" s="199"/>
      <c r="C186" s="713"/>
      <c r="D186" s="199"/>
      <c r="E186" s="199"/>
      <c r="F186" s="712"/>
      <c r="G186" s="712"/>
      <c r="H186" s="712"/>
      <c r="I186" s="199"/>
      <c r="J186" s="711"/>
      <c r="K186" s="711"/>
    </row>
    <row r="187" spans="1:11">
      <c r="A187" s="712"/>
      <c r="B187" s="199"/>
      <c r="C187" s="713"/>
      <c r="D187" s="199"/>
      <c r="E187" s="199"/>
      <c r="F187" s="712"/>
      <c r="G187" s="714"/>
      <c r="H187" s="712"/>
      <c r="I187" s="199"/>
      <c r="J187" s="711"/>
      <c r="K187" s="711"/>
    </row>
    <row r="188" spans="1:11">
      <c r="A188" s="712"/>
      <c r="B188" s="199"/>
      <c r="C188" s="713"/>
      <c r="D188" s="199"/>
      <c r="E188" s="199"/>
      <c r="F188" s="712"/>
      <c r="G188" s="712"/>
      <c r="H188" s="712"/>
      <c r="I188" s="199"/>
      <c r="J188" s="711"/>
      <c r="K188" s="711"/>
    </row>
    <row r="189" spans="1:11">
      <c r="A189" s="712"/>
      <c r="B189" s="199"/>
      <c r="C189" s="713"/>
      <c r="D189" s="199"/>
      <c r="E189" s="199"/>
      <c r="F189" s="712"/>
      <c r="G189" s="712"/>
      <c r="H189" s="712"/>
      <c r="I189" s="199"/>
      <c r="J189" s="711"/>
      <c r="K189" s="711"/>
    </row>
    <row r="190" spans="1:11">
      <c r="A190" s="712"/>
      <c r="B190" s="199"/>
      <c r="C190" s="713"/>
      <c r="D190" s="199"/>
      <c r="E190" s="199"/>
      <c r="F190" s="712"/>
      <c r="G190" s="712"/>
      <c r="H190" s="712"/>
      <c r="I190" s="199"/>
      <c r="J190" s="711"/>
      <c r="K190" s="711"/>
    </row>
    <row r="191" spans="1:11">
      <c r="A191" s="712"/>
      <c r="B191" s="199"/>
      <c r="C191" s="713"/>
      <c r="D191" s="199"/>
      <c r="E191" s="199"/>
      <c r="F191" s="712"/>
      <c r="G191" s="712"/>
      <c r="H191" s="712"/>
      <c r="I191" s="199"/>
      <c r="J191" s="711"/>
      <c r="K191" s="711"/>
    </row>
    <row r="192" spans="1:11">
      <c r="A192" s="712"/>
      <c r="B192" s="199"/>
      <c r="C192" s="713"/>
      <c r="D192" s="199"/>
      <c r="E192" s="199"/>
      <c r="F192" s="712"/>
      <c r="G192" s="712"/>
      <c r="H192" s="712"/>
      <c r="I192" s="199"/>
      <c r="J192" s="711"/>
      <c r="K192" s="711"/>
    </row>
    <row r="193" spans="1:11">
      <c r="A193" s="712"/>
      <c r="B193" s="199"/>
      <c r="C193" s="713"/>
      <c r="D193" s="199"/>
      <c r="E193" s="199"/>
      <c r="F193" s="712"/>
      <c r="G193" s="714"/>
      <c r="H193" s="712"/>
      <c r="I193" s="199"/>
      <c r="J193" s="711"/>
      <c r="K193" s="711"/>
    </row>
    <row r="194" spans="1:11">
      <c r="A194" s="712"/>
      <c r="B194" s="199"/>
      <c r="C194" s="713"/>
      <c r="D194" s="199"/>
      <c r="E194" s="199"/>
      <c r="F194" s="712"/>
      <c r="G194" s="712"/>
      <c r="H194" s="712"/>
      <c r="I194" s="199"/>
      <c r="J194" s="711"/>
      <c r="K194" s="711"/>
    </row>
    <row r="195" spans="1:11">
      <c r="A195" s="712"/>
      <c r="B195" s="199"/>
      <c r="C195" s="713"/>
      <c r="D195" s="199"/>
      <c r="E195" s="199"/>
      <c r="F195" s="712"/>
      <c r="G195" s="712"/>
      <c r="H195" s="712"/>
      <c r="I195" s="199"/>
      <c r="J195" s="711"/>
      <c r="K195" s="711"/>
    </row>
    <row r="196" spans="1:11">
      <c r="A196" s="712"/>
      <c r="B196" s="715"/>
      <c r="C196" s="716"/>
      <c r="D196" s="715"/>
      <c r="E196" s="199"/>
      <c r="F196" s="712"/>
      <c r="G196" s="717"/>
      <c r="H196" s="712"/>
      <c r="I196" s="715"/>
      <c r="J196" s="711"/>
      <c r="K196" s="711"/>
    </row>
    <row r="197" spans="1:11">
      <c r="A197" s="712"/>
      <c r="B197" s="199"/>
      <c r="C197" s="713"/>
      <c r="D197" s="199"/>
      <c r="E197" s="199"/>
      <c r="F197" s="712"/>
      <c r="G197" s="712"/>
      <c r="H197" s="712"/>
      <c r="I197" s="199"/>
      <c r="J197" s="711"/>
      <c r="K197" s="711"/>
    </row>
    <row r="198" spans="1:11">
      <c r="A198" s="712"/>
      <c r="B198" s="199"/>
      <c r="C198" s="713"/>
      <c r="D198" s="199"/>
      <c r="E198" s="199"/>
      <c r="F198" s="712"/>
      <c r="G198" s="712"/>
      <c r="H198" s="712"/>
      <c r="I198" s="199"/>
      <c r="J198" s="711"/>
      <c r="K198" s="711"/>
    </row>
    <row r="199" spans="1:11">
      <c r="A199" s="712"/>
      <c r="B199" s="199"/>
      <c r="C199" s="713"/>
      <c r="D199" s="199"/>
      <c r="E199" s="199"/>
      <c r="F199" s="712"/>
      <c r="G199" s="712"/>
      <c r="H199" s="712"/>
      <c r="I199" s="199"/>
      <c r="J199" s="711"/>
      <c r="K199" s="711"/>
    </row>
    <row r="200" spans="1:11">
      <c r="A200" s="712"/>
      <c r="B200" s="199"/>
      <c r="C200" s="713"/>
      <c r="D200" s="199"/>
      <c r="E200" s="199"/>
      <c r="F200" s="712"/>
      <c r="G200" s="714"/>
      <c r="H200" s="712"/>
      <c r="I200" s="199"/>
      <c r="J200" s="711"/>
      <c r="K200" s="711"/>
    </row>
    <row r="201" spans="1:11">
      <c r="A201" s="712"/>
      <c r="B201" s="199"/>
      <c r="C201" s="713"/>
      <c r="D201" s="199"/>
      <c r="E201" s="199"/>
      <c r="F201" s="712"/>
      <c r="G201" s="712"/>
      <c r="H201" s="712"/>
      <c r="I201" s="199"/>
      <c r="J201" s="711"/>
      <c r="K201" s="711"/>
    </row>
    <row r="202" spans="1:11">
      <c r="A202" s="712"/>
      <c r="B202" s="199"/>
      <c r="C202" s="713"/>
      <c r="D202" s="199"/>
      <c r="E202" s="199"/>
      <c r="F202" s="712"/>
      <c r="G202" s="712"/>
      <c r="H202" s="712"/>
      <c r="I202" s="199"/>
      <c r="J202" s="711"/>
      <c r="K202" s="711"/>
    </row>
    <row r="203" spans="1:11">
      <c r="A203" s="712"/>
      <c r="B203" s="199"/>
      <c r="C203" s="713"/>
      <c r="D203" s="199"/>
      <c r="E203" s="199"/>
      <c r="F203" s="712"/>
      <c r="G203" s="712"/>
      <c r="H203" s="712"/>
      <c r="I203" s="199"/>
      <c r="J203" s="711"/>
      <c r="K203" s="711"/>
    </row>
    <row r="204" spans="1:11">
      <c r="A204" s="712"/>
      <c r="B204" s="199"/>
      <c r="C204" s="713"/>
      <c r="D204" s="199"/>
      <c r="E204" s="199"/>
      <c r="F204" s="712"/>
      <c r="G204" s="712"/>
      <c r="H204" s="712"/>
      <c r="I204" s="199"/>
      <c r="J204" s="711"/>
      <c r="K204" s="711"/>
    </row>
    <row r="205" spans="1:11">
      <c r="A205" s="712"/>
      <c r="B205" s="199"/>
      <c r="C205" s="713"/>
      <c r="D205" s="199"/>
      <c r="E205" s="199"/>
      <c r="F205" s="712"/>
      <c r="G205" s="712"/>
      <c r="H205" s="712"/>
      <c r="I205" s="199"/>
      <c r="J205" s="711"/>
      <c r="K205" s="711"/>
    </row>
    <row r="206" spans="1:11">
      <c r="A206" s="712"/>
      <c r="B206" s="199"/>
      <c r="C206" s="713"/>
      <c r="D206" s="199"/>
      <c r="E206" s="199"/>
      <c r="F206" s="712"/>
      <c r="G206" s="712"/>
      <c r="H206" s="712"/>
      <c r="I206" s="199"/>
      <c r="J206" s="711"/>
      <c r="K206" s="711"/>
    </row>
    <row r="207" spans="1:11">
      <c r="A207" s="712"/>
      <c r="B207" s="199"/>
      <c r="C207" s="713"/>
      <c r="D207" s="199"/>
      <c r="E207" s="199"/>
      <c r="F207" s="712"/>
      <c r="G207" s="712"/>
      <c r="H207" s="712"/>
      <c r="I207" s="199"/>
      <c r="J207" s="711"/>
      <c r="K207" s="711"/>
    </row>
    <row r="208" spans="1:11">
      <c r="A208" s="712"/>
      <c r="B208" s="199"/>
      <c r="C208" s="713"/>
      <c r="D208" s="199"/>
      <c r="E208" s="199"/>
      <c r="F208" s="712"/>
      <c r="G208" s="712"/>
      <c r="H208" s="712"/>
      <c r="I208" s="199"/>
      <c r="J208" s="711"/>
      <c r="K208" s="711"/>
    </row>
    <row r="209" spans="1:11">
      <c r="A209" s="712"/>
      <c r="B209" s="199"/>
      <c r="C209" s="713"/>
      <c r="D209" s="199"/>
      <c r="E209" s="199"/>
      <c r="F209" s="712"/>
      <c r="G209" s="712"/>
      <c r="H209" s="712"/>
      <c r="I209" s="199"/>
      <c r="J209" s="711"/>
      <c r="K209" s="711"/>
    </row>
    <row r="210" spans="1:11">
      <c r="A210" s="712"/>
      <c r="B210" s="199"/>
      <c r="C210" s="713"/>
      <c r="D210" s="199"/>
      <c r="E210" s="199"/>
      <c r="F210" s="712"/>
      <c r="G210" s="712"/>
      <c r="H210" s="712"/>
      <c r="I210" s="199"/>
      <c r="J210" s="711"/>
      <c r="K210" s="711"/>
    </row>
    <row r="211" spans="1:11">
      <c r="A211" s="712"/>
      <c r="B211" s="199"/>
      <c r="C211" s="713"/>
      <c r="D211" s="199"/>
      <c r="E211" s="199"/>
      <c r="F211" s="712"/>
      <c r="G211" s="712"/>
      <c r="H211" s="712"/>
      <c r="I211" s="199"/>
      <c r="J211" s="711"/>
      <c r="K211" s="711"/>
    </row>
    <row r="212" spans="1:11">
      <c r="A212" s="712"/>
      <c r="B212" s="199"/>
      <c r="C212" s="713"/>
      <c r="D212" s="199"/>
      <c r="E212" s="199"/>
      <c r="F212" s="712"/>
      <c r="G212" s="712"/>
      <c r="H212" s="712"/>
      <c r="I212" s="199"/>
      <c r="J212" s="711"/>
      <c r="K212" s="711"/>
    </row>
    <row r="213" spans="1:11">
      <c r="A213" s="712"/>
      <c r="B213" s="199"/>
      <c r="C213" s="713"/>
      <c r="D213" s="199"/>
      <c r="E213" s="199"/>
      <c r="F213" s="712"/>
      <c r="G213" s="712"/>
      <c r="H213" s="712"/>
      <c r="I213" s="199"/>
      <c r="J213" s="711"/>
      <c r="K213" s="711"/>
    </row>
    <row r="214" spans="1:11">
      <c r="A214" s="712"/>
      <c r="B214" s="199"/>
      <c r="C214" s="713"/>
      <c r="D214" s="199"/>
      <c r="E214" s="199"/>
      <c r="F214" s="712"/>
      <c r="G214" s="712"/>
      <c r="H214" s="712"/>
      <c r="I214" s="199"/>
      <c r="J214" s="711"/>
      <c r="K214" s="711"/>
    </row>
    <row r="215" spans="1:11">
      <c r="A215" s="712"/>
      <c r="B215" s="199"/>
      <c r="C215" s="713"/>
      <c r="D215" s="199"/>
      <c r="E215" s="199"/>
      <c r="F215" s="712"/>
      <c r="G215" s="712"/>
      <c r="H215" s="712"/>
      <c r="I215" s="199"/>
      <c r="J215" s="711"/>
      <c r="K215" s="711"/>
    </row>
    <row r="216" spans="1:11">
      <c r="A216" s="712"/>
      <c r="B216" s="199"/>
      <c r="C216" s="713"/>
      <c r="D216" s="199"/>
      <c r="E216" s="199"/>
      <c r="F216" s="712"/>
      <c r="G216" s="712"/>
      <c r="H216" s="712"/>
      <c r="I216" s="199"/>
      <c r="J216" s="711"/>
      <c r="K216" s="711"/>
    </row>
    <row r="217" spans="1:11">
      <c r="A217" s="712"/>
      <c r="B217" s="199"/>
      <c r="C217" s="713"/>
      <c r="D217" s="199"/>
      <c r="E217" s="199"/>
      <c r="F217" s="712"/>
      <c r="G217" s="712"/>
      <c r="H217" s="712"/>
      <c r="I217" s="199"/>
      <c r="J217" s="711"/>
      <c r="K217" s="711"/>
    </row>
    <row r="218" spans="1:11">
      <c r="A218" s="712"/>
      <c r="B218" s="199"/>
      <c r="C218" s="713"/>
      <c r="D218" s="199"/>
      <c r="E218" s="199"/>
      <c r="F218" s="712"/>
      <c r="G218" s="714"/>
      <c r="H218" s="712"/>
      <c r="I218" s="199"/>
      <c r="J218" s="711"/>
      <c r="K218" s="711"/>
    </row>
    <row r="219" spans="1:11">
      <c r="A219" s="712"/>
      <c r="B219" s="199"/>
      <c r="C219" s="713"/>
      <c r="D219" s="199"/>
      <c r="E219" s="199"/>
      <c r="F219" s="712"/>
      <c r="G219" s="714"/>
      <c r="H219" s="712"/>
      <c r="I219" s="199"/>
      <c r="J219" s="711"/>
      <c r="K219" s="711"/>
    </row>
    <row r="220" spans="1:11">
      <c r="A220" s="712"/>
      <c r="B220" s="199"/>
      <c r="C220" s="713"/>
      <c r="D220" s="199"/>
      <c r="E220" s="199"/>
      <c r="F220" s="712"/>
      <c r="G220" s="712"/>
      <c r="H220" s="712"/>
      <c r="I220" s="199"/>
      <c r="J220" s="711"/>
      <c r="K220" s="711"/>
    </row>
    <row r="221" spans="1:11">
      <c r="A221" s="712"/>
      <c r="B221" s="199"/>
      <c r="C221" s="713"/>
      <c r="D221" s="199"/>
      <c r="E221" s="199"/>
      <c r="F221" s="712"/>
      <c r="G221" s="712"/>
      <c r="H221" s="712"/>
      <c r="I221" s="199"/>
      <c r="J221" s="711"/>
      <c r="K221" s="711"/>
    </row>
    <row r="222" spans="1:11">
      <c r="A222" s="712"/>
      <c r="B222" s="199"/>
      <c r="C222" s="713"/>
      <c r="D222" s="199"/>
      <c r="E222" s="199"/>
      <c r="F222" s="712"/>
      <c r="G222" s="712"/>
      <c r="H222" s="712"/>
      <c r="I222" s="199"/>
      <c r="J222" s="711"/>
      <c r="K222" s="711"/>
    </row>
    <row r="223" spans="1:11">
      <c r="A223" s="712"/>
      <c r="B223" s="199"/>
      <c r="C223" s="713"/>
      <c r="D223" s="199"/>
      <c r="E223" s="199"/>
      <c r="F223" s="712"/>
      <c r="G223" s="712"/>
      <c r="H223" s="712"/>
      <c r="I223" s="199"/>
      <c r="J223" s="711"/>
      <c r="K223" s="711"/>
    </row>
    <row r="224" spans="1:11">
      <c r="A224" s="712"/>
      <c r="B224" s="199"/>
      <c r="C224" s="713"/>
      <c r="D224" s="199"/>
      <c r="E224" s="199"/>
      <c r="F224" s="712"/>
      <c r="G224" s="712"/>
      <c r="H224" s="712"/>
      <c r="I224" s="199"/>
      <c r="J224" s="711"/>
      <c r="K224" s="711"/>
    </row>
    <row r="225" spans="1:11">
      <c r="A225" s="712"/>
      <c r="B225" s="199"/>
      <c r="C225" s="713"/>
      <c r="D225" s="199"/>
      <c r="E225" s="199"/>
      <c r="F225" s="712"/>
      <c r="G225" s="712"/>
      <c r="H225" s="712"/>
      <c r="I225" s="199"/>
      <c r="J225" s="711"/>
      <c r="K225" s="711"/>
    </row>
    <row r="226" spans="1:11">
      <c r="A226" s="712"/>
      <c r="B226" s="199"/>
      <c r="C226" s="713"/>
      <c r="D226" s="199"/>
      <c r="E226" s="199"/>
      <c r="F226" s="712"/>
      <c r="G226" s="714"/>
      <c r="H226" s="712"/>
      <c r="I226" s="199"/>
      <c r="J226" s="711"/>
      <c r="K226" s="711"/>
    </row>
    <row r="227" spans="1:11">
      <c r="A227" s="712"/>
      <c r="B227" s="199"/>
      <c r="C227" s="713"/>
      <c r="D227" s="199"/>
      <c r="E227" s="199"/>
      <c r="F227" s="712"/>
      <c r="G227" s="714"/>
      <c r="H227" s="712"/>
      <c r="I227" s="199"/>
      <c r="J227" s="711"/>
      <c r="K227" s="711"/>
    </row>
    <row r="228" spans="1:11">
      <c r="A228" s="712"/>
      <c r="B228" s="199"/>
      <c r="C228" s="713"/>
      <c r="D228" s="199"/>
      <c r="E228" s="199"/>
      <c r="F228" s="712"/>
      <c r="G228" s="712"/>
      <c r="H228" s="712"/>
      <c r="I228" s="199"/>
      <c r="J228" s="711"/>
      <c r="K228" s="711"/>
    </row>
    <row r="229" spans="1:11">
      <c r="A229" s="712"/>
      <c r="B229" s="199"/>
      <c r="C229" s="713"/>
      <c r="D229" s="199"/>
      <c r="E229" s="199"/>
      <c r="F229" s="712"/>
      <c r="G229" s="712"/>
      <c r="H229" s="712"/>
      <c r="I229" s="199"/>
      <c r="J229" s="711"/>
      <c r="K229" s="711"/>
    </row>
    <row r="230" spans="1:11">
      <c r="A230" s="712"/>
      <c r="B230" s="199"/>
      <c r="C230" s="713"/>
      <c r="D230" s="199"/>
      <c r="E230" s="199"/>
      <c r="F230" s="712"/>
      <c r="G230" s="714"/>
      <c r="H230" s="712"/>
      <c r="I230" s="199"/>
      <c r="J230" s="711"/>
      <c r="K230" s="711"/>
    </row>
    <row r="231" spans="1:11">
      <c r="A231" s="712"/>
      <c r="B231" s="199"/>
      <c r="C231" s="713"/>
      <c r="D231" s="199"/>
      <c r="E231" s="199"/>
      <c r="F231" s="712"/>
      <c r="G231" s="712"/>
      <c r="H231" s="712"/>
      <c r="I231" s="199"/>
      <c r="J231" s="711"/>
      <c r="K231" s="711"/>
    </row>
    <row r="232" spans="1:11">
      <c r="A232" s="712"/>
      <c r="B232" s="199"/>
      <c r="C232" s="713"/>
      <c r="D232" s="199"/>
      <c r="E232" s="199"/>
      <c r="F232" s="712"/>
      <c r="G232" s="712"/>
      <c r="H232" s="712"/>
      <c r="I232" s="199"/>
      <c r="J232" s="711"/>
      <c r="K232" s="711"/>
    </row>
    <row r="233" spans="1:11">
      <c r="A233" s="712"/>
      <c r="B233" s="199"/>
      <c r="C233" s="713"/>
      <c r="D233" s="199"/>
      <c r="E233" s="199"/>
      <c r="F233" s="712"/>
      <c r="G233" s="712"/>
      <c r="H233" s="712"/>
      <c r="I233" s="199"/>
      <c r="J233" s="711"/>
      <c r="K233" s="711"/>
    </row>
    <row r="234" spans="1:11">
      <c r="A234" s="712"/>
      <c r="B234" s="199"/>
      <c r="C234" s="713"/>
      <c r="D234" s="199"/>
      <c r="E234" s="199"/>
      <c r="F234" s="712"/>
      <c r="G234" s="712"/>
      <c r="H234" s="712"/>
      <c r="I234" s="199"/>
      <c r="J234" s="711"/>
      <c r="K234" s="711"/>
    </row>
    <row r="235" spans="1:11">
      <c r="A235" s="712"/>
      <c r="B235" s="199"/>
      <c r="C235" s="713"/>
      <c r="D235" s="199"/>
      <c r="E235" s="199"/>
      <c r="F235" s="712"/>
      <c r="G235" s="712"/>
      <c r="H235" s="712"/>
      <c r="I235" s="199"/>
      <c r="J235" s="711"/>
      <c r="K235" s="711"/>
    </row>
    <row r="236" spans="1:11">
      <c r="A236" s="712"/>
      <c r="B236" s="199"/>
      <c r="C236" s="713"/>
      <c r="D236" s="199"/>
      <c r="E236" s="199"/>
      <c r="F236" s="712"/>
      <c r="G236" s="712"/>
      <c r="H236" s="712"/>
      <c r="I236" s="199"/>
      <c r="J236" s="711"/>
      <c r="K236" s="711"/>
    </row>
    <row r="237" spans="1:11">
      <c r="A237" s="712"/>
      <c r="B237" s="199"/>
      <c r="C237" s="713"/>
      <c r="D237" s="199"/>
      <c r="E237" s="199"/>
      <c r="F237" s="712"/>
      <c r="G237" s="712"/>
      <c r="H237" s="712"/>
      <c r="I237" s="199"/>
      <c r="J237" s="711"/>
      <c r="K237" s="711"/>
    </row>
    <row r="238" spans="1:11">
      <c r="A238" s="712"/>
      <c r="B238" s="199"/>
      <c r="C238" s="713"/>
      <c r="D238" s="199"/>
      <c r="E238" s="199"/>
      <c r="F238" s="712"/>
      <c r="G238" s="712"/>
      <c r="H238" s="712"/>
      <c r="I238" s="199"/>
      <c r="J238" s="711"/>
      <c r="K238" s="711"/>
    </row>
    <row r="239" spans="1:11">
      <c r="A239" s="712"/>
      <c r="B239" s="199"/>
      <c r="C239" s="713"/>
      <c r="D239" s="199"/>
      <c r="E239" s="199"/>
      <c r="F239" s="712"/>
      <c r="G239" s="712"/>
      <c r="H239" s="712"/>
      <c r="I239" s="199"/>
      <c r="J239" s="711"/>
      <c r="K239" s="711"/>
    </row>
    <row r="240" spans="1:11">
      <c r="A240" s="712"/>
      <c r="B240" s="199"/>
      <c r="C240" s="713"/>
      <c r="D240" s="199"/>
      <c r="E240" s="199"/>
      <c r="F240" s="712"/>
      <c r="G240" s="712"/>
      <c r="H240" s="712"/>
      <c r="I240" s="199"/>
      <c r="J240" s="711"/>
      <c r="K240" s="711"/>
    </row>
    <row r="241" spans="1:11">
      <c r="A241" s="712"/>
      <c r="B241" s="199"/>
      <c r="C241" s="713"/>
      <c r="D241" s="199"/>
      <c r="E241" s="199"/>
      <c r="F241" s="712"/>
      <c r="G241" s="712"/>
      <c r="H241" s="712"/>
      <c r="I241" s="199"/>
      <c r="J241" s="711"/>
      <c r="K241" s="711"/>
    </row>
    <row r="242" spans="1:11">
      <c r="A242" s="712"/>
      <c r="B242" s="199"/>
      <c r="C242" s="713"/>
      <c r="D242" s="199"/>
      <c r="E242" s="199"/>
      <c r="F242" s="712"/>
      <c r="G242" s="712"/>
      <c r="H242" s="712"/>
      <c r="I242" s="199"/>
      <c r="J242" s="711"/>
      <c r="K242" s="711"/>
    </row>
    <row r="243" spans="1:11">
      <c r="A243" s="712"/>
      <c r="B243" s="199"/>
      <c r="C243" s="713"/>
      <c r="D243" s="199"/>
      <c r="E243" s="199"/>
      <c r="F243" s="712"/>
      <c r="G243" s="712"/>
      <c r="H243" s="712"/>
      <c r="I243" s="199"/>
      <c r="J243" s="711"/>
      <c r="K243" s="711"/>
    </row>
    <row r="244" spans="1:11">
      <c r="A244" s="712"/>
      <c r="B244" s="199"/>
      <c r="C244" s="713"/>
      <c r="D244" s="199"/>
      <c r="E244" s="199"/>
      <c r="F244" s="712"/>
      <c r="G244" s="712"/>
      <c r="H244" s="712"/>
      <c r="I244" s="199"/>
      <c r="J244" s="711"/>
      <c r="K244" s="711"/>
    </row>
    <row r="245" spans="1:11">
      <c r="A245" s="712"/>
      <c r="B245" s="199"/>
      <c r="C245" s="713"/>
      <c r="D245" s="199"/>
      <c r="E245" s="199"/>
      <c r="F245" s="712"/>
      <c r="G245" s="712"/>
      <c r="H245" s="712"/>
      <c r="I245" s="199"/>
      <c r="J245" s="711"/>
      <c r="K245" s="711"/>
    </row>
    <row r="246" spans="1:11">
      <c r="A246" s="712"/>
      <c r="B246" s="199"/>
      <c r="C246" s="713"/>
      <c r="D246" s="199"/>
      <c r="E246" s="199"/>
      <c r="F246" s="712"/>
      <c r="G246" s="714"/>
      <c r="H246" s="712"/>
      <c r="I246" s="199"/>
      <c r="J246" s="711"/>
      <c r="K246" s="711"/>
    </row>
    <row r="247" spans="1:11">
      <c r="A247" s="712"/>
      <c r="B247" s="199"/>
      <c r="C247" s="713"/>
      <c r="D247" s="199"/>
      <c r="E247" s="199"/>
      <c r="F247" s="712"/>
      <c r="G247" s="712"/>
      <c r="H247" s="712"/>
      <c r="I247" s="199"/>
      <c r="J247" s="711"/>
      <c r="K247" s="711"/>
    </row>
    <row r="248" spans="1:11">
      <c r="A248" s="712"/>
      <c r="B248" s="199"/>
      <c r="C248" s="713"/>
      <c r="D248" s="199"/>
      <c r="E248" s="199"/>
      <c r="F248" s="712"/>
      <c r="G248" s="712"/>
      <c r="H248" s="712"/>
      <c r="I248" s="199"/>
      <c r="J248" s="711"/>
      <c r="K248" s="711"/>
    </row>
    <row r="249" spans="1:11">
      <c r="A249" s="712"/>
      <c r="B249" s="199"/>
      <c r="C249" s="713"/>
      <c r="D249" s="199"/>
      <c r="E249" s="199"/>
      <c r="F249" s="712"/>
      <c r="G249" s="712"/>
      <c r="H249" s="712"/>
      <c r="I249" s="199"/>
      <c r="J249" s="711"/>
      <c r="K249" s="711"/>
    </row>
    <row r="250" spans="1:11">
      <c r="A250" s="712"/>
      <c r="B250" s="199"/>
      <c r="C250" s="713"/>
      <c r="D250" s="199"/>
      <c r="E250" s="199"/>
      <c r="F250" s="712"/>
      <c r="G250" s="712"/>
      <c r="H250" s="712"/>
      <c r="I250" s="199"/>
      <c r="J250" s="711"/>
      <c r="K250" s="711"/>
    </row>
    <row r="251" spans="1:11">
      <c r="A251" s="712"/>
      <c r="B251" s="199"/>
      <c r="C251" s="713"/>
      <c r="D251" s="199"/>
      <c r="E251" s="199"/>
      <c r="F251" s="712"/>
      <c r="G251" s="712"/>
      <c r="H251" s="712"/>
      <c r="I251" s="199"/>
      <c r="J251" s="711"/>
      <c r="K251" s="711"/>
    </row>
    <row r="252" spans="1:11">
      <c r="A252" s="712"/>
      <c r="B252" s="199"/>
      <c r="C252" s="713"/>
      <c r="D252" s="199"/>
      <c r="E252" s="199"/>
      <c r="F252" s="712"/>
      <c r="G252" s="712"/>
      <c r="H252" s="712"/>
      <c r="I252" s="199"/>
      <c r="J252" s="711"/>
      <c r="K252" s="711"/>
    </row>
    <row r="253" spans="1:11">
      <c r="A253" s="712"/>
      <c r="B253" s="199"/>
      <c r="C253" s="713"/>
      <c r="D253" s="199"/>
      <c r="E253" s="199"/>
      <c r="F253" s="712"/>
      <c r="G253" s="712"/>
      <c r="H253" s="712"/>
      <c r="I253" s="199"/>
      <c r="J253" s="711"/>
      <c r="K253" s="711"/>
    </row>
    <row r="254" spans="1:11">
      <c r="A254" s="712"/>
      <c r="B254" s="199"/>
      <c r="C254" s="713"/>
      <c r="D254" s="199"/>
      <c r="E254" s="199"/>
      <c r="F254" s="712"/>
      <c r="G254" s="712"/>
      <c r="H254" s="712"/>
      <c r="I254" s="199"/>
      <c r="J254" s="711"/>
      <c r="K254" s="711"/>
    </row>
    <row r="255" spans="1:11">
      <c r="A255" s="712"/>
      <c r="B255" s="199"/>
      <c r="C255" s="713"/>
      <c r="D255" s="199"/>
      <c r="E255" s="199"/>
      <c r="F255" s="712"/>
      <c r="G255" s="712"/>
      <c r="H255" s="712"/>
      <c r="I255" s="199"/>
      <c r="J255" s="711"/>
      <c r="K255" s="711"/>
    </row>
    <row r="256" spans="1:11">
      <c r="A256" s="712"/>
      <c r="B256" s="199"/>
      <c r="C256" s="713"/>
      <c r="D256" s="199"/>
      <c r="E256" s="199"/>
      <c r="F256" s="712"/>
      <c r="G256" s="712"/>
      <c r="H256" s="712"/>
      <c r="I256" s="199"/>
      <c r="J256" s="711"/>
      <c r="K256" s="711"/>
    </row>
    <row r="257" spans="1:11">
      <c r="A257" s="712"/>
      <c r="B257" s="199"/>
      <c r="C257" s="713"/>
      <c r="D257" s="199"/>
      <c r="E257" s="199"/>
      <c r="F257" s="712"/>
      <c r="G257" s="712"/>
      <c r="H257" s="712"/>
      <c r="I257" s="199"/>
      <c r="J257" s="711"/>
      <c r="K257" s="711"/>
    </row>
    <row r="258" spans="1:11">
      <c r="A258" s="712"/>
      <c r="B258" s="199"/>
      <c r="C258" s="713"/>
      <c r="D258" s="199"/>
      <c r="E258" s="199"/>
      <c r="F258" s="712"/>
      <c r="G258" s="712"/>
      <c r="H258" s="712"/>
      <c r="I258" s="199"/>
      <c r="J258" s="711"/>
      <c r="K258" s="711"/>
    </row>
    <row r="259" spans="1:11">
      <c r="A259" s="712"/>
      <c r="B259" s="199"/>
      <c r="C259" s="713"/>
      <c r="D259" s="199"/>
      <c r="E259" s="199"/>
      <c r="F259" s="712"/>
      <c r="G259" s="714"/>
      <c r="H259" s="712"/>
      <c r="I259" s="199"/>
      <c r="J259" s="711"/>
      <c r="K259" s="711"/>
    </row>
    <row r="260" spans="1:11">
      <c r="A260" s="712"/>
      <c r="B260" s="199"/>
      <c r="C260" s="713"/>
      <c r="D260" s="199"/>
      <c r="E260" s="199"/>
      <c r="F260" s="712"/>
      <c r="G260" s="712"/>
      <c r="H260" s="712"/>
      <c r="I260" s="199"/>
      <c r="J260" s="711"/>
      <c r="K260" s="711"/>
    </row>
    <row r="261" spans="1:11">
      <c r="A261" s="712"/>
      <c r="B261" s="199"/>
      <c r="C261" s="713"/>
      <c r="D261" s="199"/>
      <c r="E261" s="199"/>
      <c r="F261" s="712"/>
      <c r="G261" s="714"/>
      <c r="H261" s="712"/>
      <c r="I261" s="199"/>
      <c r="J261" s="711"/>
      <c r="K261" s="711"/>
    </row>
    <row r="262" spans="1:11">
      <c r="A262" s="712"/>
      <c r="B262" s="199"/>
      <c r="C262" s="713"/>
      <c r="D262" s="199"/>
      <c r="E262" s="199"/>
      <c r="F262" s="712"/>
      <c r="G262" s="712"/>
      <c r="H262" s="712"/>
      <c r="I262" s="199"/>
      <c r="J262" s="711"/>
      <c r="K262" s="711"/>
    </row>
    <row r="263" spans="1:11">
      <c r="A263" s="712"/>
      <c r="B263" s="199"/>
      <c r="C263" s="713"/>
      <c r="D263" s="199"/>
      <c r="E263" s="199"/>
      <c r="F263" s="712"/>
      <c r="G263" s="712"/>
      <c r="H263" s="712"/>
      <c r="I263" s="199"/>
      <c r="J263" s="711"/>
      <c r="K263" s="711"/>
    </row>
    <row r="264" spans="1:11">
      <c r="A264" s="712"/>
      <c r="B264" s="199"/>
      <c r="C264" s="713"/>
      <c r="D264" s="199"/>
      <c r="E264" s="199"/>
      <c r="F264" s="712"/>
      <c r="G264" s="712"/>
      <c r="H264" s="712"/>
      <c r="I264" s="199"/>
      <c r="J264" s="711"/>
      <c r="K264" s="711"/>
    </row>
    <row r="265" spans="1:11">
      <c r="A265" s="712"/>
      <c r="B265" s="199"/>
      <c r="C265" s="713"/>
      <c r="D265" s="199"/>
      <c r="E265" s="199"/>
      <c r="F265" s="712"/>
      <c r="G265" s="712"/>
      <c r="H265" s="712"/>
      <c r="I265" s="199"/>
      <c r="J265" s="711"/>
      <c r="K265" s="711"/>
    </row>
    <row r="266" spans="1:11">
      <c r="A266" s="712"/>
      <c r="B266" s="199"/>
      <c r="C266" s="713"/>
      <c r="D266" s="199"/>
      <c r="E266" s="199"/>
      <c r="F266" s="712"/>
      <c r="G266" s="714"/>
      <c r="H266" s="712"/>
      <c r="I266" s="199"/>
      <c r="J266" s="711"/>
      <c r="K266" s="711"/>
    </row>
    <row r="267" spans="1:11">
      <c r="A267" s="712"/>
      <c r="B267" s="199"/>
      <c r="C267" s="713"/>
      <c r="D267" s="199"/>
      <c r="E267" s="199"/>
      <c r="F267" s="712"/>
      <c r="G267" s="712"/>
      <c r="H267" s="712"/>
      <c r="I267" s="199"/>
      <c r="J267" s="711"/>
      <c r="K267" s="711"/>
    </row>
    <row r="268" spans="1:11">
      <c r="A268" s="712"/>
      <c r="B268" s="199"/>
      <c r="C268" s="713"/>
      <c r="D268" s="199"/>
      <c r="E268" s="199"/>
      <c r="F268" s="712"/>
      <c r="G268" s="712"/>
      <c r="H268" s="712"/>
      <c r="I268" s="199"/>
      <c r="J268" s="711"/>
      <c r="K268" s="711"/>
    </row>
    <row r="269" spans="1:11">
      <c r="A269" s="712"/>
      <c r="B269" s="199"/>
      <c r="C269" s="713"/>
      <c r="D269" s="199"/>
      <c r="E269" s="199"/>
      <c r="F269" s="712"/>
      <c r="G269" s="712"/>
      <c r="H269" s="712"/>
      <c r="I269" s="199"/>
      <c r="J269" s="711"/>
      <c r="K269" s="711"/>
    </row>
    <row r="270" spans="1:11">
      <c r="A270" s="712"/>
      <c r="B270" s="199"/>
      <c r="C270" s="713"/>
      <c r="D270" s="199"/>
      <c r="E270" s="199"/>
      <c r="F270" s="712"/>
      <c r="G270" s="712"/>
      <c r="H270" s="712"/>
      <c r="I270" s="199"/>
      <c r="J270" s="711"/>
      <c r="K270" s="711"/>
    </row>
    <row r="271" spans="1:11">
      <c r="A271" s="712"/>
      <c r="B271" s="199"/>
      <c r="C271" s="713"/>
      <c r="D271" s="199"/>
      <c r="E271" s="199"/>
      <c r="F271" s="712"/>
      <c r="G271" s="712"/>
      <c r="H271" s="712"/>
      <c r="I271" s="199"/>
      <c r="J271" s="711"/>
      <c r="K271" s="711"/>
    </row>
    <row r="272" spans="1:11">
      <c r="A272" s="712"/>
      <c r="B272" s="199"/>
      <c r="C272" s="713"/>
      <c r="D272" s="199"/>
      <c r="E272" s="199"/>
      <c r="F272" s="712"/>
      <c r="G272" s="712"/>
      <c r="H272" s="712"/>
      <c r="I272" s="199"/>
      <c r="J272" s="711"/>
      <c r="K272" s="711"/>
    </row>
    <row r="273" spans="1:11">
      <c r="A273" s="712"/>
      <c r="B273" s="199"/>
      <c r="C273" s="713"/>
      <c r="D273" s="199"/>
      <c r="E273" s="199"/>
      <c r="F273" s="712"/>
      <c r="G273" s="712"/>
      <c r="H273" s="712"/>
      <c r="I273" s="199"/>
      <c r="J273" s="711"/>
      <c r="K273" s="711"/>
    </row>
    <row r="274" spans="1:11">
      <c r="A274" s="712"/>
      <c r="B274" s="199"/>
      <c r="C274" s="713"/>
      <c r="D274" s="199"/>
      <c r="E274" s="199"/>
      <c r="F274" s="712"/>
      <c r="G274" s="714"/>
      <c r="H274" s="712"/>
      <c r="I274" s="199"/>
      <c r="J274" s="711"/>
      <c r="K274" s="711"/>
    </row>
    <row r="275" spans="1:11">
      <c r="A275" s="712"/>
      <c r="B275" s="199"/>
      <c r="C275" s="713"/>
      <c r="D275" s="199"/>
      <c r="E275" s="199"/>
      <c r="F275" s="712"/>
      <c r="G275" s="712"/>
      <c r="H275" s="712"/>
      <c r="I275" s="199"/>
      <c r="J275" s="711"/>
      <c r="K275" s="711"/>
    </row>
    <row r="276" spans="1:11">
      <c r="A276" s="712"/>
      <c r="B276" s="199"/>
      <c r="C276" s="713"/>
      <c r="D276" s="199"/>
      <c r="E276" s="199"/>
      <c r="F276" s="712"/>
      <c r="G276" s="714"/>
      <c r="H276" s="712"/>
      <c r="I276" s="199"/>
      <c r="J276" s="711"/>
      <c r="K276" s="711"/>
    </row>
    <row r="277" spans="1:11">
      <c r="A277" s="712"/>
      <c r="B277" s="199"/>
      <c r="C277" s="713"/>
      <c r="D277" s="199"/>
      <c r="E277" s="199"/>
      <c r="F277" s="712"/>
      <c r="G277" s="712"/>
      <c r="H277" s="712"/>
      <c r="I277" s="199"/>
      <c r="J277" s="711"/>
      <c r="K277" s="711"/>
    </row>
    <row r="278" spans="1:11">
      <c r="A278" s="712"/>
      <c r="B278" s="199"/>
      <c r="C278" s="713"/>
      <c r="D278" s="199"/>
      <c r="E278" s="199"/>
      <c r="F278" s="712"/>
      <c r="G278" s="712"/>
      <c r="H278" s="712"/>
      <c r="I278" s="199"/>
      <c r="J278" s="711"/>
      <c r="K278" s="711"/>
    </row>
    <row r="279" spans="1:11">
      <c r="A279" s="712"/>
      <c r="B279" s="199"/>
      <c r="C279" s="713"/>
      <c r="D279" s="199"/>
      <c r="E279" s="199"/>
      <c r="F279" s="712"/>
      <c r="G279" s="712"/>
      <c r="H279" s="712"/>
      <c r="I279" s="199"/>
      <c r="J279" s="711"/>
      <c r="K279" s="711"/>
    </row>
    <row r="280" spans="1:11">
      <c r="A280" s="712"/>
      <c r="B280" s="199"/>
      <c r="C280" s="713"/>
      <c r="D280" s="199"/>
      <c r="E280" s="199"/>
      <c r="F280" s="712"/>
      <c r="G280" s="712"/>
      <c r="H280" s="712"/>
      <c r="I280" s="199"/>
      <c r="J280" s="711"/>
      <c r="K280" s="711"/>
    </row>
    <row r="281" spans="1:11">
      <c r="A281" s="712"/>
      <c r="B281" s="199"/>
      <c r="C281" s="713"/>
      <c r="D281" s="199"/>
      <c r="E281" s="199"/>
      <c r="F281" s="712"/>
      <c r="G281" s="712"/>
      <c r="H281" s="712"/>
      <c r="I281" s="199"/>
      <c r="J281" s="711"/>
      <c r="K281" s="711"/>
    </row>
    <row r="282" spans="1:11">
      <c r="A282" s="712"/>
      <c r="B282" s="199"/>
      <c r="C282" s="713"/>
      <c r="D282" s="199"/>
      <c r="E282" s="199"/>
      <c r="F282" s="712"/>
      <c r="G282" s="712"/>
      <c r="H282" s="712"/>
      <c r="I282" s="199"/>
      <c r="J282" s="711"/>
      <c r="K282" s="711"/>
    </row>
    <row r="283" spans="1:11">
      <c r="A283" s="712"/>
      <c r="B283" s="199"/>
      <c r="C283" s="713"/>
      <c r="D283" s="199"/>
      <c r="E283" s="199"/>
      <c r="F283" s="712"/>
      <c r="G283" s="712"/>
      <c r="H283" s="712"/>
      <c r="I283" s="199"/>
      <c r="J283" s="711"/>
      <c r="K283" s="711"/>
    </row>
    <row r="284" spans="1:11">
      <c r="A284" s="712"/>
      <c r="B284" s="199"/>
      <c r="C284" s="713"/>
      <c r="D284" s="199"/>
      <c r="E284" s="199"/>
      <c r="F284" s="712"/>
      <c r="G284" s="712"/>
      <c r="H284" s="712"/>
      <c r="I284" s="199"/>
      <c r="J284" s="711"/>
      <c r="K284" s="711"/>
    </row>
    <row r="285" spans="1:11">
      <c r="A285" s="712"/>
      <c r="B285" s="199"/>
      <c r="C285" s="713"/>
      <c r="D285" s="199"/>
      <c r="E285" s="199"/>
      <c r="F285" s="712"/>
      <c r="G285" s="714"/>
      <c r="H285" s="712"/>
      <c r="I285" s="199"/>
      <c r="J285" s="711"/>
      <c r="K285" s="711"/>
    </row>
    <row r="286" spans="1:11">
      <c r="A286" s="712"/>
      <c r="B286" s="199"/>
      <c r="C286" s="713"/>
      <c r="D286" s="199"/>
      <c r="E286" s="199"/>
      <c r="F286" s="712"/>
      <c r="G286" s="714"/>
      <c r="H286" s="712"/>
      <c r="I286" s="199"/>
      <c r="J286" s="711"/>
      <c r="K286" s="711"/>
    </row>
    <row r="287" spans="1:11">
      <c r="A287" s="712"/>
      <c r="B287" s="199"/>
      <c r="C287" s="713"/>
      <c r="D287" s="199"/>
      <c r="E287" s="199"/>
      <c r="F287" s="712"/>
      <c r="G287" s="712"/>
      <c r="H287" s="712"/>
      <c r="I287" s="199"/>
      <c r="J287" s="711"/>
      <c r="K287" s="711"/>
    </row>
    <row r="288" spans="1:11">
      <c r="A288" s="712"/>
      <c r="B288" s="199"/>
      <c r="C288" s="713"/>
      <c r="D288" s="199"/>
      <c r="E288" s="199"/>
      <c r="F288" s="712"/>
      <c r="G288" s="712"/>
      <c r="H288" s="712"/>
      <c r="I288" s="199"/>
      <c r="J288" s="711"/>
      <c r="K288" s="711"/>
    </row>
    <row r="289" spans="1:11">
      <c r="A289" s="712"/>
      <c r="B289" s="199"/>
      <c r="C289" s="713"/>
      <c r="D289" s="199"/>
      <c r="E289" s="199"/>
      <c r="F289" s="712"/>
      <c r="G289" s="712"/>
      <c r="H289" s="712"/>
      <c r="I289" s="199"/>
      <c r="J289" s="711"/>
      <c r="K289" s="711"/>
    </row>
    <row r="290" spans="1:11">
      <c r="A290" s="712"/>
      <c r="B290" s="199"/>
      <c r="C290" s="713"/>
      <c r="D290" s="199"/>
      <c r="E290" s="199"/>
      <c r="F290" s="712"/>
      <c r="G290" s="712"/>
      <c r="H290" s="712"/>
      <c r="I290" s="199"/>
      <c r="J290" s="711"/>
      <c r="K290" s="711"/>
    </row>
    <row r="291" spans="1:11">
      <c r="A291" s="712"/>
      <c r="B291" s="199"/>
      <c r="C291" s="713"/>
      <c r="D291" s="199"/>
      <c r="E291" s="199"/>
      <c r="F291" s="712"/>
      <c r="G291" s="712"/>
      <c r="H291" s="712"/>
      <c r="I291" s="199"/>
      <c r="J291" s="711"/>
      <c r="K291" s="711"/>
    </row>
    <row r="292" spans="1:11">
      <c r="A292" s="712"/>
      <c r="B292" s="199"/>
      <c r="C292" s="713"/>
      <c r="D292" s="199"/>
      <c r="E292" s="199"/>
      <c r="F292" s="712"/>
      <c r="G292" s="714"/>
      <c r="H292" s="712"/>
      <c r="I292" s="199"/>
      <c r="J292" s="711"/>
      <c r="K292" s="711"/>
    </row>
    <row r="293" spans="1:11">
      <c r="A293" s="712"/>
      <c r="B293" s="199"/>
      <c r="C293" s="713"/>
      <c r="D293" s="199"/>
      <c r="E293" s="199"/>
      <c r="F293" s="712"/>
      <c r="G293" s="712"/>
      <c r="H293" s="712"/>
      <c r="I293" s="199"/>
      <c r="J293" s="711"/>
      <c r="K293" s="711"/>
    </row>
    <row r="294" spans="1:11">
      <c r="A294" s="712"/>
      <c r="B294" s="199"/>
      <c r="C294" s="713"/>
      <c r="D294" s="199"/>
      <c r="E294" s="199"/>
      <c r="F294" s="712"/>
      <c r="G294" s="714"/>
      <c r="H294" s="712"/>
      <c r="I294" s="199"/>
      <c r="J294" s="711"/>
      <c r="K294" s="711"/>
    </row>
    <row r="295" spans="1:11">
      <c r="A295" s="712"/>
      <c r="B295" s="199"/>
      <c r="C295" s="713"/>
      <c r="D295" s="199"/>
      <c r="E295" s="199"/>
      <c r="F295" s="712"/>
      <c r="G295" s="712"/>
      <c r="H295" s="712"/>
      <c r="I295" s="199"/>
      <c r="J295" s="711"/>
      <c r="K295" s="711"/>
    </row>
    <row r="296" spans="1:11">
      <c r="A296" s="712"/>
      <c r="B296" s="199"/>
      <c r="C296" s="713"/>
      <c r="D296" s="199"/>
      <c r="E296" s="199"/>
      <c r="F296" s="712"/>
      <c r="G296" s="712"/>
      <c r="H296" s="712"/>
      <c r="I296" s="199"/>
      <c r="J296" s="711"/>
      <c r="K296" s="711"/>
    </row>
    <row r="297" spans="1:11">
      <c r="A297" s="712"/>
      <c r="B297" s="199"/>
      <c r="C297" s="713"/>
      <c r="D297" s="199"/>
      <c r="E297" s="199"/>
      <c r="F297" s="712"/>
      <c r="G297" s="714"/>
      <c r="H297" s="712"/>
      <c r="I297" s="199"/>
      <c r="J297" s="711"/>
      <c r="K297" s="711"/>
    </row>
    <row r="298" spans="1:11">
      <c r="A298" s="712"/>
      <c r="B298" s="199"/>
      <c r="C298" s="713"/>
      <c r="D298" s="199"/>
      <c r="E298" s="199"/>
      <c r="F298" s="712"/>
      <c r="G298" s="714"/>
      <c r="H298" s="712"/>
      <c r="I298" s="199"/>
      <c r="J298" s="711"/>
      <c r="K298" s="711"/>
    </row>
    <row r="299" spans="1:11">
      <c r="A299" s="712"/>
      <c r="B299" s="199"/>
      <c r="C299" s="713"/>
      <c r="D299" s="199"/>
      <c r="E299" s="199"/>
      <c r="F299" s="712"/>
      <c r="G299" s="714"/>
      <c r="H299" s="712"/>
      <c r="I299" s="199"/>
      <c r="J299" s="711"/>
      <c r="K299" s="711"/>
    </row>
    <row r="300" spans="1:11">
      <c r="A300" s="712"/>
      <c r="B300" s="199"/>
      <c r="C300" s="713"/>
      <c r="D300" s="199"/>
      <c r="E300" s="199"/>
      <c r="F300" s="712"/>
      <c r="G300" s="714"/>
      <c r="H300" s="712"/>
      <c r="I300" s="199"/>
      <c r="J300" s="711"/>
      <c r="K300" s="711"/>
    </row>
    <row r="301" spans="1:11">
      <c r="A301" s="712"/>
      <c r="B301" s="199"/>
      <c r="C301" s="713"/>
      <c r="D301" s="199"/>
      <c r="E301" s="199"/>
      <c r="F301" s="712"/>
      <c r="G301" s="712"/>
      <c r="H301" s="712"/>
      <c r="I301" s="199"/>
      <c r="J301" s="711"/>
      <c r="K301" s="711"/>
    </row>
    <row r="302" spans="1:11">
      <c r="A302" s="712"/>
      <c r="B302" s="199"/>
      <c r="C302" s="713"/>
      <c r="D302" s="199"/>
      <c r="E302" s="199"/>
      <c r="F302" s="712"/>
      <c r="G302" s="714"/>
      <c r="H302" s="712"/>
      <c r="I302" s="199"/>
      <c r="J302" s="711"/>
      <c r="K302" s="711"/>
    </row>
    <row r="303" spans="1:11">
      <c r="A303" s="712"/>
      <c r="B303" s="199"/>
      <c r="C303" s="713"/>
      <c r="D303" s="199"/>
      <c r="E303" s="199"/>
      <c r="F303" s="712"/>
      <c r="G303" s="712"/>
      <c r="H303" s="712"/>
      <c r="I303" s="199"/>
      <c r="J303" s="711"/>
      <c r="K303" s="711"/>
    </row>
    <row r="304" spans="1:11">
      <c r="A304" s="712"/>
      <c r="B304" s="199"/>
      <c r="C304" s="713"/>
      <c r="D304" s="199"/>
      <c r="E304" s="199"/>
      <c r="F304" s="712"/>
      <c r="G304" s="714"/>
      <c r="H304" s="712"/>
      <c r="I304" s="199"/>
      <c r="J304" s="711"/>
      <c r="K304" s="711"/>
    </row>
    <row r="305" spans="1:11">
      <c r="A305" s="712"/>
      <c r="B305" s="199"/>
      <c r="C305" s="713"/>
      <c r="D305" s="199"/>
      <c r="E305" s="199"/>
      <c r="F305" s="712"/>
      <c r="G305" s="712"/>
      <c r="H305" s="712"/>
      <c r="I305" s="199"/>
      <c r="J305" s="711"/>
      <c r="K305" s="711"/>
    </row>
    <row r="306" spans="1:11">
      <c r="A306" s="712"/>
      <c r="B306" s="199"/>
      <c r="C306" s="713"/>
      <c r="D306" s="199"/>
      <c r="E306" s="199"/>
      <c r="F306" s="712"/>
      <c r="G306" s="712"/>
      <c r="H306" s="712"/>
      <c r="I306" s="199"/>
      <c r="J306" s="711"/>
      <c r="K306" s="711"/>
    </row>
    <row r="307" spans="1:11">
      <c r="A307" s="712"/>
      <c r="B307" s="199"/>
      <c r="C307" s="713"/>
      <c r="D307" s="199"/>
      <c r="E307" s="199"/>
      <c r="F307" s="712"/>
      <c r="G307" s="714"/>
      <c r="H307" s="712"/>
      <c r="I307" s="199"/>
      <c r="J307" s="711"/>
      <c r="K307" s="711"/>
    </row>
    <row r="308" spans="1:11">
      <c r="A308" s="712"/>
      <c r="B308" s="199"/>
      <c r="C308" s="713"/>
      <c r="D308" s="199"/>
      <c r="E308" s="199"/>
      <c r="F308" s="712"/>
      <c r="G308" s="712"/>
      <c r="H308" s="712"/>
      <c r="I308" s="199"/>
      <c r="J308" s="711"/>
      <c r="K308" s="711"/>
    </row>
    <row r="309" spans="1:11">
      <c r="A309" s="712"/>
      <c r="B309" s="199"/>
      <c r="C309" s="713"/>
      <c r="D309" s="199"/>
      <c r="E309" s="199"/>
      <c r="F309" s="712"/>
      <c r="G309" s="714"/>
      <c r="H309" s="712"/>
      <c r="I309" s="199"/>
      <c r="J309" s="711"/>
      <c r="K309" s="711"/>
    </row>
    <row r="310" spans="1:11">
      <c r="A310" s="712"/>
      <c r="B310" s="199"/>
      <c r="C310" s="713"/>
      <c r="D310" s="199"/>
      <c r="E310" s="199"/>
      <c r="F310" s="712"/>
      <c r="G310" s="712"/>
      <c r="H310" s="712"/>
      <c r="I310" s="199"/>
      <c r="J310" s="711"/>
      <c r="K310" s="711"/>
    </row>
    <row r="311" spans="1:11">
      <c r="A311" s="712"/>
      <c r="B311" s="199"/>
      <c r="C311" s="713"/>
      <c r="D311" s="199"/>
      <c r="E311" s="199"/>
      <c r="F311" s="712"/>
      <c r="G311" s="712"/>
      <c r="H311" s="712"/>
      <c r="I311" s="199"/>
      <c r="J311" s="711"/>
      <c r="K311" s="711"/>
    </row>
    <row r="312" spans="1:11">
      <c r="A312" s="712"/>
      <c r="B312" s="199"/>
      <c r="C312" s="713"/>
      <c r="D312" s="199"/>
      <c r="E312" s="199"/>
      <c r="F312" s="712"/>
      <c r="G312" s="712"/>
      <c r="H312" s="712"/>
      <c r="I312" s="199"/>
      <c r="J312" s="711"/>
      <c r="K312" s="711"/>
    </row>
    <row r="313" spans="1:11">
      <c r="A313" s="712"/>
      <c r="B313" s="199"/>
      <c r="C313" s="713"/>
      <c r="D313" s="199"/>
      <c r="E313" s="199"/>
      <c r="F313" s="712"/>
      <c r="G313" s="712"/>
      <c r="H313" s="712"/>
      <c r="I313" s="199"/>
      <c r="J313" s="711"/>
      <c r="K313" s="711"/>
    </row>
    <row r="314" spans="1:11">
      <c r="A314" s="712"/>
      <c r="B314" s="199"/>
      <c r="C314" s="713"/>
      <c r="D314" s="199"/>
      <c r="E314" s="199"/>
      <c r="F314" s="712"/>
      <c r="G314" s="712"/>
      <c r="H314" s="712"/>
      <c r="I314" s="199"/>
      <c r="J314" s="711"/>
      <c r="K314" s="711"/>
    </row>
    <row r="315" spans="1:11">
      <c r="A315" s="712"/>
      <c r="B315" s="199"/>
      <c r="C315" s="713"/>
      <c r="D315" s="199"/>
      <c r="E315" s="199"/>
      <c r="F315" s="712"/>
      <c r="G315" s="714"/>
      <c r="H315" s="712"/>
      <c r="I315" s="199"/>
      <c r="J315" s="711"/>
      <c r="K315" s="711"/>
    </row>
    <row r="316" spans="1:11">
      <c r="A316" s="712"/>
      <c r="B316" s="199"/>
      <c r="C316" s="713"/>
      <c r="D316" s="199"/>
      <c r="E316" s="199"/>
      <c r="F316" s="712"/>
      <c r="G316" s="712"/>
      <c r="H316" s="712"/>
      <c r="I316" s="199"/>
      <c r="J316" s="711"/>
      <c r="K316" s="711"/>
    </row>
    <row r="317" spans="1:11">
      <c r="A317" s="712"/>
      <c r="B317" s="199"/>
      <c r="C317" s="713"/>
      <c r="D317" s="199"/>
      <c r="E317" s="199"/>
      <c r="F317" s="712"/>
      <c r="G317" s="712"/>
      <c r="H317" s="712"/>
      <c r="I317" s="199"/>
      <c r="J317" s="711"/>
      <c r="K317" s="711"/>
    </row>
    <row r="318" spans="1:11">
      <c r="A318" s="712"/>
      <c r="B318" s="199"/>
      <c r="C318" s="713"/>
      <c r="D318" s="199"/>
      <c r="E318" s="199"/>
      <c r="F318" s="712"/>
      <c r="G318" s="714"/>
      <c r="H318" s="712"/>
      <c r="I318" s="199"/>
      <c r="J318" s="711"/>
      <c r="K318" s="711"/>
    </row>
    <row r="319" spans="1:11">
      <c r="A319" s="712"/>
      <c r="B319" s="199"/>
      <c r="C319" s="713"/>
      <c r="D319" s="199"/>
      <c r="E319" s="199"/>
      <c r="F319" s="712"/>
      <c r="G319" s="714"/>
      <c r="H319" s="712"/>
      <c r="I319" s="199"/>
      <c r="J319" s="711"/>
      <c r="K319" s="711"/>
    </row>
    <row r="320" spans="1:11">
      <c r="A320" s="712"/>
      <c r="B320" s="199"/>
      <c r="C320" s="713"/>
      <c r="D320" s="199"/>
      <c r="E320" s="199"/>
      <c r="F320" s="712"/>
      <c r="G320" s="714"/>
      <c r="H320" s="712"/>
      <c r="I320" s="199"/>
      <c r="J320" s="711"/>
      <c r="K320" s="711"/>
    </row>
    <row r="321" spans="1:11">
      <c r="A321" s="712"/>
      <c r="B321" s="199"/>
      <c r="C321" s="713"/>
      <c r="D321" s="199"/>
      <c r="E321" s="199"/>
      <c r="F321" s="712"/>
      <c r="G321" s="714"/>
      <c r="H321" s="712"/>
      <c r="I321" s="199"/>
      <c r="J321" s="711"/>
      <c r="K321" s="711"/>
    </row>
    <row r="322" spans="1:11">
      <c r="A322" s="712"/>
      <c r="B322" s="199"/>
      <c r="C322" s="713"/>
      <c r="D322" s="199"/>
      <c r="E322" s="199"/>
      <c r="F322" s="712"/>
      <c r="G322" s="712"/>
      <c r="H322" s="712"/>
      <c r="I322" s="199"/>
      <c r="J322" s="711"/>
      <c r="K322" s="711"/>
    </row>
    <row r="323" spans="1:11">
      <c r="A323" s="712"/>
      <c r="B323" s="199"/>
      <c r="C323" s="713"/>
      <c r="D323" s="199"/>
      <c r="E323" s="199"/>
      <c r="F323" s="712"/>
      <c r="G323" s="712"/>
      <c r="H323" s="712"/>
      <c r="I323" s="199"/>
      <c r="J323" s="711"/>
      <c r="K323" s="711"/>
    </row>
    <row r="324" spans="1:11">
      <c r="A324" s="712"/>
      <c r="B324" s="199"/>
      <c r="C324" s="713"/>
      <c r="D324" s="199"/>
      <c r="E324" s="199"/>
      <c r="F324" s="712"/>
      <c r="G324" s="712"/>
      <c r="H324" s="712"/>
      <c r="I324" s="199"/>
      <c r="J324" s="711"/>
      <c r="K324" s="711"/>
    </row>
    <row r="325" spans="1:11">
      <c r="A325" s="712"/>
      <c r="B325" s="199"/>
      <c r="C325" s="713"/>
      <c r="D325" s="199"/>
      <c r="E325" s="199"/>
      <c r="F325" s="712"/>
      <c r="G325" s="712"/>
      <c r="H325" s="712"/>
      <c r="I325" s="199"/>
      <c r="J325" s="711"/>
      <c r="K325" s="711"/>
    </row>
    <row r="326" spans="1:11">
      <c r="A326" s="712"/>
      <c r="B326" s="199"/>
      <c r="C326" s="713"/>
      <c r="D326" s="199"/>
      <c r="E326" s="199"/>
      <c r="F326" s="712"/>
      <c r="G326" s="714"/>
      <c r="H326" s="712"/>
      <c r="I326" s="199"/>
      <c r="J326" s="711"/>
      <c r="K326" s="711"/>
    </row>
    <row r="327" spans="1:11">
      <c r="A327" s="712"/>
      <c r="B327" s="199"/>
      <c r="C327" s="713"/>
      <c r="D327" s="199"/>
      <c r="E327" s="199"/>
      <c r="F327" s="712"/>
      <c r="G327" s="712"/>
      <c r="H327" s="712"/>
      <c r="I327" s="199"/>
      <c r="J327" s="711"/>
      <c r="K327" s="711"/>
    </row>
    <row r="328" spans="1:11">
      <c r="A328" s="712"/>
      <c r="B328" s="199"/>
      <c r="C328" s="713"/>
      <c r="D328" s="199"/>
      <c r="E328" s="199"/>
      <c r="F328" s="712"/>
      <c r="G328" s="714"/>
      <c r="H328" s="712"/>
      <c r="I328" s="199"/>
      <c r="J328" s="711"/>
      <c r="K328" s="711"/>
    </row>
    <row r="329" spans="1:11">
      <c r="A329" s="712"/>
      <c r="B329" s="199"/>
      <c r="C329" s="713"/>
      <c r="D329" s="199"/>
      <c r="E329" s="199"/>
      <c r="F329" s="712"/>
      <c r="G329" s="712"/>
      <c r="H329" s="712"/>
      <c r="I329" s="199"/>
      <c r="J329" s="711"/>
      <c r="K329" s="711"/>
    </row>
    <row r="330" spans="1:11">
      <c r="A330" s="712"/>
      <c r="B330" s="199"/>
      <c r="C330" s="713"/>
      <c r="D330" s="199"/>
      <c r="E330" s="199"/>
      <c r="F330" s="712"/>
      <c r="G330" s="712"/>
      <c r="H330" s="712"/>
      <c r="I330" s="199"/>
      <c r="J330" s="711"/>
      <c r="K330" s="711"/>
    </row>
    <row r="331" spans="1:11">
      <c r="A331" s="712"/>
      <c r="B331" s="199"/>
      <c r="C331" s="713"/>
      <c r="D331" s="199"/>
      <c r="E331" s="199"/>
      <c r="F331" s="712"/>
      <c r="G331" s="714"/>
      <c r="H331" s="712"/>
      <c r="I331" s="199"/>
      <c r="J331" s="711"/>
      <c r="K331" s="711"/>
    </row>
    <row r="332" spans="1:11">
      <c r="A332" s="712"/>
      <c r="B332" s="199"/>
      <c r="C332" s="713"/>
      <c r="D332" s="199"/>
      <c r="E332" s="199"/>
      <c r="F332" s="712"/>
      <c r="G332" s="712"/>
      <c r="H332" s="712"/>
      <c r="I332" s="199"/>
      <c r="J332" s="711"/>
      <c r="K332" s="711"/>
    </row>
    <row r="333" spans="1:11">
      <c r="A333" s="712"/>
      <c r="B333" s="199"/>
      <c r="C333" s="713"/>
      <c r="D333" s="199"/>
      <c r="E333" s="199"/>
      <c r="F333" s="712"/>
      <c r="G333" s="714"/>
      <c r="H333" s="712"/>
      <c r="I333" s="199"/>
      <c r="J333" s="711"/>
      <c r="K333" s="711"/>
    </row>
    <row r="334" spans="1:11">
      <c r="A334" s="712"/>
      <c r="B334" s="199"/>
      <c r="C334" s="713"/>
      <c r="D334" s="199"/>
      <c r="E334" s="199"/>
      <c r="F334" s="712"/>
      <c r="G334" s="714"/>
      <c r="H334" s="712"/>
      <c r="I334" s="199"/>
      <c r="J334" s="711"/>
      <c r="K334" s="711"/>
    </row>
    <row r="335" spans="1:11">
      <c r="A335" s="712"/>
      <c r="B335" s="199"/>
      <c r="C335" s="713"/>
      <c r="D335" s="199"/>
      <c r="E335" s="199"/>
      <c r="F335" s="712"/>
      <c r="G335" s="712"/>
      <c r="H335" s="712"/>
      <c r="I335" s="199"/>
      <c r="J335" s="711"/>
      <c r="K335" s="711"/>
    </row>
    <row r="336" spans="1:11">
      <c r="A336" s="712"/>
      <c r="B336" s="199"/>
      <c r="C336" s="713"/>
      <c r="D336" s="199"/>
      <c r="E336" s="199"/>
      <c r="F336" s="712"/>
      <c r="G336" s="714"/>
      <c r="H336" s="712"/>
      <c r="I336" s="199"/>
      <c r="J336" s="711"/>
      <c r="K336" s="711"/>
    </row>
    <row r="337" spans="1:11">
      <c r="A337" s="712"/>
      <c r="B337" s="199"/>
      <c r="C337" s="713"/>
      <c r="D337" s="199"/>
      <c r="E337" s="199"/>
      <c r="F337" s="712"/>
      <c r="G337" s="712"/>
      <c r="H337" s="712"/>
      <c r="I337" s="199"/>
      <c r="J337" s="711"/>
      <c r="K337" s="711"/>
    </row>
    <row r="338" spans="1:11">
      <c r="A338" s="712"/>
      <c r="B338" s="199"/>
      <c r="C338" s="713"/>
      <c r="D338" s="199"/>
      <c r="E338" s="199"/>
      <c r="F338" s="712"/>
      <c r="G338" s="714"/>
      <c r="H338" s="712"/>
      <c r="I338" s="199"/>
      <c r="J338" s="711"/>
      <c r="K338" s="711"/>
    </row>
    <row r="339" spans="1:11">
      <c r="A339" s="712"/>
      <c r="B339" s="199"/>
      <c r="C339" s="713"/>
      <c r="D339" s="199"/>
      <c r="E339" s="199"/>
      <c r="F339" s="712"/>
      <c r="G339" s="712"/>
      <c r="H339" s="712"/>
      <c r="I339" s="199"/>
      <c r="J339" s="711"/>
      <c r="K339" s="711"/>
    </row>
    <row r="340" spans="1:11">
      <c r="A340" s="712"/>
      <c r="B340" s="199"/>
      <c r="C340" s="713"/>
      <c r="D340" s="199"/>
      <c r="E340" s="199"/>
      <c r="F340" s="712"/>
      <c r="G340" s="712"/>
      <c r="H340" s="712"/>
      <c r="I340" s="199"/>
      <c r="J340" s="711"/>
      <c r="K340" s="711"/>
    </row>
    <row r="341" spans="1:11">
      <c r="A341" s="712"/>
      <c r="B341" s="199"/>
      <c r="C341" s="713"/>
      <c r="D341" s="199"/>
      <c r="E341" s="199"/>
      <c r="F341" s="712"/>
      <c r="G341" s="712"/>
      <c r="H341" s="712"/>
      <c r="I341" s="199"/>
      <c r="J341" s="711"/>
      <c r="K341" s="711"/>
    </row>
    <row r="342" spans="1:11">
      <c r="A342" s="712"/>
      <c r="B342" s="199"/>
      <c r="C342" s="713"/>
      <c r="D342" s="199"/>
      <c r="E342" s="199"/>
      <c r="F342" s="712"/>
      <c r="G342" s="714"/>
      <c r="H342" s="712"/>
      <c r="I342" s="199"/>
      <c r="J342" s="711"/>
      <c r="K342" s="711"/>
    </row>
    <row r="343" spans="1:11">
      <c r="A343" s="712"/>
      <c r="B343" s="199"/>
      <c r="C343" s="713"/>
      <c r="D343" s="199"/>
      <c r="E343" s="199"/>
      <c r="F343" s="712"/>
      <c r="G343" s="712"/>
      <c r="H343" s="712"/>
      <c r="I343" s="199"/>
      <c r="J343" s="711"/>
      <c r="K343" s="711"/>
    </row>
    <row r="344" spans="1:11">
      <c r="A344" s="712"/>
      <c r="B344" s="199"/>
      <c r="C344" s="713"/>
      <c r="D344" s="199"/>
      <c r="E344" s="199"/>
      <c r="F344" s="712"/>
      <c r="G344" s="714"/>
      <c r="H344" s="712"/>
      <c r="I344" s="199"/>
      <c r="J344" s="711"/>
      <c r="K344" s="711"/>
    </row>
    <row r="345" spans="1:11">
      <c r="A345" s="712"/>
      <c r="B345" s="199"/>
      <c r="C345" s="713"/>
      <c r="D345" s="199"/>
      <c r="E345" s="199"/>
      <c r="F345" s="712"/>
      <c r="G345" s="714"/>
      <c r="H345" s="712"/>
      <c r="I345" s="199"/>
      <c r="J345" s="711"/>
      <c r="K345" s="711"/>
    </row>
    <row r="346" spans="1:11">
      <c r="A346" s="712"/>
      <c r="B346" s="199"/>
      <c r="C346" s="713"/>
      <c r="D346" s="199"/>
      <c r="E346" s="199"/>
      <c r="F346" s="712"/>
      <c r="G346" s="712"/>
      <c r="H346" s="712"/>
      <c r="I346" s="199"/>
      <c r="J346" s="711"/>
      <c r="K346" s="711"/>
    </row>
    <row r="347" spans="1:11">
      <c r="A347" s="712"/>
      <c r="B347" s="199"/>
      <c r="C347" s="713"/>
      <c r="D347" s="199"/>
      <c r="E347" s="199"/>
      <c r="F347" s="712"/>
      <c r="G347" s="712"/>
      <c r="H347" s="712"/>
      <c r="I347" s="199"/>
      <c r="J347" s="711"/>
      <c r="K347" s="711"/>
    </row>
    <row r="348" spans="1:11">
      <c r="A348" s="712"/>
      <c r="B348" s="199"/>
      <c r="C348" s="713"/>
      <c r="D348" s="199"/>
      <c r="E348" s="199"/>
      <c r="F348" s="712"/>
      <c r="G348" s="712"/>
      <c r="H348" s="712"/>
      <c r="I348" s="199"/>
      <c r="J348" s="711"/>
      <c r="K348" s="711"/>
    </row>
    <row r="349" spans="1:11">
      <c r="A349" s="712"/>
      <c r="B349" s="199"/>
      <c r="C349" s="713"/>
      <c r="D349" s="199"/>
      <c r="E349" s="199"/>
      <c r="F349" s="712"/>
      <c r="G349" s="712"/>
      <c r="H349" s="712"/>
      <c r="I349" s="199"/>
      <c r="J349" s="711"/>
      <c r="K349" s="711"/>
    </row>
    <row r="350" spans="1:11">
      <c r="A350" s="712"/>
      <c r="B350" s="199"/>
      <c r="C350" s="713"/>
      <c r="D350" s="199"/>
      <c r="E350" s="199"/>
      <c r="F350" s="712"/>
      <c r="G350" s="712"/>
      <c r="H350" s="712"/>
      <c r="I350" s="199"/>
      <c r="J350" s="711"/>
      <c r="K350" s="711"/>
    </row>
    <row r="351" spans="1:11">
      <c r="A351" s="712"/>
      <c r="B351" s="199"/>
      <c r="C351" s="713"/>
      <c r="D351" s="199"/>
      <c r="E351" s="199"/>
      <c r="F351" s="712"/>
      <c r="G351" s="712"/>
      <c r="H351" s="712"/>
      <c r="I351" s="199"/>
      <c r="J351" s="711"/>
      <c r="K351" s="711"/>
    </row>
    <row r="352" spans="1:11">
      <c r="A352" s="712"/>
      <c r="B352" s="199"/>
      <c r="C352" s="713"/>
      <c r="D352" s="199"/>
      <c r="E352" s="199"/>
      <c r="F352" s="712"/>
      <c r="G352" s="712"/>
      <c r="H352" s="712"/>
      <c r="I352" s="199"/>
      <c r="J352" s="711"/>
      <c r="K352" s="711"/>
    </row>
    <row r="353" spans="1:11">
      <c r="A353" s="712"/>
      <c r="B353" s="199"/>
      <c r="C353" s="713"/>
      <c r="D353" s="199"/>
      <c r="E353" s="199"/>
      <c r="F353" s="712"/>
      <c r="G353" s="714"/>
      <c r="H353" s="712"/>
      <c r="I353" s="199"/>
      <c r="J353" s="711"/>
      <c r="K353" s="711"/>
    </row>
    <row r="354" spans="1:11">
      <c r="A354" s="712"/>
      <c r="B354" s="199"/>
      <c r="C354" s="713"/>
      <c r="D354" s="199"/>
      <c r="E354" s="199"/>
      <c r="F354" s="712"/>
      <c r="G354" s="712"/>
      <c r="H354" s="712"/>
      <c r="I354" s="199"/>
      <c r="J354" s="711"/>
      <c r="K354" s="711"/>
    </row>
    <row r="355" spans="1:11">
      <c r="A355" s="712"/>
      <c r="B355" s="199"/>
      <c r="C355" s="713"/>
      <c r="D355" s="199"/>
      <c r="E355" s="199"/>
      <c r="F355" s="712"/>
      <c r="G355" s="712"/>
      <c r="H355" s="712"/>
      <c r="I355" s="199"/>
      <c r="J355" s="711"/>
      <c r="K355" s="711"/>
    </row>
    <row r="356" spans="1:11">
      <c r="A356" s="712"/>
      <c r="B356" s="199"/>
      <c r="C356" s="713"/>
      <c r="D356" s="199"/>
      <c r="E356" s="199"/>
      <c r="F356" s="712"/>
      <c r="G356" s="712"/>
      <c r="H356" s="712"/>
      <c r="I356" s="199"/>
      <c r="J356" s="711"/>
      <c r="K356" s="711"/>
    </row>
    <row r="357" spans="1:11">
      <c r="A357" s="712"/>
      <c r="B357" s="199"/>
      <c r="C357" s="713"/>
      <c r="D357" s="199"/>
      <c r="E357" s="199"/>
      <c r="F357" s="712"/>
      <c r="G357" s="712"/>
      <c r="H357" s="712"/>
      <c r="I357" s="199"/>
      <c r="J357" s="711"/>
      <c r="K357" s="711"/>
    </row>
    <row r="358" spans="1:11">
      <c r="A358" s="712"/>
      <c r="B358" s="199"/>
      <c r="C358" s="713"/>
      <c r="D358" s="199"/>
      <c r="E358" s="199"/>
      <c r="F358" s="712"/>
      <c r="G358" s="712"/>
      <c r="H358" s="712"/>
      <c r="I358" s="199"/>
      <c r="J358" s="711"/>
      <c r="K358" s="711"/>
    </row>
    <row r="359" spans="1:11">
      <c r="A359" s="712"/>
      <c r="B359" s="199"/>
      <c r="C359" s="713"/>
      <c r="D359" s="199"/>
      <c r="E359" s="199"/>
      <c r="F359" s="712"/>
      <c r="G359" s="712"/>
      <c r="H359" s="712"/>
      <c r="I359" s="199"/>
      <c r="J359" s="711"/>
      <c r="K359" s="711"/>
    </row>
    <row r="360" spans="1:11">
      <c r="A360" s="712"/>
      <c r="B360" s="199"/>
      <c r="C360" s="713"/>
      <c r="D360" s="199"/>
      <c r="E360" s="199"/>
      <c r="F360" s="712"/>
      <c r="G360" s="712"/>
      <c r="H360" s="712"/>
      <c r="I360" s="199"/>
      <c r="J360" s="711"/>
      <c r="K360" s="711"/>
    </row>
    <row r="361" spans="1:11">
      <c r="A361" s="712"/>
      <c r="B361" s="199"/>
      <c r="C361" s="713"/>
      <c r="D361" s="199"/>
      <c r="E361" s="199"/>
      <c r="F361" s="712"/>
      <c r="G361" s="712"/>
      <c r="H361" s="712"/>
      <c r="I361" s="199"/>
      <c r="J361" s="711"/>
      <c r="K361" s="711"/>
    </row>
    <row r="362" spans="1:11">
      <c r="A362" s="712"/>
      <c r="B362" s="199"/>
      <c r="C362" s="713"/>
      <c r="D362" s="199"/>
      <c r="E362" s="199"/>
      <c r="F362" s="712"/>
      <c r="G362" s="712"/>
      <c r="H362" s="712"/>
      <c r="I362" s="199"/>
      <c r="J362" s="711"/>
      <c r="K362" s="711"/>
    </row>
    <row r="363" spans="1:11">
      <c r="A363" s="712"/>
      <c r="B363" s="199"/>
      <c r="C363" s="713"/>
      <c r="D363" s="199"/>
      <c r="E363" s="199"/>
      <c r="F363" s="712"/>
      <c r="G363" s="712"/>
      <c r="H363" s="712"/>
      <c r="I363" s="199"/>
      <c r="J363" s="711"/>
      <c r="K363" s="711"/>
    </row>
    <row r="364" spans="1:11">
      <c r="A364" s="712"/>
      <c r="B364" s="199"/>
      <c r="C364" s="713"/>
      <c r="D364" s="199"/>
      <c r="E364" s="199"/>
      <c r="F364" s="712"/>
      <c r="G364" s="714"/>
      <c r="H364" s="712"/>
      <c r="I364" s="199"/>
      <c r="J364" s="711"/>
      <c r="K364" s="711"/>
    </row>
    <row r="365" spans="1:11">
      <c r="A365" s="712"/>
      <c r="B365" s="199"/>
      <c r="C365" s="713"/>
      <c r="D365" s="199"/>
      <c r="E365" s="199"/>
      <c r="F365" s="712"/>
      <c r="G365" s="712"/>
      <c r="H365" s="712"/>
      <c r="I365" s="199"/>
      <c r="J365" s="711"/>
      <c r="K365" s="711"/>
    </row>
    <row r="366" spans="1:11">
      <c r="A366" s="712"/>
      <c r="B366" s="199"/>
      <c r="C366" s="713"/>
      <c r="D366" s="199"/>
      <c r="E366" s="199"/>
      <c r="F366" s="712"/>
      <c r="G366" s="714"/>
      <c r="H366" s="712"/>
      <c r="I366" s="199"/>
      <c r="J366" s="711"/>
      <c r="K366" s="711"/>
    </row>
    <row r="367" spans="1:11">
      <c r="A367" s="712"/>
      <c r="B367" s="199"/>
      <c r="C367" s="713"/>
      <c r="D367" s="199"/>
      <c r="E367" s="199"/>
      <c r="F367" s="712"/>
      <c r="G367" s="712"/>
      <c r="H367" s="712"/>
      <c r="I367" s="199"/>
      <c r="J367" s="711"/>
      <c r="K367" s="711"/>
    </row>
    <row r="368" spans="1:11">
      <c r="A368" s="712"/>
      <c r="B368" s="199"/>
      <c r="C368" s="713"/>
      <c r="D368" s="199"/>
      <c r="E368" s="199"/>
      <c r="F368" s="712"/>
      <c r="G368" s="712"/>
      <c r="H368" s="712"/>
      <c r="I368" s="199"/>
      <c r="J368" s="711"/>
      <c r="K368" s="711"/>
    </row>
    <row r="369" spans="1:11">
      <c r="A369" s="712"/>
      <c r="B369" s="199"/>
      <c r="C369" s="713"/>
      <c r="D369" s="199"/>
      <c r="E369" s="199"/>
      <c r="F369" s="712"/>
      <c r="G369" s="712"/>
      <c r="H369" s="712"/>
      <c r="I369" s="199"/>
      <c r="J369" s="711"/>
      <c r="K369" s="711"/>
    </row>
    <row r="370" spans="1:11">
      <c r="A370" s="712"/>
      <c r="B370" s="199"/>
      <c r="C370" s="713"/>
      <c r="D370" s="199"/>
      <c r="E370" s="199"/>
      <c r="F370" s="712"/>
      <c r="G370" s="712"/>
      <c r="H370" s="712"/>
      <c r="I370" s="199"/>
      <c r="J370" s="711"/>
      <c r="K370" s="711"/>
    </row>
    <row r="371" spans="1:11">
      <c r="A371" s="712"/>
      <c r="B371" s="199"/>
      <c r="C371" s="713"/>
      <c r="D371" s="199"/>
      <c r="E371" s="199"/>
      <c r="F371" s="712"/>
      <c r="G371" s="712"/>
      <c r="H371" s="712"/>
      <c r="I371" s="199"/>
      <c r="J371" s="711"/>
      <c r="K371" s="711"/>
    </row>
    <row r="372" spans="1:11">
      <c r="A372" s="712"/>
      <c r="B372" s="199"/>
      <c r="C372" s="713"/>
      <c r="D372" s="199"/>
      <c r="E372" s="199"/>
      <c r="F372" s="712"/>
      <c r="G372" s="712"/>
      <c r="H372" s="712"/>
      <c r="I372" s="199"/>
      <c r="J372" s="711"/>
      <c r="K372" s="711"/>
    </row>
    <row r="373" spans="1:11">
      <c r="A373" s="712"/>
      <c r="B373" s="199"/>
      <c r="C373" s="713"/>
      <c r="D373" s="199"/>
      <c r="E373" s="199"/>
      <c r="F373" s="712"/>
      <c r="G373" s="712"/>
      <c r="H373" s="712"/>
      <c r="I373" s="199"/>
      <c r="J373" s="711"/>
      <c r="K373" s="711"/>
    </row>
    <row r="374" spans="1:11">
      <c r="A374" s="712"/>
      <c r="B374" s="199"/>
      <c r="C374" s="713"/>
      <c r="D374" s="199"/>
      <c r="E374" s="199"/>
      <c r="F374" s="712"/>
      <c r="G374" s="712"/>
      <c r="H374" s="712"/>
      <c r="I374" s="199"/>
      <c r="J374" s="711"/>
      <c r="K374" s="711"/>
    </row>
    <row r="375" spans="1:11">
      <c r="A375" s="712"/>
      <c r="B375" s="199"/>
      <c r="C375" s="713"/>
      <c r="D375" s="199"/>
      <c r="E375" s="199"/>
      <c r="F375" s="712"/>
      <c r="G375" s="712"/>
      <c r="H375" s="712"/>
      <c r="I375" s="199"/>
      <c r="J375" s="711"/>
      <c r="K375" s="711"/>
    </row>
    <row r="376" spans="1:11">
      <c r="A376" s="712"/>
      <c r="B376" s="199"/>
      <c r="C376" s="713"/>
      <c r="D376" s="199"/>
      <c r="E376" s="199"/>
      <c r="F376" s="712"/>
      <c r="G376" s="712"/>
      <c r="H376" s="712"/>
      <c r="I376" s="199"/>
      <c r="J376" s="711"/>
      <c r="K376" s="711"/>
    </row>
    <row r="377" spans="1:11">
      <c r="A377" s="712"/>
      <c r="B377" s="199"/>
      <c r="C377" s="713"/>
      <c r="D377" s="199"/>
      <c r="E377" s="199"/>
      <c r="F377" s="712"/>
      <c r="G377" s="712"/>
      <c r="H377" s="712"/>
      <c r="I377" s="199"/>
      <c r="J377" s="711"/>
      <c r="K377" s="711"/>
    </row>
    <row r="378" spans="1:11">
      <c r="A378" s="712"/>
      <c r="B378" s="199"/>
      <c r="C378" s="713"/>
      <c r="D378" s="199"/>
      <c r="E378" s="199"/>
      <c r="F378" s="712"/>
      <c r="G378" s="714"/>
      <c r="H378" s="712"/>
      <c r="I378" s="199"/>
      <c r="J378" s="711"/>
      <c r="K378" s="711"/>
    </row>
    <row r="379" spans="1:11">
      <c r="A379" s="712"/>
      <c r="B379" s="199"/>
      <c r="C379" s="713"/>
      <c r="D379" s="199"/>
      <c r="E379" s="199"/>
      <c r="F379" s="712"/>
      <c r="G379" s="712"/>
      <c r="H379" s="712"/>
      <c r="I379" s="199"/>
      <c r="J379" s="711"/>
      <c r="K379" s="711"/>
    </row>
    <row r="380" spans="1:11">
      <c r="A380" s="712"/>
      <c r="B380" s="199"/>
      <c r="C380" s="713"/>
      <c r="D380" s="199"/>
      <c r="E380" s="199"/>
      <c r="F380" s="712"/>
      <c r="G380" s="712"/>
      <c r="H380" s="712"/>
      <c r="I380" s="199"/>
      <c r="J380" s="711"/>
      <c r="K380" s="711"/>
    </row>
    <row r="381" spans="1:11">
      <c r="A381" s="712"/>
      <c r="B381" s="199"/>
      <c r="C381" s="713"/>
      <c r="D381" s="199"/>
      <c r="E381" s="199"/>
      <c r="F381" s="712"/>
      <c r="G381" s="712"/>
      <c r="H381" s="712"/>
      <c r="I381" s="199"/>
      <c r="J381" s="711"/>
      <c r="K381" s="711"/>
    </row>
    <row r="382" spans="1:11">
      <c r="A382" s="712"/>
      <c r="B382" s="199"/>
      <c r="C382" s="713"/>
      <c r="D382" s="199"/>
      <c r="E382" s="199"/>
      <c r="F382" s="712"/>
      <c r="G382" s="712"/>
      <c r="H382" s="712"/>
      <c r="I382" s="199"/>
      <c r="J382" s="711"/>
      <c r="K382" s="711"/>
    </row>
    <row r="383" spans="1:11">
      <c r="A383" s="712"/>
      <c r="B383" s="199"/>
      <c r="C383" s="713"/>
      <c r="D383" s="199"/>
      <c r="E383" s="199"/>
      <c r="F383" s="712"/>
      <c r="G383" s="712"/>
      <c r="H383" s="712"/>
      <c r="I383" s="199"/>
      <c r="J383" s="711"/>
      <c r="K383" s="711"/>
    </row>
    <row r="384" spans="1:11">
      <c r="A384" s="712"/>
      <c r="B384" s="199"/>
      <c r="C384" s="713"/>
      <c r="D384" s="199"/>
      <c r="E384" s="199"/>
      <c r="F384" s="712"/>
      <c r="G384" s="712"/>
      <c r="H384" s="712"/>
      <c r="I384" s="199"/>
      <c r="J384" s="711"/>
      <c r="K384" s="711"/>
    </row>
    <row r="385" spans="1:11">
      <c r="A385" s="712"/>
      <c r="B385" s="199"/>
      <c r="C385" s="713"/>
      <c r="D385" s="199"/>
      <c r="E385" s="199"/>
      <c r="F385" s="712"/>
      <c r="G385" s="712"/>
      <c r="H385" s="712"/>
      <c r="I385" s="199"/>
      <c r="J385" s="711"/>
      <c r="K385" s="711"/>
    </row>
    <row r="386" spans="1:11">
      <c r="A386" s="712"/>
      <c r="B386" s="199"/>
      <c r="C386" s="713"/>
      <c r="D386" s="199"/>
      <c r="E386" s="199"/>
      <c r="F386" s="712"/>
      <c r="G386" s="712"/>
      <c r="H386" s="712"/>
      <c r="I386" s="199"/>
      <c r="J386" s="711"/>
      <c r="K386" s="711"/>
    </row>
    <row r="387" spans="1:11">
      <c r="A387" s="712"/>
      <c r="B387" s="199"/>
      <c r="C387" s="713"/>
      <c r="D387" s="199"/>
      <c r="E387" s="199"/>
      <c r="F387" s="712"/>
      <c r="G387" s="712"/>
      <c r="H387" s="712"/>
      <c r="I387" s="199"/>
      <c r="J387" s="711"/>
      <c r="K387" s="711"/>
    </row>
    <row r="388" spans="1:11">
      <c r="A388" s="712"/>
      <c r="B388" s="199"/>
      <c r="C388" s="713"/>
      <c r="D388" s="199"/>
      <c r="E388" s="199"/>
      <c r="F388" s="712"/>
      <c r="G388" s="714"/>
      <c r="H388" s="712"/>
      <c r="I388" s="199"/>
      <c r="J388" s="711"/>
      <c r="K388" s="711"/>
    </row>
    <row r="389" spans="1:11">
      <c r="A389" s="712"/>
      <c r="B389" s="199"/>
      <c r="C389" s="713"/>
      <c r="D389" s="199"/>
      <c r="E389" s="199"/>
      <c r="F389" s="712"/>
      <c r="G389" s="712"/>
      <c r="H389" s="712"/>
      <c r="I389" s="199"/>
      <c r="J389" s="711"/>
      <c r="K389" s="711"/>
    </row>
    <row r="390" spans="1:11">
      <c r="A390" s="712"/>
      <c r="B390" s="199"/>
      <c r="C390" s="713"/>
      <c r="D390" s="199"/>
      <c r="E390" s="199"/>
      <c r="F390" s="712"/>
      <c r="G390" s="712"/>
      <c r="H390" s="712"/>
      <c r="I390" s="199"/>
      <c r="J390" s="711"/>
      <c r="K390" s="711"/>
    </row>
    <row r="391" spans="1:11">
      <c r="A391" s="712"/>
      <c r="B391" s="199"/>
      <c r="C391" s="713"/>
      <c r="D391" s="199"/>
      <c r="E391" s="199"/>
      <c r="F391" s="712"/>
      <c r="G391" s="712"/>
      <c r="H391" s="712"/>
      <c r="I391" s="199"/>
      <c r="J391" s="711"/>
      <c r="K391" s="711"/>
    </row>
    <row r="392" spans="1:11">
      <c r="A392" s="712"/>
      <c r="B392" s="199"/>
      <c r="C392" s="713"/>
      <c r="D392" s="199"/>
      <c r="E392" s="199"/>
      <c r="F392" s="712"/>
      <c r="G392" s="712"/>
      <c r="H392" s="712"/>
      <c r="I392" s="199"/>
      <c r="J392" s="711"/>
      <c r="K392" s="711"/>
    </row>
    <row r="393" spans="1:11">
      <c r="A393" s="712"/>
      <c r="B393" s="199"/>
      <c r="C393" s="713"/>
      <c r="D393" s="199"/>
      <c r="E393" s="199"/>
      <c r="F393" s="712"/>
      <c r="G393" s="712"/>
      <c r="H393" s="712"/>
      <c r="I393" s="199"/>
      <c r="J393" s="711"/>
      <c r="K393" s="711"/>
    </row>
    <row r="394" spans="1:11">
      <c r="A394" s="712"/>
      <c r="B394" s="199"/>
      <c r="C394" s="713"/>
      <c r="D394" s="199"/>
      <c r="E394" s="199"/>
      <c r="F394" s="712"/>
      <c r="G394" s="712"/>
      <c r="H394" s="712"/>
      <c r="I394" s="199"/>
      <c r="J394" s="711"/>
      <c r="K394" s="711"/>
    </row>
    <row r="395" spans="1:11">
      <c r="A395" s="712"/>
      <c r="B395" s="199"/>
      <c r="C395" s="713"/>
      <c r="D395" s="199"/>
      <c r="E395" s="199"/>
      <c r="F395" s="712"/>
      <c r="G395" s="712"/>
      <c r="H395" s="712"/>
      <c r="I395" s="199"/>
      <c r="J395" s="711"/>
      <c r="K395" s="711"/>
    </row>
    <row r="396" spans="1:11">
      <c r="A396" s="712"/>
      <c r="B396" s="199"/>
      <c r="C396" s="713"/>
      <c r="D396" s="199"/>
      <c r="E396" s="199"/>
      <c r="F396" s="712"/>
      <c r="G396" s="712"/>
      <c r="H396" s="712"/>
      <c r="I396" s="199"/>
      <c r="J396" s="711"/>
      <c r="K396" s="711"/>
    </row>
    <row r="397" spans="1:11">
      <c r="A397" s="712"/>
      <c r="B397" s="199"/>
      <c r="C397" s="713"/>
      <c r="D397" s="199"/>
      <c r="E397" s="199"/>
      <c r="F397" s="712"/>
      <c r="G397" s="714"/>
      <c r="H397" s="712"/>
      <c r="I397" s="199"/>
      <c r="J397" s="711"/>
      <c r="K397" s="711"/>
    </row>
    <row r="398" spans="1:11">
      <c r="A398" s="712"/>
      <c r="B398" s="199"/>
      <c r="C398" s="713"/>
      <c r="D398" s="199"/>
      <c r="E398" s="199"/>
      <c r="F398" s="712"/>
      <c r="G398" s="712"/>
      <c r="H398" s="712"/>
      <c r="I398" s="199"/>
      <c r="J398" s="711"/>
      <c r="K398" s="711"/>
    </row>
    <row r="399" spans="1:11">
      <c r="A399" s="712"/>
      <c r="B399" s="199"/>
      <c r="C399" s="713"/>
      <c r="D399" s="199"/>
      <c r="E399" s="199"/>
      <c r="F399" s="712"/>
      <c r="G399" s="712"/>
      <c r="H399" s="712"/>
      <c r="I399" s="199"/>
      <c r="J399" s="711"/>
      <c r="K399" s="711"/>
    </row>
    <row r="400" spans="1:11">
      <c r="A400" s="712"/>
      <c r="B400" s="199"/>
      <c r="C400" s="713"/>
      <c r="D400" s="199"/>
      <c r="E400" s="199"/>
      <c r="F400" s="712"/>
      <c r="G400" s="712"/>
      <c r="H400" s="712"/>
      <c r="I400" s="199"/>
      <c r="J400" s="711"/>
      <c r="K400" s="711"/>
    </row>
    <row r="401" spans="1:11">
      <c r="A401" s="712"/>
      <c r="B401" s="199"/>
      <c r="C401" s="713"/>
      <c r="D401" s="199"/>
      <c r="E401" s="199"/>
      <c r="F401" s="712"/>
      <c r="G401" s="714"/>
      <c r="H401" s="712"/>
      <c r="I401" s="199"/>
      <c r="J401" s="711"/>
      <c r="K401" s="711"/>
    </row>
    <row r="402" spans="1:11">
      <c r="A402" s="712"/>
      <c r="B402" s="199"/>
      <c r="C402" s="713"/>
      <c r="D402" s="199"/>
      <c r="E402" s="199"/>
      <c r="F402" s="712"/>
      <c r="G402" s="712"/>
      <c r="H402" s="712"/>
      <c r="I402" s="199"/>
      <c r="J402" s="711"/>
      <c r="K402" s="711"/>
    </row>
    <row r="403" spans="1:11">
      <c r="A403" s="712"/>
      <c r="B403" s="199"/>
      <c r="C403" s="713"/>
      <c r="D403" s="199"/>
      <c r="E403" s="199"/>
      <c r="F403" s="712"/>
      <c r="G403" s="712"/>
      <c r="H403" s="712"/>
      <c r="I403" s="199"/>
      <c r="J403" s="711"/>
      <c r="K403" s="711"/>
    </row>
    <row r="404" spans="1:11">
      <c r="A404" s="712"/>
      <c r="B404" s="199"/>
      <c r="C404" s="713"/>
      <c r="D404" s="199"/>
      <c r="E404" s="199"/>
      <c r="F404" s="712"/>
      <c r="G404" s="712"/>
      <c r="H404" s="712"/>
      <c r="I404" s="199"/>
      <c r="J404" s="711"/>
      <c r="K404" s="711"/>
    </row>
    <row r="405" spans="1:11">
      <c r="A405" s="712"/>
      <c r="B405" s="199"/>
      <c r="C405" s="713"/>
      <c r="D405" s="199"/>
      <c r="E405" s="199"/>
      <c r="F405" s="712"/>
      <c r="G405" s="712"/>
      <c r="H405" s="712"/>
      <c r="I405" s="199"/>
      <c r="J405" s="711"/>
      <c r="K405" s="711"/>
    </row>
    <row r="406" spans="1:11">
      <c r="A406" s="712"/>
      <c r="B406" s="199"/>
      <c r="C406" s="713"/>
      <c r="D406" s="199"/>
      <c r="E406" s="199"/>
      <c r="F406" s="712"/>
      <c r="G406" s="712"/>
      <c r="H406" s="712"/>
      <c r="I406" s="199"/>
      <c r="J406" s="711"/>
      <c r="K406" s="711"/>
    </row>
    <row r="407" spans="1:11">
      <c r="A407" s="712"/>
      <c r="B407" s="199"/>
      <c r="C407" s="713"/>
      <c r="D407" s="199"/>
      <c r="E407" s="199"/>
      <c r="F407" s="712"/>
      <c r="G407" s="712"/>
      <c r="H407" s="712"/>
      <c r="I407" s="199"/>
      <c r="J407" s="711"/>
      <c r="K407" s="711"/>
    </row>
    <row r="408" spans="1:11">
      <c r="A408" s="712"/>
      <c r="B408" s="199"/>
      <c r="C408" s="713"/>
      <c r="D408" s="199"/>
      <c r="E408" s="199"/>
      <c r="F408" s="712"/>
      <c r="G408" s="714"/>
      <c r="H408" s="712"/>
      <c r="I408" s="199"/>
      <c r="J408" s="711"/>
      <c r="K408" s="711"/>
    </row>
    <row r="409" spans="1:11">
      <c r="A409" s="712"/>
      <c r="B409" s="199"/>
      <c r="C409" s="713"/>
      <c r="D409" s="199"/>
      <c r="E409" s="199"/>
      <c r="F409" s="712"/>
      <c r="G409" s="712"/>
      <c r="H409" s="712"/>
      <c r="I409" s="199"/>
      <c r="J409" s="711"/>
      <c r="K409" s="711"/>
    </row>
    <row r="410" spans="1:11">
      <c r="A410" s="712"/>
      <c r="B410" s="199"/>
      <c r="C410" s="713"/>
      <c r="D410" s="199"/>
      <c r="E410" s="199"/>
      <c r="F410" s="712"/>
      <c r="G410" s="712"/>
      <c r="H410" s="712"/>
      <c r="I410" s="199"/>
      <c r="J410" s="711"/>
      <c r="K410" s="711"/>
    </row>
    <row r="411" spans="1:11">
      <c r="A411" s="712"/>
      <c r="B411" s="199"/>
      <c r="C411" s="713"/>
      <c r="D411" s="199"/>
      <c r="E411" s="199"/>
      <c r="F411" s="712"/>
      <c r="G411" s="712"/>
      <c r="H411" s="712"/>
      <c r="I411" s="199"/>
      <c r="J411" s="711"/>
      <c r="K411" s="711"/>
    </row>
    <row r="412" spans="1:11">
      <c r="A412" s="712"/>
      <c r="B412" s="199"/>
      <c r="C412" s="713"/>
      <c r="D412" s="199"/>
      <c r="E412" s="199"/>
      <c r="F412" s="712"/>
      <c r="G412" s="712"/>
      <c r="H412" s="712"/>
      <c r="I412" s="199"/>
      <c r="J412" s="711"/>
      <c r="K412" s="711"/>
    </row>
    <row r="413" spans="1:11">
      <c r="A413" s="712"/>
      <c r="B413" s="199"/>
      <c r="C413" s="713"/>
      <c r="D413" s="199"/>
      <c r="E413" s="199"/>
      <c r="F413" s="712"/>
      <c r="G413" s="712"/>
      <c r="H413" s="712"/>
      <c r="I413" s="199"/>
      <c r="J413" s="711"/>
      <c r="K413" s="711"/>
    </row>
    <row r="414" spans="1:11">
      <c r="A414" s="712"/>
      <c r="B414" s="199"/>
      <c r="C414" s="713"/>
      <c r="D414" s="199"/>
      <c r="E414" s="199"/>
      <c r="F414" s="712"/>
      <c r="G414" s="712"/>
      <c r="H414" s="712"/>
      <c r="I414" s="199"/>
      <c r="J414" s="711"/>
      <c r="K414" s="711"/>
    </row>
    <row r="415" spans="1:11">
      <c r="A415" s="712"/>
      <c r="B415" s="199"/>
      <c r="C415" s="713"/>
      <c r="D415" s="199"/>
      <c r="E415" s="199"/>
      <c r="F415" s="712"/>
      <c r="G415" s="712"/>
      <c r="H415" s="712"/>
      <c r="I415" s="199"/>
      <c r="J415" s="711"/>
      <c r="K415" s="711"/>
    </row>
    <row r="416" spans="1:11">
      <c r="A416" s="712"/>
      <c r="B416" s="199"/>
      <c r="C416" s="713"/>
      <c r="D416" s="199"/>
      <c r="E416" s="199"/>
      <c r="F416" s="712"/>
      <c r="G416" s="714"/>
      <c r="H416" s="712"/>
      <c r="I416" s="199"/>
      <c r="J416" s="711"/>
      <c r="K416" s="711"/>
    </row>
    <row r="417" spans="1:11">
      <c r="A417" s="712"/>
      <c r="B417" s="199"/>
      <c r="C417" s="713"/>
      <c r="D417" s="199"/>
      <c r="E417" s="199"/>
      <c r="F417" s="712"/>
      <c r="G417" s="712"/>
      <c r="H417" s="712"/>
      <c r="I417" s="199"/>
      <c r="J417" s="711"/>
      <c r="K417" s="711"/>
    </row>
    <row r="418" spans="1:11">
      <c r="A418" s="712"/>
      <c r="B418" s="199"/>
      <c r="C418" s="713"/>
      <c r="D418" s="199"/>
      <c r="E418" s="199"/>
      <c r="F418" s="712"/>
      <c r="G418" s="712"/>
      <c r="H418" s="712"/>
      <c r="I418" s="199"/>
      <c r="J418" s="711"/>
      <c r="K418" s="711"/>
    </row>
    <row r="419" spans="1:11">
      <c r="A419" s="712"/>
      <c r="B419" s="199"/>
      <c r="C419" s="713"/>
      <c r="D419" s="199"/>
      <c r="E419" s="199"/>
      <c r="F419" s="712"/>
      <c r="G419" s="712"/>
      <c r="H419" s="712"/>
      <c r="I419" s="199"/>
      <c r="J419" s="711"/>
      <c r="K419" s="711"/>
    </row>
    <row r="420" spans="1:11">
      <c r="A420" s="712"/>
      <c r="B420" s="199"/>
      <c r="C420" s="713"/>
      <c r="D420" s="199"/>
      <c r="E420" s="199"/>
      <c r="F420" s="712"/>
      <c r="G420" s="714"/>
      <c r="H420" s="712"/>
      <c r="I420" s="199"/>
      <c r="J420" s="711"/>
      <c r="K420" s="711"/>
    </row>
    <row r="421" spans="1:11">
      <c r="A421" s="712"/>
      <c r="B421" s="199"/>
      <c r="C421" s="713"/>
      <c r="D421" s="199"/>
      <c r="E421" s="199"/>
      <c r="F421" s="712"/>
      <c r="G421" s="714"/>
      <c r="H421" s="712"/>
      <c r="I421" s="199"/>
      <c r="J421" s="711"/>
      <c r="K421" s="711"/>
    </row>
    <row r="422" spans="1:11">
      <c r="A422" s="712"/>
      <c r="B422" s="199"/>
      <c r="C422" s="713"/>
      <c r="D422" s="199"/>
      <c r="E422" s="199"/>
      <c r="F422" s="712"/>
      <c r="G422" s="714"/>
      <c r="H422" s="712"/>
      <c r="I422" s="199"/>
      <c r="J422" s="711"/>
      <c r="K422" s="711"/>
    </row>
    <row r="423" spans="1:11">
      <c r="A423" s="712"/>
      <c r="B423" s="199"/>
      <c r="C423" s="713"/>
      <c r="D423" s="199"/>
      <c r="E423" s="199"/>
      <c r="F423" s="712"/>
      <c r="G423" s="714"/>
      <c r="H423" s="712"/>
      <c r="I423" s="199"/>
      <c r="J423" s="711"/>
      <c r="K423" s="711"/>
    </row>
    <row r="424" spans="1:11">
      <c r="A424" s="712"/>
      <c r="B424" s="199"/>
      <c r="C424" s="713"/>
      <c r="D424" s="199"/>
      <c r="E424" s="199"/>
      <c r="F424" s="712"/>
      <c r="G424" s="714"/>
      <c r="H424" s="712"/>
      <c r="I424" s="199"/>
      <c r="J424" s="711"/>
      <c r="K424" s="711"/>
    </row>
    <row r="425" spans="1:11">
      <c r="A425" s="712"/>
      <c r="B425" s="199"/>
      <c r="C425" s="713"/>
      <c r="D425" s="199"/>
      <c r="E425" s="199"/>
      <c r="F425" s="712"/>
      <c r="G425" s="712"/>
      <c r="H425" s="712"/>
      <c r="I425" s="199"/>
      <c r="J425" s="711"/>
      <c r="K425" s="711"/>
    </row>
    <row r="426" spans="1:11">
      <c r="A426" s="712"/>
      <c r="B426" s="199"/>
      <c r="C426" s="713"/>
      <c r="D426" s="199"/>
      <c r="E426" s="199"/>
      <c r="F426" s="712"/>
      <c r="G426" s="712"/>
      <c r="H426" s="712"/>
      <c r="I426" s="199"/>
      <c r="J426" s="711"/>
      <c r="K426" s="711"/>
    </row>
    <row r="427" spans="1:11">
      <c r="A427" s="712"/>
      <c r="B427" s="199"/>
      <c r="C427" s="713"/>
      <c r="D427" s="199"/>
      <c r="E427" s="199"/>
      <c r="F427" s="712"/>
      <c r="G427" s="714"/>
      <c r="H427" s="712"/>
      <c r="I427" s="199"/>
      <c r="J427" s="711"/>
      <c r="K427" s="711"/>
    </row>
    <row r="428" spans="1:11">
      <c r="A428" s="712"/>
      <c r="B428" s="199"/>
      <c r="C428" s="713"/>
      <c r="D428" s="199"/>
      <c r="E428" s="199"/>
      <c r="F428" s="712"/>
      <c r="G428" s="712"/>
      <c r="H428" s="712"/>
      <c r="I428" s="199"/>
      <c r="J428" s="711"/>
      <c r="K428" s="711"/>
    </row>
    <row r="429" spans="1:11">
      <c r="A429" s="712"/>
      <c r="B429" s="199"/>
      <c r="C429" s="713"/>
      <c r="D429" s="199"/>
      <c r="E429" s="199"/>
      <c r="F429" s="712"/>
      <c r="G429" s="714"/>
      <c r="H429" s="712"/>
      <c r="I429" s="199"/>
      <c r="J429" s="711"/>
      <c r="K429" s="711"/>
    </row>
    <row r="430" spans="1:11">
      <c r="A430" s="712"/>
      <c r="B430" s="199"/>
      <c r="C430" s="713"/>
      <c r="D430" s="199"/>
      <c r="E430" s="199"/>
      <c r="F430" s="712"/>
      <c r="G430" s="714"/>
      <c r="H430" s="712"/>
      <c r="I430" s="199"/>
      <c r="J430" s="711"/>
      <c r="K430" s="711"/>
    </row>
    <row r="431" spans="1:11">
      <c r="A431" s="712"/>
      <c r="B431" s="199"/>
      <c r="C431" s="713"/>
      <c r="D431" s="199"/>
      <c r="E431" s="199"/>
      <c r="F431" s="712"/>
      <c r="G431" s="712"/>
      <c r="H431" s="712"/>
      <c r="I431" s="199"/>
      <c r="J431" s="711"/>
      <c r="K431" s="711"/>
    </row>
    <row r="432" spans="1:11">
      <c r="A432" s="712"/>
      <c r="B432" s="199"/>
      <c r="C432" s="713"/>
      <c r="D432" s="199"/>
      <c r="E432" s="199"/>
      <c r="F432" s="712"/>
      <c r="G432" s="714"/>
      <c r="H432" s="712"/>
      <c r="I432" s="199"/>
      <c r="J432" s="711"/>
      <c r="K432" s="711"/>
    </row>
    <row r="433" spans="1:11">
      <c r="A433" s="712"/>
      <c r="B433" s="199"/>
      <c r="C433" s="713"/>
      <c r="D433" s="199"/>
      <c r="E433" s="199"/>
      <c r="F433" s="712"/>
      <c r="G433" s="714"/>
      <c r="H433" s="712"/>
      <c r="I433" s="199"/>
      <c r="J433" s="711"/>
      <c r="K433" s="711"/>
    </row>
    <row r="434" spans="1:11">
      <c r="A434" s="712"/>
      <c r="B434" s="199"/>
      <c r="C434" s="713"/>
      <c r="D434" s="199"/>
      <c r="E434" s="199"/>
      <c r="F434" s="712"/>
      <c r="G434" s="712"/>
      <c r="H434" s="712"/>
      <c r="I434" s="199"/>
      <c r="J434" s="711"/>
      <c r="K434" s="711"/>
    </row>
    <row r="435" spans="1:11">
      <c r="A435" s="712"/>
      <c r="B435" s="199"/>
      <c r="C435" s="713"/>
      <c r="D435" s="199"/>
      <c r="E435" s="199"/>
      <c r="F435" s="712"/>
      <c r="G435" s="714"/>
      <c r="H435" s="712"/>
      <c r="I435" s="199"/>
      <c r="J435" s="711"/>
      <c r="K435" s="711"/>
    </row>
    <row r="436" spans="1:11">
      <c r="A436" s="712"/>
      <c r="B436" s="199"/>
      <c r="C436" s="713"/>
      <c r="D436" s="199"/>
      <c r="E436" s="199"/>
      <c r="F436" s="712"/>
      <c r="G436" s="712"/>
      <c r="H436" s="712"/>
      <c r="I436" s="199"/>
      <c r="J436" s="711"/>
      <c r="K436" s="711"/>
    </row>
    <row r="437" spans="1:11">
      <c r="A437" s="714"/>
      <c r="B437" s="199"/>
      <c r="C437" s="713"/>
      <c r="D437" s="199"/>
      <c r="E437" s="199"/>
      <c r="F437" s="714"/>
      <c r="G437" s="714"/>
      <c r="H437" s="712"/>
      <c r="I437" s="199"/>
      <c r="J437" s="711"/>
      <c r="K437" s="711"/>
    </row>
    <row r="438" spans="1:11">
      <c r="A438" s="712"/>
      <c r="B438" s="199"/>
      <c r="C438" s="713"/>
      <c r="D438" s="199"/>
      <c r="E438" s="199"/>
      <c r="F438" s="712"/>
      <c r="G438" s="712"/>
      <c r="H438" s="712"/>
      <c r="I438" s="199"/>
      <c r="J438" s="711"/>
      <c r="K438" s="711"/>
    </row>
    <row r="439" spans="1:11">
      <c r="A439" s="712"/>
      <c r="B439" s="199"/>
      <c r="C439" s="713"/>
      <c r="D439" s="199"/>
      <c r="E439" s="199"/>
      <c r="F439" s="712"/>
      <c r="G439" s="714"/>
      <c r="H439" s="712"/>
      <c r="I439" s="199"/>
      <c r="J439" s="711"/>
      <c r="K439" s="711"/>
    </row>
    <row r="440" spans="1:11">
      <c r="A440" s="712"/>
      <c r="B440" s="199"/>
      <c r="C440" s="713"/>
      <c r="D440" s="199"/>
      <c r="E440" s="199"/>
      <c r="F440" s="712"/>
      <c r="G440" s="714"/>
      <c r="H440" s="712"/>
      <c r="I440" s="199"/>
      <c r="J440" s="711"/>
      <c r="K440" s="711"/>
    </row>
    <row r="441" spans="1:11">
      <c r="A441" s="712"/>
      <c r="B441" s="199"/>
      <c r="C441" s="713"/>
      <c r="D441" s="199"/>
      <c r="E441" s="199"/>
      <c r="F441" s="712"/>
      <c r="G441" s="712"/>
      <c r="H441" s="712"/>
      <c r="I441" s="199"/>
      <c r="J441" s="711"/>
      <c r="K441" s="711"/>
    </row>
    <row r="442" spans="1:11">
      <c r="A442" s="712"/>
      <c r="B442" s="199"/>
      <c r="C442" s="713"/>
      <c r="D442" s="199"/>
      <c r="E442" s="199"/>
      <c r="F442" s="712"/>
      <c r="G442" s="712"/>
      <c r="H442" s="712"/>
      <c r="I442" s="199"/>
      <c r="J442" s="711"/>
      <c r="K442" s="711"/>
    </row>
    <row r="443" spans="1:11">
      <c r="A443" s="712"/>
      <c r="B443" s="199"/>
      <c r="C443" s="713"/>
      <c r="D443" s="199"/>
      <c r="E443" s="199"/>
      <c r="F443" s="712"/>
      <c r="G443" s="714"/>
      <c r="H443" s="712"/>
      <c r="I443" s="199"/>
      <c r="J443" s="711"/>
      <c r="K443" s="711"/>
    </row>
    <row r="444" spans="1:11">
      <c r="A444" s="712"/>
      <c r="B444" s="199"/>
      <c r="C444" s="713"/>
      <c r="D444" s="199"/>
      <c r="E444" s="199"/>
      <c r="F444" s="712"/>
      <c r="G444" s="714"/>
      <c r="H444" s="712"/>
      <c r="I444" s="199"/>
      <c r="J444" s="711"/>
      <c r="K444" s="711"/>
    </row>
    <row r="445" spans="1:11">
      <c r="A445" s="712"/>
      <c r="B445" s="199"/>
      <c r="C445" s="713"/>
      <c r="D445" s="199"/>
      <c r="E445" s="199"/>
      <c r="F445" s="712"/>
      <c r="G445" s="714"/>
      <c r="H445" s="712"/>
      <c r="I445" s="199"/>
      <c r="J445" s="711"/>
      <c r="K445" s="711"/>
    </row>
    <row r="446" spans="1:11">
      <c r="A446" s="712"/>
      <c r="B446" s="199"/>
      <c r="C446" s="713"/>
      <c r="D446" s="199"/>
      <c r="E446" s="199"/>
      <c r="F446" s="712"/>
      <c r="G446" s="714"/>
      <c r="H446" s="712"/>
      <c r="I446" s="199"/>
      <c r="J446" s="711"/>
      <c r="K446" s="711"/>
    </row>
    <row r="447" spans="1:11">
      <c r="A447" s="712"/>
      <c r="B447" s="199"/>
      <c r="C447" s="713"/>
      <c r="D447" s="199"/>
      <c r="E447" s="199"/>
      <c r="F447" s="712"/>
      <c r="G447" s="714"/>
      <c r="H447" s="712"/>
      <c r="I447" s="199"/>
      <c r="J447" s="711"/>
      <c r="K447" s="711"/>
    </row>
    <row r="448" spans="1:11">
      <c r="A448" s="712"/>
      <c r="B448" s="199"/>
      <c r="C448" s="713"/>
      <c r="D448" s="199"/>
      <c r="E448" s="199"/>
      <c r="F448" s="712"/>
      <c r="G448" s="712"/>
      <c r="H448" s="712"/>
      <c r="I448" s="199"/>
      <c r="J448" s="711"/>
      <c r="K448" s="711"/>
    </row>
    <row r="449" spans="1:11">
      <c r="A449" s="712"/>
      <c r="B449" s="199"/>
      <c r="C449" s="713"/>
      <c r="D449" s="199"/>
      <c r="E449" s="199"/>
      <c r="F449" s="712"/>
      <c r="G449" s="712"/>
      <c r="H449" s="712"/>
      <c r="I449" s="199"/>
      <c r="J449" s="711"/>
      <c r="K449" s="711"/>
    </row>
    <row r="450" spans="1:11">
      <c r="A450" s="712"/>
      <c r="B450" s="199"/>
      <c r="C450" s="713"/>
      <c r="D450" s="199"/>
      <c r="E450" s="199"/>
      <c r="F450" s="712"/>
      <c r="G450" s="712"/>
      <c r="H450" s="712"/>
      <c r="I450" s="199"/>
      <c r="J450" s="711"/>
      <c r="K450" s="711"/>
    </row>
    <row r="451" spans="1:11">
      <c r="A451" s="712"/>
      <c r="B451" s="199"/>
      <c r="C451" s="713"/>
      <c r="D451" s="199"/>
      <c r="E451" s="199"/>
      <c r="F451" s="712"/>
      <c r="G451" s="712"/>
      <c r="H451" s="712"/>
      <c r="I451" s="199"/>
      <c r="J451" s="711"/>
      <c r="K451" s="711"/>
    </row>
    <row r="452" spans="1:11">
      <c r="A452" s="712"/>
      <c r="B452" s="199"/>
      <c r="C452" s="713"/>
      <c r="D452" s="199"/>
      <c r="E452" s="199"/>
      <c r="F452" s="712"/>
      <c r="G452" s="714"/>
      <c r="H452" s="712"/>
      <c r="I452" s="199"/>
      <c r="J452" s="711"/>
      <c r="K452" s="711"/>
    </row>
    <row r="453" spans="1:11">
      <c r="A453" s="712"/>
      <c r="B453" s="199"/>
      <c r="C453" s="713"/>
      <c r="D453" s="199"/>
      <c r="E453" s="199"/>
      <c r="F453" s="712"/>
      <c r="G453" s="714"/>
      <c r="H453" s="712"/>
      <c r="I453" s="199"/>
      <c r="J453" s="711"/>
      <c r="K453" s="711"/>
    </row>
    <row r="454" spans="1:11">
      <c r="A454" s="712"/>
      <c r="B454" s="199"/>
      <c r="C454" s="713"/>
      <c r="D454" s="199"/>
      <c r="E454" s="199"/>
      <c r="F454" s="712"/>
      <c r="G454" s="714"/>
      <c r="H454" s="712"/>
      <c r="I454" s="199"/>
      <c r="J454" s="711"/>
      <c r="K454" s="711"/>
    </row>
    <row r="455" spans="1:11">
      <c r="A455" s="712"/>
      <c r="B455" s="199"/>
      <c r="C455" s="713"/>
      <c r="D455" s="199"/>
      <c r="E455" s="199"/>
      <c r="F455" s="712"/>
      <c r="G455" s="714"/>
      <c r="H455" s="712"/>
      <c r="I455" s="199"/>
      <c r="J455" s="711"/>
      <c r="K455" s="711"/>
    </row>
    <row r="456" spans="1:11">
      <c r="A456" s="712"/>
      <c r="B456" s="199"/>
      <c r="C456" s="713"/>
      <c r="D456" s="199"/>
      <c r="E456" s="199"/>
      <c r="F456" s="712"/>
      <c r="G456" s="712"/>
      <c r="H456" s="712"/>
      <c r="I456" s="199"/>
      <c r="J456" s="711"/>
      <c r="K456" s="711"/>
    </row>
    <row r="457" spans="1:11">
      <c r="A457" s="712"/>
      <c r="B457" s="199"/>
      <c r="C457" s="713"/>
      <c r="D457" s="199"/>
      <c r="E457" s="199"/>
      <c r="F457" s="712"/>
      <c r="G457" s="714"/>
      <c r="H457" s="712"/>
      <c r="I457" s="199"/>
      <c r="J457" s="711"/>
      <c r="K457" s="711"/>
    </row>
    <row r="458" spans="1:11">
      <c r="A458" s="712"/>
      <c r="B458" s="199"/>
      <c r="C458" s="713"/>
      <c r="D458" s="199"/>
      <c r="E458" s="199"/>
      <c r="F458" s="712"/>
      <c r="G458" s="712"/>
      <c r="H458" s="712"/>
      <c r="I458" s="199"/>
      <c r="J458" s="711"/>
      <c r="K458" s="711"/>
    </row>
    <row r="459" spans="1:11">
      <c r="A459" s="712"/>
      <c r="B459" s="199"/>
      <c r="C459" s="713"/>
      <c r="D459" s="199"/>
      <c r="E459" s="199"/>
      <c r="F459" s="712"/>
      <c r="G459" s="712"/>
      <c r="H459" s="712"/>
      <c r="I459" s="199"/>
      <c r="J459" s="711"/>
      <c r="K459" s="711"/>
    </row>
    <row r="460" spans="1:11">
      <c r="A460" s="712"/>
      <c r="B460" s="199"/>
      <c r="C460" s="713"/>
      <c r="D460" s="199"/>
      <c r="E460" s="199"/>
      <c r="F460" s="712"/>
      <c r="G460" s="714"/>
      <c r="H460" s="712"/>
      <c r="I460" s="199"/>
      <c r="J460" s="711"/>
      <c r="K460" s="711"/>
    </row>
    <row r="461" spans="1:11">
      <c r="A461" s="712"/>
      <c r="B461" s="199"/>
      <c r="C461" s="713"/>
      <c r="D461" s="199"/>
      <c r="E461" s="199"/>
      <c r="F461" s="712"/>
      <c r="G461" s="712"/>
      <c r="H461" s="712"/>
      <c r="I461" s="199"/>
      <c r="J461" s="711"/>
      <c r="K461" s="711"/>
    </row>
    <row r="462" spans="1:11">
      <c r="A462" s="712"/>
      <c r="B462" s="199"/>
      <c r="C462" s="713"/>
      <c r="D462" s="199"/>
      <c r="E462" s="199"/>
      <c r="F462" s="712"/>
      <c r="G462" s="714"/>
      <c r="H462" s="712"/>
      <c r="I462" s="199"/>
      <c r="J462" s="711"/>
      <c r="K462" s="711"/>
    </row>
    <row r="463" spans="1:11">
      <c r="A463" s="712"/>
      <c r="B463" s="199"/>
      <c r="C463" s="713"/>
      <c r="D463" s="199"/>
      <c r="E463" s="199"/>
      <c r="F463" s="712"/>
      <c r="G463" s="712"/>
      <c r="H463" s="712"/>
      <c r="I463" s="199"/>
      <c r="J463" s="711"/>
      <c r="K463" s="711"/>
    </row>
    <row r="464" spans="1:11">
      <c r="A464" s="712"/>
      <c r="B464" s="199"/>
      <c r="C464" s="713"/>
      <c r="D464" s="199"/>
      <c r="E464" s="199"/>
      <c r="F464" s="712"/>
      <c r="G464" s="712"/>
      <c r="H464" s="712"/>
      <c r="I464" s="199"/>
      <c r="J464" s="711"/>
      <c r="K464" s="711"/>
    </row>
    <row r="465" spans="1:11">
      <c r="A465" s="712"/>
      <c r="B465" s="199"/>
      <c r="C465" s="713"/>
      <c r="D465" s="199"/>
      <c r="E465" s="199"/>
      <c r="F465" s="712"/>
      <c r="G465" s="714"/>
      <c r="H465" s="712"/>
      <c r="I465" s="199"/>
      <c r="J465" s="711"/>
      <c r="K465" s="711"/>
    </row>
    <row r="466" spans="1:11">
      <c r="A466" s="712"/>
      <c r="B466" s="199"/>
      <c r="C466" s="713"/>
      <c r="D466" s="199"/>
      <c r="E466" s="199"/>
      <c r="F466" s="712"/>
      <c r="G466" s="712"/>
      <c r="H466" s="712"/>
      <c r="I466" s="199"/>
      <c r="J466" s="711"/>
      <c r="K466" s="711"/>
    </row>
    <row r="467" spans="1:11">
      <c r="A467" s="712"/>
      <c r="B467" s="199"/>
      <c r="C467" s="713"/>
      <c r="D467" s="199"/>
      <c r="E467" s="199"/>
      <c r="F467" s="712"/>
      <c r="G467" s="712"/>
      <c r="H467" s="712"/>
      <c r="I467" s="199"/>
      <c r="J467" s="711"/>
      <c r="K467" s="711"/>
    </row>
    <row r="468" spans="1:11">
      <c r="A468" s="712"/>
      <c r="B468" s="199"/>
      <c r="C468" s="713"/>
      <c r="D468" s="199"/>
      <c r="E468" s="199"/>
      <c r="F468" s="712"/>
      <c r="G468" s="714"/>
      <c r="H468" s="712"/>
      <c r="I468" s="199"/>
      <c r="J468" s="711"/>
      <c r="K468" s="711"/>
    </row>
    <row r="469" spans="1:11">
      <c r="A469" s="712"/>
      <c r="B469" s="199"/>
      <c r="C469" s="713"/>
      <c r="D469" s="199"/>
      <c r="E469" s="199"/>
      <c r="F469" s="712"/>
      <c r="G469" s="712"/>
      <c r="H469" s="712"/>
      <c r="I469" s="199"/>
      <c r="J469" s="711"/>
      <c r="K469" s="711"/>
    </row>
    <row r="470" spans="1:11">
      <c r="A470" s="712"/>
      <c r="B470" s="199"/>
      <c r="C470" s="713"/>
      <c r="D470" s="199"/>
      <c r="E470" s="199"/>
      <c r="F470" s="712"/>
      <c r="G470" s="712"/>
      <c r="H470" s="712"/>
      <c r="I470" s="199"/>
      <c r="J470" s="711"/>
      <c r="K470" s="711"/>
    </row>
    <row r="471" spans="1:11">
      <c r="A471" s="712"/>
      <c r="B471" s="199"/>
      <c r="C471" s="713"/>
      <c r="D471" s="199"/>
      <c r="E471" s="199"/>
      <c r="F471" s="712"/>
      <c r="G471" s="712"/>
      <c r="H471" s="712"/>
      <c r="I471" s="199"/>
      <c r="J471" s="711"/>
      <c r="K471" s="711"/>
    </row>
    <row r="472" spans="1:11">
      <c r="A472" s="712"/>
      <c r="B472" s="199"/>
      <c r="C472" s="713"/>
      <c r="D472" s="199"/>
      <c r="E472" s="199"/>
      <c r="F472" s="712"/>
      <c r="G472" s="714"/>
      <c r="H472" s="712"/>
      <c r="I472" s="199"/>
      <c r="J472" s="711"/>
      <c r="K472" s="711"/>
    </row>
    <row r="473" spans="1:11">
      <c r="A473" s="712"/>
      <c r="B473" s="199"/>
      <c r="C473" s="713"/>
      <c r="D473" s="199"/>
      <c r="E473" s="199"/>
      <c r="F473" s="712"/>
      <c r="G473" s="712"/>
      <c r="H473" s="712"/>
      <c r="I473" s="199"/>
      <c r="J473" s="711"/>
      <c r="K473" s="711"/>
    </row>
    <row r="474" spans="1:11">
      <c r="A474" s="712"/>
      <c r="B474" s="199"/>
      <c r="C474" s="713"/>
      <c r="D474" s="199"/>
      <c r="E474" s="199"/>
      <c r="F474" s="712"/>
      <c r="G474" s="714"/>
      <c r="H474" s="712"/>
      <c r="I474" s="199"/>
      <c r="J474" s="711"/>
      <c r="K474" s="711"/>
    </row>
    <row r="475" spans="1:11">
      <c r="A475" s="712"/>
      <c r="B475" s="199"/>
      <c r="C475" s="713"/>
      <c r="D475" s="199"/>
      <c r="E475" s="199"/>
      <c r="F475" s="712"/>
      <c r="G475" s="712"/>
      <c r="H475" s="712"/>
      <c r="I475" s="199"/>
      <c r="J475" s="711"/>
      <c r="K475" s="711"/>
    </row>
    <row r="476" spans="1:11">
      <c r="A476" s="712"/>
      <c r="B476" s="199"/>
      <c r="C476" s="713"/>
      <c r="D476" s="199"/>
      <c r="E476" s="199"/>
      <c r="F476" s="712"/>
      <c r="G476" s="712"/>
      <c r="H476" s="712"/>
      <c r="I476" s="199"/>
      <c r="J476" s="711"/>
      <c r="K476" s="711"/>
    </row>
    <row r="477" spans="1:11">
      <c r="A477" s="712"/>
      <c r="B477" s="199"/>
      <c r="C477" s="713"/>
      <c r="D477" s="199"/>
      <c r="E477" s="199"/>
      <c r="F477" s="712"/>
      <c r="G477" s="712"/>
      <c r="H477" s="712"/>
      <c r="I477" s="199"/>
      <c r="J477" s="711"/>
      <c r="K477" s="711"/>
    </row>
    <row r="478" spans="1:11">
      <c r="A478" s="712"/>
      <c r="B478" s="199"/>
      <c r="C478" s="713"/>
      <c r="D478" s="199"/>
      <c r="E478" s="199"/>
      <c r="F478" s="712"/>
      <c r="G478" s="712"/>
      <c r="H478" s="712"/>
      <c r="I478" s="199"/>
      <c r="J478" s="711"/>
      <c r="K478" s="711"/>
    </row>
    <row r="479" spans="1:11">
      <c r="A479" s="712"/>
      <c r="B479" s="199"/>
      <c r="C479" s="713"/>
      <c r="D479" s="199"/>
      <c r="E479" s="199"/>
      <c r="F479" s="712"/>
      <c r="G479" s="714"/>
      <c r="H479" s="712"/>
      <c r="I479" s="199"/>
      <c r="J479" s="711"/>
      <c r="K479" s="711"/>
    </row>
    <row r="480" spans="1:11">
      <c r="A480" s="712"/>
      <c r="B480" s="199"/>
      <c r="C480" s="713"/>
      <c r="D480" s="199"/>
      <c r="E480" s="199"/>
      <c r="F480" s="712"/>
      <c r="G480" s="712"/>
      <c r="H480" s="712"/>
      <c r="I480" s="199"/>
      <c r="J480" s="711"/>
      <c r="K480" s="711"/>
    </row>
    <row r="481" spans="1:11">
      <c r="A481" s="712"/>
      <c r="B481" s="199"/>
      <c r="C481" s="713"/>
      <c r="D481" s="199"/>
      <c r="E481" s="199"/>
      <c r="F481" s="712"/>
      <c r="G481" s="714"/>
      <c r="H481" s="712"/>
      <c r="I481" s="199"/>
      <c r="J481" s="711"/>
      <c r="K481" s="711"/>
    </row>
    <row r="482" spans="1:11">
      <c r="A482" s="712"/>
      <c r="B482" s="199"/>
      <c r="C482" s="713"/>
      <c r="D482" s="199"/>
      <c r="E482" s="199"/>
      <c r="F482" s="712"/>
      <c r="G482" s="712"/>
      <c r="H482" s="712"/>
      <c r="I482" s="199"/>
      <c r="J482" s="711"/>
      <c r="K482" s="711"/>
    </row>
    <row r="483" spans="1:11">
      <c r="A483" s="712"/>
      <c r="B483" s="199"/>
      <c r="C483" s="713"/>
      <c r="D483" s="199"/>
      <c r="E483" s="199"/>
      <c r="F483" s="712"/>
      <c r="G483" s="714"/>
      <c r="H483" s="712"/>
      <c r="I483" s="199"/>
      <c r="J483" s="711"/>
      <c r="K483" s="711"/>
    </row>
    <row r="484" spans="1:11">
      <c r="A484" s="714"/>
      <c r="B484" s="199"/>
      <c r="C484" s="713"/>
      <c r="D484" s="199"/>
      <c r="E484" s="199"/>
      <c r="F484" s="714"/>
      <c r="G484" s="714"/>
      <c r="H484" s="712"/>
      <c r="I484" s="199"/>
      <c r="J484" s="711"/>
      <c r="K484" s="711"/>
    </row>
    <row r="485" spans="1:11">
      <c r="A485" s="712"/>
      <c r="B485" s="199"/>
      <c r="C485" s="713"/>
      <c r="D485" s="199"/>
      <c r="E485" s="199"/>
      <c r="F485" s="712"/>
      <c r="G485" s="712"/>
      <c r="H485" s="712"/>
      <c r="I485" s="199"/>
      <c r="J485" s="711"/>
      <c r="K485" s="711"/>
    </row>
    <row r="486" spans="1:11">
      <c r="A486" s="712"/>
      <c r="B486" s="199"/>
      <c r="C486" s="713"/>
      <c r="D486" s="199"/>
      <c r="E486" s="199"/>
      <c r="F486" s="712"/>
      <c r="G486" s="712"/>
      <c r="H486" s="712"/>
      <c r="I486" s="199"/>
      <c r="J486" s="711"/>
      <c r="K486" s="711"/>
    </row>
    <row r="487" spans="1:11">
      <c r="A487" s="712"/>
      <c r="B487" s="199"/>
      <c r="C487" s="713"/>
      <c r="D487" s="199"/>
      <c r="E487" s="199"/>
      <c r="F487" s="712"/>
      <c r="G487" s="712"/>
      <c r="H487" s="712"/>
      <c r="I487" s="199"/>
      <c r="J487" s="711"/>
      <c r="K487" s="711"/>
    </row>
    <row r="488" spans="1:11">
      <c r="A488" s="712"/>
      <c r="B488" s="199"/>
      <c r="C488" s="713"/>
      <c r="D488" s="199"/>
      <c r="E488" s="199"/>
      <c r="F488" s="712"/>
      <c r="G488" s="712"/>
      <c r="H488" s="712"/>
      <c r="I488" s="199"/>
      <c r="J488" s="711"/>
      <c r="K488" s="711"/>
    </row>
    <row r="489" spans="1:11">
      <c r="A489" s="712"/>
      <c r="B489" s="199"/>
      <c r="C489" s="713"/>
      <c r="D489" s="199"/>
      <c r="E489" s="199"/>
      <c r="F489" s="712"/>
      <c r="G489" s="714"/>
      <c r="H489" s="712"/>
      <c r="I489" s="199"/>
      <c r="J489" s="711"/>
      <c r="K489" s="711"/>
    </row>
    <row r="490" spans="1:11">
      <c r="A490" s="712"/>
      <c r="B490" s="199"/>
      <c r="C490" s="713"/>
      <c r="D490" s="199"/>
      <c r="E490" s="199"/>
      <c r="F490" s="712"/>
      <c r="G490" s="714"/>
      <c r="H490" s="712"/>
      <c r="I490" s="199"/>
      <c r="J490" s="711"/>
      <c r="K490" s="711"/>
    </row>
    <row r="491" spans="1:11">
      <c r="A491" s="712"/>
      <c r="B491" s="199"/>
      <c r="C491" s="713"/>
      <c r="D491" s="199"/>
      <c r="E491" s="199"/>
      <c r="F491" s="712"/>
      <c r="G491" s="712"/>
      <c r="H491" s="712"/>
      <c r="I491" s="199"/>
      <c r="J491" s="711"/>
      <c r="K491" s="711"/>
    </row>
    <row r="492" spans="1:11">
      <c r="A492" s="712"/>
      <c r="B492" s="199"/>
      <c r="C492" s="713"/>
      <c r="D492" s="199"/>
      <c r="E492" s="199"/>
      <c r="F492" s="712"/>
      <c r="G492" s="712"/>
      <c r="H492" s="712"/>
      <c r="I492" s="199"/>
      <c r="J492" s="711"/>
      <c r="K492" s="711"/>
    </row>
    <row r="493" spans="1:11">
      <c r="A493" s="712"/>
      <c r="B493" s="199"/>
      <c r="C493" s="713"/>
      <c r="D493" s="199"/>
      <c r="E493" s="199"/>
      <c r="F493" s="712"/>
      <c r="G493" s="712"/>
      <c r="H493" s="712"/>
      <c r="I493" s="199"/>
      <c r="J493" s="711"/>
      <c r="K493" s="711"/>
    </row>
    <row r="494" spans="1:11">
      <c r="A494" s="712"/>
      <c r="B494" s="199"/>
      <c r="C494" s="713"/>
      <c r="D494" s="199"/>
      <c r="E494" s="199"/>
      <c r="F494" s="712"/>
      <c r="G494" s="712"/>
      <c r="H494" s="712"/>
      <c r="I494" s="199"/>
      <c r="J494" s="711"/>
      <c r="K494" s="711"/>
    </row>
    <row r="495" spans="1:11">
      <c r="A495" s="714"/>
      <c r="B495" s="199"/>
      <c r="C495" s="713"/>
      <c r="D495" s="199"/>
      <c r="E495" s="199"/>
      <c r="F495" s="714"/>
      <c r="G495" s="712"/>
      <c r="H495" s="712"/>
      <c r="I495" s="199"/>
      <c r="J495" s="711"/>
      <c r="K495" s="711"/>
    </row>
    <row r="496" spans="1:11">
      <c r="A496" s="712"/>
      <c r="B496" s="199"/>
      <c r="C496" s="713"/>
      <c r="D496" s="199"/>
      <c r="E496" s="199"/>
      <c r="F496" s="712"/>
      <c r="G496" s="712"/>
      <c r="H496" s="712"/>
      <c r="I496" s="199"/>
      <c r="J496" s="711"/>
      <c r="K496" s="711"/>
    </row>
    <row r="497" spans="1:11">
      <c r="A497" s="712"/>
      <c r="B497" s="199"/>
      <c r="C497" s="713"/>
      <c r="D497" s="199"/>
      <c r="E497" s="199"/>
      <c r="F497" s="712"/>
      <c r="G497" s="712"/>
      <c r="H497" s="712"/>
      <c r="I497" s="199"/>
      <c r="J497" s="711"/>
      <c r="K497" s="711"/>
    </row>
    <row r="498" spans="1:11">
      <c r="A498" s="712"/>
      <c r="B498" s="199"/>
      <c r="C498" s="713"/>
      <c r="D498" s="199"/>
      <c r="E498" s="199"/>
      <c r="F498" s="712"/>
      <c r="G498" s="714"/>
      <c r="H498" s="712"/>
      <c r="I498" s="199"/>
      <c r="J498" s="711"/>
      <c r="K498" s="711"/>
    </row>
    <row r="499" spans="1:11">
      <c r="A499" s="712"/>
      <c r="B499" s="199"/>
      <c r="C499" s="713"/>
      <c r="D499" s="199"/>
      <c r="E499" s="199"/>
      <c r="F499" s="712"/>
      <c r="G499" s="712"/>
      <c r="H499" s="712"/>
      <c r="I499" s="199"/>
      <c r="J499" s="711"/>
      <c r="K499" s="711"/>
    </row>
    <row r="500" spans="1:11">
      <c r="A500" s="712"/>
      <c r="B500" s="199"/>
      <c r="C500" s="713"/>
      <c r="D500" s="199"/>
      <c r="E500" s="199"/>
      <c r="F500" s="712"/>
      <c r="G500" s="712"/>
      <c r="H500" s="712"/>
      <c r="I500" s="199"/>
      <c r="J500" s="711"/>
      <c r="K500" s="711"/>
    </row>
    <row r="501" spans="1:11">
      <c r="A501" s="712"/>
      <c r="B501" s="199"/>
      <c r="C501" s="713"/>
      <c r="D501" s="199"/>
      <c r="E501" s="199"/>
      <c r="F501" s="712"/>
      <c r="G501" s="714"/>
      <c r="H501" s="712"/>
      <c r="I501" s="199"/>
      <c r="J501" s="711"/>
      <c r="K501" s="711"/>
    </row>
    <row r="502" spans="1:11">
      <c r="A502" s="712"/>
      <c r="B502" s="199"/>
      <c r="C502" s="713"/>
      <c r="D502" s="199"/>
      <c r="E502" s="199"/>
      <c r="F502" s="712"/>
      <c r="G502" s="712"/>
      <c r="H502" s="712"/>
      <c r="I502" s="199"/>
      <c r="J502" s="711"/>
      <c r="K502" s="711"/>
    </row>
    <row r="503" spans="1:11">
      <c r="A503" s="712"/>
      <c r="B503" s="199"/>
      <c r="C503" s="713"/>
      <c r="D503" s="199"/>
      <c r="E503" s="199"/>
      <c r="F503" s="712"/>
      <c r="G503" s="712"/>
      <c r="H503" s="712"/>
      <c r="I503" s="199"/>
      <c r="J503" s="711"/>
      <c r="K503" s="711"/>
    </row>
    <row r="504" spans="1:11">
      <c r="A504" s="712"/>
      <c r="B504" s="199"/>
      <c r="C504" s="713"/>
      <c r="D504" s="199"/>
      <c r="E504" s="199"/>
      <c r="F504" s="712"/>
      <c r="G504" s="712"/>
      <c r="H504" s="712"/>
      <c r="I504" s="199"/>
      <c r="J504" s="711"/>
      <c r="K504" s="711"/>
    </row>
    <row r="505" spans="1:11">
      <c r="A505" s="712"/>
      <c r="B505" s="199"/>
      <c r="C505" s="713"/>
      <c r="D505" s="199"/>
      <c r="E505" s="199"/>
      <c r="F505" s="712"/>
      <c r="G505" s="712"/>
      <c r="H505" s="712"/>
      <c r="I505" s="199"/>
      <c r="J505" s="711"/>
      <c r="K505" s="711"/>
    </row>
    <row r="506" spans="1:11">
      <c r="A506" s="712"/>
      <c r="B506" s="199"/>
      <c r="C506" s="713"/>
      <c r="D506" s="199"/>
      <c r="E506" s="199"/>
      <c r="F506" s="712"/>
      <c r="G506" s="712"/>
      <c r="H506" s="712"/>
      <c r="I506" s="199"/>
      <c r="J506" s="711"/>
      <c r="K506" s="711"/>
    </row>
    <row r="507" spans="1:11">
      <c r="A507" s="712"/>
      <c r="B507" s="199"/>
      <c r="C507" s="713"/>
      <c r="D507" s="199"/>
      <c r="E507" s="199"/>
      <c r="F507" s="712"/>
      <c r="G507" s="712"/>
      <c r="H507" s="712"/>
      <c r="I507" s="199"/>
      <c r="J507" s="711"/>
      <c r="K507" s="711"/>
    </row>
    <row r="508" spans="1:11">
      <c r="A508" s="712"/>
      <c r="B508" s="199"/>
      <c r="C508" s="713"/>
      <c r="D508" s="199"/>
      <c r="E508" s="199"/>
      <c r="F508" s="712"/>
      <c r="G508" s="712"/>
      <c r="H508" s="712"/>
      <c r="I508" s="199"/>
      <c r="J508" s="711"/>
      <c r="K508" s="711"/>
    </row>
    <row r="509" spans="1:11">
      <c r="A509" s="712"/>
      <c r="B509" s="199"/>
      <c r="C509" s="713"/>
      <c r="D509" s="199"/>
      <c r="E509" s="199"/>
      <c r="F509" s="712"/>
      <c r="G509" s="712"/>
      <c r="H509" s="712"/>
      <c r="I509" s="199"/>
      <c r="J509" s="711"/>
      <c r="K509" s="711"/>
    </row>
    <row r="510" spans="1:11">
      <c r="A510" s="712"/>
      <c r="B510" s="199"/>
      <c r="C510" s="713"/>
      <c r="D510" s="199"/>
      <c r="E510" s="199"/>
      <c r="F510" s="712"/>
      <c r="G510" s="714"/>
      <c r="H510" s="712"/>
      <c r="I510" s="199"/>
      <c r="J510" s="711"/>
      <c r="K510" s="711"/>
    </row>
    <row r="511" spans="1:11">
      <c r="A511" s="712"/>
      <c r="B511" s="199"/>
      <c r="C511" s="713"/>
      <c r="D511" s="199"/>
      <c r="E511" s="199"/>
      <c r="F511" s="712"/>
      <c r="G511" s="714"/>
      <c r="H511" s="712"/>
      <c r="I511" s="199"/>
      <c r="J511" s="711"/>
      <c r="K511" s="711"/>
    </row>
    <row r="512" spans="1:11">
      <c r="A512" s="712"/>
      <c r="B512" s="199"/>
      <c r="C512" s="713"/>
      <c r="D512" s="199"/>
      <c r="E512" s="199"/>
      <c r="F512" s="712"/>
      <c r="G512" s="714"/>
      <c r="H512" s="712"/>
      <c r="I512" s="199"/>
      <c r="J512" s="711"/>
      <c r="K512" s="711"/>
    </row>
    <row r="513" spans="1:11">
      <c r="A513" s="712"/>
      <c r="B513" s="199"/>
      <c r="C513" s="713"/>
      <c r="D513" s="199"/>
      <c r="E513" s="199"/>
      <c r="F513" s="712"/>
      <c r="G513" s="714"/>
      <c r="H513" s="712"/>
      <c r="I513" s="199"/>
      <c r="J513" s="711"/>
      <c r="K513" s="711"/>
    </row>
    <row r="514" spans="1:11">
      <c r="A514" s="712"/>
      <c r="B514" s="199"/>
      <c r="C514" s="713"/>
      <c r="D514" s="199"/>
      <c r="E514" s="199"/>
      <c r="F514" s="712"/>
      <c r="G514" s="714"/>
      <c r="H514" s="712"/>
      <c r="I514" s="199"/>
      <c r="J514" s="711"/>
      <c r="K514" s="711"/>
    </row>
    <row r="515" spans="1:11">
      <c r="A515" s="712"/>
      <c r="B515" s="199"/>
      <c r="C515" s="713"/>
      <c r="D515" s="199"/>
      <c r="E515" s="199"/>
      <c r="F515" s="712"/>
      <c r="G515" s="714"/>
      <c r="H515" s="712"/>
      <c r="I515" s="199"/>
      <c r="J515" s="711"/>
      <c r="K515" s="711"/>
    </row>
    <row r="516" spans="1:11">
      <c r="A516" s="712"/>
      <c r="B516" s="199"/>
      <c r="C516" s="713"/>
      <c r="D516" s="199"/>
      <c r="E516" s="199"/>
      <c r="F516" s="712"/>
      <c r="G516" s="712"/>
      <c r="H516" s="712"/>
      <c r="I516" s="199"/>
      <c r="J516" s="711"/>
      <c r="K516" s="711"/>
    </row>
    <row r="517" spans="1:11">
      <c r="A517" s="712"/>
      <c r="B517" s="199"/>
      <c r="C517" s="713"/>
      <c r="D517" s="199"/>
      <c r="E517" s="199"/>
      <c r="F517" s="712"/>
      <c r="G517" s="714"/>
      <c r="H517" s="712"/>
      <c r="I517" s="199"/>
      <c r="J517" s="711"/>
      <c r="K517" s="711"/>
    </row>
    <row r="518" spans="1:11">
      <c r="A518" s="712"/>
      <c r="B518" s="199"/>
      <c r="C518" s="713"/>
      <c r="D518" s="199"/>
      <c r="E518" s="199"/>
      <c r="F518" s="712"/>
      <c r="G518" s="714"/>
      <c r="H518" s="712"/>
      <c r="I518" s="199"/>
      <c r="J518" s="711"/>
      <c r="K518" s="711"/>
    </row>
    <row r="519" spans="1:11">
      <c r="A519" s="712"/>
      <c r="B519" s="199"/>
      <c r="C519" s="713"/>
      <c r="D519" s="199"/>
      <c r="E519" s="199"/>
      <c r="F519" s="712"/>
      <c r="G519" s="714"/>
      <c r="H519" s="712"/>
      <c r="I519" s="199"/>
      <c r="J519" s="711"/>
      <c r="K519" s="711"/>
    </row>
    <row r="520" spans="1:11">
      <c r="A520" s="712"/>
      <c r="B520" s="199"/>
      <c r="C520" s="713"/>
      <c r="D520" s="199"/>
      <c r="E520" s="199"/>
      <c r="F520" s="712"/>
      <c r="G520" s="714"/>
      <c r="H520" s="712"/>
      <c r="I520" s="199"/>
      <c r="J520" s="711"/>
      <c r="K520" s="711"/>
    </row>
    <row r="521" spans="1:11">
      <c r="A521" s="712"/>
      <c r="B521" s="199"/>
      <c r="C521" s="713"/>
      <c r="D521" s="199"/>
      <c r="E521" s="199"/>
      <c r="F521" s="712"/>
      <c r="G521" s="712"/>
      <c r="H521" s="712"/>
      <c r="I521" s="199"/>
      <c r="J521" s="711"/>
      <c r="K521" s="711"/>
    </row>
    <row r="522" spans="1:11">
      <c r="A522" s="712"/>
      <c r="B522" s="199"/>
      <c r="C522" s="713"/>
      <c r="D522" s="199"/>
      <c r="E522" s="199"/>
      <c r="F522" s="712"/>
      <c r="G522" s="712"/>
      <c r="H522" s="712"/>
      <c r="I522" s="199"/>
      <c r="J522" s="711"/>
      <c r="K522" s="711"/>
    </row>
    <row r="523" spans="1:11">
      <c r="A523" s="712"/>
      <c r="B523" s="199"/>
      <c r="C523" s="713"/>
      <c r="D523" s="199"/>
      <c r="E523" s="199"/>
      <c r="F523" s="712"/>
      <c r="G523" s="714"/>
      <c r="H523" s="712"/>
      <c r="I523" s="199"/>
      <c r="J523" s="711"/>
      <c r="K523" s="711"/>
    </row>
    <row r="524" spans="1:11">
      <c r="A524" s="712"/>
      <c r="B524" s="199"/>
      <c r="C524" s="713"/>
      <c r="D524" s="199"/>
      <c r="E524" s="199"/>
      <c r="F524" s="712"/>
      <c r="G524" s="714"/>
      <c r="H524" s="712"/>
      <c r="I524" s="199"/>
      <c r="J524" s="711"/>
      <c r="K524" s="711"/>
    </row>
    <row r="525" spans="1:11">
      <c r="A525" s="712"/>
      <c r="B525" s="199"/>
      <c r="C525" s="713"/>
      <c r="D525" s="199"/>
      <c r="E525" s="199"/>
      <c r="F525" s="712"/>
      <c r="G525" s="714"/>
      <c r="H525" s="712"/>
      <c r="I525" s="199"/>
      <c r="J525" s="711"/>
      <c r="K525" s="711"/>
    </row>
    <row r="526" spans="1:11">
      <c r="A526" s="712"/>
      <c r="B526" s="199"/>
      <c r="C526" s="713"/>
      <c r="D526" s="199"/>
      <c r="E526" s="199"/>
      <c r="F526" s="712"/>
      <c r="G526" s="714"/>
      <c r="H526" s="712"/>
      <c r="I526" s="199"/>
      <c r="J526" s="711"/>
      <c r="K526" s="711"/>
    </row>
    <row r="527" spans="1:11">
      <c r="A527" s="712"/>
      <c r="B527" s="199"/>
      <c r="C527" s="713"/>
      <c r="D527" s="199"/>
      <c r="E527" s="199"/>
      <c r="F527" s="712"/>
      <c r="G527" s="714"/>
      <c r="H527" s="712"/>
      <c r="I527" s="199"/>
      <c r="J527" s="711"/>
      <c r="K527" s="711"/>
    </row>
    <row r="528" spans="1:11">
      <c r="A528" s="712"/>
      <c r="B528" s="199"/>
      <c r="C528" s="713"/>
      <c r="D528" s="199"/>
      <c r="E528" s="199"/>
      <c r="F528" s="712"/>
      <c r="G528" s="714"/>
      <c r="H528" s="712"/>
      <c r="I528" s="199"/>
      <c r="J528" s="711"/>
      <c r="K528" s="711"/>
    </row>
    <row r="529" spans="1:11">
      <c r="A529" s="712"/>
      <c r="B529" s="199"/>
      <c r="C529" s="713"/>
      <c r="D529" s="199"/>
      <c r="E529" s="199"/>
      <c r="F529" s="712"/>
      <c r="G529" s="712"/>
      <c r="H529" s="712"/>
      <c r="I529" s="199"/>
      <c r="J529" s="711"/>
      <c r="K529" s="711"/>
    </row>
    <row r="530" spans="1:11">
      <c r="A530" s="712"/>
      <c r="B530" s="199"/>
      <c r="C530" s="713"/>
      <c r="D530" s="199"/>
      <c r="E530" s="199"/>
      <c r="F530" s="712"/>
      <c r="G530" s="714"/>
      <c r="H530" s="712"/>
      <c r="I530" s="199"/>
      <c r="J530" s="711"/>
      <c r="K530" s="711"/>
    </row>
    <row r="531" spans="1:11">
      <c r="A531" s="712"/>
      <c r="B531" s="199"/>
      <c r="C531" s="713"/>
      <c r="D531" s="199"/>
      <c r="E531" s="199"/>
      <c r="F531" s="712"/>
      <c r="G531" s="714"/>
      <c r="H531" s="712"/>
      <c r="I531" s="199"/>
      <c r="J531" s="711"/>
      <c r="K531" s="711"/>
    </row>
    <row r="532" spans="1:11">
      <c r="A532" s="712"/>
      <c r="B532" s="199"/>
      <c r="C532" s="713"/>
      <c r="D532" s="199"/>
      <c r="E532" s="199"/>
      <c r="F532" s="712"/>
      <c r="G532" s="712"/>
      <c r="H532" s="712"/>
      <c r="I532" s="199"/>
      <c r="J532" s="711"/>
      <c r="K532" s="711"/>
    </row>
    <row r="533" spans="1:11">
      <c r="A533" s="712"/>
      <c r="B533" s="199"/>
      <c r="C533" s="713"/>
      <c r="D533" s="199"/>
      <c r="E533" s="199"/>
      <c r="F533" s="712"/>
      <c r="G533" s="712"/>
      <c r="H533" s="712"/>
      <c r="I533" s="199"/>
      <c r="J533" s="711"/>
      <c r="K533" s="711"/>
    </row>
    <row r="534" spans="1:11">
      <c r="A534" s="712"/>
      <c r="B534" s="199"/>
      <c r="C534" s="713"/>
      <c r="D534" s="199"/>
      <c r="E534" s="199"/>
      <c r="F534" s="712"/>
      <c r="G534" s="714"/>
      <c r="H534" s="712"/>
      <c r="I534" s="199"/>
      <c r="J534" s="711"/>
      <c r="K534" s="711"/>
    </row>
    <row r="535" spans="1:11">
      <c r="A535" s="712"/>
      <c r="B535" s="199"/>
      <c r="C535" s="713"/>
      <c r="D535" s="199"/>
      <c r="E535" s="199"/>
      <c r="F535" s="712"/>
      <c r="G535" s="714"/>
      <c r="H535" s="712"/>
      <c r="I535" s="199"/>
      <c r="J535" s="711"/>
      <c r="K535" s="711"/>
    </row>
    <row r="536" spans="1:11">
      <c r="A536" s="712"/>
      <c r="B536" s="199"/>
      <c r="C536" s="713"/>
      <c r="D536" s="199"/>
      <c r="E536" s="199"/>
      <c r="F536" s="712"/>
      <c r="G536" s="714"/>
      <c r="H536" s="712"/>
      <c r="I536" s="199"/>
      <c r="J536" s="711"/>
      <c r="K536" s="711"/>
    </row>
    <row r="537" spans="1:11">
      <c r="A537" s="712"/>
      <c r="B537" s="199"/>
      <c r="C537" s="713"/>
      <c r="D537" s="199"/>
      <c r="E537" s="199"/>
      <c r="F537" s="712"/>
      <c r="G537" s="714"/>
      <c r="H537" s="712"/>
      <c r="I537" s="199"/>
      <c r="J537" s="711"/>
      <c r="K537" s="711"/>
    </row>
    <row r="538" spans="1:11">
      <c r="A538" s="712"/>
      <c r="B538" s="199"/>
      <c r="C538" s="713"/>
      <c r="D538" s="199"/>
      <c r="E538" s="199"/>
      <c r="F538" s="712"/>
      <c r="G538" s="712"/>
      <c r="H538" s="712"/>
      <c r="I538" s="199"/>
      <c r="J538" s="711"/>
      <c r="K538" s="711"/>
    </row>
    <row r="539" spans="1:11">
      <c r="A539" s="712"/>
      <c r="B539" s="199"/>
      <c r="C539" s="713"/>
      <c r="D539" s="199"/>
      <c r="E539" s="199"/>
      <c r="F539" s="712"/>
      <c r="G539" s="712"/>
      <c r="H539" s="712"/>
      <c r="I539" s="199"/>
      <c r="J539" s="711"/>
      <c r="K539" s="711"/>
    </row>
    <row r="540" spans="1:11">
      <c r="A540" s="712"/>
      <c r="B540" s="199"/>
      <c r="C540" s="713"/>
      <c r="D540" s="199"/>
      <c r="E540" s="199"/>
      <c r="F540" s="712"/>
      <c r="G540" s="712"/>
      <c r="H540" s="712"/>
      <c r="I540" s="199"/>
      <c r="J540" s="711"/>
      <c r="K540" s="711"/>
    </row>
    <row r="541" spans="1:11">
      <c r="A541" s="712"/>
      <c r="B541" s="199"/>
      <c r="C541" s="713"/>
      <c r="D541" s="199"/>
      <c r="E541" s="199"/>
      <c r="F541" s="712"/>
      <c r="G541" s="714"/>
      <c r="H541" s="712"/>
      <c r="I541" s="199"/>
      <c r="J541" s="711"/>
      <c r="K541" s="711"/>
    </row>
    <row r="542" spans="1:11">
      <c r="A542" s="712"/>
      <c r="B542" s="199"/>
      <c r="C542" s="713"/>
      <c r="D542" s="199"/>
      <c r="E542" s="199"/>
      <c r="F542" s="712"/>
      <c r="G542" s="714"/>
      <c r="H542" s="712"/>
      <c r="I542" s="199"/>
      <c r="J542" s="711"/>
      <c r="K542" s="711"/>
    </row>
    <row r="543" spans="1:11">
      <c r="A543" s="714"/>
      <c r="B543" s="199"/>
      <c r="C543" s="713"/>
      <c r="D543" s="199"/>
      <c r="E543" s="199"/>
      <c r="F543" s="714"/>
      <c r="G543" s="714"/>
      <c r="H543" s="712"/>
      <c r="I543" s="199"/>
      <c r="J543" s="711"/>
      <c r="K543" s="711"/>
    </row>
    <row r="544" spans="1:11">
      <c r="A544" s="712"/>
      <c r="B544" s="199"/>
      <c r="C544" s="713"/>
      <c r="D544" s="199"/>
      <c r="E544" s="199"/>
      <c r="F544" s="712"/>
      <c r="G544" s="714"/>
      <c r="H544" s="712"/>
      <c r="I544" s="199"/>
      <c r="J544" s="711"/>
      <c r="K544" s="711"/>
    </row>
    <row r="545" spans="1:11">
      <c r="A545" s="712"/>
      <c r="B545" s="199"/>
      <c r="C545" s="713"/>
      <c r="D545" s="199"/>
      <c r="E545" s="199"/>
      <c r="F545" s="712"/>
      <c r="G545" s="714"/>
      <c r="H545" s="712"/>
      <c r="I545" s="199"/>
      <c r="J545" s="711"/>
      <c r="K545" s="711"/>
    </row>
    <row r="546" spans="1:11">
      <c r="A546" s="712"/>
      <c r="B546" s="199"/>
      <c r="C546" s="713"/>
      <c r="D546" s="199"/>
      <c r="E546" s="199"/>
      <c r="F546" s="712"/>
      <c r="G546" s="714"/>
      <c r="H546" s="712"/>
      <c r="I546" s="199"/>
      <c r="J546" s="711"/>
      <c r="K546" s="711"/>
    </row>
    <row r="547" spans="1:11">
      <c r="A547" s="712"/>
      <c r="B547" s="199"/>
      <c r="C547" s="713"/>
      <c r="D547" s="199"/>
      <c r="E547" s="199"/>
      <c r="F547" s="712"/>
      <c r="G547" s="714"/>
      <c r="H547" s="712"/>
      <c r="I547" s="199"/>
      <c r="J547" s="711"/>
      <c r="K547" s="711"/>
    </row>
    <row r="548" spans="1:11">
      <c r="A548" s="712"/>
      <c r="B548" s="199"/>
      <c r="C548" s="713"/>
      <c r="D548" s="199"/>
      <c r="E548" s="199"/>
      <c r="F548" s="712"/>
      <c r="G548" s="714"/>
      <c r="H548" s="712"/>
      <c r="I548" s="199"/>
      <c r="J548" s="711"/>
      <c r="K548" s="711"/>
    </row>
    <row r="549" spans="1:11">
      <c r="A549" s="712"/>
      <c r="B549" s="199"/>
      <c r="C549" s="713"/>
      <c r="D549" s="199"/>
      <c r="E549" s="199"/>
      <c r="F549" s="712"/>
      <c r="G549" s="714"/>
      <c r="H549" s="712"/>
      <c r="I549" s="199"/>
      <c r="J549" s="711"/>
      <c r="K549" s="711"/>
    </row>
    <row r="550" spans="1:11">
      <c r="A550" s="712"/>
      <c r="B550" s="199"/>
      <c r="C550" s="713"/>
      <c r="D550" s="199"/>
      <c r="E550" s="199"/>
      <c r="F550" s="712"/>
      <c r="G550" s="714"/>
      <c r="H550" s="712"/>
      <c r="I550" s="199"/>
      <c r="J550" s="711"/>
      <c r="K550" s="711"/>
    </row>
    <row r="551" spans="1:11">
      <c r="A551" s="712"/>
      <c r="B551" s="199"/>
      <c r="C551" s="713"/>
      <c r="D551" s="199"/>
      <c r="E551" s="199"/>
      <c r="F551" s="712"/>
      <c r="G551" s="714"/>
      <c r="H551" s="712"/>
      <c r="I551" s="199"/>
      <c r="J551" s="711"/>
      <c r="K551" s="711"/>
    </row>
    <row r="552" spans="1:11">
      <c r="A552" s="712"/>
      <c r="B552" s="199"/>
      <c r="C552" s="713"/>
      <c r="D552" s="199"/>
      <c r="E552" s="199"/>
      <c r="F552" s="712"/>
      <c r="G552" s="714"/>
      <c r="H552" s="712"/>
      <c r="I552" s="199"/>
      <c r="J552" s="711"/>
      <c r="K552" s="711"/>
    </row>
    <row r="553" spans="1:11">
      <c r="A553" s="712"/>
      <c r="B553" s="199"/>
      <c r="C553" s="713"/>
      <c r="D553" s="199"/>
      <c r="E553" s="199"/>
      <c r="F553" s="712"/>
      <c r="G553" s="714"/>
      <c r="H553" s="712"/>
      <c r="I553" s="199"/>
      <c r="J553" s="711"/>
      <c r="K553" s="711"/>
    </row>
    <row r="554" spans="1:11">
      <c r="A554" s="712"/>
      <c r="B554" s="199"/>
      <c r="C554" s="713"/>
      <c r="D554" s="199"/>
      <c r="E554" s="199"/>
      <c r="F554" s="712"/>
      <c r="G554" s="714"/>
      <c r="H554" s="712"/>
      <c r="I554" s="199"/>
      <c r="J554" s="711"/>
      <c r="K554" s="711"/>
    </row>
    <row r="555" spans="1:11">
      <c r="A555" s="712"/>
      <c r="B555" s="199"/>
      <c r="C555" s="713"/>
      <c r="D555" s="199"/>
      <c r="E555" s="199"/>
      <c r="F555" s="712"/>
      <c r="G555" s="714"/>
      <c r="H555" s="712"/>
      <c r="I555" s="199"/>
      <c r="J555" s="711"/>
      <c r="K555" s="711"/>
    </row>
    <row r="556" spans="1:11">
      <c r="A556" s="712"/>
      <c r="B556" s="199"/>
      <c r="C556" s="713"/>
      <c r="D556" s="199"/>
      <c r="E556" s="199"/>
      <c r="F556" s="712"/>
      <c r="G556" s="714"/>
      <c r="H556" s="712"/>
      <c r="I556" s="199"/>
      <c r="J556" s="711"/>
      <c r="K556" s="711"/>
    </row>
    <row r="557" spans="1:11">
      <c r="A557" s="712"/>
      <c r="B557" s="199"/>
      <c r="C557" s="713"/>
      <c r="D557" s="199"/>
      <c r="E557" s="199"/>
      <c r="F557" s="712"/>
      <c r="G557" s="714"/>
      <c r="H557" s="712"/>
      <c r="I557" s="199"/>
      <c r="J557" s="711"/>
      <c r="K557" s="711"/>
    </row>
    <row r="558" spans="1:11">
      <c r="A558" s="712"/>
      <c r="B558" s="199"/>
      <c r="C558" s="713"/>
      <c r="D558" s="199"/>
      <c r="E558" s="199"/>
      <c r="F558" s="712"/>
      <c r="G558" s="714"/>
      <c r="H558" s="712"/>
      <c r="I558" s="199"/>
      <c r="J558" s="711"/>
      <c r="K558" s="711"/>
    </row>
    <row r="559" spans="1:11">
      <c r="A559" s="712"/>
      <c r="B559" s="199"/>
      <c r="C559" s="713"/>
      <c r="D559" s="199"/>
      <c r="E559" s="199"/>
      <c r="F559" s="712"/>
      <c r="G559" s="714"/>
      <c r="H559" s="712"/>
      <c r="I559" s="199"/>
      <c r="J559" s="711"/>
      <c r="K559" s="711"/>
    </row>
    <row r="560" spans="1:11">
      <c r="A560" s="712"/>
      <c r="B560" s="199"/>
      <c r="C560" s="713"/>
      <c r="D560" s="199"/>
      <c r="E560" s="199"/>
      <c r="F560" s="712"/>
      <c r="G560" s="712"/>
      <c r="H560" s="712"/>
      <c r="I560" s="199"/>
      <c r="J560" s="711"/>
      <c r="K560" s="711"/>
    </row>
    <row r="561" spans="1:11">
      <c r="A561" s="712"/>
      <c r="B561" s="199"/>
      <c r="C561" s="713"/>
      <c r="D561" s="199"/>
      <c r="E561" s="199"/>
      <c r="F561" s="712"/>
      <c r="G561" s="712"/>
      <c r="H561" s="712"/>
      <c r="I561" s="199"/>
      <c r="J561" s="711"/>
      <c r="K561" s="711"/>
    </row>
    <row r="562" spans="1:11">
      <c r="A562" s="712"/>
      <c r="B562" s="199"/>
      <c r="C562" s="713"/>
      <c r="D562" s="199"/>
      <c r="E562" s="199"/>
      <c r="F562" s="712"/>
      <c r="G562" s="714"/>
      <c r="H562" s="712"/>
      <c r="I562" s="199"/>
      <c r="J562" s="711"/>
      <c r="K562" s="711"/>
    </row>
    <row r="563" spans="1:11">
      <c r="A563" s="712"/>
      <c r="B563" s="199"/>
      <c r="C563" s="713"/>
      <c r="D563" s="199"/>
      <c r="E563" s="199"/>
      <c r="F563" s="712"/>
      <c r="G563" s="714"/>
      <c r="H563" s="712"/>
      <c r="I563" s="199"/>
      <c r="J563" s="711"/>
      <c r="K563" s="711"/>
    </row>
    <row r="564" spans="1:11">
      <c r="A564" s="712"/>
      <c r="B564" s="199"/>
      <c r="C564" s="713"/>
      <c r="D564" s="199"/>
      <c r="E564" s="199"/>
      <c r="F564" s="712"/>
      <c r="G564" s="712"/>
      <c r="H564" s="712"/>
      <c r="I564" s="199"/>
      <c r="J564" s="711"/>
      <c r="K564" s="711"/>
    </row>
    <row r="565" spans="1:11">
      <c r="A565" s="712"/>
      <c r="B565" s="199"/>
      <c r="C565" s="713"/>
      <c r="D565" s="199"/>
      <c r="E565" s="199"/>
      <c r="F565" s="712"/>
      <c r="G565" s="714"/>
      <c r="H565" s="712"/>
      <c r="I565" s="199"/>
      <c r="J565" s="711"/>
      <c r="K565" s="711"/>
    </row>
    <row r="566" spans="1:11">
      <c r="A566" s="712"/>
      <c r="B566" s="199"/>
      <c r="C566" s="713"/>
      <c r="D566" s="199"/>
      <c r="E566" s="199"/>
      <c r="F566" s="712"/>
      <c r="G566" s="714"/>
      <c r="H566" s="712"/>
      <c r="I566" s="199"/>
      <c r="J566" s="711"/>
      <c r="K566" s="711"/>
    </row>
    <row r="567" spans="1:11">
      <c r="A567" s="712"/>
      <c r="B567" s="199"/>
      <c r="C567" s="713"/>
      <c r="D567" s="199"/>
      <c r="E567" s="199"/>
      <c r="F567" s="712"/>
      <c r="G567" s="714"/>
      <c r="H567" s="712"/>
      <c r="I567" s="199"/>
      <c r="J567" s="711"/>
      <c r="K567" s="711"/>
    </row>
    <row r="568" spans="1:11">
      <c r="A568" s="712"/>
      <c r="B568" s="199"/>
      <c r="C568" s="713"/>
      <c r="D568" s="199"/>
      <c r="E568" s="199"/>
      <c r="F568" s="712"/>
      <c r="G568" s="714"/>
      <c r="H568" s="712"/>
      <c r="I568" s="199"/>
      <c r="J568" s="711"/>
      <c r="K568" s="711"/>
    </row>
    <row r="569" spans="1:11">
      <c r="A569" s="712"/>
      <c r="B569" s="199"/>
      <c r="C569" s="713"/>
      <c r="D569" s="199"/>
      <c r="E569" s="199"/>
      <c r="F569" s="712"/>
      <c r="G569" s="714"/>
      <c r="H569" s="712"/>
      <c r="I569" s="199"/>
      <c r="J569" s="711"/>
      <c r="K569" s="711"/>
    </row>
    <row r="570" spans="1:11">
      <c r="A570" s="712"/>
      <c r="B570" s="199"/>
      <c r="C570" s="713"/>
      <c r="D570" s="199"/>
      <c r="E570" s="199"/>
      <c r="F570" s="712"/>
      <c r="G570" s="714"/>
      <c r="H570" s="712"/>
      <c r="I570" s="199"/>
      <c r="J570" s="711"/>
      <c r="K570" s="711"/>
    </row>
    <row r="571" spans="1:11">
      <c r="A571" s="712"/>
      <c r="B571" s="199"/>
      <c r="C571" s="713"/>
      <c r="D571" s="199"/>
      <c r="E571" s="199"/>
      <c r="F571" s="712"/>
      <c r="G571" s="714"/>
      <c r="H571" s="712"/>
      <c r="I571" s="199"/>
      <c r="J571" s="711"/>
      <c r="K571" s="711"/>
    </row>
    <row r="572" spans="1:11">
      <c r="A572" s="712"/>
      <c r="B572" s="199"/>
      <c r="C572" s="713"/>
      <c r="D572" s="199"/>
      <c r="E572" s="199"/>
      <c r="F572" s="712"/>
      <c r="G572" s="714"/>
      <c r="H572" s="712"/>
      <c r="I572" s="199"/>
      <c r="J572" s="711"/>
      <c r="K572" s="711"/>
    </row>
    <row r="573" spans="1:11">
      <c r="A573" s="712"/>
      <c r="B573" s="199"/>
      <c r="C573" s="713"/>
      <c r="D573" s="199"/>
      <c r="E573" s="199"/>
      <c r="F573" s="712"/>
      <c r="G573" s="712"/>
      <c r="H573" s="712"/>
      <c r="I573" s="199"/>
      <c r="J573" s="711"/>
      <c r="K573" s="711"/>
    </row>
    <row r="574" spans="1:11">
      <c r="A574" s="712"/>
      <c r="B574" s="199"/>
      <c r="C574" s="713"/>
      <c r="D574" s="199"/>
      <c r="E574" s="199"/>
      <c r="F574" s="712"/>
      <c r="G574" s="712"/>
      <c r="H574" s="712"/>
      <c r="I574" s="199"/>
      <c r="J574" s="711"/>
      <c r="K574" s="711"/>
    </row>
    <row r="575" spans="1:11">
      <c r="A575" s="712"/>
      <c r="B575" s="199"/>
      <c r="C575" s="713"/>
      <c r="D575" s="199"/>
      <c r="E575" s="199"/>
      <c r="F575" s="712"/>
      <c r="G575" s="712"/>
      <c r="H575" s="712"/>
      <c r="I575" s="199"/>
      <c r="J575" s="711"/>
      <c r="K575" s="711"/>
    </row>
    <row r="576" spans="1:11">
      <c r="A576" s="712"/>
      <c r="B576" s="199"/>
      <c r="C576" s="713"/>
      <c r="D576" s="199"/>
      <c r="E576" s="199"/>
      <c r="F576" s="712"/>
      <c r="G576" s="712"/>
      <c r="H576" s="712"/>
      <c r="I576" s="199"/>
      <c r="J576" s="711"/>
      <c r="K576" s="711"/>
    </row>
    <row r="577" spans="1:11">
      <c r="A577" s="712"/>
      <c r="B577" s="199"/>
      <c r="C577" s="713"/>
      <c r="D577" s="199"/>
      <c r="E577" s="199"/>
      <c r="F577" s="712"/>
      <c r="G577" s="712"/>
      <c r="H577" s="712"/>
      <c r="I577" s="199"/>
      <c r="J577" s="711"/>
      <c r="K577" s="711"/>
    </row>
    <row r="578" spans="1:11">
      <c r="A578" s="712"/>
      <c r="B578" s="199"/>
      <c r="C578" s="713"/>
      <c r="D578" s="199"/>
      <c r="E578" s="199"/>
      <c r="F578" s="712"/>
      <c r="G578" s="714"/>
      <c r="H578" s="712"/>
      <c r="I578" s="199"/>
      <c r="J578" s="711"/>
      <c r="K578" s="711"/>
    </row>
    <row r="579" spans="1:11">
      <c r="A579" s="712"/>
      <c r="B579" s="199"/>
      <c r="C579" s="713"/>
      <c r="D579" s="199"/>
      <c r="E579" s="199"/>
      <c r="F579" s="712"/>
      <c r="G579" s="712"/>
      <c r="H579" s="712"/>
      <c r="I579" s="199"/>
      <c r="J579" s="711"/>
      <c r="K579" s="711"/>
    </row>
    <row r="580" spans="1:11">
      <c r="A580" s="712"/>
      <c r="B580" s="199"/>
      <c r="C580" s="713"/>
      <c r="D580" s="199"/>
      <c r="E580" s="199"/>
      <c r="F580" s="712"/>
      <c r="G580" s="712"/>
      <c r="H580" s="712"/>
      <c r="I580" s="199"/>
      <c r="J580" s="711"/>
      <c r="K580" s="711"/>
    </row>
    <row r="581" spans="1:11">
      <c r="A581" s="712"/>
      <c r="B581" s="199"/>
      <c r="C581" s="713"/>
      <c r="D581" s="199"/>
      <c r="E581" s="199"/>
      <c r="F581" s="712"/>
      <c r="G581" s="714"/>
      <c r="H581" s="712"/>
      <c r="I581" s="199"/>
      <c r="J581" s="711"/>
      <c r="K581" s="711"/>
    </row>
    <row r="582" spans="1:11">
      <c r="A582" s="712"/>
      <c r="B582" s="199"/>
      <c r="C582" s="713"/>
      <c r="D582" s="199"/>
      <c r="E582" s="199"/>
      <c r="F582" s="712"/>
      <c r="G582" s="714"/>
      <c r="H582" s="712"/>
      <c r="I582" s="199"/>
      <c r="J582" s="711"/>
      <c r="K582" s="711"/>
    </row>
    <row r="583" spans="1:11">
      <c r="A583" s="712"/>
      <c r="B583" s="199"/>
      <c r="C583" s="713"/>
      <c r="D583" s="199"/>
      <c r="E583" s="199"/>
      <c r="F583" s="712"/>
      <c r="G583" s="712"/>
      <c r="H583" s="712"/>
      <c r="I583" s="199"/>
      <c r="J583" s="711"/>
      <c r="K583" s="711"/>
    </row>
    <row r="584" spans="1:11">
      <c r="A584" s="712"/>
      <c r="B584" s="199"/>
      <c r="C584" s="713"/>
      <c r="D584" s="199"/>
      <c r="E584" s="199"/>
      <c r="F584" s="712"/>
      <c r="G584" s="714"/>
      <c r="H584" s="712"/>
      <c r="I584" s="199"/>
      <c r="J584" s="711"/>
      <c r="K584" s="711"/>
    </row>
    <row r="585" spans="1:11">
      <c r="A585" s="714"/>
      <c r="B585" s="199"/>
      <c r="C585" s="713"/>
      <c r="D585" s="199"/>
      <c r="E585" s="199"/>
      <c r="F585" s="714"/>
      <c r="G585" s="714"/>
      <c r="H585" s="712"/>
      <c r="I585" s="199"/>
      <c r="J585" s="711"/>
      <c r="K585" s="711"/>
    </row>
    <row r="586" spans="1:11">
      <c r="A586" s="712"/>
      <c r="B586" s="199"/>
      <c r="C586" s="713"/>
      <c r="D586" s="199"/>
      <c r="E586" s="199"/>
      <c r="F586" s="712"/>
      <c r="G586" s="714"/>
      <c r="H586" s="712"/>
      <c r="I586" s="199"/>
      <c r="J586" s="711"/>
      <c r="K586" s="711"/>
    </row>
    <row r="587" spans="1:11">
      <c r="A587" s="712"/>
      <c r="B587" s="199"/>
      <c r="C587" s="713"/>
      <c r="D587" s="199"/>
      <c r="E587" s="199"/>
      <c r="F587" s="712"/>
      <c r="G587" s="714"/>
      <c r="H587" s="712"/>
      <c r="I587" s="199"/>
      <c r="J587" s="711"/>
      <c r="K587" s="711"/>
    </row>
    <row r="588" spans="1:11">
      <c r="A588" s="712"/>
      <c r="B588" s="199"/>
      <c r="C588" s="713"/>
      <c r="D588" s="199"/>
      <c r="E588" s="199"/>
      <c r="F588" s="712"/>
      <c r="G588" s="714"/>
      <c r="H588" s="712"/>
      <c r="I588" s="199"/>
      <c r="J588" s="711"/>
      <c r="K588" s="711"/>
    </row>
    <row r="589" spans="1:11">
      <c r="A589" s="712"/>
      <c r="B589" s="199"/>
      <c r="C589" s="713"/>
      <c r="D589" s="199"/>
      <c r="E589" s="199"/>
      <c r="F589" s="712"/>
      <c r="G589" s="714"/>
      <c r="H589" s="712"/>
      <c r="I589" s="199"/>
      <c r="J589" s="711"/>
      <c r="K589" s="711"/>
    </row>
    <row r="590" spans="1:11">
      <c r="A590" s="712"/>
      <c r="B590" s="199"/>
      <c r="C590" s="713"/>
      <c r="D590" s="199"/>
      <c r="E590" s="199"/>
      <c r="F590" s="712"/>
      <c r="G590" s="714"/>
      <c r="H590" s="712"/>
      <c r="I590" s="199"/>
      <c r="J590" s="711"/>
      <c r="K590" s="711"/>
    </row>
    <row r="591" spans="1:11">
      <c r="A591" s="712"/>
      <c r="B591" s="199"/>
      <c r="C591" s="713"/>
      <c r="D591" s="199"/>
      <c r="E591" s="199"/>
      <c r="F591" s="712"/>
      <c r="G591" s="714"/>
      <c r="H591" s="712"/>
      <c r="I591" s="199"/>
      <c r="J591" s="711"/>
      <c r="K591" s="711"/>
    </row>
    <row r="592" spans="1:11">
      <c r="A592" s="712"/>
      <c r="B592" s="199"/>
      <c r="C592" s="713"/>
      <c r="D592" s="199"/>
      <c r="E592" s="199"/>
      <c r="F592" s="712"/>
      <c r="G592" s="714"/>
      <c r="H592" s="712"/>
      <c r="I592" s="199"/>
      <c r="J592" s="711"/>
      <c r="K592" s="711"/>
    </row>
    <row r="593" spans="1:11">
      <c r="A593" s="712"/>
      <c r="B593" s="199"/>
      <c r="C593" s="713"/>
      <c r="D593" s="199"/>
      <c r="E593" s="199"/>
      <c r="F593" s="712"/>
      <c r="G593" s="714"/>
      <c r="H593" s="712"/>
      <c r="I593" s="199"/>
      <c r="J593" s="711"/>
      <c r="K593" s="711"/>
    </row>
    <row r="594" spans="1:11">
      <c r="A594" s="712"/>
      <c r="B594" s="199"/>
      <c r="C594" s="713"/>
      <c r="D594" s="199"/>
      <c r="E594" s="199"/>
      <c r="F594" s="712"/>
      <c r="G594" s="714"/>
      <c r="H594" s="712"/>
      <c r="I594" s="199"/>
      <c r="J594" s="711"/>
      <c r="K594" s="711"/>
    </row>
    <row r="595" spans="1:11">
      <c r="A595" s="712"/>
      <c r="B595" s="199"/>
      <c r="C595" s="713"/>
      <c r="D595" s="199"/>
      <c r="E595" s="199"/>
      <c r="F595" s="712"/>
      <c r="G595" s="712"/>
      <c r="H595" s="712"/>
      <c r="I595" s="199"/>
      <c r="J595" s="711"/>
      <c r="K595" s="711"/>
    </row>
    <row r="596" spans="1:11">
      <c r="A596" s="712"/>
      <c r="B596" s="199"/>
      <c r="C596" s="713"/>
      <c r="D596" s="199"/>
      <c r="E596" s="199"/>
      <c r="F596" s="712"/>
      <c r="G596" s="712"/>
      <c r="H596" s="712"/>
      <c r="I596" s="199"/>
      <c r="J596" s="711"/>
      <c r="K596" s="711"/>
    </row>
    <row r="597" spans="1:11">
      <c r="A597" s="712"/>
      <c r="B597" s="199"/>
      <c r="C597" s="713"/>
      <c r="D597" s="199"/>
      <c r="E597" s="199"/>
      <c r="F597" s="712"/>
      <c r="G597" s="712"/>
      <c r="H597" s="712"/>
      <c r="I597" s="199"/>
      <c r="J597" s="711"/>
      <c r="K597" s="711"/>
    </row>
    <row r="598" spans="1:11">
      <c r="A598" s="712"/>
      <c r="B598" s="199"/>
      <c r="C598" s="713"/>
      <c r="D598" s="199"/>
      <c r="E598" s="199"/>
      <c r="F598" s="712"/>
      <c r="G598" s="714"/>
      <c r="H598" s="712"/>
      <c r="I598" s="199"/>
      <c r="J598" s="711"/>
      <c r="K598" s="711"/>
    </row>
    <row r="599" spans="1:11">
      <c r="A599" s="712"/>
      <c r="B599" s="199"/>
      <c r="C599" s="713"/>
      <c r="D599" s="199"/>
      <c r="E599" s="199"/>
      <c r="F599" s="712"/>
      <c r="G599" s="714"/>
      <c r="H599" s="712"/>
      <c r="I599" s="199"/>
      <c r="J599" s="711"/>
      <c r="K599" s="711"/>
    </row>
    <row r="600" spans="1:11">
      <c r="A600" s="712"/>
      <c r="B600" s="199"/>
      <c r="C600" s="713"/>
      <c r="D600" s="199"/>
      <c r="E600" s="199"/>
      <c r="F600" s="712"/>
      <c r="G600" s="714"/>
      <c r="H600" s="712"/>
      <c r="I600" s="199"/>
      <c r="J600" s="711"/>
      <c r="K600" s="711"/>
    </row>
    <row r="601" spans="1:11">
      <c r="A601" s="712"/>
      <c r="B601" s="715"/>
      <c r="C601" s="716"/>
      <c r="D601" s="715"/>
      <c r="E601" s="199"/>
      <c r="F601" s="712"/>
      <c r="G601" s="714"/>
      <c r="H601" s="712"/>
      <c r="I601" s="715"/>
      <c r="J601" s="711"/>
      <c r="K601" s="711"/>
    </row>
    <row r="602" spans="1:11">
      <c r="A602" s="712"/>
      <c r="B602" s="199"/>
      <c r="C602" s="713"/>
      <c r="D602" s="199"/>
      <c r="E602" s="199"/>
      <c r="F602" s="712"/>
      <c r="G602" s="714"/>
      <c r="H602" s="712"/>
      <c r="I602" s="199"/>
      <c r="J602" s="711"/>
      <c r="K602" s="711"/>
    </row>
    <row r="603" spans="1:11">
      <c r="A603" s="712"/>
      <c r="B603" s="199"/>
      <c r="C603" s="713"/>
      <c r="D603" s="199"/>
      <c r="E603" s="199"/>
      <c r="F603" s="712"/>
      <c r="G603" s="712"/>
      <c r="H603" s="712"/>
      <c r="I603" s="199"/>
      <c r="J603" s="711"/>
      <c r="K603" s="711"/>
    </row>
    <row r="604" spans="1:11">
      <c r="A604" s="712"/>
      <c r="B604" s="199"/>
      <c r="C604" s="713"/>
      <c r="D604" s="199"/>
      <c r="E604" s="199"/>
      <c r="F604" s="712"/>
      <c r="G604" s="714"/>
      <c r="H604" s="712"/>
      <c r="I604" s="199"/>
      <c r="J604" s="711"/>
      <c r="K604" s="711"/>
    </row>
    <row r="605" spans="1:11">
      <c r="A605" s="712"/>
      <c r="B605" s="199"/>
      <c r="C605" s="713"/>
      <c r="D605" s="199"/>
      <c r="E605" s="199"/>
      <c r="F605" s="712"/>
      <c r="G605" s="712"/>
      <c r="H605" s="712"/>
      <c r="I605" s="199"/>
      <c r="J605" s="711"/>
      <c r="K605" s="711"/>
    </row>
    <row r="606" spans="1:11">
      <c r="A606" s="712"/>
      <c r="B606" s="199"/>
      <c r="C606" s="713"/>
      <c r="D606" s="199"/>
      <c r="E606" s="199"/>
      <c r="F606" s="712"/>
      <c r="G606" s="712"/>
      <c r="H606" s="712"/>
      <c r="I606" s="199"/>
      <c r="J606" s="711"/>
      <c r="K606" s="711"/>
    </row>
    <row r="607" spans="1:11">
      <c r="A607" s="712"/>
      <c r="B607" s="199"/>
      <c r="C607" s="713"/>
      <c r="D607" s="199"/>
      <c r="E607" s="199"/>
      <c r="F607" s="712"/>
      <c r="G607" s="712"/>
      <c r="H607" s="712"/>
      <c r="I607" s="199"/>
      <c r="J607" s="711"/>
      <c r="K607" s="711"/>
    </row>
    <row r="608" spans="1:11">
      <c r="A608" s="712"/>
      <c r="B608" s="199"/>
      <c r="C608" s="713"/>
      <c r="D608" s="199"/>
      <c r="E608" s="199"/>
      <c r="F608" s="712"/>
      <c r="G608" s="712"/>
      <c r="H608" s="712"/>
      <c r="I608" s="199"/>
      <c r="J608" s="711"/>
      <c r="K608" s="711"/>
    </row>
    <row r="609" spans="1:11">
      <c r="A609" s="712"/>
      <c r="B609" s="199"/>
      <c r="C609" s="713"/>
      <c r="D609" s="199"/>
      <c r="E609" s="199"/>
      <c r="F609" s="712"/>
      <c r="G609" s="712"/>
      <c r="H609" s="712"/>
      <c r="I609" s="199"/>
      <c r="J609" s="711"/>
      <c r="K609" s="711"/>
    </row>
    <row r="610" spans="1:11">
      <c r="A610" s="712"/>
      <c r="B610" s="199"/>
      <c r="C610" s="713"/>
      <c r="D610" s="199"/>
      <c r="E610" s="199"/>
      <c r="F610" s="712"/>
      <c r="G610" s="712"/>
      <c r="H610" s="712"/>
      <c r="I610" s="199"/>
      <c r="J610" s="711"/>
      <c r="K610" s="711"/>
    </row>
    <row r="611" spans="1:11">
      <c r="A611" s="712"/>
      <c r="B611" s="199"/>
      <c r="C611" s="713"/>
      <c r="D611" s="199"/>
      <c r="E611" s="199"/>
      <c r="F611" s="712"/>
      <c r="G611" s="712"/>
      <c r="H611" s="712"/>
      <c r="I611" s="199"/>
      <c r="J611" s="711"/>
      <c r="K611" s="711"/>
    </row>
    <row r="612" spans="1:11">
      <c r="A612" s="712"/>
      <c r="B612" s="199"/>
      <c r="C612" s="713"/>
      <c r="D612" s="199"/>
      <c r="E612" s="199"/>
      <c r="F612" s="712"/>
      <c r="G612" s="712"/>
      <c r="H612" s="712"/>
      <c r="I612" s="199"/>
      <c r="J612" s="711"/>
      <c r="K612" s="711"/>
    </row>
    <row r="613" spans="1:11">
      <c r="A613" s="712"/>
      <c r="B613" s="199"/>
      <c r="C613" s="713"/>
      <c r="D613" s="199"/>
      <c r="E613" s="199"/>
      <c r="F613" s="712"/>
      <c r="G613" s="712"/>
      <c r="H613" s="712"/>
      <c r="I613" s="199"/>
      <c r="J613" s="711"/>
      <c r="K613" s="711"/>
    </row>
    <row r="614" spans="1:11">
      <c r="A614" s="712"/>
      <c r="B614" s="199"/>
      <c r="C614" s="713"/>
      <c r="D614" s="199"/>
      <c r="E614" s="199"/>
      <c r="F614" s="712"/>
      <c r="G614" s="712"/>
      <c r="H614" s="712"/>
      <c r="I614" s="199"/>
      <c r="J614" s="711"/>
      <c r="K614" s="711"/>
    </row>
    <row r="615" spans="1:11">
      <c r="A615" s="712"/>
      <c r="B615" s="199"/>
      <c r="C615" s="713"/>
      <c r="D615" s="199"/>
      <c r="E615" s="199"/>
      <c r="F615" s="712"/>
      <c r="G615" s="714"/>
      <c r="H615" s="712"/>
      <c r="I615" s="199"/>
      <c r="J615" s="711"/>
      <c r="K615" s="711"/>
    </row>
    <row r="616" spans="1:11">
      <c r="A616" s="712"/>
      <c r="B616" s="199"/>
      <c r="C616" s="713"/>
      <c r="D616" s="199"/>
      <c r="E616" s="199"/>
      <c r="F616" s="712"/>
      <c r="G616" s="712"/>
      <c r="H616" s="712"/>
      <c r="I616" s="199"/>
      <c r="J616" s="711"/>
      <c r="K616" s="711"/>
    </row>
    <row r="617" spans="1:11">
      <c r="A617" s="712"/>
      <c r="B617" s="199"/>
      <c r="C617" s="713"/>
      <c r="D617" s="199"/>
      <c r="E617" s="199"/>
      <c r="F617" s="712"/>
      <c r="G617" s="714"/>
      <c r="H617" s="712"/>
      <c r="I617" s="199"/>
      <c r="J617" s="711"/>
      <c r="K617" s="711"/>
    </row>
    <row r="618" spans="1:11">
      <c r="A618" s="712"/>
      <c r="B618" s="199"/>
      <c r="C618" s="713"/>
      <c r="D618" s="199"/>
      <c r="E618" s="199"/>
      <c r="F618" s="712"/>
      <c r="G618" s="712"/>
      <c r="H618" s="712"/>
      <c r="I618" s="199"/>
      <c r="J618" s="711"/>
      <c r="K618" s="711"/>
    </row>
    <row r="619" spans="1:11">
      <c r="A619" s="712"/>
      <c r="B619" s="199"/>
      <c r="C619" s="713"/>
      <c r="D619" s="199"/>
      <c r="E619" s="199"/>
      <c r="F619" s="712"/>
      <c r="G619" s="712"/>
      <c r="H619" s="712"/>
      <c r="I619" s="199"/>
      <c r="J619" s="711"/>
      <c r="K619" s="711"/>
    </row>
    <row r="620" spans="1:11">
      <c r="A620" s="712"/>
      <c r="B620" s="199"/>
      <c r="C620" s="713"/>
      <c r="D620" s="199"/>
      <c r="E620" s="199"/>
      <c r="F620" s="712"/>
      <c r="G620" s="712"/>
      <c r="H620" s="712"/>
      <c r="I620" s="199"/>
      <c r="J620" s="711"/>
      <c r="K620" s="711"/>
    </row>
    <row r="621" spans="1:11">
      <c r="A621" s="712"/>
      <c r="B621" s="199"/>
      <c r="C621" s="713"/>
      <c r="D621" s="199"/>
      <c r="E621" s="199"/>
      <c r="F621" s="712"/>
      <c r="G621" s="712"/>
      <c r="H621" s="712"/>
      <c r="I621" s="199"/>
      <c r="J621" s="711"/>
      <c r="K621" s="711"/>
    </row>
    <row r="622" spans="1:11">
      <c r="A622" s="712"/>
      <c r="B622" s="199"/>
      <c r="C622" s="713"/>
      <c r="D622" s="199"/>
      <c r="E622" s="199"/>
      <c r="F622" s="712"/>
      <c r="G622" s="714"/>
      <c r="H622" s="712"/>
      <c r="I622" s="199"/>
      <c r="J622" s="711"/>
      <c r="K622" s="711"/>
    </row>
    <row r="623" spans="1:11">
      <c r="A623" s="712"/>
      <c r="B623" s="199"/>
      <c r="C623" s="713"/>
      <c r="D623" s="199"/>
      <c r="E623" s="199"/>
      <c r="F623" s="712"/>
      <c r="G623" s="712"/>
      <c r="H623" s="712"/>
      <c r="I623" s="199"/>
      <c r="J623" s="711"/>
      <c r="K623" s="711"/>
    </row>
    <row r="624" spans="1:11">
      <c r="A624" s="712"/>
      <c r="B624" s="199"/>
      <c r="C624" s="713"/>
      <c r="D624" s="199"/>
      <c r="E624" s="199"/>
      <c r="F624" s="712"/>
      <c r="G624" s="712"/>
      <c r="H624" s="712"/>
      <c r="I624" s="199"/>
      <c r="J624" s="711"/>
      <c r="K624" s="711"/>
    </row>
    <row r="625" spans="1:11">
      <c r="A625" s="712"/>
      <c r="B625" s="199"/>
      <c r="C625" s="713"/>
      <c r="D625" s="199"/>
      <c r="E625" s="199"/>
      <c r="F625" s="712"/>
      <c r="G625" s="712"/>
      <c r="H625" s="712"/>
      <c r="I625" s="199"/>
      <c r="J625" s="711"/>
      <c r="K625" s="711"/>
    </row>
    <row r="626" spans="1:11">
      <c r="A626" s="712"/>
      <c r="B626" s="199"/>
      <c r="C626" s="713"/>
      <c r="D626" s="199"/>
      <c r="E626" s="199"/>
      <c r="F626" s="712"/>
      <c r="G626" s="712"/>
      <c r="H626" s="712"/>
      <c r="I626" s="199"/>
      <c r="J626" s="711"/>
      <c r="K626" s="711"/>
    </row>
    <row r="627" spans="1:11">
      <c r="A627" s="712"/>
      <c r="B627" s="199"/>
      <c r="C627" s="713"/>
      <c r="D627" s="199"/>
      <c r="E627" s="199"/>
      <c r="F627" s="712"/>
      <c r="G627" s="712"/>
      <c r="H627" s="712"/>
      <c r="I627" s="199"/>
      <c r="J627" s="711"/>
      <c r="K627" s="711"/>
    </row>
    <row r="628" spans="1:11">
      <c r="A628" s="712"/>
      <c r="B628" s="199"/>
      <c r="C628" s="713"/>
      <c r="D628" s="199"/>
      <c r="E628" s="199"/>
      <c r="F628" s="712"/>
      <c r="G628" s="712"/>
      <c r="H628" s="712"/>
      <c r="I628" s="199"/>
      <c r="J628" s="711"/>
      <c r="K628" s="711"/>
    </row>
    <row r="629" spans="1:11">
      <c r="A629" s="712"/>
      <c r="B629" s="199"/>
      <c r="C629" s="713"/>
      <c r="D629" s="199"/>
      <c r="E629" s="199"/>
      <c r="F629" s="712"/>
      <c r="G629" s="714"/>
      <c r="H629" s="712"/>
      <c r="I629" s="199"/>
      <c r="J629" s="711"/>
      <c r="K629" s="711"/>
    </row>
    <row r="630" spans="1:11">
      <c r="A630" s="712"/>
      <c r="B630" s="199"/>
      <c r="C630" s="713"/>
      <c r="D630" s="199"/>
      <c r="E630" s="199"/>
      <c r="F630" s="712"/>
      <c r="G630" s="714"/>
      <c r="H630" s="712"/>
      <c r="I630" s="199"/>
      <c r="J630" s="711"/>
      <c r="K630" s="711"/>
    </row>
    <row r="631" spans="1:11">
      <c r="A631" s="712"/>
      <c r="B631" s="199"/>
      <c r="C631" s="713"/>
      <c r="D631" s="199"/>
      <c r="E631" s="199"/>
      <c r="F631" s="712"/>
      <c r="G631" s="712"/>
      <c r="H631" s="712"/>
      <c r="I631" s="199"/>
      <c r="J631" s="711"/>
      <c r="K631" s="711"/>
    </row>
    <row r="632" spans="1:11">
      <c r="A632" s="712"/>
      <c r="B632" s="199"/>
      <c r="C632" s="713"/>
      <c r="D632" s="199"/>
      <c r="E632" s="199"/>
      <c r="F632" s="712"/>
      <c r="G632" s="712"/>
      <c r="H632" s="712"/>
      <c r="I632" s="199"/>
      <c r="J632" s="711"/>
      <c r="K632" s="711"/>
    </row>
    <row r="633" spans="1:11">
      <c r="A633" s="712"/>
      <c r="B633" s="199"/>
      <c r="C633" s="713"/>
      <c r="D633" s="199"/>
      <c r="E633" s="199"/>
      <c r="F633" s="712"/>
      <c r="G633" s="712"/>
      <c r="H633" s="712"/>
      <c r="I633" s="199"/>
      <c r="J633" s="711"/>
      <c r="K633" s="711"/>
    </row>
    <row r="634" spans="1:11">
      <c r="A634" s="712"/>
      <c r="B634" s="715"/>
      <c r="C634" s="716"/>
      <c r="D634" s="715"/>
      <c r="E634" s="199"/>
      <c r="F634" s="712"/>
      <c r="G634" s="717"/>
      <c r="H634" s="717"/>
      <c r="I634" s="715"/>
      <c r="J634" s="711"/>
      <c r="K634" s="711"/>
    </row>
    <row r="635" spans="1:11">
      <c r="A635" s="712"/>
      <c r="B635" s="199"/>
      <c r="C635" s="713"/>
      <c r="D635" s="199"/>
      <c r="E635" s="199"/>
      <c r="F635" s="712"/>
      <c r="G635" s="714"/>
      <c r="H635" s="712"/>
      <c r="I635" s="199"/>
      <c r="J635" s="711"/>
      <c r="K635" s="711"/>
    </row>
    <row r="636" spans="1:11">
      <c r="A636" s="712"/>
      <c r="B636" s="199"/>
      <c r="C636" s="713"/>
      <c r="D636" s="199"/>
      <c r="E636" s="199"/>
      <c r="F636" s="712"/>
      <c r="G636" s="714"/>
      <c r="H636" s="712"/>
      <c r="I636" s="199"/>
      <c r="J636" s="711"/>
      <c r="K636" s="711"/>
    </row>
    <row r="637" spans="1:11">
      <c r="A637" s="712"/>
      <c r="B637" s="199"/>
      <c r="C637" s="713"/>
      <c r="D637" s="199"/>
      <c r="E637" s="199"/>
      <c r="F637" s="712"/>
      <c r="G637" s="712"/>
      <c r="H637" s="712"/>
      <c r="I637" s="199"/>
      <c r="J637" s="711"/>
      <c r="K637" s="711"/>
    </row>
    <row r="638" spans="1:11">
      <c r="A638" s="712"/>
      <c r="B638" s="199"/>
      <c r="C638" s="713"/>
      <c r="D638" s="199"/>
      <c r="E638" s="199"/>
      <c r="F638" s="712"/>
      <c r="G638" s="712"/>
      <c r="H638" s="712"/>
      <c r="I638" s="199"/>
      <c r="J638" s="711"/>
      <c r="K638" s="711"/>
    </row>
    <row r="639" spans="1:11">
      <c r="A639" s="712"/>
      <c r="B639" s="199"/>
      <c r="C639" s="713"/>
      <c r="D639" s="199"/>
      <c r="E639" s="199"/>
      <c r="F639" s="712"/>
      <c r="G639" s="712"/>
      <c r="H639" s="712"/>
      <c r="I639" s="199"/>
      <c r="J639" s="711"/>
      <c r="K639" s="711"/>
    </row>
    <row r="640" spans="1:11">
      <c r="A640" s="712"/>
      <c r="B640" s="199"/>
      <c r="C640" s="713"/>
      <c r="D640" s="199"/>
      <c r="E640" s="199"/>
      <c r="F640" s="712"/>
      <c r="G640" s="712"/>
      <c r="H640" s="712"/>
      <c r="I640" s="199"/>
      <c r="J640" s="711"/>
      <c r="K640" s="711"/>
    </row>
    <row r="641" spans="1:11">
      <c r="A641" s="712"/>
      <c r="B641" s="199"/>
      <c r="C641" s="713"/>
      <c r="D641" s="199"/>
      <c r="E641" s="199"/>
      <c r="F641" s="712"/>
      <c r="G641" s="714"/>
      <c r="H641" s="712"/>
      <c r="I641" s="199"/>
      <c r="J641" s="711"/>
      <c r="K641" s="711"/>
    </row>
    <row r="642" spans="1:11">
      <c r="A642" s="712"/>
      <c r="B642" s="199"/>
      <c r="C642" s="713"/>
      <c r="D642" s="199"/>
      <c r="E642" s="199"/>
      <c r="F642" s="712"/>
      <c r="G642" s="714"/>
      <c r="H642" s="712"/>
      <c r="I642" s="199"/>
      <c r="J642" s="711"/>
      <c r="K642" s="711"/>
    </row>
    <row r="643" spans="1:11">
      <c r="A643" s="712"/>
      <c r="B643" s="199"/>
      <c r="C643" s="713"/>
      <c r="D643" s="199"/>
      <c r="E643" s="199"/>
      <c r="F643" s="712"/>
      <c r="G643" s="714"/>
      <c r="H643" s="712"/>
      <c r="I643" s="199"/>
      <c r="J643" s="711"/>
      <c r="K643" s="711"/>
    </row>
    <row r="644" spans="1:11">
      <c r="A644" s="712"/>
      <c r="B644" s="199"/>
      <c r="C644" s="713"/>
      <c r="D644" s="199"/>
      <c r="E644" s="199"/>
      <c r="F644" s="712"/>
      <c r="G644" s="714"/>
      <c r="H644" s="712"/>
      <c r="I644" s="199"/>
      <c r="J644" s="711"/>
      <c r="K644" s="711"/>
    </row>
    <row r="645" spans="1:11">
      <c r="A645" s="712"/>
      <c r="B645" s="199"/>
      <c r="C645" s="713"/>
      <c r="D645" s="199"/>
      <c r="E645" s="199"/>
      <c r="F645" s="712"/>
      <c r="G645" s="712"/>
      <c r="H645" s="712"/>
      <c r="I645" s="199"/>
      <c r="J645" s="711"/>
      <c r="K645" s="711"/>
    </row>
    <row r="646" spans="1:11">
      <c r="A646" s="712"/>
      <c r="B646" s="199"/>
      <c r="C646" s="713"/>
      <c r="D646" s="199"/>
      <c r="E646" s="199"/>
      <c r="F646" s="712"/>
      <c r="G646" s="712"/>
      <c r="H646" s="712"/>
      <c r="I646" s="199"/>
      <c r="J646" s="711"/>
      <c r="K646" s="711"/>
    </row>
    <row r="647" spans="1:11">
      <c r="A647" s="712"/>
      <c r="B647" s="199"/>
      <c r="C647" s="713"/>
      <c r="D647" s="199"/>
      <c r="E647" s="199"/>
      <c r="F647" s="712"/>
      <c r="G647" s="712"/>
      <c r="H647" s="712"/>
      <c r="I647" s="199"/>
      <c r="J647" s="711"/>
      <c r="K647" s="711"/>
    </row>
    <row r="648" spans="1:11">
      <c r="A648" s="712"/>
      <c r="B648" s="199"/>
      <c r="C648" s="713"/>
      <c r="D648" s="199"/>
      <c r="E648" s="199"/>
      <c r="F648" s="712"/>
      <c r="G648" s="714"/>
      <c r="H648" s="712"/>
      <c r="I648" s="199"/>
      <c r="J648" s="711"/>
      <c r="K648" s="711"/>
    </row>
    <row r="649" spans="1:11">
      <c r="A649" s="712"/>
      <c r="B649" s="199"/>
      <c r="C649" s="713"/>
      <c r="D649" s="199"/>
      <c r="E649" s="199"/>
      <c r="F649" s="712"/>
      <c r="G649" s="712"/>
      <c r="H649" s="712"/>
      <c r="I649" s="199"/>
      <c r="J649" s="711"/>
      <c r="K649" s="711"/>
    </row>
    <row r="650" spans="1:11">
      <c r="A650" s="712"/>
      <c r="B650" s="199"/>
      <c r="C650" s="713"/>
      <c r="D650" s="199"/>
      <c r="E650" s="199"/>
      <c r="F650" s="712"/>
      <c r="G650" s="714"/>
      <c r="H650" s="712"/>
      <c r="I650" s="199"/>
      <c r="J650" s="711"/>
      <c r="K650" s="711"/>
    </row>
    <row r="651" spans="1:11">
      <c r="A651" s="712"/>
      <c r="B651" s="199"/>
      <c r="C651" s="713"/>
      <c r="D651" s="199"/>
      <c r="E651" s="199"/>
      <c r="F651" s="712"/>
      <c r="G651" s="712"/>
      <c r="H651" s="712"/>
      <c r="I651" s="199"/>
      <c r="J651" s="711"/>
      <c r="K651" s="711"/>
    </row>
    <row r="652" spans="1:11">
      <c r="A652" s="712"/>
      <c r="B652" s="199"/>
      <c r="C652" s="713"/>
      <c r="D652" s="199"/>
      <c r="E652" s="199"/>
      <c r="F652" s="712"/>
      <c r="G652" s="714"/>
      <c r="H652" s="712"/>
      <c r="I652" s="199"/>
      <c r="J652" s="711"/>
      <c r="K652" s="711"/>
    </row>
    <row r="653" spans="1:11">
      <c r="A653" s="712"/>
      <c r="B653" s="199"/>
      <c r="C653" s="713"/>
      <c r="D653" s="199"/>
      <c r="E653" s="199"/>
      <c r="F653" s="712"/>
      <c r="G653" s="712"/>
      <c r="H653" s="712"/>
      <c r="I653" s="199"/>
      <c r="J653" s="711"/>
      <c r="K653" s="711"/>
    </row>
    <row r="654" spans="1:11">
      <c r="A654" s="712"/>
      <c r="B654" s="199"/>
      <c r="C654" s="713"/>
      <c r="D654" s="199"/>
      <c r="E654" s="199"/>
      <c r="F654" s="712"/>
      <c r="G654" s="712"/>
      <c r="H654" s="712"/>
      <c r="I654" s="199"/>
      <c r="J654" s="711"/>
      <c r="K654" s="711"/>
    </row>
    <row r="655" spans="1:11">
      <c r="A655" s="712"/>
      <c r="B655" s="199"/>
      <c r="C655" s="713"/>
      <c r="D655" s="199"/>
      <c r="E655" s="199"/>
      <c r="F655" s="712"/>
      <c r="G655" s="712"/>
      <c r="H655" s="712"/>
      <c r="I655" s="199"/>
      <c r="J655" s="711"/>
      <c r="K655" s="711"/>
    </row>
    <row r="656" spans="1:11">
      <c r="A656" s="712"/>
      <c r="B656" s="199"/>
      <c r="C656" s="713"/>
      <c r="D656" s="199"/>
      <c r="E656" s="199"/>
      <c r="F656" s="712"/>
      <c r="G656" s="712"/>
      <c r="H656" s="712"/>
      <c r="I656" s="199"/>
      <c r="J656" s="711"/>
      <c r="K656" s="711"/>
    </row>
    <row r="657" spans="1:11">
      <c r="A657" s="712"/>
      <c r="B657" s="199"/>
      <c r="C657" s="713"/>
      <c r="D657" s="199"/>
      <c r="E657" s="199"/>
      <c r="F657" s="712"/>
      <c r="G657" s="714"/>
      <c r="H657" s="712"/>
      <c r="I657" s="199"/>
      <c r="J657" s="711"/>
      <c r="K657" s="711"/>
    </row>
    <row r="658" spans="1:11">
      <c r="A658" s="712"/>
      <c r="B658" s="199"/>
      <c r="C658" s="713"/>
      <c r="D658" s="199"/>
      <c r="E658" s="199"/>
      <c r="F658" s="712"/>
      <c r="G658" s="712"/>
      <c r="H658" s="712"/>
      <c r="I658" s="199"/>
      <c r="J658" s="711"/>
      <c r="K658" s="711"/>
    </row>
    <row r="659" spans="1:11">
      <c r="A659" s="712"/>
      <c r="B659" s="199"/>
      <c r="C659" s="713"/>
      <c r="D659" s="199"/>
      <c r="E659" s="199"/>
      <c r="F659" s="712"/>
      <c r="G659" s="714"/>
      <c r="H659" s="712"/>
      <c r="I659" s="199"/>
      <c r="J659" s="711"/>
      <c r="K659" s="711"/>
    </row>
    <row r="660" spans="1:11">
      <c r="A660" s="712"/>
      <c r="B660" s="199"/>
      <c r="C660" s="713"/>
      <c r="D660" s="199"/>
      <c r="E660" s="199"/>
      <c r="F660" s="712"/>
      <c r="G660" s="714"/>
      <c r="H660" s="712"/>
      <c r="I660" s="199"/>
      <c r="J660" s="711"/>
      <c r="K660" s="711"/>
    </row>
    <row r="661" spans="1:11">
      <c r="A661" s="712"/>
      <c r="B661" s="199"/>
      <c r="C661" s="713"/>
      <c r="D661" s="199"/>
      <c r="E661" s="199"/>
      <c r="F661" s="712"/>
      <c r="G661" s="714"/>
      <c r="H661" s="712"/>
      <c r="I661" s="199"/>
      <c r="J661" s="711"/>
      <c r="K661" s="711"/>
    </row>
    <row r="662" spans="1:11">
      <c r="A662" s="712"/>
      <c r="B662" s="199"/>
      <c r="C662" s="713"/>
      <c r="D662" s="199"/>
      <c r="E662" s="199"/>
      <c r="F662" s="712"/>
      <c r="G662" s="714"/>
      <c r="H662" s="712"/>
      <c r="I662" s="199"/>
      <c r="J662" s="711"/>
      <c r="K662" s="711"/>
    </row>
    <row r="663" spans="1:11">
      <c r="A663" s="712"/>
      <c r="B663" s="199"/>
      <c r="C663" s="713"/>
      <c r="D663" s="199"/>
      <c r="E663" s="199"/>
      <c r="F663" s="712"/>
      <c r="G663" s="714"/>
      <c r="H663" s="712"/>
      <c r="I663" s="199"/>
      <c r="J663" s="711"/>
      <c r="K663" s="711"/>
    </row>
    <row r="664" spans="1:11">
      <c r="A664" s="712"/>
      <c r="B664" s="199"/>
      <c r="C664" s="713"/>
      <c r="D664" s="199"/>
      <c r="E664" s="199"/>
      <c r="F664" s="712"/>
      <c r="G664" s="712"/>
      <c r="H664" s="712"/>
      <c r="I664" s="199"/>
      <c r="J664" s="711"/>
      <c r="K664" s="711"/>
    </row>
    <row r="665" spans="1:11">
      <c r="A665" s="712"/>
      <c r="B665" s="199"/>
      <c r="C665" s="713"/>
      <c r="D665" s="199"/>
      <c r="E665" s="199"/>
      <c r="F665" s="712"/>
      <c r="G665" s="714"/>
      <c r="H665" s="712"/>
      <c r="I665" s="199"/>
      <c r="J665" s="711"/>
      <c r="K665" s="711"/>
    </row>
    <row r="666" spans="1:11">
      <c r="A666" s="712"/>
      <c r="B666" s="199"/>
      <c r="C666" s="713"/>
      <c r="D666" s="199"/>
      <c r="E666" s="199"/>
      <c r="F666" s="712"/>
      <c r="G666" s="712"/>
      <c r="H666" s="712"/>
      <c r="I666" s="199"/>
      <c r="J666" s="711"/>
      <c r="K666" s="711"/>
    </row>
    <row r="667" spans="1:11">
      <c r="A667" s="712"/>
      <c r="B667" s="199"/>
      <c r="C667" s="713"/>
      <c r="D667" s="199"/>
      <c r="E667" s="199"/>
      <c r="F667" s="712"/>
      <c r="G667" s="714"/>
      <c r="H667" s="712"/>
      <c r="I667" s="199"/>
      <c r="J667" s="711"/>
      <c r="K667" s="711"/>
    </row>
    <row r="668" spans="1:11">
      <c r="A668" s="712"/>
      <c r="B668" s="199"/>
      <c r="C668" s="713"/>
      <c r="D668" s="199"/>
      <c r="E668" s="199"/>
      <c r="F668" s="712"/>
      <c r="G668" s="714"/>
      <c r="H668" s="712"/>
      <c r="I668" s="199"/>
      <c r="J668" s="711"/>
      <c r="K668" s="711"/>
    </row>
    <row r="669" spans="1:11">
      <c r="A669" s="712"/>
      <c r="B669" s="199"/>
      <c r="C669" s="713"/>
      <c r="D669" s="199"/>
      <c r="E669" s="199"/>
      <c r="F669" s="712"/>
      <c r="G669" s="714"/>
      <c r="H669" s="712"/>
      <c r="I669" s="199"/>
      <c r="J669" s="711"/>
      <c r="K669" s="711"/>
    </row>
    <row r="670" spans="1:11">
      <c r="A670" s="712"/>
      <c r="B670" s="199"/>
      <c r="C670" s="713"/>
      <c r="D670" s="199"/>
      <c r="E670" s="199"/>
      <c r="F670" s="712"/>
      <c r="G670" s="714"/>
      <c r="H670" s="712"/>
      <c r="I670" s="199"/>
      <c r="J670" s="711"/>
      <c r="K670" s="711"/>
    </row>
    <row r="671" spans="1:11">
      <c r="A671" s="712"/>
      <c r="B671" s="199"/>
      <c r="C671" s="713"/>
      <c r="D671" s="199"/>
      <c r="E671" s="199"/>
      <c r="F671" s="712"/>
      <c r="G671" s="712"/>
      <c r="H671" s="712"/>
      <c r="I671" s="199"/>
      <c r="J671" s="711"/>
      <c r="K671" s="711"/>
    </row>
    <row r="672" spans="1:11">
      <c r="A672" s="712"/>
      <c r="B672" s="199"/>
      <c r="C672" s="713"/>
      <c r="D672" s="199"/>
      <c r="E672" s="199"/>
      <c r="F672" s="712"/>
      <c r="G672" s="712"/>
      <c r="H672" s="712"/>
      <c r="I672" s="199"/>
      <c r="J672" s="711"/>
      <c r="K672" s="711"/>
    </row>
    <row r="673" spans="1:11">
      <c r="A673" s="712"/>
      <c r="B673" s="199"/>
      <c r="C673" s="713"/>
      <c r="D673" s="199"/>
      <c r="E673" s="199"/>
      <c r="F673" s="712"/>
      <c r="G673" s="712"/>
      <c r="H673" s="712"/>
      <c r="I673" s="199"/>
      <c r="J673" s="711"/>
      <c r="K673" s="711"/>
    </row>
    <row r="674" spans="1:11">
      <c r="A674" s="712"/>
      <c r="B674" s="199"/>
      <c r="C674" s="713"/>
      <c r="D674" s="199"/>
      <c r="E674" s="199"/>
      <c r="F674" s="712"/>
      <c r="G674" s="714"/>
      <c r="H674" s="712"/>
      <c r="I674" s="199"/>
      <c r="J674" s="711"/>
      <c r="K674" s="711"/>
    </row>
    <row r="675" spans="1:11">
      <c r="A675" s="712"/>
      <c r="B675" s="199"/>
      <c r="C675" s="713"/>
      <c r="D675" s="199"/>
      <c r="E675" s="199"/>
      <c r="F675" s="712"/>
      <c r="G675" s="712"/>
      <c r="H675" s="712"/>
      <c r="I675" s="199"/>
      <c r="J675" s="711"/>
      <c r="K675" s="711"/>
    </row>
    <row r="676" spans="1:11">
      <c r="A676" s="712"/>
      <c r="B676" s="199"/>
      <c r="C676" s="713"/>
      <c r="D676" s="199"/>
      <c r="E676" s="199"/>
      <c r="F676" s="712"/>
      <c r="G676" s="712"/>
      <c r="H676" s="712"/>
      <c r="I676" s="199"/>
      <c r="J676" s="711"/>
      <c r="K676" s="711"/>
    </row>
    <row r="677" spans="1:11">
      <c r="A677" s="712"/>
      <c r="B677" s="199"/>
      <c r="C677" s="713"/>
      <c r="D677" s="199"/>
      <c r="E677" s="199"/>
      <c r="F677" s="712"/>
      <c r="G677" s="714"/>
      <c r="H677" s="712"/>
      <c r="I677" s="199"/>
      <c r="J677" s="711"/>
      <c r="K677" s="711"/>
    </row>
    <row r="678" spans="1:11">
      <c r="A678" s="712"/>
      <c r="B678" s="199"/>
      <c r="C678" s="713"/>
      <c r="D678" s="199"/>
      <c r="E678" s="199"/>
      <c r="F678" s="712"/>
      <c r="G678" s="714"/>
      <c r="H678" s="712"/>
      <c r="I678" s="199"/>
      <c r="J678" s="711"/>
      <c r="K678" s="711"/>
    </row>
    <row r="679" spans="1:11">
      <c r="A679" s="712"/>
      <c r="B679" s="199"/>
      <c r="C679" s="713"/>
      <c r="D679" s="199"/>
      <c r="E679" s="199"/>
      <c r="F679" s="712"/>
      <c r="G679" s="712"/>
      <c r="H679" s="712"/>
      <c r="I679" s="199"/>
      <c r="J679" s="711"/>
      <c r="K679" s="711"/>
    </row>
    <row r="680" spans="1:11">
      <c r="A680" s="712"/>
      <c r="B680" s="199"/>
      <c r="C680" s="713"/>
      <c r="D680" s="199"/>
      <c r="E680" s="199"/>
      <c r="F680" s="712"/>
      <c r="G680" s="714"/>
      <c r="H680" s="712"/>
      <c r="I680" s="199"/>
      <c r="J680" s="711"/>
      <c r="K680" s="711"/>
    </row>
    <row r="681" spans="1:11">
      <c r="A681" s="712"/>
      <c r="B681" s="199"/>
      <c r="C681" s="713"/>
      <c r="D681" s="199"/>
      <c r="E681" s="199"/>
      <c r="F681" s="712"/>
      <c r="G681" s="712"/>
      <c r="H681" s="712"/>
      <c r="I681" s="199"/>
      <c r="J681" s="711"/>
      <c r="K681" s="711"/>
    </row>
    <row r="682" spans="1:11">
      <c r="A682" s="712"/>
      <c r="B682" s="199"/>
      <c r="C682" s="713"/>
      <c r="D682" s="199"/>
      <c r="E682" s="199"/>
      <c r="F682" s="712"/>
      <c r="G682" s="714"/>
      <c r="H682" s="712"/>
      <c r="I682" s="199"/>
      <c r="J682" s="711"/>
      <c r="K682" s="711"/>
    </row>
    <row r="683" spans="1:11">
      <c r="A683" s="712"/>
      <c r="B683" s="199"/>
      <c r="C683" s="713"/>
      <c r="D683" s="199"/>
      <c r="E683" s="199"/>
      <c r="F683" s="712"/>
      <c r="G683" s="714"/>
      <c r="H683" s="712"/>
      <c r="I683" s="199"/>
      <c r="J683" s="711"/>
      <c r="K683" s="711"/>
    </row>
    <row r="684" spans="1:11">
      <c r="A684" s="712"/>
      <c r="B684" s="199"/>
      <c r="C684" s="713"/>
      <c r="D684" s="199"/>
      <c r="E684" s="199"/>
      <c r="F684" s="712"/>
      <c r="G684" s="714"/>
      <c r="H684" s="712"/>
      <c r="I684" s="199"/>
      <c r="J684" s="711"/>
      <c r="K684" s="711"/>
    </row>
    <row r="685" spans="1:11">
      <c r="A685" s="712"/>
      <c r="B685" s="199"/>
      <c r="C685" s="713"/>
      <c r="D685" s="199"/>
      <c r="E685" s="199"/>
      <c r="F685" s="712"/>
      <c r="G685" s="714"/>
      <c r="H685" s="712"/>
      <c r="I685" s="199"/>
      <c r="J685" s="711"/>
      <c r="K685" s="711"/>
    </row>
    <row r="686" spans="1:11">
      <c r="A686" s="712"/>
      <c r="B686" s="715"/>
      <c r="C686" s="713"/>
      <c r="D686" s="199"/>
      <c r="E686" s="199"/>
      <c r="F686" s="712"/>
      <c r="G686" s="717"/>
      <c r="H686" s="712"/>
      <c r="I686" s="715"/>
      <c r="J686" s="711"/>
      <c r="K686" s="711"/>
    </row>
    <row r="687" spans="1:11">
      <c r="A687" s="712"/>
      <c r="B687" s="199"/>
      <c r="C687" s="713"/>
      <c r="D687" s="199"/>
      <c r="E687" s="199"/>
      <c r="F687" s="712"/>
      <c r="G687" s="712"/>
      <c r="H687" s="712"/>
      <c r="I687" s="199"/>
      <c r="J687" s="711"/>
      <c r="K687" s="711"/>
    </row>
    <row r="688" spans="1:11">
      <c r="A688" s="712"/>
      <c r="B688" s="199"/>
      <c r="C688" s="713"/>
      <c r="D688" s="199"/>
      <c r="E688" s="199"/>
      <c r="F688" s="712"/>
      <c r="G688" s="714"/>
      <c r="H688" s="712"/>
      <c r="I688" s="199"/>
      <c r="J688" s="711"/>
      <c r="K688" s="711"/>
    </row>
    <row r="689" spans="1:11">
      <c r="A689" s="712"/>
      <c r="B689" s="199"/>
      <c r="C689" s="713"/>
      <c r="D689" s="199"/>
      <c r="E689" s="199"/>
      <c r="F689" s="712"/>
      <c r="G689" s="714"/>
      <c r="H689" s="712"/>
      <c r="I689" s="199"/>
      <c r="J689" s="711"/>
      <c r="K689" s="711"/>
    </row>
    <row r="690" spans="1:11">
      <c r="A690" s="712"/>
      <c r="B690" s="199"/>
      <c r="C690" s="713"/>
      <c r="D690" s="199"/>
      <c r="E690" s="199"/>
      <c r="F690" s="712"/>
      <c r="G690" s="714"/>
      <c r="H690" s="712"/>
      <c r="I690" s="199"/>
      <c r="J690" s="711"/>
      <c r="K690" s="711"/>
    </row>
    <row r="691" spans="1:11">
      <c r="A691" s="712"/>
      <c r="B691" s="199"/>
      <c r="C691" s="713"/>
      <c r="D691" s="199"/>
      <c r="E691" s="199"/>
      <c r="F691" s="712"/>
      <c r="G691" s="712"/>
      <c r="H691" s="712"/>
      <c r="I691" s="199"/>
      <c r="J691" s="711"/>
      <c r="K691" s="711"/>
    </row>
    <row r="692" spans="1:11">
      <c r="A692" s="712"/>
      <c r="B692" s="199"/>
      <c r="C692" s="713"/>
      <c r="D692" s="199"/>
      <c r="E692" s="199"/>
      <c r="F692" s="712"/>
      <c r="G692" s="712"/>
      <c r="H692" s="712"/>
      <c r="I692" s="199"/>
      <c r="J692" s="711"/>
      <c r="K692" s="711"/>
    </row>
    <row r="693" spans="1:11">
      <c r="A693" s="712"/>
      <c r="B693" s="199"/>
      <c r="C693" s="713"/>
      <c r="D693" s="199"/>
      <c r="E693" s="199"/>
      <c r="F693" s="712"/>
      <c r="G693" s="712"/>
      <c r="H693" s="712"/>
      <c r="I693" s="199"/>
      <c r="J693" s="711"/>
      <c r="K693" s="711"/>
    </row>
    <row r="694" spans="1:11">
      <c r="A694" s="712"/>
      <c r="B694" s="199"/>
      <c r="C694" s="713"/>
      <c r="D694" s="199"/>
      <c r="E694" s="199"/>
      <c r="F694" s="712"/>
      <c r="G694" s="714"/>
      <c r="H694" s="712"/>
      <c r="I694" s="199"/>
      <c r="J694" s="711"/>
      <c r="K694" s="711"/>
    </row>
    <row r="695" spans="1:11">
      <c r="A695" s="712"/>
      <c r="B695" s="199"/>
      <c r="C695" s="713"/>
      <c r="D695" s="199"/>
      <c r="E695" s="199"/>
      <c r="F695" s="712"/>
      <c r="G695" s="714"/>
      <c r="H695" s="712"/>
      <c r="I695" s="199"/>
      <c r="J695" s="711"/>
      <c r="K695" s="711"/>
    </row>
    <row r="696" spans="1:11">
      <c r="A696" s="712"/>
      <c r="B696" s="199"/>
      <c r="C696" s="713"/>
      <c r="D696" s="199"/>
      <c r="E696" s="199"/>
      <c r="F696" s="712"/>
      <c r="G696" s="712"/>
      <c r="H696" s="712"/>
      <c r="I696" s="199"/>
      <c r="J696" s="711"/>
      <c r="K696" s="711"/>
    </row>
    <row r="697" spans="1:11">
      <c r="A697" s="712"/>
      <c r="B697" s="715"/>
      <c r="C697" s="713"/>
      <c r="D697" s="199"/>
      <c r="E697" s="199"/>
      <c r="F697" s="712"/>
      <c r="G697" s="717"/>
      <c r="H697" s="717"/>
      <c r="I697" s="715"/>
      <c r="J697" s="711"/>
      <c r="K697" s="711"/>
    </row>
    <row r="698" spans="1:11">
      <c r="A698" s="712"/>
      <c r="B698" s="199"/>
      <c r="C698" s="713"/>
      <c r="D698" s="199"/>
      <c r="E698" s="199"/>
      <c r="F698" s="712"/>
      <c r="G698" s="712"/>
      <c r="H698" s="712"/>
      <c r="I698" s="199"/>
      <c r="J698" s="711"/>
      <c r="K698" s="711"/>
    </row>
    <row r="699" spans="1:11">
      <c r="A699" s="712"/>
      <c r="B699" s="199"/>
      <c r="C699" s="713"/>
      <c r="D699" s="199"/>
      <c r="E699" s="199"/>
      <c r="F699" s="712"/>
      <c r="G699" s="714"/>
      <c r="H699" s="712"/>
      <c r="I699" s="199"/>
      <c r="J699" s="711"/>
      <c r="K699" s="711"/>
    </row>
    <row r="700" spans="1:11">
      <c r="A700" s="712"/>
      <c r="B700" s="199"/>
      <c r="C700" s="713"/>
      <c r="D700" s="199"/>
      <c r="E700" s="199"/>
      <c r="F700" s="712"/>
      <c r="G700" s="712"/>
      <c r="H700" s="712"/>
      <c r="I700" s="199"/>
      <c r="J700" s="711"/>
      <c r="K700" s="711"/>
    </row>
    <row r="701" spans="1:11">
      <c r="A701" s="712"/>
      <c r="B701" s="199"/>
      <c r="C701" s="713"/>
      <c r="D701" s="199"/>
      <c r="E701" s="199"/>
      <c r="F701" s="712"/>
      <c r="G701" s="712"/>
      <c r="H701" s="712"/>
      <c r="I701" s="199"/>
      <c r="J701" s="711"/>
      <c r="K701" s="711"/>
    </row>
    <row r="702" spans="1:11">
      <c r="A702" s="712"/>
      <c r="B702" s="199"/>
      <c r="C702" s="713"/>
      <c r="D702" s="199"/>
      <c r="E702" s="199"/>
      <c r="F702" s="712"/>
      <c r="G702" s="712"/>
      <c r="H702" s="712"/>
      <c r="I702" s="199"/>
      <c r="J702" s="711"/>
      <c r="K702" s="711"/>
    </row>
    <row r="703" spans="1:11">
      <c r="A703" s="712"/>
      <c r="B703" s="199"/>
      <c r="C703" s="713"/>
      <c r="D703" s="199"/>
      <c r="E703" s="199"/>
      <c r="F703" s="712"/>
      <c r="G703" s="712"/>
      <c r="H703" s="712"/>
      <c r="I703" s="199"/>
      <c r="J703" s="711"/>
      <c r="K703" s="711"/>
    </row>
    <row r="704" spans="1:11">
      <c r="A704" s="712"/>
      <c r="B704" s="199"/>
      <c r="C704" s="713"/>
      <c r="D704" s="199"/>
      <c r="E704" s="199"/>
      <c r="F704" s="712"/>
      <c r="G704" s="712"/>
      <c r="H704" s="712"/>
      <c r="I704" s="199"/>
      <c r="J704" s="711"/>
      <c r="K704" s="711"/>
    </row>
    <row r="705" spans="1:11">
      <c r="A705" s="712"/>
      <c r="B705" s="199"/>
      <c r="C705" s="713"/>
      <c r="D705" s="199"/>
      <c r="E705" s="199"/>
      <c r="F705" s="712"/>
      <c r="G705" s="712"/>
      <c r="H705" s="712"/>
      <c r="I705" s="199"/>
      <c r="J705" s="711"/>
      <c r="K705" s="711"/>
    </row>
    <row r="706" spans="1:11">
      <c r="A706" s="712"/>
      <c r="B706" s="199"/>
      <c r="C706" s="713"/>
      <c r="D706" s="199"/>
      <c r="E706" s="199"/>
      <c r="F706" s="712"/>
      <c r="G706" s="712"/>
      <c r="H706" s="712"/>
      <c r="I706" s="199"/>
      <c r="J706" s="711"/>
      <c r="K706" s="711"/>
    </row>
    <row r="707" spans="1:11">
      <c r="A707" s="712"/>
      <c r="B707" s="199"/>
      <c r="C707" s="713"/>
      <c r="D707" s="199"/>
      <c r="E707" s="199"/>
      <c r="F707" s="712"/>
      <c r="G707" s="712"/>
      <c r="H707" s="712"/>
      <c r="I707" s="199"/>
      <c r="J707" s="711"/>
      <c r="K707" s="711"/>
    </row>
    <row r="708" spans="1:11">
      <c r="A708" s="712"/>
      <c r="B708" s="199"/>
      <c r="C708" s="713"/>
      <c r="D708" s="199"/>
      <c r="E708" s="199"/>
      <c r="F708" s="712"/>
      <c r="G708" s="712"/>
      <c r="H708" s="712"/>
      <c r="I708" s="199"/>
      <c r="J708" s="711"/>
      <c r="K708" s="711"/>
    </row>
    <row r="709" spans="1:11">
      <c r="A709" s="712"/>
      <c r="B709" s="199"/>
      <c r="C709" s="713"/>
      <c r="D709" s="199"/>
      <c r="E709" s="199"/>
      <c r="F709" s="712"/>
      <c r="G709" s="712"/>
      <c r="H709" s="712"/>
      <c r="I709" s="199"/>
      <c r="J709" s="711"/>
      <c r="K709" s="711"/>
    </row>
    <row r="710" spans="1:11">
      <c r="A710" s="712"/>
      <c r="B710" s="199"/>
      <c r="C710" s="713"/>
      <c r="D710" s="199"/>
      <c r="E710" s="199"/>
      <c r="F710" s="712"/>
      <c r="G710" s="712"/>
      <c r="H710" s="712"/>
      <c r="I710" s="199"/>
      <c r="J710" s="711"/>
      <c r="K710" s="711"/>
    </row>
    <row r="711" spans="1:11">
      <c r="A711" s="712"/>
      <c r="B711" s="199"/>
      <c r="C711" s="713"/>
      <c r="D711" s="199"/>
      <c r="E711" s="199"/>
      <c r="F711" s="712"/>
      <c r="G711" s="712"/>
      <c r="H711" s="712"/>
      <c r="I711" s="199"/>
      <c r="J711" s="711"/>
      <c r="K711" s="711"/>
    </row>
    <row r="712" spans="1:11">
      <c r="A712" s="712"/>
      <c r="B712" s="199"/>
      <c r="C712" s="713"/>
      <c r="D712" s="199"/>
      <c r="E712" s="199"/>
      <c r="F712" s="712"/>
      <c r="G712" s="712"/>
      <c r="H712" s="712"/>
      <c r="I712" s="199"/>
      <c r="J712" s="711"/>
      <c r="K712" s="711"/>
    </row>
    <row r="713" spans="1:11">
      <c r="A713" s="712"/>
      <c r="B713" s="199"/>
      <c r="C713" s="713"/>
      <c r="D713" s="199"/>
      <c r="E713" s="199"/>
      <c r="F713" s="712"/>
      <c r="G713" s="712"/>
      <c r="H713" s="712"/>
      <c r="I713" s="199"/>
      <c r="J713" s="711"/>
      <c r="K713" s="711"/>
    </row>
    <row r="714" spans="1:11">
      <c r="A714" s="712"/>
      <c r="B714" s="199"/>
      <c r="C714" s="713"/>
      <c r="D714" s="199"/>
      <c r="E714" s="199"/>
      <c r="F714" s="712"/>
      <c r="G714" s="712"/>
      <c r="H714" s="712"/>
      <c r="I714" s="199"/>
      <c r="J714" s="711"/>
      <c r="K714" s="711"/>
    </row>
    <row r="715" spans="1:11">
      <c r="A715" s="712"/>
      <c r="B715" s="199"/>
      <c r="C715" s="713"/>
      <c r="D715" s="199"/>
      <c r="E715" s="199"/>
      <c r="F715" s="712"/>
      <c r="G715" s="712"/>
      <c r="H715" s="712"/>
      <c r="I715" s="199"/>
      <c r="J715" s="711"/>
      <c r="K715" s="711"/>
    </row>
    <row r="716" spans="1:11">
      <c r="A716" s="712"/>
      <c r="B716" s="199"/>
      <c r="C716" s="713"/>
      <c r="D716" s="199"/>
      <c r="E716" s="199"/>
      <c r="F716" s="712"/>
      <c r="G716" s="714"/>
      <c r="H716" s="712"/>
      <c r="I716" s="199"/>
      <c r="J716" s="711"/>
      <c r="K716" s="711"/>
    </row>
    <row r="717" spans="1:11">
      <c r="A717" s="712"/>
      <c r="B717" s="199"/>
      <c r="C717" s="713"/>
      <c r="D717" s="199"/>
      <c r="E717" s="199"/>
      <c r="F717" s="712"/>
      <c r="G717" s="712"/>
      <c r="H717" s="712"/>
      <c r="I717" s="199"/>
      <c r="J717" s="711"/>
      <c r="K717" s="711"/>
    </row>
    <row r="718" spans="1:11">
      <c r="A718" s="712"/>
      <c r="B718" s="199"/>
      <c r="C718" s="713"/>
      <c r="D718" s="199"/>
      <c r="E718" s="199"/>
      <c r="F718" s="712"/>
      <c r="G718" s="712"/>
      <c r="H718" s="712"/>
      <c r="I718" s="199"/>
      <c r="J718" s="711"/>
      <c r="K718" s="711"/>
    </row>
    <row r="719" spans="1:11">
      <c r="A719" s="712"/>
      <c r="B719" s="199"/>
      <c r="C719" s="713"/>
      <c r="D719" s="199"/>
      <c r="E719" s="199"/>
      <c r="F719" s="712"/>
      <c r="G719" s="714"/>
      <c r="H719" s="712"/>
      <c r="I719" s="199"/>
      <c r="J719" s="711"/>
      <c r="K719" s="711"/>
    </row>
    <row r="720" spans="1:11">
      <c r="A720" s="712"/>
      <c r="B720" s="199"/>
      <c r="C720" s="713"/>
      <c r="D720" s="199"/>
      <c r="E720" s="199"/>
      <c r="F720" s="712"/>
      <c r="G720" s="712"/>
      <c r="H720" s="712"/>
      <c r="I720" s="199"/>
      <c r="J720" s="711"/>
      <c r="K720" s="711"/>
    </row>
    <row r="721" spans="1:11">
      <c r="A721" s="712"/>
      <c r="B721" s="199"/>
      <c r="C721" s="713"/>
      <c r="D721" s="199"/>
      <c r="E721" s="199"/>
      <c r="F721" s="712"/>
      <c r="G721" s="712"/>
      <c r="H721" s="712"/>
      <c r="I721" s="199"/>
      <c r="J721" s="711"/>
      <c r="K721" s="711"/>
    </row>
    <row r="722" spans="1:11">
      <c r="A722" s="712"/>
      <c r="B722" s="199"/>
      <c r="C722" s="713"/>
      <c r="D722" s="199"/>
      <c r="E722" s="199"/>
      <c r="F722" s="712"/>
      <c r="G722" s="712"/>
      <c r="H722" s="712"/>
      <c r="I722" s="199"/>
      <c r="J722" s="711"/>
      <c r="K722" s="711"/>
    </row>
    <row r="723" spans="1:11">
      <c r="A723" s="712"/>
      <c r="B723" s="199"/>
      <c r="C723" s="713"/>
      <c r="D723" s="199"/>
      <c r="E723" s="199"/>
      <c r="F723" s="712"/>
      <c r="G723" s="712"/>
      <c r="H723" s="712"/>
      <c r="I723" s="199"/>
      <c r="J723" s="711"/>
      <c r="K723" s="711"/>
    </row>
    <row r="724" spans="1:11">
      <c r="A724" s="712"/>
      <c r="B724" s="199"/>
      <c r="C724" s="713"/>
      <c r="D724" s="199"/>
      <c r="E724" s="199"/>
      <c r="F724" s="712"/>
      <c r="G724" s="712"/>
      <c r="H724" s="712"/>
      <c r="I724" s="199"/>
      <c r="J724" s="711"/>
      <c r="K724" s="711"/>
    </row>
    <row r="725" spans="1:11">
      <c r="A725" s="712"/>
      <c r="B725" s="199"/>
      <c r="C725" s="713"/>
      <c r="D725" s="199"/>
      <c r="E725" s="199"/>
      <c r="F725" s="712"/>
      <c r="G725" s="712"/>
      <c r="H725" s="712"/>
      <c r="I725" s="199"/>
      <c r="J725" s="711"/>
      <c r="K725" s="711"/>
    </row>
    <row r="726" spans="1:11">
      <c r="A726" s="712"/>
      <c r="B726" s="199"/>
      <c r="C726" s="713"/>
      <c r="D726" s="199"/>
      <c r="E726" s="199"/>
      <c r="F726" s="712"/>
      <c r="G726" s="712"/>
      <c r="H726" s="712"/>
      <c r="I726" s="199"/>
      <c r="J726" s="711"/>
      <c r="K726" s="711"/>
    </row>
    <row r="727" spans="1:11">
      <c r="A727" s="712"/>
      <c r="B727" s="199"/>
      <c r="C727" s="713"/>
      <c r="D727" s="199"/>
      <c r="E727" s="199"/>
      <c r="F727" s="712"/>
      <c r="G727" s="712"/>
      <c r="H727" s="712"/>
      <c r="I727" s="199"/>
      <c r="J727" s="711"/>
      <c r="K727" s="711"/>
    </row>
    <row r="728" spans="1:11">
      <c r="A728" s="712"/>
      <c r="B728" s="199"/>
      <c r="C728" s="713"/>
      <c r="D728" s="199"/>
      <c r="E728" s="199"/>
      <c r="F728" s="712"/>
      <c r="G728" s="712"/>
      <c r="H728" s="712"/>
      <c r="I728" s="199"/>
      <c r="J728" s="711"/>
      <c r="K728" s="711"/>
    </row>
    <row r="729" spans="1:11">
      <c r="A729" s="712"/>
      <c r="B729" s="199"/>
      <c r="C729" s="713"/>
      <c r="D729" s="199"/>
      <c r="E729" s="199"/>
      <c r="F729" s="712"/>
      <c r="G729" s="712"/>
      <c r="H729" s="712"/>
      <c r="I729" s="199"/>
      <c r="J729" s="711"/>
      <c r="K729" s="711"/>
    </row>
    <row r="730" spans="1:11">
      <c r="A730" s="712"/>
      <c r="B730" s="199"/>
      <c r="C730" s="713"/>
      <c r="D730" s="199"/>
      <c r="E730" s="199"/>
      <c r="F730" s="712"/>
      <c r="G730" s="712"/>
      <c r="H730" s="712"/>
      <c r="I730" s="199"/>
      <c r="J730" s="711"/>
      <c r="K730" s="711"/>
    </row>
    <row r="731" spans="1:11">
      <c r="A731" s="712"/>
      <c r="B731" s="199"/>
      <c r="C731" s="713"/>
      <c r="D731" s="199"/>
      <c r="E731" s="199"/>
      <c r="F731" s="712"/>
      <c r="G731" s="712"/>
      <c r="H731" s="712"/>
      <c r="I731" s="199"/>
      <c r="J731" s="711"/>
      <c r="K731" s="711"/>
    </row>
    <row r="732" spans="1:11">
      <c r="A732" s="712"/>
      <c r="B732" s="199"/>
      <c r="C732" s="713"/>
      <c r="D732" s="199"/>
      <c r="E732" s="199"/>
      <c r="F732" s="712"/>
      <c r="G732" s="712"/>
      <c r="H732" s="712"/>
      <c r="I732" s="199"/>
      <c r="J732" s="711"/>
      <c r="K732" s="711"/>
    </row>
    <row r="733" spans="1:11">
      <c r="A733" s="712"/>
      <c r="B733" s="199"/>
      <c r="C733" s="713"/>
      <c r="D733" s="199"/>
      <c r="E733" s="199"/>
      <c r="F733" s="712"/>
      <c r="G733" s="712"/>
      <c r="H733" s="712"/>
      <c r="I733" s="199"/>
      <c r="J733" s="711"/>
      <c r="K733" s="711"/>
    </row>
    <row r="734" spans="1:11">
      <c r="A734" s="712"/>
      <c r="B734" s="199"/>
      <c r="C734" s="713"/>
      <c r="D734" s="199"/>
      <c r="E734" s="199"/>
      <c r="F734" s="712"/>
      <c r="G734" s="714"/>
      <c r="H734" s="712"/>
      <c r="I734" s="199"/>
      <c r="J734" s="711"/>
      <c r="K734" s="711"/>
    </row>
    <row r="735" spans="1:11">
      <c r="A735" s="712"/>
      <c r="B735" s="199"/>
      <c r="C735" s="713"/>
      <c r="D735" s="199"/>
      <c r="E735" s="199"/>
      <c r="F735" s="712"/>
      <c r="G735" s="712"/>
      <c r="H735" s="712"/>
      <c r="I735" s="199"/>
      <c r="J735" s="711"/>
      <c r="K735" s="711"/>
    </row>
    <row r="736" spans="1:11">
      <c r="A736" s="712"/>
      <c r="B736" s="199"/>
      <c r="C736" s="713"/>
      <c r="D736" s="199"/>
      <c r="E736" s="199"/>
      <c r="F736" s="712"/>
      <c r="G736" s="712"/>
      <c r="H736" s="712"/>
      <c r="I736" s="199"/>
      <c r="J736" s="711"/>
      <c r="K736" s="711"/>
    </row>
    <row r="737" spans="1:11">
      <c r="A737" s="712"/>
      <c r="B737" s="199"/>
      <c r="C737" s="713"/>
      <c r="D737" s="199"/>
      <c r="E737" s="199"/>
      <c r="F737" s="712"/>
      <c r="G737" s="712"/>
      <c r="H737" s="712"/>
      <c r="I737" s="199"/>
      <c r="J737" s="711"/>
      <c r="K737" s="711"/>
    </row>
    <row r="738" spans="1:11">
      <c r="A738" s="712"/>
      <c r="B738" s="199"/>
      <c r="C738" s="713"/>
      <c r="D738" s="199"/>
      <c r="E738" s="199"/>
      <c r="F738" s="712"/>
      <c r="G738" s="712"/>
      <c r="H738" s="712"/>
      <c r="I738" s="199"/>
      <c r="J738" s="711"/>
      <c r="K738" s="711"/>
    </row>
    <row r="739" spans="1:11">
      <c r="A739" s="712"/>
      <c r="B739" s="199"/>
      <c r="C739" s="713"/>
      <c r="D739" s="199"/>
      <c r="E739" s="199"/>
      <c r="F739" s="712"/>
      <c r="G739" s="714"/>
      <c r="H739" s="712"/>
      <c r="I739" s="199"/>
      <c r="J739" s="711"/>
      <c r="K739" s="711"/>
    </row>
    <row r="740" spans="1:11">
      <c r="A740" s="712"/>
      <c r="B740" s="199"/>
      <c r="C740" s="713"/>
      <c r="D740" s="199"/>
      <c r="E740" s="199"/>
      <c r="F740" s="712"/>
      <c r="G740" s="712"/>
      <c r="H740" s="712"/>
      <c r="I740" s="199"/>
      <c r="J740" s="711"/>
      <c r="K740" s="711"/>
    </row>
    <row r="741" spans="1:11">
      <c r="A741" s="712"/>
      <c r="B741" s="199"/>
      <c r="C741" s="713"/>
      <c r="D741" s="199"/>
      <c r="E741" s="199"/>
      <c r="F741" s="712"/>
      <c r="G741" s="712"/>
      <c r="H741" s="712"/>
      <c r="I741" s="199"/>
      <c r="J741" s="711"/>
      <c r="K741" s="711"/>
    </row>
    <row r="742" spans="1:11">
      <c r="A742" s="712"/>
      <c r="B742" s="199"/>
      <c r="C742" s="713"/>
      <c r="D742" s="199"/>
      <c r="E742" s="199"/>
      <c r="F742" s="712"/>
      <c r="G742" s="712"/>
      <c r="H742" s="712"/>
      <c r="I742" s="199"/>
      <c r="J742" s="711"/>
      <c r="K742" s="711"/>
    </row>
    <row r="743" spans="1:11">
      <c r="A743" s="712"/>
      <c r="B743" s="199"/>
      <c r="C743" s="713"/>
      <c r="D743" s="199"/>
      <c r="E743" s="199"/>
      <c r="F743" s="712"/>
      <c r="G743" s="712"/>
      <c r="H743" s="712"/>
      <c r="I743" s="199"/>
      <c r="J743" s="711"/>
      <c r="K743" s="711"/>
    </row>
    <row r="744" spans="1:11">
      <c r="A744" s="712"/>
      <c r="B744" s="199"/>
      <c r="C744" s="713"/>
      <c r="D744" s="199"/>
      <c r="E744" s="199"/>
      <c r="F744" s="712"/>
      <c r="G744" s="712"/>
      <c r="H744" s="712"/>
      <c r="I744" s="199"/>
      <c r="J744" s="711"/>
      <c r="K744" s="711"/>
    </row>
    <row r="745" spans="1:11">
      <c r="A745" s="712"/>
      <c r="B745" s="199"/>
      <c r="C745" s="713"/>
      <c r="D745" s="199"/>
      <c r="E745" s="199"/>
      <c r="F745" s="712"/>
      <c r="G745" s="712"/>
      <c r="H745" s="712"/>
      <c r="I745" s="199"/>
      <c r="J745" s="711"/>
      <c r="K745" s="711"/>
    </row>
    <row r="746" spans="1:11">
      <c r="A746" s="712"/>
      <c r="B746" s="199"/>
      <c r="C746" s="713"/>
      <c r="D746" s="199"/>
      <c r="E746" s="199"/>
      <c r="F746" s="712"/>
      <c r="G746" s="712"/>
      <c r="H746" s="712"/>
      <c r="I746" s="199"/>
      <c r="J746" s="711"/>
      <c r="K746" s="711"/>
    </row>
    <row r="747" spans="1:11">
      <c r="A747" s="712"/>
      <c r="B747" s="199"/>
      <c r="C747" s="713"/>
      <c r="D747" s="199"/>
      <c r="E747" s="199"/>
      <c r="F747" s="712"/>
      <c r="G747" s="712"/>
      <c r="H747" s="712"/>
      <c r="I747" s="199"/>
      <c r="J747" s="711"/>
      <c r="K747" s="711"/>
    </row>
    <row r="748" spans="1:11">
      <c r="A748" s="712"/>
      <c r="B748" s="199"/>
      <c r="C748" s="713"/>
      <c r="D748" s="199"/>
      <c r="E748" s="199"/>
      <c r="F748" s="712"/>
      <c r="G748" s="712"/>
      <c r="H748" s="712"/>
      <c r="I748" s="199"/>
      <c r="J748" s="711"/>
      <c r="K748" s="711"/>
    </row>
    <row r="749" spans="1:11">
      <c r="A749" s="712"/>
      <c r="B749" s="199"/>
      <c r="C749" s="713"/>
      <c r="D749" s="199"/>
      <c r="E749" s="199"/>
      <c r="F749" s="712"/>
      <c r="G749" s="712"/>
      <c r="H749" s="712"/>
      <c r="I749" s="199"/>
      <c r="J749" s="711"/>
      <c r="K749" s="711"/>
    </row>
    <row r="750" spans="1:11">
      <c r="A750" s="712"/>
      <c r="B750" s="199"/>
      <c r="C750" s="713"/>
      <c r="D750" s="199"/>
      <c r="E750" s="199"/>
      <c r="F750" s="712"/>
      <c r="G750" s="714"/>
      <c r="H750" s="712"/>
      <c r="I750" s="199"/>
      <c r="J750" s="711"/>
      <c r="K750" s="711"/>
    </row>
    <row r="751" spans="1:11">
      <c r="A751" s="712"/>
      <c r="B751" s="199"/>
      <c r="C751" s="713"/>
      <c r="D751" s="199"/>
      <c r="E751" s="199"/>
      <c r="F751" s="712"/>
      <c r="G751" s="712"/>
      <c r="H751" s="712"/>
      <c r="I751" s="199"/>
      <c r="J751" s="711"/>
      <c r="K751" s="711"/>
    </row>
    <row r="752" spans="1:11">
      <c r="A752" s="712"/>
      <c r="B752" s="199"/>
      <c r="C752" s="713"/>
      <c r="D752" s="199"/>
      <c r="E752" s="199"/>
      <c r="F752" s="712"/>
      <c r="G752" s="712"/>
      <c r="H752" s="712"/>
      <c r="I752" s="199"/>
      <c r="J752" s="711"/>
      <c r="K752" s="711"/>
    </row>
    <row r="753" spans="1:11">
      <c r="A753" s="712"/>
      <c r="B753" s="199"/>
      <c r="C753" s="713"/>
      <c r="D753" s="199"/>
      <c r="E753" s="199"/>
      <c r="F753" s="712"/>
      <c r="G753" s="712"/>
      <c r="H753" s="712"/>
      <c r="I753" s="199"/>
      <c r="J753" s="711"/>
      <c r="K753" s="711"/>
    </row>
    <row r="754" spans="1:11">
      <c r="A754" s="712"/>
      <c r="B754" s="199"/>
      <c r="C754" s="713"/>
      <c r="D754" s="199"/>
      <c r="E754" s="199"/>
      <c r="F754" s="712"/>
      <c r="G754" s="712"/>
      <c r="H754" s="712"/>
      <c r="I754" s="199"/>
      <c r="J754" s="711"/>
      <c r="K754" s="711"/>
    </row>
    <row r="755" spans="1:11">
      <c r="A755" s="712"/>
      <c r="B755" s="199"/>
      <c r="C755" s="713"/>
      <c r="D755" s="199"/>
      <c r="E755" s="199"/>
      <c r="F755" s="712"/>
      <c r="G755" s="712"/>
      <c r="H755" s="712"/>
      <c r="I755" s="199"/>
      <c r="J755" s="711"/>
      <c r="K755" s="711"/>
    </row>
    <row r="756" spans="1:11">
      <c r="A756" s="712"/>
      <c r="B756" s="199"/>
      <c r="C756" s="713"/>
      <c r="D756" s="199"/>
      <c r="E756" s="199"/>
      <c r="F756" s="712"/>
      <c r="G756" s="712"/>
      <c r="H756" s="712"/>
      <c r="I756" s="199"/>
      <c r="J756" s="711"/>
      <c r="K756" s="711"/>
    </row>
    <row r="757" spans="1:11">
      <c r="A757" s="712"/>
      <c r="B757" s="199"/>
      <c r="C757" s="713"/>
      <c r="D757" s="199"/>
      <c r="E757" s="199"/>
      <c r="F757" s="712"/>
      <c r="G757" s="714"/>
      <c r="H757" s="712"/>
      <c r="I757" s="199"/>
      <c r="J757" s="711"/>
      <c r="K757" s="711"/>
    </row>
    <row r="758" spans="1:11">
      <c r="A758" s="712"/>
      <c r="B758" s="199"/>
      <c r="C758" s="713"/>
      <c r="D758" s="199"/>
      <c r="E758" s="199"/>
      <c r="F758" s="712"/>
      <c r="G758" s="712"/>
      <c r="H758" s="712"/>
      <c r="I758" s="199"/>
      <c r="J758" s="711"/>
      <c r="K758" s="711"/>
    </row>
    <row r="759" spans="1:11">
      <c r="A759" s="712"/>
      <c r="B759" s="199"/>
      <c r="C759" s="713"/>
      <c r="D759" s="199"/>
      <c r="E759" s="199"/>
      <c r="F759" s="712"/>
      <c r="G759" s="712"/>
      <c r="H759" s="712"/>
      <c r="I759" s="199"/>
      <c r="J759" s="711"/>
      <c r="K759" s="711"/>
    </row>
    <row r="760" spans="1:11">
      <c r="A760" s="712"/>
      <c r="B760" s="199"/>
      <c r="C760" s="713"/>
      <c r="D760" s="199"/>
      <c r="E760" s="199"/>
      <c r="F760" s="712"/>
      <c r="G760" s="712"/>
      <c r="H760" s="712"/>
      <c r="I760" s="199"/>
      <c r="J760" s="711"/>
      <c r="K760" s="711"/>
    </row>
    <row r="761" spans="1:11">
      <c r="A761" s="712"/>
      <c r="B761" s="199"/>
      <c r="C761" s="713"/>
      <c r="D761" s="199"/>
      <c r="E761" s="199"/>
      <c r="F761" s="712"/>
      <c r="G761" s="712"/>
      <c r="H761" s="712"/>
      <c r="I761" s="199"/>
      <c r="J761" s="711"/>
      <c r="K761" s="711"/>
    </row>
    <row r="762" spans="1:11">
      <c r="A762" s="712"/>
      <c r="B762" s="199"/>
      <c r="C762" s="713"/>
      <c r="D762" s="199"/>
      <c r="E762" s="199"/>
      <c r="F762" s="712"/>
      <c r="G762" s="714"/>
      <c r="H762" s="712"/>
      <c r="I762" s="199"/>
      <c r="J762" s="711"/>
      <c r="K762" s="711"/>
    </row>
    <row r="763" spans="1:11">
      <c r="A763" s="712"/>
      <c r="B763" s="199"/>
      <c r="C763" s="713"/>
      <c r="D763" s="199"/>
      <c r="E763" s="199"/>
      <c r="F763" s="712"/>
      <c r="G763" s="714"/>
      <c r="H763" s="712"/>
      <c r="I763" s="199"/>
      <c r="J763" s="711"/>
      <c r="K763" s="711"/>
    </row>
    <row r="764" spans="1:11">
      <c r="A764" s="712"/>
      <c r="B764" s="199"/>
      <c r="C764" s="713"/>
      <c r="D764" s="199"/>
      <c r="E764" s="199"/>
      <c r="F764" s="712"/>
      <c r="G764" s="712"/>
      <c r="H764" s="712"/>
      <c r="I764" s="199"/>
      <c r="J764" s="711"/>
      <c r="K764" s="711"/>
    </row>
    <row r="765" spans="1:11">
      <c r="A765" s="712"/>
      <c r="B765" s="199"/>
      <c r="C765" s="713"/>
      <c r="D765" s="199"/>
      <c r="E765" s="199"/>
      <c r="F765" s="712"/>
      <c r="G765" s="714"/>
      <c r="H765" s="712"/>
      <c r="I765" s="199"/>
      <c r="J765" s="711"/>
      <c r="K765" s="711"/>
    </row>
    <row r="766" spans="1:11">
      <c r="A766" s="712"/>
      <c r="B766" s="199"/>
      <c r="C766" s="713"/>
      <c r="D766" s="199"/>
      <c r="E766" s="199"/>
      <c r="F766" s="712"/>
      <c r="G766" s="714"/>
      <c r="H766" s="712"/>
      <c r="I766" s="199"/>
      <c r="J766" s="711"/>
      <c r="K766" s="711"/>
    </row>
    <row r="767" spans="1:11">
      <c r="A767" s="712"/>
      <c r="B767" s="199"/>
      <c r="C767" s="713"/>
      <c r="D767" s="199"/>
      <c r="E767" s="199"/>
      <c r="F767" s="712"/>
      <c r="G767" s="714"/>
      <c r="H767" s="712"/>
      <c r="I767" s="199"/>
      <c r="J767" s="711"/>
      <c r="K767" s="711"/>
    </row>
    <row r="768" spans="1:11">
      <c r="A768" s="712"/>
      <c r="B768" s="199"/>
      <c r="C768" s="713"/>
      <c r="D768" s="199"/>
      <c r="E768" s="199"/>
      <c r="F768" s="712"/>
      <c r="G768" s="712"/>
      <c r="H768" s="712"/>
      <c r="I768" s="199"/>
      <c r="J768" s="711"/>
      <c r="K768" s="711"/>
    </row>
    <row r="769" spans="1:11">
      <c r="A769" s="712"/>
      <c r="B769" s="199"/>
      <c r="C769" s="713"/>
      <c r="D769" s="199"/>
      <c r="E769" s="199"/>
      <c r="F769" s="712"/>
      <c r="G769" s="714"/>
      <c r="H769" s="712"/>
      <c r="I769" s="199"/>
      <c r="J769" s="711"/>
      <c r="K769" s="711"/>
    </row>
    <row r="770" spans="1:11">
      <c r="A770" s="712"/>
      <c r="B770" s="199"/>
      <c r="C770" s="713"/>
      <c r="D770" s="199"/>
      <c r="E770" s="199"/>
      <c r="F770" s="712"/>
      <c r="G770" s="714"/>
      <c r="H770" s="712"/>
      <c r="I770" s="199"/>
      <c r="J770" s="711"/>
      <c r="K770" s="711"/>
    </row>
    <row r="771" spans="1:11">
      <c r="A771" s="712"/>
      <c r="B771" s="199"/>
      <c r="C771" s="713"/>
      <c r="D771" s="199"/>
      <c r="E771" s="199"/>
      <c r="F771" s="712"/>
      <c r="G771" s="714"/>
      <c r="H771" s="712"/>
      <c r="I771" s="199"/>
      <c r="J771" s="711"/>
      <c r="K771" s="711"/>
    </row>
    <row r="772" spans="1:11">
      <c r="A772" s="712"/>
      <c r="B772" s="199"/>
      <c r="C772" s="713"/>
      <c r="D772" s="199"/>
      <c r="E772" s="199"/>
      <c r="F772" s="712"/>
      <c r="G772" s="712"/>
      <c r="H772" s="712"/>
      <c r="I772" s="199"/>
      <c r="J772" s="711"/>
      <c r="K772" s="711"/>
    </row>
    <row r="773" spans="1:11">
      <c r="A773" s="712"/>
      <c r="B773" s="199"/>
      <c r="C773" s="713"/>
      <c r="D773" s="199"/>
      <c r="E773" s="199"/>
      <c r="F773" s="712"/>
      <c r="G773" s="712"/>
      <c r="H773" s="712"/>
      <c r="I773" s="199"/>
      <c r="J773" s="711"/>
      <c r="K773" s="711"/>
    </row>
    <row r="774" spans="1:11">
      <c r="A774" s="712"/>
      <c r="B774" s="199"/>
      <c r="C774" s="713"/>
      <c r="D774" s="199"/>
      <c r="E774" s="199"/>
      <c r="F774" s="712"/>
      <c r="G774" s="712"/>
      <c r="H774" s="712"/>
      <c r="I774" s="199"/>
      <c r="J774" s="711"/>
      <c r="K774" s="711"/>
    </row>
    <row r="775" spans="1:11">
      <c r="A775" s="712"/>
      <c r="B775" s="199"/>
      <c r="C775" s="713"/>
      <c r="D775" s="199"/>
      <c r="E775" s="199"/>
      <c r="F775" s="712"/>
      <c r="G775" s="714"/>
      <c r="H775" s="712"/>
      <c r="I775" s="199"/>
      <c r="J775" s="711"/>
      <c r="K775" s="711"/>
    </row>
    <row r="776" spans="1:11">
      <c r="A776" s="712"/>
      <c r="B776" s="199"/>
      <c r="C776" s="713"/>
      <c r="D776" s="199"/>
      <c r="E776" s="199"/>
      <c r="F776" s="712"/>
      <c r="G776" s="714"/>
      <c r="H776" s="712"/>
      <c r="I776" s="199"/>
      <c r="J776" s="711"/>
      <c r="K776" s="711"/>
    </row>
    <row r="777" spans="1:11">
      <c r="A777" s="712"/>
      <c r="B777" s="199"/>
      <c r="C777" s="713"/>
      <c r="D777" s="199"/>
      <c r="E777" s="199"/>
      <c r="F777" s="712"/>
      <c r="G777" s="714"/>
      <c r="H777" s="712"/>
      <c r="I777" s="199"/>
      <c r="J777" s="711"/>
      <c r="K777" s="711"/>
    </row>
    <row r="778" spans="1:11">
      <c r="A778" s="712"/>
      <c r="B778" s="199"/>
      <c r="C778" s="713"/>
      <c r="D778" s="199"/>
      <c r="E778" s="199"/>
      <c r="F778" s="712"/>
      <c r="G778" s="712"/>
      <c r="H778" s="712"/>
      <c r="I778" s="199"/>
      <c r="J778" s="711"/>
      <c r="K778" s="711"/>
    </row>
    <row r="779" spans="1:11">
      <c r="A779" s="712"/>
      <c r="B779" s="199"/>
      <c r="C779" s="713"/>
      <c r="D779" s="199"/>
      <c r="E779" s="199"/>
      <c r="F779" s="712"/>
      <c r="G779" s="714"/>
      <c r="H779" s="712"/>
      <c r="I779" s="199"/>
      <c r="J779" s="711"/>
      <c r="K779" s="711"/>
    </row>
    <row r="780" spans="1:11">
      <c r="A780" s="712"/>
      <c r="B780" s="199"/>
      <c r="C780" s="713"/>
      <c r="D780" s="199"/>
      <c r="E780" s="199"/>
      <c r="F780" s="712"/>
      <c r="G780" s="714"/>
      <c r="H780" s="712"/>
      <c r="I780" s="199"/>
      <c r="J780" s="711"/>
      <c r="K780" s="711"/>
    </row>
    <row r="781" spans="1:11">
      <c r="A781" s="712"/>
      <c r="B781" s="199"/>
      <c r="C781" s="713"/>
      <c r="D781" s="199"/>
      <c r="E781" s="199"/>
      <c r="F781" s="712"/>
      <c r="G781" s="712"/>
      <c r="H781" s="712"/>
      <c r="I781" s="199"/>
      <c r="J781" s="711"/>
      <c r="K781" s="711"/>
    </row>
    <row r="782" spans="1:11">
      <c r="A782" s="712"/>
      <c r="B782" s="199"/>
      <c r="C782" s="713"/>
      <c r="D782" s="199"/>
      <c r="E782" s="199"/>
      <c r="F782" s="712"/>
      <c r="G782" s="712"/>
      <c r="H782" s="712"/>
      <c r="I782" s="199"/>
      <c r="J782" s="711"/>
      <c r="K782" s="711"/>
    </row>
    <row r="783" spans="1:11">
      <c r="A783" s="712"/>
      <c r="B783" s="199"/>
      <c r="C783" s="713"/>
      <c r="D783" s="199"/>
      <c r="E783" s="199"/>
      <c r="F783" s="712"/>
      <c r="G783" s="714"/>
      <c r="H783" s="712"/>
      <c r="I783" s="199"/>
      <c r="J783" s="711"/>
      <c r="K783" s="711"/>
    </row>
    <row r="784" spans="1:11">
      <c r="A784" s="712"/>
      <c r="B784" s="199"/>
      <c r="C784" s="713"/>
      <c r="D784" s="199"/>
      <c r="E784" s="199"/>
      <c r="F784" s="712"/>
      <c r="G784" s="712"/>
      <c r="H784" s="712"/>
      <c r="I784" s="199"/>
      <c r="J784" s="711"/>
      <c r="K784" s="711"/>
    </row>
    <row r="785" spans="1:11">
      <c r="A785" s="712"/>
      <c r="B785" s="199"/>
      <c r="C785" s="713"/>
      <c r="D785" s="199"/>
      <c r="E785" s="199"/>
      <c r="F785" s="712"/>
      <c r="G785" s="714"/>
      <c r="H785" s="712"/>
      <c r="I785" s="199"/>
      <c r="J785" s="711"/>
      <c r="K785" s="711"/>
    </row>
    <row r="786" spans="1:11">
      <c r="A786" s="712"/>
      <c r="B786" s="199"/>
      <c r="C786" s="713"/>
      <c r="D786" s="199"/>
      <c r="E786" s="199"/>
      <c r="F786" s="712"/>
      <c r="G786" s="712"/>
      <c r="H786" s="712"/>
      <c r="I786" s="199"/>
      <c r="J786" s="711"/>
      <c r="K786" s="711"/>
    </row>
    <row r="787" spans="1:11">
      <c r="A787" s="712"/>
      <c r="B787" s="199"/>
      <c r="C787" s="713"/>
      <c r="D787" s="199"/>
      <c r="E787" s="199"/>
      <c r="F787" s="712"/>
      <c r="G787" s="712"/>
      <c r="H787" s="712"/>
      <c r="I787" s="199"/>
      <c r="J787" s="711"/>
      <c r="K787" s="711"/>
    </row>
    <row r="788" spans="1:11">
      <c r="A788" s="712"/>
      <c r="B788" s="199"/>
      <c r="C788" s="713"/>
      <c r="D788" s="199"/>
      <c r="E788" s="199"/>
      <c r="F788" s="712"/>
      <c r="G788" s="714"/>
      <c r="H788" s="712"/>
      <c r="I788" s="199"/>
      <c r="J788" s="711"/>
      <c r="K788" s="711"/>
    </row>
    <row r="789" spans="1:11">
      <c r="A789" s="712"/>
      <c r="B789" s="199"/>
      <c r="C789" s="713"/>
      <c r="D789" s="199"/>
      <c r="E789" s="199"/>
      <c r="F789" s="712"/>
      <c r="G789" s="714"/>
      <c r="H789" s="712"/>
      <c r="I789" s="199"/>
      <c r="J789" s="711"/>
      <c r="K789" s="711"/>
    </row>
    <row r="790" spans="1:11">
      <c r="A790" s="712"/>
      <c r="B790" s="199"/>
      <c r="C790" s="713"/>
      <c r="D790" s="199"/>
      <c r="E790" s="199"/>
      <c r="F790" s="712"/>
      <c r="G790" s="714"/>
      <c r="H790" s="712"/>
      <c r="I790" s="199"/>
      <c r="J790" s="711"/>
      <c r="K790" s="711"/>
    </row>
    <row r="791" spans="1:11">
      <c r="A791" s="712"/>
      <c r="B791" s="199"/>
      <c r="C791" s="713"/>
      <c r="D791" s="199"/>
      <c r="E791" s="199"/>
      <c r="F791" s="712"/>
      <c r="G791" s="712"/>
      <c r="H791" s="712"/>
      <c r="I791" s="199"/>
      <c r="J791" s="711"/>
      <c r="K791" s="711"/>
    </row>
    <row r="792" spans="1:11">
      <c r="A792" s="712"/>
      <c r="B792" s="199"/>
      <c r="C792" s="713"/>
      <c r="D792" s="199"/>
      <c r="E792" s="199"/>
      <c r="F792" s="712"/>
      <c r="G792" s="714"/>
      <c r="H792" s="712"/>
      <c r="I792" s="199"/>
      <c r="J792" s="711"/>
      <c r="K792" s="711"/>
    </row>
    <row r="793" spans="1:11">
      <c r="A793" s="712"/>
      <c r="B793" s="199"/>
      <c r="C793" s="713"/>
      <c r="D793" s="199"/>
      <c r="E793" s="199"/>
      <c r="F793" s="712"/>
      <c r="G793" s="712"/>
      <c r="H793" s="712"/>
      <c r="I793" s="199"/>
      <c r="J793" s="711"/>
      <c r="K793" s="711"/>
    </row>
    <row r="794" spans="1:11">
      <c r="A794" s="712"/>
      <c r="B794" s="199"/>
      <c r="C794" s="713"/>
      <c r="D794" s="199"/>
      <c r="E794" s="199"/>
      <c r="F794" s="712"/>
      <c r="G794" s="714"/>
      <c r="H794" s="712"/>
      <c r="I794" s="199"/>
      <c r="J794" s="711"/>
      <c r="K794" s="711"/>
    </row>
    <row r="795" spans="1:11">
      <c r="A795" s="712"/>
      <c r="B795" s="199"/>
      <c r="C795" s="713"/>
      <c r="D795" s="199"/>
      <c r="E795" s="199"/>
      <c r="F795" s="712"/>
      <c r="G795" s="712"/>
      <c r="H795" s="712"/>
      <c r="I795" s="199"/>
      <c r="J795" s="711"/>
      <c r="K795" s="711"/>
    </row>
    <row r="796" spans="1:11">
      <c r="A796" s="712"/>
      <c r="B796" s="199"/>
      <c r="C796" s="713"/>
      <c r="D796" s="199"/>
      <c r="E796" s="199"/>
      <c r="F796" s="712"/>
      <c r="G796" s="712"/>
      <c r="H796" s="712"/>
      <c r="I796" s="199"/>
      <c r="J796" s="711"/>
      <c r="K796" s="711"/>
    </row>
    <row r="797" spans="1:11">
      <c r="A797" s="712"/>
      <c r="B797" s="199"/>
      <c r="C797" s="713"/>
      <c r="D797" s="199"/>
      <c r="E797" s="199"/>
      <c r="F797" s="712"/>
      <c r="G797" s="714"/>
      <c r="H797" s="712"/>
      <c r="I797" s="199"/>
      <c r="J797" s="711"/>
      <c r="K797" s="711"/>
    </row>
    <row r="798" spans="1:11">
      <c r="A798" s="712"/>
      <c r="B798" s="199"/>
      <c r="C798" s="713"/>
      <c r="D798" s="199"/>
      <c r="E798" s="199"/>
      <c r="F798" s="712"/>
      <c r="G798" s="714"/>
      <c r="H798" s="712"/>
      <c r="I798" s="199"/>
      <c r="J798" s="711"/>
      <c r="K798" s="711"/>
    </row>
    <row r="799" spans="1:11">
      <c r="A799" s="712"/>
      <c r="B799" s="199"/>
      <c r="C799" s="713"/>
      <c r="D799" s="199"/>
      <c r="E799" s="199"/>
      <c r="F799" s="712"/>
      <c r="G799" s="712"/>
      <c r="H799" s="712"/>
      <c r="I799" s="199"/>
      <c r="J799" s="711"/>
      <c r="K799" s="711"/>
    </row>
    <row r="800" spans="1:11">
      <c r="A800" s="712"/>
      <c r="B800" s="199"/>
      <c r="C800" s="713"/>
      <c r="D800" s="199"/>
      <c r="E800" s="199"/>
      <c r="F800" s="712"/>
      <c r="G800" s="714"/>
      <c r="H800" s="712"/>
      <c r="I800" s="199"/>
      <c r="J800" s="711"/>
      <c r="K800" s="711"/>
    </row>
    <row r="801" spans="1:11">
      <c r="A801" s="712"/>
      <c r="B801" s="199"/>
      <c r="C801" s="713"/>
      <c r="D801" s="199"/>
      <c r="E801" s="199"/>
      <c r="F801" s="712"/>
      <c r="G801" s="714"/>
      <c r="H801" s="712"/>
      <c r="I801" s="199"/>
      <c r="J801" s="711"/>
      <c r="K801" s="711"/>
    </row>
    <row r="802" spans="1:11">
      <c r="A802" s="712"/>
      <c r="B802" s="199"/>
      <c r="C802" s="713"/>
      <c r="D802" s="199"/>
      <c r="E802" s="199"/>
      <c r="F802" s="712"/>
      <c r="G802" s="712"/>
      <c r="H802" s="712"/>
      <c r="I802" s="199"/>
      <c r="J802" s="711"/>
      <c r="K802" s="711"/>
    </row>
    <row r="803" spans="1:11">
      <c r="A803" s="712"/>
      <c r="B803" s="199"/>
      <c r="C803" s="713"/>
      <c r="D803" s="199"/>
      <c r="E803" s="199"/>
      <c r="F803" s="712"/>
      <c r="G803" s="712"/>
      <c r="H803" s="712"/>
      <c r="I803" s="199"/>
      <c r="J803" s="711"/>
      <c r="K803" s="711"/>
    </row>
    <row r="804" spans="1:11">
      <c r="A804" s="712"/>
      <c r="B804" s="199"/>
      <c r="C804" s="713"/>
      <c r="D804" s="199"/>
      <c r="E804" s="199"/>
      <c r="F804" s="712"/>
      <c r="G804" s="714"/>
      <c r="H804" s="712"/>
      <c r="I804" s="199"/>
      <c r="J804" s="711"/>
      <c r="K804" s="711"/>
    </row>
    <row r="805" spans="1:11">
      <c r="A805" s="712"/>
      <c r="B805" s="199"/>
      <c r="C805" s="713"/>
      <c r="D805" s="199"/>
      <c r="E805" s="199"/>
      <c r="F805" s="712"/>
      <c r="G805" s="714"/>
      <c r="H805" s="712"/>
      <c r="I805" s="199"/>
      <c r="J805" s="711"/>
      <c r="K805" s="711"/>
    </row>
    <row r="806" spans="1:11">
      <c r="A806" s="712"/>
      <c r="B806" s="199"/>
      <c r="C806" s="713"/>
      <c r="D806" s="199"/>
      <c r="E806" s="199"/>
      <c r="F806" s="712"/>
      <c r="G806" s="712"/>
      <c r="H806" s="712"/>
      <c r="I806" s="199"/>
      <c r="J806" s="711"/>
      <c r="K806" s="711"/>
    </row>
    <row r="807" spans="1:11">
      <c r="A807" s="712"/>
      <c r="B807" s="199"/>
      <c r="C807" s="713"/>
      <c r="D807" s="199"/>
      <c r="E807" s="199"/>
      <c r="F807" s="712"/>
      <c r="G807" s="714"/>
      <c r="H807" s="712"/>
      <c r="I807" s="199"/>
      <c r="J807" s="711"/>
      <c r="K807" s="711"/>
    </row>
    <row r="808" spans="1:11">
      <c r="A808" s="712"/>
      <c r="B808" s="199"/>
      <c r="C808" s="713"/>
      <c r="D808" s="199"/>
      <c r="E808" s="199"/>
      <c r="F808" s="712"/>
      <c r="G808" s="714"/>
      <c r="H808" s="712"/>
      <c r="I808" s="199"/>
      <c r="J808" s="711"/>
      <c r="K808" s="711"/>
    </row>
    <row r="809" spans="1:11">
      <c r="A809" s="712"/>
      <c r="B809" s="199"/>
      <c r="C809" s="713"/>
      <c r="D809" s="199"/>
      <c r="E809" s="199"/>
      <c r="F809" s="712"/>
      <c r="G809" s="714"/>
      <c r="H809" s="712"/>
      <c r="I809" s="199"/>
      <c r="J809" s="711"/>
      <c r="K809" s="711"/>
    </row>
    <row r="810" spans="1:11">
      <c r="A810" s="712"/>
      <c r="B810" s="199"/>
      <c r="C810" s="713"/>
      <c r="D810" s="199"/>
      <c r="E810" s="199"/>
      <c r="F810" s="712"/>
      <c r="G810" s="714"/>
      <c r="H810" s="712"/>
      <c r="I810" s="199"/>
      <c r="J810" s="711"/>
      <c r="K810" s="711"/>
    </row>
    <row r="811" spans="1:11">
      <c r="A811" s="712"/>
      <c r="B811" s="199"/>
      <c r="C811" s="713"/>
      <c r="D811" s="199"/>
      <c r="E811" s="199"/>
      <c r="F811" s="712"/>
      <c r="G811" s="714"/>
      <c r="H811" s="712"/>
      <c r="I811" s="199"/>
      <c r="J811" s="711"/>
      <c r="K811" s="711"/>
    </row>
    <row r="812" spans="1:11">
      <c r="A812" s="712"/>
      <c r="B812" s="199"/>
      <c r="C812" s="713"/>
      <c r="D812" s="199"/>
      <c r="E812" s="199"/>
      <c r="F812" s="712"/>
      <c r="G812" s="712"/>
      <c r="H812" s="712"/>
      <c r="I812" s="199"/>
      <c r="J812" s="711"/>
      <c r="K812" s="711"/>
    </row>
    <row r="813" spans="1:11">
      <c r="A813" s="712"/>
      <c r="B813" s="199"/>
      <c r="C813" s="713"/>
      <c r="D813" s="199"/>
      <c r="E813" s="199"/>
      <c r="F813" s="712"/>
      <c r="G813" s="714"/>
      <c r="H813" s="712"/>
      <c r="I813" s="199"/>
      <c r="J813" s="711"/>
      <c r="K813" s="711"/>
    </row>
    <row r="814" spans="1:11">
      <c r="A814" s="712"/>
      <c r="B814" s="199"/>
      <c r="C814" s="713"/>
      <c r="D814" s="199"/>
      <c r="E814" s="199"/>
      <c r="F814" s="712"/>
      <c r="G814" s="712"/>
      <c r="H814" s="712"/>
      <c r="I814" s="199"/>
      <c r="J814" s="711"/>
      <c r="K814" s="711"/>
    </row>
    <row r="815" spans="1:11">
      <c r="A815" s="712"/>
      <c r="B815" s="199"/>
      <c r="C815" s="713"/>
      <c r="D815" s="199"/>
      <c r="E815" s="199"/>
      <c r="F815" s="712"/>
      <c r="G815" s="712"/>
      <c r="H815" s="712"/>
      <c r="I815" s="199"/>
      <c r="J815" s="711"/>
      <c r="K815" s="711"/>
    </row>
    <row r="816" spans="1:11">
      <c r="A816" s="712"/>
      <c r="B816" s="199"/>
      <c r="C816" s="713"/>
      <c r="D816" s="199"/>
      <c r="E816" s="199"/>
      <c r="F816" s="712"/>
      <c r="G816" s="712"/>
      <c r="H816" s="712"/>
      <c r="I816" s="199"/>
      <c r="J816" s="711"/>
      <c r="K816" s="711"/>
    </row>
    <row r="817" spans="1:11">
      <c r="A817" s="712"/>
      <c r="B817" s="199"/>
      <c r="C817" s="713"/>
      <c r="D817" s="199"/>
      <c r="E817" s="199"/>
      <c r="F817" s="712"/>
      <c r="G817" s="714"/>
      <c r="H817" s="712"/>
      <c r="I817" s="199"/>
      <c r="J817" s="711"/>
      <c r="K817" s="711"/>
    </row>
    <row r="818" spans="1:11">
      <c r="A818" s="712"/>
      <c r="B818" s="199"/>
      <c r="C818" s="713"/>
      <c r="D818" s="199"/>
      <c r="E818" s="199"/>
      <c r="F818" s="712"/>
      <c r="G818" s="714"/>
      <c r="H818" s="712"/>
      <c r="I818" s="199"/>
      <c r="J818" s="711"/>
      <c r="K818" s="711"/>
    </row>
    <row r="819" spans="1:11">
      <c r="A819" s="712"/>
      <c r="B819" s="199"/>
      <c r="C819" s="713"/>
      <c r="D819" s="199"/>
      <c r="E819" s="199"/>
      <c r="F819" s="712"/>
      <c r="G819" s="712"/>
      <c r="H819" s="712"/>
      <c r="I819" s="199"/>
      <c r="J819" s="711"/>
      <c r="K819" s="711"/>
    </row>
    <row r="820" spans="1:11">
      <c r="A820" s="712"/>
      <c r="B820" s="199"/>
      <c r="C820" s="713"/>
      <c r="D820" s="199"/>
      <c r="E820" s="199"/>
      <c r="F820" s="712"/>
      <c r="G820" s="712"/>
      <c r="H820" s="712"/>
      <c r="I820" s="199"/>
      <c r="J820" s="711"/>
      <c r="K820" s="711"/>
    </row>
    <row r="821" spans="1:11">
      <c r="A821" s="712"/>
      <c r="B821" s="199"/>
      <c r="C821" s="713"/>
      <c r="D821" s="199"/>
      <c r="E821" s="199"/>
      <c r="F821" s="712"/>
      <c r="G821" s="714"/>
      <c r="H821" s="712"/>
      <c r="I821" s="199"/>
      <c r="J821" s="711"/>
      <c r="K821" s="711"/>
    </row>
    <row r="822" spans="1:11">
      <c r="A822" s="712"/>
      <c r="B822" s="199"/>
      <c r="C822" s="713"/>
      <c r="D822" s="199"/>
      <c r="E822" s="199"/>
      <c r="F822" s="712"/>
      <c r="G822" s="714"/>
      <c r="H822" s="712"/>
      <c r="I822" s="199"/>
      <c r="J822" s="711"/>
      <c r="K822" s="711"/>
    </row>
    <row r="823" spans="1:11">
      <c r="A823" s="712"/>
      <c r="B823" s="199"/>
      <c r="C823" s="713"/>
      <c r="D823" s="199"/>
      <c r="E823" s="199"/>
      <c r="F823" s="712"/>
      <c r="G823" s="714"/>
      <c r="H823" s="712"/>
      <c r="I823" s="199"/>
      <c r="J823" s="711"/>
      <c r="K823" s="711"/>
    </row>
    <row r="824" spans="1:11">
      <c r="A824" s="712"/>
      <c r="B824" s="199"/>
      <c r="C824" s="713"/>
      <c r="D824" s="199"/>
      <c r="E824" s="199"/>
      <c r="F824" s="712"/>
      <c r="G824" s="714"/>
      <c r="H824" s="712"/>
      <c r="I824" s="199"/>
      <c r="J824" s="711"/>
      <c r="K824" s="711"/>
    </row>
    <row r="825" spans="1:11">
      <c r="A825" s="712"/>
      <c r="B825" s="199"/>
      <c r="C825" s="713"/>
      <c r="D825" s="199"/>
      <c r="E825" s="199"/>
      <c r="F825" s="712"/>
      <c r="G825" s="714"/>
      <c r="H825" s="712"/>
      <c r="I825" s="199"/>
      <c r="J825" s="711"/>
      <c r="K825" s="711"/>
    </row>
    <row r="826" spans="1:11">
      <c r="A826" s="712"/>
      <c r="B826" s="199"/>
      <c r="C826" s="713"/>
      <c r="D826" s="199"/>
      <c r="E826" s="199"/>
      <c r="F826" s="712"/>
      <c r="G826" s="712"/>
      <c r="H826" s="712"/>
      <c r="I826" s="199"/>
      <c r="J826" s="711"/>
      <c r="K826" s="711"/>
    </row>
    <row r="827" spans="1:11">
      <c r="A827" s="712"/>
      <c r="B827" s="199"/>
      <c r="C827" s="713"/>
      <c r="D827" s="199"/>
      <c r="E827" s="199"/>
      <c r="F827" s="712"/>
      <c r="G827" s="712"/>
      <c r="H827" s="712"/>
      <c r="I827" s="199"/>
      <c r="J827" s="711"/>
      <c r="K827" s="711"/>
    </row>
    <row r="828" spans="1:11">
      <c r="A828" s="712"/>
      <c r="B828" s="199"/>
      <c r="C828" s="713"/>
      <c r="D828" s="199"/>
      <c r="E828" s="199"/>
      <c r="F828" s="712"/>
      <c r="G828" s="714"/>
      <c r="H828" s="712"/>
      <c r="I828" s="199"/>
      <c r="J828" s="711"/>
      <c r="K828" s="711"/>
    </row>
    <row r="829" spans="1:11">
      <c r="A829" s="712"/>
      <c r="B829" s="199"/>
      <c r="C829" s="713"/>
      <c r="D829" s="199"/>
      <c r="E829" s="199"/>
      <c r="F829" s="712"/>
      <c r="G829" s="714"/>
      <c r="H829" s="712"/>
      <c r="I829" s="199"/>
      <c r="J829" s="711"/>
      <c r="K829" s="711"/>
    </row>
    <row r="830" spans="1:11">
      <c r="A830" s="712"/>
      <c r="B830" s="199"/>
      <c r="C830" s="713"/>
      <c r="D830" s="199"/>
      <c r="E830" s="199"/>
      <c r="F830" s="712"/>
      <c r="G830" s="714"/>
      <c r="H830" s="712"/>
      <c r="I830" s="199"/>
      <c r="J830" s="711"/>
      <c r="K830" s="711"/>
    </row>
    <row r="831" spans="1:11">
      <c r="A831" s="712"/>
      <c r="B831" s="199"/>
      <c r="C831" s="713"/>
      <c r="D831" s="199"/>
      <c r="E831" s="199"/>
      <c r="F831" s="712"/>
      <c r="G831" s="712"/>
      <c r="H831" s="712"/>
      <c r="I831" s="199"/>
      <c r="J831" s="711"/>
      <c r="K831" s="711"/>
    </row>
    <row r="832" spans="1:11">
      <c r="A832" s="712"/>
      <c r="B832" s="199"/>
      <c r="C832" s="713"/>
      <c r="D832" s="199"/>
      <c r="E832" s="199"/>
      <c r="F832" s="712"/>
      <c r="G832" s="714"/>
      <c r="H832" s="712"/>
      <c r="I832" s="199"/>
      <c r="J832" s="711"/>
      <c r="K832" s="711"/>
    </row>
    <row r="833" spans="1:11">
      <c r="A833" s="712"/>
      <c r="B833" s="199"/>
      <c r="C833" s="713"/>
      <c r="D833" s="199"/>
      <c r="E833" s="199"/>
      <c r="F833" s="712"/>
      <c r="G833" s="714"/>
      <c r="H833" s="712"/>
      <c r="I833" s="199"/>
      <c r="J833" s="711"/>
      <c r="K833" s="711"/>
    </row>
    <row r="834" spans="1:11">
      <c r="A834" s="712"/>
      <c r="B834" s="199"/>
      <c r="C834" s="713"/>
      <c r="D834" s="199"/>
      <c r="E834" s="199"/>
      <c r="F834" s="712"/>
      <c r="G834" s="714"/>
      <c r="H834" s="712"/>
      <c r="I834" s="199"/>
      <c r="J834" s="711"/>
      <c r="K834" s="711"/>
    </row>
    <row r="835" spans="1:11">
      <c r="A835" s="712"/>
      <c r="B835" s="199"/>
      <c r="C835" s="713"/>
      <c r="D835" s="199"/>
      <c r="E835" s="199"/>
      <c r="F835" s="712"/>
      <c r="G835" s="714"/>
      <c r="H835" s="712"/>
      <c r="I835" s="199"/>
      <c r="J835" s="711"/>
      <c r="K835" s="711"/>
    </row>
    <row r="836" spans="1:11">
      <c r="A836" s="712"/>
      <c r="B836" s="199"/>
      <c r="C836" s="713"/>
      <c r="D836" s="199"/>
      <c r="E836" s="199"/>
      <c r="F836" s="712"/>
      <c r="G836" s="714"/>
      <c r="H836" s="712"/>
      <c r="I836" s="199"/>
      <c r="J836" s="711"/>
      <c r="K836" s="711"/>
    </row>
    <row r="837" spans="1:11">
      <c r="A837" s="712"/>
      <c r="B837" s="199"/>
      <c r="C837" s="713"/>
      <c r="D837" s="199"/>
      <c r="E837" s="199"/>
      <c r="F837" s="712"/>
      <c r="G837" s="714"/>
      <c r="H837" s="712"/>
      <c r="I837" s="199"/>
      <c r="J837" s="711"/>
      <c r="K837" s="711"/>
    </row>
    <row r="838" spans="1:11">
      <c r="A838" s="712"/>
      <c r="B838" s="199"/>
      <c r="C838" s="713"/>
      <c r="D838" s="199"/>
      <c r="E838" s="199"/>
      <c r="F838" s="712"/>
      <c r="G838" s="712"/>
      <c r="H838" s="712"/>
      <c r="I838" s="199"/>
      <c r="J838" s="711"/>
      <c r="K838" s="711"/>
    </row>
    <row r="839" spans="1:11">
      <c r="A839" s="712"/>
      <c r="B839" s="199"/>
      <c r="C839" s="713"/>
      <c r="D839" s="199"/>
      <c r="E839" s="199"/>
      <c r="F839" s="712"/>
      <c r="G839" s="714"/>
      <c r="H839" s="712"/>
      <c r="I839" s="199"/>
      <c r="J839" s="711"/>
      <c r="K839" s="711"/>
    </row>
    <row r="840" spans="1:11">
      <c r="A840" s="712"/>
      <c r="B840" s="199"/>
      <c r="C840" s="713"/>
      <c r="D840" s="199"/>
      <c r="E840" s="199"/>
      <c r="F840" s="712"/>
      <c r="G840" s="712"/>
      <c r="H840" s="712"/>
      <c r="I840" s="199"/>
      <c r="J840" s="711"/>
      <c r="K840" s="711"/>
    </row>
    <row r="841" spans="1:11">
      <c r="A841" s="712"/>
      <c r="B841" s="199"/>
      <c r="C841" s="713"/>
      <c r="D841" s="199"/>
      <c r="E841" s="199"/>
      <c r="F841" s="712"/>
      <c r="G841" s="714"/>
      <c r="H841" s="712"/>
      <c r="I841" s="199"/>
      <c r="J841" s="711"/>
      <c r="K841" s="711"/>
    </row>
    <row r="842" spans="1:11">
      <c r="A842" s="712"/>
      <c r="B842" s="199"/>
      <c r="C842" s="713"/>
      <c r="D842" s="199"/>
      <c r="E842" s="199"/>
      <c r="F842" s="712"/>
      <c r="G842" s="712"/>
      <c r="H842" s="712"/>
      <c r="I842" s="199"/>
      <c r="J842" s="711"/>
      <c r="K842" s="711"/>
    </row>
    <row r="843" spans="1:11">
      <c r="A843" s="712"/>
      <c r="B843" s="199"/>
      <c r="C843" s="713"/>
      <c r="D843" s="199"/>
      <c r="E843" s="199"/>
      <c r="F843" s="712"/>
      <c r="G843" s="712"/>
      <c r="H843" s="712"/>
      <c r="I843" s="199"/>
      <c r="J843" s="711"/>
      <c r="K843" s="711"/>
    </row>
    <row r="844" spans="1:11">
      <c r="A844" s="712"/>
      <c r="B844" s="199"/>
      <c r="C844" s="713"/>
      <c r="D844" s="199"/>
      <c r="E844" s="199"/>
      <c r="F844" s="712"/>
      <c r="G844" s="714"/>
      <c r="H844" s="712"/>
      <c r="I844" s="199"/>
      <c r="J844" s="711"/>
      <c r="K844" s="711"/>
    </row>
    <row r="845" spans="1:11">
      <c r="A845" s="712"/>
      <c r="B845" s="199"/>
      <c r="C845" s="713"/>
      <c r="D845" s="199"/>
      <c r="E845" s="199"/>
      <c r="F845" s="712"/>
      <c r="G845" s="714"/>
      <c r="H845" s="712"/>
      <c r="I845" s="199"/>
      <c r="J845" s="711"/>
      <c r="K845" s="711"/>
    </row>
    <row r="846" spans="1:11">
      <c r="A846" s="712"/>
      <c r="B846" s="199"/>
      <c r="C846" s="713"/>
      <c r="D846" s="199"/>
      <c r="E846" s="199"/>
      <c r="F846" s="712"/>
      <c r="G846" s="712"/>
      <c r="H846" s="712"/>
      <c r="I846" s="199"/>
      <c r="J846" s="711"/>
      <c r="K846" s="711"/>
    </row>
    <row r="847" spans="1:11">
      <c r="A847" s="712"/>
      <c r="B847" s="199"/>
      <c r="C847" s="713"/>
      <c r="D847" s="199"/>
      <c r="E847" s="199"/>
      <c r="F847" s="712"/>
      <c r="G847" s="712"/>
      <c r="H847" s="712"/>
      <c r="I847" s="199"/>
      <c r="J847" s="711"/>
      <c r="K847" s="711"/>
    </row>
    <row r="848" spans="1:11">
      <c r="A848" s="712"/>
      <c r="B848" s="199"/>
      <c r="C848" s="713"/>
      <c r="D848" s="199"/>
      <c r="E848" s="199"/>
      <c r="F848" s="712"/>
      <c r="G848" s="712"/>
      <c r="H848" s="712"/>
      <c r="I848" s="199"/>
      <c r="J848" s="711"/>
      <c r="K848" s="711"/>
    </row>
    <row r="849" spans="1:11">
      <c r="A849" s="712"/>
      <c r="B849" s="199"/>
      <c r="C849" s="713"/>
      <c r="D849" s="199"/>
      <c r="E849" s="199"/>
      <c r="F849" s="712"/>
      <c r="G849" s="712"/>
      <c r="H849" s="712"/>
      <c r="I849" s="199"/>
      <c r="J849" s="711"/>
      <c r="K849" s="711"/>
    </row>
    <row r="850" spans="1:11">
      <c r="A850" s="712"/>
      <c r="B850" s="199"/>
      <c r="C850" s="713"/>
      <c r="D850" s="199"/>
      <c r="E850" s="199"/>
      <c r="F850" s="712"/>
      <c r="G850" s="714"/>
      <c r="H850" s="712"/>
      <c r="I850" s="199"/>
      <c r="J850" s="711"/>
      <c r="K850" s="711"/>
    </row>
    <row r="851" spans="1:11">
      <c r="A851" s="712"/>
      <c r="B851" s="199"/>
      <c r="C851" s="713"/>
      <c r="D851" s="199"/>
      <c r="E851" s="199"/>
      <c r="F851" s="712"/>
      <c r="G851" s="712"/>
      <c r="H851" s="712"/>
      <c r="I851" s="199"/>
      <c r="J851" s="711"/>
      <c r="K851" s="711"/>
    </row>
    <row r="852" spans="1:11">
      <c r="A852" s="712"/>
      <c r="B852" s="199"/>
      <c r="C852" s="713"/>
      <c r="D852" s="199"/>
      <c r="E852" s="199"/>
      <c r="F852" s="712"/>
      <c r="G852" s="714"/>
      <c r="H852" s="712"/>
      <c r="I852" s="199"/>
      <c r="J852" s="711"/>
      <c r="K852" s="711"/>
    </row>
    <row r="853" spans="1:11">
      <c r="A853" s="712"/>
      <c r="B853" s="199"/>
      <c r="C853" s="713"/>
      <c r="D853" s="199"/>
      <c r="E853" s="199"/>
      <c r="F853" s="712"/>
      <c r="G853" s="714"/>
      <c r="H853" s="712"/>
      <c r="I853" s="199"/>
      <c r="J853" s="711"/>
      <c r="K853" s="711"/>
    </row>
    <row r="854" spans="1:11">
      <c r="A854" s="712"/>
      <c r="B854" s="199"/>
      <c r="C854" s="713"/>
      <c r="D854" s="199"/>
      <c r="E854" s="199"/>
      <c r="F854" s="712"/>
      <c r="G854" s="712"/>
      <c r="H854" s="712"/>
      <c r="I854" s="199"/>
      <c r="J854" s="711"/>
      <c r="K854" s="711"/>
    </row>
    <row r="855" spans="1:11">
      <c r="A855" s="712"/>
      <c r="B855" s="199"/>
      <c r="C855" s="713"/>
      <c r="D855" s="199"/>
      <c r="E855" s="199"/>
      <c r="F855" s="712"/>
      <c r="G855" s="714"/>
      <c r="H855" s="712"/>
      <c r="I855" s="199"/>
      <c r="J855" s="711"/>
      <c r="K855" s="711"/>
    </row>
    <row r="856" spans="1:11">
      <c r="A856" s="712"/>
      <c r="B856" s="199"/>
      <c r="C856" s="713"/>
      <c r="D856" s="199"/>
      <c r="E856" s="199"/>
      <c r="F856" s="712"/>
      <c r="G856" s="714"/>
      <c r="H856" s="712"/>
      <c r="I856" s="199"/>
      <c r="J856" s="711"/>
      <c r="K856" s="711"/>
    </row>
    <row r="857" spans="1:11">
      <c r="A857" s="712"/>
      <c r="B857" s="199"/>
      <c r="C857" s="713"/>
      <c r="D857" s="199"/>
      <c r="E857" s="199"/>
      <c r="F857" s="712"/>
      <c r="G857" s="714"/>
      <c r="H857" s="712"/>
      <c r="I857" s="199"/>
      <c r="J857" s="711"/>
      <c r="K857" s="711"/>
    </row>
    <row r="858" spans="1:11">
      <c r="A858" s="712"/>
      <c r="B858" s="199"/>
      <c r="C858" s="713"/>
      <c r="D858" s="199"/>
      <c r="E858" s="199"/>
      <c r="F858" s="712"/>
      <c r="G858" s="712"/>
      <c r="H858" s="712"/>
      <c r="I858" s="199"/>
      <c r="J858" s="711"/>
      <c r="K858" s="711"/>
    </row>
    <row r="859" spans="1:11">
      <c r="A859" s="712"/>
      <c r="B859" s="199"/>
      <c r="C859" s="713"/>
      <c r="D859" s="199"/>
      <c r="E859" s="199"/>
      <c r="F859" s="712"/>
      <c r="G859" s="714"/>
      <c r="H859" s="712"/>
      <c r="I859" s="199"/>
      <c r="J859" s="711"/>
      <c r="K859" s="711"/>
    </row>
    <row r="860" spans="1:11">
      <c r="A860" s="712"/>
      <c r="B860" s="199"/>
      <c r="C860" s="713"/>
      <c r="D860" s="199"/>
      <c r="E860" s="199"/>
      <c r="F860" s="712"/>
      <c r="G860" s="714"/>
      <c r="H860" s="712"/>
      <c r="I860" s="199"/>
      <c r="J860" s="711"/>
      <c r="K860" s="711"/>
    </row>
    <row r="861" spans="1:11">
      <c r="A861" s="712"/>
      <c r="B861" s="199"/>
      <c r="C861" s="713"/>
      <c r="D861" s="199"/>
      <c r="E861" s="199"/>
      <c r="F861" s="712"/>
      <c r="G861" s="712"/>
      <c r="H861" s="712"/>
      <c r="I861" s="199"/>
      <c r="J861" s="711"/>
      <c r="K861" s="711"/>
    </row>
    <row r="862" spans="1:11">
      <c r="A862" s="712"/>
      <c r="B862" s="199"/>
      <c r="C862" s="713"/>
      <c r="D862" s="199"/>
      <c r="E862" s="199"/>
      <c r="F862" s="712"/>
      <c r="G862" s="712"/>
      <c r="H862" s="712"/>
      <c r="I862" s="199"/>
      <c r="J862" s="711"/>
      <c r="K862" s="711"/>
    </row>
    <row r="863" spans="1:11">
      <c r="A863" s="712"/>
      <c r="B863" s="199"/>
      <c r="C863" s="713"/>
      <c r="D863" s="199"/>
      <c r="E863" s="199"/>
      <c r="F863" s="712"/>
      <c r="G863" s="712"/>
      <c r="H863" s="712"/>
      <c r="I863" s="199"/>
      <c r="J863" s="711"/>
      <c r="K863" s="711"/>
    </row>
    <row r="864" spans="1:11">
      <c r="A864" s="712"/>
      <c r="B864" s="199"/>
      <c r="C864" s="713"/>
      <c r="D864" s="199"/>
      <c r="E864" s="199"/>
      <c r="F864" s="712"/>
      <c r="G864" s="712"/>
      <c r="H864" s="712"/>
      <c r="I864" s="199"/>
      <c r="J864" s="711"/>
      <c r="K864" s="711"/>
    </row>
    <row r="865" spans="1:11">
      <c r="A865" s="712"/>
      <c r="B865" s="199"/>
      <c r="C865" s="713"/>
      <c r="D865" s="199"/>
      <c r="E865" s="199"/>
      <c r="F865" s="712"/>
      <c r="G865" s="714"/>
      <c r="H865" s="712"/>
      <c r="I865" s="199"/>
      <c r="J865" s="711"/>
      <c r="K865" s="711"/>
    </row>
    <row r="866" spans="1:11">
      <c r="A866" s="712"/>
      <c r="B866" s="199"/>
      <c r="C866" s="713"/>
      <c r="D866" s="199"/>
      <c r="E866" s="199"/>
      <c r="F866" s="712"/>
      <c r="G866" s="712"/>
      <c r="H866" s="712"/>
      <c r="I866" s="199"/>
      <c r="J866" s="711"/>
      <c r="K866" s="711"/>
    </row>
    <row r="867" spans="1:11">
      <c r="A867" s="712"/>
      <c r="B867" s="199"/>
      <c r="C867" s="713"/>
      <c r="D867" s="199"/>
      <c r="E867" s="199"/>
      <c r="F867" s="712"/>
      <c r="G867" s="714"/>
      <c r="H867" s="712"/>
      <c r="I867" s="199"/>
      <c r="J867" s="711"/>
      <c r="K867" s="711"/>
    </row>
    <row r="868" spans="1:11">
      <c r="A868" s="712"/>
      <c r="B868" s="199"/>
      <c r="C868" s="713"/>
      <c r="D868" s="199"/>
      <c r="E868" s="199"/>
      <c r="F868" s="712"/>
      <c r="G868" s="712"/>
      <c r="H868" s="712"/>
      <c r="I868" s="199"/>
      <c r="J868" s="711"/>
      <c r="K868" s="711"/>
    </row>
    <row r="869" spans="1:11">
      <c r="A869" s="712"/>
      <c r="B869" s="199"/>
      <c r="C869" s="713"/>
      <c r="D869" s="199"/>
      <c r="E869" s="199"/>
      <c r="F869" s="712"/>
      <c r="G869" s="714"/>
      <c r="H869" s="712"/>
      <c r="I869" s="199"/>
      <c r="J869" s="711"/>
      <c r="K869" s="711"/>
    </row>
    <row r="870" spans="1:11">
      <c r="A870" s="712"/>
      <c r="B870" s="199"/>
      <c r="C870" s="713"/>
      <c r="D870" s="199"/>
      <c r="E870" s="199"/>
      <c r="F870" s="712"/>
      <c r="G870" s="714"/>
      <c r="H870" s="712"/>
      <c r="I870" s="199"/>
      <c r="J870" s="711"/>
      <c r="K870" s="711"/>
    </row>
    <row r="871" spans="1:11">
      <c r="A871" s="712"/>
      <c r="B871" s="199"/>
      <c r="C871" s="713"/>
      <c r="D871" s="199"/>
      <c r="E871" s="199"/>
      <c r="F871" s="712"/>
      <c r="G871" s="712"/>
      <c r="H871" s="712"/>
      <c r="I871" s="199"/>
      <c r="J871" s="711"/>
      <c r="K871" s="711"/>
    </row>
    <row r="872" spans="1:11">
      <c r="A872" s="712"/>
      <c r="B872" s="199"/>
      <c r="C872" s="713"/>
      <c r="D872" s="199"/>
      <c r="E872" s="199"/>
      <c r="F872" s="712"/>
      <c r="G872" s="712"/>
      <c r="H872" s="712"/>
      <c r="I872" s="199"/>
      <c r="J872" s="711"/>
      <c r="K872" s="711"/>
    </row>
    <row r="873" spans="1:11">
      <c r="A873" s="712"/>
      <c r="B873" s="199"/>
      <c r="C873" s="713"/>
      <c r="D873" s="199"/>
      <c r="E873" s="199"/>
      <c r="F873" s="712"/>
      <c r="G873" s="712"/>
      <c r="H873" s="712"/>
      <c r="I873" s="199"/>
      <c r="J873" s="711"/>
      <c r="K873" s="711"/>
    </row>
    <row r="874" spans="1:11">
      <c r="A874" s="712"/>
      <c r="B874" s="199"/>
      <c r="C874" s="713"/>
      <c r="D874" s="199"/>
      <c r="E874" s="199"/>
      <c r="F874" s="712"/>
      <c r="G874" s="714"/>
      <c r="H874" s="712"/>
      <c r="I874" s="199"/>
      <c r="J874" s="711"/>
      <c r="K874" s="711"/>
    </row>
    <row r="875" spans="1:11">
      <c r="A875" s="712"/>
      <c r="B875" s="199"/>
      <c r="C875" s="713"/>
      <c r="D875" s="199"/>
      <c r="E875" s="199"/>
      <c r="F875" s="712"/>
      <c r="G875" s="714"/>
      <c r="H875" s="712"/>
      <c r="I875" s="199"/>
      <c r="J875" s="711"/>
      <c r="K875" s="711"/>
    </row>
    <row r="876" spans="1:11">
      <c r="A876" s="712"/>
      <c r="B876" s="199"/>
      <c r="C876" s="713"/>
      <c r="D876" s="199"/>
      <c r="E876" s="199"/>
      <c r="F876" s="712"/>
      <c r="G876" s="714"/>
      <c r="H876" s="712"/>
      <c r="I876" s="199"/>
      <c r="J876" s="711"/>
      <c r="K876" s="711"/>
    </row>
    <row r="877" spans="1:11">
      <c r="A877" s="712"/>
      <c r="B877" s="199"/>
      <c r="C877" s="713"/>
      <c r="D877" s="199"/>
      <c r="E877" s="199"/>
      <c r="F877" s="712"/>
      <c r="G877" s="714"/>
      <c r="H877" s="712"/>
      <c r="I877" s="199"/>
      <c r="J877" s="711"/>
      <c r="K877" s="711"/>
    </row>
    <row r="878" spans="1:11">
      <c r="A878" s="712"/>
      <c r="B878" s="199"/>
      <c r="C878" s="713"/>
      <c r="D878" s="199"/>
      <c r="E878" s="199"/>
      <c r="F878" s="712"/>
      <c r="G878" s="714"/>
      <c r="H878" s="712"/>
      <c r="I878" s="199"/>
      <c r="J878" s="711"/>
      <c r="K878" s="711"/>
    </row>
    <row r="879" spans="1:11">
      <c r="A879" s="712"/>
      <c r="B879" s="199"/>
      <c r="C879" s="713"/>
      <c r="D879" s="199"/>
      <c r="E879" s="199"/>
      <c r="F879" s="712"/>
      <c r="G879" s="712"/>
      <c r="H879" s="712"/>
      <c r="I879" s="199"/>
      <c r="J879" s="711"/>
      <c r="K879" s="711"/>
    </row>
    <row r="880" spans="1:11">
      <c r="A880" s="712"/>
      <c r="B880" s="199"/>
      <c r="C880" s="713"/>
      <c r="D880" s="199"/>
      <c r="E880" s="199"/>
      <c r="F880" s="712"/>
      <c r="G880" s="712"/>
      <c r="H880" s="712"/>
      <c r="I880" s="199"/>
      <c r="J880" s="711"/>
      <c r="K880" s="711"/>
    </row>
    <row r="881" spans="1:11">
      <c r="A881" s="712"/>
      <c r="B881" s="199"/>
      <c r="C881" s="713"/>
      <c r="D881" s="199"/>
      <c r="E881" s="199"/>
      <c r="F881" s="712"/>
      <c r="G881" s="712"/>
      <c r="H881" s="712"/>
      <c r="I881" s="199"/>
      <c r="J881" s="711"/>
      <c r="K881" s="711"/>
    </row>
    <row r="882" spans="1:11">
      <c r="A882" s="712"/>
      <c r="B882" s="199"/>
      <c r="C882" s="713"/>
      <c r="D882" s="199"/>
      <c r="E882" s="199"/>
      <c r="F882" s="712"/>
      <c r="G882" s="712"/>
      <c r="H882" s="712"/>
      <c r="I882" s="199"/>
      <c r="J882" s="711"/>
      <c r="K882" s="711"/>
    </row>
    <row r="883" spans="1:11">
      <c r="A883" s="712"/>
      <c r="B883" s="199"/>
      <c r="C883" s="713"/>
      <c r="D883" s="199"/>
      <c r="E883" s="199"/>
      <c r="F883" s="712"/>
      <c r="G883" s="714"/>
      <c r="H883" s="712"/>
      <c r="I883" s="199"/>
      <c r="J883" s="711"/>
      <c r="K883" s="711"/>
    </row>
    <row r="884" spans="1:11">
      <c r="A884" s="712"/>
      <c r="B884" s="199"/>
      <c r="C884" s="713"/>
      <c r="D884" s="199"/>
      <c r="E884" s="199"/>
      <c r="F884" s="712"/>
      <c r="G884" s="714"/>
      <c r="H884" s="712"/>
      <c r="I884" s="199"/>
      <c r="J884" s="711"/>
      <c r="K884" s="711"/>
    </row>
    <row r="885" spans="1:11">
      <c r="A885" s="712"/>
      <c r="B885" s="199"/>
      <c r="C885" s="713"/>
      <c r="D885" s="199"/>
      <c r="E885" s="199"/>
      <c r="F885" s="712"/>
      <c r="G885" s="714"/>
      <c r="H885" s="712"/>
      <c r="I885" s="199"/>
      <c r="J885" s="711"/>
      <c r="K885" s="711"/>
    </row>
    <row r="886" spans="1:11">
      <c r="A886" s="712"/>
      <c r="B886" s="199"/>
      <c r="C886" s="713"/>
      <c r="D886" s="199"/>
      <c r="E886" s="199"/>
      <c r="F886" s="712"/>
      <c r="G886" s="714"/>
      <c r="H886" s="712"/>
      <c r="I886" s="199"/>
      <c r="J886" s="711"/>
      <c r="K886" s="711"/>
    </row>
    <row r="887" spans="1:11">
      <c r="A887" s="712"/>
      <c r="B887" s="199"/>
      <c r="C887" s="713"/>
      <c r="D887" s="199"/>
      <c r="E887" s="199"/>
      <c r="F887" s="712"/>
      <c r="G887" s="714"/>
      <c r="H887" s="712"/>
      <c r="I887" s="199"/>
      <c r="J887" s="711"/>
      <c r="K887" s="711"/>
    </row>
    <row r="888" spans="1:11">
      <c r="A888" s="712"/>
      <c r="B888" s="715"/>
      <c r="C888" s="713"/>
      <c r="D888" s="199"/>
      <c r="E888" s="199"/>
      <c r="F888" s="712"/>
      <c r="G888" s="717"/>
      <c r="H888" s="717"/>
      <c r="I888" s="715"/>
      <c r="J888" s="711"/>
      <c r="K888" s="711"/>
    </row>
    <row r="889" spans="1:11">
      <c r="A889" s="712"/>
      <c r="B889" s="199"/>
      <c r="C889" s="713"/>
      <c r="D889" s="199"/>
      <c r="E889" s="199"/>
      <c r="F889" s="712"/>
      <c r="G889" s="714"/>
      <c r="H889" s="712"/>
      <c r="I889" s="199"/>
      <c r="J889" s="711"/>
      <c r="K889" s="711"/>
    </row>
    <row r="890" spans="1:11">
      <c r="A890" s="712"/>
      <c r="B890" s="199"/>
      <c r="C890" s="713"/>
      <c r="D890" s="199"/>
      <c r="E890" s="199"/>
      <c r="F890" s="712"/>
      <c r="G890" s="712"/>
      <c r="H890" s="712"/>
      <c r="I890" s="199"/>
      <c r="J890" s="711"/>
      <c r="K890" s="711"/>
    </row>
    <row r="891" spans="1:11">
      <c r="A891" s="712"/>
      <c r="B891" s="199"/>
      <c r="C891" s="713"/>
      <c r="D891" s="199"/>
      <c r="E891" s="199"/>
      <c r="F891" s="712"/>
      <c r="G891" s="714"/>
      <c r="H891" s="712"/>
      <c r="I891" s="199"/>
      <c r="J891" s="711"/>
      <c r="K891" s="711"/>
    </row>
    <row r="892" spans="1:11">
      <c r="A892" s="712"/>
      <c r="B892" s="199"/>
      <c r="C892" s="713"/>
      <c r="D892" s="199"/>
      <c r="E892" s="199"/>
      <c r="F892" s="712"/>
      <c r="G892" s="714"/>
      <c r="H892" s="712"/>
      <c r="I892" s="199"/>
      <c r="J892" s="711"/>
      <c r="K892" s="711"/>
    </row>
    <row r="893" spans="1:11">
      <c r="A893" s="712"/>
      <c r="B893" s="199"/>
      <c r="C893" s="713"/>
      <c r="D893" s="199"/>
      <c r="E893" s="199"/>
      <c r="F893" s="712"/>
      <c r="G893" s="714"/>
      <c r="H893" s="712"/>
      <c r="I893" s="199"/>
      <c r="J893" s="711"/>
      <c r="K893" s="711"/>
    </row>
    <row r="894" spans="1:11">
      <c r="A894" s="712"/>
      <c r="B894" s="199"/>
      <c r="C894" s="713"/>
      <c r="D894" s="199"/>
      <c r="E894" s="199"/>
      <c r="F894" s="712"/>
      <c r="G894" s="714"/>
      <c r="H894" s="712"/>
      <c r="I894" s="199"/>
      <c r="J894" s="711"/>
      <c r="K894" s="711"/>
    </row>
    <row r="895" spans="1:11">
      <c r="A895" s="712"/>
      <c r="B895" s="199"/>
      <c r="C895" s="713"/>
      <c r="D895" s="199"/>
      <c r="E895" s="199"/>
      <c r="F895" s="712"/>
      <c r="G895" s="712"/>
      <c r="H895" s="712"/>
      <c r="I895" s="199"/>
      <c r="J895" s="711"/>
      <c r="K895" s="711"/>
    </row>
    <row r="896" spans="1:11">
      <c r="A896" s="712"/>
      <c r="B896" s="199"/>
      <c r="C896" s="713"/>
      <c r="D896" s="199"/>
      <c r="E896" s="199"/>
      <c r="F896" s="712"/>
      <c r="G896" s="714"/>
      <c r="H896" s="712"/>
      <c r="I896" s="199"/>
      <c r="J896" s="711"/>
      <c r="K896" s="711"/>
    </row>
    <row r="897" spans="1:11">
      <c r="A897" s="712"/>
      <c r="B897" s="199"/>
      <c r="C897" s="713"/>
      <c r="D897" s="199"/>
      <c r="E897" s="199"/>
      <c r="F897" s="712"/>
      <c r="G897" s="712"/>
      <c r="H897" s="712"/>
      <c r="I897" s="199"/>
      <c r="J897" s="711"/>
      <c r="K897" s="711"/>
    </row>
    <row r="898" spans="1:11">
      <c r="A898" s="712"/>
      <c r="B898" s="199"/>
      <c r="C898" s="713"/>
      <c r="D898" s="199"/>
      <c r="E898" s="199"/>
      <c r="F898" s="712"/>
      <c r="G898" s="712"/>
      <c r="H898" s="712"/>
      <c r="I898" s="199"/>
      <c r="J898" s="711"/>
      <c r="K898" s="711"/>
    </row>
    <row r="899" spans="1:11">
      <c r="A899" s="712"/>
      <c r="B899" s="199"/>
      <c r="C899" s="713"/>
      <c r="D899" s="199"/>
      <c r="E899" s="199"/>
      <c r="F899" s="712"/>
      <c r="G899" s="712"/>
      <c r="H899" s="712"/>
      <c r="I899" s="199"/>
      <c r="J899" s="711"/>
      <c r="K899" s="711"/>
    </row>
    <row r="900" spans="1:11">
      <c r="A900" s="712"/>
      <c r="B900" s="199"/>
      <c r="C900" s="713"/>
      <c r="D900" s="199"/>
      <c r="E900" s="199"/>
      <c r="F900" s="712"/>
      <c r="G900" s="714"/>
      <c r="H900" s="712"/>
      <c r="I900" s="199"/>
      <c r="J900" s="711"/>
      <c r="K900" s="711"/>
    </row>
    <row r="901" spans="1:11">
      <c r="A901" s="712"/>
      <c r="B901" s="199"/>
      <c r="C901" s="713"/>
      <c r="D901" s="199"/>
      <c r="E901" s="199"/>
      <c r="F901" s="712"/>
      <c r="G901" s="712"/>
      <c r="H901" s="712"/>
      <c r="I901" s="199"/>
      <c r="J901" s="711"/>
      <c r="K901" s="711"/>
    </row>
    <row r="902" spans="1:11">
      <c r="A902" s="712"/>
      <c r="B902" s="199"/>
      <c r="C902" s="713"/>
      <c r="D902" s="199"/>
      <c r="E902" s="199"/>
      <c r="F902" s="712"/>
      <c r="G902" s="712"/>
      <c r="H902" s="712"/>
      <c r="I902" s="199"/>
      <c r="J902" s="711"/>
      <c r="K902" s="711"/>
    </row>
    <row r="903" spans="1:11">
      <c r="A903" s="712"/>
      <c r="B903" s="199"/>
      <c r="C903" s="713"/>
      <c r="D903" s="199"/>
      <c r="E903" s="199"/>
      <c r="F903" s="712"/>
      <c r="G903" s="714"/>
      <c r="H903" s="712"/>
      <c r="I903" s="199"/>
      <c r="J903" s="711"/>
      <c r="K903" s="711"/>
    </row>
    <row r="904" spans="1:11">
      <c r="A904" s="712"/>
      <c r="B904" s="199"/>
      <c r="C904" s="713"/>
      <c r="D904" s="199"/>
      <c r="E904" s="199"/>
      <c r="F904" s="712"/>
      <c r="G904" s="714"/>
      <c r="H904" s="712"/>
      <c r="I904" s="199"/>
      <c r="J904" s="711"/>
      <c r="K904" s="711"/>
    </row>
    <row r="905" spans="1:11">
      <c r="A905" s="712"/>
      <c r="B905" s="199"/>
      <c r="C905" s="713"/>
      <c r="D905" s="199"/>
      <c r="E905" s="199"/>
      <c r="F905" s="712"/>
      <c r="G905" s="714"/>
      <c r="H905" s="712"/>
      <c r="I905" s="199"/>
      <c r="J905" s="711"/>
      <c r="K905" s="711"/>
    </row>
    <row r="906" spans="1:11">
      <c r="A906" s="712"/>
      <c r="B906" s="199"/>
      <c r="C906" s="713"/>
      <c r="D906" s="199"/>
      <c r="E906" s="199"/>
      <c r="F906" s="712"/>
      <c r="G906" s="712"/>
      <c r="H906" s="712"/>
      <c r="I906" s="199"/>
      <c r="J906" s="711"/>
      <c r="K906" s="711"/>
    </row>
    <row r="907" spans="1:11">
      <c r="A907" s="712"/>
      <c r="B907" s="199"/>
      <c r="C907" s="713"/>
      <c r="D907" s="199"/>
      <c r="E907" s="199"/>
      <c r="F907" s="712"/>
      <c r="G907" s="714"/>
      <c r="H907" s="712"/>
      <c r="I907" s="199"/>
      <c r="J907" s="711"/>
      <c r="K907" s="711"/>
    </row>
    <row r="908" spans="1:11">
      <c r="A908" s="712"/>
      <c r="B908" s="199"/>
      <c r="C908" s="713"/>
      <c r="D908" s="199"/>
      <c r="E908" s="199"/>
      <c r="F908" s="712"/>
      <c r="G908" s="712"/>
      <c r="H908" s="712"/>
      <c r="I908" s="199"/>
      <c r="J908" s="711"/>
      <c r="K908" s="711"/>
    </row>
    <row r="909" spans="1:11">
      <c r="A909" s="712"/>
      <c r="B909" s="199"/>
      <c r="C909" s="713"/>
      <c r="D909" s="199"/>
      <c r="E909" s="199"/>
      <c r="F909" s="712"/>
      <c r="G909" s="714"/>
      <c r="H909" s="712"/>
      <c r="I909" s="199"/>
      <c r="J909" s="711"/>
      <c r="K909" s="711"/>
    </row>
    <row r="910" spans="1:11">
      <c r="A910" s="712"/>
      <c r="B910" s="199"/>
      <c r="C910" s="713"/>
      <c r="D910" s="199"/>
      <c r="E910" s="199"/>
      <c r="F910" s="712"/>
      <c r="G910" s="714"/>
      <c r="H910" s="712"/>
      <c r="I910" s="199"/>
      <c r="J910" s="711"/>
      <c r="K910" s="711"/>
    </row>
    <row r="911" spans="1:11">
      <c r="A911" s="712"/>
      <c r="B911" s="199"/>
      <c r="C911" s="713"/>
      <c r="D911" s="199"/>
      <c r="E911" s="199"/>
      <c r="F911" s="712"/>
      <c r="G911" s="712"/>
      <c r="H911" s="712"/>
      <c r="I911" s="199"/>
      <c r="J911" s="711"/>
      <c r="K911" s="711"/>
    </row>
    <row r="912" spans="1:11">
      <c r="A912" s="712"/>
      <c r="B912" s="199"/>
      <c r="C912" s="713"/>
      <c r="D912" s="199"/>
      <c r="E912" s="199"/>
      <c r="F912" s="712"/>
      <c r="G912" s="712"/>
      <c r="H912" s="712"/>
      <c r="I912" s="199"/>
      <c r="J912" s="711"/>
      <c r="K912" s="711"/>
    </row>
    <row r="913" spans="1:11">
      <c r="A913" s="712"/>
      <c r="B913" s="199"/>
      <c r="C913" s="713"/>
      <c r="D913" s="199"/>
      <c r="E913" s="199"/>
      <c r="F913" s="712"/>
      <c r="G913" s="714"/>
      <c r="H913" s="712"/>
      <c r="I913" s="199"/>
      <c r="J913" s="711"/>
      <c r="K913" s="711"/>
    </row>
    <row r="914" spans="1:11">
      <c r="A914" s="712"/>
      <c r="B914" s="199"/>
      <c r="C914" s="713"/>
      <c r="D914" s="199"/>
      <c r="E914" s="199"/>
      <c r="F914" s="712"/>
      <c r="G914" s="714"/>
      <c r="H914" s="712"/>
      <c r="I914" s="199"/>
      <c r="J914" s="711"/>
      <c r="K914" s="711"/>
    </row>
    <row r="915" spans="1:11">
      <c r="A915" s="712"/>
      <c r="B915" s="199"/>
      <c r="C915" s="713"/>
      <c r="D915" s="199"/>
      <c r="E915" s="199"/>
      <c r="F915" s="712"/>
      <c r="G915" s="714"/>
      <c r="H915" s="712"/>
      <c r="I915" s="199"/>
      <c r="J915" s="711"/>
      <c r="K915" s="711"/>
    </row>
    <row r="916" spans="1:11">
      <c r="A916" s="712"/>
      <c r="B916" s="199"/>
      <c r="C916" s="713"/>
      <c r="D916" s="199"/>
      <c r="E916" s="199"/>
      <c r="F916" s="712"/>
      <c r="G916" s="714"/>
      <c r="H916" s="712"/>
      <c r="I916" s="199"/>
      <c r="J916" s="711"/>
      <c r="K916" s="711"/>
    </row>
    <row r="917" spans="1:11">
      <c r="A917" s="712"/>
      <c r="B917" s="199"/>
      <c r="C917" s="713"/>
      <c r="D917" s="199"/>
      <c r="E917" s="199"/>
      <c r="F917" s="712"/>
      <c r="G917" s="712"/>
      <c r="H917" s="712"/>
      <c r="I917" s="199"/>
      <c r="J917" s="711"/>
      <c r="K917" s="711"/>
    </row>
    <row r="918" spans="1:11">
      <c r="A918" s="712"/>
      <c r="B918" s="199"/>
      <c r="C918" s="713"/>
      <c r="D918" s="199"/>
      <c r="E918" s="199"/>
      <c r="F918" s="712"/>
      <c r="G918" s="712"/>
      <c r="H918" s="712"/>
      <c r="I918" s="199"/>
      <c r="J918" s="711"/>
      <c r="K918" s="711"/>
    </row>
    <row r="919" spans="1:11">
      <c r="A919" s="712"/>
      <c r="B919" s="199"/>
      <c r="C919" s="713"/>
      <c r="D919" s="199"/>
      <c r="E919" s="199"/>
      <c r="F919" s="712"/>
      <c r="G919" s="714"/>
      <c r="H919" s="712"/>
      <c r="I919" s="199"/>
      <c r="J919" s="711"/>
      <c r="K919" s="711"/>
    </row>
    <row r="920" spans="1:11">
      <c r="A920" s="712"/>
      <c r="B920" s="199"/>
      <c r="C920" s="713"/>
      <c r="D920" s="199"/>
      <c r="E920" s="199"/>
      <c r="F920" s="712"/>
      <c r="G920" s="714"/>
      <c r="H920" s="712"/>
      <c r="I920" s="199"/>
      <c r="J920" s="711"/>
      <c r="K920" s="711"/>
    </row>
    <row r="921" spans="1:11">
      <c r="A921" s="712"/>
      <c r="B921" s="199"/>
      <c r="C921" s="713"/>
      <c r="D921" s="199"/>
      <c r="E921" s="199"/>
      <c r="F921" s="712"/>
      <c r="G921" s="714"/>
      <c r="H921" s="712"/>
      <c r="I921" s="199"/>
      <c r="J921" s="711"/>
      <c r="K921" s="711"/>
    </row>
    <row r="922" spans="1:11">
      <c r="A922" s="712"/>
      <c r="B922" s="199"/>
      <c r="C922" s="713"/>
      <c r="D922" s="199"/>
      <c r="E922" s="199"/>
      <c r="F922" s="712"/>
      <c r="G922" s="712"/>
      <c r="H922" s="712"/>
      <c r="I922" s="199"/>
      <c r="J922" s="711"/>
      <c r="K922" s="711"/>
    </row>
    <row r="923" spans="1:11">
      <c r="A923" s="712"/>
      <c r="B923" s="199"/>
      <c r="C923" s="713"/>
      <c r="D923" s="199"/>
      <c r="E923" s="199"/>
      <c r="F923" s="712"/>
      <c r="G923" s="712"/>
      <c r="H923" s="712"/>
      <c r="I923" s="199"/>
      <c r="J923" s="711"/>
      <c r="K923" s="711"/>
    </row>
    <row r="924" spans="1:11">
      <c r="A924" s="712"/>
      <c r="B924" s="199"/>
      <c r="C924" s="713"/>
      <c r="D924" s="199"/>
      <c r="E924" s="199"/>
      <c r="F924" s="712"/>
      <c r="G924" s="712"/>
      <c r="H924" s="712"/>
      <c r="I924" s="199"/>
      <c r="J924" s="711"/>
      <c r="K924" s="711"/>
    </row>
    <row r="925" spans="1:11">
      <c r="A925" s="712"/>
      <c r="B925" s="199"/>
      <c r="C925" s="713"/>
      <c r="D925" s="199"/>
      <c r="E925" s="199"/>
      <c r="F925" s="712"/>
      <c r="G925" s="712"/>
      <c r="H925" s="712"/>
      <c r="I925" s="199"/>
      <c r="J925" s="711"/>
      <c r="K925" s="711"/>
    </row>
    <row r="926" spans="1:11">
      <c r="A926" s="712"/>
      <c r="B926" s="199"/>
      <c r="C926" s="713"/>
      <c r="D926" s="199"/>
      <c r="E926" s="199"/>
      <c r="F926" s="712"/>
      <c r="G926" s="712"/>
      <c r="H926" s="712"/>
      <c r="I926" s="199"/>
      <c r="J926" s="711"/>
      <c r="K926" s="711"/>
    </row>
    <row r="927" spans="1:11">
      <c r="A927" s="712"/>
      <c r="B927" s="199"/>
      <c r="C927" s="713"/>
      <c r="D927" s="199"/>
      <c r="E927" s="199"/>
      <c r="F927" s="712"/>
      <c r="G927" s="712"/>
      <c r="H927" s="712"/>
      <c r="I927" s="199"/>
      <c r="J927" s="711"/>
      <c r="K927" s="711"/>
    </row>
    <row r="928" spans="1:11">
      <c r="A928" s="712"/>
      <c r="B928" s="199"/>
      <c r="C928" s="713"/>
      <c r="D928" s="199"/>
      <c r="E928" s="199"/>
      <c r="F928" s="712"/>
      <c r="G928" s="712"/>
      <c r="H928" s="712"/>
      <c r="I928" s="199"/>
      <c r="J928" s="711"/>
      <c r="K928" s="711"/>
    </row>
    <row r="929" spans="1:11">
      <c r="A929" s="712"/>
      <c r="B929" s="199"/>
      <c r="C929" s="713"/>
      <c r="D929" s="199"/>
      <c r="E929" s="199"/>
      <c r="F929" s="712"/>
      <c r="G929" s="712"/>
      <c r="H929" s="712"/>
      <c r="I929" s="199"/>
      <c r="J929" s="711"/>
      <c r="K929" s="711"/>
    </row>
    <row r="930" spans="1:11">
      <c r="A930" s="712"/>
      <c r="B930" s="199"/>
      <c r="C930" s="713"/>
      <c r="D930" s="199"/>
      <c r="E930" s="199"/>
      <c r="F930" s="712"/>
      <c r="G930" s="712"/>
      <c r="H930" s="712"/>
      <c r="I930" s="199"/>
      <c r="J930" s="711"/>
      <c r="K930" s="711"/>
    </row>
    <row r="931" spans="1:11">
      <c r="A931" s="712"/>
      <c r="B931" s="199"/>
      <c r="C931" s="713"/>
      <c r="D931" s="199"/>
      <c r="E931" s="199"/>
      <c r="F931" s="712"/>
      <c r="G931" s="712"/>
      <c r="H931" s="712"/>
      <c r="I931" s="199"/>
      <c r="J931" s="711"/>
      <c r="K931" s="711"/>
    </row>
    <row r="932" spans="1:11">
      <c r="A932" s="712"/>
      <c r="B932" s="199"/>
      <c r="C932" s="713"/>
      <c r="D932" s="199"/>
      <c r="E932" s="199"/>
      <c r="F932" s="712"/>
      <c r="G932" s="712"/>
      <c r="H932" s="712"/>
      <c r="I932" s="199"/>
      <c r="J932" s="711"/>
      <c r="K932" s="711"/>
    </row>
    <row r="933" spans="1:11">
      <c r="A933" s="712"/>
      <c r="B933" s="199"/>
      <c r="C933" s="713"/>
      <c r="D933" s="199"/>
      <c r="E933" s="199"/>
      <c r="F933" s="712"/>
      <c r="G933" s="712"/>
      <c r="H933" s="712"/>
      <c r="I933" s="199"/>
      <c r="J933" s="711"/>
      <c r="K933" s="711"/>
    </row>
    <row r="934" spans="1:11">
      <c r="A934" s="712"/>
      <c r="B934" s="199"/>
      <c r="C934" s="713"/>
      <c r="D934" s="199"/>
      <c r="E934" s="199"/>
      <c r="F934" s="712"/>
      <c r="G934" s="712"/>
      <c r="H934" s="712"/>
      <c r="I934" s="199"/>
      <c r="J934" s="711"/>
      <c r="K934" s="711"/>
    </row>
    <row r="935" spans="1:11">
      <c r="A935" s="712"/>
      <c r="B935" s="199"/>
      <c r="C935" s="713"/>
      <c r="D935" s="199"/>
      <c r="E935" s="199"/>
      <c r="F935" s="712"/>
      <c r="G935" s="714"/>
      <c r="H935" s="712"/>
      <c r="I935" s="199"/>
      <c r="J935" s="711"/>
      <c r="K935" s="711"/>
    </row>
    <row r="936" spans="1:11">
      <c r="A936" s="712"/>
      <c r="B936" s="199"/>
      <c r="C936" s="713"/>
      <c r="D936" s="199"/>
      <c r="E936" s="199"/>
      <c r="F936" s="712"/>
      <c r="G936" s="712"/>
      <c r="H936" s="712"/>
      <c r="I936" s="199"/>
      <c r="J936" s="711"/>
      <c r="K936" s="711"/>
    </row>
    <row r="937" spans="1:11">
      <c r="A937" s="712"/>
      <c r="B937" s="199"/>
      <c r="C937" s="713"/>
      <c r="D937" s="199"/>
      <c r="E937" s="199"/>
      <c r="F937" s="712"/>
      <c r="G937" s="712"/>
      <c r="H937" s="712"/>
      <c r="I937" s="199"/>
      <c r="J937" s="711"/>
      <c r="K937" s="711"/>
    </row>
    <row r="938" spans="1:11">
      <c r="A938" s="712"/>
      <c r="B938" s="199"/>
      <c r="C938" s="713"/>
      <c r="D938" s="199"/>
      <c r="E938" s="199"/>
      <c r="F938" s="712"/>
      <c r="G938" s="712"/>
      <c r="H938" s="712"/>
      <c r="I938" s="199"/>
      <c r="J938" s="711"/>
      <c r="K938" s="711"/>
    </row>
    <row r="939" spans="1:11">
      <c r="A939" s="712"/>
      <c r="B939" s="199"/>
      <c r="C939" s="713"/>
      <c r="D939" s="199"/>
      <c r="E939" s="199"/>
      <c r="F939" s="712"/>
      <c r="G939" s="712"/>
      <c r="H939" s="712"/>
      <c r="I939" s="199"/>
      <c r="J939" s="711"/>
      <c r="K939" s="711"/>
    </row>
    <row r="940" spans="1:11">
      <c r="A940" s="712"/>
      <c r="B940" s="199"/>
      <c r="C940" s="713"/>
      <c r="D940" s="199"/>
      <c r="E940" s="199"/>
      <c r="F940" s="712"/>
      <c r="G940" s="712"/>
      <c r="H940" s="712"/>
      <c r="I940" s="199"/>
      <c r="J940" s="711"/>
      <c r="K940" s="711"/>
    </row>
    <row r="941" spans="1:11">
      <c r="A941" s="712"/>
      <c r="B941" s="199"/>
      <c r="C941" s="713"/>
      <c r="D941" s="199"/>
      <c r="E941" s="199"/>
      <c r="F941" s="712"/>
      <c r="G941" s="714"/>
      <c r="H941" s="712"/>
      <c r="I941" s="199"/>
      <c r="J941" s="711"/>
      <c r="K941" s="711"/>
    </row>
    <row r="942" spans="1:11">
      <c r="A942" s="712"/>
      <c r="B942" s="199"/>
      <c r="C942" s="713"/>
      <c r="D942" s="199"/>
      <c r="E942" s="199"/>
      <c r="F942" s="712"/>
      <c r="G942" s="712"/>
      <c r="H942" s="712"/>
      <c r="I942" s="199"/>
      <c r="J942" s="711"/>
      <c r="K942" s="711"/>
    </row>
    <row r="943" spans="1:11">
      <c r="A943" s="712"/>
      <c r="B943" s="199"/>
      <c r="C943" s="713"/>
      <c r="D943" s="199"/>
      <c r="E943" s="199"/>
      <c r="F943" s="712"/>
      <c r="G943" s="712"/>
      <c r="H943" s="712"/>
      <c r="I943" s="199"/>
      <c r="J943" s="711"/>
      <c r="K943" s="711"/>
    </row>
    <row r="944" spans="1:11">
      <c r="A944" s="712"/>
      <c r="B944" s="199"/>
      <c r="C944" s="713"/>
      <c r="D944" s="199"/>
      <c r="E944" s="199"/>
      <c r="F944" s="712"/>
      <c r="G944" s="712"/>
      <c r="H944" s="712"/>
      <c r="I944" s="199"/>
      <c r="J944" s="711"/>
      <c r="K944" s="711"/>
    </row>
    <row r="945" spans="1:11">
      <c r="A945" s="712"/>
      <c r="B945" s="199"/>
      <c r="C945" s="713"/>
      <c r="D945" s="199"/>
      <c r="E945" s="199"/>
      <c r="F945" s="712"/>
      <c r="G945" s="712"/>
      <c r="H945" s="712"/>
      <c r="I945" s="199"/>
      <c r="J945" s="711"/>
      <c r="K945" s="711"/>
    </row>
    <row r="946" spans="1:11">
      <c r="A946" s="712"/>
      <c r="B946" s="199"/>
      <c r="C946" s="713"/>
      <c r="D946" s="199"/>
      <c r="E946" s="199"/>
      <c r="F946" s="712"/>
      <c r="G946" s="712"/>
      <c r="H946" s="712"/>
      <c r="I946" s="199"/>
      <c r="J946" s="711"/>
      <c r="K946" s="711"/>
    </row>
    <row r="947" spans="1:11">
      <c r="A947" s="712"/>
      <c r="B947" s="199"/>
      <c r="C947" s="713"/>
      <c r="D947" s="199"/>
      <c r="E947" s="199"/>
      <c r="F947" s="712"/>
      <c r="G947" s="712"/>
      <c r="H947" s="712"/>
      <c r="I947" s="199"/>
      <c r="J947" s="711"/>
      <c r="K947" s="711"/>
    </row>
    <row r="948" spans="1:11">
      <c r="A948" s="712"/>
      <c r="B948" s="199"/>
      <c r="C948" s="713"/>
      <c r="D948" s="199"/>
      <c r="E948" s="199"/>
      <c r="F948" s="712"/>
      <c r="G948" s="712"/>
      <c r="H948" s="712"/>
      <c r="I948" s="199"/>
      <c r="J948" s="711"/>
      <c r="K948" s="711"/>
    </row>
    <row r="949" spans="1:11">
      <c r="A949" s="712"/>
      <c r="B949" s="199"/>
      <c r="C949" s="713"/>
      <c r="D949" s="199"/>
      <c r="E949" s="199"/>
      <c r="F949" s="712"/>
      <c r="G949" s="714"/>
      <c r="H949" s="712"/>
      <c r="I949" s="199"/>
      <c r="J949" s="711"/>
      <c r="K949" s="711"/>
    </row>
    <row r="950" spans="1:11">
      <c r="A950" s="712"/>
      <c r="B950" s="199"/>
      <c r="C950" s="713"/>
      <c r="D950" s="199"/>
      <c r="E950" s="199"/>
      <c r="F950" s="712"/>
      <c r="G950" s="712"/>
      <c r="H950" s="712"/>
      <c r="I950" s="199"/>
      <c r="J950" s="711"/>
      <c r="K950" s="711"/>
    </row>
    <row r="951" spans="1:11">
      <c r="A951" s="712"/>
      <c r="B951" s="199"/>
      <c r="C951" s="713"/>
      <c r="D951" s="199"/>
      <c r="E951" s="199"/>
      <c r="F951" s="712"/>
      <c r="G951" s="712"/>
      <c r="H951" s="712"/>
      <c r="I951" s="199"/>
      <c r="J951" s="711"/>
      <c r="K951" s="711"/>
    </row>
    <row r="952" spans="1:11">
      <c r="A952" s="712"/>
      <c r="B952" s="199"/>
      <c r="C952" s="713"/>
      <c r="D952" s="199"/>
      <c r="E952" s="199"/>
      <c r="F952" s="712"/>
      <c r="G952" s="712"/>
      <c r="H952" s="712"/>
      <c r="I952" s="199"/>
      <c r="J952" s="711"/>
      <c r="K952" s="711"/>
    </row>
    <row r="953" spans="1:11">
      <c r="A953" s="712"/>
      <c r="B953" s="199"/>
      <c r="C953" s="713"/>
      <c r="D953" s="199"/>
      <c r="E953" s="199"/>
      <c r="F953" s="712"/>
      <c r="G953" s="712"/>
      <c r="H953" s="712"/>
      <c r="I953" s="199"/>
      <c r="J953" s="711"/>
      <c r="K953" s="711"/>
    </row>
    <row r="954" spans="1:11">
      <c r="A954" s="712"/>
      <c r="B954" s="199"/>
      <c r="C954" s="713"/>
      <c r="D954" s="199"/>
      <c r="E954" s="199"/>
      <c r="F954" s="712"/>
      <c r="G954" s="712"/>
      <c r="H954" s="712"/>
      <c r="I954" s="199"/>
      <c r="J954" s="711"/>
      <c r="K954" s="711"/>
    </row>
    <row r="955" spans="1:11">
      <c r="A955" s="712"/>
      <c r="B955" s="199"/>
      <c r="C955" s="713"/>
      <c r="D955" s="199"/>
      <c r="E955" s="199"/>
      <c r="F955" s="712"/>
      <c r="G955" s="714"/>
      <c r="H955" s="712"/>
      <c r="I955" s="199"/>
      <c r="J955" s="711"/>
      <c r="K955" s="711"/>
    </row>
    <row r="956" spans="1:11">
      <c r="A956" s="712"/>
      <c r="B956" s="199"/>
      <c r="C956" s="713"/>
      <c r="D956" s="199"/>
      <c r="E956" s="199"/>
      <c r="F956" s="712"/>
      <c r="G956" s="712"/>
      <c r="H956" s="712"/>
      <c r="I956" s="199"/>
      <c r="J956" s="711"/>
      <c r="K956" s="711"/>
    </row>
    <row r="957" spans="1:11">
      <c r="A957" s="712"/>
      <c r="B957" s="199"/>
      <c r="C957" s="713"/>
      <c r="D957" s="199"/>
      <c r="E957" s="199"/>
      <c r="F957" s="712"/>
      <c r="G957" s="712"/>
      <c r="H957" s="712"/>
      <c r="I957" s="199"/>
      <c r="J957" s="711"/>
      <c r="K957" s="711"/>
    </row>
    <row r="958" spans="1:11">
      <c r="A958" s="712"/>
      <c r="B958" s="199"/>
      <c r="C958" s="713"/>
      <c r="D958" s="199"/>
      <c r="E958" s="199"/>
      <c r="F958" s="712"/>
      <c r="G958" s="712"/>
      <c r="H958" s="712"/>
      <c r="I958" s="199"/>
      <c r="J958" s="711"/>
      <c r="K958" s="711"/>
    </row>
    <row r="959" spans="1:11">
      <c r="A959" s="712"/>
      <c r="B959" s="199"/>
      <c r="C959" s="713"/>
      <c r="D959" s="199"/>
      <c r="E959" s="199"/>
      <c r="F959" s="712"/>
      <c r="G959" s="712"/>
      <c r="H959" s="712"/>
      <c r="I959" s="199"/>
      <c r="J959" s="711"/>
      <c r="K959" s="711"/>
    </row>
    <row r="960" spans="1:11">
      <c r="A960" s="712"/>
      <c r="B960" s="199"/>
      <c r="C960" s="713"/>
      <c r="D960" s="199"/>
      <c r="E960" s="199"/>
      <c r="F960" s="712"/>
      <c r="G960" s="712"/>
      <c r="H960" s="712"/>
      <c r="I960" s="199"/>
      <c r="J960" s="711"/>
      <c r="K960" s="711"/>
    </row>
    <row r="961" spans="1:11">
      <c r="A961" s="712"/>
      <c r="B961" s="199"/>
      <c r="C961" s="713"/>
      <c r="D961" s="199"/>
      <c r="E961" s="199"/>
      <c r="F961" s="712"/>
      <c r="G961" s="712"/>
      <c r="H961" s="712"/>
      <c r="I961" s="199"/>
      <c r="J961" s="711"/>
      <c r="K961" s="711"/>
    </row>
    <row r="962" spans="1:11">
      <c r="A962" s="712"/>
      <c r="B962" s="199"/>
      <c r="C962" s="713"/>
      <c r="D962" s="199"/>
      <c r="E962" s="199"/>
      <c r="F962" s="712"/>
      <c r="G962" s="712"/>
      <c r="H962" s="712"/>
      <c r="I962" s="199"/>
      <c r="J962" s="711"/>
      <c r="K962" s="711"/>
    </row>
    <row r="963" spans="1:11">
      <c r="A963" s="712"/>
      <c r="B963" s="199"/>
      <c r="C963" s="713"/>
      <c r="D963" s="199"/>
      <c r="E963" s="199"/>
      <c r="F963" s="712"/>
      <c r="G963" s="714"/>
      <c r="H963" s="712"/>
      <c r="I963" s="199"/>
      <c r="J963" s="711"/>
      <c r="K963" s="711"/>
    </row>
    <row r="964" spans="1:11">
      <c r="A964" s="712"/>
      <c r="B964" s="199"/>
      <c r="C964" s="713"/>
      <c r="D964" s="199"/>
      <c r="E964" s="199"/>
      <c r="F964" s="712"/>
      <c r="G964" s="712"/>
      <c r="H964" s="712"/>
      <c r="I964" s="199"/>
      <c r="J964" s="711"/>
      <c r="K964" s="711"/>
    </row>
    <row r="965" spans="1:11">
      <c r="A965" s="712"/>
      <c r="B965" s="199"/>
      <c r="C965" s="713"/>
      <c r="D965" s="199"/>
      <c r="E965" s="199"/>
      <c r="F965" s="712"/>
      <c r="G965" s="712"/>
      <c r="H965" s="712"/>
      <c r="I965" s="199"/>
      <c r="J965" s="711"/>
      <c r="K965" s="711"/>
    </row>
    <row r="966" spans="1:11">
      <c r="A966" s="712"/>
      <c r="B966" s="199"/>
      <c r="C966" s="713"/>
      <c r="D966" s="199"/>
      <c r="E966" s="199"/>
      <c r="F966" s="712"/>
      <c r="G966" s="712"/>
      <c r="H966" s="712"/>
      <c r="I966" s="199"/>
      <c r="J966" s="711"/>
      <c r="K966" s="711"/>
    </row>
    <row r="967" spans="1:11">
      <c r="A967" s="712"/>
      <c r="B967" s="199"/>
      <c r="C967" s="713"/>
      <c r="D967" s="199"/>
      <c r="E967" s="199"/>
      <c r="F967" s="712"/>
      <c r="G967" s="714"/>
      <c r="H967" s="712"/>
      <c r="I967" s="199"/>
      <c r="J967" s="711"/>
      <c r="K967" s="711"/>
    </row>
    <row r="968" spans="1:11">
      <c r="A968" s="712"/>
      <c r="B968" s="199"/>
      <c r="C968" s="713"/>
      <c r="D968" s="199"/>
      <c r="E968" s="199"/>
      <c r="F968" s="712"/>
      <c r="G968" s="714"/>
      <c r="H968" s="712"/>
      <c r="I968" s="199"/>
      <c r="J968" s="711"/>
      <c r="K968" s="711"/>
    </row>
    <row r="969" spans="1:11">
      <c r="A969" s="712"/>
      <c r="B969" s="199"/>
      <c r="C969" s="713"/>
      <c r="D969" s="199"/>
      <c r="E969" s="199"/>
      <c r="F969" s="712"/>
      <c r="G969" s="712"/>
      <c r="H969" s="712"/>
      <c r="I969" s="199"/>
      <c r="J969" s="711"/>
      <c r="K969" s="711"/>
    </row>
    <row r="970" spans="1:11">
      <c r="A970" s="712"/>
      <c r="B970" s="199"/>
      <c r="C970" s="713"/>
      <c r="D970" s="199"/>
      <c r="E970" s="199"/>
      <c r="F970" s="712"/>
      <c r="G970" s="712"/>
      <c r="H970" s="712"/>
      <c r="I970" s="199"/>
      <c r="J970" s="711"/>
      <c r="K970" s="711"/>
    </row>
    <row r="971" spans="1:11">
      <c r="A971" s="712"/>
      <c r="B971" s="199"/>
      <c r="C971" s="713"/>
      <c r="D971" s="199"/>
      <c r="E971" s="199"/>
      <c r="F971" s="712"/>
      <c r="G971" s="712"/>
      <c r="H971" s="712"/>
      <c r="I971" s="199"/>
      <c r="J971" s="711"/>
      <c r="K971" s="711"/>
    </row>
    <row r="972" spans="1:11">
      <c r="A972" s="712"/>
      <c r="B972" s="199"/>
      <c r="C972" s="713"/>
      <c r="D972" s="199"/>
      <c r="E972" s="199"/>
      <c r="F972" s="712"/>
      <c r="G972" s="712"/>
      <c r="H972" s="712"/>
      <c r="I972" s="199"/>
      <c r="J972" s="711"/>
      <c r="K972" s="711"/>
    </row>
    <row r="973" spans="1:11">
      <c r="A973" s="712"/>
      <c r="B973" s="199"/>
      <c r="C973" s="713"/>
      <c r="D973" s="199"/>
      <c r="E973" s="199"/>
      <c r="F973" s="712"/>
      <c r="G973" s="712"/>
      <c r="H973" s="712"/>
      <c r="I973" s="199"/>
      <c r="J973" s="711"/>
      <c r="K973" s="711"/>
    </row>
    <row r="974" spans="1:11">
      <c r="A974" s="712"/>
      <c r="B974" s="199"/>
      <c r="C974" s="713"/>
      <c r="D974" s="199"/>
      <c r="E974" s="199"/>
      <c r="F974" s="712"/>
      <c r="G974" s="714"/>
      <c r="H974" s="712"/>
      <c r="I974" s="199"/>
      <c r="J974" s="711"/>
      <c r="K974" s="711"/>
    </row>
    <row r="975" spans="1:11">
      <c r="A975" s="712"/>
      <c r="B975" s="199"/>
      <c r="C975" s="713"/>
      <c r="D975" s="199"/>
      <c r="E975" s="199"/>
      <c r="F975" s="712"/>
      <c r="G975" s="712"/>
      <c r="H975" s="712"/>
      <c r="I975" s="199"/>
      <c r="J975" s="711"/>
      <c r="K975" s="711"/>
    </row>
    <row r="976" spans="1:11">
      <c r="A976" s="712"/>
      <c r="B976" s="199"/>
      <c r="C976" s="713"/>
      <c r="D976" s="199"/>
      <c r="E976" s="199"/>
      <c r="F976" s="712"/>
      <c r="G976" s="712"/>
      <c r="H976" s="712"/>
      <c r="I976" s="199"/>
      <c r="J976" s="711"/>
      <c r="K976" s="711"/>
    </row>
    <row r="977" spans="1:11">
      <c r="A977" s="712"/>
      <c r="B977" s="199"/>
      <c r="C977" s="713"/>
      <c r="D977" s="199"/>
      <c r="E977" s="199"/>
      <c r="F977" s="712"/>
      <c r="G977" s="712"/>
      <c r="H977" s="712"/>
      <c r="I977" s="199"/>
      <c r="J977" s="711"/>
      <c r="K977" s="711"/>
    </row>
    <row r="978" spans="1:11">
      <c r="A978" s="712"/>
      <c r="B978" s="199"/>
      <c r="C978" s="713"/>
      <c r="D978" s="199"/>
      <c r="E978" s="199"/>
      <c r="F978" s="712"/>
      <c r="G978" s="712"/>
      <c r="H978" s="712"/>
      <c r="I978" s="199"/>
      <c r="J978" s="711"/>
      <c r="K978" s="711"/>
    </row>
    <row r="979" spans="1:11">
      <c r="A979" s="712"/>
      <c r="B979" s="199"/>
      <c r="C979" s="713"/>
      <c r="D979" s="199"/>
      <c r="E979" s="199"/>
      <c r="F979" s="712"/>
      <c r="G979" s="714"/>
      <c r="H979" s="712"/>
      <c r="I979" s="199"/>
      <c r="J979" s="711"/>
      <c r="K979" s="711"/>
    </row>
    <row r="980" spans="1:11">
      <c r="A980" s="712"/>
      <c r="B980" s="199"/>
      <c r="C980" s="713"/>
      <c r="D980" s="199"/>
      <c r="E980" s="199"/>
      <c r="F980" s="712"/>
      <c r="G980" s="712"/>
      <c r="H980" s="712"/>
      <c r="I980" s="199"/>
      <c r="J980" s="711"/>
      <c r="K980" s="711"/>
    </row>
    <row r="981" spans="1:11">
      <c r="A981" s="712"/>
      <c r="B981" s="199"/>
      <c r="C981" s="713"/>
      <c r="D981" s="199"/>
      <c r="E981" s="199"/>
      <c r="F981" s="712"/>
      <c r="G981" s="714"/>
      <c r="H981" s="712"/>
      <c r="I981" s="199"/>
      <c r="J981" s="711"/>
      <c r="K981" s="711"/>
    </row>
    <row r="982" spans="1:11">
      <c r="A982" s="712"/>
      <c r="B982" s="199"/>
      <c r="C982" s="713"/>
      <c r="D982" s="199"/>
      <c r="E982" s="199"/>
      <c r="F982" s="712"/>
      <c r="G982" s="712"/>
      <c r="H982" s="712"/>
      <c r="I982" s="199"/>
      <c r="J982" s="711"/>
      <c r="K982" s="711"/>
    </row>
    <row r="983" spans="1:11">
      <c r="A983" s="712"/>
      <c r="B983" s="199"/>
      <c r="C983" s="713"/>
      <c r="D983" s="199"/>
      <c r="E983" s="199"/>
      <c r="F983" s="712"/>
      <c r="G983" s="714"/>
      <c r="H983" s="712"/>
      <c r="I983" s="199"/>
      <c r="J983" s="711"/>
      <c r="K983" s="711"/>
    </row>
    <row r="984" spans="1:11">
      <c r="A984" s="712"/>
      <c r="B984" s="199"/>
      <c r="C984" s="713"/>
      <c r="D984" s="199"/>
      <c r="E984" s="199"/>
      <c r="F984" s="712"/>
      <c r="G984" s="712"/>
      <c r="H984" s="712"/>
      <c r="I984" s="199"/>
      <c r="J984" s="711"/>
      <c r="K984" s="711"/>
    </row>
    <row r="985" spans="1:11">
      <c r="A985" s="712"/>
      <c r="B985" s="199"/>
      <c r="C985" s="713"/>
      <c r="D985" s="199"/>
      <c r="E985" s="199"/>
      <c r="F985" s="712"/>
      <c r="G985" s="712"/>
      <c r="H985" s="712"/>
      <c r="I985" s="199"/>
      <c r="J985" s="711"/>
      <c r="K985" s="711"/>
    </row>
    <row r="986" spans="1:11">
      <c r="A986" s="712"/>
      <c r="B986" s="199"/>
      <c r="C986" s="713"/>
      <c r="D986" s="199"/>
      <c r="E986" s="199"/>
      <c r="F986" s="712"/>
      <c r="G986" s="712"/>
      <c r="H986" s="712"/>
      <c r="I986" s="199"/>
      <c r="J986" s="711"/>
      <c r="K986" s="711"/>
    </row>
    <row r="987" spans="1:11">
      <c r="A987" s="712"/>
      <c r="B987" s="199"/>
      <c r="C987" s="713"/>
      <c r="D987" s="199"/>
      <c r="E987" s="199"/>
      <c r="F987" s="712"/>
      <c r="G987" s="712"/>
      <c r="H987" s="712"/>
      <c r="I987" s="199"/>
      <c r="J987" s="711"/>
      <c r="K987" s="711"/>
    </row>
    <row r="988" spans="1:11">
      <c r="A988" s="712"/>
      <c r="B988" s="199"/>
      <c r="C988" s="713"/>
      <c r="D988" s="199"/>
      <c r="E988" s="199"/>
      <c r="F988" s="712"/>
      <c r="G988" s="714"/>
      <c r="H988" s="712"/>
      <c r="I988" s="199"/>
      <c r="J988" s="711"/>
      <c r="K988" s="711"/>
    </row>
    <row r="989" spans="1:11">
      <c r="A989" s="712"/>
      <c r="B989" s="199"/>
      <c r="C989" s="713"/>
      <c r="D989" s="199"/>
      <c r="E989" s="199"/>
      <c r="F989" s="712"/>
      <c r="G989" s="714"/>
      <c r="H989" s="712"/>
      <c r="I989" s="199"/>
      <c r="J989" s="711"/>
      <c r="K989" s="711"/>
    </row>
    <row r="990" spans="1:11">
      <c r="A990" s="712"/>
      <c r="B990" s="199"/>
      <c r="C990" s="713"/>
      <c r="D990" s="199"/>
      <c r="E990" s="199"/>
      <c r="F990" s="712"/>
      <c r="G990" s="712"/>
      <c r="H990" s="712"/>
      <c r="I990" s="199"/>
      <c r="J990" s="711"/>
      <c r="K990" s="711"/>
    </row>
    <row r="991" spans="1:11">
      <c r="A991" s="712"/>
      <c r="B991" s="199"/>
      <c r="C991" s="713"/>
      <c r="D991" s="199"/>
      <c r="E991" s="199"/>
      <c r="F991" s="712"/>
      <c r="G991" s="712"/>
      <c r="H991" s="712"/>
      <c r="I991" s="199"/>
      <c r="J991" s="711"/>
      <c r="K991" s="711"/>
    </row>
    <row r="992" spans="1:11">
      <c r="A992" s="712"/>
      <c r="B992" s="199"/>
      <c r="C992" s="713"/>
      <c r="D992" s="199"/>
      <c r="E992" s="199"/>
      <c r="F992" s="712"/>
      <c r="G992" s="714"/>
      <c r="H992" s="712"/>
      <c r="I992" s="199"/>
      <c r="J992" s="711"/>
      <c r="K992" s="711"/>
    </row>
    <row r="993" spans="1:11">
      <c r="A993" s="712"/>
      <c r="B993" s="199"/>
      <c r="C993" s="713"/>
      <c r="D993" s="199"/>
      <c r="E993" s="199"/>
      <c r="F993" s="712"/>
      <c r="G993" s="712"/>
      <c r="H993" s="712"/>
      <c r="I993" s="199"/>
      <c r="J993" s="711"/>
      <c r="K993" s="711"/>
    </row>
    <row r="994" spans="1:11">
      <c r="A994" s="712"/>
      <c r="B994" s="199"/>
      <c r="C994" s="713"/>
      <c r="D994" s="199"/>
      <c r="E994" s="199"/>
      <c r="F994" s="712"/>
      <c r="G994" s="712"/>
      <c r="H994" s="712"/>
      <c r="I994" s="199"/>
      <c r="J994" s="711"/>
      <c r="K994" s="711"/>
    </row>
    <row r="995" spans="1:11">
      <c r="A995" s="712"/>
      <c r="B995" s="199"/>
      <c r="C995" s="713"/>
      <c r="D995" s="199"/>
      <c r="E995" s="199"/>
      <c r="F995" s="712"/>
      <c r="G995" s="712"/>
      <c r="H995" s="712"/>
      <c r="I995" s="199"/>
      <c r="J995" s="711"/>
      <c r="K995" s="711"/>
    </row>
    <row r="996" spans="1:11">
      <c r="A996" s="712"/>
      <c r="B996" s="199"/>
      <c r="C996" s="713"/>
      <c r="D996" s="199"/>
      <c r="E996" s="199"/>
      <c r="F996" s="712"/>
      <c r="G996" s="714"/>
      <c r="H996" s="712"/>
      <c r="I996" s="199"/>
      <c r="J996" s="711"/>
      <c r="K996" s="711"/>
    </row>
    <row r="997" spans="1:11">
      <c r="A997" s="712"/>
      <c r="B997" s="199"/>
      <c r="C997" s="713"/>
      <c r="D997" s="199"/>
      <c r="E997" s="199"/>
      <c r="F997" s="712"/>
      <c r="G997" s="712"/>
      <c r="H997" s="712"/>
      <c r="I997" s="199"/>
      <c r="J997" s="711"/>
      <c r="K997" s="711"/>
    </row>
    <row r="998" spans="1:11">
      <c r="A998" s="712"/>
      <c r="B998" s="199"/>
      <c r="C998" s="713"/>
      <c r="D998" s="199"/>
      <c r="E998" s="199"/>
      <c r="F998" s="712"/>
      <c r="G998" s="712"/>
      <c r="H998" s="712"/>
      <c r="I998" s="199"/>
      <c r="J998" s="711"/>
      <c r="K998" s="711"/>
    </row>
    <row r="999" spans="1:11">
      <c r="A999" s="712"/>
      <c r="B999" s="199"/>
      <c r="C999" s="713"/>
      <c r="D999" s="199"/>
      <c r="E999" s="199"/>
      <c r="F999" s="712"/>
      <c r="G999" s="714"/>
      <c r="H999" s="712"/>
      <c r="I999" s="199"/>
      <c r="J999" s="711"/>
      <c r="K999" s="711"/>
    </row>
    <row r="1000" spans="1:11">
      <c r="A1000" s="712"/>
      <c r="B1000" s="199"/>
      <c r="C1000" s="713"/>
      <c r="D1000" s="199"/>
      <c r="E1000" s="199"/>
      <c r="F1000" s="712"/>
      <c r="G1000" s="712"/>
      <c r="H1000" s="712"/>
      <c r="I1000" s="199"/>
      <c r="J1000" s="711"/>
      <c r="K1000" s="711"/>
    </row>
    <row r="1001" spans="1:11">
      <c r="A1001" s="712"/>
      <c r="B1001" s="199"/>
      <c r="C1001" s="713"/>
      <c r="D1001" s="199"/>
      <c r="E1001" s="199"/>
      <c r="F1001" s="712"/>
      <c r="G1001" s="712"/>
      <c r="H1001" s="712"/>
      <c r="I1001" s="199"/>
      <c r="J1001" s="711"/>
      <c r="K1001" s="711"/>
    </row>
    <row r="1002" spans="1:11">
      <c r="A1002" s="712"/>
      <c r="B1002" s="199"/>
      <c r="C1002" s="713"/>
      <c r="D1002" s="199"/>
      <c r="E1002" s="199"/>
      <c r="F1002" s="712"/>
      <c r="G1002" s="712"/>
      <c r="H1002" s="712"/>
      <c r="I1002" s="199"/>
      <c r="J1002" s="711"/>
      <c r="K1002" s="711"/>
    </row>
    <row r="1003" spans="1:11">
      <c r="A1003" s="712"/>
      <c r="B1003" s="199"/>
      <c r="C1003" s="713"/>
      <c r="D1003" s="199"/>
      <c r="E1003" s="199"/>
      <c r="F1003" s="712"/>
      <c r="G1003" s="712"/>
      <c r="H1003" s="712"/>
      <c r="I1003" s="199"/>
      <c r="J1003" s="711"/>
      <c r="K1003" s="711"/>
    </row>
    <row r="1004" spans="1:11">
      <c r="A1004" s="712"/>
      <c r="B1004" s="199"/>
      <c r="C1004" s="713"/>
      <c r="D1004" s="199"/>
      <c r="E1004" s="199"/>
      <c r="F1004" s="712"/>
      <c r="G1004" s="712"/>
      <c r="H1004" s="712"/>
      <c r="I1004" s="199"/>
      <c r="J1004" s="711"/>
      <c r="K1004" s="711"/>
    </row>
    <row r="1005" spans="1:11">
      <c r="A1005" s="712"/>
      <c r="B1005" s="199"/>
      <c r="C1005" s="713"/>
      <c r="D1005" s="199"/>
      <c r="E1005" s="199"/>
      <c r="F1005" s="712"/>
      <c r="G1005" s="712"/>
      <c r="H1005" s="712"/>
      <c r="I1005" s="199"/>
      <c r="J1005" s="711"/>
      <c r="K1005" s="711"/>
    </row>
    <row r="1006" spans="1:11">
      <c r="A1006" s="712"/>
      <c r="B1006" s="199"/>
      <c r="C1006" s="713"/>
      <c r="D1006" s="199"/>
      <c r="E1006" s="199"/>
      <c r="F1006" s="712"/>
      <c r="G1006" s="712"/>
      <c r="H1006" s="712"/>
      <c r="I1006" s="199"/>
      <c r="J1006" s="711"/>
      <c r="K1006" s="711"/>
    </row>
    <row r="1007" spans="1:11">
      <c r="A1007" s="712"/>
      <c r="B1007" s="199"/>
      <c r="C1007" s="713"/>
      <c r="D1007" s="199"/>
      <c r="E1007" s="199"/>
      <c r="F1007" s="712"/>
      <c r="G1007" s="714"/>
      <c r="H1007" s="712"/>
      <c r="I1007" s="199"/>
      <c r="J1007" s="711"/>
      <c r="K1007" s="711"/>
    </row>
    <row r="1008" spans="1:11">
      <c r="A1008" s="712"/>
      <c r="B1008" s="199"/>
      <c r="C1008" s="713"/>
      <c r="D1008" s="199"/>
      <c r="E1008" s="199"/>
      <c r="F1008" s="712"/>
      <c r="G1008" s="712"/>
      <c r="H1008" s="712"/>
      <c r="I1008" s="199"/>
      <c r="J1008" s="711"/>
      <c r="K1008" s="711"/>
    </row>
    <row r="1009" spans="1:11">
      <c r="A1009" s="712"/>
      <c r="B1009" s="199"/>
      <c r="C1009" s="713"/>
      <c r="D1009" s="199"/>
      <c r="E1009" s="199"/>
      <c r="F1009" s="712"/>
      <c r="G1009" s="712"/>
      <c r="H1009" s="712"/>
      <c r="I1009" s="199"/>
      <c r="J1009" s="711"/>
      <c r="K1009" s="711"/>
    </row>
    <row r="1010" spans="1:11">
      <c r="A1010" s="712"/>
      <c r="B1010" s="199"/>
      <c r="C1010" s="713"/>
      <c r="D1010" s="199"/>
      <c r="E1010" s="199"/>
      <c r="F1010" s="712"/>
      <c r="G1010" s="712"/>
      <c r="H1010" s="712"/>
      <c r="I1010" s="199"/>
      <c r="J1010" s="711"/>
      <c r="K1010" s="711"/>
    </row>
    <row r="1011" spans="1:11">
      <c r="A1011" s="712"/>
      <c r="B1011" s="199"/>
      <c r="C1011" s="713"/>
      <c r="D1011" s="199"/>
      <c r="E1011" s="199"/>
      <c r="F1011" s="712"/>
      <c r="G1011" s="712"/>
      <c r="H1011" s="712"/>
      <c r="I1011" s="199"/>
      <c r="J1011" s="711"/>
      <c r="K1011" s="711"/>
    </row>
    <row r="1012" spans="1:11">
      <c r="A1012" s="712"/>
      <c r="B1012" s="199"/>
      <c r="C1012" s="713"/>
      <c r="D1012" s="199"/>
      <c r="E1012" s="199"/>
      <c r="F1012" s="712"/>
      <c r="G1012" s="712"/>
      <c r="H1012" s="712"/>
      <c r="I1012" s="199"/>
      <c r="J1012" s="711"/>
      <c r="K1012" s="711"/>
    </row>
    <row r="1013" spans="1:11">
      <c r="A1013" s="712"/>
      <c r="B1013" s="199"/>
      <c r="C1013" s="713"/>
      <c r="D1013" s="199"/>
      <c r="E1013" s="199"/>
      <c r="F1013" s="712"/>
      <c r="G1013" s="714"/>
      <c r="H1013" s="712"/>
      <c r="I1013" s="199"/>
      <c r="J1013" s="711"/>
      <c r="K1013" s="711"/>
    </row>
    <row r="1014" spans="1:11">
      <c r="A1014" s="712"/>
      <c r="B1014" s="199"/>
      <c r="C1014" s="713"/>
      <c r="D1014" s="199"/>
      <c r="E1014" s="199"/>
      <c r="F1014" s="712"/>
      <c r="G1014" s="712"/>
      <c r="H1014" s="712"/>
      <c r="I1014" s="199"/>
      <c r="J1014" s="711"/>
      <c r="K1014" s="711"/>
    </row>
    <row r="1015" spans="1:11">
      <c r="A1015" s="712"/>
      <c r="B1015" s="199"/>
      <c r="C1015" s="713"/>
      <c r="D1015" s="199"/>
      <c r="E1015" s="199"/>
      <c r="F1015" s="712"/>
      <c r="G1015" s="712"/>
      <c r="H1015" s="712"/>
      <c r="I1015" s="199"/>
      <c r="J1015" s="711"/>
      <c r="K1015" s="711"/>
    </row>
    <row r="1016" spans="1:11">
      <c r="A1016" s="712"/>
      <c r="B1016" s="199"/>
      <c r="C1016" s="713"/>
      <c r="D1016" s="199"/>
      <c r="E1016" s="199"/>
      <c r="F1016" s="712"/>
      <c r="G1016" s="712"/>
      <c r="H1016" s="712"/>
      <c r="I1016" s="199"/>
      <c r="J1016" s="711"/>
      <c r="K1016" s="711"/>
    </row>
    <row r="1017" spans="1:11">
      <c r="A1017" s="712"/>
      <c r="B1017" s="199"/>
      <c r="C1017" s="713"/>
      <c r="D1017" s="199"/>
      <c r="E1017" s="199"/>
      <c r="F1017" s="712"/>
      <c r="G1017" s="712"/>
      <c r="H1017" s="712"/>
      <c r="I1017" s="199"/>
      <c r="J1017" s="711"/>
      <c r="K1017" s="711"/>
    </row>
    <row r="1018" spans="1:11">
      <c r="A1018" s="712"/>
      <c r="B1018" s="199"/>
      <c r="C1018" s="713"/>
      <c r="D1018" s="199"/>
      <c r="E1018" s="199"/>
      <c r="F1018" s="712"/>
      <c r="G1018" s="712"/>
      <c r="H1018" s="712"/>
      <c r="I1018" s="199"/>
      <c r="J1018" s="711"/>
      <c r="K1018" s="711"/>
    </row>
    <row r="1019" spans="1:11">
      <c r="A1019" s="712"/>
      <c r="B1019" s="199"/>
      <c r="C1019" s="713"/>
      <c r="D1019" s="199"/>
      <c r="E1019" s="199"/>
      <c r="F1019" s="712"/>
      <c r="G1019" s="712"/>
      <c r="H1019" s="712"/>
      <c r="I1019" s="199"/>
      <c r="J1019" s="711"/>
      <c r="K1019" s="711"/>
    </row>
    <row r="1020" spans="1:11">
      <c r="A1020" s="712"/>
      <c r="B1020" s="199"/>
      <c r="C1020" s="713"/>
      <c r="D1020" s="199"/>
      <c r="E1020" s="199"/>
      <c r="F1020" s="712"/>
      <c r="G1020" s="714"/>
      <c r="H1020" s="712"/>
      <c r="I1020" s="199"/>
      <c r="J1020" s="711"/>
      <c r="K1020" s="711"/>
    </row>
    <row r="1021" spans="1:11">
      <c r="A1021" s="712"/>
      <c r="B1021" s="199"/>
      <c r="C1021" s="713"/>
      <c r="D1021" s="199"/>
      <c r="E1021" s="199"/>
      <c r="F1021" s="712"/>
      <c r="G1021" s="712"/>
      <c r="H1021" s="712"/>
      <c r="I1021" s="199"/>
      <c r="J1021" s="711"/>
      <c r="K1021" s="711"/>
    </row>
    <row r="1022" spans="1:11">
      <c r="A1022" s="712"/>
      <c r="B1022" s="199"/>
      <c r="C1022" s="713"/>
      <c r="D1022" s="199"/>
      <c r="E1022" s="199"/>
      <c r="F1022" s="712"/>
      <c r="G1022" s="714"/>
      <c r="H1022" s="712"/>
      <c r="I1022" s="199"/>
      <c r="J1022" s="711"/>
      <c r="K1022" s="711"/>
    </row>
    <row r="1023" spans="1:11">
      <c r="A1023" s="712"/>
      <c r="B1023" s="199"/>
      <c r="C1023" s="713"/>
      <c r="D1023" s="199"/>
      <c r="E1023" s="199"/>
      <c r="F1023" s="712"/>
      <c r="G1023" s="712"/>
      <c r="H1023" s="712"/>
      <c r="I1023" s="199"/>
      <c r="J1023" s="711"/>
      <c r="K1023" s="711"/>
    </row>
    <row r="1024" spans="1:11">
      <c r="A1024" s="712"/>
      <c r="B1024" s="199"/>
      <c r="C1024" s="713"/>
      <c r="D1024" s="199"/>
      <c r="E1024" s="199"/>
      <c r="F1024" s="712"/>
      <c r="G1024" s="712"/>
      <c r="H1024" s="712"/>
      <c r="I1024" s="199"/>
      <c r="J1024" s="711"/>
      <c r="K1024" s="711"/>
    </row>
    <row r="1025" spans="1:11">
      <c r="A1025" s="712"/>
      <c r="B1025" s="199"/>
      <c r="C1025" s="713"/>
      <c r="D1025" s="199"/>
      <c r="E1025" s="199"/>
      <c r="F1025" s="712"/>
      <c r="G1025" s="714"/>
      <c r="H1025" s="712"/>
      <c r="I1025" s="199"/>
      <c r="J1025" s="711"/>
      <c r="K1025" s="711"/>
    </row>
    <row r="1026" spans="1:11">
      <c r="A1026" s="712"/>
      <c r="B1026" s="199"/>
      <c r="C1026" s="713"/>
      <c r="D1026" s="199"/>
      <c r="E1026" s="199"/>
      <c r="F1026" s="712"/>
      <c r="G1026" s="714"/>
      <c r="H1026" s="712"/>
      <c r="I1026" s="199"/>
      <c r="J1026" s="711"/>
      <c r="K1026" s="711"/>
    </row>
    <row r="1027" spans="1:11">
      <c r="A1027" s="712"/>
      <c r="B1027" s="199"/>
      <c r="C1027" s="713"/>
      <c r="D1027" s="199"/>
      <c r="E1027" s="199"/>
      <c r="F1027" s="712"/>
      <c r="G1027" s="712"/>
      <c r="H1027" s="712"/>
      <c r="I1027" s="199"/>
      <c r="J1027" s="711"/>
      <c r="K1027" s="711"/>
    </row>
    <row r="1028" spans="1:11">
      <c r="A1028" s="712"/>
      <c r="B1028" s="199"/>
      <c r="C1028" s="713"/>
      <c r="D1028" s="199"/>
      <c r="E1028" s="199"/>
      <c r="F1028" s="712"/>
      <c r="G1028" s="712"/>
      <c r="H1028" s="712"/>
      <c r="I1028" s="199"/>
      <c r="J1028" s="711"/>
      <c r="K1028" s="711"/>
    </row>
    <row r="1029" spans="1:11">
      <c r="A1029" s="712"/>
      <c r="B1029" s="199"/>
      <c r="C1029" s="713"/>
      <c r="D1029" s="199"/>
      <c r="E1029" s="199"/>
      <c r="F1029" s="712"/>
      <c r="G1029" s="712"/>
      <c r="H1029" s="712"/>
      <c r="I1029" s="199"/>
      <c r="J1029" s="711"/>
      <c r="K1029" s="711"/>
    </row>
    <row r="1030" spans="1:11">
      <c r="A1030" s="712"/>
      <c r="B1030" s="199"/>
      <c r="C1030" s="713"/>
      <c r="D1030" s="199"/>
      <c r="E1030" s="199"/>
      <c r="F1030" s="712"/>
      <c r="G1030" s="712"/>
      <c r="H1030" s="712"/>
      <c r="I1030" s="199"/>
      <c r="J1030" s="711"/>
      <c r="K1030" s="711"/>
    </row>
    <row r="1031" spans="1:11">
      <c r="A1031" s="712"/>
      <c r="B1031" s="199"/>
      <c r="C1031" s="713"/>
      <c r="D1031" s="199"/>
      <c r="E1031" s="199"/>
      <c r="F1031" s="712"/>
      <c r="G1031" s="712"/>
      <c r="H1031" s="712"/>
      <c r="I1031" s="199"/>
      <c r="J1031" s="711"/>
      <c r="K1031" s="711"/>
    </row>
    <row r="1032" spans="1:11">
      <c r="A1032" s="712"/>
      <c r="B1032" s="199"/>
      <c r="C1032" s="713"/>
      <c r="D1032" s="199"/>
      <c r="E1032" s="199"/>
      <c r="F1032" s="712"/>
      <c r="G1032" s="712"/>
      <c r="H1032" s="712"/>
      <c r="I1032" s="199"/>
      <c r="J1032" s="711"/>
      <c r="K1032" s="711"/>
    </row>
    <row r="1033" spans="1:11">
      <c r="A1033" s="712"/>
      <c r="B1033" s="199"/>
      <c r="C1033" s="713"/>
      <c r="D1033" s="199"/>
      <c r="E1033" s="199"/>
      <c r="F1033" s="712"/>
      <c r="G1033" s="712"/>
      <c r="H1033" s="712"/>
      <c r="I1033" s="199"/>
      <c r="J1033" s="711"/>
      <c r="K1033" s="711"/>
    </row>
    <row r="1034" spans="1:11">
      <c r="A1034" s="712"/>
      <c r="B1034" s="199"/>
      <c r="C1034" s="713"/>
      <c r="D1034" s="199"/>
      <c r="E1034" s="199"/>
      <c r="F1034" s="712"/>
      <c r="G1034" s="714"/>
      <c r="H1034" s="712"/>
      <c r="I1034" s="199"/>
      <c r="J1034" s="711"/>
      <c r="K1034" s="711"/>
    </row>
    <row r="1035" spans="1:11">
      <c r="A1035" s="712"/>
      <c r="B1035" s="199"/>
      <c r="C1035" s="713"/>
      <c r="D1035" s="199"/>
      <c r="E1035" s="199"/>
      <c r="F1035" s="712"/>
      <c r="G1035" s="714"/>
      <c r="H1035" s="712"/>
      <c r="I1035" s="199"/>
      <c r="J1035" s="711"/>
      <c r="K1035" s="711"/>
    </row>
    <row r="1036" spans="1:11">
      <c r="A1036" s="712"/>
      <c r="B1036" s="199"/>
      <c r="C1036" s="713"/>
      <c r="D1036" s="199"/>
      <c r="E1036" s="199"/>
      <c r="F1036" s="712"/>
      <c r="G1036" s="714"/>
      <c r="H1036" s="712"/>
      <c r="I1036" s="199"/>
      <c r="J1036" s="711"/>
      <c r="K1036" s="711"/>
    </row>
    <row r="1037" spans="1:11">
      <c r="A1037" s="712"/>
      <c r="B1037" s="199"/>
      <c r="C1037" s="713"/>
      <c r="D1037" s="199"/>
      <c r="E1037" s="199"/>
      <c r="F1037" s="712"/>
      <c r="G1037" s="712"/>
      <c r="H1037" s="712"/>
      <c r="I1037" s="199"/>
      <c r="J1037" s="711"/>
      <c r="K1037" s="711"/>
    </row>
    <row r="1038" spans="1:11">
      <c r="A1038" s="712"/>
      <c r="B1038" s="199"/>
      <c r="C1038" s="713"/>
      <c r="D1038" s="199"/>
      <c r="E1038" s="199"/>
      <c r="F1038" s="712"/>
      <c r="G1038" s="714"/>
      <c r="H1038" s="712"/>
      <c r="I1038" s="199"/>
      <c r="J1038" s="711"/>
      <c r="K1038" s="711"/>
    </row>
    <row r="1039" spans="1:11">
      <c r="A1039" s="712"/>
      <c r="B1039" s="199"/>
      <c r="C1039" s="713"/>
      <c r="D1039" s="199"/>
      <c r="E1039" s="199"/>
      <c r="F1039" s="712"/>
      <c r="G1039" s="712"/>
      <c r="H1039" s="712"/>
      <c r="I1039" s="199"/>
      <c r="J1039" s="711"/>
      <c r="K1039" s="711"/>
    </row>
    <row r="1040" spans="1:11">
      <c r="A1040" s="712"/>
      <c r="B1040" s="199"/>
      <c r="C1040" s="713"/>
      <c r="D1040" s="199"/>
      <c r="E1040" s="199"/>
      <c r="F1040" s="712"/>
      <c r="G1040" s="712"/>
      <c r="H1040" s="712"/>
      <c r="I1040" s="199"/>
      <c r="J1040" s="711"/>
      <c r="K1040" s="711"/>
    </row>
    <row r="1041" spans="1:11">
      <c r="A1041" s="712"/>
      <c r="B1041" s="199"/>
      <c r="C1041" s="713"/>
      <c r="D1041" s="199"/>
      <c r="E1041" s="199"/>
      <c r="F1041" s="712"/>
      <c r="G1041" s="712"/>
      <c r="H1041" s="712"/>
      <c r="I1041" s="199"/>
      <c r="J1041" s="711"/>
      <c r="K1041" s="711"/>
    </row>
    <row r="1042" spans="1:11">
      <c r="A1042" s="712"/>
      <c r="B1042" s="199"/>
      <c r="C1042" s="713"/>
      <c r="D1042" s="199"/>
      <c r="E1042" s="199"/>
      <c r="F1042" s="712"/>
      <c r="G1042" s="712"/>
      <c r="H1042" s="712"/>
      <c r="I1042" s="199"/>
      <c r="J1042" s="711"/>
      <c r="K1042" s="711"/>
    </row>
    <row r="1043" spans="1:11">
      <c r="A1043" s="712"/>
      <c r="B1043" s="199"/>
      <c r="C1043" s="713"/>
      <c r="D1043" s="199"/>
      <c r="E1043" s="199"/>
      <c r="F1043" s="712"/>
      <c r="G1043" s="712"/>
      <c r="H1043" s="712"/>
      <c r="I1043" s="199"/>
      <c r="J1043" s="711"/>
      <c r="K1043" s="711"/>
    </row>
    <row r="1044" spans="1:11">
      <c r="A1044" s="712"/>
      <c r="B1044" s="199"/>
      <c r="C1044" s="713"/>
      <c r="D1044" s="199"/>
      <c r="E1044" s="199"/>
      <c r="F1044" s="712"/>
      <c r="G1044" s="712"/>
      <c r="H1044" s="712"/>
      <c r="I1044" s="199"/>
      <c r="J1044" s="711"/>
      <c r="K1044" s="711"/>
    </row>
    <row r="1045" spans="1:11">
      <c r="A1045" s="712"/>
      <c r="B1045" s="199"/>
      <c r="C1045" s="713"/>
      <c r="D1045" s="199"/>
      <c r="E1045" s="199"/>
      <c r="F1045" s="712"/>
      <c r="G1045" s="712"/>
      <c r="H1045" s="712"/>
      <c r="I1045" s="199"/>
      <c r="J1045" s="711"/>
      <c r="K1045" s="711"/>
    </row>
    <row r="1046" spans="1:11">
      <c r="A1046" s="712"/>
      <c r="B1046" s="199"/>
      <c r="C1046" s="713"/>
      <c r="D1046" s="199"/>
      <c r="E1046" s="199"/>
      <c r="F1046" s="712"/>
      <c r="G1046" s="712"/>
      <c r="H1046" s="712"/>
      <c r="I1046" s="199"/>
      <c r="J1046" s="711"/>
      <c r="K1046" s="711"/>
    </row>
    <row r="1047" spans="1:11">
      <c r="A1047" s="712"/>
      <c r="B1047" s="199"/>
      <c r="C1047" s="713"/>
      <c r="D1047" s="199"/>
      <c r="E1047" s="199"/>
      <c r="F1047" s="712"/>
      <c r="G1047" s="712"/>
      <c r="H1047" s="712"/>
      <c r="I1047" s="199"/>
      <c r="J1047" s="711"/>
      <c r="K1047" s="711"/>
    </row>
    <row r="1048" spans="1:11">
      <c r="A1048" s="712"/>
      <c r="B1048" s="199"/>
      <c r="C1048" s="713"/>
      <c r="D1048" s="199"/>
      <c r="E1048" s="199"/>
      <c r="F1048" s="712"/>
      <c r="G1048" s="714"/>
      <c r="H1048" s="712"/>
      <c r="I1048" s="199"/>
      <c r="J1048" s="711"/>
      <c r="K1048" s="711"/>
    </row>
    <row r="1049" spans="1:11">
      <c r="A1049" s="712"/>
      <c r="B1049" s="199"/>
      <c r="C1049" s="713"/>
      <c r="D1049" s="199"/>
      <c r="E1049" s="199"/>
      <c r="F1049" s="712"/>
      <c r="G1049" s="712"/>
      <c r="H1049" s="712"/>
      <c r="I1049" s="199"/>
      <c r="J1049" s="711"/>
      <c r="K1049" s="711"/>
    </row>
    <row r="1050" spans="1:11">
      <c r="A1050" s="712"/>
      <c r="B1050" s="199"/>
      <c r="C1050" s="713"/>
      <c r="D1050" s="199"/>
      <c r="E1050" s="199"/>
      <c r="F1050" s="712"/>
      <c r="G1050" s="712"/>
      <c r="H1050" s="712"/>
      <c r="I1050" s="199"/>
      <c r="J1050" s="711"/>
      <c r="K1050" s="711"/>
    </row>
    <row r="1051" spans="1:11">
      <c r="A1051" s="712"/>
      <c r="B1051" s="199"/>
      <c r="C1051" s="713"/>
      <c r="D1051" s="199"/>
      <c r="E1051" s="199"/>
      <c r="F1051" s="712"/>
      <c r="G1051" s="712"/>
      <c r="H1051" s="712"/>
      <c r="I1051" s="199"/>
      <c r="J1051" s="711"/>
      <c r="K1051" s="711"/>
    </row>
    <row r="1052" spans="1:11">
      <c r="A1052" s="712"/>
      <c r="B1052" s="199"/>
      <c r="C1052" s="713"/>
      <c r="D1052" s="199"/>
      <c r="E1052" s="199"/>
      <c r="F1052" s="712"/>
      <c r="G1052" s="712"/>
      <c r="H1052" s="712"/>
      <c r="I1052" s="199"/>
      <c r="J1052" s="711"/>
      <c r="K1052" s="711"/>
    </row>
    <row r="1053" spans="1:11">
      <c r="A1053" s="712"/>
      <c r="B1053" s="199"/>
      <c r="C1053" s="713"/>
      <c r="D1053" s="199"/>
      <c r="E1053" s="199"/>
      <c r="F1053" s="712"/>
      <c r="G1053" s="712"/>
      <c r="H1053" s="712"/>
      <c r="I1053" s="199"/>
      <c r="J1053" s="711"/>
      <c r="K1053" s="711"/>
    </row>
    <row r="1054" spans="1:11">
      <c r="A1054" s="712"/>
      <c r="B1054" s="199"/>
      <c r="C1054" s="713"/>
      <c r="D1054" s="199"/>
      <c r="E1054" s="199"/>
      <c r="F1054" s="712"/>
      <c r="G1054" s="712"/>
      <c r="H1054" s="712"/>
      <c r="I1054" s="199"/>
      <c r="J1054" s="711"/>
      <c r="K1054" s="711"/>
    </row>
    <row r="1055" spans="1:11">
      <c r="A1055" s="712"/>
      <c r="B1055" s="199"/>
      <c r="C1055" s="713"/>
      <c r="D1055" s="199"/>
      <c r="E1055" s="199"/>
      <c r="F1055" s="712"/>
      <c r="G1055" s="712"/>
      <c r="H1055" s="712"/>
      <c r="I1055" s="199"/>
      <c r="J1055" s="711"/>
      <c r="K1055" s="711"/>
    </row>
    <row r="1056" spans="1:11">
      <c r="A1056" s="712"/>
      <c r="B1056" s="199"/>
      <c r="C1056" s="713"/>
      <c r="D1056" s="199"/>
      <c r="E1056" s="199"/>
      <c r="F1056" s="712"/>
      <c r="G1056" s="712"/>
      <c r="H1056" s="712"/>
      <c r="I1056" s="199"/>
      <c r="J1056" s="711"/>
      <c r="K1056" s="711"/>
    </row>
    <row r="1057" spans="1:11">
      <c r="A1057" s="712"/>
      <c r="B1057" s="199"/>
      <c r="C1057" s="713"/>
      <c r="D1057" s="199"/>
      <c r="E1057" s="199"/>
      <c r="F1057" s="712"/>
      <c r="G1057" s="712"/>
      <c r="H1057" s="712"/>
      <c r="I1057" s="199"/>
      <c r="J1057" s="711"/>
      <c r="K1057" s="711"/>
    </row>
    <row r="1058" spans="1:11">
      <c r="A1058" s="712"/>
      <c r="B1058" s="199"/>
      <c r="C1058" s="713"/>
      <c r="D1058" s="199"/>
      <c r="E1058" s="199"/>
      <c r="F1058" s="712"/>
      <c r="G1058" s="712"/>
      <c r="H1058" s="712"/>
      <c r="I1058" s="199"/>
      <c r="J1058" s="711"/>
      <c r="K1058" s="711"/>
    </row>
    <row r="1059" spans="1:11">
      <c r="A1059" s="712"/>
      <c r="B1059" s="199"/>
      <c r="C1059" s="713"/>
      <c r="D1059" s="199"/>
      <c r="E1059" s="199"/>
      <c r="F1059" s="712"/>
      <c r="G1059" s="712"/>
      <c r="H1059" s="712"/>
      <c r="I1059" s="199"/>
      <c r="J1059" s="711"/>
      <c r="K1059" s="711"/>
    </row>
    <row r="1060" spans="1:11">
      <c r="A1060" s="712"/>
      <c r="B1060" s="199"/>
      <c r="C1060" s="713"/>
      <c r="D1060" s="199"/>
      <c r="E1060" s="199"/>
      <c r="F1060" s="712"/>
      <c r="G1060" s="712"/>
      <c r="H1060" s="712"/>
      <c r="I1060" s="199"/>
      <c r="J1060" s="711"/>
      <c r="K1060" s="711"/>
    </row>
    <row r="1061" spans="1:11">
      <c r="A1061" s="712"/>
      <c r="B1061" s="199"/>
      <c r="C1061" s="713"/>
      <c r="D1061" s="199"/>
      <c r="E1061" s="199"/>
      <c r="F1061" s="712"/>
      <c r="G1061" s="712"/>
      <c r="H1061" s="712"/>
      <c r="I1061" s="199"/>
      <c r="J1061" s="711"/>
      <c r="K1061" s="711"/>
    </row>
    <row r="1062" spans="1:11">
      <c r="A1062" s="712"/>
      <c r="B1062" s="199"/>
      <c r="C1062" s="713"/>
      <c r="D1062" s="199"/>
      <c r="E1062" s="199"/>
      <c r="F1062" s="712"/>
      <c r="G1062" s="714"/>
      <c r="H1062" s="712"/>
      <c r="I1062" s="199"/>
      <c r="J1062" s="711"/>
      <c r="K1062" s="711"/>
    </row>
    <row r="1063" spans="1:11">
      <c r="A1063" s="712"/>
      <c r="B1063" s="199"/>
      <c r="C1063" s="713"/>
      <c r="D1063" s="199"/>
      <c r="E1063" s="199"/>
      <c r="F1063" s="712"/>
      <c r="G1063" s="712"/>
      <c r="H1063" s="712"/>
      <c r="I1063" s="199"/>
      <c r="J1063" s="711"/>
      <c r="K1063" s="711"/>
    </row>
    <row r="1064" spans="1:11">
      <c r="A1064" s="712"/>
      <c r="B1064" s="199"/>
      <c r="C1064" s="713"/>
      <c r="D1064" s="199"/>
      <c r="E1064" s="199"/>
      <c r="F1064" s="712"/>
      <c r="G1064" s="714"/>
      <c r="H1064" s="712"/>
      <c r="I1064" s="199"/>
      <c r="J1064" s="711"/>
      <c r="K1064" s="711"/>
    </row>
    <row r="1065" spans="1:11">
      <c r="A1065" s="712"/>
      <c r="B1065" s="199"/>
      <c r="C1065" s="713"/>
      <c r="D1065" s="199"/>
      <c r="E1065" s="199"/>
      <c r="F1065" s="712"/>
      <c r="G1065" s="712"/>
      <c r="H1065" s="712"/>
      <c r="I1065" s="199"/>
      <c r="J1065" s="711"/>
      <c r="K1065" s="711"/>
    </row>
    <row r="1066" spans="1:11">
      <c r="A1066" s="712"/>
      <c r="B1066" s="199"/>
      <c r="C1066" s="713"/>
      <c r="D1066" s="199"/>
      <c r="E1066" s="199"/>
      <c r="F1066" s="712"/>
      <c r="G1066" s="714"/>
      <c r="H1066" s="712"/>
      <c r="I1066" s="199"/>
      <c r="J1066" s="711"/>
      <c r="K1066" s="711"/>
    </row>
    <row r="1067" spans="1:11">
      <c r="A1067" s="712"/>
      <c r="B1067" s="199"/>
      <c r="C1067" s="713"/>
      <c r="D1067" s="199"/>
      <c r="E1067" s="199"/>
      <c r="F1067" s="712"/>
      <c r="G1067" s="714"/>
      <c r="H1067" s="712"/>
      <c r="I1067" s="199"/>
      <c r="J1067" s="711"/>
      <c r="K1067" s="711"/>
    </row>
    <row r="1068" spans="1:11">
      <c r="A1068" s="712"/>
      <c r="B1068" s="199"/>
      <c r="C1068" s="713"/>
      <c r="D1068" s="199"/>
      <c r="E1068" s="199"/>
      <c r="F1068" s="712"/>
      <c r="G1068" s="714"/>
      <c r="H1068" s="712"/>
      <c r="I1068" s="199"/>
      <c r="J1068" s="711"/>
      <c r="K1068" s="711"/>
    </row>
    <row r="1069" spans="1:11">
      <c r="A1069" s="712"/>
      <c r="B1069" s="199"/>
      <c r="C1069" s="713"/>
      <c r="D1069" s="199"/>
      <c r="E1069" s="199"/>
      <c r="F1069" s="712"/>
      <c r="G1069" s="712"/>
      <c r="H1069" s="712"/>
      <c r="I1069" s="199"/>
      <c r="J1069" s="711"/>
      <c r="K1069" s="711"/>
    </row>
    <row r="1070" spans="1:11">
      <c r="A1070" s="712"/>
      <c r="B1070" s="199"/>
      <c r="C1070" s="713"/>
      <c r="D1070" s="199"/>
      <c r="E1070" s="199"/>
      <c r="F1070" s="712"/>
      <c r="G1070" s="712"/>
      <c r="H1070" s="712"/>
      <c r="I1070" s="199"/>
      <c r="J1070" s="711"/>
      <c r="K1070" s="711"/>
    </row>
    <row r="1071" spans="1:11">
      <c r="A1071" s="712"/>
      <c r="B1071" s="199"/>
      <c r="C1071" s="713"/>
      <c r="D1071" s="199"/>
      <c r="E1071" s="199"/>
      <c r="F1071" s="712"/>
      <c r="G1071" s="712"/>
      <c r="H1071" s="712"/>
      <c r="I1071" s="199"/>
      <c r="J1071" s="711"/>
      <c r="K1071" s="711"/>
    </row>
    <row r="1072" spans="1:11">
      <c r="A1072" s="712"/>
      <c r="B1072" s="199"/>
      <c r="C1072" s="713"/>
      <c r="D1072" s="199"/>
      <c r="E1072" s="199"/>
      <c r="F1072" s="712"/>
      <c r="G1072" s="712"/>
      <c r="H1072" s="712"/>
      <c r="I1072" s="199"/>
      <c r="J1072" s="711"/>
      <c r="K1072" s="711"/>
    </row>
    <row r="1073" spans="1:11">
      <c r="A1073" s="712"/>
      <c r="B1073" s="199"/>
      <c r="C1073" s="713"/>
      <c r="D1073" s="199"/>
      <c r="E1073" s="199"/>
      <c r="F1073" s="712"/>
      <c r="G1073" s="712"/>
      <c r="H1073" s="712"/>
      <c r="I1073" s="199"/>
      <c r="J1073" s="711"/>
      <c r="K1073" s="711"/>
    </row>
    <row r="1074" spans="1:11">
      <c r="A1074" s="712"/>
      <c r="B1074" s="199"/>
      <c r="C1074" s="713"/>
      <c r="D1074" s="199"/>
      <c r="E1074" s="199"/>
      <c r="F1074" s="712"/>
      <c r="G1074" s="712"/>
      <c r="H1074" s="712"/>
      <c r="I1074" s="199"/>
      <c r="J1074" s="711"/>
      <c r="K1074" s="711"/>
    </row>
    <row r="1075" spans="1:11">
      <c r="A1075" s="712"/>
      <c r="B1075" s="199"/>
      <c r="C1075" s="713"/>
      <c r="D1075" s="199"/>
      <c r="E1075" s="199"/>
      <c r="F1075" s="712"/>
      <c r="G1075" s="714"/>
      <c r="H1075" s="712"/>
      <c r="I1075" s="199"/>
      <c r="J1075" s="711"/>
      <c r="K1075" s="711"/>
    </row>
    <row r="1076" spans="1:11">
      <c r="A1076" s="712"/>
      <c r="B1076" s="199"/>
      <c r="C1076" s="713"/>
      <c r="D1076" s="199"/>
      <c r="E1076" s="199"/>
      <c r="F1076" s="712"/>
      <c r="G1076" s="714"/>
      <c r="H1076" s="712"/>
      <c r="I1076" s="199"/>
      <c r="J1076" s="711"/>
      <c r="K1076" s="711"/>
    </row>
    <row r="1077" spans="1:11">
      <c r="A1077" s="712"/>
      <c r="B1077" s="199"/>
      <c r="C1077" s="713"/>
      <c r="D1077" s="199"/>
      <c r="E1077" s="199"/>
      <c r="F1077" s="712"/>
      <c r="G1077" s="712"/>
      <c r="H1077" s="712"/>
      <c r="I1077" s="199"/>
      <c r="J1077" s="711"/>
      <c r="K1077" s="711"/>
    </row>
    <row r="1078" spans="1:11">
      <c r="A1078" s="712"/>
      <c r="B1078" s="199"/>
      <c r="C1078" s="713"/>
      <c r="D1078" s="199"/>
      <c r="E1078" s="199"/>
      <c r="F1078" s="712"/>
      <c r="G1078" s="712"/>
      <c r="H1078" s="712"/>
      <c r="I1078" s="199"/>
      <c r="J1078" s="711"/>
      <c r="K1078" s="711"/>
    </row>
    <row r="1079" spans="1:11">
      <c r="A1079" s="712"/>
      <c r="B1079" s="199"/>
      <c r="C1079" s="713"/>
      <c r="D1079" s="199"/>
      <c r="E1079" s="199"/>
      <c r="F1079" s="712"/>
      <c r="G1079" s="714"/>
      <c r="H1079" s="712"/>
      <c r="I1079" s="199"/>
      <c r="J1079" s="711"/>
      <c r="K1079" s="711"/>
    </row>
    <row r="1080" spans="1:11">
      <c r="A1080" s="712"/>
      <c r="B1080" s="199"/>
      <c r="C1080" s="713"/>
      <c r="D1080" s="199"/>
      <c r="E1080" s="199"/>
      <c r="F1080" s="712"/>
      <c r="G1080" s="712"/>
      <c r="H1080" s="712"/>
      <c r="I1080" s="199"/>
      <c r="J1080" s="711"/>
      <c r="K1080" s="711"/>
    </row>
    <row r="1081" spans="1:11">
      <c r="A1081" s="712"/>
      <c r="B1081" s="199"/>
      <c r="C1081" s="713"/>
      <c r="D1081" s="199"/>
      <c r="E1081" s="199"/>
      <c r="F1081" s="712"/>
      <c r="G1081" s="712"/>
      <c r="H1081" s="712"/>
      <c r="I1081" s="199"/>
      <c r="J1081" s="711"/>
      <c r="K1081" s="711"/>
    </row>
    <row r="1082" spans="1:11">
      <c r="A1082" s="712"/>
      <c r="B1082" s="199"/>
      <c r="C1082" s="713"/>
      <c r="D1082" s="199"/>
      <c r="E1082" s="199"/>
      <c r="F1082" s="712"/>
      <c r="G1082" s="714"/>
      <c r="H1082" s="712"/>
      <c r="I1082" s="199"/>
      <c r="J1082" s="711"/>
      <c r="K1082" s="711"/>
    </row>
    <row r="1083" spans="1:11">
      <c r="A1083" s="712"/>
      <c r="B1083" s="199"/>
      <c r="C1083" s="713"/>
      <c r="D1083" s="199"/>
      <c r="E1083" s="199"/>
      <c r="F1083" s="712"/>
      <c r="G1083" s="712"/>
      <c r="H1083" s="712"/>
      <c r="I1083" s="199"/>
      <c r="J1083" s="711"/>
      <c r="K1083" s="711"/>
    </row>
    <row r="1084" spans="1:11">
      <c r="A1084" s="712"/>
      <c r="B1084" s="199"/>
      <c r="C1084" s="713"/>
      <c r="D1084" s="199"/>
      <c r="E1084" s="199"/>
      <c r="F1084" s="712"/>
      <c r="G1084" s="714"/>
      <c r="H1084" s="712"/>
      <c r="I1084" s="199"/>
      <c r="J1084" s="711"/>
      <c r="K1084" s="711"/>
    </row>
    <row r="1085" spans="1:11">
      <c r="A1085" s="712"/>
      <c r="B1085" s="199"/>
      <c r="C1085" s="713"/>
      <c r="D1085" s="199"/>
      <c r="E1085" s="199"/>
      <c r="F1085" s="712"/>
      <c r="G1085" s="712"/>
      <c r="H1085" s="712"/>
      <c r="I1085" s="199"/>
      <c r="J1085" s="711"/>
      <c r="K1085" s="711"/>
    </row>
    <row r="1086" spans="1:11">
      <c r="A1086" s="712"/>
      <c r="B1086" s="199"/>
      <c r="C1086" s="713"/>
      <c r="D1086" s="199"/>
      <c r="E1086" s="199"/>
      <c r="F1086" s="712"/>
      <c r="G1086" s="712"/>
      <c r="H1086" s="712"/>
      <c r="I1086" s="199"/>
      <c r="J1086" s="711"/>
      <c r="K1086" s="711"/>
    </row>
    <row r="1087" spans="1:11">
      <c r="A1087" s="712"/>
      <c r="B1087" s="199"/>
      <c r="C1087" s="713"/>
      <c r="D1087" s="199"/>
      <c r="E1087" s="199"/>
      <c r="F1087" s="712"/>
      <c r="G1087" s="712"/>
      <c r="H1087" s="712"/>
      <c r="I1087" s="199"/>
      <c r="J1087" s="711"/>
      <c r="K1087" s="711"/>
    </row>
    <row r="1088" spans="1:11">
      <c r="A1088" s="712"/>
      <c r="B1088" s="199"/>
      <c r="C1088" s="713"/>
      <c r="D1088" s="199"/>
      <c r="E1088" s="199"/>
      <c r="F1088" s="712"/>
      <c r="G1088" s="712"/>
      <c r="H1088" s="712"/>
      <c r="I1088" s="199"/>
      <c r="J1088" s="711"/>
      <c r="K1088" s="711"/>
    </row>
    <row r="1089" spans="1:11">
      <c r="A1089" s="712"/>
      <c r="B1089" s="199"/>
      <c r="C1089" s="713"/>
      <c r="D1089" s="199"/>
      <c r="E1089" s="199"/>
      <c r="F1089" s="712"/>
      <c r="G1089" s="714"/>
      <c r="H1089" s="712"/>
      <c r="I1089" s="199"/>
      <c r="J1089" s="711"/>
      <c r="K1089" s="711"/>
    </row>
    <row r="1090" spans="1:11">
      <c r="A1090" s="712"/>
      <c r="B1090" s="199"/>
      <c r="C1090" s="713"/>
      <c r="D1090" s="199"/>
      <c r="E1090" s="199"/>
      <c r="F1090" s="712"/>
      <c r="G1090" s="712"/>
      <c r="H1090" s="712"/>
      <c r="I1090" s="199"/>
      <c r="J1090" s="711"/>
      <c r="K1090" s="711"/>
    </row>
    <row r="1091" spans="1:11">
      <c r="A1091" s="712"/>
      <c r="B1091" s="199"/>
      <c r="C1091" s="713"/>
      <c r="D1091" s="199"/>
      <c r="E1091" s="199"/>
      <c r="F1091" s="712"/>
      <c r="G1091" s="712"/>
      <c r="H1091" s="712"/>
      <c r="I1091" s="199"/>
      <c r="J1091" s="711"/>
      <c r="K1091" s="711"/>
    </row>
    <row r="1092" spans="1:11">
      <c r="A1092" s="712"/>
      <c r="B1092" s="199"/>
      <c r="C1092" s="713"/>
      <c r="D1092" s="199"/>
      <c r="E1092" s="199"/>
      <c r="F1092" s="712"/>
      <c r="G1092" s="712"/>
      <c r="H1092" s="712"/>
      <c r="I1092" s="199"/>
      <c r="J1092" s="711"/>
      <c r="K1092" s="711"/>
    </row>
    <row r="1093" spans="1:11">
      <c r="A1093" s="712"/>
      <c r="B1093" s="199"/>
      <c r="C1093" s="713"/>
      <c r="D1093" s="199"/>
      <c r="E1093" s="199"/>
      <c r="F1093" s="712"/>
      <c r="G1093" s="712"/>
      <c r="H1093" s="712"/>
      <c r="I1093" s="199"/>
      <c r="J1093" s="711"/>
      <c r="K1093" s="711"/>
    </row>
    <row r="1094" spans="1:11">
      <c r="A1094" s="712"/>
      <c r="B1094" s="199"/>
      <c r="C1094" s="713"/>
      <c r="D1094" s="199"/>
      <c r="E1094" s="199"/>
      <c r="F1094" s="712"/>
      <c r="G1094" s="712"/>
      <c r="H1094" s="712"/>
      <c r="I1094" s="199"/>
      <c r="J1094" s="711"/>
      <c r="K1094" s="711"/>
    </row>
    <row r="1095" spans="1:11">
      <c r="A1095" s="712"/>
      <c r="B1095" s="199"/>
      <c r="C1095" s="713"/>
      <c r="D1095" s="199"/>
      <c r="E1095" s="199"/>
      <c r="F1095" s="712"/>
      <c r="G1095" s="712"/>
      <c r="H1095" s="712"/>
      <c r="I1095" s="199"/>
      <c r="J1095" s="711"/>
      <c r="K1095" s="711"/>
    </row>
    <row r="1096" spans="1:11">
      <c r="A1096" s="712"/>
      <c r="B1096" s="199"/>
      <c r="C1096" s="713"/>
      <c r="D1096" s="199"/>
      <c r="E1096" s="199"/>
      <c r="F1096" s="712"/>
      <c r="G1096" s="712"/>
      <c r="H1096" s="712"/>
      <c r="I1096" s="199"/>
      <c r="J1096" s="711"/>
      <c r="K1096" s="711"/>
    </row>
    <row r="1097" spans="1:11">
      <c r="A1097" s="712"/>
      <c r="B1097" s="199"/>
      <c r="C1097" s="713"/>
      <c r="D1097" s="199"/>
      <c r="E1097" s="199"/>
      <c r="F1097" s="712"/>
      <c r="G1097" s="712"/>
      <c r="H1097" s="712"/>
      <c r="I1097" s="199"/>
      <c r="J1097" s="711"/>
      <c r="K1097" s="711"/>
    </row>
    <row r="1098" spans="1:11">
      <c r="A1098" s="712"/>
      <c r="B1098" s="199"/>
      <c r="C1098" s="713"/>
      <c r="D1098" s="199"/>
      <c r="E1098" s="199"/>
      <c r="F1098" s="712"/>
      <c r="G1098" s="714"/>
      <c r="H1098" s="712"/>
      <c r="I1098" s="199"/>
      <c r="J1098" s="711"/>
      <c r="K1098" s="711"/>
    </row>
    <row r="1099" spans="1:11">
      <c r="A1099" s="712"/>
      <c r="B1099" s="199"/>
      <c r="C1099" s="713"/>
      <c r="D1099" s="199"/>
      <c r="E1099" s="199"/>
      <c r="F1099" s="712"/>
      <c r="G1099" s="714"/>
      <c r="H1099" s="712"/>
      <c r="I1099" s="199"/>
      <c r="J1099" s="711"/>
      <c r="K1099" s="711"/>
    </row>
    <row r="1100" spans="1:11">
      <c r="A1100" s="712"/>
      <c r="B1100" s="199"/>
      <c r="C1100" s="713"/>
      <c r="D1100" s="199"/>
      <c r="E1100" s="199"/>
      <c r="F1100" s="712"/>
      <c r="G1100" s="712"/>
      <c r="H1100" s="712"/>
      <c r="I1100" s="199"/>
      <c r="J1100" s="711"/>
      <c r="K1100" s="711"/>
    </row>
    <row r="1101" spans="1:11">
      <c r="A1101" s="712"/>
      <c r="B1101" s="199"/>
      <c r="C1101" s="713"/>
      <c r="D1101" s="199"/>
      <c r="E1101" s="199"/>
      <c r="F1101" s="712"/>
      <c r="G1101" s="712"/>
      <c r="H1101" s="712"/>
      <c r="I1101" s="199"/>
      <c r="J1101" s="711"/>
      <c r="K1101" s="711"/>
    </row>
    <row r="1102" spans="1:11">
      <c r="A1102" s="712"/>
      <c r="B1102" s="199"/>
      <c r="C1102" s="713"/>
      <c r="D1102" s="199"/>
      <c r="E1102" s="199"/>
      <c r="F1102" s="712"/>
      <c r="G1102" s="712"/>
      <c r="H1102" s="712"/>
      <c r="I1102" s="199"/>
      <c r="J1102" s="711"/>
      <c r="K1102" s="711"/>
    </row>
    <row r="1103" spans="1:11">
      <c r="A1103" s="712"/>
      <c r="B1103" s="199"/>
      <c r="C1103" s="713"/>
      <c r="D1103" s="199"/>
      <c r="E1103" s="199"/>
      <c r="F1103" s="712"/>
      <c r="G1103" s="712"/>
      <c r="H1103" s="712"/>
      <c r="I1103" s="199"/>
      <c r="J1103" s="711"/>
      <c r="K1103" s="711"/>
    </row>
    <row r="1104" spans="1:11">
      <c r="A1104" s="712"/>
      <c r="B1104" s="199"/>
      <c r="C1104" s="713"/>
      <c r="D1104" s="199"/>
      <c r="E1104" s="199"/>
      <c r="F1104" s="712"/>
      <c r="G1104" s="712"/>
      <c r="H1104" s="712"/>
      <c r="I1104" s="199"/>
      <c r="J1104" s="711"/>
      <c r="K1104" s="711"/>
    </row>
    <row r="1105" spans="1:11">
      <c r="A1105" s="712"/>
      <c r="B1105" s="199"/>
      <c r="C1105" s="713"/>
      <c r="D1105" s="199"/>
      <c r="E1105" s="199"/>
      <c r="F1105" s="712"/>
      <c r="G1105" s="712"/>
      <c r="H1105" s="712"/>
      <c r="I1105" s="199"/>
      <c r="J1105" s="711"/>
      <c r="K1105" s="711"/>
    </row>
    <row r="1106" spans="1:11">
      <c r="A1106" s="712"/>
      <c r="B1106" s="199"/>
      <c r="C1106" s="713"/>
      <c r="D1106" s="199"/>
      <c r="E1106" s="199"/>
      <c r="F1106" s="712"/>
      <c r="G1106" s="712"/>
      <c r="H1106" s="712"/>
      <c r="I1106" s="199"/>
      <c r="J1106" s="711"/>
      <c r="K1106" s="711"/>
    </row>
    <row r="1107" spans="1:11">
      <c r="A1107" s="712"/>
      <c r="B1107" s="718"/>
      <c r="C1107" s="713"/>
      <c r="D1107" s="199"/>
      <c r="E1107" s="199"/>
      <c r="F1107" s="712"/>
      <c r="G1107" s="714"/>
      <c r="H1107" s="712"/>
      <c r="I1107" s="718"/>
      <c r="J1107" s="711"/>
      <c r="K1107" s="711"/>
    </row>
    <row r="1108" spans="1:11">
      <c r="A1108" s="712"/>
      <c r="B1108" s="718"/>
      <c r="C1108" s="713"/>
      <c r="D1108" s="199"/>
      <c r="E1108" s="199"/>
      <c r="F1108" s="712"/>
      <c r="G1108" s="712"/>
      <c r="H1108" s="712"/>
      <c r="I1108" s="718"/>
      <c r="J1108" s="711"/>
      <c r="K1108" s="711"/>
    </row>
    <row r="1109" spans="1:11">
      <c r="A1109" s="712"/>
      <c r="B1109" s="718"/>
      <c r="C1109" s="713"/>
      <c r="D1109" s="199"/>
      <c r="E1109" s="199"/>
      <c r="F1109" s="712"/>
      <c r="G1109" s="714"/>
      <c r="H1109" s="712"/>
      <c r="I1109" s="718"/>
      <c r="J1109" s="711"/>
      <c r="K1109" s="711"/>
    </row>
    <row r="1110" spans="1:11">
      <c r="A1110" s="712"/>
      <c r="B1110" s="718"/>
      <c r="C1110" s="713"/>
      <c r="D1110" s="199"/>
      <c r="E1110" s="199"/>
      <c r="F1110" s="712"/>
      <c r="G1110" s="714"/>
      <c r="H1110" s="712"/>
      <c r="I1110" s="718"/>
      <c r="J1110" s="711"/>
      <c r="K1110" s="711"/>
    </row>
    <row r="1111" spans="1:11">
      <c r="A1111" s="712"/>
      <c r="B1111" s="718"/>
      <c r="C1111" s="713"/>
      <c r="D1111" s="199"/>
      <c r="E1111" s="199"/>
      <c r="F1111" s="712"/>
      <c r="G1111" s="714"/>
      <c r="H1111" s="712"/>
      <c r="I1111" s="718"/>
      <c r="J1111" s="711"/>
      <c r="K1111" s="711"/>
    </row>
    <row r="1112" spans="1:11">
      <c r="A1112" s="712"/>
      <c r="B1112" s="718"/>
      <c r="C1112" s="713"/>
      <c r="D1112" s="199"/>
      <c r="E1112" s="199"/>
      <c r="F1112" s="712"/>
      <c r="G1112" s="714"/>
      <c r="H1112" s="712"/>
      <c r="I1112" s="718"/>
      <c r="J1112" s="711"/>
      <c r="K1112" s="711"/>
    </row>
    <row r="1113" spans="1:11">
      <c r="A1113" s="712"/>
      <c r="B1113" s="718"/>
      <c r="C1113" s="713"/>
      <c r="D1113" s="199"/>
      <c r="E1113" s="199"/>
      <c r="F1113" s="712"/>
      <c r="G1113" s="714"/>
      <c r="H1113" s="712"/>
      <c r="I1113" s="718"/>
      <c r="J1113" s="711"/>
      <c r="K1113" s="711"/>
    </row>
    <row r="1114" spans="1:11">
      <c r="A1114" s="712"/>
      <c r="B1114" s="718"/>
      <c r="C1114" s="713"/>
      <c r="D1114" s="199"/>
      <c r="E1114" s="199"/>
      <c r="F1114" s="712"/>
      <c r="G1114" s="714"/>
      <c r="H1114" s="712"/>
      <c r="I1114" s="718"/>
      <c r="J1114" s="711"/>
      <c r="K1114" s="711"/>
    </row>
    <row r="1115" spans="1:11">
      <c r="A1115" s="712"/>
      <c r="B1115" s="718"/>
      <c r="C1115" s="713"/>
      <c r="D1115" s="199"/>
      <c r="E1115" s="199"/>
      <c r="F1115" s="712"/>
      <c r="G1115" s="714"/>
      <c r="H1115" s="712"/>
      <c r="I1115" s="718"/>
      <c r="J1115" s="711"/>
      <c r="K1115" s="711"/>
    </row>
    <row r="1116" spans="1:11">
      <c r="A1116" s="712"/>
      <c r="B1116" s="718"/>
      <c r="C1116" s="713"/>
      <c r="D1116" s="199"/>
      <c r="E1116" s="199"/>
      <c r="F1116" s="712"/>
      <c r="G1116" s="714"/>
      <c r="H1116" s="712"/>
      <c r="I1116" s="718"/>
      <c r="J1116" s="711"/>
      <c r="K1116" s="711"/>
    </row>
    <row r="1117" spans="1:11">
      <c r="A1117" s="712"/>
      <c r="B1117" s="718"/>
      <c r="C1117" s="713"/>
      <c r="D1117" s="199"/>
      <c r="E1117" s="199"/>
      <c r="F1117" s="712"/>
      <c r="G1117" s="714"/>
      <c r="H1117" s="712"/>
      <c r="I1117" s="718"/>
      <c r="J1117" s="711"/>
      <c r="K1117" s="711"/>
    </row>
    <row r="1118" spans="1:11">
      <c r="A1118" s="712"/>
      <c r="B1118" s="718"/>
      <c r="C1118" s="713"/>
      <c r="D1118" s="199"/>
      <c r="E1118" s="199"/>
      <c r="F1118" s="712"/>
      <c r="G1118" s="714"/>
      <c r="H1118" s="712"/>
      <c r="I1118" s="718"/>
      <c r="J1118" s="711"/>
      <c r="K1118" s="711"/>
    </row>
    <row r="1119" spans="1:11">
      <c r="A1119" s="712"/>
      <c r="B1119" s="718"/>
      <c r="C1119" s="713"/>
      <c r="D1119" s="199"/>
      <c r="E1119" s="199"/>
      <c r="F1119" s="712"/>
      <c r="G1119" s="714"/>
      <c r="H1119" s="712"/>
      <c r="I1119" s="718"/>
      <c r="J1119" s="711"/>
      <c r="K1119" s="711"/>
    </row>
    <row r="1120" spans="1:11">
      <c r="A1120" s="712"/>
      <c r="B1120" s="718"/>
      <c r="C1120" s="713"/>
      <c r="D1120" s="199"/>
      <c r="E1120" s="199"/>
      <c r="F1120" s="712"/>
      <c r="G1120" s="714"/>
      <c r="H1120" s="712"/>
      <c r="I1120" s="718"/>
      <c r="J1120" s="711"/>
      <c r="K1120" s="711"/>
    </row>
    <row r="1121" spans="1:11">
      <c r="A1121" s="712"/>
      <c r="B1121" s="718"/>
      <c r="C1121" s="713"/>
      <c r="D1121" s="199"/>
      <c r="E1121" s="199"/>
      <c r="F1121" s="712"/>
      <c r="G1121" s="714"/>
      <c r="H1121" s="712"/>
      <c r="I1121" s="718"/>
      <c r="J1121" s="711"/>
      <c r="K1121" s="711"/>
    </row>
    <row r="1122" spans="1:11">
      <c r="A1122" s="712"/>
      <c r="B1122" s="718"/>
      <c r="C1122" s="713"/>
      <c r="D1122" s="199"/>
      <c r="E1122" s="199"/>
      <c r="F1122" s="712"/>
      <c r="G1122" s="714"/>
      <c r="H1122" s="712"/>
      <c r="I1122" s="718"/>
      <c r="J1122" s="711"/>
      <c r="K1122" s="711"/>
    </row>
    <row r="1123" spans="1:11">
      <c r="A1123" s="712"/>
      <c r="B1123" s="718"/>
      <c r="C1123" s="713"/>
      <c r="D1123" s="199"/>
      <c r="E1123" s="199"/>
      <c r="F1123" s="712"/>
      <c r="G1123" s="714"/>
      <c r="H1123" s="712"/>
      <c r="I1123" s="718"/>
      <c r="J1123" s="711"/>
      <c r="K1123" s="711"/>
    </row>
    <row r="1124" spans="1:11">
      <c r="A1124" s="712"/>
      <c r="B1124" s="718"/>
      <c r="C1124" s="713"/>
      <c r="D1124" s="199"/>
      <c r="E1124" s="199"/>
      <c r="F1124" s="712"/>
      <c r="G1124" s="714"/>
      <c r="H1124" s="712"/>
      <c r="I1124" s="718"/>
      <c r="J1124" s="711"/>
      <c r="K1124" s="711"/>
    </row>
    <row r="1125" spans="1:11">
      <c r="A1125" s="712"/>
      <c r="B1125" s="718"/>
      <c r="C1125" s="713"/>
      <c r="D1125" s="199"/>
      <c r="E1125" s="199"/>
      <c r="F1125" s="712"/>
      <c r="G1125" s="714"/>
      <c r="H1125" s="712"/>
      <c r="I1125" s="718"/>
      <c r="J1125" s="711"/>
      <c r="K1125" s="711"/>
    </row>
    <row r="1126" spans="1:11">
      <c r="A1126" s="712"/>
      <c r="B1126" s="718"/>
      <c r="C1126" s="713"/>
      <c r="D1126" s="199"/>
      <c r="E1126" s="199"/>
      <c r="F1126" s="712"/>
      <c r="G1126" s="714"/>
      <c r="H1126" s="712"/>
      <c r="I1126" s="718"/>
      <c r="J1126" s="711"/>
      <c r="K1126" s="711"/>
    </row>
    <row r="1127" spans="1:11">
      <c r="A1127" s="712"/>
      <c r="B1127" s="718"/>
      <c r="C1127" s="713"/>
      <c r="D1127" s="199"/>
      <c r="E1127" s="199"/>
      <c r="F1127" s="712"/>
      <c r="G1127" s="714"/>
      <c r="H1127" s="712"/>
      <c r="I1127" s="718"/>
      <c r="J1127" s="711"/>
      <c r="K1127" s="711"/>
    </row>
    <row r="1128" spans="1:11">
      <c r="A1128" s="712"/>
      <c r="B1128" s="718"/>
      <c r="C1128" s="713"/>
      <c r="D1128" s="199"/>
      <c r="E1128" s="199"/>
      <c r="F1128" s="712"/>
      <c r="G1128" s="714"/>
      <c r="H1128" s="712"/>
      <c r="I1128" s="718"/>
      <c r="J1128" s="711"/>
      <c r="K1128" s="711"/>
    </row>
    <row r="1129" spans="1:11">
      <c r="A1129" s="712"/>
      <c r="B1129" s="718"/>
      <c r="C1129" s="713"/>
      <c r="D1129" s="199"/>
      <c r="E1129" s="199"/>
      <c r="F1129" s="712"/>
      <c r="G1129" s="714"/>
      <c r="H1129" s="712"/>
      <c r="I1129" s="718"/>
      <c r="J1129" s="711"/>
      <c r="K1129" s="711"/>
    </row>
    <row r="1130" spans="1:11">
      <c r="A1130" s="712"/>
      <c r="B1130" s="718"/>
      <c r="C1130" s="713"/>
      <c r="D1130" s="199"/>
      <c r="E1130" s="199"/>
      <c r="F1130" s="712"/>
      <c r="G1130" s="714"/>
      <c r="H1130" s="712"/>
      <c r="I1130" s="718"/>
      <c r="J1130" s="711"/>
      <c r="K1130" s="711"/>
    </row>
    <row r="1131" spans="1:11">
      <c r="A1131" s="712"/>
      <c r="B1131" s="718"/>
      <c r="C1131" s="713"/>
      <c r="D1131" s="199"/>
      <c r="E1131" s="199"/>
      <c r="F1131" s="712"/>
      <c r="G1131" s="714"/>
      <c r="H1131" s="712"/>
      <c r="I1131" s="718"/>
      <c r="J1131" s="711"/>
      <c r="K1131" s="711"/>
    </row>
    <row r="1132" spans="1:11">
      <c r="A1132" s="712"/>
      <c r="B1132" s="718"/>
      <c r="C1132" s="713"/>
      <c r="D1132" s="199"/>
      <c r="E1132" s="199"/>
      <c r="F1132" s="712"/>
      <c r="G1132" s="714"/>
      <c r="H1132" s="712"/>
      <c r="I1132" s="718"/>
      <c r="J1132" s="711"/>
      <c r="K1132" s="711"/>
    </row>
    <row r="1133" spans="1:11">
      <c r="A1133" s="712"/>
      <c r="B1133" s="718"/>
      <c r="C1133" s="713"/>
      <c r="D1133" s="199"/>
      <c r="E1133" s="199"/>
      <c r="F1133" s="712"/>
      <c r="G1133" s="714"/>
      <c r="H1133" s="712"/>
      <c r="I1133" s="718"/>
      <c r="J1133" s="711"/>
      <c r="K1133" s="711"/>
    </row>
    <row r="1134" spans="1:11">
      <c r="A1134" s="712"/>
      <c r="B1134" s="718"/>
      <c r="C1134" s="713"/>
      <c r="D1134" s="199"/>
      <c r="E1134" s="199"/>
      <c r="F1134" s="712"/>
      <c r="G1134" s="714"/>
      <c r="H1134" s="712"/>
      <c r="I1134" s="718"/>
      <c r="J1134" s="711"/>
      <c r="K1134" s="711"/>
    </row>
    <row r="1135" spans="1:11">
      <c r="A1135" s="712"/>
      <c r="B1135" s="718"/>
      <c r="C1135" s="713"/>
      <c r="D1135" s="199"/>
      <c r="E1135" s="199"/>
      <c r="F1135" s="712"/>
      <c r="G1135" s="714"/>
      <c r="H1135" s="712"/>
      <c r="I1135" s="718"/>
      <c r="J1135" s="711"/>
      <c r="K1135" s="711"/>
    </row>
    <row r="1136" spans="1:11">
      <c r="A1136" s="712"/>
      <c r="B1136" s="718"/>
      <c r="C1136" s="713"/>
      <c r="D1136" s="199"/>
      <c r="E1136" s="199"/>
      <c r="F1136" s="712"/>
      <c r="G1136" s="714"/>
      <c r="H1136" s="712"/>
      <c r="I1136" s="718"/>
      <c r="J1136" s="711"/>
      <c r="K1136" s="711"/>
    </row>
    <row r="1137" spans="1:11">
      <c r="A1137" s="712"/>
      <c r="B1137" s="199"/>
      <c r="C1137" s="713"/>
      <c r="D1137" s="199"/>
      <c r="E1137" s="199"/>
      <c r="F1137" s="712"/>
      <c r="G1137" s="712"/>
      <c r="H1137" s="712"/>
      <c r="I1137" s="718"/>
      <c r="J1137" s="711"/>
      <c r="K1137" s="711"/>
    </row>
    <row r="1138" spans="1:11">
      <c r="A1138" s="712"/>
      <c r="B1138" s="199"/>
      <c r="C1138" s="713"/>
      <c r="D1138" s="199"/>
      <c r="E1138" s="199"/>
      <c r="F1138" s="712"/>
      <c r="G1138" s="712"/>
      <c r="H1138" s="712"/>
      <c r="I1138" s="718"/>
      <c r="J1138" s="711"/>
      <c r="K1138" s="711"/>
    </row>
    <row r="1139" spans="1:11">
      <c r="A1139" s="712"/>
      <c r="B1139" s="199"/>
      <c r="C1139" s="713"/>
      <c r="D1139" s="199"/>
      <c r="E1139" s="199"/>
      <c r="F1139" s="712"/>
      <c r="G1139" s="712"/>
      <c r="H1139" s="712"/>
      <c r="I1139" s="718"/>
      <c r="J1139" s="711"/>
      <c r="K1139" s="711"/>
    </row>
    <row r="1140" spans="1:11">
      <c r="A1140" s="712"/>
      <c r="B1140" s="199"/>
      <c r="C1140" s="713"/>
      <c r="D1140" s="199"/>
      <c r="E1140" s="199"/>
      <c r="F1140" s="712"/>
      <c r="G1140" s="712"/>
      <c r="H1140" s="712"/>
      <c r="I1140" s="718"/>
      <c r="J1140" s="711"/>
      <c r="K1140" s="711"/>
    </row>
    <row r="1141" spans="1:11">
      <c r="A1141" s="712"/>
      <c r="B1141" s="199"/>
      <c r="C1141" s="713"/>
      <c r="D1141" s="199"/>
      <c r="E1141" s="199"/>
      <c r="F1141" s="712"/>
      <c r="G1141" s="712"/>
      <c r="H1141" s="712"/>
      <c r="I1141" s="718"/>
      <c r="J1141" s="711"/>
      <c r="K1141" s="711"/>
    </row>
    <row r="1142" spans="1:11">
      <c r="A1142" s="712"/>
      <c r="B1142" s="199"/>
      <c r="C1142" s="713"/>
      <c r="D1142" s="199"/>
      <c r="E1142" s="199"/>
      <c r="F1142" s="712"/>
      <c r="G1142" s="712"/>
      <c r="H1142" s="712"/>
      <c r="I1142" s="718"/>
      <c r="J1142" s="711"/>
      <c r="K1142" s="711"/>
    </row>
    <row r="1143" spans="1:11">
      <c r="A1143" s="712"/>
      <c r="B1143" s="199"/>
      <c r="C1143" s="713"/>
      <c r="D1143" s="199"/>
      <c r="E1143" s="199"/>
      <c r="F1143" s="712"/>
      <c r="G1143" s="712"/>
      <c r="H1143" s="712"/>
      <c r="I1143" s="718"/>
      <c r="J1143" s="711"/>
      <c r="K1143" s="711"/>
    </row>
    <row r="1144" spans="1:11">
      <c r="A1144" s="712"/>
      <c r="B1144" s="199"/>
      <c r="C1144" s="713"/>
      <c r="D1144" s="199"/>
      <c r="E1144" s="199"/>
      <c r="F1144" s="712"/>
      <c r="G1144" s="712"/>
      <c r="H1144" s="712"/>
      <c r="I1144" s="718"/>
      <c r="J1144" s="711"/>
      <c r="K1144" s="711"/>
    </row>
    <row r="1145" spans="1:11">
      <c r="A1145" s="712"/>
      <c r="B1145" s="199"/>
      <c r="C1145" s="713"/>
      <c r="D1145" s="199"/>
      <c r="E1145" s="199"/>
      <c r="F1145" s="712"/>
      <c r="G1145" s="712"/>
      <c r="H1145" s="712"/>
      <c r="I1145" s="718"/>
      <c r="J1145" s="711"/>
      <c r="K1145" s="711"/>
    </row>
    <row r="1146" spans="1:11">
      <c r="A1146" s="712"/>
      <c r="B1146" s="199"/>
      <c r="C1146" s="713"/>
      <c r="D1146" s="199"/>
      <c r="E1146" s="199"/>
      <c r="F1146" s="712"/>
      <c r="G1146" s="712"/>
      <c r="H1146" s="712"/>
      <c r="I1146" s="718"/>
      <c r="J1146" s="711"/>
      <c r="K1146" s="711"/>
    </row>
    <row r="1147" spans="1:11">
      <c r="A1147" s="712"/>
      <c r="B1147" s="199"/>
      <c r="C1147" s="713"/>
      <c r="D1147" s="199"/>
      <c r="E1147" s="199"/>
      <c r="F1147" s="712"/>
      <c r="G1147" s="712"/>
      <c r="H1147" s="712"/>
      <c r="I1147" s="718"/>
      <c r="J1147" s="711"/>
      <c r="K1147" s="711"/>
    </row>
    <row r="1148" spans="1:11">
      <c r="A1148" s="712"/>
      <c r="B1148" s="199"/>
      <c r="C1148" s="713"/>
      <c r="D1148" s="199"/>
      <c r="E1148" s="199"/>
      <c r="F1148" s="712"/>
      <c r="G1148" s="712"/>
      <c r="H1148" s="712"/>
      <c r="I1148" s="718"/>
      <c r="J1148" s="711"/>
      <c r="K1148" s="711"/>
    </row>
    <row r="1149" spans="1:11">
      <c r="A1149" s="712"/>
      <c r="B1149" s="199"/>
      <c r="C1149" s="713"/>
      <c r="D1149" s="199"/>
      <c r="E1149" s="199"/>
      <c r="F1149" s="712"/>
      <c r="G1149" s="712"/>
      <c r="H1149" s="712"/>
      <c r="I1149" s="718"/>
      <c r="J1149" s="711"/>
      <c r="K1149" s="711"/>
    </row>
    <row r="1150" spans="1:11">
      <c r="A1150" s="712"/>
      <c r="B1150" s="199"/>
      <c r="C1150" s="713"/>
      <c r="D1150" s="199"/>
      <c r="E1150" s="199"/>
      <c r="F1150" s="712"/>
      <c r="G1150" s="712"/>
      <c r="H1150" s="712"/>
      <c r="I1150" s="718"/>
      <c r="J1150" s="711"/>
      <c r="K1150" s="711"/>
    </row>
    <row r="1151" spans="1:11">
      <c r="A1151" s="712"/>
      <c r="B1151" s="199"/>
      <c r="C1151" s="713"/>
      <c r="D1151" s="199"/>
      <c r="E1151" s="199"/>
      <c r="F1151" s="712"/>
      <c r="G1151" s="712"/>
      <c r="H1151" s="712"/>
      <c r="I1151" s="718"/>
      <c r="J1151" s="711"/>
      <c r="K1151" s="711"/>
    </row>
    <row r="1152" spans="1:11">
      <c r="A1152" s="712"/>
      <c r="B1152" s="199"/>
      <c r="C1152" s="713"/>
      <c r="D1152" s="199"/>
      <c r="E1152" s="199"/>
      <c r="F1152" s="712"/>
      <c r="G1152" s="712"/>
      <c r="H1152" s="712"/>
      <c r="I1152" s="718"/>
      <c r="J1152" s="711"/>
      <c r="K1152" s="711"/>
    </row>
    <row r="1153" spans="1:11">
      <c r="A1153" s="712"/>
      <c r="B1153" s="199"/>
      <c r="C1153" s="713"/>
      <c r="D1153" s="199"/>
      <c r="E1153" s="199"/>
      <c r="F1153" s="712"/>
      <c r="G1153" s="712"/>
      <c r="H1153" s="712"/>
      <c r="I1153" s="718"/>
      <c r="J1153" s="711"/>
      <c r="K1153" s="711"/>
    </row>
    <row r="1154" spans="1:11">
      <c r="A1154" s="712"/>
      <c r="B1154" s="199"/>
      <c r="C1154" s="713"/>
      <c r="D1154" s="199"/>
      <c r="E1154" s="199"/>
      <c r="F1154" s="712"/>
      <c r="G1154" s="712"/>
      <c r="H1154" s="712"/>
      <c r="I1154" s="718"/>
      <c r="J1154" s="711"/>
      <c r="K1154" s="711"/>
    </row>
    <row r="1155" spans="1:11">
      <c r="A1155" s="712"/>
      <c r="B1155" s="199"/>
      <c r="C1155" s="713"/>
      <c r="D1155" s="199"/>
      <c r="E1155" s="199"/>
      <c r="F1155" s="712"/>
      <c r="G1155" s="712"/>
      <c r="H1155" s="712"/>
      <c r="I1155" s="718"/>
      <c r="J1155" s="711"/>
      <c r="K1155" s="711"/>
    </row>
    <row r="1156" spans="1:11">
      <c r="A1156" s="712"/>
      <c r="B1156" s="199"/>
      <c r="C1156" s="713"/>
      <c r="D1156" s="199"/>
      <c r="E1156" s="199"/>
      <c r="F1156" s="712"/>
      <c r="G1156" s="712"/>
      <c r="H1156" s="712"/>
      <c r="I1156" s="718"/>
      <c r="J1156" s="711"/>
      <c r="K1156" s="711"/>
    </row>
    <row r="1157" spans="1:11">
      <c r="A1157" s="712"/>
      <c r="B1157" s="199"/>
      <c r="C1157" s="713"/>
      <c r="D1157" s="199"/>
      <c r="E1157" s="199"/>
      <c r="F1157" s="712"/>
      <c r="G1157" s="712"/>
      <c r="H1157" s="712"/>
      <c r="I1157" s="718"/>
      <c r="J1157" s="711"/>
      <c r="K1157" s="711"/>
    </row>
    <row r="1158" spans="1:11">
      <c r="A1158" s="712"/>
      <c r="B1158" s="199"/>
      <c r="C1158" s="713"/>
      <c r="D1158" s="199"/>
      <c r="E1158" s="199"/>
      <c r="F1158" s="712"/>
      <c r="G1158" s="712"/>
      <c r="H1158" s="712"/>
      <c r="I1158" s="718"/>
      <c r="J1158" s="711"/>
      <c r="K1158" s="711"/>
    </row>
    <row r="1159" spans="1:11">
      <c r="A1159" s="712"/>
      <c r="B1159" s="199"/>
      <c r="C1159" s="713"/>
      <c r="D1159" s="199"/>
      <c r="E1159" s="199"/>
      <c r="F1159" s="712"/>
      <c r="G1159" s="712"/>
      <c r="H1159" s="712"/>
      <c r="I1159" s="718"/>
      <c r="J1159" s="711"/>
      <c r="K1159" s="711"/>
    </row>
    <row r="1160" spans="1:11">
      <c r="A1160" s="712"/>
      <c r="B1160" s="199"/>
      <c r="C1160" s="713"/>
      <c r="D1160" s="199"/>
      <c r="E1160" s="199"/>
      <c r="F1160" s="712"/>
      <c r="G1160" s="712"/>
      <c r="H1160" s="712"/>
      <c r="I1160" s="718"/>
      <c r="J1160" s="711"/>
      <c r="K1160" s="711"/>
    </row>
    <row r="1161" spans="1:11">
      <c r="A1161" s="712"/>
      <c r="B1161" s="199"/>
      <c r="C1161" s="713"/>
      <c r="D1161" s="199"/>
      <c r="E1161" s="199"/>
      <c r="F1161" s="712"/>
      <c r="G1161" s="712"/>
      <c r="H1161" s="712"/>
      <c r="I1161" s="718"/>
      <c r="J1161" s="711"/>
      <c r="K1161" s="711"/>
    </row>
    <row r="1162" spans="1:11">
      <c r="A1162" s="712"/>
      <c r="B1162" s="199"/>
      <c r="C1162" s="713"/>
      <c r="D1162" s="199"/>
      <c r="E1162" s="199"/>
      <c r="F1162" s="712"/>
      <c r="G1162" s="712"/>
      <c r="H1162" s="712"/>
      <c r="I1162" s="718"/>
      <c r="J1162" s="711"/>
      <c r="K1162" s="711"/>
    </row>
    <row r="1163" spans="1:11">
      <c r="A1163" s="712"/>
      <c r="B1163" s="199"/>
      <c r="C1163" s="713"/>
      <c r="D1163" s="199"/>
      <c r="E1163" s="199"/>
      <c r="F1163" s="712"/>
      <c r="G1163" s="712"/>
      <c r="H1163" s="712"/>
      <c r="I1163" s="718"/>
      <c r="J1163" s="711"/>
      <c r="K1163" s="711"/>
    </row>
    <row r="1164" spans="1:11">
      <c r="A1164" s="712"/>
      <c r="B1164" s="199"/>
      <c r="C1164" s="713"/>
      <c r="D1164" s="199"/>
      <c r="E1164" s="199"/>
      <c r="F1164" s="712"/>
      <c r="G1164" s="712"/>
      <c r="H1164" s="712"/>
      <c r="I1164" s="718"/>
      <c r="J1164" s="711"/>
      <c r="K1164" s="711"/>
    </row>
    <row r="1165" spans="1:11">
      <c r="A1165" s="712"/>
      <c r="B1165" s="199"/>
      <c r="C1165" s="713"/>
      <c r="D1165" s="199"/>
      <c r="E1165" s="199"/>
      <c r="F1165" s="712"/>
      <c r="G1165" s="712"/>
      <c r="H1165" s="712"/>
      <c r="I1165" s="718"/>
      <c r="J1165" s="711"/>
      <c r="K1165" s="711"/>
    </row>
    <row r="1166" spans="1:11">
      <c r="A1166" s="712"/>
      <c r="B1166" s="199"/>
      <c r="C1166" s="713"/>
      <c r="D1166" s="199"/>
      <c r="E1166" s="199"/>
      <c r="F1166" s="712"/>
      <c r="G1166" s="712"/>
      <c r="H1166" s="712"/>
      <c r="I1166" s="718"/>
      <c r="J1166" s="711"/>
      <c r="K1166" s="711"/>
    </row>
    <row r="1167" spans="1:11">
      <c r="A1167" s="712"/>
      <c r="B1167" s="199"/>
      <c r="C1167" s="713"/>
      <c r="D1167" s="199"/>
      <c r="E1167" s="199"/>
      <c r="F1167" s="712"/>
      <c r="G1167" s="712"/>
      <c r="H1167" s="712"/>
      <c r="I1167" s="718"/>
      <c r="J1167" s="711"/>
      <c r="K1167" s="711"/>
    </row>
    <row r="1168" spans="1:11">
      <c r="A1168" s="712"/>
      <c r="B1168" s="199"/>
      <c r="C1168" s="713"/>
      <c r="D1168" s="199"/>
      <c r="E1168" s="199"/>
      <c r="F1168" s="712"/>
      <c r="G1168" s="712"/>
      <c r="H1168" s="712"/>
      <c r="I1168" s="718"/>
      <c r="J1168" s="711"/>
      <c r="K1168" s="711"/>
    </row>
    <row r="1169" spans="1:11">
      <c r="A1169" s="712"/>
      <c r="B1169" s="199"/>
      <c r="C1169" s="713"/>
      <c r="D1169" s="199"/>
      <c r="E1169" s="199"/>
      <c r="F1169" s="712"/>
      <c r="G1169" s="712"/>
      <c r="H1169" s="712"/>
      <c r="I1169" s="718"/>
      <c r="J1169" s="711"/>
      <c r="K1169" s="711"/>
    </row>
    <row r="1170" spans="1:11">
      <c r="A1170" s="712"/>
      <c r="B1170" s="199"/>
      <c r="C1170" s="713"/>
      <c r="D1170" s="199"/>
      <c r="E1170" s="199"/>
      <c r="F1170" s="712"/>
      <c r="G1170" s="712"/>
      <c r="H1170" s="712"/>
      <c r="I1170" s="718"/>
      <c r="J1170" s="711"/>
      <c r="K1170" s="711"/>
    </row>
    <row r="1171" spans="1:11">
      <c r="A1171" s="712"/>
      <c r="B1171" s="199"/>
      <c r="C1171" s="713"/>
      <c r="D1171" s="199"/>
      <c r="E1171" s="199"/>
      <c r="F1171" s="712"/>
      <c r="G1171" s="712"/>
      <c r="H1171" s="712"/>
      <c r="I1171" s="718"/>
      <c r="J1171" s="711"/>
      <c r="K1171" s="711"/>
    </row>
    <row r="1172" spans="1:11">
      <c r="A1172" s="712"/>
      <c r="B1172" s="199"/>
      <c r="C1172" s="713"/>
      <c r="D1172" s="199"/>
      <c r="E1172" s="199"/>
      <c r="F1172" s="712"/>
      <c r="G1172" s="712"/>
      <c r="H1172" s="712"/>
      <c r="I1172" s="718"/>
      <c r="J1172" s="711"/>
      <c r="K1172" s="711"/>
    </row>
    <row r="1173" spans="1:11">
      <c r="A1173" s="712"/>
      <c r="B1173" s="199"/>
      <c r="C1173" s="713"/>
      <c r="D1173" s="199"/>
      <c r="E1173" s="199"/>
      <c r="F1173" s="712"/>
      <c r="G1173" s="712"/>
      <c r="H1173" s="712"/>
      <c r="I1173" s="718"/>
      <c r="J1173" s="711"/>
      <c r="K1173" s="711"/>
    </row>
    <row r="1174" spans="1:11">
      <c r="A1174" s="712"/>
      <c r="B1174" s="199"/>
      <c r="C1174" s="713"/>
      <c r="D1174" s="199"/>
      <c r="E1174" s="199"/>
      <c r="F1174" s="712"/>
      <c r="G1174" s="712"/>
      <c r="H1174" s="712"/>
      <c r="I1174" s="718"/>
      <c r="J1174" s="711"/>
      <c r="K1174" s="711"/>
    </row>
    <row r="1175" spans="1:11">
      <c r="A1175" s="712"/>
      <c r="B1175" s="199"/>
      <c r="C1175" s="713"/>
      <c r="D1175" s="199"/>
      <c r="E1175" s="199"/>
      <c r="F1175" s="712"/>
      <c r="G1175" s="712"/>
      <c r="H1175" s="712"/>
      <c r="I1175" s="718"/>
      <c r="J1175" s="711"/>
      <c r="K1175" s="711"/>
    </row>
    <row r="1176" spans="1:11">
      <c r="A1176" s="712"/>
      <c r="B1176" s="199"/>
      <c r="C1176" s="713"/>
      <c r="D1176" s="199"/>
      <c r="E1176" s="199"/>
      <c r="F1176" s="712"/>
      <c r="G1176" s="712"/>
      <c r="H1176" s="712"/>
      <c r="I1176" s="718"/>
      <c r="J1176" s="711"/>
      <c r="K1176" s="711"/>
    </row>
    <row r="1177" spans="1:11">
      <c r="A1177" s="712"/>
      <c r="B1177" s="199"/>
      <c r="C1177" s="713"/>
      <c r="D1177" s="199"/>
      <c r="E1177" s="199"/>
      <c r="F1177" s="712"/>
      <c r="G1177" s="712"/>
      <c r="H1177" s="712"/>
      <c r="I1177" s="718"/>
      <c r="J1177" s="711"/>
      <c r="K1177" s="711"/>
    </row>
    <row r="1178" spans="1:11">
      <c r="A1178" s="712"/>
      <c r="B1178" s="199"/>
      <c r="C1178" s="713"/>
      <c r="D1178" s="199"/>
      <c r="E1178" s="199"/>
      <c r="F1178" s="712"/>
      <c r="G1178" s="714"/>
      <c r="H1178" s="712"/>
      <c r="I1178" s="718"/>
      <c r="J1178" s="711"/>
      <c r="K1178" s="711"/>
    </row>
    <row r="1179" spans="1:11">
      <c r="A1179" s="712"/>
      <c r="B1179" s="199"/>
      <c r="C1179" s="713"/>
      <c r="D1179" s="199"/>
      <c r="E1179" s="199"/>
      <c r="F1179" s="712"/>
      <c r="G1179" s="712"/>
      <c r="H1179" s="712"/>
      <c r="I1179" s="718"/>
      <c r="J1179" s="711"/>
      <c r="K1179" s="711"/>
    </row>
    <row r="1180" spans="1:11">
      <c r="A1180" s="712"/>
      <c r="B1180" s="199"/>
      <c r="C1180" s="713"/>
      <c r="D1180" s="199"/>
      <c r="E1180" s="199"/>
      <c r="F1180" s="712"/>
      <c r="G1180" s="714"/>
      <c r="H1180" s="712"/>
      <c r="I1180" s="718"/>
      <c r="J1180" s="711"/>
      <c r="K1180" s="711"/>
    </row>
    <row r="1181" spans="1:11">
      <c r="A1181" s="712"/>
      <c r="B1181" s="199"/>
      <c r="C1181" s="713"/>
      <c r="D1181" s="199"/>
      <c r="E1181" s="199"/>
      <c r="F1181" s="712"/>
      <c r="G1181" s="712"/>
      <c r="H1181" s="712"/>
      <c r="I1181" s="718"/>
      <c r="J1181" s="711"/>
      <c r="K1181" s="711"/>
    </row>
    <row r="1182" spans="1:11">
      <c r="A1182" s="712"/>
      <c r="B1182" s="199"/>
      <c r="C1182" s="713"/>
      <c r="D1182" s="199"/>
      <c r="E1182" s="199"/>
      <c r="F1182" s="712"/>
      <c r="G1182" s="714"/>
      <c r="H1182" s="712"/>
      <c r="I1182" s="718"/>
      <c r="J1182" s="711"/>
      <c r="K1182" s="711"/>
    </row>
    <row r="1183" spans="1:11">
      <c r="A1183" s="712"/>
      <c r="B1183" s="199"/>
      <c r="C1183" s="713"/>
      <c r="D1183" s="199"/>
      <c r="E1183" s="199"/>
      <c r="F1183" s="712"/>
      <c r="G1183" s="712"/>
      <c r="H1183" s="712"/>
      <c r="I1183" s="718"/>
      <c r="J1183" s="711"/>
      <c r="K1183" s="711"/>
    </row>
    <row r="1184" spans="1:11">
      <c r="A1184" s="712"/>
      <c r="B1184" s="199"/>
      <c r="C1184" s="713"/>
      <c r="D1184" s="199"/>
      <c r="E1184" s="199"/>
      <c r="F1184" s="712"/>
      <c r="G1184" s="719"/>
      <c r="H1184" s="712"/>
      <c r="I1184" s="718"/>
      <c r="J1184" s="711"/>
      <c r="K1184" s="711"/>
    </row>
    <row r="1185" spans="1:11">
      <c r="A1185" s="712"/>
      <c r="B1185" s="199"/>
      <c r="C1185" s="713"/>
      <c r="D1185" s="199"/>
      <c r="E1185" s="199"/>
      <c r="F1185" s="712"/>
      <c r="G1185" s="719"/>
      <c r="H1185" s="712"/>
      <c r="I1185" s="718"/>
      <c r="J1185" s="711"/>
      <c r="K1185" s="711"/>
    </row>
    <row r="1186" spans="1:11">
      <c r="A1186" s="712"/>
      <c r="B1186" s="199"/>
      <c r="C1186" s="713"/>
      <c r="D1186" s="199"/>
      <c r="E1186" s="199"/>
      <c r="F1186" s="712"/>
      <c r="G1186" s="720"/>
      <c r="H1186" s="712"/>
      <c r="I1186" s="718"/>
      <c r="J1186" s="711"/>
      <c r="K1186" s="711"/>
    </row>
    <row r="1187" spans="1:11">
      <c r="A1187" s="712"/>
      <c r="B1187" s="199"/>
      <c r="C1187" s="713"/>
      <c r="D1187" s="199"/>
      <c r="E1187" s="199"/>
      <c r="F1187" s="712"/>
      <c r="G1187" s="720"/>
      <c r="H1187" s="712"/>
      <c r="I1187" s="718"/>
      <c r="J1187" s="711"/>
      <c r="K1187" s="711"/>
    </row>
    <row r="1188" spans="1:11">
      <c r="A1188" s="712"/>
      <c r="B1188" s="199"/>
      <c r="C1188" s="713"/>
      <c r="D1188" s="199"/>
      <c r="E1188" s="199"/>
      <c r="F1188" s="712"/>
      <c r="G1188" s="720"/>
      <c r="H1188" s="712"/>
      <c r="I1188" s="199"/>
      <c r="J1188" s="711"/>
      <c r="K1188" s="711"/>
    </row>
    <row r="1189" spans="1:11">
      <c r="A1189" s="712"/>
      <c r="B1189" s="199"/>
      <c r="C1189" s="713"/>
      <c r="D1189" s="199"/>
      <c r="E1189" s="199"/>
      <c r="F1189" s="712"/>
      <c r="G1189" s="720"/>
      <c r="H1189" s="712"/>
      <c r="I1189" s="199"/>
      <c r="J1189" s="711"/>
      <c r="K1189" s="711"/>
    </row>
    <row r="1190" spans="1:11">
      <c r="A1190" s="712"/>
      <c r="B1190" s="199"/>
      <c r="C1190" s="713"/>
      <c r="D1190" s="199"/>
      <c r="E1190" s="199"/>
      <c r="F1190" s="712"/>
      <c r="G1190" s="720"/>
      <c r="H1190" s="712"/>
      <c r="I1190" s="199"/>
      <c r="J1190" s="711"/>
      <c r="K1190" s="711"/>
    </row>
    <row r="1191" spans="1:11">
      <c r="A1191" s="712"/>
      <c r="B1191" s="199"/>
      <c r="C1191" s="713"/>
      <c r="D1191" s="199"/>
      <c r="E1191" s="199"/>
      <c r="F1191" s="712"/>
      <c r="G1191" s="720"/>
      <c r="H1191" s="712"/>
      <c r="I1191" s="199"/>
      <c r="J1191" s="711"/>
      <c r="K1191" s="711"/>
    </row>
    <row r="1192" spans="1:11">
      <c r="A1192" s="712"/>
      <c r="B1192" s="199"/>
      <c r="C1192" s="713"/>
      <c r="D1192" s="199"/>
      <c r="E1192" s="199"/>
      <c r="F1192" s="712"/>
      <c r="G1192" s="720"/>
      <c r="H1192" s="712"/>
      <c r="I1192" s="199"/>
      <c r="J1192" s="711"/>
      <c r="K1192" s="711"/>
    </row>
    <row r="1193" spans="1:11">
      <c r="A1193" s="712"/>
      <c r="B1193" s="199"/>
      <c r="C1193" s="713"/>
      <c r="D1193" s="199"/>
      <c r="E1193" s="199"/>
      <c r="F1193" s="712"/>
      <c r="G1193" s="720"/>
      <c r="H1193" s="712"/>
      <c r="I1193" s="199"/>
      <c r="J1193" s="711"/>
      <c r="K1193" s="711"/>
    </row>
    <row r="1194" spans="1:11">
      <c r="A1194" s="712"/>
      <c r="B1194" s="199"/>
      <c r="C1194" s="713"/>
      <c r="D1194" s="199"/>
      <c r="E1194" s="199"/>
      <c r="F1194" s="712"/>
      <c r="G1194" s="720"/>
      <c r="H1194" s="712"/>
      <c r="I1194" s="199"/>
      <c r="J1194" s="711"/>
      <c r="K1194" s="711"/>
    </row>
    <row r="1195" spans="1:11">
      <c r="A1195" s="712"/>
      <c r="B1195" s="199"/>
      <c r="C1195" s="713"/>
      <c r="D1195" s="199"/>
      <c r="E1195" s="199"/>
      <c r="F1195" s="712"/>
      <c r="G1195" s="720"/>
      <c r="H1195" s="712"/>
      <c r="I1195" s="199"/>
      <c r="J1195" s="711"/>
      <c r="K1195" s="711"/>
    </row>
    <row r="1196" spans="1:11">
      <c r="A1196" s="712"/>
      <c r="B1196" s="199"/>
      <c r="C1196" s="713"/>
      <c r="D1196" s="199"/>
      <c r="E1196" s="199"/>
      <c r="F1196" s="712"/>
      <c r="G1196" s="720"/>
      <c r="H1196" s="712"/>
      <c r="I1196" s="199"/>
      <c r="J1196" s="711"/>
      <c r="K1196" s="711"/>
    </row>
    <row r="1197" spans="1:11">
      <c r="A1197" s="712"/>
      <c r="B1197" s="199"/>
      <c r="C1197" s="713"/>
      <c r="D1197" s="199"/>
      <c r="E1197" s="199"/>
      <c r="F1197" s="712"/>
      <c r="G1197" s="720"/>
      <c r="H1197" s="712"/>
      <c r="I1197" s="199"/>
      <c r="J1197" s="711"/>
      <c r="K1197" s="711"/>
    </row>
    <row r="1198" spans="1:11">
      <c r="A1198" s="712"/>
      <c r="B1198" s="199"/>
      <c r="C1198" s="713"/>
      <c r="D1198" s="199"/>
      <c r="E1198" s="199"/>
      <c r="F1198" s="712"/>
      <c r="G1198" s="720"/>
      <c r="H1198" s="712"/>
      <c r="I1198" s="199"/>
      <c r="J1198" s="711"/>
      <c r="K1198" s="711"/>
    </row>
    <row r="1199" spans="1:11">
      <c r="A1199" s="712"/>
      <c r="B1199" s="199"/>
      <c r="C1199" s="713"/>
      <c r="D1199" s="199"/>
      <c r="E1199" s="199"/>
      <c r="F1199" s="712"/>
      <c r="G1199" s="720"/>
      <c r="H1199" s="712"/>
      <c r="I1199" s="718"/>
      <c r="J1199" s="711"/>
      <c r="K1199" s="711"/>
    </row>
    <row r="1200" spans="1:11">
      <c r="A1200" s="712"/>
      <c r="B1200" s="199"/>
      <c r="C1200" s="713"/>
      <c r="D1200" s="199"/>
      <c r="E1200" s="199"/>
      <c r="F1200" s="712"/>
      <c r="G1200" s="720"/>
      <c r="H1200" s="712"/>
      <c r="I1200" s="718"/>
      <c r="J1200" s="711"/>
      <c r="K1200" s="711"/>
    </row>
    <row r="1201" spans="1:11">
      <c r="A1201" s="712"/>
      <c r="B1201" s="199"/>
      <c r="C1201" s="713"/>
      <c r="D1201" s="199"/>
      <c r="E1201" s="199"/>
      <c r="F1201" s="712"/>
      <c r="G1201" s="720"/>
      <c r="H1201" s="712"/>
      <c r="I1201" s="718"/>
      <c r="J1201" s="711"/>
      <c r="K1201" s="711"/>
    </row>
    <row r="1202" spans="1:11">
      <c r="A1202" s="712"/>
      <c r="B1202" s="199"/>
      <c r="C1202" s="713"/>
      <c r="D1202" s="199"/>
      <c r="E1202" s="199"/>
      <c r="F1202" s="712"/>
      <c r="G1202" s="720"/>
      <c r="H1202" s="712"/>
      <c r="I1202" s="718"/>
      <c r="J1202" s="711"/>
      <c r="K1202" s="711"/>
    </row>
    <row r="1203" spans="1:11">
      <c r="A1203" s="712"/>
      <c r="B1203" s="199"/>
      <c r="C1203" s="713"/>
      <c r="D1203" s="199"/>
      <c r="E1203" s="199"/>
      <c r="F1203" s="712"/>
      <c r="G1203" s="720"/>
      <c r="H1203" s="712"/>
      <c r="I1203" s="718"/>
      <c r="J1203" s="711"/>
      <c r="K1203" s="711"/>
    </row>
    <row r="1204" spans="1:11">
      <c r="A1204" s="712"/>
      <c r="B1204" s="199"/>
      <c r="C1204" s="713"/>
      <c r="D1204" s="199"/>
      <c r="E1204" s="199"/>
      <c r="F1204" s="712"/>
      <c r="G1204" s="720"/>
      <c r="H1204" s="712"/>
      <c r="I1204" s="718"/>
      <c r="J1204" s="711"/>
      <c r="K1204" s="711"/>
    </row>
    <row r="1205" spans="1:11">
      <c r="A1205" s="712"/>
      <c r="B1205" s="199"/>
      <c r="C1205" s="713"/>
      <c r="D1205" s="199"/>
      <c r="E1205" s="199"/>
      <c r="F1205" s="712"/>
      <c r="G1205" s="720"/>
      <c r="H1205" s="712"/>
      <c r="I1205" s="718"/>
      <c r="J1205" s="711"/>
      <c r="K1205" s="711"/>
    </row>
    <row r="1206" spans="1:11">
      <c r="A1206" s="712"/>
      <c r="B1206" s="199"/>
      <c r="C1206" s="713"/>
      <c r="D1206" s="199"/>
      <c r="E1206" s="199"/>
      <c r="F1206" s="712"/>
      <c r="G1206" s="720"/>
      <c r="H1206" s="712"/>
      <c r="I1206" s="718"/>
      <c r="J1206" s="711"/>
      <c r="K1206" s="711"/>
    </row>
    <row r="1207" spans="1:11">
      <c r="A1207" s="712"/>
      <c r="B1207" s="199"/>
      <c r="C1207" s="713"/>
      <c r="D1207" s="199"/>
      <c r="E1207" s="199"/>
      <c r="F1207" s="712"/>
      <c r="G1207" s="720"/>
      <c r="H1207" s="712"/>
      <c r="I1207" s="718"/>
      <c r="J1207" s="711"/>
      <c r="K1207" s="711"/>
    </row>
    <row r="1208" spans="1:11">
      <c r="A1208" s="712"/>
      <c r="B1208" s="199"/>
      <c r="C1208" s="713"/>
      <c r="D1208" s="199"/>
      <c r="E1208" s="199"/>
      <c r="F1208" s="712"/>
      <c r="G1208" s="720"/>
      <c r="H1208" s="712"/>
      <c r="I1208" s="718"/>
      <c r="J1208" s="711"/>
      <c r="K1208" s="711"/>
    </row>
    <row r="1209" spans="1:11">
      <c r="A1209" s="712"/>
      <c r="B1209" s="199"/>
      <c r="C1209" s="713"/>
      <c r="D1209" s="199"/>
      <c r="E1209" s="199"/>
      <c r="F1209" s="712"/>
      <c r="G1209" s="720"/>
      <c r="H1209" s="712"/>
      <c r="I1209" s="718"/>
      <c r="J1209" s="711"/>
      <c r="K1209" s="711"/>
    </row>
    <row r="1210" spans="1:11">
      <c r="A1210" s="712"/>
      <c r="B1210" s="199"/>
      <c r="C1210" s="713"/>
      <c r="D1210" s="199"/>
      <c r="E1210" s="199"/>
      <c r="F1210" s="712"/>
      <c r="G1210" s="720"/>
      <c r="H1210" s="712"/>
      <c r="I1210" s="718"/>
      <c r="J1210" s="711"/>
      <c r="K1210" s="711"/>
    </row>
    <row r="1211" spans="1:11">
      <c r="A1211" s="712"/>
      <c r="B1211" s="199"/>
      <c r="C1211" s="713"/>
      <c r="D1211" s="199"/>
      <c r="E1211" s="199"/>
      <c r="F1211" s="712"/>
      <c r="G1211" s="720"/>
      <c r="H1211" s="712"/>
      <c r="I1211" s="718"/>
      <c r="J1211" s="711"/>
      <c r="K1211" s="711"/>
    </row>
    <row r="1212" spans="1:11">
      <c r="A1212" s="712"/>
      <c r="B1212" s="199"/>
      <c r="C1212" s="713"/>
      <c r="D1212" s="199"/>
      <c r="E1212" s="199"/>
      <c r="F1212" s="712"/>
      <c r="G1212" s="720"/>
      <c r="H1212" s="712"/>
      <c r="I1212" s="718"/>
      <c r="J1212" s="711"/>
      <c r="K1212" s="711"/>
    </row>
    <row r="1213" spans="1:11">
      <c r="A1213" s="712"/>
      <c r="B1213" s="199"/>
      <c r="C1213" s="713"/>
      <c r="D1213" s="199"/>
      <c r="E1213" s="199"/>
      <c r="F1213" s="712"/>
      <c r="G1213" s="720"/>
      <c r="H1213" s="712"/>
      <c r="I1213" s="718"/>
      <c r="J1213" s="711"/>
      <c r="K1213" s="711"/>
    </row>
    <row r="1214" spans="1:11">
      <c r="A1214" s="712"/>
      <c r="B1214" s="199"/>
      <c r="C1214" s="713"/>
      <c r="D1214" s="199"/>
      <c r="E1214" s="199"/>
      <c r="F1214" s="712"/>
      <c r="G1214" s="720"/>
      <c r="H1214" s="712"/>
      <c r="I1214" s="718"/>
      <c r="J1214" s="711"/>
      <c r="K1214" s="711"/>
    </row>
    <row r="1215" spans="1:11">
      <c r="A1215" s="712"/>
      <c r="B1215" s="199"/>
      <c r="C1215" s="713"/>
      <c r="D1215" s="199"/>
      <c r="E1215" s="199"/>
      <c r="F1215" s="712"/>
      <c r="G1215" s="720"/>
      <c r="H1215" s="712"/>
      <c r="I1215" s="718"/>
      <c r="J1215" s="711"/>
      <c r="K1215" s="711"/>
    </row>
    <row r="1216" spans="1:11">
      <c r="A1216" s="712"/>
      <c r="B1216" s="199"/>
      <c r="C1216" s="713"/>
      <c r="D1216" s="199"/>
      <c r="E1216" s="199"/>
      <c r="F1216" s="712"/>
      <c r="G1216" s="720"/>
      <c r="H1216" s="712"/>
      <c r="I1216" s="718"/>
      <c r="J1216" s="711"/>
      <c r="K1216" s="711"/>
    </row>
    <row r="1217" spans="1:11">
      <c r="A1217" s="712"/>
      <c r="B1217" s="199"/>
      <c r="C1217" s="713"/>
      <c r="D1217" s="199"/>
      <c r="E1217" s="199"/>
      <c r="F1217" s="712"/>
      <c r="G1217" s="720"/>
      <c r="H1217" s="712"/>
      <c r="I1217" s="718"/>
      <c r="J1217" s="711"/>
      <c r="K1217" s="711"/>
    </row>
    <row r="1218" spans="1:11">
      <c r="A1218" s="712"/>
      <c r="B1218" s="199"/>
      <c r="C1218" s="713"/>
      <c r="D1218" s="199"/>
      <c r="E1218" s="199"/>
      <c r="F1218" s="712"/>
      <c r="G1218" s="720"/>
      <c r="H1218" s="712"/>
      <c r="I1218" s="718"/>
      <c r="J1218" s="711"/>
      <c r="K1218" s="711"/>
    </row>
    <row r="1219" spans="1:11">
      <c r="A1219" s="712"/>
      <c r="B1219" s="199"/>
      <c r="C1219" s="713"/>
      <c r="D1219" s="199"/>
      <c r="E1219" s="199"/>
      <c r="F1219" s="712"/>
      <c r="G1219" s="720"/>
      <c r="H1219" s="712"/>
      <c r="I1219" s="718"/>
      <c r="J1219" s="711"/>
      <c r="K1219" s="711"/>
    </row>
    <row r="1220" spans="1:11">
      <c r="A1220" s="712"/>
      <c r="B1220" s="199"/>
      <c r="C1220" s="713"/>
      <c r="D1220" s="199"/>
      <c r="E1220" s="199"/>
      <c r="F1220" s="712"/>
      <c r="G1220" s="720"/>
      <c r="H1220" s="712"/>
      <c r="I1220" s="718"/>
      <c r="J1220" s="711"/>
      <c r="K1220" s="711"/>
    </row>
    <row r="1221" spans="1:11">
      <c r="A1221" s="712"/>
      <c r="B1221" s="199"/>
      <c r="C1221" s="713"/>
      <c r="D1221" s="199"/>
      <c r="E1221" s="199"/>
      <c r="F1221" s="712"/>
      <c r="G1221" s="720"/>
      <c r="H1221" s="712"/>
      <c r="I1221" s="718"/>
      <c r="J1221" s="711"/>
      <c r="K1221" s="711"/>
    </row>
    <row r="1222" spans="1:11">
      <c r="A1222" s="712"/>
      <c r="B1222" s="199"/>
      <c r="C1222" s="713"/>
      <c r="D1222" s="199"/>
      <c r="E1222" s="199"/>
      <c r="F1222" s="712"/>
      <c r="G1222" s="720"/>
      <c r="H1222" s="712"/>
      <c r="I1222" s="718"/>
      <c r="J1222" s="711"/>
      <c r="K1222" s="711"/>
    </row>
    <row r="1223" spans="1:11">
      <c r="A1223" s="712"/>
      <c r="B1223" s="199"/>
      <c r="C1223" s="713"/>
      <c r="D1223" s="199"/>
      <c r="E1223" s="199"/>
      <c r="F1223" s="712"/>
      <c r="G1223" s="720"/>
      <c r="H1223" s="712"/>
      <c r="I1223" s="718"/>
      <c r="J1223" s="711"/>
      <c r="K1223" s="711"/>
    </row>
    <row r="1224" spans="1:11">
      <c r="A1224" s="712"/>
      <c r="B1224" s="199"/>
      <c r="C1224" s="713"/>
      <c r="D1224" s="199"/>
      <c r="E1224" s="199"/>
      <c r="F1224" s="712"/>
      <c r="G1224" s="720"/>
      <c r="H1224" s="712"/>
      <c r="I1224" s="718"/>
      <c r="J1224" s="711"/>
      <c r="K1224" s="711"/>
    </row>
    <row r="1225" spans="1:11">
      <c r="A1225" s="712"/>
      <c r="B1225" s="199"/>
      <c r="C1225" s="713"/>
      <c r="D1225" s="199"/>
      <c r="E1225" s="199"/>
      <c r="F1225" s="712"/>
      <c r="G1225" s="720"/>
      <c r="H1225" s="712"/>
      <c r="I1225" s="718"/>
      <c r="J1225" s="711"/>
      <c r="K1225" s="711"/>
    </row>
    <row r="1226" spans="1:11">
      <c r="A1226" s="712"/>
      <c r="B1226" s="199"/>
      <c r="C1226" s="713"/>
      <c r="D1226" s="199"/>
      <c r="E1226" s="199"/>
      <c r="F1226" s="712"/>
      <c r="G1226" s="720"/>
      <c r="H1226" s="712"/>
      <c r="I1226" s="718"/>
      <c r="J1226" s="711"/>
      <c r="K1226" s="711"/>
    </row>
    <row r="1227" spans="1:11">
      <c r="A1227" s="712"/>
      <c r="B1227" s="199"/>
      <c r="C1227" s="713"/>
      <c r="D1227" s="199"/>
      <c r="E1227" s="199"/>
      <c r="F1227" s="712"/>
      <c r="G1227" s="720"/>
      <c r="H1227" s="712"/>
      <c r="I1227" s="718"/>
      <c r="J1227" s="711"/>
      <c r="K1227" s="711"/>
    </row>
    <row r="1228" spans="1:11">
      <c r="A1228" s="712"/>
      <c r="B1228" s="199"/>
      <c r="C1228" s="713"/>
      <c r="D1228" s="199"/>
      <c r="E1228" s="199"/>
      <c r="F1228" s="712"/>
      <c r="G1228" s="720"/>
      <c r="H1228" s="712"/>
      <c r="I1228" s="718"/>
      <c r="J1228" s="711"/>
      <c r="K1228" s="711"/>
    </row>
    <row r="1229" spans="1:11">
      <c r="A1229" s="712"/>
      <c r="B1229" s="199"/>
      <c r="C1229" s="713"/>
      <c r="D1229" s="199"/>
      <c r="E1229" s="199"/>
      <c r="F1229" s="712"/>
      <c r="G1229" s="720"/>
      <c r="H1229" s="712"/>
      <c r="I1229" s="718"/>
      <c r="J1229" s="711"/>
      <c r="K1229" s="711"/>
    </row>
    <row r="1230" spans="1:11">
      <c r="A1230" s="712"/>
      <c r="B1230" s="199"/>
      <c r="C1230" s="713"/>
      <c r="D1230" s="199"/>
      <c r="E1230" s="199"/>
      <c r="F1230" s="712"/>
      <c r="G1230" s="720"/>
      <c r="H1230" s="712"/>
      <c r="I1230" s="718"/>
      <c r="J1230" s="711"/>
      <c r="K1230" s="711"/>
    </row>
    <row r="1231" spans="1:11">
      <c r="A1231" s="712"/>
      <c r="B1231" s="199"/>
      <c r="C1231" s="713"/>
      <c r="D1231" s="199"/>
      <c r="E1231" s="199"/>
      <c r="F1231" s="712"/>
      <c r="G1231" s="720"/>
      <c r="H1231" s="712"/>
      <c r="I1231" s="718"/>
      <c r="J1231" s="711"/>
      <c r="K1231" s="711"/>
    </row>
    <row r="1232" spans="1:11">
      <c r="A1232" s="712"/>
      <c r="B1232" s="199"/>
      <c r="C1232" s="713"/>
      <c r="D1232" s="199"/>
      <c r="E1232" s="199"/>
      <c r="F1232" s="712"/>
      <c r="G1232" s="720"/>
      <c r="H1232" s="712"/>
      <c r="I1232" s="199"/>
      <c r="J1232" s="711"/>
      <c r="K1232" s="711"/>
    </row>
    <row r="1233" spans="1:11">
      <c r="A1233" s="712"/>
      <c r="B1233" s="199"/>
      <c r="C1233" s="713"/>
      <c r="D1233" s="199"/>
      <c r="E1233" s="199"/>
      <c r="F1233" s="712"/>
      <c r="G1233" s="720"/>
      <c r="H1233" s="712"/>
      <c r="I1233" s="199"/>
      <c r="J1233" s="711"/>
      <c r="K1233" s="711"/>
    </row>
    <row r="1234" spans="1:11">
      <c r="A1234" s="712"/>
      <c r="B1234" s="199"/>
      <c r="C1234" s="713"/>
      <c r="D1234" s="199"/>
      <c r="E1234" s="199"/>
      <c r="F1234" s="712"/>
      <c r="G1234" s="720"/>
      <c r="H1234" s="712"/>
      <c r="I1234" s="199"/>
      <c r="J1234" s="711"/>
      <c r="K1234" s="711"/>
    </row>
    <row r="1235" spans="1:11">
      <c r="A1235" s="712"/>
      <c r="B1235" s="199"/>
      <c r="C1235" s="713"/>
      <c r="D1235" s="199"/>
      <c r="E1235" s="199"/>
      <c r="F1235" s="712"/>
      <c r="G1235" s="720"/>
      <c r="H1235" s="712"/>
      <c r="I1235" s="199"/>
      <c r="J1235" s="711"/>
      <c r="K1235" s="711"/>
    </row>
    <row r="1236" spans="1:11">
      <c r="A1236" s="712"/>
      <c r="B1236" s="199"/>
      <c r="C1236" s="713"/>
      <c r="D1236" s="199"/>
      <c r="E1236" s="199"/>
      <c r="F1236" s="712"/>
      <c r="G1236" s="720"/>
      <c r="H1236" s="712"/>
      <c r="I1236" s="199"/>
      <c r="J1236" s="711"/>
      <c r="K1236" s="711"/>
    </row>
    <row r="1237" spans="1:11">
      <c r="A1237" s="712"/>
      <c r="B1237" s="199"/>
      <c r="C1237" s="713"/>
      <c r="D1237" s="199"/>
      <c r="E1237" s="199"/>
      <c r="F1237" s="712"/>
      <c r="G1237" s="720"/>
      <c r="H1237" s="712"/>
      <c r="I1237" s="199"/>
      <c r="J1237" s="711"/>
      <c r="K1237" s="711"/>
    </row>
    <row r="1238" spans="1:11">
      <c r="A1238" s="712"/>
      <c r="B1238" s="199"/>
      <c r="C1238" s="713"/>
      <c r="D1238" s="199"/>
      <c r="E1238" s="199"/>
      <c r="F1238" s="712"/>
      <c r="G1238" s="720"/>
      <c r="H1238" s="712"/>
      <c r="I1238" s="199"/>
      <c r="J1238" s="711"/>
      <c r="K1238" s="711"/>
    </row>
    <row r="1239" spans="1:11">
      <c r="A1239" s="712"/>
      <c r="B1239" s="199"/>
      <c r="C1239" s="713"/>
      <c r="D1239" s="199"/>
      <c r="E1239" s="199"/>
      <c r="F1239" s="712"/>
      <c r="G1239" s="720"/>
      <c r="H1239" s="712"/>
      <c r="I1239" s="199"/>
      <c r="J1239" s="711"/>
      <c r="K1239" s="711"/>
    </row>
    <row r="1240" spans="1:11">
      <c r="A1240" s="712"/>
      <c r="B1240" s="199"/>
      <c r="C1240" s="713"/>
      <c r="D1240" s="199"/>
      <c r="E1240" s="199"/>
      <c r="F1240" s="712"/>
      <c r="G1240" s="720"/>
      <c r="H1240" s="712"/>
      <c r="I1240" s="199"/>
      <c r="J1240" s="711"/>
      <c r="K1240" s="711"/>
    </row>
    <row r="1241" spans="1:11">
      <c r="A1241" s="712"/>
      <c r="B1241" s="199"/>
      <c r="C1241" s="713"/>
      <c r="D1241" s="199"/>
      <c r="E1241" s="199"/>
      <c r="F1241" s="712"/>
      <c r="G1241" s="720"/>
      <c r="H1241" s="712"/>
      <c r="I1241" s="199"/>
      <c r="J1241" s="711"/>
      <c r="K1241" s="711"/>
    </row>
    <row r="1242" spans="1:11">
      <c r="A1242" s="712"/>
      <c r="B1242" s="199"/>
      <c r="C1242" s="713"/>
      <c r="D1242" s="199"/>
      <c r="E1242" s="199"/>
      <c r="F1242" s="712"/>
      <c r="G1242" s="720"/>
      <c r="H1242" s="712"/>
      <c r="I1242" s="199"/>
      <c r="J1242" s="711"/>
      <c r="K1242" s="711"/>
    </row>
    <row r="1243" spans="1:11">
      <c r="A1243" s="712"/>
      <c r="B1243" s="199"/>
      <c r="C1243" s="713"/>
      <c r="D1243" s="199"/>
      <c r="E1243" s="199"/>
      <c r="F1243" s="712"/>
      <c r="G1243" s="720"/>
      <c r="H1243" s="712"/>
      <c r="I1243" s="199"/>
      <c r="J1243" s="711"/>
      <c r="K1243" s="711"/>
    </row>
    <row r="1244" spans="1:11">
      <c r="A1244" s="712"/>
      <c r="B1244" s="199"/>
      <c r="C1244" s="713"/>
      <c r="D1244" s="199"/>
      <c r="E1244" s="199"/>
      <c r="F1244" s="712"/>
      <c r="G1244" s="720"/>
      <c r="H1244" s="712"/>
      <c r="I1244" s="199"/>
      <c r="J1244" s="711"/>
      <c r="K1244" s="711"/>
    </row>
    <row r="1245" spans="1:11">
      <c r="A1245" s="712"/>
      <c r="B1245" s="199"/>
      <c r="C1245" s="713"/>
      <c r="D1245" s="199"/>
      <c r="E1245" s="199"/>
      <c r="F1245" s="712"/>
      <c r="G1245" s="720"/>
      <c r="H1245" s="712"/>
      <c r="I1245" s="199"/>
      <c r="J1245" s="711"/>
      <c r="K1245" s="711"/>
    </row>
    <row r="1246" spans="1:11">
      <c r="A1246" s="712"/>
      <c r="B1246" s="199"/>
      <c r="C1246" s="713"/>
      <c r="D1246" s="199"/>
      <c r="E1246" s="199"/>
      <c r="F1246" s="712"/>
      <c r="G1246" s="720"/>
      <c r="H1246" s="712"/>
      <c r="I1246" s="199"/>
      <c r="J1246" s="711"/>
      <c r="K1246" s="711"/>
    </row>
    <row r="1247" spans="1:11">
      <c r="A1247" s="712"/>
      <c r="B1247" s="199"/>
      <c r="C1247" s="713"/>
      <c r="D1247" s="199"/>
      <c r="E1247" s="199"/>
      <c r="F1247" s="712"/>
      <c r="G1247" s="720"/>
      <c r="H1247" s="712"/>
      <c r="I1247" s="199"/>
      <c r="J1247" s="711"/>
      <c r="K1247" s="711"/>
    </row>
    <row r="1248" spans="1:11">
      <c r="A1248" s="712"/>
      <c r="B1248" s="199"/>
      <c r="C1248" s="713"/>
      <c r="D1248" s="199"/>
      <c r="E1248" s="199"/>
      <c r="F1248" s="712"/>
      <c r="G1248" s="720"/>
      <c r="H1248" s="712"/>
      <c r="I1248" s="199"/>
      <c r="J1248" s="711"/>
      <c r="K1248" s="711"/>
    </row>
    <row r="1249" spans="1:11">
      <c r="A1249" s="712"/>
      <c r="B1249" s="199"/>
      <c r="C1249" s="713"/>
      <c r="D1249" s="199"/>
      <c r="E1249" s="199"/>
      <c r="F1249" s="712"/>
      <c r="G1249" s="720"/>
      <c r="H1249" s="712"/>
      <c r="I1249" s="199"/>
      <c r="J1249" s="711"/>
      <c r="K1249" s="711"/>
    </row>
    <row r="1250" spans="1:11">
      <c r="A1250" s="712"/>
      <c r="B1250" s="199"/>
      <c r="C1250" s="713"/>
      <c r="D1250" s="199"/>
      <c r="E1250" s="199"/>
      <c r="F1250" s="712"/>
      <c r="G1250" s="720"/>
      <c r="H1250" s="712"/>
      <c r="I1250" s="199"/>
      <c r="J1250" s="711"/>
      <c r="K1250" s="711"/>
    </row>
    <row r="1251" spans="1:11">
      <c r="A1251" s="712"/>
      <c r="B1251" s="199"/>
      <c r="C1251" s="713"/>
      <c r="D1251" s="199"/>
      <c r="E1251" s="199"/>
      <c r="F1251" s="712"/>
      <c r="G1251" s="720"/>
      <c r="H1251" s="712"/>
      <c r="I1251" s="199"/>
      <c r="J1251" s="711"/>
      <c r="K1251" s="711"/>
    </row>
    <row r="1252" spans="1:11">
      <c r="A1252" s="712"/>
      <c r="B1252" s="199"/>
      <c r="C1252" s="713"/>
      <c r="D1252" s="199"/>
      <c r="E1252" s="199"/>
      <c r="F1252" s="712"/>
      <c r="G1252" s="720"/>
      <c r="H1252" s="712"/>
      <c r="I1252" s="199"/>
      <c r="J1252" s="711"/>
      <c r="K1252" s="711"/>
    </row>
    <row r="1253" spans="1:11">
      <c r="A1253" s="712"/>
      <c r="B1253" s="199"/>
      <c r="C1253" s="713"/>
      <c r="D1253" s="199"/>
      <c r="E1253" s="199"/>
      <c r="F1253" s="712"/>
      <c r="G1253" s="720"/>
      <c r="H1253" s="712"/>
      <c r="I1253" s="199"/>
      <c r="J1253" s="711"/>
      <c r="K1253" s="711"/>
    </row>
    <row r="1254" spans="1:11">
      <c r="A1254" s="712"/>
      <c r="B1254" s="199"/>
      <c r="C1254" s="713"/>
      <c r="D1254" s="199"/>
      <c r="E1254" s="199"/>
      <c r="F1254" s="712"/>
      <c r="G1254" s="720"/>
      <c r="H1254" s="712"/>
      <c r="I1254" s="199"/>
      <c r="J1254" s="711"/>
      <c r="K1254" s="711"/>
    </row>
    <row r="1255" spans="1:11">
      <c r="A1255" s="712"/>
      <c r="B1255" s="199"/>
      <c r="C1255" s="713"/>
      <c r="D1255" s="199"/>
      <c r="E1255" s="199"/>
      <c r="F1255" s="712"/>
      <c r="G1255" s="720"/>
      <c r="H1255" s="712"/>
      <c r="I1255" s="199"/>
      <c r="J1255" s="711"/>
      <c r="K1255" s="711"/>
    </row>
    <row r="1256" spans="1:11">
      <c r="A1256" s="712"/>
      <c r="B1256" s="199"/>
      <c r="C1256" s="713"/>
      <c r="D1256" s="199"/>
      <c r="E1256" s="199"/>
      <c r="F1256" s="712"/>
      <c r="G1256" s="720"/>
      <c r="H1256" s="712"/>
      <c r="I1256" s="199"/>
      <c r="J1256" s="711"/>
      <c r="K1256" s="711"/>
    </row>
    <row r="1257" spans="1:11">
      <c r="A1257" s="712"/>
      <c r="B1257" s="199"/>
      <c r="C1257" s="713"/>
      <c r="D1257" s="199"/>
      <c r="E1257" s="199"/>
      <c r="F1257" s="712"/>
      <c r="G1257" s="720"/>
      <c r="H1257" s="712"/>
      <c r="I1257" s="199"/>
      <c r="J1257" s="711"/>
      <c r="K1257" s="711"/>
    </row>
    <row r="1258" spans="1:11">
      <c r="A1258" s="712"/>
      <c r="B1258" s="199"/>
      <c r="C1258" s="713"/>
      <c r="D1258" s="199"/>
      <c r="E1258" s="199"/>
      <c r="F1258" s="712"/>
      <c r="G1258" s="720"/>
      <c r="H1258" s="712"/>
      <c r="I1258" s="199"/>
      <c r="J1258" s="711"/>
      <c r="K1258" s="711"/>
    </row>
    <row r="1259" spans="1:11">
      <c r="A1259" s="712"/>
      <c r="B1259" s="199"/>
      <c r="C1259" s="713"/>
      <c r="D1259" s="199"/>
      <c r="E1259" s="199"/>
      <c r="F1259" s="712"/>
      <c r="G1259" s="720"/>
      <c r="H1259" s="712"/>
      <c r="I1259" s="199"/>
      <c r="J1259" s="711"/>
      <c r="K1259" s="711"/>
    </row>
    <row r="1260" spans="1:11">
      <c r="A1260" s="712"/>
      <c r="B1260" s="199"/>
      <c r="C1260" s="713"/>
      <c r="D1260" s="199"/>
      <c r="E1260" s="199"/>
      <c r="F1260" s="712"/>
      <c r="G1260" s="720"/>
      <c r="H1260" s="712"/>
      <c r="I1260" s="199"/>
      <c r="J1260" s="711"/>
      <c r="K1260" s="711"/>
    </row>
    <row r="1261" spans="1:11">
      <c r="A1261" s="712"/>
      <c r="B1261" s="199"/>
      <c r="C1261" s="713"/>
      <c r="D1261" s="199"/>
      <c r="E1261" s="199"/>
      <c r="F1261" s="712"/>
      <c r="G1261" s="720"/>
      <c r="H1261" s="712"/>
      <c r="I1261" s="199"/>
      <c r="J1261" s="711"/>
      <c r="K1261" s="711"/>
    </row>
    <row r="1262" spans="1:11">
      <c r="A1262" s="712"/>
      <c r="B1262" s="199"/>
      <c r="C1262" s="713"/>
      <c r="D1262" s="199"/>
      <c r="E1262" s="199"/>
      <c r="F1262" s="712"/>
      <c r="G1262" s="720"/>
      <c r="H1262" s="712"/>
      <c r="I1262" s="199"/>
      <c r="J1262" s="711"/>
      <c r="K1262" s="711"/>
    </row>
    <row r="1263" spans="1:11">
      <c r="A1263" s="712"/>
      <c r="B1263" s="199"/>
      <c r="C1263" s="713"/>
      <c r="D1263" s="199"/>
      <c r="E1263" s="199"/>
      <c r="F1263" s="712"/>
      <c r="G1263" s="720"/>
      <c r="H1263" s="712"/>
      <c r="I1263" s="199"/>
      <c r="J1263" s="711"/>
      <c r="K1263" s="711"/>
    </row>
    <row r="1264" spans="1:11">
      <c r="A1264" s="712"/>
      <c r="B1264" s="199"/>
      <c r="C1264" s="713"/>
      <c r="D1264" s="199"/>
      <c r="E1264" s="199"/>
      <c r="F1264" s="712"/>
      <c r="G1264" s="720"/>
      <c r="H1264" s="712"/>
      <c r="I1264" s="199"/>
      <c r="J1264" s="711"/>
      <c r="K1264" s="711"/>
    </row>
    <row r="1265" spans="1:11">
      <c r="A1265" s="712"/>
      <c r="B1265" s="199"/>
      <c r="C1265" s="713"/>
      <c r="D1265" s="199"/>
      <c r="E1265" s="199"/>
      <c r="F1265" s="712"/>
      <c r="G1265" s="720"/>
      <c r="H1265" s="712"/>
      <c r="I1265" s="199"/>
      <c r="J1265" s="711"/>
      <c r="K1265" s="711"/>
    </row>
    <row r="1266" spans="1:11">
      <c r="A1266" s="712"/>
      <c r="B1266" s="199"/>
      <c r="C1266" s="713"/>
      <c r="D1266" s="199"/>
      <c r="E1266" s="199"/>
      <c r="F1266" s="712"/>
      <c r="G1266" s="720"/>
      <c r="H1266" s="712"/>
      <c r="I1266" s="199"/>
      <c r="J1266" s="711"/>
      <c r="K1266" s="711"/>
    </row>
    <row r="1267" spans="1:11">
      <c r="A1267" s="712"/>
      <c r="B1267" s="199"/>
      <c r="C1267" s="713"/>
      <c r="D1267" s="199"/>
      <c r="E1267" s="199"/>
      <c r="F1267" s="712"/>
      <c r="G1267" s="720"/>
      <c r="H1267" s="712"/>
      <c r="I1267" s="199"/>
      <c r="J1267" s="711"/>
      <c r="K1267" s="711"/>
    </row>
    <row r="1268" spans="1:11">
      <c r="A1268" s="712"/>
      <c r="B1268" s="199"/>
      <c r="C1268" s="713"/>
      <c r="D1268" s="199"/>
      <c r="E1268" s="199"/>
      <c r="F1268" s="712"/>
      <c r="G1268" s="720"/>
      <c r="H1268" s="712"/>
      <c r="I1268" s="199"/>
      <c r="J1268" s="711"/>
      <c r="K1268" s="711"/>
    </row>
    <row r="1269" spans="1:11">
      <c r="A1269" s="712"/>
      <c r="B1269" s="199"/>
      <c r="C1269" s="713"/>
      <c r="D1269" s="199"/>
      <c r="E1269" s="199"/>
      <c r="F1269" s="712"/>
      <c r="G1269" s="720"/>
      <c r="H1269" s="712"/>
      <c r="I1269" s="199"/>
      <c r="J1269" s="711"/>
      <c r="K1269" s="711"/>
    </row>
    <row r="1270" spans="1:11">
      <c r="A1270" s="712"/>
      <c r="B1270" s="199"/>
      <c r="C1270" s="713"/>
      <c r="D1270" s="199"/>
      <c r="E1270" s="199"/>
      <c r="F1270" s="712"/>
      <c r="G1270" s="720"/>
      <c r="H1270" s="712"/>
      <c r="I1270" s="199"/>
      <c r="J1270" s="711"/>
      <c r="K1270" s="711"/>
    </row>
    <row r="1271" spans="1:11">
      <c r="A1271" s="712"/>
      <c r="B1271" s="199"/>
      <c r="C1271" s="713"/>
      <c r="D1271" s="199"/>
      <c r="E1271" s="199"/>
      <c r="F1271" s="712"/>
      <c r="G1271" s="720"/>
      <c r="H1271" s="712"/>
      <c r="I1271" s="199"/>
      <c r="J1271" s="711"/>
      <c r="K1271" s="711"/>
    </row>
    <row r="1272" spans="1:11">
      <c r="A1272" s="712"/>
      <c r="B1272" s="199"/>
      <c r="C1272" s="713"/>
      <c r="D1272" s="199"/>
      <c r="E1272" s="199"/>
      <c r="F1272" s="712"/>
      <c r="G1272" s="720"/>
      <c r="H1272" s="712"/>
      <c r="I1272" s="199"/>
      <c r="J1272" s="711"/>
      <c r="K1272" s="711"/>
    </row>
    <row r="1273" spans="1:11">
      <c r="A1273" s="712"/>
      <c r="B1273" s="199"/>
      <c r="C1273" s="713"/>
      <c r="D1273" s="199"/>
      <c r="E1273" s="199"/>
      <c r="F1273" s="712"/>
      <c r="G1273" s="720"/>
      <c r="H1273" s="712"/>
      <c r="I1273" s="199"/>
      <c r="J1273" s="711"/>
      <c r="K1273" s="711"/>
    </row>
    <row r="1274" spans="1:11">
      <c r="A1274" s="712"/>
      <c r="B1274" s="199"/>
      <c r="C1274" s="713"/>
      <c r="D1274" s="199"/>
      <c r="E1274" s="199"/>
      <c r="F1274" s="712"/>
      <c r="G1274" s="720"/>
      <c r="H1274" s="712"/>
      <c r="I1274" s="199"/>
      <c r="J1274" s="711"/>
      <c r="K1274" s="711"/>
    </row>
    <row r="1275" spans="1:11">
      <c r="A1275" s="712"/>
      <c r="B1275" s="199"/>
      <c r="C1275" s="713"/>
      <c r="D1275" s="199"/>
      <c r="E1275" s="199"/>
      <c r="F1275" s="712"/>
      <c r="G1275" s="720"/>
      <c r="H1275" s="712"/>
      <c r="I1275" s="199"/>
      <c r="J1275" s="711"/>
      <c r="K1275" s="711"/>
    </row>
    <row r="1276" spans="1:11">
      <c r="A1276" s="712"/>
      <c r="B1276" s="199"/>
      <c r="C1276" s="713"/>
      <c r="D1276" s="199"/>
      <c r="E1276" s="199"/>
      <c r="F1276" s="712"/>
      <c r="G1276" s="720"/>
      <c r="H1276" s="712"/>
      <c r="I1276" s="199"/>
      <c r="J1276" s="711"/>
      <c r="K1276" s="711"/>
    </row>
    <row r="1277" spans="1:11">
      <c r="A1277" s="712"/>
      <c r="B1277" s="199"/>
      <c r="C1277" s="713"/>
      <c r="D1277" s="199"/>
      <c r="E1277" s="199"/>
      <c r="F1277" s="712"/>
      <c r="G1277" s="720"/>
      <c r="H1277" s="712"/>
      <c r="I1277" s="199"/>
      <c r="J1277" s="711"/>
      <c r="K1277" s="711"/>
    </row>
    <row r="1278" spans="1:11">
      <c r="A1278" s="712"/>
      <c r="B1278" s="199"/>
      <c r="C1278" s="713"/>
      <c r="D1278" s="199"/>
      <c r="E1278" s="199"/>
      <c r="F1278" s="712"/>
      <c r="G1278" s="720"/>
      <c r="H1278" s="712"/>
      <c r="I1278" s="199"/>
      <c r="J1278" s="711"/>
      <c r="K1278" s="711"/>
    </row>
    <row r="1279" spans="1:11">
      <c r="A1279" s="712"/>
      <c r="B1279" s="199"/>
      <c r="C1279" s="713"/>
      <c r="D1279" s="199"/>
      <c r="E1279" s="199"/>
      <c r="F1279" s="712"/>
      <c r="G1279" s="720"/>
      <c r="H1279" s="712"/>
      <c r="I1279" s="199"/>
      <c r="J1279" s="711"/>
      <c r="K1279" s="711"/>
    </row>
    <row r="1280" spans="1:11">
      <c r="A1280" s="712"/>
      <c r="B1280" s="199"/>
      <c r="C1280" s="713"/>
      <c r="D1280" s="199"/>
      <c r="E1280" s="199"/>
      <c r="F1280" s="712"/>
      <c r="G1280" s="720"/>
      <c r="H1280" s="712"/>
      <c r="I1280" s="199"/>
      <c r="J1280" s="711"/>
      <c r="K1280" s="711"/>
    </row>
    <row r="1281" spans="1:11">
      <c r="A1281" s="712"/>
      <c r="B1281" s="199"/>
      <c r="C1281" s="713"/>
      <c r="D1281" s="199"/>
      <c r="E1281" s="199"/>
      <c r="F1281" s="712"/>
      <c r="G1281" s="720"/>
      <c r="H1281" s="712"/>
      <c r="I1281" s="199"/>
      <c r="J1281" s="711"/>
      <c r="K1281" s="711"/>
    </row>
    <row r="1282" spans="1:11">
      <c r="A1282" s="712"/>
      <c r="B1282" s="199"/>
      <c r="C1282" s="713"/>
      <c r="D1282" s="199"/>
      <c r="E1282" s="199"/>
      <c r="F1282" s="712"/>
      <c r="G1282" s="720"/>
      <c r="H1282" s="712"/>
      <c r="I1282" s="199"/>
      <c r="J1282" s="711"/>
      <c r="K1282" s="711"/>
    </row>
    <row r="1283" spans="1:11">
      <c r="A1283" s="712"/>
      <c r="B1283" s="199"/>
      <c r="C1283" s="713"/>
      <c r="D1283" s="199"/>
      <c r="E1283" s="199"/>
      <c r="F1283" s="712"/>
      <c r="G1283" s="720"/>
      <c r="H1283" s="712"/>
      <c r="I1283" s="199"/>
      <c r="J1283" s="711"/>
      <c r="K1283" s="711"/>
    </row>
    <row r="1284" spans="1:11">
      <c r="A1284" s="712"/>
      <c r="B1284" s="199"/>
      <c r="C1284" s="713"/>
      <c r="D1284" s="199"/>
      <c r="E1284" s="199"/>
      <c r="F1284" s="712"/>
      <c r="G1284" s="720"/>
      <c r="H1284" s="712"/>
      <c r="I1284" s="199"/>
      <c r="J1284" s="711"/>
      <c r="K1284" s="711"/>
    </row>
    <row r="1285" spans="1:11">
      <c r="A1285" s="712"/>
      <c r="B1285" s="199"/>
      <c r="C1285" s="713"/>
      <c r="D1285" s="199"/>
      <c r="E1285" s="199"/>
      <c r="F1285" s="712"/>
      <c r="G1285" s="720"/>
      <c r="H1285" s="712"/>
      <c r="I1285" s="199"/>
      <c r="J1285" s="711"/>
      <c r="K1285" s="711"/>
    </row>
    <row r="1286" spans="1:11">
      <c r="A1286" s="712"/>
      <c r="B1286" s="199"/>
      <c r="C1286" s="713"/>
      <c r="D1286" s="199"/>
      <c r="E1286" s="199"/>
      <c r="F1286" s="712"/>
      <c r="G1286" s="720"/>
      <c r="H1286" s="712"/>
      <c r="I1286" s="199"/>
      <c r="J1286" s="711"/>
      <c r="K1286" s="711"/>
    </row>
    <row r="1287" spans="1:11">
      <c r="A1287" s="712"/>
      <c r="B1287" s="199"/>
      <c r="C1287" s="713"/>
      <c r="D1287" s="199"/>
      <c r="E1287" s="199"/>
      <c r="F1287" s="712"/>
      <c r="G1287" s="720"/>
      <c r="H1287" s="712"/>
      <c r="I1287" s="199"/>
      <c r="J1287" s="711"/>
      <c r="K1287" s="711"/>
    </row>
    <row r="1288" spans="1:11">
      <c r="A1288" s="712"/>
      <c r="B1288" s="199"/>
      <c r="C1288" s="713"/>
      <c r="D1288" s="199"/>
      <c r="E1288" s="199"/>
      <c r="F1288" s="712"/>
      <c r="G1288" s="720"/>
      <c r="H1288" s="712"/>
      <c r="I1288" s="199"/>
      <c r="J1288" s="711"/>
      <c r="K1288" s="711"/>
    </row>
    <row r="1289" spans="1:11">
      <c r="A1289" s="712"/>
      <c r="B1289" s="199"/>
      <c r="C1289" s="713"/>
      <c r="D1289" s="199"/>
      <c r="E1289" s="199"/>
      <c r="F1289" s="712"/>
      <c r="G1289" s="720"/>
      <c r="H1289" s="712"/>
      <c r="I1289" s="199"/>
      <c r="J1289" s="711"/>
      <c r="K1289" s="711"/>
    </row>
    <row r="1290" spans="1:11">
      <c r="A1290" s="712"/>
      <c r="B1290" s="199"/>
      <c r="C1290" s="713"/>
      <c r="D1290" s="199"/>
      <c r="E1290" s="199"/>
      <c r="F1290" s="712"/>
      <c r="G1290" s="720"/>
      <c r="H1290" s="712"/>
      <c r="I1290" s="199"/>
      <c r="J1290" s="711"/>
      <c r="K1290" s="711"/>
    </row>
    <row r="1291" spans="1:11">
      <c r="A1291" s="712"/>
      <c r="B1291" s="199"/>
      <c r="C1291" s="713"/>
      <c r="D1291" s="199"/>
      <c r="E1291" s="199"/>
      <c r="F1291" s="712"/>
      <c r="G1291" s="720"/>
      <c r="H1291" s="712"/>
      <c r="I1291" s="199"/>
      <c r="J1291" s="711"/>
      <c r="K1291" s="711"/>
    </row>
    <row r="1292" spans="1:11">
      <c r="A1292" s="712"/>
      <c r="B1292" s="199"/>
      <c r="C1292" s="713"/>
      <c r="D1292" s="199"/>
      <c r="E1292" s="199"/>
      <c r="F1292" s="712"/>
      <c r="G1292" s="720"/>
      <c r="H1292" s="712"/>
      <c r="I1292" s="199"/>
      <c r="J1292" s="711"/>
      <c r="K1292" s="711"/>
    </row>
  </sheetData>
  <autoFilter ref="E1:Y38">
    <filterColumn colId="6"/>
  </autoFilter>
  <conditionalFormatting sqref="O37:Q37">
    <cfRule type="expression" dxfId="3882" priority="1">
      <formula>AND(ISNUMBER(O37),TRUNC(O37)&lt;TODAY())</formula>
    </cfRule>
  </conditionalFormatting>
  <conditionalFormatting sqref="K36 P36:R36">
    <cfRule type="expression" dxfId="3881" priority="2">
      <formula>AND(ISNUMBER(K36),TRUNC(K36)&lt;TODAY())</formula>
    </cfRule>
  </conditionalFormatting>
  <conditionalFormatting sqref="O35:Q35">
    <cfRule type="expression" dxfId="3880" priority="3">
      <formula>AND(ISNUMBER(O35),TRUNC(O35)&lt;TODAY())</formula>
    </cfRule>
  </conditionalFormatting>
  <conditionalFormatting sqref="V34">
    <cfRule type="notContainsBlanks" dxfId="3879" priority="4">
      <formula>LEN(TRIM(V34))&gt;0</formula>
    </cfRule>
  </conditionalFormatting>
  <conditionalFormatting sqref="O34">
    <cfRule type="expression" dxfId="3878" priority="5">
      <formula>AND(ISNUMBER(O34),TRUNC(O34)&lt;TODAY())</formula>
    </cfRule>
  </conditionalFormatting>
  <conditionalFormatting sqref="Q34">
    <cfRule type="expression" dxfId="3877" priority="6">
      <formula>AND(ISNUMBER(Q34),TRUNC(Q34)&lt;TODAY())</formula>
    </cfRule>
  </conditionalFormatting>
  <conditionalFormatting sqref="P34">
    <cfRule type="expression" dxfId="3876" priority="7">
      <formula>AND(ISNUMBER(P34),TRUNC(P34)&lt;TODAY())</formula>
    </cfRule>
  </conditionalFormatting>
  <conditionalFormatting sqref="O32">
    <cfRule type="expression" dxfId="3875" priority="8">
      <formula>AND(ISNUMBER(O32),TRUNC(O32)&lt;TODAY())</formula>
    </cfRule>
  </conditionalFormatting>
  <conditionalFormatting sqref="Q32">
    <cfRule type="expression" dxfId="3874" priority="9">
      <formula>AND(ISNUMBER(Q32),TRUNC(Q32)&lt;TODAY())</formula>
    </cfRule>
  </conditionalFormatting>
  <conditionalFormatting sqref="P32:Q32">
    <cfRule type="expression" dxfId="3873" priority="10">
      <formula>AND(ISNUMBER(P32),TRUNC(P32)&lt;TODAY())</formula>
    </cfRule>
  </conditionalFormatting>
  <conditionalFormatting sqref="R31:T31">
    <cfRule type="expression" dxfId="3872" priority="11">
      <formula>AND(ISNUMBER(R31),TRUNC(R31)&lt;TODAY())</formula>
    </cfRule>
  </conditionalFormatting>
  <conditionalFormatting sqref="T29:T30">
    <cfRule type="expression" dxfId="3871" priority="12">
      <formula>AND(ISNUMBER(T29),TRUNC(T29)&lt;TODAY())</formula>
    </cfRule>
  </conditionalFormatting>
  <conditionalFormatting sqref="S29:S30">
    <cfRule type="expression" dxfId="3870" priority="13">
      <formula>AND(ISNUMBER(S29),TRUNC(S29)&lt;TODAY())</formula>
    </cfRule>
  </conditionalFormatting>
  <conditionalFormatting sqref="K29:K30">
    <cfRule type="expression" dxfId="3869" priority="14">
      <formula>AND(ISNUMBER(K29),TRUNC(K29)&lt;TODAY())</formula>
    </cfRule>
  </conditionalFormatting>
  <conditionalFormatting sqref="I29:I30">
    <cfRule type="containsText" dxfId="3868" priority="15" operator="containsText" text="F">
      <formula>NOT(ISERROR(SEARCH(("F"),(I29))))</formula>
    </cfRule>
  </conditionalFormatting>
  <conditionalFormatting sqref="P28:R28">
    <cfRule type="expression" dxfId="3867" priority="16">
      <formula>AND(ISNUMBER(P28),TRUNC(P28)&lt;TODAY())</formula>
    </cfRule>
  </conditionalFormatting>
  <conditionalFormatting sqref="W27">
    <cfRule type="notContainsBlanks" dxfId="3866" priority="17">
      <formula>LEN(TRIM(W27))&gt;0</formula>
    </cfRule>
  </conditionalFormatting>
  <conditionalFormatting sqref="Q27:R27">
    <cfRule type="expression" dxfId="3865" priority="18">
      <formula>AND(ISNUMBER(Q27),TRUNC(Q27)&lt;TODAY())</formula>
    </cfRule>
  </conditionalFormatting>
  <conditionalFormatting sqref="P27">
    <cfRule type="expression" dxfId="3864" priority="19">
      <formula>AND(ISNUMBER(P27),TRUNC(P27)&lt;TODAY())</formula>
    </cfRule>
  </conditionalFormatting>
  <conditionalFormatting sqref="R27">
    <cfRule type="expression" dxfId="3863" priority="20">
      <formula>AND(ISNUMBER(R27),TRUNC(R27)&lt;TODAY())</formula>
    </cfRule>
  </conditionalFormatting>
  <conditionalFormatting sqref="Q27">
    <cfRule type="expression" dxfId="3862" priority="21">
      <formula>AND(ISNUMBER(Q27),TRUNC(Q27)&lt;TODAY())</formula>
    </cfRule>
  </conditionalFormatting>
  <conditionalFormatting sqref="P24">
    <cfRule type="expression" dxfId="3861" priority="22">
      <formula>AND(ISNUMBER(P24),TRUNC(P24)&lt;TODAY())</formula>
    </cfRule>
  </conditionalFormatting>
  <conditionalFormatting sqref="R24">
    <cfRule type="expression" dxfId="3860" priority="23">
      <formula>AND(ISNUMBER(R24),TRUNC(R24)&lt;TODAY())</formula>
    </cfRule>
  </conditionalFormatting>
  <conditionalFormatting sqref="Q24">
    <cfRule type="expression" dxfId="3859" priority="24">
      <formula>AND(ISNUMBER(Q24),TRUNC(Q24)&lt;TODAY())</formula>
    </cfRule>
  </conditionalFormatting>
  <conditionalFormatting sqref="R23">
    <cfRule type="expression" dxfId="3858" priority="25">
      <formula>AND(ISNUMBER(R23),TRUNC(R23)&lt;TODAY())</formula>
    </cfRule>
  </conditionalFormatting>
  <conditionalFormatting sqref="Q23">
    <cfRule type="expression" dxfId="3857" priority="26">
      <formula>AND(ISNUMBER(Q23),TRUNC(Q23)&lt;TODAY())</formula>
    </cfRule>
  </conditionalFormatting>
  <conditionalFormatting sqref="R22">
    <cfRule type="expression" dxfId="3856" priority="27">
      <formula>AND(ISNUMBER(R22),TRUNC(R22)&lt;TODAY())</formula>
    </cfRule>
  </conditionalFormatting>
  <dataValidations count="6">
    <dataValidation type="list" allowBlank="1" sqref="I27:I28">
      <formula1>"A,B,C"</formula1>
    </dataValidation>
    <dataValidation type="custom" allowBlank="1" showDropDown="1" showInputMessage="1" showErrorMessage="1" prompt="Enter a valid date" sqref="J22:J23 R22:R23 J24:K24 P24:R24 J25 Q27:R28 J27:J30 P29:P30 S29:T30 J31:K31 R31:T31 J32 P32:Q32 O34 Q34 O35:Q35 P36:R36 J34:K37 O37:Q37">
      <formula1>OR(NOT(ISERROR(DATEVALUE(J22))), AND(ISNUMBER(J22), LEFT(CELL("format", J22))="D"))</formula1>
    </dataValidation>
    <dataValidation type="list" allowBlank="1" showInputMessage="1" showErrorMessage="1" prompt="Either M or F" sqref="I29:I30">
      <formula1>"M,F"</formula1>
    </dataValidation>
    <dataValidation type="list" allowBlank="1" sqref="W27:W28">
      <formula1>"YES,NO,DW"</formula1>
    </dataValidation>
    <dataValidation type="list" allowBlank="1" sqref="H36">
      <formula1>"UR,SC,ST"</formula1>
    </dataValidation>
    <dataValidation type="custom" allowBlank="1" showDropDown="1" showErrorMessage="1" sqref="K22:K23 Q23 K25 P27:P28 K27:K30 K32 O32 P34">
      <formula1>OR(NOT(ISERROR(DATEVALUE(K22))), AND(ISNUMBER(K22), LEFT(CELL("format", K22))="D"))</formula1>
    </dataValidation>
  </dataValidations>
  <hyperlinks>
    <hyperlink ref="U22" r:id="rId1"/>
    <hyperlink ref="V22" r:id="rId2"/>
    <hyperlink ref="U23" r:id="rId3"/>
    <hyperlink ref="V23" r:id="rId4"/>
    <hyperlink ref="S24" r:id="rId5"/>
    <hyperlink ref="T27" r:id="rId6"/>
    <hyperlink ref="S28" r:id="rId7"/>
    <hyperlink ref="W30" r:id="rId8"/>
    <hyperlink ref="X30" r:id="rId9"/>
    <hyperlink ref="U31" r:id="rId10"/>
    <hyperlink ref="R32" r:id="rId11"/>
    <hyperlink ref="S34" r:id="rId12"/>
    <hyperlink ref="T34" r:id="rId13"/>
    <hyperlink ref="T35" r:id="rId14"/>
    <hyperlink ref="S36" r:id="rId15"/>
    <hyperlink ref="T36" r:id="rId16"/>
    <hyperlink ref="U36" r:id="rId17"/>
    <hyperlink ref="U37" r:id="rId1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Z99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0.5703125" customWidth="1"/>
    <col min="2" max="2" width="12.85546875" customWidth="1"/>
    <col min="3" max="3" width="8.7109375" customWidth="1"/>
    <col min="4" max="4" width="8.28515625" customWidth="1"/>
    <col min="5" max="5" width="8.42578125" customWidth="1"/>
    <col min="6" max="6" width="9.42578125" customWidth="1"/>
    <col min="7" max="8" width="6.5703125" customWidth="1"/>
    <col min="9" max="9" width="6.28515625" customWidth="1"/>
    <col min="10" max="10" width="7.7109375" customWidth="1"/>
    <col min="11" max="11" width="8.5703125" customWidth="1"/>
    <col min="12" max="12" width="7.7109375" customWidth="1"/>
    <col min="13" max="13" width="8.7109375" customWidth="1"/>
    <col min="14" max="14" width="11.140625" customWidth="1"/>
    <col min="16" max="16" width="10.7109375" customWidth="1"/>
    <col min="17" max="17" width="10.5703125" customWidth="1"/>
    <col min="18" max="18" width="10.7109375" customWidth="1"/>
    <col min="19" max="19" width="7.7109375" customWidth="1"/>
    <col min="20" max="20" width="8" customWidth="1"/>
    <col min="21" max="21" width="7.28515625" customWidth="1"/>
    <col min="22" max="22" width="9.85546875" customWidth="1"/>
    <col min="23" max="23" width="12.140625" customWidth="1"/>
  </cols>
  <sheetData>
    <row r="1" spans="1:26">
      <c r="A1" s="721" t="s">
        <v>790</v>
      </c>
      <c r="B1" s="721" t="s">
        <v>15</v>
      </c>
      <c r="C1" s="721" t="s">
        <v>83</v>
      </c>
      <c r="D1" s="721" t="s">
        <v>791</v>
      </c>
      <c r="E1" s="721" t="s">
        <v>792</v>
      </c>
      <c r="F1" s="721" t="s">
        <v>793</v>
      </c>
      <c r="G1" s="721" t="s">
        <v>794</v>
      </c>
      <c r="H1" s="721" t="s">
        <v>795</v>
      </c>
      <c r="I1" s="721" t="s">
        <v>796</v>
      </c>
      <c r="J1" s="721" t="s">
        <v>797</v>
      </c>
      <c r="K1" s="721" t="s">
        <v>798</v>
      </c>
      <c r="L1" s="721" t="s">
        <v>799</v>
      </c>
      <c r="M1" s="721" t="s">
        <v>800</v>
      </c>
      <c r="N1" s="721" t="s">
        <v>801</v>
      </c>
      <c r="O1" s="721" t="s">
        <v>802</v>
      </c>
      <c r="P1" s="722" t="s">
        <v>803</v>
      </c>
      <c r="Q1" s="721" t="s">
        <v>804</v>
      </c>
      <c r="R1" s="721" t="s">
        <v>805</v>
      </c>
      <c r="S1" s="721" t="s">
        <v>806</v>
      </c>
      <c r="T1" s="721" t="s">
        <v>807</v>
      </c>
      <c r="U1" s="721" t="s">
        <v>808</v>
      </c>
      <c r="V1" s="723" t="s">
        <v>809</v>
      </c>
      <c r="W1" s="724">
        <v>44976</v>
      </c>
      <c r="X1" s="6"/>
      <c r="Y1" s="6"/>
      <c r="Z1" s="6"/>
    </row>
    <row r="2" spans="1:26">
      <c r="A2" s="725" t="s">
        <v>35</v>
      </c>
      <c r="B2" s="725" t="s">
        <v>810</v>
      </c>
      <c r="C2" s="726">
        <v>150</v>
      </c>
      <c r="D2" s="727">
        <v>3</v>
      </c>
      <c r="E2" s="727">
        <v>2</v>
      </c>
      <c r="F2" s="727">
        <v>3</v>
      </c>
      <c r="G2" s="18"/>
      <c r="H2" s="727">
        <v>9</v>
      </c>
      <c r="I2" s="727">
        <v>3</v>
      </c>
      <c r="J2" s="726"/>
      <c r="K2" s="727"/>
      <c r="L2" s="727"/>
      <c r="M2" s="727"/>
      <c r="N2" s="728">
        <f t="shared" ref="N2:N6" si="0">SUM(D2:M2)</f>
        <v>20</v>
      </c>
      <c r="O2" s="725">
        <f t="shared" ref="O2:O4" si="1">C2-N2</f>
        <v>130</v>
      </c>
      <c r="P2" s="726">
        <v>129</v>
      </c>
      <c r="Q2" s="727">
        <v>0</v>
      </c>
      <c r="R2" s="726">
        <v>0</v>
      </c>
      <c r="S2" s="727">
        <v>0</v>
      </c>
      <c r="T2" s="727">
        <v>0</v>
      </c>
      <c r="U2" s="726">
        <v>1</v>
      </c>
      <c r="V2" s="729">
        <f t="shared" ref="V2:V21" si="2">SUM(P2:U2)</f>
        <v>130</v>
      </c>
      <c r="W2" s="5" t="str">
        <f t="shared" ref="W2:W28" si="3">IF(O2=V2,"match","not match")</f>
        <v>match</v>
      </c>
      <c r="X2" s="6"/>
      <c r="Y2" s="6"/>
      <c r="Z2" s="6"/>
    </row>
    <row r="3" spans="1:26">
      <c r="A3" s="725" t="s">
        <v>35</v>
      </c>
      <c r="B3" s="725" t="s">
        <v>21</v>
      </c>
      <c r="C3" s="726">
        <v>31</v>
      </c>
      <c r="D3" s="727">
        <v>1</v>
      </c>
      <c r="E3" s="727">
        <v>1</v>
      </c>
      <c r="F3" s="727"/>
      <c r="G3" s="18"/>
      <c r="H3" s="727"/>
      <c r="I3" s="727">
        <v>3</v>
      </c>
      <c r="J3" s="727"/>
      <c r="K3" s="727"/>
      <c r="L3" s="727"/>
      <c r="M3" s="727"/>
      <c r="N3" s="728">
        <f t="shared" si="0"/>
        <v>5</v>
      </c>
      <c r="O3" s="725">
        <f t="shared" si="1"/>
        <v>26</v>
      </c>
      <c r="P3" s="727">
        <v>18</v>
      </c>
      <c r="Q3" s="727">
        <v>0</v>
      </c>
      <c r="R3" s="727">
        <v>0</v>
      </c>
      <c r="S3" s="727">
        <v>6</v>
      </c>
      <c r="T3" s="727">
        <v>0</v>
      </c>
      <c r="U3" s="727">
        <v>2</v>
      </c>
      <c r="V3" s="729">
        <f t="shared" si="2"/>
        <v>26</v>
      </c>
      <c r="W3" s="5" t="str">
        <f t="shared" si="3"/>
        <v>match</v>
      </c>
      <c r="X3" s="6"/>
      <c r="Y3" s="6"/>
      <c r="Z3" s="6"/>
    </row>
    <row r="4" spans="1:26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  <c r="N4" s="728">
        <f t="shared" si="0"/>
        <v>0</v>
      </c>
      <c r="O4" s="725">
        <f t="shared" si="1"/>
        <v>0</v>
      </c>
      <c r="P4" s="730"/>
      <c r="Q4" s="730"/>
      <c r="R4" s="731">
        <v>0</v>
      </c>
      <c r="S4" s="730"/>
      <c r="T4" s="730"/>
      <c r="U4" s="730"/>
      <c r="V4" s="732">
        <f t="shared" si="2"/>
        <v>0</v>
      </c>
      <c r="W4" s="5" t="str">
        <f t="shared" si="3"/>
        <v>match</v>
      </c>
      <c r="Y4" s="6"/>
      <c r="Z4" s="6"/>
    </row>
    <row r="5" spans="1:26">
      <c r="A5" s="725" t="s">
        <v>8</v>
      </c>
      <c r="B5" s="726" t="s">
        <v>21</v>
      </c>
      <c r="C5" s="726">
        <v>21</v>
      </c>
      <c r="D5" s="727">
        <v>2</v>
      </c>
      <c r="E5" s="727"/>
      <c r="F5" s="727"/>
      <c r="G5" s="727"/>
      <c r="H5" s="727"/>
      <c r="I5" s="727"/>
      <c r="J5" s="727"/>
      <c r="K5" s="727"/>
      <c r="L5" s="727"/>
      <c r="M5" s="727"/>
      <c r="N5" s="728">
        <f t="shared" si="0"/>
        <v>2</v>
      </c>
      <c r="O5" s="726">
        <v>14</v>
      </c>
      <c r="P5" s="727">
        <v>14</v>
      </c>
      <c r="Q5" s="727">
        <v>0</v>
      </c>
      <c r="R5" s="727">
        <v>0</v>
      </c>
      <c r="S5" s="727">
        <v>0</v>
      </c>
      <c r="T5" s="727">
        <v>0</v>
      </c>
      <c r="U5" s="727">
        <v>0</v>
      </c>
      <c r="V5" s="729">
        <f t="shared" si="2"/>
        <v>14</v>
      </c>
      <c r="W5" s="5" t="str">
        <f t="shared" si="3"/>
        <v>match</v>
      </c>
      <c r="Y5" s="6"/>
      <c r="Z5" s="6"/>
    </row>
    <row r="6" spans="1:26">
      <c r="A6" s="725" t="s">
        <v>8</v>
      </c>
      <c r="B6" s="726" t="s">
        <v>811</v>
      </c>
      <c r="C6" s="726">
        <v>55</v>
      </c>
      <c r="D6" s="727">
        <v>3</v>
      </c>
      <c r="E6" s="727"/>
      <c r="F6" s="727"/>
      <c r="G6" s="727"/>
      <c r="H6" s="727">
        <v>1</v>
      </c>
      <c r="I6" s="727"/>
      <c r="J6" s="727">
        <v>1</v>
      </c>
      <c r="K6" s="727"/>
      <c r="L6" s="727"/>
      <c r="M6" s="727"/>
      <c r="N6" s="728">
        <f t="shared" si="0"/>
        <v>5</v>
      </c>
      <c r="O6" s="725">
        <f t="shared" ref="O6:O21" si="4">C6-N6</f>
        <v>50</v>
      </c>
      <c r="P6" s="727">
        <v>48</v>
      </c>
      <c r="Q6" s="727">
        <v>1</v>
      </c>
      <c r="R6" s="727">
        <v>1</v>
      </c>
      <c r="S6" s="727">
        <v>0</v>
      </c>
      <c r="T6" s="727"/>
      <c r="U6" s="727">
        <v>0</v>
      </c>
      <c r="V6" s="729">
        <f t="shared" si="2"/>
        <v>50</v>
      </c>
      <c r="W6" s="5" t="str">
        <f t="shared" si="3"/>
        <v>match</v>
      </c>
      <c r="Z6" s="6"/>
    </row>
    <row r="7" spans="1:26">
      <c r="A7" s="730"/>
      <c r="B7" s="730"/>
      <c r="C7" s="730"/>
      <c r="D7" s="730"/>
      <c r="E7" s="730"/>
      <c r="F7" s="730"/>
      <c r="G7" s="731"/>
      <c r="H7" s="730"/>
      <c r="I7" s="730"/>
      <c r="J7" s="730"/>
      <c r="K7" s="730"/>
      <c r="L7" s="730"/>
      <c r="M7" s="730"/>
      <c r="N7" s="730"/>
      <c r="O7" s="725">
        <f t="shared" si="4"/>
        <v>0</v>
      </c>
      <c r="P7" s="730"/>
      <c r="Q7" s="730"/>
      <c r="R7" s="730"/>
      <c r="S7" s="730"/>
      <c r="T7" s="730"/>
      <c r="U7" s="730"/>
      <c r="V7" s="732">
        <f t="shared" si="2"/>
        <v>0</v>
      </c>
      <c r="W7" s="5" t="str">
        <f t="shared" si="3"/>
        <v>match</v>
      </c>
      <c r="Z7" s="6"/>
    </row>
    <row r="8" spans="1:26">
      <c r="A8" s="725" t="s">
        <v>36</v>
      </c>
      <c r="B8" s="726" t="s">
        <v>22</v>
      </c>
      <c r="C8" s="726">
        <v>106</v>
      </c>
      <c r="D8" s="727">
        <v>2</v>
      </c>
      <c r="E8" s="727">
        <v>2</v>
      </c>
      <c r="F8" s="727"/>
      <c r="G8" s="727"/>
      <c r="H8" s="727">
        <v>3</v>
      </c>
      <c r="I8" s="727">
        <v>3</v>
      </c>
      <c r="J8" s="727"/>
      <c r="K8" s="18">
        <v>5</v>
      </c>
      <c r="L8" s="727"/>
      <c r="M8" s="727"/>
      <c r="N8" s="728">
        <f t="shared" ref="N8:N10" si="5">SUM(D8:M8)</f>
        <v>15</v>
      </c>
      <c r="O8" s="725">
        <f t="shared" si="4"/>
        <v>91</v>
      </c>
      <c r="P8" s="727">
        <v>37</v>
      </c>
      <c r="Q8" s="727">
        <v>24</v>
      </c>
      <c r="R8" s="18"/>
      <c r="S8" s="727">
        <v>13</v>
      </c>
      <c r="T8" s="727">
        <v>4</v>
      </c>
      <c r="U8" s="727">
        <v>13</v>
      </c>
      <c r="V8" s="729">
        <f t="shared" si="2"/>
        <v>91</v>
      </c>
      <c r="W8" s="5" t="str">
        <f t="shared" si="3"/>
        <v>match</v>
      </c>
      <c r="Y8" s="6"/>
      <c r="Z8" s="6"/>
    </row>
    <row r="9" spans="1:26">
      <c r="A9" s="725" t="s">
        <v>36</v>
      </c>
      <c r="B9" s="726" t="s">
        <v>20</v>
      </c>
      <c r="C9" s="726">
        <v>91</v>
      </c>
      <c r="D9" s="727">
        <v>7</v>
      </c>
      <c r="E9" s="727">
        <v>0</v>
      </c>
      <c r="F9" s="727">
        <v>2</v>
      </c>
      <c r="G9" s="727"/>
      <c r="H9" s="727">
        <v>8</v>
      </c>
      <c r="I9" s="727"/>
      <c r="J9" s="727"/>
      <c r="K9" s="18">
        <v>5</v>
      </c>
      <c r="L9" s="727"/>
      <c r="M9" s="727"/>
      <c r="N9" s="728">
        <f t="shared" si="5"/>
        <v>22</v>
      </c>
      <c r="O9" s="725">
        <f t="shared" si="4"/>
        <v>69</v>
      </c>
      <c r="P9" s="727">
        <v>31</v>
      </c>
      <c r="Q9" s="727">
        <v>3</v>
      </c>
      <c r="R9" s="18"/>
      <c r="S9" s="727">
        <v>12</v>
      </c>
      <c r="T9" s="727">
        <v>2</v>
      </c>
      <c r="U9" s="727">
        <v>21</v>
      </c>
      <c r="V9" s="729">
        <f t="shared" si="2"/>
        <v>69</v>
      </c>
      <c r="W9" s="5" t="str">
        <f t="shared" si="3"/>
        <v>match</v>
      </c>
      <c r="Y9" s="6"/>
      <c r="Z9" s="6"/>
    </row>
    <row r="10" spans="1:26">
      <c r="A10" s="733" t="s">
        <v>36</v>
      </c>
      <c r="B10" s="733" t="s">
        <v>21</v>
      </c>
      <c r="C10" s="727">
        <v>6</v>
      </c>
      <c r="D10" s="727">
        <v>1</v>
      </c>
      <c r="E10" s="727">
        <v>0</v>
      </c>
      <c r="F10" s="727">
        <v>0</v>
      </c>
      <c r="G10" s="727"/>
      <c r="H10" s="727">
        <v>0</v>
      </c>
      <c r="I10" s="727"/>
      <c r="J10" s="727"/>
      <c r="K10" s="18">
        <v>0</v>
      </c>
      <c r="L10" s="727"/>
      <c r="M10" s="727"/>
      <c r="N10" s="728">
        <f t="shared" si="5"/>
        <v>1</v>
      </c>
      <c r="O10" s="725">
        <f t="shared" si="4"/>
        <v>5</v>
      </c>
      <c r="P10" s="727">
        <v>5</v>
      </c>
      <c r="Q10" s="727">
        <v>0</v>
      </c>
      <c r="R10" s="18"/>
      <c r="S10" s="727">
        <v>0</v>
      </c>
      <c r="T10" s="727">
        <v>0</v>
      </c>
      <c r="U10" s="727">
        <v>0</v>
      </c>
      <c r="V10" s="729">
        <f t="shared" si="2"/>
        <v>5</v>
      </c>
      <c r="W10" s="5" t="str">
        <f t="shared" si="3"/>
        <v>match</v>
      </c>
      <c r="Y10" s="6"/>
      <c r="Z10" s="6"/>
    </row>
    <row r="11" spans="1:26">
      <c r="A11" s="730"/>
      <c r="B11" s="730"/>
      <c r="C11" s="730"/>
      <c r="D11" s="731"/>
      <c r="E11" s="730"/>
      <c r="F11" s="730"/>
      <c r="G11" s="730"/>
      <c r="H11" s="730"/>
      <c r="I11" s="730"/>
      <c r="J11" s="730"/>
      <c r="K11" s="730"/>
      <c r="L11" s="730"/>
      <c r="M11" s="730"/>
      <c r="N11" s="730"/>
      <c r="O11" s="734">
        <f t="shared" si="4"/>
        <v>0</v>
      </c>
      <c r="P11" s="730"/>
      <c r="Q11" s="730"/>
      <c r="R11" s="730"/>
      <c r="S11" s="731"/>
      <c r="T11" s="730"/>
      <c r="U11" s="730"/>
      <c r="V11" s="732">
        <f t="shared" si="2"/>
        <v>0</v>
      </c>
      <c r="W11" s="5" t="str">
        <f t="shared" si="3"/>
        <v>match</v>
      </c>
      <c r="Y11" s="6"/>
      <c r="Z11" s="6"/>
    </row>
    <row r="12" spans="1:26">
      <c r="A12" s="726" t="s">
        <v>7</v>
      </c>
      <c r="B12" s="726" t="s">
        <v>22</v>
      </c>
      <c r="C12" s="726">
        <v>60</v>
      </c>
      <c r="D12" s="727">
        <v>4</v>
      </c>
      <c r="E12" s="18"/>
      <c r="F12" s="727"/>
      <c r="G12" s="727"/>
      <c r="H12" s="727">
        <v>3</v>
      </c>
      <c r="I12" s="727">
        <v>2</v>
      </c>
      <c r="J12" s="727"/>
      <c r="K12" s="727"/>
      <c r="L12" s="727"/>
      <c r="M12" s="18"/>
      <c r="N12" s="728">
        <f t="shared" ref="N12:N15" si="6">SUM(D12:M12)</f>
        <v>9</v>
      </c>
      <c r="O12" s="725">
        <f t="shared" si="4"/>
        <v>51</v>
      </c>
      <c r="P12" s="727">
        <v>27</v>
      </c>
      <c r="Q12" s="727">
        <v>11</v>
      </c>
      <c r="R12" s="137">
        <v>1</v>
      </c>
      <c r="S12" s="18">
        <v>11</v>
      </c>
      <c r="T12" s="727"/>
      <c r="U12" s="727">
        <v>1</v>
      </c>
      <c r="V12" s="729">
        <f t="shared" si="2"/>
        <v>51</v>
      </c>
      <c r="W12" s="5" t="str">
        <f t="shared" si="3"/>
        <v>match</v>
      </c>
      <c r="Y12" s="6"/>
      <c r="Z12" s="6"/>
    </row>
    <row r="13" spans="1:26">
      <c r="A13" s="726" t="s">
        <v>7</v>
      </c>
      <c r="B13" s="725" t="s">
        <v>20</v>
      </c>
      <c r="C13" s="726">
        <v>53</v>
      </c>
      <c r="D13" s="727">
        <v>3</v>
      </c>
      <c r="E13" s="18"/>
      <c r="F13" s="727"/>
      <c r="G13" s="727"/>
      <c r="H13" s="727">
        <v>14</v>
      </c>
      <c r="I13" s="727"/>
      <c r="J13" s="727"/>
      <c r="K13" s="727">
        <v>1</v>
      </c>
      <c r="L13" s="727"/>
      <c r="M13" s="18"/>
      <c r="N13" s="728">
        <f t="shared" si="6"/>
        <v>18</v>
      </c>
      <c r="O13" s="725">
        <f t="shared" si="4"/>
        <v>35</v>
      </c>
      <c r="P13" s="727">
        <v>17</v>
      </c>
      <c r="Q13" s="727">
        <v>7</v>
      </c>
      <c r="R13" s="18"/>
      <c r="S13" s="18">
        <v>6</v>
      </c>
      <c r="T13" s="727">
        <v>0</v>
      </c>
      <c r="U13" s="727">
        <v>5</v>
      </c>
      <c r="V13" s="729">
        <f t="shared" si="2"/>
        <v>35</v>
      </c>
      <c r="W13" s="5" t="str">
        <f t="shared" si="3"/>
        <v>match</v>
      </c>
      <c r="Y13" s="6"/>
      <c r="Z13" s="6"/>
    </row>
    <row r="14" spans="1:26">
      <c r="A14" s="726" t="s">
        <v>7</v>
      </c>
      <c r="B14" s="725" t="s">
        <v>21</v>
      </c>
      <c r="C14" s="726">
        <v>40</v>
      </c>
      <c r="D14" s="727">
        <v>2</v>
      </c>
      <c r="E14" s="18"/>
      <c r="F14" s="727"/>
      <c r="G14" s="727">
        <v>1</v>
      </c>
      <c r="H14" s="727"/>
      <c r="I14" s="727"/>
      <c r="J14" s="727"/>
      <c r="K14" s="727"/>
      <c r="L14" s="727">
        <v>1</v>
      </c>
      <c r="M14" s="18"/>
      <c r="N14" s="728">
        <f t="shared" si="6"/>
        <v>4</v>
      </c>
      <c r="O14" s="725">
        <f t="shared" si="4"/>
        <v>36</v>
      </c>
      <c r="P14" s="727">
        <v>30</v>
      </c>
      <c r="Q14" s="137">
        <v>0</v>
      </c>
      <c r="R14" s="727"/>
      <c r="S14" s="727">
        <v>6</v>
      </c>
      <c r="T14" s="727"/>
      <c r="U14" s="727">
        <v>0</v>
      </c>
      <c r="V14" s="729">
        <f t="shared" si="2"/>
        <v>36</v>
      </c>
      <c r="W14" s="5" t="str">
        <f t="shared" si="3"/>
        <v>match</v>
      </c>
      <c r="Y14" s="6"/>
      <c r="Z14" s="6"/>
    </row>
    <row r="15" spans="1:26">
      <c r="A15" s="726" t="s">
        <v>7</v>
      </c>
      <c r="B15" s="726" t="s">
        <v>811</v>
      </c>
      <c r="C15" s="726">
        <v>96</v>
      </c>
      <c r="D15" s="727">
        <v>5</v>
      </c>
      <c r="E15" s="18">
        <v>2</v>
      </c>
      <c r="F15" s="727">
        <v>1</v>
      </c>
      <c r="G15" s="727">
        <v>1</v>
      </c>
      <c r="H15" s="727">
        <v>3</v>
      </c>
      <c r="I15" s="727"/>
      <c r="J15" s="727"/>
      <c r="K15" s="727"/>
      <c r="L15" s="727"/>
      <c r="M15" s="18"/>
      <c r="N15" s="728">
        <f t="shared" si="6"/>
        <v>12</v>
      </c>
      <c r="O15" s="725">
        <f t="shared" si="4"/>
        <v>84</v>
      </c>
      <c r="P15" s="727">
        <v>83</v>
      </c>
      <c r="Q15" s="727">
        <v>0</v>
      </c>
      <c r="R15" s="18">
        <v>0</v>
      </c>
      <c r="S15" s="18">
        <v>0</v>
      </c>
      <c r="T15" s="727">
        <v>0</v>
      </c>
      <c r="U15" s="727">
        <v>1</v>
      </c>
      <c r="V15" s="729">
        <f t="shared" si="2"/>
        <v>84</v>
      </c>
      <c r="W15" s="5" t="str">
        <f t="shared" si="3"/>
        <v>match</v>
      </c>
      <c r="Y15" s="6"/>
      <c r="Z15" s="6"/>
    </row>
    <row r="16" spans="1:26">
      <c r="A16" s="730"/>
      <c r="B16" s="730"/>
      <c r="C16" s="730"/>
      <c r="D16" s="730"/>
      <c r="E16" s="730"/>
      <c r="F16" s="730"/>
      <c r="G16" s="731"/>
      <c r="H16" s="730"/>
      <c r="I16" s="730"/>
      <c r="J16" s="730"/>
      <c r="K16" s="730"/>
      <c r="L16" s="731"/>
      <c r="M16" s="730"/>
      <c r="N16" s="730"/>
      <c r="O16" s="725">
        <f t="shared" si="4"/>
        <v>0</v>
      </c>
      <c r="P16" s="730"/>
      <c r="Q16" s="731"/>
      <c r="R16" s="730"/>
      <c r="S16" s="730"/>
      <c r="T16" s="731"/>
      <c r="U16" s="731"/>
      <c r="V16" s="732">
        <f t="shared" si="2"/>
        <v>0</v>
      </c>
      <c r="W16" s="5" t="str">
        <f t="shared" si="3"/>
        <v>match</v>
      </c>
      <c r="Y16" s="6"/>
      <c r="Z16" s="6"/>
    </row>
    <row r="17" spans="1:26">
      <c r="A17" s="725" t="s">
        <v>32</v>
      </c>
      <c r="B17" s="725" t="s">
        <v>14</v>
      </c>
      <c r="C17" s="726">
        <v>30</v>
      </c>
      <c r="D17" s="726">
        <v>2</v>
      </c>
      <c r="E17" s="727">
        <v>1</v>
      </c>
      <c r="F17" s="726"/>
      <c r="G17" s="18">
        <v>1</v>
      </c>
      <c r="H17" s="18"/>
      <c r="I17" s="18"/>
      <c r="J17" s="727"/>
      <c r="L17" s="18"/>
      <c r="M17" s="18"/>
      <c r="N17" s="728">
        <f t="shared" ref="N17:N21" si="7">SUM(D17:M17)</f>
        <v>4</v>
      </c>
      <c r="O17" s="725">
        <f t="shared" si="4"/>
        <v>26</v>
      </c>
      <c r="P17" s="726">
        <v>24</v>
      </c>
      <c r="Q17" s="18">
        <v>1</v>
      </c>
      <c r="R17" s="18"/>
      <c r="S17" s="18">
        <v>1</v>
      </c>
      <c r="T17" s="727"/>
      <c r="U17" s="727"/>
      <c r="V17" s="729">
        <f t="shared" si="2"/>
        <v>26</v>
      </c>
      <c r="W17" s="5" t="str">
        <f t="shared" si="3"/>
        <v>match</v>
      </c>
      <c r="Y17" s="6"/>
      <c r="Z17" s="6"/>
    </row>
    <row r="18" spans="1:26">
      <c r="A18" s="725" t="s">
        <v>32</v>
      </c>
      <c r="B18" s="725" t="s">
        <v>810</v>
      </c>
      <c r="C18" s="726">
        <v>163</v>
      </c>
      <c r="D18" s="726">
        <v>7</v>
      </c>
      <c r="E18" s="727">
        <v>1</v>
      </c>
      <c r="F18" s="727">
        <v>1</v>
      </c>
      <c r="G18" s="18">
        <v>10</v>
      </c>
      <c r="H18" s="18"/>
      <c r="I18" s="18">
        <v>7</v>
      </c>
      <c r="J18" s="727">
        <v>1</v>
      </c>
      <c r="K18" s="18"/>
      <c r="L18" s="18"/>
      <c r="M18" s="18"/>
      <c r="N18" s="728">
        <f t="shared" si="7"/>
        <v>27</v>
      </c>
      <c r="O18" s="725">
        <f t="shared" si="4"/>
        <v>136</v>
      </c>
      <c r="P18" s="726">
        <v>135</v>
      </c>
      <c r="Q18" s="18">
        <v>0</v>
      </c>
      <c r="R18" s="18">
        <v>0</v>
      </c>
      <c r="S18" s="18">
        <v>0</v>
      </c>
      <c r="T18" s="726">
        <v>0</v>
      </c>
      <c r="U18" s="726">
        <v>1</v>
      </c>
      <c r="V18" s="729">
        <f t="shared" si="2"/>
        <v>136</v>
      </c>
      <c r="W18" s="5" t="str">
        <f t="shared" si="3"/>
        <v>match</v>
      </c>
      <c r="Y18" s="6"/>
      <c r="Z18" s="6"/>
    </row>
    <row r="19" spans="1:26">
      <c r="A19" s="725" t="s">
        <v>32</v>
      </c>
      <c r="B19" s="726" t="s">
        <v>812</v>
      </c>
      <c r="C19" s="726">
        <v>42</v>
      </c>
      <c r="D19" s="726">
        <v>5</v>
      </c>
      <c r="E19" s="727">
        <v>1</v>
      </c>
      <c r="F19" s="727"/>
      <c r="G19" s="18"/>
      <c r="H19" s="18">
        <v>8</v>
      </c>
      <c r="I19" s="18">
        <v>1</v>
      </c>
      <c r="J19" s="727"/>
      <c r="K19" s="90"/>
      <c r="L19" s="18"/>
      <c r="M19" s="18"/>
      <c r="N19" s="728">
        <f t="shared" si="7"/>
        <v>15</v>
      </c>
      <c r="O19" s="725">
        <f t="shared" si="4"/>
        <v>27</v>
      </c>
      <c r="P19" s="726">
        <v>25</v>
      </c>
      <c r="Q19" s="18">
        <v>0</v>
      </c>
      <c r="R19" s="18">
        <v>0</v>
      </c>
      <c r="S19" s="18">
        <v>2</v>
      </c>
      <c r="T19" s="727">
        <v>0</v>
      </c>
      <c r="U19" s="727">
        <v>0</v>
      </c>
      <c r="V19" s="729">
        <f t="shared" si="2"/>
        <v>27</v>
      </c>
      <c r="W19" s="5" t="str">
        <f t="shared" si="3"/>
        <v>match</v>
      </c>
      <c r="Y19" s="6"/>
      <c r="Z19" s="6"/>
    </row>
    <row r="20" spans="1:26">
      <c r="A20" s="725" t="s">
        <v>32</v>
      </c>
      <c r="B20" s="725" t="s">
        <v>22</v>
      </c>
      <c r="C20" s="726">
        <v>128</v>
      </c>
      <c r="D20" s="726">
        <v>9</v>
      </c>
      <c r="E20" s="727"/>
      <c r="F20" s="727"/>
      <c r="G20" s="18">
        <v>9</v>
      </c>
      <c r="H20" s="18"/>
      <c r="I20" s="18">
        <v>7</v>
      </c>
      <c r="J20" s="727">
        <v>1</v>
      </c>
      <c r="K20" s="18"/>
      <c r="L20" s="18"/>
      <c r="M20" s="18"/>
      <c r="N20" s="728">
        <f t="shared" si="7"/>
        <v>26</v>
      </c>
      <c r="O20" s="725">
        <f t="shared" si="4"/>
        <v>102</v>
      </c>
      <c r="P20" s="726">
        <v>59</v>
      </c>
      <c r="Q20" s="18">
        <v>7</v>
      </c>
      <c r="R20" s="18"/>
      <c r="S20" s="18">
        <v>7</v>
      </c>
      <c r="T20" s="727"/>
      <c r="U20" s="727">
        <v>29</v>
      </c>
      <c r="V20" s="729">
        <f t="shared" si="2"/>
        <v>102</v>
      </c>
      <c r="W20" s="5" t="str">
        <f t="shared" si="3"/>
        <v>match</v>
      </c>
      <c r="Y20" s="6"/>
      <c r="Z20" s="6"/>
    </row>
    <row r="21" spans="1:26">
      <c r="A21" s="725" t="s">
        <v>32</v>
      </c>
      <c r="B21" s="726" t="s">
        <v>21</v>
      </c>
      <c r="C21" s="726">
        <v>76</v>
      </c>
      <c r="D21" s="726">
        <v>4</v>
      </c>
      <c r="E21" s="727"/>
      <c r="F21" s="197">
        <v>1</v>
      </c>
      <c r="G21" s="18"/>
      <c r="H21" s="18">
        <v>2</v>
      </c>
      <c r="I21" s="18"/>
      <c r="J21" s="727">
        <v>2</v>
      </c>
      <c r="K21" s="18"/>
      <c r="L21" s="18">
        <v>1</v>
      </c>
      <c r="M21" s="18"/>
      <c r="N21" s="728">
        <f t="shared" si="7"/>
        <v>10</v>
      </c>
      <c r="O21" s="725">
        <f t="shared" si="4"/>
        <v>66</v>
      </c>
      <c r="P21" s="726">
        <v>52</v>
      </c>
      <c r="Q21" s="18">
        <v>1</v>
      </c>
      <c r="R21" s="18"/>
      <c r="S21" s="18">
        <v>9</v>
      </c>
      <c r="T21" s="726"/>
      <c r="U21" s="727">
        <v>4</v>
      </c>
      <c r="V21" s="729">
        <f t="shared" si="2"/>
        <v>66</v>
      </c>
      <c r="W21" s="5" t="str">
        <f t="shared" si="3"/>
        <v>match</v>
      </c>
      <c r="Y21" s="6"/>
      <c r="Z21" s="6"/>
    </row>
    <row r="22" spans="1:26">
      <c r="A22" s="730"/>
      <c r="B22" s="730"/>
      <c r="C22" s="730"/>
      <c r="D22" s="730"/>
      <c r="E22" s="730"/>
      <c r="F22" s="730"/>
      <c r="G22" s="731"/>
      <c r="H22" s="730"/>
      <c r="I22" s="730"/>
      <c r="J22" s="730"/>
      <c r="K22" s="730"/>
      <c r="L22" s="730"/>
      <c r="M22" s="730"/>
      <c r="N22" s="730"/>
      <c r="O22" s="730"/>
      <c r="P22" s="730"/>
      <c r="Q22" s="730"/>
      <c r="R22" s="730"/>
      <c r="S22" s="730"/>
      <c r="T22" s="731"/>
      <c r="U22" s="730"/>
      <c r="V22" s="732"/>
      <c r="W22" s="5" t="str">
        <f t="shared" si="3"/>
        <v>match</v>
      </c>
      <c r="Y22" s="6"/>
      <c r="Z22" s="6"/>
    </row>
    <row r="23" spans="1:26">
      <c r="A23" s="725" t="s">
        <v>5</v>
      </c>
      <c r="B23" s="725" t="s">
        <v>14</v>
      </c>
      <c r="C23" s="726">
        <v>19</v>
      </c>
      <c r="D23" s="727">
        <v>2</v>
      </c>
      <c r="E23" s="727">
        <v>1</v>
      </c>
      <c r="F23" s="727">
        <v>0</v>
      </c>
      <c r="G23" s="18">
        <v>0</v>
      </c>
      <c r="H23" s="727">
        <v>2</v>
      </c>
      <c r="I23" s="727"/>
      <c r="J23" s="727"/>
      <c r="K23" s="727"/>
      <c r="L23" s="727"/>
      <c r="M23" s="727"/>
      <c r="N23" s="728">
        <f t="shared" ref="N23:N27" si="8">SUM(D23:M23)</f>
        <v>5</v>
      </c>
      <c r="O23" s="725">
        <f t="shared" ref="O23:O27" si="9">C23-N23</f>
        <v>14</v>
      </c>
      <c r="P23" s="727">
        <v>11</v>
      </c>
      <c r="Q23" s="727">
        <v>1</v>
      </c>
      <c r="R23" s="18">
        <v>0</v>
      </c>
      <c r="S23" s="727">
        <v>2</v>
      </c>
      <c r="T23" s="727">
        <v>0</v>
      </c>
      <c r="U23" s="727">
        <v>0</v>
      </c>
      <c r="V23" s="729">
        <f t="shared" ref="V23:V28" si="10">SUM(P23:U23)</f>
        <v>14</v>
      </c>
      <c r="W23" s="5" t="str">
        <f t="shared" si="3"/>
        <v>match</v>
      </c>
      <c r="Y23" s="6"/>
      <c r="Z23" s="6"/>
    </row>
    <row r="24" spans="1:26">
      <c r="A24" s="725" t="s">
        <v>5</v>
      </c>
      <c r="B24" s="726" t="s">
        <v>21</v>
      </c>
      <c r="C24" s="726">
        <v>27</v>
      </c>
      <c r="D24" s="727">
        <v>2</v>
      </c>
      <c r="E24" s="727">
        <v>0</v>
      </c>
      <c r="F24" s="727">
        <v>1</v>
      </c>
      <c r="G24" s="18"/>
      <c r="H24" s="727"/>
      <c r="I24" s="727">
        <v>1</v>
      </c>
      <c r="J24" s="727"/>
      <c r="K24" s="727"/>
      <c r="L24" s="727"/>
      <c r="M24" s="727"/>
      <c r="N24" s="728">
        <f t="shared" si="8"/>
        <v>4</v>
      </c>
      <c r="O24" s="725">
        <f t="shared" si="9"/>
        <v>23</v>
      </c>
      <c r="P24" s="727">
        <v>20</v>
      </c>
      <c r="Q24" s="727">
        <v>0</v>
      </c>
      <c r="R24" s="18">
        <v>0</v>
      </c>
      <c r="S24" s="727">
        <v>3</v>
      </c>
      <c r="T24" s="727"/>
      <c r="U24" s="727"/>
      <c r="V24" s="729">
        <f t="shared" si="10"/>
        <v>23</v>
      </c>
      <c r="W24" s="5" t="str">
        <f t="shared" si="3"/>
        <v>match</v>
      </c>
      <c r="Y24" s="6"/>
      <c r="Z24" s="6"/>
    </row>
    <row r="25" spans="1:26">
      <c r="A25" s="725" t="s">
        <v>5</v>
      </c>
      <c r="B25" s="726" t="s">
        <v>22</v>
      </c>
      <c r="C25" s="726">
        <v>45</v>
      </c>
      <c r="D25" s="727">
        <v>8</v>
      </c>
      <c r="E25" s="727">
        <v>1</v>
      </c>
      <c r="F25" s="727"/>
      <c r="G25" s="18">
        <v>1</v>
      </c>
      <c r="H25" s="727">
        <v>2</v>
      </c>
      <c r="I25" s="55"/>
      <c r="J25" s="735"/>
      <c r="K25" s="735"/>
      <c r="L25" s="727"/>
      <c r="M25" s="727"/>
      <c r="N25" s="728">
        <f t="shared" si="8"/>
        <v>12</v>
      </c>
      <c r="O25" s="725">
        <f t="shared" si="9"/>
        <v>33</v>
      </c>
      <c r="P25" s="727">
        <v>20</v>
      </c>
      <c r="Q25" s="727">
        <v>1</v>
      </c>
      <c r="R25" s="18"/>
      <c r="S25" s="727">
        <v>3</v>
      </c>
      <c r="T25" s="727"/>
      <c r="U25" s="727">
        <v>9</v>
      </c>
      <c r="V25" s="729">
        <f t="shared" si="10"/>
        <v>33</v>
      </c>
      <c r="W25" s="5" t="str">
        <f t="shared" si="3"/>
        <v>match</v>
      </c>
      <c r="Y25" s="6"/>
      <c r="Z25" s="6"/>
    </row>
    <row r="26" spans="1:26">
      <c r="A26" s="728" t="s">
        <v>813</v>
      </c>
      <c r="B26" s="736" t="s">
        <v>22</v>
      </c>
      <c r="C26" s="736">
        <v>8</v>
      </c>
      <c r="D26" s="727"/>
      <c r="E26" s="727"/>
      <c r="F26" s="727"/>
      <c r="G26" s="727"/>
      <c r="H26" s="727">
        <v>1</v>
      </c>
      <c r="I26" s="727"/>
      <c r="J26" s="727"/>
      <c r="K26" s="727"/>
      <c r="L26" s="727"/>
      <c r="M26" s="727"/>
      <c r="N26" s="728">
        <f t="shared" si="8"/>
        <v>1</v>
      </c>
      <c r="O26" s="725">
        <f t="shared" si="9"/>
        <v>7</v>
      </c>
      <c r="P26" s="727">
        <v>4</v>
      </c>
      <c r="Q26" s="727">
        <v>2</v>
      </c>
      <c r="R26" s="727">
        <v>0</v>
      </c>
      <c r="S26" s="727">
        <v>1</v>
      </c>
      <c r="T26" s="727">
        <v>0</v>
      </c>
      <c r="U26" s="727">
        <v>0</v>
      </c>
      <c r="V26" s="729">
        <f t="shared" si="10"/>
        <v>7</v>
      </c>
      <c r="W26" s="5" t="str">
        <f t="shared" si="3"/>
        <v>match</v>
      </c>
      <c r="Y26" s="6"/>
      <c r="Z26" s="6"/>
    </row>
    <row r="27" spans="1:26">
      <c r="A27" s="728" t="s">
        <v>813</v>
      </c>
      <c r="B27" s="736" t="s">
        <v>20</v>
      </c>
      <c r="C27" s="736">
        <v>7</v>
      </c>
      <c r="D27" s="727">
        <v>0</v>
      </c>
      <c r="E27" s="727">
        <v>0</v>
      </c>
      <c r="F27" s="727"/>
      <c r="G27" s="727"/>
      <c r="H27" s="727">
        <v>2</v>
      </c>
      <c r="I27" s="727">
        <v>1</v>
      </c>
      <c r="J27" s="727"/>
      <c r="K27" s="727">
        <v>2</v>
      </c>
      <c r="L27" s="727"/>
      <c r="M27" s="727"/>
      <c r="N27" s="728">
        <f t="shared" si="8"/>
        <v>5</v>
      </c>
      <c r="O27" s="725">
        <f t="shared" si="9"/>
        <v>2</v>
      </c>
      <c r="P27" s="727">
        <v>2</v>
      </c>
      <c r="Q27" s="727">
        <v>0</v>
      </c>
      <c r="R27" s="727"/>
      <c r="S27" s="727">
        <v>0</v>
      </c>
      <c r="T27" s="727"/>
      <c r="U27" s="727">
        <v>0</v>
      </c>
      <c r="V27" s="729">
        <f t="shared" si="10"/>
        <v>2</v>
      </c>
      <c r="W27" s="5" t="str">
        <f t="shared" si="3"/>
        <v>match</v>
      </c>
      <c r="X27" s="6"/>
      <c r="Y27" s="6"/>
      <c r="Z27" s="6"/>
    </row>
    <row r="28" spans="1:26">
      <c r="A28" s="730"/>
      <c r="B28" s="730"/>
      <c r="C28" s="737">
        <f t="shared" ref="C28:U28" si="11">SUM(C2:C27)</f>
        <v>1254</v>
      </c>
      <c r="D28" s="737">
        <f t="shared" si="11"/>
        <v>72</v>
      </c>
      <c r="E28" s="737">
        <f t="shared" si="11"/>
        <v>12</v>
      </c>
      <c r="F28" s="737">
        <f t="shared" si="11"/>
        <v>9</v>
      </c>
      <c r="G28" s="737">
        <f t="shared" si="11"/>
        <v>23</v>
      </c>
      <c r="H28" s="737">
        <f t="shared" si="11"/>
        <v>58</v>
      </c>
      <c r="I28" s="737">
        <f t="shared" si="11"/>
        <v>28</v>
      </c>
      <c r="J28" s="737">
        <f t="shared" si="11"/>
        <v>5</v>
      </c>
      <c r="K28" s="737">
        <f t="shared" si="11"/>
        <v>13</v>
      </c>
      <c r="L28" s="737">
        <f t="shared" si="11"/>
        <v>2</v>
      </c>
      <c r="M28" s="737">
        <f t="shared" si="11"/>
        <v>0</v>
      </c>
      <c r="N28" s="737">
        <f t="shared" si="11"/>
        <v>222</v>
      </c>
      <c r="O28" s="737">
        <f t="shared" si="11"/>
        <v>1027</v>
      </c>
      <c r="P28" s="737">
        <f t="shared" si="11"/>
        <v>791</v>
      </c>
      <c r="Q28" s="737">
        <f t="shared" si="11"/>
        <v>59</v>
      </c>
      <c r="R28" s="737">
        <f t="shared" si="11"/>
        <v>2</v>
      </c>
      <c r="S28" s="737">
        <f t="shared" si="11"/>
        <v>82</v>
      </c>
      <c r="T28" s="737">
        <f t="shared" si="11"/>
        <v>6</v>
      </c>
      <c r="U28" s="737">
        <f t="shared" si="11"/>
        <v>87</v>
      </c>
      <c r="V28" s="732">
        <f t="shared" si="10"/>
        <v>1027</v>
      </c>
      <c r="W28" s="5" t="str">
        <f t="shared" si="3"/>
        <v>match</v>
      </c>
      <c r="Y28" s="6"/>
      <c r="Z28" s="6"/>
    </row>
    <row r="29" spans="1:26">
      <c r="A29" s="90"/>
      <c r="C29" s="90"/>
      <c r="E29" s="90"/>
      <c r="K29" s="90"/>
      <c r="P29" s="90"/>
      <c r="Q29" s="90"/>
      <c r="R29" s="90"/>
      <c r="W29" s="6"/>
      <c r="X29" s="6"/>
      <c r="Y29" s="6"/>
      <c r="Z29" s="6"/>
    </row>
    <row r="30" spans="1:26">
      <c r="A30" s="90"/>
      <c r="K30" s="90"/>
      <c r="N30" s="90"/>
      <c r="P30" s="90"/>
      <c r="Q30" s="90"/>
      <c r="R30" s="90"/>
      <c r="W30" s="6"/>
      <c r="X30" s="6"/>
      <c r="Y30" s="6"/>
      <c r="Z30" s="6"/>
    </row>
    <row r="31" spans="1:26" ht="15" customHeight="1">
      <c r="A31" s="90"/>
      <c r="K31" s="90"/>
      <c r="L31" s="667" t="s">
        <v>801</v>
      </c>
      <c r="M31" s="738"/>
      <c r="N31" s="739">
        <f>(N28/C28)*100</f>
        <v>17.703349282296653</v>
      </c>
      <c r="Q31" s="90"/>
      <c r="R31" s="90"/>
      <c r="Y31" s="6"/>
      <c r="Z31" s="6"/>
    </row>
    <row r="32" spans="1:26">
      <c r="A32" s="90"/>
      <c r="K32" s="90"/>
      <c r="Q32" s="90"/>
      <c r="R32" s="90"/>
      <c r="Y32" s="6"/>
      <c r="Z32" s="6"/>
    </row>
    <row r="33" spans="1:26">
      <c r="A33" s="90"/>
      <c r="Q33" s="90"/>
      <c r="R33" s="90"/>
      <c r="Y33" s="6"/>
      <c r="Z33" s="6"/>
    </row>
    <row r="34" spans="1:26">
      <c r="A34" s="90"/>
      <c r="Q34" s="90"/>
      <c r="R34" s="90"/>
      <c r="W34" s="6"/>
      <c r="X34" s="6"/>
      <c r="Y34" s="6"/>
      <c r="Z34" s="6"/>
    </row>
    <row r="35" spans="1:26">
      <c r="A35" s="90"/>
      <c r="W35" s="6"/>
      <c r="X35" s="6"/>
      <c r="Y35" s="6"/>
      <c r="Z35" s="6"/>
    </row>
    <row r="36" spans="1:26">
      <c r="A36" s="90"/>
      <c r="W36" s="6"/>
      <c r="X36" s="6"/>
      <c r="Y36" s="6"/>
      <c r="Z36" s="6"/>
    </row>
    <row r="37" spans="1:26">
      <c r="A37" s="90"/>
      <c r="W37" s="6"/>
      <c r="X37" s="6"/>
      <c r="Y37" s="6"/>
      <c r="Z37" s="6"/>
    </row>
    <row r="38" spans="1:26">
      <c r="A38" s="90"/>
      <c r="T38" s="90"/>
      <c r="W38" s="6"/>
      <c r="X38" s="6"/>
      <c r="Y38" s="6"/>
      <c r="Z38" s="6"/>
    </row>
    <row r="39" spans="1:26">
      <c r="A39" s="90"/>
      <c r="W39" s="6"/>
      <c r="X39" s="6"/>
      <c r="Y39" s="6"/>
      <c r="Z39" s="6"/>
    </row>
    <row r="40" spans="1:26">
      <c r="A40" s="90"/>
      <c r="C40" s="90"/>
      <c r="G40" s="90"/>
      <c r="O40" s="90"/>
      <c r="Y40" s="6"/>
      <c r="Z40" s="6"/>
    </row>
    <row r="41" spans="1:26">
      <c r="A41" s="90"/>
      <c r="C41" s="90"/>
      <c r="G41" s="90"/>
      <c r="O41" s="90"/>
      <c r="Y41" s="6"/>
      <c r="Z41" s="6"/>
    </row>
    <row r="42" spans="1:26">
      <c r="A42" s="90"/>
      <c r="C42" s="90"/>
      <c r="G42" s="90"/>
      <c r="O42" s="90"/>
      <c r="Y42" s="6"/>
      <c r="Z42" s="6"/>
    </row>
    <row r="43" spans="1:26">
      <c r="A43" s="90"/>
      <c r="C43" s="90"/>
      <c r="G43" s="90"/>
      <c r="Y43" s="6"/>
      <c r="Z43" s="6"/>
    </row>
    <row r="44" spans="1:26">
      <c r="A44" s="90"/>
      <c r="C44" s="90"/>
      <c r="G44" s="90"/>
      <c r="N44" s="90"/>
      <c r="O44" s="90"/>
      <c r="Y44" s="6"/>
      <c r="Z44" s="6"/>
    </row>
    <row r="45" spans="1:26">
      <c r="A45" s="90"/>
      <c r="C45" s="90"/>
      <c r="G45" s="90"/>
      <c r="K45" s="90"/>
      <c r="S45" s="90"/>
      <c r="Y45" s="6"/>
      <c r="Z45" s="6"/>
    </row>
    <row r="46" spans="1:26">
      <c r="A46" s="90"/>
      <c r="C46" s="90"/>
      <c r="G46" s="90"/>
      <c r="K46" s="90"/>
      <c r="N46" s="90"/>
      <c r="O46" s="90"/>
      <c r="S46" s="90"/>
      <c r="Y46" s="6"/>
      <c r="Z46" s="6"/>
    </row>
    <row r="47" spans="1:26">
      <c r="A47" s="90"/>
      <c r="C47" s="90"/>
      <c r="G47" s="90"/>
      <c r="K47" s="90"/>
      <c r="S47" s="90"/>
      <c r="Y47" s="6"/>
      <c r="Z47" s="6"/>
    </row>
    <row r="48" spans="1:26">
      <c r="A48" s="90"/>
      <c r="C48" s="90"/>
      <c r="G48" s="90"/>
      <c r="K48" s="90"/>
      <c r="S48" s="90"/>
      <c r="Y48" s="6"/>
      <c r="Z48" s="6"/>
    </row>
    <row r="49" spans="1:26">
      <c r="A49" s="90"/>
      <c r="C49" s="90"/>
      <c r="G49" s="90"/>
      <c r="K49" s="90"/>
      <c r="S49" s="90"/>
      <c r="Y49" s="6"/>
      <c r="Z49" s="6"/>
    </row>
    <row r="50" spans="1:26">
      <c r="A50" s="90"/>
      <c r="C50" s="90"/>
      <c r="G50" s="90"/>
      <c r="K50" s="90"/>
      <c r="R50" s="90"/>
      <c r="S50" s="90"/>
      <c r="T50" s="90"/>
      <c r="Y50" s="6"/>
      <c r="Z50" s="6"/>
    </row>
    <row r="51" spans="1:26">
      <c r="A51" s="90"/>
      <c r="C51" s="90"/>
      <c r="G51" s="90"/>
      <c r="K51" s="90"/>
      <c r="R51" s="90"/>
      <c r="S51" s="90"/>
      <c r="T51" s="90"/>
      <c r="Y51" s="6"/>
      <c r="Z51" s="6"/>
    </row>
    <row r="52" spans="1:26">
      <c r="A52" s="90"/>
      <c r="C52" s="90"/>
      <c r="G52" s="90"/>
      <c r="K52" s="90"/>
      <c r="T52" s="90"/>
      <c r="Y52" s="6"/>
      <c r="Z52" s="6"/>
    </row>
    <row r="53" spans="1:26">
      <c r="A53" s="90"/>
      <c r="C53" s="90"/>
      <c r="G53" s="90"/>
      <c r="K53" s="90"/>
      <c r="T53" s="90"/>
      <c r="Y53" s="6"/>
      <c r="Z53" s="6"/>
    </row>
    <row r="54" spans="1:26">
      <c r="A54" s="90"/>
      <c r="C54" s="90"/>
      <c r="G54" s="90"/>
      <c r="K54" s="90"/>
      <c r="T54" s="90"/>
      <c r="Y54" s="6"/>
      <c r="Z54" s="6"/>
    </row>
    <row r="55" spans="1:26">
      <c r="A55" s="90"/>
      <c r="C55" s="90"/>
      <c r="G55" s="90"/>
      <c r="K55" s="90"/>
      <c r="T55" s="90"/>
      <c r="Y55" s="6"/>
      <c r="Z55" s="6"/>
    </row>
    <row r="56" spans="1:26">
      <c r="A56" s="90"/>
      <c r="C56" s="90"/>
      <c r="G56" s="90"/>
      <c r="K56" s="90"/>
      <c r="T56" s="90"/>
      <c r="Y56" s="6"/>
      <c r="Z56" s="6"/>
    </row>
    <row r="57" spans="1:26">
      <c r="A57" s="90"/>
      <c r="C57" s="90"/>
      <c r="G57" s="90"/>
      <c r="K57" s="90"/>
      <c r="R57" s="90"/>
      <c r="T57" s="90"/>
      <c r="Y57" s="6"/>
      <c r="Z57" s="6"/>
    </row>
    <row r="58" spans="1:26">
      <c r="A58" s="90"/>
      <c r="C58" s="90"/>
      <c r="E58" s="90"/>
      <c r="K58" s="90"/>
      <c r="P58" s="90"/>
      <c r="W58" s="6"/>
      <c r="X58" s="6"/>
      <c r="Y58" s="6"/>
      <c r="Z58" s="6"/>
    </row>
    <row r="59" spans="1:26">
      <c r="A59" s="90"/>
      <c r="C59" s="90"/>
      <c r="E59" s="90"/>
      <c r="K59" s="90"/>
      <c r="P59" s="90"/>
      <c r="W59" s="6"/>
      <c r="X59" s="6"/>
      <c r="Y59" s="6"/>
      <c r="Z59" s="6"/>
    </row>
    <row r="60" spans="1:26">
      <c r="A60" s="90"/>
      <c r="C60" s="90"/>
      <c r="E60" s="90"/>
      <c r="K60" s="90"/>
      <c r="P60" s="90"/>
      <c r="W60" s="6"/>
      <c r="X60" s="6"/>
      <c r="Y60" s="6"/>
      <c r="Z60" s="6"/>
    </row>
    <row r="61" spans="1:26">
      <c r="A61" s="90"/>
      <c r="C61" s="90"/>
      <c r="E61" s="90"/>
      <c r="K61" s="90"/>
      <c r="P61" s="90"/>
      <c r="W61" s="6"/>
      <c r="X61" s="6"/>
      <c r="Y61" s="6"/>
      <c r="Z61" s="6"/>
    </row>
    <row r="62" spans="1:26">
      <c r="A62" s="90"/>
      <c r="C62" s="90"/>
      <c r="E62" s="90"/>
      <c r="K62" s="90"/>
      <c r="P62" s="90"/>
      <c r="Q62" s="90"/>
      <c r="R62" s="90"/>
      <c r="W62" s="6"/>
      <c r="X62" s="6"/>
      <c r="Y62" s="6"/>
      <c r="Z62" s="6"/>
    </row>
    <row r="63" spans="1:26">
      <c r="A63" s="90"/>
      <c r="C63" s="90"/>
      <c r="E63" s="90"/>
      <c r="K63" s="90"/>
      <c r="P63" s="90"/>
      <c r="Q63" s="90"/>
      <c r="R63" s="90"/>
      <c r="W63" s="6"/>
      <c r="X63" s="6"/>
      <c r="Y63" s="6"/>
      <c r="Z63" s="6"/>
    </row>
    <row r="64" spans="1:26">
      <c r="A64" s="90"/>
      <c r="C64" s="90"/>
      <c r="E64" s="90"/>
      <c r="K64" s="90"/>
      <c r="P64" s="90"/>
      <c r="Q64" s="90"/>
      <c r="R64" s="90"/>
      <c r="W64" s="6"/>
      <c r="X64" s="6"/>
      <c r="Y64" s="6"/>
      <c r="Z64" s="6"/>
    </row>
    <row r="65" spans="1:26">
      <c r="A65" s="90"/>
      <c r="C65" s="90"/>
      <c r="E65" s="90"/>
      <c r="K65" s="90"/>
      <c r="P65" s="90"/>
      <c r="Q65" s="90"/>
      <c r="R65" s="90"/>
      <c r="W65" s="6"/>
      <c r="X65" s="6"/>
      <c r="Y65" s="6"/>
      <c r="Z65" s="6"/>
    </row>
    <row r="66" spans="1:26">
      <c r="A66" s="90"/>
      <c r="C66" s="90"/>
      <c r="E66" s="90"/>
      <c r="K66" s="90"/>
      <c r="P66" s="90"/>
      <c r="Q66" s="90"/>
      <c r="R66" s="90"/>
      <c r="W66" s="6"/>
      <c r="X66" s="6"/>
      <c r="Y66" s="6"/>
      <c r="Z66" s="6"/>
    </row>
    <row r="67" spans="1:26">
      <c r="A67" s="90"/>
      <c r="C67" s="90"/>
      <c r="E67" s="90"/>
      <c r="K67" s="90"/>
      <c r="P67" s="90"/>
      <c r="Q67" s="90"/>
      <c r="R67" s="90"/>
      <c r="W67" s="6"/>
      <c r="X67" s="6"/>
      <c r="Y67" s="6"/>
      <c r="Z67" s="6"/>
    </row>
    <row r="68" spans="1:26">
      <c r="A68" s="90"/>
      <c r="C68" s="90"/>
      <c r="E68" s="90"/>
      <c r="K68" s="90"/>
      <c r="P68" s="90"/>
      <c r="Q68" s="90"/>
      <c r="R68" s="90"/>
      <c r="W68" s="6"/>
      <c r="X68" s="6"/>
      <c r="Y68" s="6"/>
      <c r="Z68" s="6"/>
    </row>
    <row r="69" spans="1:26">
      <c r="A69" s="90"/>
      <c r="C69" s="90"/>
      <c r="E69" s="90"/>
      <c r="K69" s="90"/>
      <c r="P69" s="90"/>
      <c r="Q69" s="90"/>
      <c r="R69" s="90"/>
      <c r="W69" s="6"/>
      <c r="X69" s="6"/>
      <c r="Y69" s="6"/>
      <c r="Z69" s="6"/>
    </row>
    <row r="70" spans="1:26">
      <c r="A70" s="90"/>
      <c r="C70" s="90"/>
      <c r="E70" s="90"/>
      <c r="K70" s="90"/>
      <c r="P70" s="90"/>
      <c r="Q70" s="90"/>
      <c r="R70" s="90"/>
      <c r="W70" s="6"/>
      <c r="X70" s="6"/>
      <c r="Y70" s="6"/>
      <c r="Z70" s="6"/>
    </row>
    <row r="71" spans="1:26">
      <c r="A71" s="90"/>
      <c r="C71" s="90"/>
      <c r="E71" s="90"/>
      <c r="K71" s="90"/>
      <c r="P71" s="90"/>
      <c r="Q71" s="90"/>
      <c r="R71" s="90"/>
      <c r="W71" s="6"/>
      <c r="X71" s="6"/>
      <c r="Y71" s="6"/>
      <c r="Z71" s="6"/>
    </row>
    <row r="72" spans="1:26">
      <c r="A72" s="90"/>
      <c r="C72" s="90"/>
      <c r="E72" s="90"/>
      <c r="K72" s="90"/>
      <c r="P72" s="90"/>
      <c r="Q72" s="90"/>
      <c r="R72" s="90"/>
      <c r="W72" s="6"/>
      <c r="X72" s="6"/>
      <c r="Y72" s="6"/>
      <c r="Z72" s="6"/>
    </row>
    <row r="73" spans="1:26">
      <c r="A73" s="90"/>
      <c r="C73" s="90"/>
      <c r="E73" s="90"/>
      <c r="K73" s="90"/>
      <c r="P73" s="90"/>
      <c r="Q73" s="90"/>
      <c r="R73" s="90"/>
      <c r="W73" s="6"/>
      <c r="X73" s="6"/>
      <c r="Y73" s="6"/>
      <c r="Z73" s="6"/>
    </row>
    <row r="74" spans="1:26">
      <c r="A74" s="90"/>
      <c r="C74" s="90"/>
      <c r="E74" s="90"/>
      <c r="K74" s="90"/>
      <c r="P74" s="90"/>
      <c r="Q74" s="90"/>
      <c r="R74" s="90"/>
      <c r="W74" s="6"/>
      <c r="X74" s="6"/>
      <c r="Y74" s="6"/>
      <c r="Z74" s="6"/>
    </row>
    <row r="75" spans="1:26">
      <c r="A75" s="90"/>
      <c r="C75" s="90"/>
      <c r="E75" s="90"/>
      <c r="K75" s="90"/>
      <c r="P75" s="90"/>
      <c r="Q75" s="90"/>
      <c r="R75" s="90"/>
      <c r="W75" s="6"/>
      <c r="X75" s="6"/>
      <c r="Y75" s="6"/>
      <c r="Z75" s="6"/>
    </row>
    <row r="76" spans="1:26">
      <c r="A76" s="90"/>
      <c r="C76" s="90"/>
      <c r="E76" s="90"/>
      <c r="K76" s="90"/>
      <c r="P76" s="90"/>
      <c r="Q76" s="90"/>
      <c r="R76" s="90"/>
      <c r="W76" s="6"/>
      <c r="X76" s="6"/>
      <c r="Y76" s="6"/>
      <c r="Z76" s="6"/>
    </row>
    <row r="77" spans="1:26">
      <c r="A77" s="90"/>
      <c r="C77" s="90"/>
      <c r="E77" s="90"/>
      <c r="K77" s="90"/>
      <c r="P77" s="90"/>
      <c r="Q77" s="90"/>
      <c r="R77" s="90"/>
      <c r="W77" s="6"/>
      <c r="X77" s="6"/>
      <c r="Y77" s="6"/>
      <c r="Z77" s="6"/>
    </row>
    <row r="78" spans="1:26">
      <c r="A78" s="90"/>
      <c r="C78" s="90"/>
      <c r="E78" s="90"/>
      <c r="K78" s="90"/>
      <c r="P78" s="90"/>
      <c r="Q78" s="90"/>
      <c r="R78" s="90"/>
      <c r="W78" s="6"/>
      <c r="X78" s="6"/>
      <c r="Y78" s="6"/>
      <c r="Z78" s="6"/>
    </row>
    <row r="79" spans="1:26">
      <c r="A79" s="90"/>
      <c r="C79" s="90"/>
      <c r="E79" s="90"/>
      <c r="K79" s="90"/>
      <c r="P79" s="90"/>
      <c r="Q79" s="90"/>
      <c r="R79" s="90"/>
      <c r="W79" s="6"/>
      <c r="X79" s="6"/>
      <c r="Y79" s="6"/>
      <c r="Z79" s="6"/>
    </row>
    <row r="80" spans="1:26">
      <c r="A80" s="90"/>
      <c r="C80" s="90"/>
      <c r="E80" s="90"/>
      <c r="K80" s="90"/>
      <c r="P80" s="90"/>
      <c r="Q80" s="90"/>
      <c r="R80" s="90"/>
      <c r="W80" s="6"/>
      <c r="X80" s="6"/>
      <c r="Y80" s="6"/>
      <c r="Z80" s="6"/>
    </row>
    <row r="81" spans="1:26">
      <c r="A81" s="90"/>
      <c r="C81" s="90"/>
      <c r="E81" s="90"/>
      <c r="K81" s="90"/>
      <c r="P81" s="90"/>
      <c r="Q81" s="90"/>
      <c r="R81" s="90"/>
      <c r="W81" s="6"/>
      <c r="X81" s="6"/>
      <c r="Y81" s="6"/>
      <c r="Z81" s="6"/>
    </row>
    <row r="82" spans="1:26">
      <c r="A82" s="90"/>
      <c r="C82" s="90"/>
      <c r="E82" s="90"/>
      <c r="K82" s="90"/>
      <c r="P82" s="90"/>
      <c r="Q82" s="90"/>
      <c r="R82" s="90"/>
      <c r="W82" s="6"/>
      <c r="X82" s="6"/>
      <c r="Y82" s="6"/>
      <c r="Z82" s="6"/>
    </row>
    <row r="83" spans="1:26">
      <c r="A83" s="90"/>
      <c r="C83" s="90"/>
      <c r="E83" s="90"/>
      <c r="K83" s="90"/>
      <c r="P83" s="90"/>
      <c r="Q83" s="90"/>
      <c r="R83" s="90"/>
      <c r="W83" s="6"/>
      <c r="X83" s="6"/>
      <c r="Y83" s="6"/>
      <c r="Z83" s="6"/>
    </row>
    <row r="84" spans="1:26">
      <c r="A84" s="90"/>
      <c r="C84" s="90"/>
      <c r="E84" s="90"/>
      <c r="K84" s="90"/>
      <c r="P84" s="90"/>
      <c r="Q84" s="90"/>
      <c r="R84" s="90"/>
      <c r="W84" s="6"/>
      <c r="X84" s="6"/>
      <c r="Y84" s="6"/>
      <c r="Z84" s="6"/>
    </row>
    <row r="85" spans="1:26">
      <c r="A85" s="90"/>
      <c r="C85" s="90"/>
      <c r="E85" s="90"/>
      <c r="K85" s="90"/>
      <c r="P85" s="90"/>
      <c r="Q85" s="90"/>
      <c r="R85" s="90"/>
      <c r="W85" s="6"/>
      <c r="X85" s="6"/>
      <c r="Y85" s="6"/>
      <c r="Z85" s="6"/>
    </row>
    <row r="86" spans="1:26">
      <c r="A86" s="90"/>
      <c r="C86" s="90"/>
      <c r="E86" s="90"/>
      <c r="K86" s="90"/>
      <c r="P86" s="90"/>
      <c r="Q86" s="90"/>
      <c r="R86" s="90"/>
      <c r="W86" s="6"/>
      <c r="X86" s="6"/>
      <c r="Y86" s="6"/>
      <c r="Z86" s="6"/>
    </row>
    <row r="87" spans="1:26">
      <c r="A87" s="90"/>
      <c r="C87" s="90"/>
      <c r="E87" s="90"/>
      <c r="K87" s="90"/>
      <c r="P87" s="90"/>
      <c r="Q87" s="90"/>
      <c r="R87" s="90"/>
      <c r="W87" s="6"/>
      <c r="X87" s="6"/>
      <c r="Y87" s="6"/>
      <c r="Z87" s="6"/>
    </row>
    <row r="88" spans="1:26">
      <c r="A88" s="90"/>
      <c r="C88" s="90"/>
      <c r="E88" s="90"/>
      <c r="K88" s="90"/>
      <c r="P88" s="90"/>
      <c r="Q88" s="90"/>
      <c r="R88" s="90"/>
      <c r="W88" s="6"/>
      <c r="X88" s="6"/>
      <c r="Y88" s="6"/>
      <c r="Z88" s="6"/>
    </row>
    <row r="89" spans="1:26">
      <c r="A89" s="90"/>
      <c r="C89" s="90"/>
      <c r="E89" s="90"/>
      <c r="K89" s="90"/>
      <c r="P89" s="90"/>
      <c r="Q89" s="90"/>
      <c r="R89" s="90"/>
      <c r="W89" s="6"/>
      <c r="X89" s="6"/>
      <c r="Y89" s="6"/>
      <c r="Z89" s="6"/>
    </row>
    <row r="90" spans="1:26">
      <c r="A90" s="90"/>
      <c r="C90" s="90"/>
      <c r="E90" s="90"/>
      <c r="K90" s="90"/>
      <c r="P90" s="90"/>
      <c r="Q90" s="90"/>
      <c r="R90" s="90"/>
      <c r="W90" s="6"/>
      <c r="X90" s="6"/>
      <c r="Y90" s="6"/>
      <c r="Z90" s="6"/>
    </row>
    <row r="91" spans="1:26">
      <c r="A91" s="90"/>
      <c r="C91" s="90"/>
      <c r="E91" s="90"/>
      <c r="K91" s="90"/>
      <c r="P91" s="90"/>
      <c r="Q91" s="90"/>
      <c r="R91" s="90"/>
      <c r="W91" s="6"/>
      <c r="X91" s="6"/>
      <c r="Y91" s="6"/>
      <c r="Z91" s="6"/>
    </row>
    <row r="92" spans="1:26">
      <c r="A92" s="90"/>
      <c r="C92" s="90"/>
      <c r="E92" s="90"/>
      <c r="K92" s="90"/>
      <c r="P92" s="90"/>
      <c r="Q92" s="90"/>
      <c r="R92" s="90"/>
      <c r="W92" s="6"/>
      <c r="X92" s="6"/>
      <c r="Y92" s="6"/>
      <c r="Z92" s="6"/>
    </row>
    <row r="93" spans="1:26">
      <c r="A93" s="90"/>
      <c r="C93" s="90"/>
      <c r="E93" s="90"/>
      <c r="K93" s="90"/>
      <c r="P93" s="90"/>
      <c r="Q93" s="90"/>
      <c r="R93" s="90"/>
      <c r="W93" s="6"/>
      <c r="X93" s="6"/>
      <c r="Y93" s="6"/>
      <c r="Z93" s="6"/>
    </row>
    <row r="94" spans="1:26">
      <c r="A94" s="90"/>
      <c r="C94" s="90"/>
      <c r="E94" s="90"/>
      <c r="K94" s="90"/>
      <c r="P94" s="90"/>
      <c r="Q94" s="90"/>
      <c r="R94" s="90"/>
      <c r="W94" s="6"/>
      <c r="X94" s="6"/>
      <c r="Y94" s="6"/>
      <c r="Z94" s="6"/>
    </row>
    <row r="95" spans="1:26">
      <c r="A95" s="90"/>
      <c r="C95" s="90"/>
      <c r="E95" s="90"/>
      <c r="K95" s="90"/>
      <c r="P95" s="90"/>
      <c r="Q95" s="90"/>
      <c r="R95" s="90"/>
      <c r="W95" s="6"/>
      <c r="X95" s="6"/>
      <c r="Y95" s="6"/>
      <c r="Z95" s="6"/>
    </row>
    <row r="96" spans="1:26">
      <c r="A96" s="90"/>
      <c r="C96" s="90"/>
      <c r="E96" s="90"/>
      <c r="K96" s="90"/>
      <c r="P96" s="90"/>
      <c r="Q96" s="90"/>
      <c r="R96" s="90"/>
      <c r="W96" s="6"/>
      <c r="X96" s="6"/>
      <c r="Y96" s="6"/>
      <c r="Z96" s="6"/>
    </row>
    <row r="97" spans="1:26">
      <c r="A97" s="90"/>
      <c r="C97" s="90"/>
      <c r="E97" s="90"/>
      <c r="K97" s="90"/>
      <c r="P97" s="90"/>
      <c r="Q97" s="90"/>
      <c r="R97" s="90"/>
      <c r="W97" s="6"/>
      <c r="X97" s="6"/>
      <c r="Y97" s="6"/>
      <c r="Z97" s="6"/>
    </row>
    <row r="98" spans="1:26">
      <c r="A98" s="90"/>
      <c r="C98" s="90"/>
      <c r="E98" s="90"/>
      <c r="K98" s="90"/>
      <c r="P98" s="90"/>
      <c r="Q98" s="90"/>
      <c r="R98" s="90"/>
      <c r="W98" s="6"/>
      <c r="X98" s="6"/>
      <c r="Y98" s="6"/>
      <c r="Z98" s="6"/>
    </row>
    <row r="99" spans="1:26">
      <c r="A99" s="90"/>
      <c r="C99" s="90"/>
      <c r="E99" s="90"/>
      <c r="K99" s="90"/>
      <c r="P99" s="90"/>
      <c r="Q99" s="90"/>
      <c r="R99" s="90"/>
      <c r="W99" s="6"/>
      <c r="X99" s="6"/>
      <c r="Y99" s="6"/>
      <c r="Z99" s="6"/>
    </row>
    <row r="100" spans="1:26">
      <c r="A100" s="90"/>
      <c r="C100" s="90"/>
      <c r="E100" s="90"/>
      <c r="K100" s="90"/>
      <c r="P100" s="90"/>
      <c r="Q100" s="90"/>
      <c r="R100" s="90"/>
      <c r="W100" s="6"/>
      <c r="X100" s="6"/>
      <c r="Y100" s="6"/>
      <c r="Z100" s="6"/>
    </row>
    <row r="101" spans="1:26">
      <c r="A101" s="90"/>
      <c r="C101" s="90"/>
      <c r="E101" s="90"/>
      <c r="K101" s="90"/>
      <c r="P101" s="90"/>
      <c r="Q101" s="90"/>
      <c r="R101" s="90"/>
      <c r="W101" s="6"/>
      <c r="X101" s="6"/>
      <c r="Y101" s="6"/>
      <c r="Z101" s="6"/>
    </row>
    <row r="102" spans="1:26">
      <c r="A102" s="90"/>
      <c r="C102" s="90"/>
      <c r="E102" s="90"/>
      <c r="K102" s="90"/>
      <c r="P102" s="90"/>
      <c r="Q102" s="90"/>
      <c r="R102" s="90"/>
      <c r="W102" s="6"/>
      <c r="X102" s="6"/>
      <c r="Y102" s="6"/>
      <c r="Z102" s="6"/>
    </row>
    <row r="103" spans="1:26">
      <c r="A103" s="90"/>
      <c r="C103" s="90"/>
      <c r="E103" s="90"/>
      <c r="K103" s="90"/>
      <c r="P103" s="90"/>
      <c r="Q103" s="90"/>
      <c r="R103" s="90"/>
      <c r="W103" s="6"/>
      <c r="X103" s="6"/>
      <c r="Y103" s="6"/>
      <c r="Z103" s="6"/>
    </row>
    <row r="104" spans="1:26">
      <c r="A104" s="90"/>
      <c r="C104" s="90"/>
      <c r="E104" s="90"/>
      <c r="K104" s="90"/>
      <c r="P104" s="90"/>
      <c r="Q104" s="90"/>
      <c r="R104" s="90"/>
      <c r="W104" s="6"/>
      <c r="X104" s="6"/>
      <c r="Y104" s="6"/>
      <c r="Z104" s="6"/>
    </row>
    <row r="105" spans="1:26">
      <c r="A105" s="90"/>
      <c r="C105" s="90"/>
      <c r="E105" s="90"/>
      <c r="K105" s="90"/>
      <c r="P105" s="90"/>
      <c r="Q105" s="90"/>
      <c r="R105" s="90"/>
      <c r="W105" s="6"/>
      <c r="X105" s="6"/>
      <c r="Y105" s="6"/>
      <c r="Z105" s="6"/>
    </row>
    <row r="106" spans="1:26">
      <c r="A106" s="90"/>
      <c r="C106" s="90"/>
      <c r="E106" s="90"/>
      <c r="K106" s="90"/>
      <c r="P106" s="90"/>
      <c r="Q106" s="90"/>
      <c r="R106" s="90"/>
      <c r="W106" s="6"/>
      <c r="X106" s="6"/>
      <c r="Y106" s="6"/>
      <c r="Z106" s="6"/>
    </row>
    <row r="107" spans="1:26">
      <c r="A107" s="90"/>
      <c r="C107" s="90"/>
      <c r="E107" s="90"/>
      <c r="K107" s="90"/>
      <c r="P107" s="90"/>
      <c r="Q107" s="90"/>
      <c r="R107" s="90"/>
      <c r="W107" s="6"/>
      <c r="X107" s="6"/>
      <c r="Y107" s="6"/>
      <c r="Z107" s="6"/>
    </row>
    <row r="108" spans="1:26">
      <c r="A108" s="90"/>
      <c r="C108" s="90"/>
      <c r="E108" s="90"/>
      <c r="K108" s="90"/>
      <c r="P108" s="90"/>
      <c r="Q108" s="90"/>
      <c r="R108" s="90"/>
      <c r="W108" s="6"/>
      <c r="X108" s="6"/>
      <c r="Y108" s="6"/>
      <c r="Z108" s="6"/>
    </row>
    <row r="109" spans="1:26">
      <c r="A109" s="90"/>
      <c r="C109" s="90"/>
      <c r="E109" s="90"/>
      <c r="K109" s="90"/>
      <c r="P109" s="90"/>
      <c r="Q109" s="90"/>
      <c r="R109" s="90"/>
      <c r="W109" s="6"/>
      <c r="X109" s="6"/>
      <c r="Y109" s="6"/>
      <c r="Z109" s="6"/>
    </row>
    <row r="110" spans="1:26">
      <c r="A110" s="90"/>
      <c r="C110" s="90"/>
      <c r="E110" s="90"/>
      <c r="K110" s="90"/>
      <c r="P110" s="90"/>
      <c r="Q110" s="90"/>
      <c r="R110" s="90"/>
      <c r="W110" s="6"/>
      <c r="X110" s="6"/>
      <c r="Y110" s="6"/>
      <c r="Z110" s="6"/>
    </row>
    <row r="111" spans="1:26">
      <c r="A111" s="90"/>
      <c r="C111" s="90"/>
      <c r="E111" s="90"/>
      <c r="K111" s="90"/>
      <c r="P111" s="90"/>
      <c r="Q111" s="90"/>
      <c r="R111" s="90"/>
      <c r="W111" s="6"/>
      <c r="X111" s="6"/>
      <c r="Y111" s="6"/>
      <c r="Z111" s="6"/>
    </row>
    <row r="112" spans="1:26">
      <c r="A112" s="90"/>
      <c r="C112" s="90"/>
      <c r="E112" s="90"/>
      <c r="K112" s="90"/>
      <c r="P112" s="90"/>
      <c r="Q112" s="90"/>
      <c r="R112" s="90"/>
      <c r="W112" s="6"/>
      <c r="X112" s="6"/>
      <c r="Y112" s="6"/>
      <c r="Z112" s="6"/>
    </row>
    <row r="113" spans="1:26">
      <c r="A113" s="90"/>
      <c r="C113" s="90"/>
      <c r="E113" s="90"/>
      <c r="K113" s="90"/>
      <c r="P113" s="90"/>
      <c r="Q113" s="90"/>
      <c r="R113" s="90"/>
      <c r="W113" s="6"/>
      <c r="X113" s="6"/>
      <c r="Y113" s="6"/>
      <c r="Z113" s="6"/>
    </row>
    <row r="114" spans="1:26">
      <c r="A114" s="90"/>
      <c r="C114" s="90"/>
      <c r="E114" s="90"/>
      <c r="K114" s="90"/>
      <c r="P114" s="90"/>
      <c r="Q114" s="90"/>
      <c r="R114" s="90"/>
      <c r="W114" s="6"/>
      <c r="X114" s="6"/>
      <c r="Y114" s="6"/>
      <c r="Z114" s="6"/>
    </row>
    <row r="115" spans="1:26">
      <c r="A115" s="90"/>
      <c r="C115" s="90"/>
      <c r="E115" s="90"/>
      <c r="K115" s="90"/>
      <c r="P115" s="90"/>
      <c r="Q115" s="90"/>
      <c r="R115" s="90"/>
      <c r="W115" s="6"/>
      <c r="X115" s="6"/>
      <c r="Y115" s="6"/>
      <c r="Z115" s="6"/>
    </row>
    <row r="116" spans="1:26">
      <c r="A116" s="90"/>
      <c r="C116" s="90"/>
      <c r="E116" s="90"/>
      <c r="K116" s="90"/>
      <c r="P116" s="90"/>
      <c r="Q116" s="90"/>
      <c r="R116" s="90"/>
      <c r="W116" s="6"/>
      <c r="X116" s="6"/>
      <c r="Y116" s="6"/>
      <c r="Z116" s="6"/>
    </row>
    <row r="117" spans="1:26">
      <c r="A117" s="90"/>
      <c r="C117" s="90"/>
      <c r="E117" s="90"/>
      <c r="K117" s="90"/>
      <c r="P117" s="90"/>
      <c r="Q117" s="90"/>
      <c r="R117" s="90"/>
      <c r="W117" s="6"/>
      <c r="X117" s="6"/>
      <c r="Y117" s="6"/>
      <c r="Z117" s="6"/>
    </row>
    <row r="118" spans="1:26">
      <c r="A118" s="90"/>
      <c r="C118" s="90"/>
      <c r="E118" s="90"/>
      <c r="K118" s="90"/>
      <c r="P118" s="90"/>
      <c r="Q118" s="90"/>
      <c r="R118" s="90"/>
      <c r="W118" s="6"/>
      <c r="X118" s="6"/>
      <c r="Y118" s="6"/>
      <c r="Z118" s="6"/>
    </row>
    <row r="119" spans="1:26">
      <c r="A119" s="90"/>
      <c r="C119" s="90"/>
      <c r="E119" s="90"/>
      <c r="K119" s="90"/>
      <c r="P119" s="90"/>
      <c r="Q119" s="90"/>
      <c r="R119" s="90"/>
      <c r="W119" s="6"/>
      <c r="X119" s="6"/>
      <c r="Y119" s="6"/>
      <c r="Z119" s="6"/>
    </row>
    <row r="120" spans="1:26">
      <c r="A120" s="90"/>
      <c r="C120" s="90"/>
      <c r="E120" s="90"/>
      <c r="K120" s="90"/>
      <c r="P120" s="90"/>
      <c r="Q120" s="90"/>
      <c r="R120" s="90"/>
      <c r="W120" s="6"/>
      <c r="X120" s="6"/>
      <c r="Y120" s="6"/>
      <c r="Z120" s="6"/>
    </row>
    <row r="121" spans="1:26">
      <c r="A121" s="90"/>
      <c r="C121" s="90"/>
      <c r="E121" s="90"/>
      <c r="K121" s="90"/>
      <c r="P121" s="90"/>
      <c r="Q121" s="90"/>
      <c r="R121" s="90"/>
      <c r="W121" s="6"/>
      <c r="X121" s="6"/>
      <c r="Y121" s="6"/>
      <c r="Z121" s="6"/>
    </row>
    <row r="122" spans="1:26">
      <c r="A122" s="90"/>
      <c r="C122" s="90"/>
      <c r="E122" s="90"/>
      <c r="K122" s="90"/>
      <c r="P122" s="90"/>
      <c r="Q122" s="90"/>
      <c r="R122" s="90"/>
      <c r="W122" s="6"/>
      <c r="X122" s="6"/>
      <c r="Y122" s="6"/>
      <c r="Z122" s="6"/>
    </row>
    <row r="123" spans="1:26">
      <c r="A123" s="90"/>
      <c r="C123" s="90"/>
      <c r="E123" s="90"/>
      <c r="K123" s="90"/>
      <c r="P123" s="90"/>
      <c r="Q123" s="90"/>
      <c r="R123" s="90"/>
      <c r="W123" s="6"/>
      <c r="X123" s="6"/>
      <c r="Y123" s="6"/>
      <c r="Z123" s="6"/>
    </row>
    <row r="124" spans="1:26">
      <c r="A124" s="90"/>
      <c r="C124" s="90"/>
      <c r="E124" s="90"/>
      <c r="K124" s="90"/>
      <c r="P124" s="90"/>
      <c r="Q124" s="90"/>
      <c r="R124" s="90"/>
      <c r="W124" s="6"/>
      <c r="X124" s="6"/>
      <c r="Y124" s="6"/>
      <c r="Z124" s="6"/>
    </row>
    <row r="125" spans="1:26">
      <c r="A125" s="90"/>
      <c r="C125" s="90"/>
      <c r="E125" s="90"/>
      <c r="K125" s="90"/>
      <c r="P125" s="90"/>
      <c r="Q125" s="90"/>
      <c r="R125" s="90"/>
      <c r="W125" s="6"/>
      <c r="X125" s="6"/>
      <c r="Y125" s="6"/>
      <c r="Z125" s="6"/>
    </row>
    <row r="126" spans="1:26">
      <c r="A126" s="90"/>
      <c r="C126" s="90"/>
      <c r="E126" s="90"/>
      <c r="K126" s="90"/>
      <c r="P126" s="90"/>
      <c r="Q126" s="90"/>
      <c r="R126" s="90"/>
      <c r="W126" s="6"/>
      <c r="X126" s="6"/>
      <c r="Y126" s="6"/>
      <c r="Z126" s="6"/>
    </row>
    <row r="127" spans="1:26">
      <c r="A127" s="90"/>
      <c r="C127" s="90"/>
      <c r="E127" s="90"/>
      <c r="K127" s="90"/>
      <c r="P127" s="90"/>
      <c r="Q127" s="90"/>
      <c r="R127" s="90"/>
      <c r="W127" s="6"/>
      <c r="X127" s="6"/>
      <c r="Y127" s="6"/>
      <c r="Z127" s="6"/>
    </row>
    <row r="128" spans="1:26">
      <c r="A128" s="90"/>
      <c r="C128" s="90"/>
      <c r="E128" s="90"/>
      <c r="K128" s="90"/>
      <c r="P128" s="90"/>
      <c r="Q128" s="90"/>
      <c r="R128" s="90"/>
      <c r="W128" s="6"/>
      <c r="X128" s="6"/>
      <c r="Y128" s="6"/>
      <c r="Z128" s="6"/>
    </row>
    <row r="129" spans="1:26">
      <c r="A129" s="90"/>
      <c r="C129" s="90"/>
      <c r="E129" s="90"/>
      <c r="K129" s="90"/>
      <c r="P129" s="90"/>
      <c r="Q129" s="90"/>
      <c r="R129" s="90"/>
      <c r="W129" s="6"/>
      <c r="X129" s="6"/>
      <c r="Y129" s="6"/>
      <c r="Z129" s="6"/>
    </row>
    <row r="130" spans="1:26">
      <c r="A130" s="90"/>
      <c r="C130" s="90"/>
      <c r="E130" s="90"/>
      <c r="K130" s="90"/>
      <c r="P130" s="90"/>
      <c r="Q130" s="90"/>
      <c r="R130" s="90"/>
      <c r="W130" s="6"/>
      <c r="X130" s="6"/>
      <c r="Y130" s="6"/>
      <c r="Z130" s="6"/>
    </row>
    <row r="131" spans="1:26">
      <c r="A131" s="90"/>
      <c r="C131" s="90"/>
      <c r="E131" s="90"/>
      <c r="K131" s="90"/>
      <c r="P131" s="90"/>
      <c r="Q131" s="90"/>
      <c r="R131" s="90"/>
      <c r="W131" s="6"/>
      <c r="X131" s="6"/>
      <c r="Y131" s="6"/>
      <c r="Z131" s="6"/>
    </row>
    <row r="132" spans="1:26">
      <c r="A132" s="90"/>
      <c r="C132" s="90"/>
      <c r="E132" s="90"/>
      <c r="K132" s="90"/>
      <c r="P132" s="90"/>
      <c r="Q132" s="90"/>
      <c r="R132" s="90"/>
      <c r="W132" s="6"/>
      <c r="X132" s="6"/>
      <c r="Y132" s="6"/>
      <c r="Z132" s="6"/>
    </row>
    <row r="133" spans="1:26">
      <c r="A133" s="90"/>
      <c r="C133" s="90"/>
      <c r="E133" s="90"/>
      <c r="K133" s="90"/>
      <c r="P133" s="90"/>
      <c r="Q133" s="90"/>
      <c r="R133" s="90"/>
      <c r="W133" s="6"/>
      <c r="X133" s="6"/>
      <c r="Y133" s="6"/>
      <c r="Z133" s="6"/>
    </row>
    <row r="134" spans="1:26">
      <c r="A134" s="90"/>
      <c r="C134" s="90"/>
      <c r="E134" s="90"/>
      <c r="K134" s="90"/>
      <c r="P134" s="90"/>
      <c r="Q134" s="90"/>
      <c r="R134" s="90"/>
      <c r="W134" s="6"/>
      <c r="X134" s="6"/>
      <c r="Y134" s="6"/>
      <c r="Z134" s="6"/>
    </row>
    <row r="135" spans="1:26">
      <c r="A135" s="90"/>
      <c r="C135" s="90"/>
      <c r="E135" s="90"/>
      <c r="K135" s="90"/>
      <c r="P135" s="90"/>
      <c r="Q135" s="90"/>
      <c r="R135" s="90"/>
      <c r="W135" s="6"/>
      <c r="X135" s="6"/>
      <c r="Y135" s="6"/>
      <c r="Z135" s="6"/>
    </row>
    <row r="136" spans="1:26">
      <c r="A136" s="90"/>
      <c r="C136" s="90"/>
      <c r="E136" s="90"/>
      <c r="K136" s="90"/>
      <c r="P136" s="90"/>
      <c r="Q136" s="90"/>
      <c r="R136" s="90"/>
      <c r="W136" s="6"/>
      <c r="X136" s="6"/>
      <c r="Y136" s="6"/>
      <c r="Z136" s="6"/>
    </row>
    <row r="137" spans="1:26">
      <c r="A137" s="90"/>
      <c r="C137" s="90"/>
      <c r="E137" s="90"/>
      <c r="K137" s="90"/>
      <c r="P137" s="90"/>
      <c r="Q137" s="90"/>
      <c r="R137" s="90"/>
      <c r="W137" s="6"/>
      <c r="X137" s="6"/>
      <c r="Y137" s="6"/>
      <c r="Z137" s="6"/>
    </row>
    <row r="138" spans="1:26">
      <c r="A138" s="90"/>
      <c r="C138" s="90"/>
      <c r="E138" s="90"/>
      <c r="K138" s="90"/>
      <c r="P138" s="90"/>
      <c r="Q138" s="90"/>
      <c r="R138" s="90"/>
      <c r="W138" s="6"/>
      <c r="X138" s="6"/>
      <c r="Y138" s="6"/>
      <c r="Z138" s="6"/>
    </row>
    <row r="139" spans="1:26">
      <c r="A139" s="90"/>
      <c r="C139" s="90"/>
      <c r="E139" s="90"/>
      <c r="K139" s="90"/>
      <c r="P139" s="90"/>
      <c r="Q139" s="90"/>
      <c r="R139" s="90"/>
      <c r="W139" s="6"/>
      <c r="X139" s="6"/>
      <c r="Y139" s="6"/>
      <c r="Z139" s="6"/>
    </row>
    <row r="140" spans="1:26">
      <c r="A140" s="90"/>
      <c r="C140" s="90"/>
      <c r="E140" s="90"/>
      <c r="K140" s="90"/>
      <c r="P140" s="90"/>
      <c r="Q140" s="90"/>
      <c r="R140" s="90"/>
      <c r="W140" s="6"/>
      <c r="X140" s="6"/>
      <c r="Y140" s="6"/>
      <c r="Z140" s="6"/>
    </row>
    <row r="141" spans="1:26">
      <c r="A141" s="90"/>
      <c r="C141" s="90"/>
      <c r="E141" s="90"/>
      <c r="K141" s="90"/>
      <c r="P141" s="90"/>
      <c r="Q141" s="90"/>
      <c r="R141" s="90"/>
      <c r="W141" s="6"/>
      <c r="X141" s="6"/>
      <c r="Y141" s="6"/>
      <c r="Z141" s="6"/>
    </row>
    <row r="142" spans="1:26">
      <c r="A142" s="90"/>
      <c r="C142" s="90"/>
      <c r="E142" s="90"/>
      <c r="K142" s="90"/>
      <c r="P142" s="90"/>
      <c r="Q142" s="90"/>
      <c r="R142" s="90"/>
      <c r="W142" s="6"/>
      <c r="X142" s="6"/>
      <c r="Y142" s="6"/>
      <c r="Z142" s="6"/>
    </row>
    <row r="143" spans="1:26">
      <c r="A143" s="90"/>
      <c r="C143" s="90"/>
      <c r="E143" s="90"/>
      <c r="K143" s="90"/>
      <c r="P143" s="90"/>
      <c r="Q143" s="90"/>
      <c r="R143" s="90"/>
      <c r="W143" s="6"/>
      <c r="X143" s="6"/>
      <c r="Y143" s="6"/>
      <c r="Z143" s="6"/>
    </row>
    <row r="144" spans="1:26">
      <c r="A144" s="90"/>
      <c r="C144" s="90"/>
      <c r="E144" s="90"/>
      <c r="K144" s="90"/>
      <c r="P144" s="90"/>
      <c r="Q144" s="90"/>
      <c r="R144" s="90"/>
      <c r="W144" s="6"/>
      <c r="X144" s="6"/>
      <c r="Y144" s="6"/>
      <c r="Z144" s="6"/>
    </row>
    <row r="145" spans="1:26">
      <c r="A145" s="90"/>
      <c r="C145" s="90"/>
      <c r="E145" s="90"/>
      <c r="K145" s="90"/>
      <c r="P145" s="90"/>
      <c r="Q145" s="90"/>
      <c r="R145" s="90"/>
      <c r="W145" s="6"/>
      <c r="X145" s="6"/>
      <c r="Y145" s="6"/>
      <c r="Z145" s="6"/>
    </row>
    <row r="146" spans="1:26">
      <c r="A146" s="90"/>
      <c r="C146" s="90"/>
      <c r="E146" s="90"/>
      <c r="K146" s="90"/>
      <c r="P146" s="90"/>
      <c r="Q146" s="90"/>
      <c r="R146" s="90"/>
      <c r="W146" s="6"/>
      <c r="X146" s="6"/>
      <c r="Y146" s="6"/>
      <c r="Z146" s="6"/>
    </row>
    <row r="147" spans="1:26">
      <c r="A147" s="90"/>
      <c r="C147" s="90"/>
      <c r="E147" s="90"/>
      <c r="K147" s="90"/>
      <c r="P147" s="90"/>
      <c r="Q147" s="90"/>
      <c r="R147" s="90"/>
      <c r="W147" s="6"/>
      <c r="X147" s="6"/>
      <c r="Y147" s="6"/>
      <c r="Z147" s="6"/>
    </row>
    <row r="148" spans="1:26">
      <c r="A148" s="90"/>
      <c r="C148" s="90"/>
      <c r="E148" s="90"/>
      <c r="K148" s="90"/>
      <c r="P148" s="90"/>
      <c r="Q148" s="90"/>
      <c r="R148" s="90"/>
      <c r="W148" s="6"/>
      <c r="X148" s="6"/>
      <c r="Y148" s="6"/>
      <c r="Z148" s="6"/>
    </row>
    <row r="149" spans="1:26">
      <c r="A149" s="90"/>
      <c r="C149" s="90"/>
      <c r="E149" s="90"/>
      <c r="K149" s="90"/>
      <c r="P149" s="90"/>
      <c r="Q149" s="90"/>
      <c r="R149" s="90"/>
      <c r="W149" s="6"/>
      <c r="X149" s="6"/>
      <c r="Y149" s="6"/>
      <c r="Z149" s="6"/>
    </row>
    <row r="150" spans="1:26">
      <c r="A150" s="90"/>
      <c r="C150" s="90"/>
      <c r="E150" s="90"/>
      <c r="K150" s="90"/>
      <c r="P150" s="90"/>
      <c r="Q150" s="90"/>
      <c r="R150" s="90"/>
      <c r="W150" s="6"/>
      <c r="X150" s="6"/>
      <c r="Y150" s="6"/>
      <c r="Z150" s="6"/>
    </row>
    <row r="151" spans="1:26">
      <c r="A151" s="90"/>
      <c r="C151" s="90"/>
      <c r="E151" s="90"/>
      <c r="K151" s="90"/>
      <c r="P151" s="90"/>
      <c r="Q151" s="90"/>
      <c r="R151" s="90"/>
      <c r="W151" s="6"/>
      <c r="X151" s="6"/>
      <c r="Y151" s="6"/>
      <c r="Z151" s="6"/>
    </row>
    <row r="152" spans="1:26">
      <c r="A152" s="90"/>
      <c r="C152" s="90"/>
      <c r="E152" s="90"/>
      <c r="K152" s="90"/>
      <c r="P152" s="90"/>
      <c r="Q152" s="90"/>
      <c r="R152" s="90"/>
      <c r="W152" s="6"/>
      <c r="X152" s="6"/>
      <c r="Y152" s="6"/>
      <c r="Z152" s="6"/>
    </row>
    <row r="153" spans="1:26">
      <c r="A153" s="90"/>
      <c r="C153" s="90"/>
      <c r="E153" s="90"/>
      <c r="K153" s="90"/>
      <c r="P153" s="90"/>
      <c r="Q153" s="90"/>
      <c r="R153" s="90"/>
      <c r="W153" s="6"/>
      <c r="X153" s="6"/>
      <c r="Y153" s="6"/>
      <c r="Z153" s="6"/>
    </row>
    <row r="154" spans="1:26">
      <c r="A154" s="90"/>
      <c r="C154" s="90"/>
      <c r="E154" s="90"/>
      <c r="K154" s="90"/>
      <c r="P154" s="90"/>
      <c r="Q154" s="90"/>
      <c r="R154" s="90"/>
      <c r="W154" s="6"/>
      <c r="X154" s="6"/>
      <c r="Y154" s="6"/>
      <c r="Z154" s="6"/>
    </row>
    <row r="155" spans="1:26">
      <c r="A155" s="90"/>
      <c r="C155" s="90"/>
      <c r="E155" s="90"/>
      <c r="K155" s="90"/>
      <c r="P155" s="90"/>
      <c r="Q155" s="90"/>
      <c r="R155" s="90"/>
      <c r="W155" s="6"/>
      <c r="X155" s="6"/>
      <c r="Y155" s="6"/>
      <c r="Z155" s="6"/>
    </row>
    <row r="156" spans="1:26">
      <c r="A156" s="90"/>
      <c r="C156" s="90"/>
      <c r="E156" s="90"/>
      <c r="K156" s="90"/>
      <c r="P156" s="90"/>
      <c r="Q156" s="90"/>
      <c r="R156" s="90"/>
      <c r="W156" s="6"/>
      <c r="X156" s="6"/>
      <c r="Y156" s="6"/>
      <c r="Z156" s="6"/>
    </row>
    <row r="157" spans="1:26">
      <c r="A157" s="90"/>
      <c r="C157" s="90"/>
      <c r="E157" s="90"/>
      <c r="K157" s="90"/>
      <c r="P157" s="90"/>
      <c r="Q157" s="90"/>
      <c r="R157" s="90"/>
      <c r="W157" s="6"/>
      <c r="X157" s="6"/>
      <c r="Y157" s="6"/>
      <c r="Z157" s="6"/>
    </row>
    <row r="158" spans="1:26">
      <c r="A158" s="90"/>
      <c r="C158" s="90"/>
      <c r="E158" s="90"/>
      <c r="K158" s="90"/>
      <c r="P158" s="90"/>
      <c r="Q158" s="90"/>
      <c r="R158" s="90"/>
      <c r="W158" s="6"/>
      <c r="X158" s="6"/>
      <c r="Y158" s="6"/>
      <c r="Z158" s="6"/>
    </row>
    <row r="159" spans="1:26">
      <c r="A159" s="90"/>
      <c r="C159" s="90"/>
      <c r="E159" s="90"/>
      <c r="K159" s="90"/>
      <c r="P159" s="90"/>
      <c r="Q159" s="90"/>
      <c r="R159" s="90"/>
      <c r="W159" s="6"/>
      <c r="X159" s="6"/>
      <c r="Y159" s="6"/>
      <c r="Z159" s="6"/>
    </row>
    <row r="160" spans="1:26">
      <c r="A160" s="90"/>
      <c r="C160" s="90"/>
      <c r="E160" s="90"/>
      <c r="K160" s="90"/>
      <c r="P160" s="90"/>
      <c r="Q160" s="90"/>
      <c r="R160" s="90"/>
      <c r="W160" s="6"/>
      <c r="X160" s="6"/>
      <c r="Y160" s="6"/>
      <c r="Z160" s="6"/>
    </row>
    <row r="161" spans="1:26">
      <c r="A161" s="90"/>
      <c r="C161" s="90"/>
      <c r="E161" s="90"/>
      <c r="K161" s="90"/>
      <c r="P161" s="90"/>
      <c r="Q161" s="90"/>
      <c r="R161" s="90"/>
      <c r="W161" s="6"/>
      <c r="X161" s="6"/>
      <c r="Y161" s="6"/>
      <c r="Z161" s="6"/>
    </row>
    <row r="162" spans="1:26">
      <c r="A162" s="90"/>
      <c r="C162" s="90"/>
      <c r="E162" s="90"/>
      <c r="K162" s="90"/>
      <c r="P162" s="90"/>
      <c r="Q162" s="90"/>
      <c r="R162" s="90"/>
      <c r="W162" s="6"/>
      <c r="X162" s="6"/>
      <c r="Y162" s="6"/>
      <c r="Z162" s="6"/>
    </row>
    <row r="163" spans="1:26">
      <c r="A163" s="90"/>
      <c r="C163" s="90"/>
      <c r="E163" s="90"/>
      <c r="K163" s="90"/>
      <c r="P163" s="90"/>
      <c r="Q163" s="90"/>
      <c r="R163" s="90"/>
      <c r="W163" s="6"/>
      <c r="X163" s="6"/>
      <c r="Y163" s="6"/>
      <c r="Z163" s="6"/>
    </row>
    <row r="164" spans="1:26">
      <c r="A164" s="90"/>
      <c r="C164" s="90"/>
      <c r="E164" s="90"/>
      <c r="K164" s="90"/>
      <c r="P164" s="90"/>
      <c r="Q164" s="90"/>
      <c r="R164" s="90"/>
      <c r="W164" s="6"/>
      <c r="X164" s="6"/>
      <c r="Y164" s="6"/>
      <c r="Z164" s="6"/>
    </row>
    <row r="165" spans="1:26">
      <c r="A165" s="90"/>
      <c r="C165" s="90"/>
      <c r="E165" s="90"/>
      <c r="K165" s="90"/>
      <c r="P165" s="90"/>
      <c r="Q165" s="90"/>
      <c r="R165" s="90"/>
      <c r="W165" s="6"/>
      <c r="X165" s="6"/>
      <c r="Y165" s="6"/>
      <c r="Z165" s="6"/>
    </row>
    <row r="166" spans="1:26">
      <c r="A166" s="90"/>
      <c r="C166" s="90"/>
      <c r="E166" s="90"/>
      <c r="K166" s="90"/>
      <c r="P166" s="90"/>
      <c r="Q166" s="90"/>
      <c r="R166" s="90"/>
      <c r="W166" s="6"/>
      <c r="X166" s="6"/>
      <c r="Y166" s="6"/>
      <c r="Z166" s="6"/>
    </row>
    <row r="167" spans="1:26">
      <c r="A167" s="90"/>
      <c r="C167" s="90"/>
      <c r="E167" s="90"/>
      <c r="K167" s="90"/>
      <c r="P167" s="90"/>
      <c r="Q167" s="90"/>
      <c r="R167" s="90"/>
      <c r="W167" s="6"/>
      <c r="X167" s="6"/>
      <c r="Y167" s="6"/>
      <c r="Z167" s="6"/>
    </row>
    <row r="168" spans="1:26">
      <c r="A168" s="90"/>
      <c r="C168" s="90"/>
      <c r="E168" s="90"/>
      <c r="K168" s="90"/>
      <c r="P168" s="90"/>
      <c r="Q168" s="90"/>
      <c r="R168" s="90"/>
      <c r="W168" s="6"/>
      <c r="X168" s="6"/>
      <c r="Y168" s="6"/>
      <c r="Z168" s="6"/>
    </row>
    <row r="169" spans="1:26">
      <c r="A169" s="90"/>
      <c r="C169" s="90"/>
      <c r="E169" s="90"/>
      <c r="K169" s="90"/>
      <c r="P169" s="90"/>
      <c r="Q169" s="90"/>
      <c r="R169" s="90"/>
      <c r="W169" s="6"/>
      <c r="X169" s="6"/>
      <c r="Y169" s="6"/>
      <c r="Z169" s="6"/>
    </row>
    <row r="170" spans="1:26">
      <c r="A170" s="90"/>
      <c r="C170" s="90"/>
      <c r="E170" s="90"/>
      <c r="K170" s="90"/>
      <c r="P170" s="90"/>
      <c r="Q170" s="90"/>
      <c r="R170" s="90"/>
      <c r="W170" s="6"/>
      <c r="X170" s="6"/>
      <c r="Y170" s="6"/>
      <c r="Z170" s="6"/>
    </row>
    <row r="171" spans="1:26">
      <c r="A171" s="90"/>
      <c r="C171" s="90"/>
      <c r="E171" s="90"/>
      <c r="K171" s="90"/>
      <c r="P171" s="90"/>
      <c r="Q171" s="90"/>
      <c r="R171" s="90"/>
      <c r="W171" s="6"/>
      <c r="X171" s="6"/>
      <c r="Y171" s="6"/>
      <c r="Z171" s="6"/>
    </row>
    <row r="172" spans="1:26">
      <c r="A172" s="90"/>
      <c r="C172" s="90"/>
      <c r="E172" s="90"/>
      <c r="K172" s="90"/>
      <c r="P172" s="90"/>
      <c r="Q172" s="90"/>
      <c r="R172" s="90"/>
      <c r="W172" s="6"/>
      <c r="X172" s="6"/>
      <c r="Y172" s="6"/>
      <c r="Z172" s="6"/>
    </row>
    <row r="173" spans="1:26">
      <c r="A173" s="90"/>
      <c r="C173" s="90"/>
      <c r="E173" s="90"/>
      <c r="K173" s="90"/>
      <c r="P173" s="90"/>
      <c r="Q173" s="90"/>
      <c r="R173" s="90"/>
      <c r="W173" s="6"/>
      <c r="X173" s="6"/>
      <c r="Y173" s="6"/>
      <c r="Z173" s="6"/>
    </row>
    <row r="174" spans="1:26">
      <c r="A174" s="90"/>
      <c r="C174" s="90"/>
      <c r="E174" s="90"/>
      <c r="K174" s="90"/>
      <c r="P174" s="90"/>
      <c r="Q174" s="90"/>
      <c r="R174" s="90"/>
      <c r="W174" s="6"/>
      <c r="X174" s="6"/>
      <c r="Y174" s="6"/>
      <c r="Z174" s="6"/>
    </row>
    <row r="175" spans="1:26">
      <c r="A175" s="90"/>
      <c r="C175" s="90"/>
      <c r="E175" s="90"/>
      <c r="K175" s="90"/>
      <c r="P175" s="90"/>
      <c r="Q175" s="90"/>
      <c r="R175" s="90"/>
      <c r="W175" s="6"/>
      <c r="X175" s="6"/>
      <c r="Y175" s="6"/>
      <c r="Z175" s="6"/>
    </row>
    <row r="176" spans="1:26">
      <c r="A176" s="90"/>
      <c r="C176" s="90"/>
      <c r="E176" s="90"/>
      <c r="K176" s="90"/>
      <c r="P176" s="90"/>
      <c r="Q176" s="90"/>
      <c r="R176" s="90"/>
      <c r="W176" s="6"/>
      <c r="X176" s="6"/>
      <c r="Y176" s="6"/>
      <c r="Z176" s="6"/>
    </row>
    <row r="177" spans="1:26">
      <c r="A177" s="90"/>
      <c r="C177" s="90"/>
      <c r="E177" s="90"/>
      <c r="K177" s="90"/>
      <c r="P177" s="90"/>
      <c r="Q177" s="90"/>
      <c r="R177" s="90"/>
      <c r="W177" s="6"/>
      <c r="X177" s="6"/>
      <c r="Y177" s="6"/>
      <c r="Z177" s="6"/>
    </row>
    <row r="178" spans="1:26">
      <c r="A178" s="90"/>
      <c r="C178" s="90"/>
      <c r="E178" s="90"/>
      <c r="K178" s="90"/>
      <c r="P178" s="90"/>
      <c r="Q178" s="90"/>
      <c r="R178" s="90"/>
      <c r="W178" s="6"/>
      <c r="X178" s="6"/>
      <c r="Y178" s="6"/>
      <c r="Z178" s="6"/>
    </row>
    <row r="179" spans="1:26">
      <c r="A179" s="90"/>
      <c r="C179" s="90"/>
      <c r="E179" s="90"/>
      <c r="K179" s="90"/>
      <c r="P179" s="90"/>
      <c r="Q179" s="90"/>
      <c r="R179" s="90"/>
      <c r="W179" s="6"/>
      <c r="X179" s="6"/>
      <c r="Y179" s="6"/>
      <c r="Z179" s="6"/>
    </row>
    <row r="180" spans="1:26">
      <c r="A180" s="90"/>
      <c r="C180" s="90"/>
      <c r="E180" s="90"/>
      <c r="K180" s="90"/>
      <c r="P180" s="90"/>
      <c r="Q180" s="90"/>
      <c r="R180" s="90"/>
      <c r="W180" s="6"/>
      <c r="X180" s="6"/>
      <c r="Y180" s="6"/>
      <c r="Z180" s="6"/>
    </row>
    <row r="181" spans="1:26">
      <c r="A181" s="90"/>
      <c r="C181" s="90"/>
      <c r="E181" s="90"/>
      <c r="K181" s="90"/>
      <c r="P181" s="90"/>
      <c r="Q181" s="90"/>
      <c r="R181" s="90"/>
      <c r="W181" s="6"/>
      <c r="X181" s="6"/>
      <c r="Y181" s="6"/>
      <c r="Z181" s="6"/>
    </row>
    <row r="182" spans="1:26">
      <c r="A182" s="90"/>
      <c r="C182" s="90"/>
      <c r="E182" s="90"/>
      <c r="K182" s="90"/>
      <c r="P182" s="90"/>
      <c r="Q182" s="90"/>
      <c r="R182" s="90"/>
      <c r="W182" s="6"/>
      <c r="X182" s="6"/>
      <c r="Y182" s="6"/>
      <c r="Z182" s="6"/>
    </row>
    <row r="183" spans="1:26">
      <c r="A183" s="90"/>
      <c r="C183" s="90"/>
      <c r="E183" s="90"/>
      <c r="K183" s="90"/>
      <c r="P183" s="90"/>
      <c r="Q183" s="90"/>
      <c r="R183" s="90"/>
      <c r="W183" s="6"/>
      <c r="X183" s="6"/>
      <c r="Y183" s="6"/>
      <c r="Z183" s="6"/>
    </row>
    <row r="184" spans="1:26">
      <c r="A184" s="90"/>
      <c r="C184" s="90"/>
      <c r="E184" s="90"/>
      <c r="K184" s="90"/>
      <c r="P184" s="90"/>
      <c r="Q184" s="90"/>
      <c r="R184" s="90"/>
      <c r="W184" s="6"/>
      <c r="X184" s="6"/>
      <c r="Y184" s="6"/>
      <c r="Z184" s="6"/>
    </row>
    <row r="185" spans="1:26">
      <c r="A185" s="90"/>
      <c r="C185" s="90"/>
      <c r="E185" s="90"/>
      <c r="K185" s="90"/>
      <c r="P185" s="90"/>
      <c r="Q185" s="90"/>
      <c r="R185" s="90"/>
      <c r="W185" s="6"/>
      <c r="X185" s="6"/>
      <c r="Y185" s="6"/>
      <c r="Z185" s="6"/>
    </row>
    <row r="186" spans="1:26">
      <c r="A186" s="90"/>
      <c r="C186" s="90"/>
      <c r="E186" s="90"/>
      <c r="K186" s="90"/>
      <c r="P186" s="90"/>
      <c r="Q186" s="90"/>
      <c r="R186" s="90"/>
      <c r="W186" s="6"/>
      <c r="X186" s="6"/>
      <c r="Y186" s="6"/>
      <c r="Z186" s="6"/>
    </row>
    <row r="187" spans="1:26">
      <c r="A187" s="90"/>
      <c r="C187" s="90"/>
      <c r="E187" s="90"/>
      <c r="K187" s="90"/>
      <c r="P187" s="90"/>
      <c r="Q187" s="90"/>
      <c r="R187" s="90"/>
      <c r="W187" s="6"/>
      <c r="X187" s="6"/>
      <c r="Y187" s="6"/>
      <c r="Z187" s="6"/>
    </row>
    <row r="188" spans="1:26">
      <c r="A188" s="90"/>
      <c r="C188" s="90"/>
      <c r="E188" s="90"/>
      <c r="K188" s="90"/>
      <c r="P188" s="90"/>
      <c r="Q188" s="90"/>
      <c r="R188" s="90"/>
      <c r="W188" s="6"/>
      <c r="X188" s="6"/>
      <c r="Y188" s="6"/>
      <c r="Z188" s="6"/>
    </row>
    <row r="189" spans="1:26">
      <c r="A189" s="90"/>
      <c r="C189" s="90"/>
      <c r="E189" s="90"/>
      <c r="K189" s="90"/>
      <c r="P189" s="90"/>
      <c r="Q189" s="90"/>
      <c r="R189" s="90"/>
      <c r="W189" s="6"/>
      <c r="X189" s="6"/>
      <c r="Y189" s="6"/>
      <c r="Z189" s="6"/>
    </row>
    <row r="190" spans="1:26">
      <c r="A190" s="90"/>
      <c r="C190" s="90"/>
      <c r="E190" s="90"/>
      <c r="K190" s="90"/>
      <c r="P190" s="90"/>
      <c r="Q190" s="90"/>
      <c r="R190" s="90"/>
      <c r="W190" s="6"/>
      <c r="X190" s="6"/>
      <c r="Y190" s="6"/>
      <c r="Z190" s="6"/>
    </row>
    <row r="191" spans="1:26">
      <c r="A191" s="90"/>
      <c r="C191" s="90"/>
      <c r="E191" s="90"/>
      <c r="K191" s="90"/>
      <c r="P191" s="90"/>
      <c r="Q191" s="90"/>
      <c r="R191" s="90"/>
      <c r="W191" s="6"/>
      <c r="X191" s="6"/>
      <c r="Y191" s="6"/>
      <c r="Z191" s="6"/>
    </row>
    <row r="192" spans="1:26">
      <c r="A192" s="90"/>
      <c r="C192" s="90"/>
      <c r="E192" s="90"/>
      <c r="K192" s="90"/>
      <c r="P192" s="90"/>
      <c r="Q192" s="90"/>
      <c r="R192" s="90"/>
      <c r="W192" s="6"/>
      <c r="X192" s="6"/>
      <c r="Y192" s="6"/>
      <c r="Z192" s="6"/>
    </row>
    <row r="193" spans="1:26">
      <c r="A193" s="90"/>
      <c r="C193" s="90"/>
      <c r="E193" s="90"/>
      <c r="K193" s="90"/>
      <c r="P193" s="90"/>
      <c r="Q193" s="90"/>
      <c r="R193" s="90"/>
      <c r="W193" s="6"/>
      <c r="X193" s="6"/>
      <c r="Y193" s="6"/>
      <c r="Z193" s="6"/>
    </row>
    <row r="194" spans="1:26">
      <c r="A194" s="90"/>
      <c r="C194" s="90"/>
      <c r="E194" s="90"/>
      <c r="K194" s="90"/>
      <c r="P194" s="90"/>
      <c r="Q194" s="90"/>
      <c r="R194" s="90"/>
      <c r="W194" s="6"/>
      <c r="X194" s="6"/>
      <c r="Y194" s="6"/>
      <c r="Z194" s="6"/>
    </row>
    <row r="195" spans="1:26">
      <c r="A195" s="90"/>
      <c r="C195" s="90"/>
      <c r="E195" s="90"/>
      <c r="K195" s="90"/>
      <c r="P195" s="90"/>
      <c r="Q195" s="90"/>
      <c r="R195" s="90"/>
      <c r="W195" s="6"/>
      <c r="X195" s="6"/>
      <c r="Y195" s="6"/>
      <c r="Z195" s="6"/>
    </row>
    <row r="196" spans="1:26">
      <c r="A196" s="90"/>
      <c r="C196" s="90"/>
      <c r="E196" s="90"/>
      <c r="K196" s="90"/>
      <c r="P196" s="90"/>
      <c r="Q196" s="90"/>
      <c r="R196" s="90"/>
      <c r="W196" s="6"/>
      <c r="X196" s="6"/>
      <c r="Y196" s="6"/>
      <c r="Z196" s="6"/>
    </row>
    <row r="197" spans="1:26">
      <c r="A197" s="90"/>
      <c r="C197" s="90"/>
      <c r="E197" s="90"/>
      <c r="K197" s="90"/>
      <c r="P197" s="90"/>
      <c r="Q197" s="90"/>
      <c r="R197" s="90"/>
      <c r="W197" s="6"/>
      <c r="X197" s="6"/>
      <c r="Y197" s="6"/>
      <c r="Z197" s="6"/>
    </row>
    <row r="198" spans="1:26">
      <c r="A198" s="90"/>
      <c r="C198" s="90"/>
      <c r="E198" s="90"/>
      <c r="K198" s="90"/>
      <c r="P198" s="90"/>
      <c r="Q198" s="90"/>
      <c r="R198" s="90"/>
      <c r="W198" s="6"/>
      <c r="X198" s="6"/>
      <c r="Y198" s="6"/>
      <c r="Z198" s="6"/>
    </row>
    <row r="199" spans="1:26">
      <c r="A199" s="90"/>
      <c r="C199" s="90"/>
      <c r="E199" s="90"/>
      <c r="K199" s="90"/>
      <c r="P199" s="90"/>
      <c r="Q199" s="90"/>
      <c r="R199" s="90"/>
      <c r="W199" s="6"/>
      <c r="X199" s="6"/>
      <c r="Y199" s="6"/>
      <c r="Z199" s="6"/>
    </row>
    <row r="200" spans="1:26">
      <c r="A200" s="90"/>
      <c r="C200" s="90"/>
      <c r="E200" s="90"/>
      <c r="K200" s="90"/>
      <c r="P200" s="90"/>
      <c r="Q200" s="90"/>
      <c r="R200" s="90"/>
      <c r="W200" s="6"/>
      <c r="X200" s="6"/>
      <c r="Y200" s="6"/>
      <c r="Z200" s="6"/>
    </row>
    <row r="201" spans="1:26">
      <c r="A201" s="90"/>
      <c r="C201" s="90"/>
      <c r="E201" s="90"/>
      <c r="K201" s="90"/>
      <c r="P201" s="90"/>
      <c r="Q201" s="90"/>
      <c r="R201" s="90"/>
      <c r="W201" s="6"/>
      <c r="X201" s="6"/>
      <c r="Y201" s="6"/>
      <c r="Z201" s="6"/>
    </row>
    <row r="202" spans="1:26">
      <c r="A202" s="90"/>
      <c r="C202" s="90"/>
      <c r="E202" s="90"/>
      <c r="K202" s="90"/>
      <c r="P202" s="90"/>
      <c r="Q202" s="90"/>
      <c r="R202" s="90"/>
      <c r="W202" s="6"/>
      <c r="X202" s="6"/>
      <c r="Y202" s="6"/>
      <c r="Z202" s="6"/>
    </row>
    <row r="203" spans="1:26">
      <c r="A203" s="90"/>
      <c r="C203" s="90"/>
      <c r="E203" s="90"/>
      <c r="K203" s="90"/>
      <c r="P203" s="90"/>
      <c r="Q203" s="90"/>
      <c r="R203" s="90"/>
      <c r="W203" s="6"/>
      <c r="X203" s="6"/>
      <c r="Y203" s="6"/>
      <c r="Z203" s="6"/>
    </row>
    <row r="204" spans="1:26">
      <c r="A204" s="90"/>
      <c r="C204" s="90"/>
      <c r="E204" s="90"/>
      <c r="K204" s="90"/>
      <c r="P204" s="90"/>
      <c r="Q204" s="90"/>
      <c r="R204" s="90"/>
      <c r="W204" s="6"/>
      <c r="X204" s="6"/>
      <c r="Y204" s="6"/>
      <c r="Z204" s="6"/>
    </row>
    <row r="205" spans="1:26">
      <c r="A205" s="90"/>
      <c r="C205" s="90"/>
      <c r="E205" s="90"/>
      <c r="K205" s="90"/>
      <c r="P205" s="90"/>
      <c r="Q205" s="90"/>
      <c r="R205" s="90"/>
      <c r="W205" s="6"/>
      <c r="X205" s="6"/>
      <c r="Y205" s="6"/>
      <c r="Z205" s="6"/>
    </row>
    <row r="206" spans="1:26">
      <c r="A206" s="90"/>
      <c r="C206" s="90"/>
      <c r="E206" s="90"/>
      <c r="K206" s="90"/>
      <c r="P206" s="90"/>
      <c r="Q206" s="90"/>
      <c r="R206" s="90"/>
      <c r="W206" s="6"/>
      <c r="X206" s="6"/>
      <c r="Y206" s="6"/>
      <c r="Z206" s="6"/>
    </row>
    <row r="207" spans="1:26">
      <c r="A207" s="90"/>
      <c r="C207" s="90"/>
      <c r="E207" s="90"/>
      <c r="K207" s="90"/>
      <c r="P207" s="90"/>
      <c r="Q207" s="90"/>
      <c r="R207" s="90"/>
      <c r="W207" s="6"/>
      <c r="X207" s="6"/>
      <c r="Y207" s="6"/>
      <c r="Z207" s="6"/>
    </row>
    <row r="208" spans="1:26">
      <c r="A208" s="90"/>
      <c r="C208" s="90"/>
      <c r="E208" s="90"/>
      <c r="K208" s="90"/>
      <c r="P208" s="90"/>
      <c r="Q208" s="90"/>
      <c r="R208" s="90"/>
      <c r="W208" s="6"/>
      <c r="X208" s="6"/>
      <c r="Y208" s="6"/>
      <c r="Z208" s="6"/>
    </row>
    <row r="209" spans="1:26">
      <c r="A209" s="90"/>
      <c r="C209" s="90"/>
      <c r="E209" s="90"/>
      <c r="K209" s="90"/>
      <c r="P209" s="90"/>
      <c r="Q209" s="90"/>
      <c r="R209" s="90"/>
      <c r="W209" s="6"/>
      <c r="X209" s="6"/>
      <c r="Y209" s="6"/>
      <c r="Z209" s="6"/>
    </row>
    <row r="210" spans="1:26">
      <c r="A210" s="90"/>
      <c r="C210" s="90"/>
      <c r="E210" s="90"/>
      <c r="K210" s="90"/>
      <c r="P210" s="90"/>
      <c r="Q210" s="90"/>
      <c r="R210" s="90"/>
      <c r="W210" s="6"/>
      <c r="X210" s="6"/>
      <c r="Y210" s="6"/>
      <c r="Z210" s="6"/>
    </row>
    <row r="211" spans="1:26">
      <c r="A211" s="90"/>
      <c r="C211" s="90"/>
      <c r="E211" s="90"/>
      <c r="K211" s="90"/>
      <c r="P211" s="90"/>
      <c r="Q211" s="90"/>
      <c r="R211" s="90"/>
      <c r="W211" s="6"/>
      <c r="X211" s="6"/>
      <c r="Y211" s="6"/>
      <c r="Z211" s="6"/>
    </row>
    <row r="212" spans="1:26">
      <c r="A212" s="90"/>
      <c r="C212" s="90"/>
      <c r="E212" s="90"/>
      <c r="K212" s="90"/>
      <c r="P212" s="90"/>
      <c r="Q212" s="90"/>
      <c r="R212" s="90"/>
      <c r="W212" s="6"/>
      <c r="X212" s="6"/>
      <c r="Y212" s="6"/>
      <c r="Z212" s="6"/>
    </row>
    <row r="213" spans="1:26">
      <c r="A213" s="90"/>
      <c r="C213" s="90"/>
      <c r="E213" s="90"/>
      <c r="K213" s="90"/>
      <c r="P213" s="90"/>
      <c r="Q213" s="90"/>
      <c r="R213" s="90"/>
      <c r="W213" s="6"/>
      <c r="X213" s="6"/>
      <c r="Y213" s="6"/>
      <c r="Z213" s="6"/>
    </row>
    <row r="214" spans="1:26">
      <c r="A214" s="90"/>
      <c r="C214" s="90"/>
      <c r="E214" s="90"/>
      <c r="K214" s="90"/>
      <c r="P214" s="90"/>
      <c r="Q214" s="90"/>
      <c r="R214" s="90"/>
      <c r="W214" s="6"/>
      <c r="X214" s="6"/>
      <c r="Y214" s="6"/>
      <c r="Z214" s="6"/>
    </row>
    <row r="215" spans="1:26">
      <c r="A215" s="90"/>
      <c r="C215" s="90"/>
      <c r="E215" s="90"/>
      <c r="K215" s="90"/>
      <c r="P215" s="90"/>
      <c r="Q215" s="90"/>
      <c r="R215" s="90"/>
      <c r="W215" s="6"/>
      <c r="X215" s="6"/>
      <c r="Y215" s="6"/>
      <c r="Z215" s="6"/>
    </row>
    <row r="216" spans="1:26">
      <c r="A216" s="90"/>
      <c r="C216" s="90"/>
      <c r="E216" s="90"/>
      <c r="K216" s="90"/>
      <c r="P216" s="90"/>
      <c r="Q216" s="90"/>
      <c r="R216" s="90"/>
      <c r="W216" s="6"/>
      <c r="X216" s="6"/>
      <c r="Y216" s="6"/>
      <c r="Z216" s="6"/>
    </row>
    <row r="217" spans="1:26">
      <c r="A217" s="90"/>
      <c r="C217" s="90"/>
      <c r="E217" s="90"/>
      <c r="K217" s="90"/>
      <c r="P217" s="90"/>
      <c r="Q217" s="90"/>
      <c r="R217" s="90"/>
      <c r="W217" s="6"/>
      <c r="X217" s="6"/>
      <c r="Y217" s="6"/>
      <c r="Z217" s="6"/>
    </row>
    <row r="218" spans="1:26">
      <c r="A218" s="90"/>
      <c r="C218" s="90"/>
      <c r="E218" s="90"/>
      <c r="K218" s="90"/>
      <c r="P218" s="90"/>
      <c r="Q218" s="90"/>
      <c r="R218" s="90"/>
      <c r="W218" s="6"/>
      <c r="X218" s="6"/>
      <c r="Y218" s="6"/>
      <c r="Z218" s="6"/>
    </row>
    <row r="219" spans="1:26">
      <c r="A219" s="90"/>
      <c r="C219" s="90"/>
      <c r="E219" s="90"/>
      <c r="K219" s="90"/>
      <c r="P219" s="90"/>
      <c r="Q219" s="90"/>
      <c r="R219" s="90"/>
      <c r="W219" s="6"/>
      <c r="X219" s="6"/>
      <c r="Y219" s="6"/>
      <c r="Z219" s="6"/>
    </row>
    <row r="220" spans="1:26">
      <c r="A220" s="90"/>
      <c r="C220" s="90"/>
      <c r="E220" s="90"/>
      <c r="K220" s="90"/>
      <c r="P220" s="90"/>
      <c r="Q220" s="90"/>
      <c r="R220" s="90"/>
      <c r="W220" s="6"/>
      <c r="X220" s="6"/>
      <c r="Y220" s="6"/>
      <c r="Z220" s="6"/>
    </row>
    <row r="221" spans="1:26">
      <c r="A221" s="90"/>
      <c r="C221" s="90"/>
      <c r="E221" s="90"/>
      <c r="K221" s="90"/>
      <c r="P221" s="90"/>
      <c r="Q221" s="90"/>
      <c r="R221" s="90"/>
      <c r="W221" s="6"/>
      <c r="X221" s="6"/>
      <c r="Y221" s="6"/>
      <c r="Z221" s="6"/>
    </row>
    <row r="222" spans="1:26">
      <c r="A222" s="90"/>
      <c r="C222" s="90"/>
      <c r="E222" s="90"/>
      <c r="K222" s="90"/>
      <c r="P222" s="90"/>
      <c r="Q222" s="90"/>
      <c r="R222" s="90"/>
      <c r="W222" s="6"/>
      <c r="X222" s="6"/>
      <c r="Y222" s="6"/>
      <c r="Z222" s="6"/>
    </row>
    <row r="223" spans="1:26">
      <c r="A223" s="90"/>
      <c r="C223" s="90"/>
      <c r="E223" s="90"/>
      <c r="K223" s="90"/>
      <c r="P223" s="90"/>
      <c r="Q223" s="90"/>
      <c r="R223" s="90"/>
      <c r="W223" s="6"/>
      <c r="X223" s="6"/>
      <c r="Y223" s="6"/>
      <c r="Z223" s="6"/>
    </row>
    <row r="224" spans="1:26">
      <c r="A224" s="90"/>
      <c r="C224" s="90"/>
      <c r="E224" s="90"/>
      <c r="K224" s="90"/>
      <c r="P224" s="90"/>
      <c r="Q224" s="90"/>
      <c r="R224" s="90"/>
      <c r="W224" s="6"/>
      <c r="X224" s="6"/>
      <c r="Y224" s="6"/>
      <c r="Z224" s="6"/>
    </row>
    <row r="225" spans="1:26">
      <c r="A225" s="90"/>
      <c r="C225" s="90"/>
      <c r="E225" s="90"/>
      <c r="K225" s="90"/>
      <c r="P225" s="90"/>
      <c r="Q225" s="90"/>
      <c r="R225" s="90"/>
      <c r="W225" s="6"/>
      <c r="X225" s="6"/>
      <c r="Y225" s="6"/>
      <c r="Z225" s="6"/>
    </row>
    <row r="226" spans="1:26">
      <c r="A226" s="90"/>
      <c r="C226" s="90"/>
      <c r="E226" s="90"/>
      <c r="K226" s="90"/>
      <c r="P226" s="90"/>
      <c r="Q226" s="90"/>
      <c r="R226" s="90"/>
      <c r="W226" s="6"/>
      <c r="X226" s="6"/>
      <c r="Y226" s="6"/>
      <c r="Z226" s="6"/>
    </row>
    <row r="227" spans="1:26">
      <c r="A227" s="90"/>
      <c r="C227" s="90"/>
      <c r="E227" s="90"/>
      <c r="K227" s="90"/>
      <c r="P227" s="90"/>
      <c r="Q227" s="90"/>
      <c r="R227" s="90"/>
      <c r="W227" s="6"/>
      <c r="X227" s="6"/>
      <c r="Y227" s="6"/>
      <c r="Z227" s="6"/>
    </row>
    <row r="228" spans="1:26">
      <c r="A228" s="90"/>
      <c r="C228" s="90"/>
      <c r="E228" s="90"/>
      <c r="K228" s="90"/>
      <c r="P228" s="90"/>
      <c r="Q228" s="90"/>
      <c r="R228" s="90"/>
      <c r="W228" s="6"/>
      <c r="X228" s="6"/>
      <c r="Y228" s="6"/>
      <c r="Z228" s="6"/>
    </row>
    <row r="229" spans="1:26">
      <c r="A229" s="90"/>
      <c r="C229" s="90"/>
      <c r="E229" s="90"/>
      <c r="K229" s="90"/>
      <c r="P229" s="90"/>
      <c r="Q229" s="90"/>
      <c r="R229" s="90"/>
      <c r="W229" s="6"/>
      <c r="X229" s="6"/>
      <c r="Y229" s="6"/>
      <c r="Z229" s="6"/>
    </row>
    <row r="230" spans="1:26">
      <c r="A230" s="90"/>
      <c r="C230" s="90"/>
      <c r="E230" s="90"/>
      <c r="K230" s="90"/>
      <c r="P230" s="90"/>
      <c r="Q230" s="90"/>
      <c r="R230" s="90"/>
      <c r="W230" s="6"/>
      <c r="X230" s="6"/>
      <c r="Y230" s="6"/>
      <c r="Z230" s="6"/>
    </row>
    <row r="231" spans="1:26">
      <c r="A231" s="90"/>
      <c r="C231" s="90"/>
      <c r="E231" s="90"/>
      <c r="K231" s="90"/>
      <c r="P231" s="90"/>
      <c r="Q231" s="90"/>
      <c r="R231" s="90"/>
      <c r="W231" s="6"/>
      <c r="X231" s="6"/>
      <c r="Y231" s="6"/>
      <c r="Z231" s="6"/>
    </row>
    <row r="232" spans="1:26">
      <c r="A232" s="90"/>
      <c r="C232" s="90"/>
      <c r="E232" s="90"/>
      <c r="K232" s="90"/>
      <c r="P232" s="90"/>
      <c r="Q232" s="90"/>
      <c r="R232" s="90"/>
      <c r="W232" s="6"/>
      <c r="X232" s="6"/>
      <c r="Y232" s="6"/>
      <c r="Z232" s="6"/>
    </row>
    <row r="233" spans="1:26">
      <c r="A233" s="90"/>
      <c r="C233" s="90"/>
      <c r="E233" s="90"/>
      <c r="K233" s="90"/>
      <c r="P233" s="90"/>
      <c r="Q233" s="90"/>
      <c r="R233" s="90"/>
      <c r="W233" s="6"/>
      <c r="X233" s="6"/>
      <c r="Y233" s="6"/>
      <c r="Z233" s="6"/>
    </row>
    <row r="234" spans="1:26">
      <c r="A234" s="90"/>
      <c r="C234" s="90"/>
      <c r="E234" s="90"/>
      <c r="K234" s="90"/>
      <c r="P234" s="90"/>
      <c r="Q234" s="90"/>
      <c r="R234" s="90"/>
      <c r="W234" s="6"/>
      <c r="X234" s="6"/>
      <c r="Y234" s="6"/>
      <c r="Z234" s="6"/>
    </row>
    <row r="235" spans="1:26">
      <c r="A235" s="90"/>
      <c r="C235" s="90"/>
      <c r="E235" s="90"/>
      <c r="K235" s="90"/>
      <c r="P235" s="90"/>
      <c r="Q235" s="90"/>
      <c r="R235" s="90"/>
      <c r="W235" s="6"/>
      <c r="X235" s="6"/>
      <c r="Y235" s="6"/>
      <c r="Z235" s="6"/>
    </row>
    <row r="236" spans="1:26">
      <c r="A236" s="90"/>
      <c r="C236" s="90"/>
      <c r="E236" s="90"/>
      <c r="K236" s="90"/>
      <c r="P236" s="90"/>
      <c r="Q236" s="90"/>
      <c r="R236" s="90"/>
      <c r="W236" s="6"/>
      <c r="X236" s="6"/>
      <c r="Y236" s="6"/>
      <c r="Z236" s="6"/>
    </row>
    <row r="237" spans="1:26">
      <c r="A237" s="90"/>
      <c r="C237" s="90"/>
      <c r="E237" s="90"/>
      <c r="K237" s="90"/>
      <c r="P237" s="90"/>
      <c r="Q237" s="90"/>
      <c r="R237" s="90"/>
      <c r="W237" s="6"/>
      <c r="X237" s="6"/>
      <c r="Y237" s="6"/>
      <c r="Z237" s="6"/>
    </row>
    <row r="238" spans="1:26">
      <c r="A238" s="90"/>
      <c r="C238" s="90"/>
      <c r="E238" s="90"/>
      <c r="K238" s="90"/>
      <c r="P238" s="90"/>
      <c r="Q238" s="90"/>
      <c r="R238" s="90"/>
      <c r="W238" s="6"/>
      <c r="X238" s="6"/>
      <c r="Y238" s="6"/>
      <c r="Z238" s="6"/>
    </row>
    <row r="239" spans="1:26">
      <c r="A239" s="90"/>
      <c r="C239" s="90"/>
      <c r="E239" s="90"/>
      <c r="K239" s="90"/>
      <c r="P239" s="90"/>
      <c r="Q239" s="90"/>
      <c r="R239" s="90"/>
      <c r="W239" s="6"/>
      <c r="X239" s="6"/>
      <c r="Y239" s="6"/>
      <c r="Z239" s="6"/>
    </row>
    <row r="240" spans="1:26">
      <c r="A240" s="90"/>
      <c r="C240" s="90"/>
      <c r="E240" s="90"/>
      <c r="K240" s="90"/>
      <c r="P240" s="90"/>
      <c r="Q240" s="90"/>
      <c r="R240" s="90"/>
      <c r="W240" s="6"/>
      <c r="X240" s="6"/>
      <c r="Y240" s="6"/>
      <c r="Z240" s="6"/>
    </row>
    <row r="241" spans="1:26">
      <c r="A241" s="90"/>
      <c r="C241" s="90"/>
      <c r="E241" s="90"/>
      <c r="K241" s="90"/>
      <c r="P241" s="90"/>
      <c r="Q241" s="90"/>
      <c r="R241" s="90"/>
      <c r="W241" s="6"/>
      <c r="X241" s="6"/>
      <c r="Y241" s="6"/>
      <c r="Z241" s="6"/>
    </row>
    <row r="242" spans="1:26">
      <c r="A242" s="90"/>
      <c r="C242" s="90"/>
      <c r="E242" s="90"/>
      <c r="K242" s="90"/>
      <c r="P242" s="90"/>
      <c r="Q242" s="90"/>
      <c r="R242" s="90"/>
      <c r="W242" s="6"/>
      <c r="X242" s="6"/>
      <c r="Y242" s="6"/>
      <c r="Z242" s="6"/>
    </row>
    <row r="243" spans="1:26">
      <c r="A243" s="90"/>
      <c r="C243" s="90"/>
      <c r="E243" s="90"/>
      <c r="K243" s="90"/>
      <c r="P243" s="90"/>
      <c r="Q243" s="90"/>
      <c r="R243" s="90"/>
      <c r="W243" s="6"/>
      <c r="X243" s="6"/>
      <c r="Y243" s="6"/>
      <c r="Z243" s="6"/>
    </row>
    <row r="244" spans="1:26">
      <c r="A244" s="90"/>
      <c r="C244" s="90"/>
      <c r="E244" s="90"/>
      <c r="K244" s="90"/>
      <c r="P244" s="90"/>
      <c r="Q244" s="90"/>
      <c r="R244" s="90"/>
      <c r="W244" s="6"/>
      <c r="X244" s="6"/>
      <c r="Y244" s="6"/>
      <c r="Z244" s="6"/>
    </row>
    <row r="245" spans="1:26">
      <c r="A245" s="90"/>
      <c r="C245" s="90"/>
      <c r="E245" s="90"/>
      <c r="K245" s="90"/>
      <c r="P245" s="90"/>
      <c r="Q245" s="90"/>
      <c r="R245" s="90"/>
      <c r="W245" s="6"/>
      <c r="X245" s="6"/>
      <c r="Y245" s="6"/>
      <c r="Z245" s="6"/>
    </row>
    <row r="246" spans="1:26">
      <c r="A246" s="90"/>
      <c r="C246" s="90"/>
      <c r="E246" s="90"/>
      <c r="K246" s="90"/>
      <c r="P246" s="90"/>
      <c r="Q246" s="90"/>
      <c r="R246" s="90"/>
      <c r="W246" s="6"/>
      <c r="X246" s="6"/>
      <c r="Y246" s="6"/>
      <c r="Z246" s="6"/>
    </row>
    <row r="247" spans="1:26">
      <c r="A247" s="90"/>
      <c r="C247" s="90"/>
      <c r="E247" s="90"/>
      <c r="K247" s="90"/>
      <c r="P247" s="90"/>
      <c r="Q247" s="90"/>
      <c r="R247" s="90"/>
      <c r="W247" s="6"/>
      <c r="X247" s="6"/>
      <c r="Y247" s="6"/>
      <c r="Z247" s="6"/>
    </row>
    <row r="248" spans="1:26">
      <c r="A248" s="90"/>
      <c r="C248" s="90"/>
      <c r="E248" s="90"/>
      <c r="K248" s="90"/>
      <c r="P248" s="90"/>
      <c r="Q248" s="90"/>
      <c r="R248" s="90"/>
      <c r="W248" s="6"/>
      <c r="X248" s="6"/>
      <c r="Y248" s="6"/>
      <c r="Z248" s="6"/>
    </row>
    <row r="249" spans="1:26">
      <c r="A249" s="90"/>
      <c r="C249" s="90"/>
      <c r="E249" s="90"/>
      <c r="K249" s="90"/>
      <c r="P249" s="90"/>
      <c r="Q249" s="90"/>
      <c r="R249" s="90"/>
      <c r="W249" s="6"/>
      <c r="X249" s="6"/>
      <c r="Y249" s="6"/>
      <c r="Z249" s="6"/>
    </row>
    <row r="250" spans="1:26">
      <c r="A250" s="90"/>
      <c r="C250" s="90"/>
      <c r="E250" s="90"/>
      <c r="K250" s="90"/>
      <c r="P250" s="90"/>
      <c r="Q250" s="90"/>
      <c r="R250" s="90"/>
      <c r="W250" s="6"/>
      <c r="X250" s="6"/>
      <c r="Y250" s="6"/>
      <c r="Z250" s="6"/>
    </row>
    <row r="251" spans="1:26">
      <c r="A251" s="90"/>
      <c r="C251" s="90"/>
      <c r="E251" s="90"/>
      <c r="K251" s="90"/>
      <c r="P251" s="90"/>
      <c r="Q251" s="90"/>
      <c r="R251" s="90"/>
      <c r="W251" s="6"/>
      <c r="X251" s="6"/>
      <c r="Y251" s="6"/>
      <c r="Z251" s="6"/>
    </row>
    <row r="252" spans="1:26">
      <c r="A252" s="90"/>
      <c r="C252" s="90"/>
      <c r="E252" s="90"/>
      <c r="K252" s="90"/>
      <c r="P252" s="90"/>
      <c r="Q252" s="90"/>
      <c r="R252" s="90"/>
      <c r="W252" s="6"/>
      <c r="X252" s="6"/>
      <c r="Y252" s="6"/>
      <c r="Z252" s="6"/>
    </row>
    <row r="253" spans="1:26">
      <c r="A253" s="90"/>
      <c r="C253" s="90"/>
      <c r="E253" s="90"/>
      <c r="K253" s="90"/>
      <c r="P253" s="90"/>
      <c r="Q253" s="90"/>
      <c r="R253" s="90"/>
      <c r="W253" s="6"/>
      <c r="X253" s="6"/>
      <c r="Y253" s="6"/>
      <c r="Z253" s="6"/>
    </row>
    <row r="254" spans="1:26">
      <c r="A254" s="90"/>
      <c r="C254" s="90"/>
      <c r="E254" s="90"/>
      <c r="K254" s="90"/>
      <c r="P254" s="90"/>
      <c r="Q254" s="90"/>
      <c r="R254" s="90"/>
      <c r="W254" s="6"/>
      <c r="X254" s="6"/>
      <c r="Y254" s="6"/>
      <c r="Z254" s="6"/>
    </row>
    <row r="255" spans="1:26">
      <c r="A255" s="90"/>
      <c r="C255" s="90"/>
      <c r="E255" s="90"/>
      <c r="K255" s="90"/>
      <c r="P255" s="90"/>
      <c r="Q255" s="90"/>
      <c r="R255" s="90"/>
      <c r="W255" s="6"/>
      <c r="X255" s="6"/>
      <c r="Y255" s="6"/>
      <c r="Z255" s="6"/>
    </row>
    <row r="256" spans="1:26">
      <c r="A256" s="90"/>
      <c r="C256" s="90"/>
      <c r="E256" s="90"/>
      <c r="K256" s="90"/>
      <c r="P256" s="90"/>
      <c r="Q256" s="90"/>
      <c r="R256" s="90"/>
      <c r="W256" s="6"/>
      <c r="X256" s="6"/>
      <c r="Y256" s="6"/>
      <c r="Z256" s="6"/>
    </row>
    <row r="257" spans="1:26">
      <c r="A257" s="90"/>
      <c r="C257" s="90"/>
      <c r="E257" s="90"/>
      <c r="K257" s="90"/>
      <c r="P257" s="90"/>
      <c r="Q257" s="90"/>
      <c r="R257" s="90"/>
      <c r="W257" s="6"/>
      <c r="X257" s="6"/>
      <c r="Y257" s="6"/>
      <c r="Z257" s="6"/>
    </row>
    <row r="258" spans="1:26">
      <c r="A258" s="90"/>
      <c r="C258" s="90"/>
      <c r="E258" s="90"/>
      <c r="K258" s="90"/>
      <c r="P258" s="90"/>
      <c r="Q258" s="90"/>
      <c r="R258" s="90"/>
      <c r="W258" s="6"/>
      <c r="X258" s="6"/>
      <c r="Y258" s="6"/>
      <c r="Z258" s="6"/>
    </row>
    <row r="259" spans="1:26">
      <c r="A259" s="90"/>
      <c r="C259" s="90"/>
      <c r="E259" s="90"/>
      <c r="K259" s="90"/>
      <c r="P259" s="90"/>
      <c r="Q259" s="90"/>
      <c r="R259" s="90"/>
      <c r="W259" s="6"/>
      <c r="X259" s="6"/>
      <c r="Y259" s="6"/>
      <c r="Z259" s="6"/>
    </row>
    <row r="260" spans="1:26">
      <c r="A260" s="90"/>
      <c r="C260" s="90"/>
      <c r="E260" s="90"/>
      <c r="K260" s="90"/>
      <c r="P260" s="90"/>
      <c r="Q260" s="90"/>
      <c r="R260" s="90"/>
      <c r="W260" s="6"/>
      <c r="X260" s="6"/>
      <c r="Y260" s="6"/>
      <c r="Z260" s="6"/>
    </row>
    <row r="261" spans="1:26">
      <c r="A261" s="90"/>
      <c r="C261" s="90"/>
      <c r="E261" s="90"/>
      <c r="K261" s="90"/>
      <c r="P261" s="90"/>
      <c r="Q261" s="90"/>
      <c r="R261" s="90"/>
      <c r="W261" s="6"/>
      <c r="X261" s="6"/>
      <c r="Y261" s="6"/>
      <c r="Z261" s="6"/>
    </row>
    <row r="262" spans="1:26">
      <c r="A262" s="90"/>
      <c r="C262" s="90"/>
      <c r="E262" s="90"/>
      <c r="K262" s="90"/>
      <c r="P262" s="90"/>
      <c r="Q262" s="90"/>
      <c r="R262" s="90"/>
      <c r="W262" s="6"/>
      <c r="X262" s="6"/>
      <c r="Y262" s="6"/>
      <c r="Z262" s="6"/>
    </row>
    <row r="263" spans="1:26">
      <c r="A263" s="90"/>
      <c r="C263" s="90"/>
      <c r="E263" s="90"/>
      <c r="K263" s="90"/>
      <c r="P263" s="90"/>
      <c r="Q263" s="90"/>
      <c r="R263" s="90"/>
      <c r="W263" s="6"/>
      <c r="X263" s="6"/>
      <c r="Y263" s="6"/>
      <c r="Z263" s="6"/>
    </row>
    <row r="264" spans="1:26">
      <c r="A264" s="90"/>
      <c r="C264" s="90"/>
      <c r="E264" s="90"/>
      <c r="K264" s="90"/>
      <c r="P264" s="90"/>
      <c r="Q264" s="90"/>
      <c r="R264" s="90"/>
      <c r="W264" s="6"/>
      <c r="X264" s="6"/>
      <c r="Y264" s="6"/>
      <c r="Z264" s="6"/>
    </row>
    <row r="265" spans="1:26">
      <c r="A265" s="90"/>
      <c r="C265" s="90"/>
      <c r="E265" s="90"/>
      <c r="K265" s="90"/>
      <c r="P265" s="90"/>
      <c r="Q265" s="90"/>
      <c r="R265" s="90"/>
      <c r="W265" s="6"/>
      <c r="X265" s="6"/>
      <c r="Y265" s="6"/>
      <c r="Z265" s="6"/>
    </row>
    <row r="266" spans="1:26">
      <c r="A266" s="90"/>
      <c r="C266" s="90"/>
      <c r="E266" s="90"/>
      <c r="K266" s="90"/>
      <c r="P266" s="90"/>
      <c r="Q266" s="90"/>
      <c r="R266" s="90"/>
      <c r="W266" s="6"/>
      <c r="X266" s="6"/>
      <c r="Y266" s="6"/>
      <c r="Z266" s="6"/>
    </row>
    <row r="267" spans="1:26">
      <c r="A267" s="90"/>
      <c r="C267" s="90"/>
      <c r="E267" s="90"/>
      <c r="K267" s="90"/>
      <c r="P267" s="90"/>
      <c r="Q267" s="90"/>
      <c r="R267" s="90"/>
      <c r="W267" s="6"/>
      <c r="X267" s="6"/>
      <c r="Y267" s="6"/>
      <c r="Z267" s="6"/>
    </row>
    <row r="268" spans="1:26">
      <c r="A268" s="90"/>
      <c r="C268" s="90"/>
      <c r="E268" s="90"/>
      <c r="K268" s="90"/>
      <c r="P268" s="90"/>
      <c r="Q268" s="90"/>
      <c r="R268" s="90"/>
      <c r="W268" s="6"/>
      <c r="X268" s="6"/>
      <c r="Y268" s="6"/>
      <c r="Z268" s="6"/>
    </row>
    <row r="269" spans="1:26">
      <c r="A269" s="90"/>
      <c r="C269" s="90"/>
      <c r="E269" s="90"/>
      <c r="K269" s="90"/>
      <c r="P269" s="90"/>
      <c r="Q269" s="90"/>
      <c r="R269" s="90"/>
      <c r="W269" s="6"/>
      <c r="X269" s="6"/>
      <c r="Y269" s="6"/>
      <c r="Z269" s="6"/>
    </row>
    <row r="270" spans="1:26">
      <c r="A270" s="90"/>
      <c r="C270" s="90"/>
      <c r="E270" s="90"/>
      <c r="K270" s="90"/>
      <c r="P270" s="90"/>
      <c r="Q270" s="90"/>
      <c r="R270" s="90"/>
      <c r="W270" s="6"/>
      <c r="X270" s="6"/>
      <c r="Y270" s="6"/>
      <c r="Z270" s="6"/>
    </row>
    <row r="271" spans="1:26">
      <c r="A271" s="90"/>
      <c r="C271" s="90"/>
      <c r="E271" s="90"/>
      <c r="K271" s="90"/>
      <c r="P271" s="90"/>
      <c r="Q271" s="90"/>
      <c r="R271" s="90"/>
      <c r="W271" s="6"/>
      <c r="X271" s="6"/>
      <c r="Y271" s="6"/>
      <c r="Z271" s="6"/>
    </row>
    <row r="272" spans="1:26">
      <c r="A272" s="90"/>
      <c r="C272" s="90"/>
      <c r="E272" s="90"/>
      <c r="K272" s="90"/>
      <c r="P272" s="90"/>
      <c r="Q272" s="90"/>
      <c r="R272" s="90"/>
      <c r="W272" s="6"/>
      <c r="X272" s="6"/>
      <c r="Y272" s="6"/>
      <c r="Z272" s="6"/>
    </row>
    <row r="273" spans="1:26">
      <c r="A273" s="90"/>
      <c r="C273" s="90"/>
      <c r="E273" s="90"/>
      <c r="K273" s="90"/>
      <c r="P273" s="90"/>
      <c r="Q273" s="90"/>
      <c r="R273" s="90"/>
      <c r="W273" s="6"/>
      <c r="X273" s="6"/>
      <c r="Y273" s="6"/>
      <c r="Z273" s="6"/>
    </row>
    <row r="274" spans="1:26">
      <c r="A274" s="90"/>
      <c r="C274" s="90"/>
      <c r="E274" s="90"/>
      <c r="K274" s="90"/>
      <c r="P274" s="90"/>
      <c r="Q274" s="90"/>
      <c r="R274" s="90"/>
      <c r="W274" s="6"/>
      <c r="X274" s="6"/>
      <c r="Y274" s="6"/>
      <c r="Z274" s="6"/>
    </row>
    <row r="275" spans="1:26">
      <c r="A275" s="90"/>
      <c r="C275" s="90"/>
      <c r="E275" s="90"/>
      <c r="K275" s="90"/>
      <c r="P275" s="90"/>
      <c r="Q275" s="90"/>
      <c r="R275" s="90"/>
      <c r="W275" s="6"/>
      <c r="X275" s="6"/>
      <c r="Y275" s="6"/>
      <c r="Z275" s="6"/>
    </row>
    <row r="276" spans="1:26">
      <c r="A276" s="90"/>
      <c r="C276" s="90"/>
      <c r="E276" s="90"/>
      <c r="K276" s="90"/>
      <c r="P276" s="90"/>
      <c r="Q276" s="90"/>
      <c r="R276" s="90"/>
      <c r="W276" s="6"/>
      <c r="X276" s="6"/>
      <c r="Y276" s="6"/>
      <c r="Z276" s="6"/>
    </row>
    <row r="277" spans="1:26">
      <c r="A277" s="90"/>
      <c r="C277" s="90"/>
      <c r="E277" s="90"/>
      <c r="K277" s="90"/>
      <c r="P277" s="90"/>
      <c r="Q277" s="90"/>
      <c r="R277" s="90"/>
      <c r="W277" s="6"/>
      <c r="X277" s="6"/>
      <c r="Y277" s="6"/>
      <c r="Z277" s="6"/>
    </row>
    <row r="278" spans="1:26">
      <c r="A278" s="90"/>
      <c r="C278" s="90"/>
      <c r="E278" s="90"/>
      <c r="K278" s="90"/>
      <c r="P278" s="90"/>
      <c r="Q278" s="90"/>
      <c r="R278" s="90"/>
      <c r="W278" s="6"/>
      <c r="X278" s="6"/>
      <c r="Y278" s="6"/>
      <c r="Z278" s="6"/>
    </row>
    <row r="279" spans="1:26">
      <c r="A279" s="90"/>
      <c r="C279" s="90"/>
      <c r="E279" s="90"/>
      <c r="K279" s="90"/>
      <c r="P279" s="90"/>
      <c r="Q279" s="90"/>
      <c r="R279" s="90"/>
      <c r="W279" s="6"/>
      <c r="X279" s="6"/>
      <c r="Y279" s="6"/>
      <c r="Z279" s="6"/>
    </row>
    <row r="280" spans="1:26">
      <c r="A280" s="90"/>
      <c r="C280" s="90"/>
      <c r="E280" s="90"/>
      <c r="K280" s="90"/>
      <c r="P280" s="90"/>
      <c r="Q280" s="90"/>
      <c r="R280" s="90"/>
      <c r="W280" s="6"/>
      <c r="X280" s="6"/>
      <c r="Y280" s="6"/>
      <c r="Z280" s="6"/>
    </row>
    <row r="281" spans="1:26">
      <c r="A281" s="90"/>
      <c r="C281" s="90"/>
      <c r="E281" s="90"/>
      <c r="K281" s="90"/>
      <c r="P281" s="90"/>
      <c r="Q281" s="90"/>
      <c r="R281" s="90"/>
      <c r="W281" s="6"/>
      <c r="X281" s="6"/>
      <c r="Y281" s="6"/>
      <c r="Z281" s="6"/>
    </row>
    <row r="282" spans="1:26">
      <c r="A282" s="90"/>
      <c r="C282" s="90"/>
      <c r="E282" s="90"/>
      <c r="K282" s="90"/>
      <c r="P282" s="90"/>
      <c r="Q282" s="90"/>
      <c r="R282" s="90"/>
      <c r="W282" s="6"/>
      <c r="X282" s="6"/>
      <c r="Y282" s="6"/>
      <c r="Z282" s="6"/>
    </row>
    <row r="283" spans="1:26">
      <c r="A283" s="90"/>
      <c r="C283" s="90"/>
      <c r="E283" s="90"/>
      <c r="K283" s="90"/>
      <c r="P283" s="90"/>
      <c r="Q283" s="90"/>
      <c r="R283" s="90"/>
      <c r="W283" s="6"/>
      <c r="X283" s="6"/>
      <c r="Y283" s="6"/>
      <c r="Z283" s="6"/>
    </row>
    <row r="284" spans="1:26">
      <c r="A284" s="90"/>
      <c r="C284" s="90"/>
      <c r="E284" s="90"/>
      <c r="K284" s="90"/>
      <c r="P284" s="90"/>
      <c r="Q284" s="90"/>
      <c r="R284" s="90"/>
      <c r="W284" s="6"/>
      <c r="X284" s="6"/>
      <c r="Y284" s="6"/>
      <c r="Z284" s="6"/>
    </row>
    <row r="285" spans="1:26">
      <c r="A285" s="90"/>
      <c r="C285" s="90"/>
      <c r="E285" s="90"/>
      <c r="K285" s="90"/>
      <c r="P285" s="90"/>
      <c r="Q285" s="90"/>
      <c r="R285" s="90"/>
      <c r="W285" s="6"/>
      <c r="X285" s="6"/>
      <c r="Y285" s="6"/>
      <c r="Z285" s="6"/>
    </row>
    <row r="286" spans="1:26">
      <c r="A286" s="90"/>
      <c r="C286" s="90"/>
      <c r="E286" s="90"/>
      <c r="K286" s="90"/>
      <c r="P286" s="90"/>
      <c r="Q286" s="90"/>
      <c r="R286" s="90"/>
      <c r="W286" s="6"/>
      <c r="X286" s="6"/>
      <c r="Y286" s="6"/>
      <c r="Z286" s="6"/>
    </row>
    <row r="287" spans="1:26">
      <c r="A287" s="90"/>
      <c r="C287" s="90"/>
      <c r="E287" s="90"/>
      <c r="K287" s="90"/>
      <c r="P287" s="90"/>
      <c r="Q287" s="90"/>
      <c r="R287" s="90"/>
      <c r="W287" s="6"/>
      <c r="X287" s="6"/>
      <c r="Y287" s="6"/>
      <c r="Z287" s="6"/>
    </row>
    <row r="288" spans="1:26">
      <c r="A288" s="90"/>
      <c r="C288" s="90"/>
      <c r="E288" s="90"/>
      <c r="K288" s="90"/>
      <c r="P288" s="90"/>
      <c r="Q288" s="90"/>
      <c r="R288" s="90"/>
      <c r="W288" s="6"/>
      <c r="X288" s="6"/>
      <c r="Y288" s="6"/>
      <c r="Z288" s="6"/>
    </row>
    <row r="289" spans="1:26">
      <c r="A289" s="90"/>
      <c r="C289" s="90"/>
      <c r="E289" s="90"/>
      <c r="K289" s="90"/>
      <c r="P289" s="90"/>
      <c r="Q289" s="90"/>
      <c r="R289" s="90"/>
      <c r="W289" s="6"/>
      <c r="X289" s="6"/>
      <c r="Y289" s="6"/>
      <c r="Z289" s="6"/>
    </row>
    <row r="290" spans="1:26">
      <c r="A290" s="90"/>
      <c r="C290" s="90"/>
      <c r="E290" s="90"/>
      <c r="K290" s="90"/>
      <c r="P290" s="90"/>
      <c r="Q290" s="90"/>
      <c r="R290" s="90"/>
      <c r="W290" s="6"/>
      <c r="X290" s="6"/>
      <c r="Y290" s="6"/>
      <c r="Z290" s="6"/>
    </row>
    <row r="291" spans="1:26">
      <c r="A291" s="90"/>
      <c r="C291" s="90"/>
      <c r="E291" s="90"/>
      <c r="K291" s="90"/>
      <c r="P291" s="90"/>
      <c r="Q291" s="90"/>
      <c r="R291" s="90"/>
      <c r="W291" s="6"/>
      <c r="X291" s="6"/>
      <c r="Y291" s="6"/>
      <c r="Z291" s="6"/>
    </row>
    <row r="292" spans="1:26">
      <c r="A292" s="90"/>
      <c r="C292" s="90"/>
      <c r="E292" s="90"/>
      <c r="K292" s="90"/>
      <c r="P292" s="90"/>
      <c r="Q292" s="90"/>
      <c r="R292" s="90"/>
      <c r="W292" s="6"/>
      <c r="X292" s="6"/>
      <c r="Y292" s="6"/>
      <c r="Z292" s="6"/>
    </row>
    <row r="293" spans="1:26">
      <c r="A293" s="90"/>
      <c r="C293" s="90"/>
      <c r="E293" s="90"/>
      <c r="K293" s="90"/>
      <c r="P293" s="90"/>
      <c r="Q293" s="90"/>
      <c r="R293" s="90"/>
      <c r="W293" s="6"/>
      <c r="X293" s="6"/>
      <c r="Y293" s="6"/>
      <c r="Z293" s="6"/>
    </row>
    <row r="294" spans="1:26">
      <c r="A294" s="90"/>
      <c r="C294" s="90"/>
      <c r="E294" s="90"/>
      <c r="K294" s="90"/>
      <c r="P294" s="90"/>
      <c r="Q294" s="90"/>
      <c r="R294" s="90"/>
      <c r="W294" s="6"/>
      <c r="X294" s="6"/>
      <c r="Y294" s="6"/>
      <c r="Z294" s="6"/>
    </row>
    <row r="295" spans="1:26">
      <c r="A295" s="90"/>
      <c r="C295" s="90"/>
      <c r="E295" s="90"/>
      <c r="K295" s="90"/>
      <c r="P295" s="90"/>
      <c r="Q295" s="90"/>
      <c r="R295" s="90"/>
      <c r="W295" s="6"/>
      <c r="X295" s="6"/>
      <c r="Y295" s="6"/>
      <c r="Z295" s="6"/>
    </row>
    <row r="296" spans="1:26">
      <c r="A296" s="90"/>
      <c r="C296" s="90"/>
      <c r="E296" s="90"/>
      <c r="K296" s="90"/>
      <c r="P296" s="90"/>
      <c r="Q296" s="90"/>
      <c r="R296" s="90"/>
      <c r="W296" s="6"/>
      <c r="X296" s="6"/>
      <c r="Y296" s="6"/>
      <c r="Z296" s="6"/>
    </row>
    <row r="297" spans="1:26">
      <c r="A297" s="90"/>
      <c r="C297" s="90"/>
      <c r="E297" s="90"/>
      <c r="K297" s="90"/>
      <c r="P297" s="90"/>
      <c r="Q297" s="90"/>
      <c r="R297" s="90"/>
      <c r="W297" s="6"/>
      <c r="X297" s="6"/>
      <c r="Y297" s="6"/>
      <c r="Z297" s="6"/>
    </row>
    <row r="298" spans="1:26">
      <c r="A298" s="90"/>
      <c r="C298" s="90"/>
      <c r="E298" s="90"/>
      <c r="K298" s="90"/>
      <c r="P298" s="90"/>
      <c r="Q298" s="90"/>
      <c r="R298" s="90"/>
      <c r="W298" s="6"/>
      <c r="X298" s="6"/>
      <c r="Y298" s="6"/>
      <c r="Z298" s="6"/>
    </row>
    <row r="299" spans="1:26">
      <c r="A299" s="90"/>
      <c r="C299" s="90"/>
      <c r="E299" s="90"/>
      <c r="K299" s="90"/>
      <c r="P299" s="90"/>
      <c r="Q299" s="90"/>
      <c r="R299" s="90"/>
      <c r="W299" s="6"/>
      <c r="X299" s="6"/>
      <c r="Y299" s="6"/>
      <c r="Z299" s="6"/>
    </row>
    <row r="300" spans="1:26">
      <c r="A300" s="90"/>
      <c r="C300" s="90"/>
      <c r="E300" s="90"/>
      <c r="K300" s="90"/>
      <c r="P300" s="90"/>
      <c r="Q300" s="90"/>
      <c r="R300" s="90"/>
      <c r="W300" s="6"/>
      <c r="X300" s="6"/>
      <c r="Y300" s="6"/>
      <c r="Z300" s="6"/>
    </row>
    <row r="301" spans="1:26">
      <c r="A301" s="90"/>
      <c r="C301" s="90"/>
      <c r="E301" s="90"/>
      <c r="K301" s="90"/>
      <c r="P301" s="90"/>
      <c r="Q301" s="90"/>
      <c r="R301" s="90"/>
      <c r="W301" s="6"/>
      <c r="X301" s="6"/>
      <c r="Y301" s="6"/>
      <c r="Z301" s="6"/>
    </row>
    <row r="302" spans="1:26">
      <c r="A302" s="90"/>
      <c r="C302" s="90"/>
      <c r="E302" s="90"/>
      <c r="K302" s="90"/>
      <c r="P302" s="90"/>
      <c r="Q302" s="90"/>
      <c r="R302" s="90"/>
      <c r="W302" s="6"/>
      <c r="X302" s="6"/>
      <c r="Y302" s="6"/>
      <c r="Z302" s="6"/>
    </row>
    <row r="303" spans="1:26">
      <c r="A303" s="90"/>
      <c r="C303" s="90"/>
      <c r="E303" s="90"/>
      <c r="K303" s="90"/>
      <c r="P303" s="90"/>
      <c r="Q303" s="90"/>
      <c r="R303" s="90"/>
      <c r="W303" s="6"/>
      <c r="X303" s="6"/>
      <c r="Y303" s="6"/>
      <c r="Z303" s="6"/>
    </row>
    <row r="304" spans="1:26">
      <c r="A304" s="90"/>
      <c r="C304" s="90"/>
      <c r="E304" s="90"/>
      <c r="K304" s="90"/>
      <c r="P304" s="90"/>
      <c r="Q304" s="90"/>
      <c r="R304" s="90"/>
      <c r="W304" s="6"/>
      <c r="X304" s="6"/>
      <c r="Y304" s="6"/>
      <c r="Z304" s="6"/>
    </row>
    <row r="305" spans="1:26">
      <c r="A305" s="90"/>
      <c r="C305" s="90"/>
      <c r="E305" s="90"/>
      <c r="K305" s="90"/>
      <c r="P305" s="90"/>
      <c r="Q305" s="90"/>
      <c r="R305" s="90"/>
      <c r="W305" s="6"/>
      <c r="X305" s="6"/>
      <c r="Y305" s="6"/>
      <c r="Z305" s="6"/>
    </row>
    <row r="306" spans="1:26">
      <c r="A306" s="90"/>
      <c r="C306" s="90"/>
      <c r="E306" s="90"/>
      <c r="K306" s="90"/>
      <c r="P306" s="90"/>
      <c r="Q306" s="90"/>
      <c r="R306" s="90"/>
      <c r="W306" s="6"/>
      <c r="X306" s="6"/>
      <c r="Y306" s="6"/>
      <c r="Z306" s="6"/>
    </row>
    <row r="307" spans="1:26">
      <c r="A307" s="90"/>
      <c r="C307" s="90"/>
      <c r="E307" s="90"/>
      <c r="K307" s="90"/>
      <c r="P307" s="90"/>
      <c r="Q307" s="90"/>
      <c r="R307" s="90"/>
      <c r="W307" s="6"/>
      <c r="X307" s="6"/>
      <c r="Y307" s="6"/>
      <c r="Z307" s="6"/>
    </row>
    <row r="308" spans="1:26">
      <c r="A308" s="90"/>
      <c r="C308" s="90"/>
      <c r="E308" s="90"/>
      <c r="K308" s="90"/>
      <c r="P308" s="90"/>
      <c r="Q308" s="90"/>
      <c r="R308" s="90"/>
      <c r="W308" s="6"/>
      <c r="X308" s="6"/>
      <c r="Y308" s="6"/>
      <c r="Z308" s="6"/>
    </row>
    <row r="309" spans="1:26">
      <c r="A309" s="90"/>
      <c r="C309" s="90"/>
      <c r="E309" s="90"/>
      <c r="K309" s="90"/>
      <c r="P309" s="90"/>
      <c r="Q309" s="90"/>
      <c r="R309" s="90"/>
      <c r="W309" s="6"/>
      <c r="X309" s="6"/>
      <c r="Y309" s="6"/>
      <c r="Z309" s="6"/>
    </row>
    <row r="310" spans="1:26">
      <c r="A310" s="90"/>
      <c r="C310" s="90"/>
      <c r="E310" s="90"/>
      <c r="K310" s="90"/>
      <c r="P310" s="90"/>
      <c r="Q310" s="90"/>
      <c r="R310" s="90"/>
      <c r="W310" s="6"/>
      <c r="X310" s="6"/>
      <c r="Y310" s="6"/>
      <c r="Z310" s="6"/>
    </row>
    <row r="311" spans="1:26">
      <c r="A311" s="90"/>
      <c r="C311" s="90"/>
      <c r="E311" s="90"/>
      <c r="K311" s="90"/>
      <c r="P311" s="90"/>
      <c r="Q311" s="90"/>
      <c r="R311" s="90"/>
      <c r="W311" s="6"/>
      <c r="X311" s="6"/>
      <c r="Y311" s="6"/>
      <c r="Z311" s="6"/>
    </row>
    <row r="312" spans="1:26">
      <c r="A312" s="90"/>
      <c r="C312" s="90"/>
      <c r="E312" s="90"/>
      <c r="K312" s="90"/>
      <c r="P312" s="90"/>
      <c r="Q312" s="90"/>
      <c r="R312" s="90"/>
      <c r="W312" s="6"/>
      <c r="X312" s="6"/>
      <c r="Y312" s="6"/>
      <c r="Z312" s="6"/>
    </row>
    <row r="313" spans="1:26">
      <c r="A313" s="90"/>
      <c r="C313" s="90"/>
      <c r="E313" s="90"/>
      <c r="K313" s="90"/>
      <c r="P313" s="90"/>
      <c r="Q313" s="90"/>
      <c r="R313" s="90"/>
      <c r="W313" s="6"/>
      <c r="X313" s="6"/>
      <c r="Y313" s="6"/>
      <c r="Z313" s="6"/>
    </row>
    <row r="314" spans="1:26">
      <c r="A314" s="90"/>
      <c r="C314" s="90"/>
      <c r="E314" s="90"/>
      <c r="K314" s="90"/>
      <c r="P314" s="90"/>
      <c r="Q314" s="90"/>
      <c r="R314" s="90"/>
      <c r="W314" s="6"/>
      <c r="X314" s="6"/>
      <c r="Y314" s="6"/>
      <c r="Z314" s="6"/>
    </row>
    <row r="315" spans="1:26">
      <c r="A315" s="90"/>
      <c r="C315" s="90"/>
      <c r="E315" s="90"/>
      <c r="K315" s="90"/>
      <c r="P315" s="90"/>
      <c r="Q315" s="90"/>
      <c r="R315" s="90"/>
      <c r="W315" s="6"/>
      <c r="X315" s="6"/>
      <c r="Y315" s="6"/>
      <c r="Z315" s="6"/>
    </row>
    <row r="316" spans="1:26">
      <c r="A316" s="90"/>
      <c r="C316" s="90"/>
      <c r="E316" s="90"/>
      <c r="K316" s="90"/>
      <c r="P316" s="90"/>
      <c r="Q316" s="90"/>
      <c r="R316" s="90"/>
      <c r="W316" s="6"/>
      <c r="X316" s="6"/>
      <c r="Y316" s="6"/>
      <c r="Z316" s="6"/>
    </row>
    <row r="317" spans="1:26">
      <c r="A317" s="90"/>
      <c r="C317" s="90"/>
      <c r="E317" s="90"/>
      <c r="K317" s="90"/>
      <c r="P317" s="90"/>
      <c r="Q317" s="90"/>
      <c r="R317" s="90"/>
      <c r="W317" s="6"/>
      <c r="X317" s="6"/>
      <c r="Y317" s="6"/>
      <c r="Z317" s="6"/>
    </row>
    <row r="318" spans="1:26">
      <c r="A318" s="90"/>
      <c r="C318" s="90"/>
      <c r="E318" s="90"/>
      <c r="K318" s="90"/>
      <c r="P318" s="90"/>
      <c r="Q318" s="90"/>
      <c r="R318" s="90"/>
      <c r="W318" s="6"/>
      <c r="X318" s="6"/>
      <c r="Y318" s="6"/>
      <c r="Z318" s="6"/>
    </row>
    <row r="319" spans="1:26">
      <c r="A319" s="90"/>
      <c r="C319" s="90"/>
      <c r="E319" s="90"/>
      <c r="K319" s="90"/>
      <c r="P319" s="90"/>
      <c r="Q319" s="90"/>
      <c r="R319" s="90"/>
      <c r="W319" s="6"/>
      <c r="X319" s="6"/>
      <c r="Y319" s="6"/>
      <c r="Z319" s="6"/>
    </row>
    <row r="320" spans="1:26">
      <c r="A320" s="90"/>
      <c r="C320" s="90"/>
      <c r="E320" s="90"/>
      <c r="K320" s="90"/>
      <c r="P320" s="90"/>
      <c r="Q320" s="90"/>
      <c r="R320" s="90"/>
      <c r="W320" s="6"/>
      <c r="X320" s="6"/>
      <c r="Y320" s="6"/>
      <c r="Z320" s="6"/>
    </row>
    <row r="321" spans="1:26">
      <c r="A321" s="90"/>
      <c r="C321" s="90"/>
      <c r="E321" s="90"/>
      <c r="K321" s="90"/>
      <c r="P321" s="90"/>
      <c r="Q321" s="90"/>
      <c r="R321" s="90"/>
      <c r="W321" s="6"/>
      <c r="X321" s="6"/>
      <c r="Y321" s="6"/>
      <c r="Z321" s="6"/>
    </row>
    <row r="322" spans="1:26">
      <c r="A322" s="90"/>
      <c r="C322" s="90"/>
      <c r="E322" s="90"/>
      <c r="K322" s="90"/>
      <c r="P322" s="90"/>
      <c r="Q322" s="90"/>
      <c r="R322" s="90"/>
      <c r="W322" s="6"/>
      <c r="X322" s="6"/>
      <c r="Y322" s="6"/>
      <c r="Z322" s="6"/>
    </row>
    <row r="323" spans="1:26">
      <c r="A323" s="90"/>
      <c r="C323" s="90"/>
      <c r="E323" s="90"/>
      <c r="K323" s="90"/>
      <c r="P323" s="90"/>
      <c r="Q323" s="90"/>
      <c r="R323" s="90"/>
      <c r="W323" s="6"/>
      <c r="X323" s="6"/>
      <c r="Y323" s="6"/>
      <c r="Z323" s="6"/>
    </row>
    <row r="324" spans="1:26">
      <c r="A324" s="90"/>
      <c r="C324" s="90"/>
      <c r="E324" s="90"/>
      <c r="K324" s="90"/>
      <c r="P324" s="90"/>
      <c r="Q324" s="90"/>
      <c r="R324" s="90"/>
      <c r="W324" s="6"/>
      <c r="X324" s="6"/>
      <c r="Y324" s="6"/>
      <c r="Z324" s="6"/>
    </row>
    <row r="325" spans="1:26">
      <c r="A325" s="90"/>
      <c r="C325" s="90"/>
      <c r="E325" s="90"/>
      <c r="K325" s="90"/>
      <c r="P325" s="90"/>
      <c r="Q325" s="90"/>
      <c r="R325" s="90"/>
      <c r="W325" s="6"/>
      <c r="X325" s="6"/>
      <c r="Y325" s="6"/>
      <c r="Z325" s="6"/>
    </row>
    <row r="326" spans="1:26">
      <c r="A326" s="90"/>
      <c r="C326" s="90"/>
      <c r="E326" s="90"/>
      <c r="K326" s="90"/>
      <c r="P326" s="90"/>
      <c r="Q326" s="90"/>
      <c r="R326" s="90"/>
      <c r="W326" s="6"/>
      <c r="X326" s="6"/>
      <c r="Y326" s="6"/>
      <c r="Z326" s="6"/>
    </row>
    <row r="327" spans="1:26">
      <c r="A327" s="90"/>
      <c r="C327" s="90"/>
      <c r="E327" s="90"/>
      <c r="K327" s="90"/>
      <c r="P327" s="90"/>
      <c r="Q327" s="90"/>
      <c r="R327" s="90"/>
      <c r="W327" s="6"/>
      <c r="X327" s="6"/>
      <c r="Y327" s="6"/>
      <c r="Z327" s="6"/>
    </row>
    <row r="328" spans="1:26">
      <c r="A328" s="90"/>
      <c r="C328" s="90"/>
      <c r="E328" s="90"/>
      <c r="K328" s="90"/>
      <c r="P328" s="90"/>
      <c r="Q328" s="90"/>
      <c r="R328" s="90"/>
      <c r="W328" s="6"/>
      <c r="X328" s="6"/>
      <c r="Y328" s="6"/>
      <c r="Z328" s="6"/>
    </row>
    <row r="329" spans="1:26">
      <c r="A329" s="90"/>
      <c r="C329" s="90"/>
      <c r="E329" s="90"/>
      <c r="K329" s="90"/>
      <c r="P329" s="90"/>
      <c r="Q329" s="90"/>
      <c r="R329" s="90"/>
      <c r="W329" s="6"/>
      <c r="X329" s="6"/>
      <c r="Y329" s="6"/>
      <c r="Z329" s="6"/>
    </row>
    <row r="330" spans="1:26">
      <c r="A330" s="90"/>
      <c r="C330" s="90"/>
      <c r="E330" s="90"/>
      <c r="K330" s="90"/>
      <c r="P330" s="90"/>
      <c r="Q330" s="90"/>
      <c r="R330" s="90"/>
      <c r="W330" s="6"/>
      <c r="X330" s="6"/>
      <c r="Y330" s="6"/>
      <c r="Z330" s="6"/>
    </row>
    <row r="331" spans="1:26">
      <c r="A331" s="90"/>
      <c r="C331" s="90"/>
      <c r="E331" s="90"/>
      <c r="K331" s="90"/>
      <c r="P331" s="90"/>
      <c r="Q331" s="90"/>
      <c r="R331" s="90"/>
      <c r="W331" s="6"/>
      <c r="X331" s="6"/>
      <c r="Y331" s="6"/>
      <c r="Z331" s="6"/>
    </row>
    <row r="332" spans="1:26">
      <c r="A332" s="90"/>
      <c r="C332" s="90"/>
      <c r="E332" s="90"/>
      <c r="K332" s="90"/>
      <c r="P332" s="90"/>
      <c r="Q332" s="90"/>
      <c r="R332" s="90"/>
      <c r="W332" s="6"/>
      <c r="X332" s="6"/>
      <c r="Y332" s="6"/>
      <c r="Z332" s="6"/>
    </row>
    <row r="333" spans="1:26">
      <c r="A333" s="90"/>
      <c r="C333" s="90"/>
      <c r="E333" s="90"/>
      <c r="K333" s="90"/>
      <c r="P333" s="90"/>
      <c r="Q333" s="90"/>
      <c r="R333" s="90"/>
      <c r="W333" s="6"/>
      <c r="X333" s="6"/>
      <c r="Y333" s="6"/>
      <c r="Z333" s="6"/>
    </row>
    <row r="334" spans="1:26">
      <c r="A334" s="90"/>
      <c r="C334" s="90"/>
      <c r="E334" s="90"/>
      <c r="K334" s="90"/>
      <c r="P334" s="90"/>
      <c r="Q334" s="90"/>
      <c r="R334" s="90"/>
      <c r="W334" s="6"/>
      <c r="X334" s="6"/>
      <c r="Y334" s="6"/>
      <c r="Z334" s="6"/>
    </row>
    <row r="335" spans="1:26">
      <c r="A335" s="90"/>
      <c r="C335" s="90"/>
      <c r="E335" s="90"/>
      <c r="K335" s="90"/>
      <c r="P335" s="90"/>
      <c r="Q335" s="90"/>
      <c r="R335" s="90"/>
      <c r="W335" s="6"/>
      <c r="X335" s="6"/>
      <c r="Y335" s="6"/>
      <c r="Z335" s="6"/>
    </row>
    <row r="336" spans="1:26">
      <c r="A336" s="90"/>
      <c r="C336" s="90"/>
      <c r="E336" s="90"/>
      <c r="K336" s="90"/>
      <c r="P336" s="90"/>
      <c r="Q336" s="90"/>
      <c r="R336" s="90"/>
      <c r="W336" s="6"/>
      <c r="X336" s="6"/>
      <c r="Y336" s="6"/>
      <c r="Z336" s="6"/>
    </row>
    <row r="337" spans="1:26">
      <c r="A337" s="90"/>
      <c r="C337" s="90"/>
      <c r="E337" s="90"/>
      <c r="K337" s="90"/>
      <c r="P337" s="90"/>
      <c r="Q337" s="90"/>
      <c r="R337" s="90"/>
      <c r="W337" s="6"/>
      <c r="X337" s="6"/>
      <c r="Y337" s="6"/>
      <c r="Z337" s="6"/>
    </row>
    <row r="338" spans="1:26">
      <c r="A338" s="90"/>
      <c r="C338" s="90"/>
      <c r="E338" s="90"/>
      <c r="K338" s="90"/>
      <c r="P338" s="90"/>
      <c r="Q338" s="90"/>
      <c r="R338" s="90"/>
      <c r="W338" s="6"/>
      <c r="X338" s="6"/>
      <c r="Y338" s="6"/>
      <c r="Z338" s="6"/>
    </row>
    <row r="339" spans="1:26">
      <c r="A339" s="90"/>
      <c r="C339" s="90"/>
      <c r="E339" s="90"/>
      <c r="K339" s="90"/>
      <c r="P339" s="90"/>
      <c r="Q339" s="90"/>
      <c r="R339" s="90"/>
      <c r="W339" s="6"/>
      <c r="X339" s="6"/>
      <c r="Y339" s="6"/>
      <c r="Z339" s="6"/>
    </row>
    <row r="340" spans="1:26">
      <c r="A340" s="90"/>
      <c r="C340" s="90"/>
      <c r="E340" s="90"/>
      <c r="K340" s="90"/>
      <c r="P340" s="90"/>
      <c r="Q340" s="90"/>
      <c r="R340" s="90"/>
      <c r="W340" s="6"/>
      <c r="X340" s="6"/>
      <c r="Y340" s="6"/>
      <c r="Z340" s="6"/>
    </row>
    <row r="341" spans="1:26">
      <c r="A341" s="90"/>
      <c r="C341" s="90"/>
      <c r="E341" s="90"/>
      <c r="K341" s="90"/>
      <c r="P341" s="90"/>
      <c r="Q341" s="90"/>
      <c r="R341" s="90"/>
      <c r="W341" s="6"/>
      <c r="X341" s="6"/>
      <c r="Y341" s="6"/>
      <c r="Z341" s="6"/>
    </row>
    <row r="342" spans="1:26">
      <c r="A342" s="90"/>
      <c r="C342" s="90"/>
      <c r="E342" s="90"/>
      <c r="K342" s="90"/>
      <c r="P342" s="90"/>
      <c r="Q342" s="90"/>
      <c r="R342" s="90"/>
      <c r="W342" s="6"/>
      <c r="X342" s="6"/>
      <c r="Y342" s="6"/>
      <c r="Z342" s="6"/>
    </row>
    <row r="343" spans="1:26">
      <c r="A343" s="90"/>
      <c r="C343" s="90"/>
      <c r="E343" s="90"/>
      <c r="K343" s="90"/>
      <c r="P343" s="90"/>
      <c r="Q343" s="90"/>
      <c r="R343" s="90"/>
      <c r="W343" s="6"/>
      <c r="X343" s="6"/>
      <c r="Y343" s="6"/>
      <c r="Z343" s="6"/>
    </row>
    <row r="344" spans="1:26">
      <c r="A344" s="90"/>
      <c r="C344" s="90"/>
      <c r="E344" s="90"/>
      <c r="K344" s="90"/>
      <c r="P344" s="90"/>
      <c r="Q344" s="90"/>
      <c r="R344" s="90"/>
      <c r="W344" s="6"/>
      <c r="X344" s="6"/>
      <c r="Y344" s="6"/>
      <c r="Z344" s="6"/>
    </row>
    <row r="345" spans="1:26">
      <c r="A345" s="90"/>
      <c r="C345" s="90"/>
      <c r="E345" s="90"/>
      <c r="K345" s="90"/>
      <c r="P345" s="90"/>
      <c r="Q345" s="90"/>
      <c r="R345" s="90"/>
      <c r="W345" s="6"/>
      <c r="X345" s="6"/>
      <c r="Y345" s="6"/>
      <c r="Z345" s="6"/>
    </row>
    <row r="346" spans="1:26">
      <c r="A346" s="90"/>
      <c r="C346" s="90"/>
      <c r="E346" s="90"/>
      <c r="K346" s="90"/>
      <c r="P346" s="90"/>
      <c r="Q346" s="90"/>
      <c r="R346" s="90"/>
      <c r="W346" s="6"/>
      <c r="X346" s="6"/>
      <c r="Y346" s="6"/>
      <c r="Z346" s="6"/>
    </row>
    <row r="347" spans="1:26">
      <c r="A347" s="90"/>
      <c r="C347" s="90"/>
      <c r="E347" s="90"/>
      <c r="K347" s="90"/>
      <c r="P347" s="90"/>
      <c r="Q347" s="90"/>
      <c r="R347" s="90"/>
      <c r="W347" s="6"/>
      <c r="X347" s="6"/>
      <c r="Y347" s="6"/>
      <c r="Z347" s="6"/>
    </row>
    <row r="348" spans="1:26">
      <c r="A348" s="90"/>
      <c r="C348" s="90"/>
      <c r="E348" s="90"/>
      <c r="K348" s="90"/>
      <c r="P348" s="90"/>
      <c r="Q348" s="90"/>
      <c r="R348" s="90"/>
      <c r="W348" s="6"/>
      <c r="X348" s="6"/>
      <c r="Y348" s="6"/>
      <c r="Z348" s="6"/>
    </row>
    <row r="349" spans="1:26">
      <c r="A349" s="90"/>
      <c r="C349" s="90"/>
      <c r="E349" s="90"/>
      <c r="K349" s="90"/>
      <c r="P349" s="90"/>
      <c r="Q349" s="90"/>
      <c r="R349" s="90"/>
      <c r="W349" s="6"/>
      <c r="X349" s="6"/>
      <c r="Y349" s="6"/>
      <c r="Z349" s="6"/>
    </row>
    <row r="350" spans="1:26">
      <c r="A350" s="90"/>
      <c r="C350" s="90"/>
      <c r="E350" s="90"/>
      <c r="K350" s="90"/>
      <c r="P350" s="90"/>
      <c r="Q350" s="90"/>
      <c r="R350" s="90"/>
      <c r="W350" s="6"/>
      <c r="X350" s="6"/>
      <c r="Y350" s="6"/>
      <c r="Z350" s="6"/>
    </row>
    <row r="351" spans="1:26">
      <c r="A351" s="90"/>
      <c r="C351" s="90"/>
      <c r="E351" s="90"/>
      <c r="K351" s="90"/>
      <c r="P351" s="90"/>
      <c r="Q351" s="90"/>
      <c r="R351" s="90"/>
      <c r="W351" s="6"/>
      <c r="X351" s="6"/>
      <c r="Y351" s="6"/>
      <c r="Z351" s="6"/>
    </row>
    <row r="352" spans="1:26">
      <c r="A352" s="90"/>
      <c r="C352" s="90"/>
      <c r="E352" s="90"/>
      <c r="K352" s="90"/>
      <c r="P352" s="90"/>
      <c r="Q352" s="90"/>
      <c r="R352" s="90"/>
      <c r="W352" s="6"/>
      <c r="X352" s="6"/>
      <c r="Y352" s="6"/>
      <c r="Z352" s="6"/>
    </row>
    <row r="353" spans="1:26">
      <c r="A353" s="90"/>
      <c r="C353" s="90"/>
      <c r="E353" s="90"/>
      <c r="K353" s="90"/>
      <c r="P353" s="90"/>
      <c r="Q353" s="90"/>
      <c r="R353" s="90"/>
      <c r="W353" s="6"/>
      <c r="X353" s="6"/>
      <c r="Y353" s="6"/>
      <c r="Z353" s="6"/>
    </row>
    <row r="354" spans="1:26">
      <c r="A354" s="90"/>
      <c r="C354" s="90"/>
      <c r="E354" s="90"/>
      <c r="K354" s="90"/>
      <c r="P354" s="90"/>
      <c r="Q354" s="90"/>
      <c r="R354" s="90"/>
      <c r="W354" s="6"/>
      <c r="X354" s="6"/>
      <c r="Y354" s="6"/>
      <c r="Z354" s="6"/>
    </row>
    <row r="355" spans="1:26">
      <c r="A355" s="90"/>
      <c r="C355" s="90"/>
      <c r="E355" s="90"/>
      <c r="K355" s="90"/>
      <c r="P355" s="90"/>
      <c r="Q355" s="90"/>
      <c r="R355" s="90"/>
      <c r="W355" s="6"/>
      <c r="X355" s="6"/>
      <c r="Y355" s="6"/>
      <c r="Z355" s="6"/>
    </row>
    <row r="356" spans="1:26">
      <c r="A356" s="90"/>
      <c r="C356" s="90"/>
      <c r="E356" s="90"/>
      <c r="K356" s="90"/>
      <c r="P356" s="90"/>
      <c r="Q356" s="90"/>
      <c r="R356" s="90"/>
      <c r="W356" s="6"/>
      <c r="X356" s="6"/>
      <c r="Y356" s="6"/>
      <c r="Z356" s="6"/>
    </row>
    <row r="357" spans="1:26">
      <c r="A357" s="90"/>
      <c r="C357" s="90"/>
      <c r="E357" s="90"/>
      <c r="K357" s="90"/>
      <c r="P357" s="90"/>
      <c r="Q357" s="90"/>
      <c r="R357" s="90"/>
      <c r="W357" s="6"/>
      <c r="X357" s="6"/>
      <c r="Y357" s="6"/>
      <c r="Z357" s="6"/>
    </row>
    <row r="358" spans="1:26">
      <c r="A358" s="90"/>
      <c r="C358" s="90"/>
      <c r="E358" s="90"/>
      <c r="K358" s="90"/>
      <c r="P358" s="90"/>
      <c r="Q358" s="90"/>
      <c r="R358" s="90"/>
      <c r="W358" s="6"/>
      <c r="X358" s="6"/>
      <c r="Y358" s="6"/>
      <c r="Z358" s="6"/>
    </row>
    <row r="359" spans="1:26">
      <c r="A359" s="90"/>
      <c r="C359" s="90"/>
      <c r="E359" s="90"/>
      <c r="K359" s="90"/>
      <c r="P359" s="90"/>
      <c r="Q359" s="90"/>
      <c r="R359" s="90"/>
      <c r="W359" s="6"/>
      <c r="X359" s="6"/>
      <c r="Y359" s="6"/>
      <c r="Z359" s="6"/>
    </row>
    <row r="360" spans="1:26">
      <c r="A360" s="90"/>
      <c r="C360" s="90"/>
      <c r="E360" s="90"/>
      <c r="K360" s="90"/>
      <c r="P360" s="90"/>
      <c r="Q360" s="90"/>
      <c r="R360" s="90"/>
      <c r="W360" s="6"/>
      <c r="X360" s="6"/>
      <c r="Y360" s="6"/>
      <c r="Z360" s="6"/>
    </row>
    <row r="361" spans="1:26">
      <c r="A361" s="90"/>
      <c r="C361" s="90"/>
      <c r="E361" s="90"/>
      <c r="K361" s="90"/>
      <c r="P361" s="90"/>
      <c r="Q361" s="90"/>
      <c r="R361" s="90"/>
      <c r="W361" s="6"/>
      <c r="X361" s="6"/>
      <c r="Y361" s="6"/>
      <c r="Z361" s="6"/>
    </row>
    <row r="362" spans="1:26">
      <c r="A362" s="90"/>
      <c r="C362" s="90"/>
      <c r="E362" s="90"/>
      <c r="K362" s="90"/>
      <c r="P362" s="90"/>
      <c r="Q362" s="90"/>
      <c r="R362" s="90"/>
      <c r="W362" s="6"/>
      <c r="X362" s="6"/>
      <c r="Y362" s="6"/>
      <c r="Z362" s="6"/>
    </row>
    <row r="363" spans="1:26">
      <c r="A363" s="90"/>
      <c r="C363" s="90"/>
      <c r="E363" s="90"/>
      <c r="K363" s="90"/>
      <c r="P363" s="90"/>
      <c r="Q363" s="90"/>
      <c r="R363" s="90"/>
      <c r="W363" s="6"/>
      <c r="X363" s="6"/>
      <c r="Y363" s="6"/>
      <c r="Z363" s="6"/>
    </row>
    <row r="364" spans="1:26">
      <c r="A364" s="90"/>
      <c r="C364" s="90"/>
      <c r="E364" s="90"/>
      <c r="K364" s="90"/>
      <c r="P364" s="90"/>
      <c r="Q364" s="90"/>
      <c r="R364" s="90"/>
      <c r="W364" s="6"/>
      <c r="X364" s="6"/>
      <c r="Y364" s="6"/>
      <c r="Z364" s="6"/>
    </row>
    <row r="365" spans="1:26">
      <c r="A365" s="90"/>
      <c r="C365" s="90"/>
      <c r="E365" s="90"/>
      <c r="K365" s="90"/>
      <c r="P365" s="90"/>
      <c r="Q365" s="90"/>
      <c r="R365" s="90"/>
      <c r="W365" s="6"/>
      <c r="X365" s="6"/>
      <c r="Y365" s="6"/>
      <c r="Z365" s="6"/>
    </row>
    <row r="366" spans="1:26">
      <c r="A366" s="90"/>
      <c r="C366" s="90"/>
      <c r="E366" s="90"/>
      <c r="K366" s="90"/>
      <c r="P366" s="90"/>
      <c r="Q366" s="90"/>
      <c r="R366" s="90"/>
      <c r="W366" s="6"/>
      <c r="X366" s="6"/>
      <c r="Y366" s="6"/>
      <c r="Z366" s="6"/>
    </row>
    <row r="367" spans="1:26">
      <c r="A367" s="90"/>
      <c r="C367" s="90"/>
      <c r="E367" s="90"/>
      <c r="K367" s="90"/>
      <c r="P367" s="90"/>
      <c r="Q367" s="90"/>
      <c r="R367" s="90"/>
      <c r="W367" s="6"/>
      <c r="X367" s="6"/>
      <c r="Y367" s="6"/>
      <c r="Z367" s="6"/>
    </row>
    <row r="368" spans="1:26">
      <c r="A368" s="90"/>
      <c r="C368" s="90"/>
      <c r="E368" s="90"/>
      <c r="K368" s="90"/>
      <c r="P368" s="90"/>
      <c r="Q368" s="90"/>
      <c r="R368" s="90"/>
      <c r="W368" s="6"/>
      <c r="X368" s="6"/>
      <c r="Y368" s="6"/>
      <c r="Z368" s="6"/>
    </row>
    <row r="369" spans="1:26">
      <c r="A369" s="90"/>
      <c r="C369" s="90"/>
      <c r="E369" s="90"/>
      <c r="K369" s="90"/>
      <c r="P369" s="90"/>
      <c r="Q369" s="90"/>
      <c r="R369" s="90"/>
      <c r="W369" s="6"/>
      <c r="X369" s="6"/>
      <c r="Y369" s="6"/>
      <c r="Z369" s="6"/>
    </row>
    <row r="370" spans="1:26">
      <c r="A370" s="90"/>
      <c r="C370" s="90"/>
      <c r="E370" s="90"/>
      <c r="K370" s="90"/>
      <c r="P370" s="90"/>
      <c r="Q370" s="90"/>
      <c r="R370" s="90"/>
      <c r="W370" s="6"/>
      <c r="X370" s="6"/>
      <c r="Y370" s="6"/>
      <c r="Z370" s="6"/>
    </row>
    <row r="371" spans="1:26">
      <c r="A371" s="90"/>
      <c r="C371" s="90"/>
      <c r="E371" s="90"/>
      <c r="K371" s="90"/>
      <c r="P371" s="90"/>
      <c r="Q371" s="90"/>
      <c r="R371" s="90"/>
      <c r="W371" s="6"/>
      <c r="X371" s="6"/>
      <c r="Y371" s="6"/>
      <c r="Z371" s="6"/>
    </row>
    <row r="372" spans="1:26">
      <c r="A372" s="90"/>
      <c r="C372" s="90"/>
      <c r="E372" s="90"/>
      <c r="K372" s="90"/>
      <c r="P372" s="90"/>
      <c r="Q372" s="90"/>
      <c r="R372" s="90"/>
      <c r="W372" s="6"/>
      <c r="X372" s="6"/>
      <c r="Y372" s="6"/>
      <c r="Z372" s="6"/>
    </row>
    <row r="373" spans="1:26">
      <c r="A373" s="90"/>
      <c r="C373" s="90"/>
      <c r="E373" s="90"/>
      <c r="K373" s="90"/>
      <c r="P373" s="90"/>
      <c r="Q373" s="90"/>
      <c r="R373" s="90"/>
      <c r="W373" s="6"/>
      <c r="X373" s="6"/>
      <c r="Y373" s="6"/>
      <c r="Z373" s="6"/>
    </row>
    <row r="374" spans="1:26">
      <c r="A374" s="90"/>
      <c r="C374" s="90"/>
      <c r="E374" s="90"/>
      <c r="K374" s="90"/>
      <c r="P374" s="90"/>
      <c r="Q374" s="90"/>
      <c r="R374" s="90"/>
      <c r="W374" s="6"/>
      <c r="X374" s="6"/>
      <c r="Y374" s="6"/>
      <c r="Z374" s="6"/>
    </row>
    <row r="375" spans="1:26">
      <c r="A375" s="90"/>
      <c r="C375" s="90"/>
      <c r="E375" s="90"/>
      <c r="K375" s="90"/>
      <c r="P375" s="90"/>
      <c r="Q375" s="90"/>
      <c r="R375" s="90"/>
      <c r="W375" s="6"/>
      <c r="X375" s="6"/>
      <c r="Y375" s="6"/>
      <c r="Z375" s="6"/>
    </row>
    <row r="376" spans="1:26">
      <c r="A376" s="90"/>
      <c r="C376" s="90"/>
      <c r="E376" s="90"/>
      <c r="K376" s="90"/>
      <c r="P376" s="90"/>
      <c r="Q376" s="90"/>
      <c r="R376" s="90"/>
      <c r="W376" s="6"/>
      <c r="X376" s="6"/>
      <c r="Y376" s="6"/>
      <c r="Z376" s="6"/>
    </row>
    <row r="377" spans="1:26">
      <c r="A377" s="90"/>
      <c r="C377" s="90"/>
      <c r="E377" s="90"/>
      <c r="K377" s="90"/>
      <c r="P377" s="90"/>
      <c r="Q377" s="90"/>
      <c r="R377" s="90"/>
      <c r="W377" s="6"/>
      <c r="X377" s="6"/>
      <c r="Y377" s="6"/>
      <c r="Z377" s="6"/>
    </row>
    <row r="378" spans="1:26">
      <c r="A378" s="90"/>
      <c r="C378" s="90"/>
      <c r="E378" s="90"/>
      <c r="K378" s="90"/>
      <c r="P378" s="90"/>
      <c r="Q378" s="90"/>
      <c r="R378" s="90"/>
      <c r="W378" s="6"/>
      <c r="X378" s="6"/>
      <c r="Y378" s="6"/>
      <c r="Z378" s="6"/>
    </row>
    <row r="379" spans="1:26">
      <c r="A379" s="90"/>
      <c r="C379" s="90"/>
      <c r="E379" s="90"/>
      <c r="K379" s="90"/>
      <c r="P379" s="90"/>
      <c r="Q379" s="90"/>
      <c r="R379" s="90"/>
      <c r="W379" s="6"/>
      <c r="X379" s="6"/>
      <c r="Y379" s="6"/>
      <c r="Z379" s="6"/>
    </row>
    <row r="380" spans="1:26">
      <c r="A380" s="90"/>
      <c r="C380" s="90"/>
      <c r="E380" s="90"/>
      <c r="K380" s="90"/>
      <c r="P380" s="90"/>
      <c r="Q380" s="90"/>
      <c r="R380" s="90"/>
      <c r="W380" s="6"/>
      <c r="X380" s="6"/>
      <c r="Y380" s="6"/>
      <c r="Z380" s="6"/>
    </row>
    <row r="381" spans="1:26">
      <c r="A381" s="90"/>
      <c r="C381" s="90"/>
      <c r="E381" s="90"/>
      <c r="K381" s="90"/>
      <c r="P381" s="90"/>
      <c r="Q381" s="90"/>
      <c r="R381" s="90"/>
      <c r="W381" s="6"/>
      <c r="X381" s="6"/>
      <c r="Y381" s="6"/>
      <c r="Z381" s="6"/>
    </row>
    <row r="382" spans="1:26">
      <c r="A382" s="90"/>
      <c r="C382" s="90"/>
      <c r="E382" s="90"/>
      <c r="K382" s="90"/>
      <c r="P382" s="90"/>
      <c r="Q382" s="90"/>
      <c r="R382" s="90"/>
      <c r="W382" s="6"/>
      <c r="X382" s="6"/>
      <c r="Y382" s="6"/>
      <c r="Z382" s="6"/>
    </row>
    <row r="383" spans="1:26">
      <c r="A383" s="90"/>
      <c r="C383" s="90"/>
      <c r="E383" s="90"/>
      <c r="K383" s="90"/>
      <c r="P383" s="90"/>
      <c r="Q383" s="90"/>
      <c r="R383" s="90"/>
      <c r="W383" s="6"/>
      <c r="X383" s="6"/>
      <c r="Y383" s="6"/>
      <c r="Z383" s="6"/>
    </row>
    <row r="384" spans="1:26">
      <c r="A384" s="90"/>
      <c r="C384" s="90"/>
      <c r="E384" s="90"/>
      <c r="K384" s="90"/>
      <c r="P384" s="90"/>
      <c r="Q384" s="90"/>
      <c r="R384" s="90"/>
      <c r="W384" s="6"/>
      <c r="X384" s="6"/>
      <c r="Y384" s="6"/>
      <c r="Z384" s="6"/>
    </row>
    <row r="385" spans="1:26">
      <c r="A385" s="90"/>
      <c r="C385" s="90"/>
      <c r="E385" s="90"/>
      <c r="K385" s="90"/>
      <c r="P385" s="90"/>
      <c r="Q385" s="90"/>
      <c r="R385" s="90"/>
      <c r="W385" s="6"/>
      <c r="X385" s="6"/>
      <c r="Y385" s="6"/>
      <c r="Z385" s="6"/>
    </row>
    <row r="386" spans="1:26">
      <c r="A386" s="90"/>
      <c r="C386" s="90"/>
      <c r="E386" s="90"/>
      <c r="K386" s="90"/>
      <c r="P386" s="90"/>
      <c r="Q386" s="90"/>
      <c r="R386" s="90"/>
      <c r="W386" s="6"/>
      <c r="X386" s="6"/>
      <c r="Y386" s="6"/>
      <c r="Z386" s="6"/>
    </row>
    <row r="387" spans="1:26">
      <c r="A387" s="90"/>
      <c r="C387" s="90"/>
      <c r="E387" s="90"/>
      <c r="K387" s="90"/>
      <c r="P387" s="90"/>
      <c r="Q387" s="90"/>
      <c r="R387" s="90"/>
      <c r="W387" s="6"/>
      <c r="X387" s="6"/>
      <c r="Y387" s="6"/>
      <c r="Z387" s="6"/>
    </row>
    <row r="388" spans="1:26">
      <c r="A388" s="90"/>
      <c r="C388" s="90"/>
      <c r="E388" s="90"/>
      <c r="K388" s="90"/>
      <c r="P388" s="90"/>
      <c r="Q388" s="90"/>
      <c r="R388" s="90"/>
      <c r="W388" s="6"/>
      <c r="X388" s="6"/>
      <c r="Y388" s="6"/>
      <c r="Z388" s="6"/>
    </row>
    <row r="389" spans="1:26">
      <c r="A389" s="90"/>
      <c r="C389" s="90"/>
      <c r="E389" s="90"/>
      <c r="K389" s="90"/>
      <c r="P389" s="90"/>
      <c r="Q389" s="90"/>
      <c r="R389" s="90"/>
      <c r="W389" s="6"/>
      <c r="X389" s="6"/>
      <c r="Y389" s="6"/>
      <c r="Z389" s="6"/>
    </row>
    <row r="390" spans="1:26">
      <c r="A390" s="90"/>
      <c r="C390" s="90"/>
      <c r="E390" s="90"/>
      <c r="K390" s="90"/>
      <c r="P390" s="90"/>
      <c r="Q390" s="90"/>
      <c r="R390" s="90"/>
      <c r="W390" s="6"/>
      <c r="X390" s="6"/>
      <c r="Y390" s="6"/>
      <c r="Z390" s="6"/>
    </row>
    <row r="391" spans="1:26">
      <c r="A391" s="90"/>
      <c r="C391" s="90"/>
      <c r="E391" s="90"/>
      <c r="K391" s="90"/>
      <c r="P391" s="90"/>
      <c r="Q391" s="90"/>
      <c r="R391" s="90"/>
      <c r="W391" s="6"/>
      <c r="X391" s="6"/>
      <c r="Y391" s="6"/>
      <c r="Z391" s="6"/>
    </row>
    <row r="392" spans="1:26">
      <c r="A392" s="90"/>
      <c r="C392" s="90"/>
      <c r="E392" s="90"/>
      <c r="K392" s="90"/>
      <c r="P392" s="90"/>
      <c r="Q392" s="90"/>
      <c r="R392" s="90"/>
      <c r="W392" s="6"/>
      <c r="X392" s="6"/>
      <c r="Y392" s="6"/>
      <c r="Z392" s="6"/>
    </row>
    <row r="393" spans="1:26">
      <c r="A393" s="90"/>
      <c r="C393" s="90"/>
      <c r="E393" s="90"/>
      <c r="K393" s="90"/>
      <c r="P393" s="90"/>
      <c r="Q393" s="90"/>
      <c r="R393" s="90"/>
      <c r="W393" s="6"/>
      <c r="X393" s="6"/>
      <c r="Y393" s="6"/>
      <c r="Z393" s="6"/>
    </row>
    <row r="394" spans="1:26">
      <c r="A394" s="90"/>
      <c r="C394" s="90"/>
      <c r="E394" s="90"/>
      <c r="K394" s="90"/>
      <c r="P394" s="90"/>
      <c r="Q394" s="90"/>
      <c r="R394" s="90"/>
      <c r="W394" s="6"/>
      <c r="X394" s="6"/>
      <c r="Y394" s="6"/>
      <c r="Z394" s="6"/>
    </row>
    <row r="395" spans="1:26">
      <c r="A395" s="90"/>
      <c r="C395" s="90"/>
      <c r="E395" s="90"/>
      <c r="K395" s="90"/>
      <c r="P395" s="90"/>
      <c r="Q395" s="90"/>
      <c r="R395" s="90"/>
      <c r="W395" s="6"/>
      <c r="X395" s="6"/>
      <c r="Y395" s="6"/>
      <c r="Z395" s="6"/>
    </row>
    <row r="396" spans="1:26">
      <c r="A396" s="90"/>
      <c r="C396" s="90"/>
      <c r="E396" s="90"/>
      <c r="K396" s="90"/>
      <c r="P396" s="90"/>
      <c r="Q396" s="90"/>
      <c r="R396" s="90"/>
      <c r="W396" s="6"/>
      <c r="X396" s="6"/>
      <c r="Y396" s="6"/>
      <c r="Z396" s="6"/>
    </row>
    <row r="397" spans="1:26">
      <c r="A397" s="90"/>
      <c r="C397" s="90"/>
      <c r="E397" s="90"/>
      <c r="K397" s="90"/>
      <c r="P397" s="90"/>
      <c r="Q397" s="90"/>
      <c r="R397" s="90"/>
      <c r="W397" s="6"/>
      <c r="X397" s="6"/>
      <c r="Y397" s="6"/>
      <c r="Z397" s="6"/>
    </row>
    <row r="398" spans="1:26">
      <c r="A398" s="90"/>
      <c r="C398" s="90"/>
      <c r="E398" s="90"/>
      <c r="K398" s="90"/>
      <c r="P398" s="90"/>
      <c r="Q398" s="90"/>
      <c r="R398" s="90"/>
      <c r="W398" s="6"/>
      <c r="X398" s="6"/>
      <c r="Y398" s="6"/>
      <c r="Z398" s="6"/>
    </row>
    <row r="399" spans="1:26">
      <c r="A399" s="90"/>
      <c r="C399" s="90"/>
      <c r="E399" s="90"/>
      <c r="K399" s="90"/>
      <c r="P399" s="90"/>
      <c r="Q399" s="90"/>
      <c r="R399" s="90"/>
      <c r="W399" s="6"/>
      <c r="X399" s="6"/>
      <c r="Y399" s="6"/>
      <c r="Z399" s="6"/>
    </row>
    <row r="400" spans="1:26">
      <c r="A400" s="90"/>
      <c r="C400" s="90"/>
      <c r="E400" s="90"/>
      <c r="K400" s="90"/>
      <c r="P400" s="90"/>
      <c r="Q400" s="90"/>
      <c r="R400" s="90"/>
      <c r="W400" s="6"/>
      <c r="X400" s="6"/>
      <c r="Y400" s="6"/>
      <c r="Z400" s="6"/>
    </row>
    <row r="401" spans="1:26">
      <c r="A401" s="90"/>
      <c r="C401" s="90"/>
      <c r="E401" s="90"/>
      <c r="K401" s="90"/>
      <c r="P401" s="90"/>
      <c r="Q401" s="90"/>
      <c r="R401" s="90"/>
      <c r="W401" s="6"/>
      <c r="X401" s="6"/>
      <c r="Y401" s="6"/>
      <c r="Z401" s="6"/>
    </row>
    <row r="402" spans="1:26">
      <c r="A402" s="90"/>
      <c r="C402" s="90"/>
      <c r="E402" s="90"/>
      <c r="K402" s="90"/>
      <c r="P402" s="90"/>
      <c r="Q402" s="90"/>
      <c r="R402" s="90"/>
      <c r="W402" s="6"/>
      <c r="X402" s="6"/>
      <c r="Y402" s="6"/>
      <c r="Z402" s="6"/>
    </row>
    <row r="403" spans="1:26">
      <c r="A403" s="90"/>
      <c r="C403" s="90"/>
      <c r="E403" s="90"/>
      <c r="K403" s="90"/>
      <c r="P403" s="90"/>
      <c r="Q403" s="90"/>
      <c r="R403" s="90"/>
      <c r="W403" s="6"/>
      <c r="X403" s="6"/>
      <c r="Y403" s="6"/>
      <c r="Z403" s="6"/>
    </row>
    <row r="404" spans="1:26">
      <c r="A404" s="90"/>
      <c r="C404" s="90"/>
      <c r="E404" s="90"/>
      <c r="K404" s="90"/>
      <c r="P404" s="90"/>
      <c r="Q404" s="90"/>
      <c r="R404" s="90"/>
      <c r="W404" s="6"/>
      <c r="X404" s="6"/>
      <c r="Y404" s="6"/>
      <c r="Z404" s="6"/>
    </row>
    <row r="405" spans="1:26">
      <c r="A405" s="90"/>
      <c r="C405" s="90"/>
      <c r="E405" s="90"/>
      <c r="K405" s="90"/>
      <c r="P405" s="90"/>
      <c r="Q405" s="90"/>
      <c r="R405" s="90"/>
      <c r="W405" s="6"/>
      <c r="X405" s="6"/>
      <c r="Y405" s="6"/>
      <c r="Z405" s="6"/>
    </row>
    <row r="406" spans="1:26">
      <c r="A406" s="90"/>
      <c r="C406" s="90"/>
      <c r="E406" s="90"/>
      <c r="K406" s="90"/>
      <c r="P406" s="90"/>
      <c r="Q406" s="90"/>
      <c r="R406" s="90"/>
      <c r="W406" s="6"/>
      <c r="X406" s="6"/>
      <c r="Y406" s="6"/>
      <c r="Z406" s="6"/>
    </row>
    <row r="407" spans="1:26">
      <c r="A407" s="90"/>
      <c r="C407" s="90"/>
      <c r="E407" s="90"/>
      <c r="K407" s="90"/>
      <c r="P407" s="90"/>
      <c r="Q407" s="90"/>
      <c r="R407" s="90"/>
      <c r="W407" s="6"/>
      <c r="X407" s="6"/>
      <c r="Y407" s="6"/>
      <c r="Z407" s="6"/>
    </row>
    <row r="408" spans="1:26">
      <c r="A408" s="90"/>
      <c r="C408" s="90"/>
      <c r="E408" s="90"/>
      <c r="K408" s="90"/>
      <c r="P408" s="90"/>
      <c r="Q408" s="90"/>
      <c r="R408" s="90"/>
      <c r="W408" s="6"/>
      <c r="X408" s="6"/>
      <c r="Y408" s="6"/>
      <c r="Z408" s="6"/>
    </row>
    <row r="409" spans="1:26">
      <c r="A409" s="90"/>
      <c r="C409" s="90"/>
      <c r="E409" s="90"/>
      <c r="K409" s="90"/>
      <c r="P409" s="90"/>
      <c r="Q409" s="90"/>
      <c r="R409" s="90"/>
      <c r="W409" s="6"/>
      <c r="X409" s="6"/>
      <c r="Y409" s="6"/>
      <c r="Z409" s="6"/>
    </row>
    <row r="410" spans="1:26">
      <c r="A410" s="90"/>
      <c r="C410" s="90"/>
      <c r="E410" s="90"/>
      <c r="K410" s="90"/>
      <c r="P410" s="90"/>
      <c r="Q410" s="90"/>
      <c r="R410" s="90"/>
      <c r="W410" s="6"/>
      <c r="X410" s="6"/>
      <c r="Y410" s="6"/>
      <c r="Z410" s="6"/>
    </row>
    <row r="411" spans="1:26">
      <c r="A411" s="90"/>
      <c r="C411" s="90"/>
      <c r="E411" s="90"/>
      <c r="K411" s="90"/>
      <c r="P411" s="90"/>
      <c r="Q411" s="90"/>
      <c r="R411" s="90"/>
      <c r="W411" s="6"/>
      <c r="X411" s="6"/>
      <c r="Y411" s="6"/>
      <c r="Z411" s="6"/>
    </row>
    <row r="412" spans="1:26">
      <c r="A412" s="90"/>
      <c r="C412" s="90"/>
      <c r="E412" s="90"/>
      <c r="K412" s="90"/>
      <c r="P412" s="90"/>
      <c r="Q412" s="90"/>
      <c r="R412" s="90"/>
      <c r="W412" s="6"/>
      <c r="X412" s="6"/>
      <c r="Y412" s="6"/>
      <c r="Z412" s="6"/>
    </row>
    <row r="413" spans="1:26">
      <c r="A413" s="90"/>
      <c r="C413" s="90"/>
      <c r="E413" s="90"/>
      <c r="K413" s="90"/>
      <c r="P413" s="90"/>
      <c r="Q413" s="90"/>
      <c r="R413" s="90"/>
      <c r="W413" s="6"/>
      <c r="X413" s="6"/>
      <c r="Y413" s="6"/>
      <c r="Z413" s="6"/>
    </row>
    <row r="414" spans="1:26">
      <c r="A414" s="90"/>
      <c r="C414" s="90"/>
      <c r="E414" s="90"/>
      <c r="K414" s="90"/>
      <c r="P414" s="90"/>
      <c r="Q414" s="90"/>
      <c r="R414" s="90"/>
      <c r="W414" s="6"/>
      <c r="X414" s="6"/>
      <c r="Y414" s="6"/>
      <c r="Z414" s="6"/>
    </row>
    <row r="415" spans="1:26">
      <c r="A415" s="90"/>
      <c r="C415" s="90"/>
      <c r="E415" s="90"/>
      <c r="K415" s="90"/>
      <c r="P415" s="90"/>
      <c r="Q415" s="90"/>
      <c r="R415" s="90"/>
      <c r="W415" s="6"/>
      <c r="X415" s="6"/>
      <c r="Y415" s="6"/>
      <c r="Z415" s="6"/>
    </row>
    <row r="416" spans="1:26">
      <c r="A416" s="90"/>
      <c r="C416" s="90"/>
      <c r="E416" s="90"/>
      <c r="K416" s="90"/>
      <c r="P416" s="90"/>
      <c r="Q416" s="90"/>
      <c r="R416" s="90"/>
      <c r="W416" s="6"/>
      <c r="X416" s="6"/>
      <c r="Y416" s="6"/>
      <c r="Z416" s="6"/>
    </row>
    <row r="417" spans="1:26">
      <c r="A417" s="90"/>
      <c r="C417" s="90"/>
      <c r="E417" s="90"/>
      <c r="K417" s="90"/>
      <c r="P417" s="90"/>
      <c r="Q417" s="90"/>
      <c r="R417" s="90"/>
      <c r="W417" s="6"/>
      <c r="X417" s="6"/>
      <c r="Y417" s="6"/>
      <c r="Z417" s="6"/>
    </row>
    <row r="418" spans="1:26">
      <c r="A418" s="90"/>
      <c r="C418" s="90"/>
      <c r="E418" s="90"/>
      <c r="K418" s="90"/>
      <c r="P418" s="90"/>
      <c r="Q418" s="90"/>
      <c r="R418" s="90"/>
      <c r="W418" s="6"/>
      <c r="X418" s="6"/>
      <c r="Y418" s="6"/>
      <c r="Z418" s="6"/>
    </row>
    <row r="419" spans="1:26">
      <c r="A419" s="90"/>
      <c r="C419" s="90"/>
      <c r="E419" s="90"/>
      <c r="K419" s="90"/>
      <c r="P419" s="90"/>
      <c r="Q419" s="90"/>
      <c r="R419" s="90"/>
      <c r="W419" s="6"/>
      <c r="X419" s="6"/>
      <c r="Y419" s="6"/>
      <c r="Z419" s="6"/>
    </row>
    <row r="420" spans="1:26">
      <c r="A420" s="90"/>
      <c r="C420" s="90"/>
      <c r="E420" s="90"/>
      <c r="K420" s="90"/>
      <c r="P420" s="90"/>
      <c r="Q420" s="90"/>
      <c r="R420" s="90"/>
      <c r="W420" s="6"/>
      <c r="X420" s="6"/>
      <c r="Y420" s="6"/>
      <c r="Z420" s="6"/>
    </row>
    <row r="421" spans="1:26">
      <c r="A421" s="90"/>
      <c r="C421" s="90"/>
      <c r="E421" s="90"/>
      <c r="K421" s="90"/>
      <c r="P421" s="90"/>
      <c r="Q421" s="90"/>
      <c r="R421" s="90"/>
      <c r="W421" s="6"/>
      <c r="X421" s="6"/>
      <c r="Y421" s="6"/>
      <c r="Z421" s="6"/>
    </row>
    <row r="422" spans="1:26">
      <c r="A422" s="90"/>
      <c r="C422" s="90"/>
      <c r="E422" s="90"/>
      <c r="K422" s="90"/>
      <c r="P422" s="90"/>
      <c r="Q422" s="90"/>
      <c r="R422" s="90"/>
      <c r="W422" s="6"/>
      <c r="X422" s="6"/>
      <c r="Y422" s="6"/>
      <c r="Z422" s="6"/>
    </row>
    <row r="423" spans="1:26">
      <c r="A423" s="90"/>
      <c r="C423" s="90"/>
      <c r="E423" s="90"/>
      <c r="K423" s="90"/>
      <c r="P423" s="90"/>
      <c r="Q423" s="90"/>
      <c r="R423" s="90"/>
      <c r="W423" s="6"/>
      <c r="X423" s="6"/>
      <c r="Y423" s="6"/>
      <c r="Z423" s="6"/>
    </row>
    <row r="424" spans="1:26">
      <c r="A424" s="90"/>
      <c r="C424" s="90"/>
      <c r="E424" s="90"/>
      <c r="K424" s="90"/>
      <c r="P424" s="90"/>
      <c r="Q424" s="90"/>
      <c r="R424" s="90"/>
      <c r="W424" s="6"/>
      <c r="X424" s="6"/>
      <c r="Y424" s="6"/>
      <c r="Z424" s="6"/>
    </row>
    <row r="425" spans="1:26">
      <c r="A425" s="90"/>
      <c r="C425" s="90"/>
      <c r="E425" s="90"/>
      <c r="K425" s="90"/>
      <c r="P425" s="90"/>
      <c r="Q425" s="90"/>
      <c r="R425" s="90"/>
      <c r="W425" s="6"/>
      <c r="X425" s="6"/>
      <c r="Y425" s="6"/>
      <c r="Z425" s="6"/>
    </row>
    <row r="426" spans="1:26">
      <c r="A426" s="90"/>
      <c r="C426" s="90"/>
      <c r="E426" s="90"/>
      <c r="K426" s="90"/>
      <c r="P426" s="90"/>
      <c r="Q426" s="90"/>
      <c r="R426" s="90"/>
      <c r="W426" s="6"/>
      <c r="X426" s="6"/>
      <c r="Y426" s="6"/>
      <c r="Z426" s="6"/>
    </row>
    <row r="427" spans="1:26">
      <c r="A427" s="90"/>
      <c r="C427" s="90"/>
      <c r="E427" s="90"/>
      <c r="K427" s="90"/>
      <c r="P427" s="90"/>
      <c r="Q427" s="90"/>
      <c r="R427" s="90"/>
      <c r="W427" s="6"/>
      <c r="X427" s="6"/>
      <c r="Y427" s="6"/>
      <c r="Z427" s="6"/>
    </row>
    <row r="428" spans="1:26">
      <c r="A428" s="90"/>
      <c r="C428" s="90"/>
      <c r="E428" s="90"/>
      <c r="K428" s="90"/>
      <c r="P428" s="90"/>
      <c r="Q428" s="90"/>
      <c r="R428" s="90"/>
      <c r="W428" s="6"/>
      <c r="X428" s="6"/>
      <c r="Y428" s="6"/>
      <c r="Z428" s="6"/>
    </row>
    <row r="429" spans="1:26">
      <c r="A429" s="90"/>
      <c r="C429" s="90"/>
      <c r="E429" s="90"/>
      <c r="K429" s="90"/>
      <c r="P429" s="90"/>
      <c r="Q429" s="90"/>
      <c r="R429" s="90"/>
      <c r="W429" s="6"/>
      <c r="X429" s="6"/>
      <c r="Y429" s="6"/>
      <c r="Z429" s="6"/>
    </row>
    <row r="430" spans="1:26">
      <c r="A430" s="90"/>
      <c r="C430" s="90"/>
      <c r="E430" s="90"/>
      <c r="K430" s="90"/>
      <c r="P430" s="90"/>
      <c r="Q430" s="90"/>
      <c r="R430" s="90"/>
      <c r="W430" s="6"/>
      <c r="X430" s="6"/>
      <c r="Y430" s="6"/>
      <c r="Z430" s="6"/>
    </row>
    <row r="431" spans="1:26">
      <c r="A431" s="90"/>
      <c r="C431" s="90"/>
      <c r="E431" s="90"/>
      <c r="K431" s="90"/>
      <c r="P431" s="90"/>
      <c r="Q431" s="90"/>
      <c r="R431" s="90"/>
      <c r="W431" s="6"/>
      <c r="X431" s="6"/>
      <c r="Y431" s="6"/>
      <c r="Z431" s="6"/>
    </row>
    <row r="432" spans="1:26">
      <c r="A432" s="90"/>
      <c r="C432" s="90"/>
      <c r="E432" s="90"/>
      <c r="K432" s="90"/>
      <c r="P432" s="90"/>
      <c r="Q432" s="90"/>
      <c r="R432" s="90"/>
      <c r="W432" s="6"/>
      <c r="X432" s="6"/>
      <c r="Y432" s="6"/>
      <c r="Z432" s="6"/>
    </row>
    <row r="433" spans="1:26">
      <c r="A433" s="90"/>
      <c r="C433" s="90"/>
      <c r="E433" s="90"/>
      <c r="K433" s="90"/>
      <c r="P433" s="90"/>
      <c r="Q433" s="90"/>
      <c r="R433" s="90"/>
      <c r="W433" s="6"/>
      <c r="X433" s="6"/>
      <c r="Y433" s="6"/>
      <c r="Z433" s="6"/>
    </row>
    <row r="434" spans="1:26">
      <c r="A434" s="90"/>
      <c r="C434" s="90"/>
      <c r="E434" s="90"/>
      <c r="K434" s="90"/>
      <c r="P434" s="90"/>
      <c r="Q434" s="90"/>
      <c r="R434" s="90"/>
      <c r="W434" s="6"/>
      <c r="X434" s="6"/>
      <c r="Y434" s="6"/>
      <c r="Z434" s="6"/>
    </row>
    <row r="435" spans="1:26">
      <c r="A435" s="90"/>
      <c r="C435" s="90"/>
      <c r="E435" s="90"/>
      <c r="K435" s="90"/>
      <c r="P435" s="90"/>
      <c r="Q435" s="90"/>
      <c r="R435" s="90"/>
      <c r="W435" s="6"/>
      <c r="X435" s="6"/>
      <c r="Y435" s="6"/>
      <c r="Z435" s="6"/>
    </row>
    <row r="436" spans="1:26">
      <c r="A436" s="90"/>
      <c r="C436" s="90"/>
      <c r="E436" s="90"/>
      <c r="K436" s="90"/>
      <c r="P436" s="90"/>
      <c r="Q436" s="90"/>
      <c r="R436" s="90"/>
      <c r="W436" s="6"/>
      <c r="X436" s="6"/>
      <c r="Y436" s="6"/>
      <c r="Z436" s="6"/>
    </row>
    <row r="437" spans="1:26">
      <c r="A437" s="90"/>
      <c r="C437" s="90"/>
      <c r="E437" s="90"/>
      <c r="K437" s="90"/>
      <c r="P437" s="90"/>
      <c r="Q437" s="90"/>
      <c r="R437" s="90"/>
      <c r="W437" s="6"/>
      <c r="X437" s="6"/>
      <c r="Y437" s="6"/>
      <c r="Z437" s="6"/>
    </row>
    <row r="438" spans="1:26">
      <c r="A438" s="90"/>
      <c r="C438" s="90"/>
      <c r="E438" s="90"/>
      <c r="K438" s="90"/>
      <c r="P438" s="90"/>
      <c r="Q438" s="90"/>
      <c r="R438" s="90"/>
      <c r="W438" s="6"/>
      <c r="X438" s="6"/>
      <c r="Y438" s="6"/>
      <c r="Z438" s="6"/>
    </row>
    <row r="439" spans="1:26">
      <c r="A439" s="90"/>
      <c r="C439" s="90"/>
      <c r="E439" s="90"/>
      <c r="K439" s="90"/>
      <c r="P439" s="90"/>
      <c r="Q439" s="90"/>
      <c r="R439" s="90"/>
      <c r="W439" s="6"/>
      <c r="X439" s="6"/>
      <c r="Y439" s="6"/>
      <c r="Z439" s="6"/>
    </row>
    <row r="440" spans="1:26">
      <c r="A440" s="90"/>
      <c r="C440" s="90"/>
      <c r="E440" s="90"/>
      <c r="K440" s="90"/>
      <c r="P440" s="90"/>
      <c r="Q440" s="90"/>
      <c r="R440" s="90"/>
      <c r="W440" s="6"/>
      <c r="X440" s="6"/>
      <c r="Y440" s="6"/>
      <c r="Z440" s="6"/>
    </row>
    <row r="441" spans="1:26">
      <c r="A441" s="90"/>
      <c r="C441" s="90"/>
      <c r="E441" s="90"/>
      <c r="K441" s="90"/>
      <c r="P441" s="90"/>
      <c r="Q441" s="90"/>
      <c r="R441" s="90"/>
      <c r="W441" s="6"/>
      <c r="X441" s="6"/>
      <c r="Y441" s="6"/>
      <c r="Z441" s="6"/>
    </row>
    <row r="442" spans="1:26">
      <c r="A442" s="90"/>
      <c r="C442" s="90"/>
      <c r="E442" s="90"/>
      <c r="K442" s="90"/>
      <c r="P442" s="90"/>
      <c r="Q442" s="90"/>
      <c r="R442" s="90"/>
      <c r="W442" s="6"/>
      <c r="X442" s="6"/>
      <c r="Y442" s="6"/>
      <c r="Z442" s="6"/>
    </row>
    <row r="443" spans="1:26">
      <c r="A443" s="90"/>
      <c r="C443" s="90"/>
      <c r="E443" s="90"/>
      <c r="K443" s="90"/>
      <c r="P443" s="90"/>
      <c r="Q443" s="90"/>
      <c r="R443" s="90"/>
      <c r="W443" s="6"/>
      <c r="X443" s="6"/>
      <c r="Y443" s="6"/>
      <c r="Z443" s="6"/>
    </row>
    <row r="444" spans="1:26">
      <c r="A444" s="90"/>
      <c r="C444" s="90"/>
      <c r="E444" s="90"/>
      <c r="K444" s="90"/>
      <c r="P444" s="90"/>
      <c r="Q444" s="90"/>
      <c r="R444" s="90"/>
      <c r="W444" s="6"/>
      <c r="X444" s="6"/>
      <c r="Y444" s="6"/>
      <c r="Z444" s="6"/>
    </row>
    <row r="445" spans="1:26">
      <c r="A445" s="90"/>
      <c r="C445" s="90"/>
      <c r="E445" s="90"/>
      <c r="K445" s="90"/>
      <c r="P445" s="90"/>
      <c r="Q445" s="90"/>
      <c r="R445" s="90"/>
      <c r="W445" s="6"/>
      <c r="X445" s="6"/>
      <c r="Y445" s="6"/>
      <c r="Z445" s="6"/>
    </row>
    <row r="446" spans="1:26">
      <c r="A446" s="90"/>
      <c r="C446" s="90"/>
      <c r="E446" s="90"/>
      <c r="K446" s="90"/>
      <c r="P446" s="90"/>
      <c r="Q446" s="90"/>
      <c r="R446" s="90"/>
      <c r="W446" s="6"/>
      <c r="X446" s="6"/>
      <c r="Y446" s="6"/>
      <c r="Z446" s="6"/>
    </row>
    <row r="447" spans="1:26">
      <c r="A447" s="90"/>
      <c r="C447" s="90"/>
      <c r="E447" s="90"/>
      <c r="K447" s="90"/>
      <c r="P447" s="90"/>
      <c r="Q447" s="90"/>
      <c r="R447" s="90"/>
      <c r="W447" s="6"/>
      <c r="X447" s="6"/>
      <c r="Y447" s="6"/>
      <c r="Z447" s="6"/>
    </row>
    <row r="448" spans="1:26">
      <c r="A448" s="90"/>
      <c r="C448" s="90"/>
      <c r="E448" s="90"/>
      <c r="K448" s="90"/>
      <c r="P448" s="90"/>
      <c r="Q448" s="90"/>
      <c r="R448" s="90"/>
      <c r="W448" s="6"/>
      <c r="X448" s="6"/>
      <c r="Y448" s="6"/>
      <c r="Z448" s="6"/>
    </row>
    <row r="449" spans="1:26">
      <c r="A449" s="90"/>
      <c r="C449" s="90"/>
      <c r="E449" s="90"/>
      <c r="K449" s="90"/>
      <c r="P449" s="90"/>
      <c r="Q449" s="90"/>
      <c r="R449" s="90"/>
      <c r="W449" s="6"/>
      <c r="X449" s="6"/>
      <c r="Y449" s="6"/>
      <c r="Z449" s="6"/>
    </row>
    <row r="450" spans="1:26">
      <c r="A450" s="90"/>
      <c r="C450" s="90"/>
      <c r="E450" s="90"/>
      <c r="K450" s="90"/>
      <c r="P450" s="90"/>
      <c r="Q450" s="90"/>
      <c r="R450" s="90"/>
      <c r="W450" s="6"/>
      <c r="X450" s="6"/>
      <c r="Y450" s="6"/>
      <c r="Z450" s="6"/>
    </row>
    <row r="451" spans="1:26">
      <c r="A451" s="90"/>
      <c r="C451" s="90"/>
      <c r="E451" s="90"/>
      <c r="K451" s="90"/>
      <c r="P451" s="90"/>
      <c r="Q451" s="90"/>
      <c r="R451" s="90"/>
      <c r="W451" s="6"/>
      <c r="X451" s="6"/>
      <c r="Y451" s="6"/>
      <c r="Z451" s="6"/>
    </row>
    <row r="452" spans="1:26">
      <c r="A452" s="90"/>
      <c r="C452" s="90"/>
      <c r="E452" s="90"/>
      <c r="K452" s="90"/>
      <c r="P452" s="90"/>
      <c r="Q452" s="90"/>
      <c r="R452" s="90"/>
      <c r="W452" s="6"/>
      <c r="X452" s="6"/>
      <c r="Y452" s="6"/>
      <c r="Z452" s="6"/>
    </row>
    <row r="453" spans="1:26">
      <c r="A453" s="90"/>
      <c r="C453" s="90"/>
      <c r="E453" s="90"/>
      <c r="K453" s="90"/>
      <c r="P453" s="90"/>
      <c r="Q453" s="90"/>
      <c r="R453" s="90"/>
      <c r="W453" s="6"/>
      <c r="X453" s="6"/>
      <c r="Y453" s="6"/>
      <c r="Z453" s="6"/>
    </row>
    <row r="454" spans="1:26">
      <c r="A454" s="90"/>
      <c r="C454" s="90"/>
      <c r="E454" s="90"/>
      <c r="K454" s="90"/>
      <c r="P454" s="90"/>
      <c r="Q454" s="90"/>
      <c r="R454" s="90"/>
      <c r="W454" s="6"/>
      <c r="X454" s="6"/>
      <c r="Y454" s="6"/>
      <c r="Z454" s="6"/>
    </row>
    <row r="455" spans="1:26">
      <c r="A455" s="90"/>
      <c r="C455" s="90"/>
      <c r="E455" s="90"/>
      <c r="K455" s="90"/>
      <c r="P455" s="90"/>
      <c r="Q455" s="90"/>
      <c r="R455" s="90"/>
      <c r="W455" s="6"/>
      <c r="X455" s="6"/>
      <c r="Y455" s="6"/>
      <c r="Z455" s="6"/>
    </row>
    <row r="456" spans="1:26">
      <c r="A456" s="90"/>
      <c r="C456" s="90"/>
      <c r="E456" s="90"/>
      <c r="K456" s="90"/>
      <c r="P456" s="90"/>
      <c r="Q456" s="90"/>
      <c r="R456" s="90"/>
      <c r="W456" s="6"/>
      <c r="X456" s="6"/>
      <c r="Y456" s="6"/>
      <c r="Z456" s="6"/>
    </row>
    <row r="457" spans="1:26">
      <c r="A457" s="90"/>
      <c r="C457" s="90"/>
      <c r="E457" s="90"/>
      <c r="K457" s="90"/>
      <c r="P457" s="90"/>
      <c r="Q457" s="90"/>
      <c r="R457" s="90"/>
      <c r="W457" s="6"/>
      <c r="X457" s="6"/>
      <c r="Y457" s="6"/>
      <c r="Z457" s="6"/>
    </row>
    <row r="458" spans="1:26">
      <c r="A458" s="90"/>
      <c r="C458" s="90"/>
      <c r="E458" s="90"/>
      <c r="K458" s="90"/>
      <c r="P458" s="90"/>
      <c r="Q458" s="90"/>
      <c r="R458" s="90"/>
      <c r="W458" s="6"/>
      <c r="X458" s="6"/>
      <c r="Y458" s="6"/>
      <c r="Z458" s="6"/>
    </row>
    <row r="459" spans="1:26">
      <c r="A459" s="90"/>
      <c r="C459" s="90"/>
      <c r="E459" s="90"/>
      <c r="K459" s="90"/>
      <c r="P459" s="90"/>
      <c r="Q459" s="90"/>
      <c r="R459" s="90"/>
      <c r="W459" s="6"/>
      <c r="X459" s="6"/>
      <c r="Y459" s="6"/>
      <c r="Z459" s="6"/>
    </row>
    <row r="460" spans="1:26">
      <c r="A460" s="90"/>
      <c r="C460" s="90"/>
      <c r="E460" s="90"/>
      <c r="K460" s="90"/>
      <c r="P460" s="90"/>
      <c r="Q460" s="90"/>
      <c r="R460" s="90"/>
      <c r="W460" s="6"/>
      <c r="X460" s="6"/>
      <c r="Y460" s="6"/>
      <c r="Z460" s="6"/>
    </row>
    <row r="461" spans="1:26">
      <c r="A461" s="90"/>
      <c r="C461" s="90"/>
      <c r="E461" s="90"/>
      <c r="K461" s="90"/>
      <c r="P461" s="90"/>
      <c r="Q461" s="90"/>
      <c r="R461" s="90"/>
      <c r="W461" s="6"/>
      <c r="X461" s="6"/>
      <c r="Y461" s="6"/>
      <c r="Z461" s="6"/>
    </row>
    <row r="462" spans="1:26">
      <c r="A462" s="90"/>
      <c r="C462" s="90"/>
      <c r="E462" s="90"/>
      <c r="K462" s="90"/>
      <c r="P462" s="90"/>
      <c r="Q462" s="90"/>
      <c r="R462" s="90"/>
      <c r="W462" s="6"/>
      <c r="X462" s="6"/>
      <c r="Y462" s="6"/>
      <c r="Z462" s="6"/>
    </row>
    <row r="463" spans="1:26">
      <c r="A463" s="90"/>
      <c r="C463" s="90"/>
      <c r="E463" s="90"/>
      <c r="K463" s="90"/>
      <c r="P463" s="90"/>
      <c r="Q463" s="90"/>
      <c r="R463" s="90"/>
      <c r="W463" s="6"/>
      <c r="X463" s="6"/>
      <c r="Y463" s="6"/>
      <c r="Z463" s="6"/>
    </row>
    <row r="464" spans="1:26">
      <c r="A464" s="90"/>
      <c r="C464" s="90"/>
      <c r="E464" s="90"/>
      <c r="K464" s="90"/>
      <c r="P464" s="90"/>
      <c r="Q464" s="90"/>
      <c r="R464" s="90"/>
      <c r="W464" s="6"/>
      <c r="X464" s="6"/>
      <c r="Y464" s="6"/>
      <c r="Z464" s="6"/>
    </row>
    <row r="465" spans="1:26">
      <c r="A465" s="90"/>
      <c r="C465" s="90"/>
      <c r="E465" s="90"/>
      <c r="K465" s="90"/>
      <c r="P465" s="90"/>
      <c r="Q465" s="90"/>
      <c r="R465" s="90"/>
      <c r="W465" s="6"/>
      <c r="X465" s="6"/>
      <c r="Y465" s="6"/>
      <c r="Z465" s="6"/>
    </row>
    <row r="466" spans="1:26">
      <c r="A466" s="90"/>
      <c r="C466" s="90"/>
      <c r="E466" s="90"/>
      <c r="K466" s="90"/>
      <c r="P466" s="90"/>
      <c r="Q466" s="90"/>
      <c r="R466" s="90"/>
      <c r="W466" s="6"/>
      <c r="X466" s="6"/>
      <c r="Y466" s="6"/>
      <c r="Z466" s="6"/>
    </row>
    <row r="467" spans="1:26">
      <c r="A467" s="90"/>
      <c r="C467" s="90"/>
      <c r="E467" s="90"/>
      <c r="K467" s="90"/>
      <c r="P467" s="90"/>
      <c r="Q467" s="90"/>
      <c r="R467" s="90"/>
      <c r="W467" s="6"/>
      <c r="X467" s="6"/>
      <c r="Y467" s="6"/>
      <c r="Z467" s="6"/>
    </row>
    <row r="468" spans="1:26">
      <c r="A468" s="90"/>
      <c r="C468" s="90"/>
      <c r="E468" s="90"/>
      <c r="K468" s="90"/>
      <c r="P468" s="90"/>
      <c r="Q468" s="90"/>
      <c r="R468" s="90"/>
      <c r="W468" s="6"/>
      <c r="X468" s="6"/>
      <c r="Y468" s="6"/>
      <c r="Z468" s="6"/>
    </row>
    <row r="469" spans="1:26">
      <c r="A469" s="90"/>
      <c r="C469" s="90"/>
      <c r="E469" s="90"/>
      <c r="K469" s="90"/>
      <c r="P469" s="90"/>
      <c r="Q469" s="90"/>
      <c r="R469" s="90"/>
      <c r="W469" s="6"/>
      <c r="X469" s="6"/>
      <c r="Y469" s="6"/>
      <c r="Z469" s="6"/>
    </row>
    <row r="470" spans="1:26">
      <c r="A470" s="90"/>
      <c r="C470" s="90"/>
      <c r="E470" s="90"/>
      <c r="K470" s="90"/>
      <c r="P470" s="90"/>
      <c r="Q470" s="90"/>
      <c r="R470" s="90"/>
      <c r="W470" s="6"/>
      <c r="X470" s="6"/>
      <c r="Y470" s="6"/>
      <c r="Z470" s="6"/>
    </row>
    <row r="471" spans="1:26">
      <c r="A471" s="90"/>
      <c r="C471" s="90"/>
      <c r="E471" s="90"/>
      <c r="K471" s="90"/>
      <c r="P471" s="90"/>
      <c r="Q471" s="90"/>
      <c r="R471" s="90"/>
      <c r="W471" s="6"/>
      <c r="X471" s="6"/>
      <c r="Y471" s="6"/>
      <c r="Z471" s="6"/>
    </row>
    <row r="472" spans="1:26">
      <c r="A472" s="90"/>
      <c r="C472" s="90"/>
      <c r="E472" s="90"/>
      <c r="K472" s="90"/>
      <c r="P472" s="90"/>
      <c r="Q472" s="90"/>
      <c r="R472" s="90"/>
      <c r="W472" s="6"/>
      <c r="X472" s="6"/>
      <c r="Y472" s="6"/>
      <c r="Z472" s="6"/>
    </row>
    <row r="473" spans="1:26">
      <c r="A473" s="90"/>
      <c r="C473" s="90"/>
      <c r="E473" s="90"/>
      <c r="K473" s="90"/>
      <c r="P473" s="90"/>
      <c r="Q473" s="90"/>
      <c r="R473" s="90"/>
      <c r="W473" s="6"/>
      <c r="X473" s="6"/>
      <c r="Y473" s="6"/>
      <c r="Z473" s="6"/>
    </row>
    <row r="474" spans="1:26">
      <c r="A474" s="90"/>
      <c r="C474" s="90"/>
      <c r="E474" s="90"/>
      <c r="K474" s="90"/>
      <c r="P474" s="90"/>
      <c r="Q474" s="90"/>
      <c r="R474" s="90"/>
      <c r="W474" s="6"/>
      <c r="X474" s="6"/>
      <c r="Y474" s="6"/>
      <c r="Z474" s="6"/>
    </row>
    <row r="475" spans="1:26">
      <c r="A475" s="90"/>
      <c r="C475" s="90"/>
      <c r="E475" s="90"/>
      <c r="K475" s="90"/>
      <c r="P475" s="90"/>
      <c r="Q475" s="90"/>
      <c r="R475" s="90"/>
      <c r="W475" s="6"/>
      <c r="X475" s="6"/>
      <c r="Y475" s="6"/>
      <c r="Z475" s="6"/>
    </row>
    <row r="476" spans="1:26">
      <c r="A476" s="90"/>
      <c r="C476" s="90"/>
      <c r="E476" s="90"/>
      <c r="K476" s="90"/>
      <c r="P476" s="90"/>
      <c r="Q476" s="90"/>
      <c r="R476" s="90"/>
      <c r="W476" s="6"/>
      <c r="X476" s="6"/>
      <c r="Y476" s="6"/>
      <c r="Z476" s="6"/>
    </row>
    <row r="477" spans="1:26">
      <c r="A477" s="90"/>
      <c r="C477" s="90"/>
      <c r="E477" s="90"/>
      <c r="K477" s="90"/>
      <c r="P477" s="90"/>
      <c r="Q477" s="90"/>
      <c r="R477" s="90"/>
      <c r="W477" s="6"/>
      <c r="X477" s="6"/>
      <c r="Y477" s="6"/>
      <c r="Z477" s="6"/>
    </row>
    <row r="478" spans="1:26">
      <c r="A478" s="90"/>
      <c r="C478" s="90"/>
      <c r="E478" s="90"/>
      <c r="K478" s="90"/>
      <c r="P478" s="90"/>
      <c r="Q478" s="90"/>
      <c r="R478" s="90"/>
      <c r="W478" s="6"/>
      <c r="X478" s="6"/>
      <c r="Y478" s="6"/>
      <c r="Z478" s="6"/>
    </row>
    <row r="479" spans="1:26">
      <c r="A479" s="90"/>
      <c r="C479" s="90"/>
      <c r="E479" s="90"/>
      <c r="K479" s="90"/>
      <c r="P479" s="90"/>
      <c r="Q479" s="90"/>
      <c r="R479" s="90"/>
      <c r="W479" s="6"/>
      <c r="X479" s="6"/>
      <c r="Y479" s="6"/>
      <c r="Z479" s="6"/>
    </row>
    <row r="480" spans="1:26">
      <c r="A480" s="90"/>
      <c r="C480" s="90"/>
      <c r="E480" s="90"/>
      <c r="K480" s="90"/>
      <c r="P480" s="90"/>
      <c r="Q480" s="90"/>
      <c r="R480" s="90"/>
      <c r="W480" s="6"/>
      <c r="X480" s="6"/>
      <c r="Y480" s="6"/>
      <c r="Z480" s="6"/>
    </row>
    <row r="481" spans="1:26">
      <c r="A481" s="90"/>
      <c r="C481" s="90"/>
      <c r="E481" s="90"/>
      <c r="K481" s="90"/>
      <c r="P481" s="90"/>
      <c r="Q481" s="90"/>
      <c r="R481" s="90"/>
      <c r="W481" s="6"/>
      <c r="X481" s="6"/>
      <c r="Y481" s="6"/>
      <c r="Z481" s="6"/>
    </row>
    <row r="482" spans="1:26">
      <c r="A482" s="90"/>
      <c r="C482" s="90"/>
      <c r="E482" s="90"/>
      <c r="K482" s="90"/>
      <c r="P482" s="90"/>
      <c r="Q482" s="90"/>
      <c r="R482" s="90"/>
      <c r="W482" s="6"/>
      <c r="X482" s="6"/>
      <c r="Y482" s="6"/>
      <c r="Z482" s="6"/>
    </row>
    <row r="483" spans="1:26">
      <c r="A483" s="90"/>
      <c r="C483" s="90"/>
      <c r="E483" s="90"/>
      <c r="K483" s="90"/>
      <c r="P483" s="90"/>
      <c r="Q483" s="90"/>
      <c r="R483" s="90"/>
      <c r="W483" s="6"/>
      <c r="X483" s="6"/>
      <c r="Y483" s="6"/>
      <c r="Z483" s="6"/>
    </row>
    <row r="484" spans="1:26">
      <c r="A484" s="90"/>
      <c r="C484" s="90"/>
      <c r="E484" s="90"/>
      <c r="K484" s="90"/>
      <c r="P484" s="90"/>
      <c r="Q484" s="90"/>
      <c r="R484" s="90"/>
      <c r="W484" s="6"/>
      <c r="X484" s="6"/>
      <c r="Y484" s="6"/>
      <c r="Z484" s="6"/>
    </row>
    <row r="485" spans="1:26">
      <c r="A485" s="90"/>
      <c r="C485" s="90"/>
      <c r="E485" s="90"/>
      <c r="K485" s="90"/>
      <c r="P485" s="90"/>
      <c r="Q485" s="90"/>
      <c r="R485" s="90"/>
      <c r="W485" s="6"/>
      <c r="X485" s="6"/>
      <c r="Y485" s="6"/>
      <c r="Z485" s="6"/>
    </row>
    <row r="486" spans="1:26">
      <c r="A486" s="90"/>
      <c r="C486" s="90"/>
      <c r="E486" s="90"/>
      <c r="K486" s="90"/>
      <c r="P486" s="90"/>
      <c r="Q486" s="90"/>
      <c r="R486" s="90"/>
      <c r="W486" s="6"/>
      <c r="X486" s="6"/>
      <c r="Y486" s="6"/>
      <c r="Z486" s="6"/>
    </row>
    <row r="487" spans="1:26">
      <c r="A487" s="90"/>
      <c r="C487" s="90"/>
      <c r="E487" s="90"/>
      <c r="K487" s="90"/>
      <c r="P487" s="90"/>
      <c r="Q487" s="90"/>
      <c r="R487" s="90"/>
      <c r="W487" s="6"/>
      <c r="X487" s="6"/>
      <c r="Y487" s="6"/>
      <c r="Z487" s="6"/>
    </row>
    <row r="488" spans="1:26">
      <c r="A488" s="90"/>
      <c r="C488" s="90"/>
      <c r="E488" s="90"/>
      <c r="K488" s="90"/>
      <c r="P488" s="90"/>
      <c r="Q488" s="90"/>
      <c r="R488" s="90"/>
      <c r="W488" s="6"/>
      <c r="X488" s="6"/>
      <c r="Y488" s="6"/>
      <c r="Z488" s="6"/>
    </row>
    <row r="489" spans="1:26">
      <c r="A489" s="90"/>
      <c r="C489" s="90"/>
      <c r="E489" s="90"/>
      <c r="K489" s="90"/>
      <c r="P489" s="90"/>
      <c r="Q489" s="90"/>
      <c r="R489" s="90"/>
      <c r="W489" s="6"/>
      <c r="X489" s="6"/>
      <c r="Y489" s="6"/>
      <c r="Z489" s="6"/>
    </row>
    <row r="490" spans="1:26">
      <c r="A490" s="90"/>
      <c r="C490" s="90"/>
      <c r="E490" s="90"/>
      <c r="K490" s="90"/>
      <c r="P490" s="90"/>
      <c r="Q490" s="90"/>
      <c r="R490" s="90"/>
      <c r="W490" s="6"/>
      <c r="X490" s="6"/>
      <c r="Y490" s="6"/>
      <c r="Z490" s="6"/>
    </row>
    <row r="491" spans="1:26">
      <c r="A491" s="90"/>
      <c r="C491" s="90"/>
      <c r="E491" s="90"/>
      <c r="K491" s="90"/>
      <c r="P491" s="90"/>
      <c r="Q491" s="90"/>
      <c r="R491" s="90"/>
      <c r="W491" s="6"/>
      <c r="X491" s="6"/>
      <c r="Y491" s="6"/>
      <c r="Z491" s="6"/>
    </row>
    <row r="492" spans="1:26">
      <c r="A492" s="90"/>
      <c r="C492" s="90"/>
      <c r="E492" s="90"/>
      <c r="K492" s="90"/>
      <c r="P492" s="90"/>
      <c r="Q492" s="90"/>
      <c r="R492" s="90"/>
      <c r="W492" s="6"/>
      <c r="X492" s="6"/>
      <c r="Y492" s="6"/>
      <c r="Z492" s="6"/>
    </row>
    <row r="493" spans="1:26">
      <c r="A493" s="90"/>
      <c r="C493" s="90"/>
      <c r="E493" s="90"/>
      <c r="K493" s="90"/>
      <c r="P493" s="90"/>
      <c r="Q493" s="90"/>
      <c r="R493" s="90"/>
      <c r="W493" s="6"/>
      <c r="X493" s="6"/>
      <c r="Y493" s="6"/>
      <c r="Z493" s="6"/>
    </row>
    <row r="494" spans="1:26">
      <c r="A494" s="90"/>
      <c r="C494" s="90"/>
      <c r="E494" s="90"/>
      <c r="K494" s="90"/>
      <c r="P494" s="90"/>
      <c r="Q494" s="90"/>
      <c r="R494" s="90"/>
      <c r="W494" s="6"/>
      <c r="X494" s="6"/>
      <c r="Y494" s="6"/>
      <c r="Z494" s="6"/>
    </row>
    <row r="495" spans="1:26">
      <c r="A495" s="90"/>
      <c r="C495" s="90"/>
      <c r="E495" s="90"/>
      <c r="K495" s="90"/>
      <c r="P495" s="90"/>
      <c r="Q495" s="90"/>
      <c r="R495" s="90"/>
      <c r="W495" s="6"/>
      <c r="X495" s="6"/>
      <c r="Y495" s="6"/>
      <c r="Z495" s="6"/>
    </row>
    <row r="496" spans="1:26">
      <c r="A496" s="90"/>
      <c r="C496" s="90"/>
      <c r="E496" s="90"/>
      <c r="K496" s="90"/>
      <c r="P496" s="90"/>
      <c r="Q496" s="90"/>
      <c r="R496" s="90"/>
      <c r="W496" s="6"/>
      <c r="X496" s="6"/>
      <c r="Y496" s="6"/>
      <c r="Z496" s="6"/>
    </row>
    <row r="497" spans="1:26">
      <c r="A497" s="90"/>
      <c r="C497" s="90"/>
      <c r="E497" s="90"/>
      <c r="K497" s="90"/>
      <c r="P497" s="90"/>
      <c r="Q497" s="90"/>
      <c r="R497" s="90"/>
      <c r="W497" s="6"/>
      <c r="X497" s="6"/>
      <c r="Y497" s="6"/>
      <c r="Z497" s="6"/>
    </row>
    <row r="498" spans="1:26">
      <c r="A498" s="90"/>
      <c r="C498" s="90"/>
      <c r="E498" s="90"/>
      <c r="K498" s="90"/>
      <c r="P498" s="90"/>
      <c r="Q498" s="90"/>
      <c r="R498" s="90"/>
      <c r="W498" s="6"/>
      <c r="X498" s="6"/>
      <c r="Y498" s="6"/>
      <c r="Z498" s="6"/>
    </row>
    <row r="499" spans="1:26">
      <c r="A499" s="90"/>
      <c r="C499" s="90"/>
      <c r="E499" s="90"/>
      <c r="K499" s="90"/>
      <c r="P499" s="90"/>
      <c r="Q499" s="90"/>
      <c r="R499" s="90"/>
      <c r="W499" s="6"/>
      <c r="X499" s="6"/>
      <c r="Y499" s="6"/>
      <c r="Z499" s="6"/>
    </row>
    <row r="500" spans="1:26">
      <c r="A500" s="90"/>
      <c r="C500" s="90"/>
      <c r="E500" s="90"/>
      <c r="K500" s="90"/>
      <c r="P500" s="90"/>
      <c r="Q500" s="90"/>
      <c r="R500" s="90"/>
      <c r="W500" s="6"/>
      <c r="X500" s="6"/>
      <c r="Y500" s="6"/>
      <c r="Z500" s="6"/>
    </row>
    <row r="501" spans="1:26">
      <c r="A501" s="90"/>
      <c r="C501" s="90"/>
      <c r="E501" s="90"/>
      <c r="K501" s="90"/>
      <c r="P501" s="90"/>
      <c r="Q501" s="90"/>
      <c r="R501" s="90"/>
      <c r="W501" s="6"/>
      <c r="X501" s="6"/>
      <c r="Y501" s="6"/>
      <c r="Z501" s="6"/>
    </row>
    <row r="502" spans="1:26">
      <c r="A502" s="90"/>
      <c r="C502" s="90"/>
      <c r="E502" s="90"/>
      <c r="K502" s="90"/>
      <c r="P502" s="90"/>
      <c r="Q502" s="90"/>
      <c r="R502" s="90"/>
      <c r="W502" s="6"/>
      <c r="X502" s="6"/>
      <c r="Y502" s="6"/>
      <c r="Z502" s="6"/>
    </row>
    <row r="503" spans="1:26">
      <c r="A503" s="90"/>
      <c r="C503" s="90"/>
      <c r="E503" s="90"/>
      <c r="K503" s="90"/>
      <c r="P503" s="90"/>
      <c r="Q503" s="90"/>
      <c r="R503" s="90"/>
      <c r="W503" s="6"/>
      <c r="X503" s="6"/>
      <c r="Y503" s="6"/>
      <c r="Z503" s="6"/>
    </row>
    <row r="504" spans="1:26">
      <c r="A504" s="90"/>
      <c r="C504" s="90"/>
      <c r="E504" s="90"/>
      <c r="K504" s="90"/>
      <c r="P504" s="90"/>
      <c r="Q504" s="90"/>
      <c r="R504" s="90"/>
      <c r="W504" s="6"/>
      <c r="X504" s="6"/>
      <c r="Y504" s="6"/>
      <c r="Z504" s="6"/>
    </row>
    <row r="505" spans="1:26">
      <c r="A505" s="90"/>
      <c r="C505" s="90"/>
      <c r="E505" s="90"/>
      <c r="K505" s="90"/>
      <c r="P505" s="90"/>
      <c r="Q505" s="90"/>
      <c r="R505" s="90"/>
      <c r="W505" s="6"/>
      <c r="X505" s="6"/>
      <c r="Y505" s="6"/>
      <c r="Z505" s="6"/>
    </row>
    <row r="506" spans="1:26">
      <c r="A506" s="90"/>
      <c r="C506" s="90"/>
      <c r="E506" s="90"/>
      <c r="K506" s="90"/>
      <c r="P506" s="90"/>
      <c r="Q506" s="90"/>
      <c r="R506" s="90"/>
      <c r="W506" s="6"/>
      <c r="X506" s="6"/>
      <c r="Y506" s="6"/>
      <c r="Z506" s="6"/>
    </row>
    <row r="507" spans="1:26">
      <c r="A507" s="90"/>
      <c r="C507" s="90"/>
      <c r="E507" s="90"/>
      <c r="K507" s="90"/>
      <c r="P507" s="90"/>
      <c r="Q507" s="90"/>
      <c r="R507" s="90"/>
      <c r="W507" s="6"/>
      <c r="X507" s="6"/>
      <c r="Y507" s="6"/>
      <c r="Z507" s="6"/>
    </row>
    <row r="508" spans="1:26">
      <c r="A508" s="90"/>
      <c r="C508" s="90"/>
      <c r="E508" s="90"/>
      <c r="K508" s="90"/>
      <c r="P508" s="90"/>
      <c r="Q508" s="90"/>
      <c r="R508" s="90"/>
      <c r="W508" s="6"/>
      <c r="X508" s="6"/>
      <c r="Y508" s="6"/>
      <c r="Z508" s="6"/>
    </row>
    <row r="509" spans="1:26">
      <c r="A509" s="90"/>
      <c r="C509" s="90"/>
      <c r="E509" s="90"/>
      <c r="K509" s="90"/>
      <c r="P509" s="90"/>
      <c r="Q509" s="90"/>
      <c r="R509" s="90"/>
      <c r="W509" s="6"/>
      <c r="X509" s="6"/>
      <c r="Y509" s="6"/>
      <c r="Z509" s="6"/>
    </row>
    <row r="510" spans="1:26">
      <c r="A510" s="90"/>
      <c r="C510" s="90"/>
      <c r="E510" s="90"/>
      <c r="K510" s="90"/>
      <c r="P510" s="90"/>
      <c r="Q510" s="90"/>
      <c r="R510" s="90"/>
      <c r="W510" s="6"/>
      <c r="X510" s="6"/>
      <c r="Y510" s="6"/>
      <c r="Z510" s="6"/>
    </row>
    <row r="511" spans="1:26">
      <c r="A511" s="90"/>
      <c r="C511" s="90"/>
      <c r="E511" s="90"/>
      <c r="K511" s="90"/>
      <c r="P511" s="90"/>
      <c r="Q511" s="90"/>
      <c r="R511" s="90"/>
      <c r="W511" s="6"/>
      <c r="X511" s="6"/>
      <c r="Y511" s="6"/>
      <c r="Z511" s="6"/>
    </row>
    <row r="512" spans="1:26">
      <c r="A512" s="90"/>
      <c r="C512" s="90"/>
      <c r="E512" s="90"/>
      <c r="K512" s="90"/>
      <c r="P512" s="90"/>
      <c r="Q512" s="90"/>
      <c r="R512" s="90"/>
      <c r="W512" s="6"/>
      <c r="X512" s="6"/>
      <c r="Y512" s="6"/>
      <c r="Z512" s="6"/>
    </row>
    <row r="513" spans="1:26">
      <c r="A513" s="90"/>
      <c r="C513" s="90"/>
      <c r="E513" s="90"/>
      <c r="K513" s="90"/>
      <c r="P513" s="90"/>
      <c r="Q513" s="90"/>
      <c r="R513" s="90"/>
      <c r="W513" s="6"/>
      <c r="X513" s="6"/>
      <c r="Y513" s="6"/>
      <c r="Z513" s="6"/>
    </row>
    <row r="514" spans="1:26">
      <c r="A514" s="90"/>
      <c r="C514" s="90"/>
      <c r="E514" s="90"/>
      <c r="K514" s="90"/>
      <c r="P514" s="90"/>
      <c r="Q514" s="90"/>
      <c r="R514" s="90"/>
      <c r="W514" s="6"/>
      <c r="X514" s="6"/>
      <c r="Y514" s="6"/>
      <c r="Z514" s="6"/>
    </row>
    <row r="515" spans="1:26">
      <c r="A515" s="90"/>
      <c r="C515" s="90"/>
      <c r="E515" s="90"/>
      <c r="K515" s="90"/>
      <c r="P515" s="90"/>
      <c r="Q515" s="90"/>
      <c r="R515" s="90"/>
      <c r="W515" s="6"/>
      <c r="X515" s="6"/>
      <c r="Y515" s="6"/>
      <c r="Z515" s="6"/>
    </row>
    <row r="516" spans="1:26">
      <c r="A516" s="90"/>
      <c r="C516" s="90"/>
      <c r="E516" s="90"/>
      <c r="K516" s="90"/>
      <c r="P516" s="90"/>
      <c r="Q516" s="90"/>
      <c r="R516" s="90"/>
      <c r="W516" s="6"/>
      <c r="X516" s="6"/>
      <c r="Y516" s="6"/>
      <c r="Z516" s="6"/>
    </row>
    <row r="517" spans="1:26">
      <c r="A517" s="90"/>
      <c r="C517" s="90"/>
      <c r="E517" s="90"/>
      <c r="K517" s="90"/>
      <c r="P517" s="90"/>
      <c r="Q517" s="90"/>
      <c r="R517" s="90"/>
      <c r="W517" s="6"/>
      <c r="X517" s="6"/>
      <c r="Y517" s="6"/>
      <c r="Z517" s="6"/>
    </row>
    <row r="518" spans="1:26">
      <c r="A518" s="90"/>
      <c r="C518" s="90"/>
      <c r="E518" s="90"/>
      <c r="K518" s="90"/>
      <c r="P518" s="90"/>
      <c r="Q518" s="90"/>
      <c r="R518" s="90"/>
      <c r="W518" s="6"/>
      <c r="X518" s="6"/>
      <c r="Y518" s="6"/>
      <c r="Z518" s="6"/>
    </row>
    <row r="519" spans="1:26">
      <c r="A519" s="90"/>
      <c r="C519" s="90"/>
      <c r="E519" s="90"/>
      <c r="K519" s="90"/>
      <c r="P519" s="90"/>
      <c r="Q519" s="90"/>
      <c r="R519" s="90"/>
      <c r="W519" s="6"/>
      <c r="X519" s="6"/>
      <c r="Y519" s="6"/>
      <c r="Z519" s="6"/>
    </row>
    <row r="520" spans="1:26">
      <c r="A520" s="90"/>
      <c r="C520" s="90"/>
      <c r="E520" s="90"/>
      <c r="K520" s="90"/>
      <c r="P520" s="90"/>
      <c r="Q520" s="90"/>
      <c r="R520" s="90"/>
      <c r="W520" s="6"/>
      <c r="X520" s="6"/>
      <c r="Y520" s="6"/>
      <c r="Z520" s="6"/>
    </row>
    <row r="521" spans="1:26">
      <c r="A521" s="90"/>
      <c r="C521" s="90"/>
      <c r="E521" s="90"/>
      <c r="K521" s="90"/>
      <c r="P521" s="90"/>
      <c r="Q521" s="90"/>
      <c r="R521" s="90"/>
      <c r="W521" s="6"/>
      <c r="X521" s="6"/>
      <c r="Y521" s="6"/>
      <c r="Z521" s="6"/>
    </row>
    <row r="522" spans="1:26">
      <c r="A522" s="90"/>
      <c r="C522" s="90"/>
      <c r="E522" s="90"/>
      <c r="K522" s="90"/>
      <c r="P522" s="90"/>
      <c r="Q522" s="90"/>
      <c r="R522" s="90"/>
      <c r="W522" s="6"/>
      <c r="X522" s="6"/>
      <c r="Y522" s="6"/>
      <c r="Z522" s="6"/>
    </row>
    <row r="523" spans="1:26">
      <c r="A523" s="90"/>
      <c r="C523" s="90"/>
      <c r="E523" s="90"/>
      <c r="K523" s="90"/>
      <c r="P523" s="90"/>
      <c r="Q523" s="90"/>
      <c r="R523" s="90"/>
      <c r="W523" s="6"/>
      <c r="X523" s="6"/>
      <c r="Y523" s="6"/>
      <c r="Z523" s="6"/>
    </row>
    <row r="524" spans="1:26">
      <c r="A524" s="90"/>
      <c r="C524" s="90"/>
      <c r="E524" s="90"/>
      <c r="K524" s="90"/>
      <c r="P524" s="90"/>
      <c r="Q524" s="90"/>
      <c r="R524" s="90"/>
      <c r="W524" s="6"/>
      <c r="X524" s="6"/>
      <c r="Y524" s="6"/>
      <c r="Z524" s="6"/>
    </row>
    <row r="525" spans="1:26">
      <c r="A525" s="90"/>
      <c r="C525" s="90"/>
      <c r="E525" s="90"/>
      <c r="K525" s="90"/>
      <c r="P525" s="90"/>
      <c r="Q525" s="90"/>
      <c r="R525" s="90"/>
      <c r="W525" s="6"/>
      <c r="X525" s="6"/>
      <c r="Y525" s="6"/>
      <c r="Z525" s="6"/>
    </row>
    <row r="526" spans="1:26">
      <c r="A526" s="90"/>
      <c r="C526" s="90"/>
      <c r="E526" s="90"/>
      <c r="K526" s="90"/>
      <c r="P526" s="90"/>
      <c r="Q526" s="90"/>
      <c r="R526" s="90"/>
      <c r="W526" s="6"/>
      <c r="X526" s="6"/>
      <c r="Y526" s="6"/>
      <c r="Z526" s="6"/>
    </row>
    <row r="527" spans="1:26">
      <c r="A527" s="90"/>
      <c r="C527" s="90"/>
      <c r="E527" s="90"/>
      <c r="K527" s="90"/>
      <c r="P527" s="90"/>
      <c r="Q527" s="90"/>
      <c r="R527" s="90"/>
      <c r="W527" s="6"/>
      <c r="X527" s="6"/>
      <c r="Y527" s="6"/>
      <c r="Z527" s="6"/>
    </row>
    <row r="528" spans="1:26">
      <c r="A528" s="90"/>
      <c r="C528" s="90"/>
      <c r="E528" s="90"/>
      <c r="K528" s="90"/>
      <c r="P528" s="90"/>
      <c r="Q528" s="90"/>
      <c r="R528" s="90"/>
      <c r="W528" s="6"/>
      <c r="X528" s="6"/>
      <c r="Y528" s="6"/>
      <c r="Z528" s="6"/>
    </row>
    <row r="529" spans="1:26">
      <c r="A529" s="90"/>
      <c r="C529" s="90"/>
      <c r="E529" s="90"/>
      <c r="K529" s="90"/>
      <c r="P529" s="90"/>
      <c r="Q529" s="90"/>
      <c r="R529" s="90"/>
      <c r="W529" s="6"/>
      <c r="X529" s="6"/>
      <c r="Y529" s="6"/>
      <c r="Z529" s="6"/>
    </row>
    <row r="530" spans="1:26">
      <c r="A530" s="90"/>
      <c r="C530" s="90"/>
      <c r="E530" s="90"/>
      <c r="K530" s="90"/>
      <c r="P530" s="90"/>
      <c r="Q530" s="90"/>
      <c r="R530" s="90"/>
      <c r="W530" s="6"/>
      <c r="X530" s="6"/>
      <c r="Y530" s="6"/>
      <c r="Z530" s="6"/>
    </row>
    <row r="531" spans="1:26">
      <c r="A531" s="90"/>
      <c r="C531" s="90"/>
      <c r="E531" s="90"/>
      <c r="K531" s="90"/>
      <c r="P531" s="90"/>
      <c r="Q531" s="90"/>
      <c r="R531" s="90"/>
      <c r="W531" s="6"/>
      <c r="X531" s="6"/>
      <c r="Y531" s="6"/>
      <c r="Z531" s="6"/>
    </row>
    <row r="532" spans="1:26">
      <c r="A532" s="90"/>
      <c r="C532" s="90"/>
      <c r="E532" s="90"/>
      <c r="K532" s="90"/>
      <c r="P532" s="90"/>
      <c r="Q532" s="90"/>
      <c r="R532" s="90"/>
      <c r="W532" s="6"/>
      <c r="X532" s="6"/>
      <c r="Y532" s="6"/>
      <c r="Z532" s="6"/>
    </row>
    <row r="533" spans="1:26">
      <c r="A533" s="90"/>
      <c r="C533" s="90"/>
      <c r="E533" s="90"/>
      <c r="K533" s="90"/>
      <c r="P533" s="90"/>
      <c r="Q533" s="90"/>
      <c r="R533" s="90"/>
      <c r="W533" s="6"/>
      <c r="X533" s="6"/>
      <c r="Y533" s="6"/>
      <c r="Z533" s="6"/>
    </row>
    <row r="534" spans="1:26">
      <c r="A534" s="90"/>
      <c r="C534" s="90"/>
      <c r="E534" s="90"/>
      <c r="K534" s="90"/>
      <c r="P534" s="90"/>
      <c r="Q534" s="90"/>
      <c r="R534" s="90"/>
      <c r="W534" s="6"/>
      <c r="X534" s="6"/>
      <c r="Y534" s="6"/>
      <c r="Z534" s="6"/>
    </row>
    <row r="535" spans="1:26">
      <c r="A535" s="90"/>
      <c r="C535" s="90"/>
      <c r="E535" s="90"/>
      <c r="K535" s="90"/>
      <c r="P535" s="90"/>
      <c r="Q535" s="90"/>
      <c r="R535" s="90"/>
      <c r="W535" s="6"/>
      <c r="X535" s="6"/>
      <c r="Y535" s="6"/>
      <c r="Z535" s="6"/>
    </row>
    <row r="536" spans="1:26">
      <c r="A536" s="90"/>
      <c r="C536" s="90"/>
      <c r="E536" s="90"/>
      <c r="K536" s="90"/>
      <c r="P536" s="90"/>
      <c r="Q536" s="90"/>
      <c r="R536" s="90"/>
      <c r="W536" s="6"/>
      <c r="X536" s="6"/>
      <c r="Y536" s="6"/>
      <c r="Z536" s="6"/>
    </row>
    <row r="537" spans="1:26">
      <c r="A537" s="90"/>
      <c r="C537" s="90"/>
      <c r="E537" s="90"/>
      <c r="K537" s="90"/>
      <c r="P537" s="90"/>
      <c r="Q537" s="90"/>
      <c r="R537" s="90"/>
      <c r="W537" s="6"/>
      <c r="X537" s="6"/>
      <c r="Y537" s="6"/>
      <c r="Z537" s="6"/>
    </row>
    <row r="538" spans="1:26">
      <c r="A538" s="90"/>
      <c r="C538" s="90"/>
      <c r="E538" s="90"/>
      <c r="K538" s="90"/>
      <c r="P538" s="90"/>
      <c r="Q538" s="90"/>
      <c r="R538" s="90"/>
      <c r="W538" s="6"/>
      <c r="X538" s="6"/>
      <c r="Y538" s="6"/>
      <c r="Z538" s="6"/>
    </row>
    <row r="539" spans="1:26">
      <c r="A539" s="90"/>
      <c r="C539" s="90"/>
      <c r="E539" s="90"/>
      <c r="K539" s="90"/>
      <c r="P539" s="90"/>
      <c r="Q539" s="90"/>
      <c r="R539" s="90"/>
      <c r="W539" s="6"/>
      <c r="X539" s="6"/>
      <c r="Y539" s="6"/>
      <c r="Z539" s="6"/>
    </row>
    <row r="540" spans="1:26">
      <c r="A540" s="90"/>
      <c r="C540" s="90"/>
      <c r="E540" s="90"/>
      <c r="K540" s="90"/>
      <c r="P540" s="90"/>
      <c r="Q540" s="90"/>
      <c r="R540" s="90"/>
      <c r="W540" s="6"/>
      <c r="X540" s="6"/>
      <c r="Y540" s="6"/>
      <c r="Z540" s="6"/>
    </row>
    <row r="541" spans="1:26">
      <c r="A541" s="90"/>
      <c r="C541" s="90"/>
      <c r="E541" s="90"/>
      <c r="K541" s="90"/>
      <c r="P541" s="90"/>
      <c r="Q541" s="90"/>
      <c r="R541" s="90"/>
      <c r="W541" s="6"/>
      <c r="X541" s="6"/>
      <c r="Y541" s="6"/>
      <c r="Z541" s="6"/>
    </row>
    <row r="542" spans="1:26">
      <c r="A542" s="90"/>
      <c r="C542" s="90"/>
      <c r="E542" s="90"/>
      <c r="K542" s="90"/>
      <c r="P542" s="90"/>
      <c r="Q542" s="90"/>
      <c r="R542" s="90"/>
      <c r="W542" s="6"/>
      <c r="X542" s="6"/>
      <c r="Y542" s="6"/>
      <c r="Z542" s="6"/>
    </row>
    <row r="543" spans="1:26">
      <c r="A543" s="90"/>
      <c r="C543" s="90"/>
      <c r="E543" s="90"/>
      <c r="K543" s="90"/>
      <c r="P543" s="90"/>
      <c r="Q543" s="90"/>
      <c r="R543" s="90"/>
      <c r="W543" s="6"/>
      <c r="X543" s="6"/>
      <c r="Y543" s="6"/>
      <c r="Z543" s="6"/>
    </row>
    <row r="544" spans="1:26">
      <c r="A544" s="90"/>
      <c r="C544" s="90"/>
      <c r="E544" s="90"/>
      <c r="K544" s="90"/>
      <c r="P544" s="90"/>
      <c r="Q544" s="90"/>
      <c r="R544" s="90"/>
      <c r="W544" s="6"/>
      <c r="X544" s="6"/>
      <c r="Y544" s="6"/>
      <c r="Z544" s="6"/>
    </row>
    <row r="545" spans="1:26">
      <c r="A545" s="90"/>
      <c r="C545" s="90"/>
      <c r="E545" s="90"/>
      <c r="K545" s="90"/>
      <c r="P545" s="90"/>
      <c r="Q545" s="90"/>
      <c r="R545" s="90"/>
      <c r="W545" s="6"/>
      <c r="X545" s="6"/>
      <c r="Y545" s="6"/>
      <c r="Z545" s="6"/>
    </row>
    <row r="546" spans="1:26">
      <c r="A546" s="90"/>
      <c r="C546" s="90"/>
      <c r="E546" s="90"/>
      <c r="K546" s="90"/>
      <c r="P546" s="90"/>
      <c r="Q546" s="90"/>
      <c r="R546" s="90"/>
      <c r="W546" s="6"/>
      <c r="X546" s="6"/>
      <c r="Y546" s="6"/>
      <c r="Z546" s="6"/>
    </row>
    <row r="547" spans="1:26">
      <c r="A547" s="90"/>
      <c r="C547" s="90"/>
      <c r="E547" s="90"/>
      <c r="K547" s="90"/>
      <c r="P547" s="90"/>
      <c r="Q547" s="90"/>
      <c r="R547" s="90"/>
      <c r="W547" s="6"/>
      <c r="X547" s="6"/>
      <c r="Y547" s="6"/>
      <c r="Z547" s="6"/>
    </row>
    <row r="548" spans="1:26">
      <c r="A548" s="90"/>
      <c r="C548" s="90"/>
      <c r="E548" s="90"/>
      <c r="K548" s="90"/>
      <c r="P548" s="90"/>
      <c r="Q548" s="90"/>
      <c r="R548" s="90"/>
      <c r="W548" s="6"/>
      <c r="X548" s="6"/>
      <c r="Y548" s="6"/>
      <c r="Z548" s="6"/>
    </row>
    <row r="549" spans="1:26">
      <c r="A549" s="90"/>
      <c r="C549" s="90"/>
      <c r="E549" s="90"/>
      <c r="K549" s="90"/>
      <c r="P549" s="90"/>
      <c r="Q549" s="90"/>
      <c r="R549" s="90"/>
      <c r="W549" s="6"/>
      <c r="X549" s="6"/>
      <c r="Y549" s="6"/>
      <c r="Z549" s="6"/>
    </row>
    <row r="550" spans="1:26">
      <c r="A550" s="90"/>
      <c r="C550" s="90"/>
      <c r="E550" s="90"/>
      <c r="K550" s="90"/>
      <c r="P550" s="90"/>
      <c r="Q550" s="90"/>
      <c r="R550" s="90"/>
      <c r="W550" s="6"/>
      <c r="X550" s="6"/>
      <c r="Y550" s="6"/>
      <c r="Z550" s="6"/>
    </row>
    <row r="551" spans="1:26">
      <c r="A551" s="90"/>
      <c r="C551" s="90"/>
      <c r="E551" s="90"/>
      <c r="K551" s="90"/>
      <c r="P551" s="90"/>
      <c r="Q551" s="90"/>
      <c r="R551" s="90"/>
      <c r="W551" s="6"/>
      <c r="X551" s="6"/>
      <c r="Y551" s="6"/>
      <c r="Z551" s="6"/>
    </row>
    <row r="552" spans="1:26">
      <c r="A552" s="90"/>
      <c r="C552" s="90"/>
      <c r="E552" s="90"/>
      <c r="K552" s="90"/>
      <c r="P552" s="90"/>
      <c r="Q552" s="90"/>
      <c r="R552" s="90"/>
      <c r="W552" s="6"/>
      <c r="X552" s="6"/>
      <c r="Y552" s="6"/>
      <c r="Z552" s="6"/>
    </row>
    <row r="553" spans="1:26">
      <c r="A553" s="90"/>
      <c r="C553" s="90"/>
      <c r="E553" s="90"/>
      <c r="K553" s="90"/>
      <c r="P553" s="90"/>
      <c r="Q553" s="90"/>
      <c r="R553" s="90"/>
      <c r="W553" s="6"/>
      <c r="X553" s="6"/>
      <c r="Y553" s="6"/>
      <c r="Z553" s="6"/>
    </row>
    <row r="554" spans="1:26">
      <c r="A554" s="90"/>
      <c r="C554" s="90"/>
      <c r="E554" s="90"/>
      <c r="K554" s="90"/>
      <c r="P554" s="90"/>
      <c r="Q554" s="90"/>
      <c r="R554" s="90"/>
      <c r="W554" s="6"/>
      <c r="X554" s="6"/>
      <c r="Y554" s="6"/>
      <c r="Z554" s="6"/>
    </row>
    <row r="555" spans="1:26">
      <c r="A555" s="90"/>
      <c r="C555" s="90"/>
      <c r="E555" s="90"/>
      <c r="K555" s="90"/>
      <c r="P555" s="90"/>
      <c r="Q555" s="90"/>
      <c r="R555" s="90"/>
      <c r="W555" s="6"/>
      <c r="X555" s="6"/>
      <c r="Y555" s="6"/>
      <c r="Z555" s="6"/>
    </row>
    <row r="556" spans="1:26">
      <c r="A556" s="90"/>
      <c r="C556" s="90"/>
      <c r="E556" s="90"/>
      <c r="K556" s="90"/>
      <c r="P556" s="90"/>
      <c r="Q556" s="90"/>
      <c r="R556" s="90"/>
      <c r="W556" s="6"/>
      <c r="X556" s="6"/>
      <c r="Y556" s="6"/>
      <c r="Z556" s="6"/>
    </row>
    <row r="557" spans="1:26">
      <c r="A557" s="90"/>
      <c r="C557" s="90"/>
      <c r="E557" s="90"/>
      <c r="K557" s="90"/>
      <c r="P557" s="90"/>
      <c r="Q557" s="90"/>
      <c r="R557" s="90"/>
      <c r="W557" s="6"/>
      <c r="X557" s="6"/>
      <c r="Y557" s="6"/>
      <c r="Z557" s="6"/>
    </row>
    <row r="558" spans="1:26">
      <c r="A558" s="90"/>
      <c r="C558" s="90"/>
      <c r="E558" s="90"/>
      <c r="K558" s="90"/>
      <c r="P558" s="90"/>
      <c r="Q558" s="90"/>
      <c r="R558" s="90"/>
      <c r="W558" s="6"/>
      <c r="X558" s="6"/>
      <c r="Y558" s="6"/>
      <c r="Z558" s="6"/>
    </row>
    <row r="559" spans="1:26">
      <c r="A559" s="90"/>
      <c r="C559" s="90"/>
      <c r="E559" s="90"/>
      <c r="K559" s="90"/>
      <c r="P559" s="90"/>
      <c r="Q559" s="90"/>
      <c r="R559" s="90"/>
      <c r="W559" s="6"/>
      <c r="X559" s="6"/>
      <c r="Y559" s="6"/>
      <c r="Z559" s="6"/>
    </row>
    <row r="560" spans="1:26">
      <c r="A560" s="90"/>
      <c r="C560" s="90"/>
      <c r="E560" s="90"/>
      <c r="K560" s="90"/>
      <c r="P560" s="90"/>
      <c r="Q560" s="90"/>
      <c r="R560" s="90"/>
      <c r="W560" s="6"/>
      <c r="X560" s="6"/>
      <c r="Y560" s="6"/>
      <c r="Z560" s="6"/>
    </row>
    <row r="561" spans="1:26">
      <c r="A561" s="90"/>
      <c r="C561" s="90"/>
      <c r="E561" s="90"/>
      <c r="K561" s="90"/>
      <c r="P561" s="90"/>
      <c r="Q561" s="90"/>
      <c r="R561" s="90"/>
      <c r="W561" s="6"/>
      <c r="X561" s="6"/>
      <c r="Y561" s="6"/>
      <c r="Z561" s="6"/>
    </row>
    <row r="562" spans="1:26">
      <c r="A562" s="90"/>
      <c r="C562" s="90"/>
      <c r="E562" s="90"/>
      <c r="K562" s="90"/>
      <c r="P562" s="90"/>
      <c r="Q562" s="90"/>
      <c r="R562" s="90"/>
      <c r="W562" s="6"/>
      <c r="X562" s="6"/>
      <c r="Y562" s="6"/>
      <c r="Z562" s="6"/>
    </row>
    <row r="563" spans="1:26">
      <c r="A563" s="90"/>
      <c r="C563" s="90"/>
      <c r="E563" s="90"/>
      <c r="K563" s="90"/>
      <c r="P563" s="90"/>
      <c r="Q563" s="90"/>
      <c r="R563" s="90"/>
      <c r="W563" s="6"/>
      <c r="X563" s="6"/>
      <c r="Y563" s="6"/>
      <c r="Z563" s="6"/>
    </row>
    <row r="564" spans="1:26">
      <c r="A564" s="90"/>
      <c r="C564" s="90"/>
      <c r="E564" s="90"/>
      <c r="K564" s="90"/>
      <c r="P564" s="90"/>
      <c r="Q564" s="90"/>
      <c r="R564" s="90"/>
      <c r="W564" s="6"/>
      <c r="X564" s="6"/>
      <c r="Y564" s="6"/>
      <c r="Z564" s="6"/>
    </row>
    <row r="565" spans="1:26">
      <c r="A565" s="90"/>
      <c r="C565" s="90"/>
      <c r="E565" s="90"/>
      <c r="K565" s="90"/>
      <c r="P565" s="90"/>
      <c r="Q565" s="90"/>
      <c r="R565" s="90"/>
      <c r="W565" s="6"/>
      <c r="X565" s="6"/>
      <c r="Y565" s="6"/>
      <c r="Z565" s="6"/>
    </row>
    <row r="566" spans="1:26">
      <c r="A566" s="90"/>
      <c r="C566" s="90"/>
      <c r="E566" s="90"/>
      <c r="K566" s="90"/>
      <c r="P566" s="90"/>
      <c r="Q566" s="90"/>
      <c r="R566" s="90"/>
      <c r="W566" s="6"/>
      <c r="X566" s="6"/>
      <c r="Y566" s="6"/>
      <c r="Z566" s="6"/>
    </row>
    <row r="567" spans="1:26">
      <c r="A567" s="90"/>
      <c r="C567" s="90"/>
      <c r="E567" s="90"/>
      <c r="K567" s="90"/>
      <c r="P567" s="90"/>
      <c r="Q567" s="90"/>
      <c r="R567" s="90"/>
      <c r="W567" s="6"/>
      <c r="X567" s="6"/>
      <c r="Y567" s="6"/>
      <c r="Z567" s="6"/>
    </row>
    <row r="568" spans="1:26">
      <c r="A568" s="90"/>
      <c r="C568" s="90"/>
      <c r="E568" s="90"/>
      <c r="K568" s="90"/>
      <c r="P568" s="90"/>
      <c r="Q568" s="90"/>
      <c r="R568" s="90"/>
      <c r="W568" s="6"/>
      <c r="X568" s="6"/>
      <c r="Y568" s="6"/>
      <c r="Z568" s="6"/>
    </row>
    <row r="569" spans="1:26">
      <c r="A569" s="90"/>
      <c r="C569" s="90"/>
      <c r="E569" s="90"/>
      <c r="K569" s="90"/>
      <c r="P569" s="90"/>
      <c r="Q569" s="90"/>
      <c r="R569" s="90"/>
      <c r="W569" s="6"/>
      <c r="X569" s="6"/>
      <c r="Y569" s="6"/>
      <c r="Z569" s="6"/>
    </row>
    <row r="570" spans="1:26">
      <c r="A570" s="90"/>
      <c r="C570" s="90"/>
      <c r="E570" s="90"/>
      <c r="K570" s="90"/>
      <c r="P570" s="90"/>
      <c r="Q570" s="90"/>
      <c r="R570" s="90"/>
      <c r="W570" s="6"/>
      <c r="X570" s="6"/>
      <c r="Y570" s="6"/>
      <c r="Z570" s="6"/>
    </row>
    <row r="571" spans="1:26">
      <c r="A571" s="90"/>
      <c r="C571" s="90"/>
      <c r="E571" s="90"/>
      <c r="K571" s="90"/>
      <c r="P571" s="90"/>
      <c r="Q571" s="90"/>
      <c r="R571" s="90"/>
      <c r="W571" s="6"/>
      <c r="X571" s="6"/>
      <c r="Y571" s="6"/>
      <c r="Z571" s="6"/>
    </row>
    <row r="572" spans="1:26">
      <c r="A572" s="90"/>
      <c r="C572" s="90"/>
      <c r="E572" s="90"/>
      <c r="K572" s="90"/>
      <c r="P572" s="90"/>
      <c r="Q572" s="90"/>
      <c r="R572" s="90"/>
      <c r="W572" s="6"/>
      <c r="X572" s="6"/>
      <c r="Y572" s="6"/>
      <c r="Z572" s="6"/>
    </row>
    <row r="573" spans="1:26">
      <c r="A573" s="90"/>
      <c r="C573" s="90"/>
      <c r="E573" s="90"/>
      <c r="K573" s="90"/>
      <c r="P573" s="90"/>
      <c r="Q573" s="90"/>
      <c r="R573" s="90"/>
      <c r="W573" s="6"/>
      <c r="X573" s="6"/>
      <c r="Y573" s="6"/>
      <c r="Z573" s="6"/>
    </row>
    <row r="574" spans="1:26">
      <c r="A574" s="90"/>
      <c r="C574" s="90"/>
      <c r="E574" s="90"/>
      <c r="K574" s="90"/>
      <c r="P574" s="90"/>
      <c r="Q574" s="90"/>
      <c r="R574" s="90"/>
      <c r="W574" s="6"/>
      <c r="X574" s="6"/>
      <c r="Y574" s="6"/>
      <c r="Z574" s="6"/>
    </row>
    <row r="575" spans="1:26">
      <c r="A575" s="90"/>
      <c r="C575" s="90"/>
      <c r="E575" s="90"/>
      <c r="K575" s="90"/>
      <c r="P575" s="90"/>
      <c r="Q575" s="90"/>
      <c r="R575" s="90"/>
      <c r="W575" s="6"/>
      <c r="X575" s="6"/>
      <c r="Y575" s="6"/>
      <c r="Z575" s="6"/>
    </row>
    <row r="576" spans="1:26">
      <c r="A576" s="90"/>
      <c r="C576" s="90"/>
      <c r="E576" s="90"/>
      <c r="K576" s="90"/>
      <c r="P576" s="90"/>
      <c r="Q576" s="90"/>
      <c r="R576" s="90"/>
      <c r="W576" s="6"/>
      <c r="X576" s="6"/>
      <c r="Y576" s="6"/>
      <c r="Z576" s="6"/>
    </row>
    <row r="577" spans="1:26">
      <c r="A577" s="90"/>
      <c r="C577" s="90"/>
      <c r="E577" s="90"/>
      <c r="K577" s="90"/>
      <c r="P577" s="90"/>
      <c r="Q577" s="90"/>
      <c r="R577" s="90"/>
      <c r="W577" s="6"/>
      <c r="X577" s="6"/>
      <c r="Y577" s="6"/>
      <c r="Z577" s="6"/>
    </row>
    <row r="578" spans="1:26">
      <c r="A578" s="90"/>
      <c r="C578" s="90"/>
      <c r="E578" s="90"/>
      <c r="K578" s="90"/>
      <c r="P578" s="90"/>
      <c r="Q578" s="90"/>
      <c r="R578" s="90"/>
      <c r="W578" s="6"/>
      <c r="X578" s="6"/>
      <c r="Y578" s="6"/>
      <c r="Z578" s="6"/>
    </row>
    <row r="579" spans="1:26">
      <c r="A579" s="90"/>
      <c r="C579" s="90"/>
      <c r="E579" s="90"/>
      <c r="K579" s="90"/>
      <c r="P579" s="90"/>
      <c r="Q579" s="90"/>
      <c r="R579" s="90"/>
      <c r="W579" s="6"/>
      <c r="X579" s="6"/>
      <c r="Y579" s="6"/>
      <c r="Z579" s="6"/>
    </row>
    <row r="580" spans="1:26">
      <c r="A580" s="90"/>
      <c r="C580" s="90"/>
      <c r="E580" s="90"/>
      <c r="K580" s="90"/>
      <c r="P580" s="90"/>
      <c r="Q580" s="90"/>
      <c r="R580" s="90"/>
      <c r="W580" s="6"/>
      <c r="X580" s="6"/>
      <c r="Y580" s="6"/>
      <c r="Z580" s="6"/>
    </row>
    <row r="581" spans="1:26">
      <c r="A581" s="90"/>
      <c r="C581" s="90"/>
      <c r="E581" s="90"/>
      <c r="K581" s="90"/>
      <c r="P581" s="90"/>
      <c r="Q581" s="90"/>
      <c r="R581" s="90"/>
      <c r="W581" s="6"/>
      <c r="X581" s="6"/>
      <c r="Y581" s="6"/>
      <c r="Z581" s="6"/>
    </row>
    <row r="582" spans="1:26">
      <c r="A582" s="90"/>
      <c r="C582" s="90"/>
      <c r="E582" s="90"/>
      <c r="K582" s="90"/>
      <c r="P582" s="90"/>
      <c r="Q582" s="90"/>
      <c r="R582" s="90"/>
      <c r="W582" s="6"/>
      <c r="X582" s="6"/>
      <c r="Y582" s="6"/>
      <c r="Z582" s="6"/>
    </row>
    <row r="583" spans="1:26">
      <c r="A583" s="90"/>
      <c r="C583" s="90"/>
      <c r="E583" s="90"/>
      <c r="K583" s="90"/>
      <c r="P583" s="90"/>
      <c r="Q583" s="90"/>
      <c r="R583" s="90"/>
      <c r="W583" s="6"/>
      <c r="X583" s="6"/>
      <c r="Y583" s="6"/>
      <c r="Z583" s="6"/>
    </row>
    <row r="584" spans="1:26">
      <c r="A584" s="90"/>
      <c r="C584" s="90"/>
      <c r="E584" s="90"/>
      <c r="K584" s="90"/>
      <c r="P584" s="90"/>
      <c r="Q584" s="90"/>
      <c r="R584" s="90"/>
      <c r="W584" s="6"/>
      <c r="X584" s="6"/>
      <c r="Y584" s="6"/>
      <c r="Z584" s="6"/>
    </row>
    <row r="585" spans="1:26">
      <c r="A585" s="90"/>
      <c r="C585" s="90"/>
      <c r="E585" s="90"/>
      <c r="K585" s="90"/>
      <c r="P585" s="90"/>
      <c r="Q585" s="90"/>
      <c r="R585" s="90"/>
      <c r="W585" s="6"/>
      <c r="X585" s="6"/>
      <c r="Y585" s="6"/>
      <c r="Z585" s="6"/>
    </row>
    <row r="586" spans="1:26">
      <c r="A586" s="90"/>
      <c r="C586" s="90"/>
      <c r="E586" s="90"/>
      <c r="K586" s="90"/>
      <c r="P586" s="90"/>
      <c r="Q586" s="90"/>
      <c r="R586" s="90"/>
      <c r="W586" s="6"/>
      <c r="X586" s="6"/>
      <c r="Y586" s="6"/>
      <c r="Z586" s="6"/>
    </row>
    <row r="587" spans="1:26">
      <c r="A587" s="90"/>
      <c r="C587" s="90"/>
      <c r="E587" s="90"/>
      <c r="K587" s="90"/>
      <c r="P587" s="90"/>
      <c r="Q587" s="90"/>
      <c r="R587" s="90"/>
      <c r="W587" s="6"/>
      <c r="X587" s="6"/>
      <c r="Y587" s="6"/>
      <c r="Z587" s="6"/>
    </row>
    <row r="588" spans="1:26">
      <c r="A588" s="90"/>
      <c r="C588" s="90"/>
      <c r="E588" s="90"/>
      <c r="K588" s="90"/>
      <c r="P588" s="90"/>
      <c r="Q588" s="90"/>
      <c r="R588" s="90"/>
      <c r="W588" s="6"/>
      <c r="X588" s="6"/>
      <c r="Y588" s="6"/>
      <c r="Z588" s="6"/>
    </row>
    <row r="589" spans="1:26">
      <c r="A589" s="90"/>
      <c r="C589" s="90"/>
      <c r="E589" s="90"/>
      <c r="K589" s="90"/>
      <c r="P589" s="90"/>
      <c r="Q589" s="90"/>
      <c r="R589" s="90"/>
      <c r="W589" s="6"/>
      <c r="X589" s="6"/>
      <c r="Y589" s="6"/>
      <c r="Z589" s="6"/>
    </row>
    <row r="590" spans="1:26">
      <c r="A590" s="90"/>
      <c r="C590" s="90"/>
      <c r="E590" s="90"/>
      <c r="K590" s="90"/>
      <c r="P590" s="90"/>
      <c r="Q590" s="90"/>
      <c r="R590" s="90"/>
      <c r="W590" s="6"/>
      <c r="X590" s="6"/>
      <c r="Y590" s="6"/>
      <c r="Z590" s="6"/>
    </row>
    <row r="591" spans="1:26">
      <c r="A591" s="90"/>
      <c r="C591" s="90"/>
      <c r="E591" s="90"/>
      <c r="K591" s="90"/>
      <c r="P591" s="90"/>
      <c r="Q591" s="90"/>
      <c r="R591" s="90"/>
      <c r="W591" s="6"/>
      <c r="X591" s="6"/>
      <c r="Y591" s="6"/>
      <c r="Z591" s="6"/>
    </row>
    <row r="592" spans="1:26">
      <c r="A592" s="90"/>
      <c r="C592" s="90"/>
      <c r="E592" s="90"/>
      <c r="K592" s="90"/>
      <c r="P592" s="90"/>
      <c r="Q592" s="90"/>
      <c r="R592" s="90"/>
      <c r="W592" s="6"/>
      <c r="X592" s="6"/>
      <c r="Y592" s="6"/>
      <c r="Z592" s="6"/>
    </row>
    <row r="593" spans="1:26">
      <c r="A593" s="90"/>
      <c r="C593" s="90"/>
      <c r="E593" s="90"/>
      <c r="K593" s="90"/>
      <c r="P593" s="90"/>
      <c r="Q593" s="90"/>
      <c r="R593" s="90"/>
      <c r="W593" s="6"/>
      <c r="X593" s="6"/>
      <c r="Y593" s="6"/>
      <c r="Z593" s="6"/>
    </row>
    <row r="594" spans="1:26">
      <c r="A594" s="90"/>
      <c r="C594" s="90"/>
      <c r="E594" s="90"/>
      <c r="K594" s="90"/>
      <c r="P594" s="90"/>
      <c r="Q594" s="90"/>
      <c r="R594" s="90"/>
      <c r="W594" s="6"/>
      <c r="X594" s="6"/>
      <c r="Y594" s="6"/>
      <c r="Z594" s="6"/>
    </row>
    <row r="595" spans="1:26">
      <c r="A595" s="90"/>
      <c r="C595" s="90"/>
      <c r="E595" s="90"/>
      <c r="K595" s="90"/>
      <c r="P595" s="90"/>
      <c r="Q595" s="90"/>
      <c r="R595" s="90"/>
      <c r="W595" s="6"/>
      <c r="X595" s="6"/>
      <c r="Y595" s="6"/>
      <c r="Z595" s="6"/>
    </row>
    <row r="596" spans="1:26">
      <c r="A596" s="90"/>
      <c r="C596" s="90"/>
      <c r="E596" s="90"/>
      <c r="K596" s="90"/>
      <c r="P596" s="90"/>
      <c r="Q596" s="90"/>
      <c r="R596" s="90"/>
      <c r="W596" s="6"/>
      <c r="X596" s="6"/>
      <c r="Y596" s="6"/>
      <c r="Z596" s="6"/>
    </row>
    <row r="597" spans="1:26">
      <c r="A597" s="90"/>
      <c r="C597" s="90"/>
      <c r="E597" s="90"/>
      <c r="K597" s="90"/>
      <c r="P597" s="90"/>
      <c r="Q597" s="90"/>
      <c r="R597" s="90"/>
      <c r="W597" s="6"/>
      <c r="X597" s="6"/>
      <c r="Y597" s="6"/>
      <c r="Z597" s="6"/>
    </row>
    <row r="598" spans="1:26">
      <c r="A598" s="90"/>
      <c r="C598" s="90"/>
      <c r="E598" s="90"/>
      <c r="K598" s="90"/>
      <c r="P598" s="90"/>
      <c r="Q598" s="90"/>
      <c r="R598" s="90"/>
      <c r="W598" s="6"/>
      <c r="X598" s="6"/>
      <c r="Y598" s="6"/>
      <c r="Z598" s="6"/>
    </row>
    <row r="599" spans="1:26">
      <c r="A599" s="90"/>
      <c r="C599" s="90"/>
      <c r="E599" s="90"/>
      <c r="K599" s="90"/>
      <c r="P599" s="90"/>
      <c r="Q599" s="90"/>
      <c r="R599" s="90"/>
      <c r="W599" s="6"/>
      <c r="X599" s="6"/>
      <c r="Y599" s="6"/>
      <c r="Z599" s="6"/>
    </row>
    <row r="600" spans="1:26">
      <c r="A600" s="90"/>
      <c r="C600" s="90"/>
      <c r="E600" s="90"/>
      <c r="K600" s="90"/>
      <c r="P600" s="90"/>
      <c r="Q600" s="90"/>
      <c r="R600" s="90"/>
      <c r="W600" s="6"/>
      <c r="X600" s="6"/>
      <c r="Y600" s="6"/>
      <c r="Z600" s="6"/>
    </row>
    <row r="601" spans="1:26">
      <c r="A601" s="90"/>
      <c r="C601" s="90"/>
      <c r="E601" s="90"/>
      <c r="K601" s="90"/>
      <c r="P601" s="90"/>
      <c r="Q601" s="90"/>
      <c r="R601" s="90"/>
      <c r="W601" s="6"/>
      <c r="X601" s="6"/>
      <c r="Y601" s="6"/>
      <c r="Z601" s="6"/>
    </row>
    <row r="602" spans="1:26">
      <c r="A602" s="90"/>
      <c r="C602" s="90"/>
      <c r="E602" s="90"/>
      <c r="K602" s="90"/>
      <c r="P602" s="90"/>
      <c r="Q602" s="90"/>
      <c r="R602" s="90"/>
      <c r="W602" s="6"/>
      <c r="X602" s="6"/>
      <c r="Y602" s="6"/>
      <c r="Z602" s="6"/>
    </row>
    <row r="603" spans="1:26">
      <c r="A603" s="90"/>
      <c r="C603" s="90"/>
      <c r="E603" s="90"/>
      <c r="K603" s="90"/>
      <c r="P603" s="90"/>
      <c r="Q603" s="90"/>
      <c r="R603" s="90"/>
      <c r="W603" s="6"/>
      <c r="X603" s="6"/>
      <c r="Y603" s="6"/>
      <c r="Z603" s="6"/>
    </row>
    <row r="604" spans="1:26">
      <c r="A604" s="90"/>
      <c r="C604" s="90"/>
      <c r="E604" s="90"/>
      <c r="K604" s="90"/>
      <c r="P604" s="90"/>
      <c r="Q604" s="90"/>
      <c r="R604" s="90"/>
      <c r="W604" s="6"/>
      <c r="X604" s="6"/>
      <c r="Y604" s="6"/>
      <c r="Z604" s="6"/>
    </row>
    <row r="605" spans="1:26">
      <c r="A605" s="90"/>
      <c r="C605" s="90"/>
      <c r="E605" s="90"/>
      <c r="K605" s="90"/>
      <c r="P605" s="90"/>
      <c r="Q605" s="90"/>
      <c r="R605" s="90"/>
      <c r="W605" s="6"/>
      <c r="X605" s="6"/>
      <c r="Y605" s="6"/>
      <c r="Z605" s="6"/>
    </row>
    <row r="606" spans="1:26">
      <c r="A606" s="90"/>
      <c r="C606" s="90"/>
      <c r="E606" s="90"/>
      <c r="K606" s="90"/>
      <c r="P606" s="90"/>
      <c r="Q606" s="90"/>
      <c r="R606" s="90"/>
      <c r="W606" s="6"/>
      <c r="X606" s="6"/>
      <c r="Y606" s="6"/>
      <c r="Z606" s="6"/>
    </row>
    <row r="607" spans="1:26">
      <c r="A607" s="90"/>
      <c r="C607" s="90"/>
      <c r="E607" s="90"/>
      <c r="K607" s="90"/>
      <c r="P607" s="90"/>
      <c r="Q607" s="90"/>
      <c r="R607" s="90"/>
      <c r="W607" s="6"/>
      <c r="X607" s="6"/>
      <c r="Y607" s="6"/>
      <c r="Z607" s="6"/>
    </row>
    <row r="608" spans="1:26">
      <c r="A608" s="90"/>
      <c r="C608" s="90"/>
      <c r="E608" s="90"/>
      <c r="K608" s="90"/>
      <c r="P608" s="90"/>
      <c r="Q608" s="90"/>
      <c r="R608" s="90"/>
      <c r="W608" s="6"/>
      <c r="X608" s="6"/>
      <c r="Y608" s="6"/>
      <c r="Z608" s="6"/>
    </row>
    <row r="609" spans="1:26">
      <c r="A609" s="90"/>
      <c r="C609" s="90"/>
      <c r="E609" s="90"/>
      <c r="K609" s="90"/>
      <c r="P609" s="90"/>
      <c r="Q609" s="90"/>
      <c r="R609" s="90"/>
      <c r="W609" s="6"/>
      <c r="X609" s="6"/>
      <c r="Y609" s="6"/>
      <c r="Z609" s="6"/>
    </row>
    <row r="610" spans="1:26">
      <c r="A610" s="90"/>
      <c r="C610" s="90"/>
      <c r="E610" s="90"/>
      <c r="K610" s="90"/>
      <c r="P610" s="90"/>
      <c r="Q610" s="90"/>
      <c r="R610" s="90"/>
      <c r="W610" s="6"/>
      <c r="X610" s="6"/>
      <c r="Y610" s="6"/>
      <c r="Z610" s="6"/>
    </row>
    <row r="611" spans="1:26">
      <c r="A611" s="90"/>
      <c r="C611" s="90"/>
      <c r="E611" s="90"/>
      <c r="K611" s="90"/>
      <c r="P611" s="90"/>
      <c r="Q611" s="90"/>
      <c r="R611" s="90"/>
      <c r="W611" s="6"/>
      <c r="X611" s="6"/>
      <c r="Y611" s="6"/>
      <c r="Z611" s="6"/>
    </row>
    <row r="612" spans="1:26">
      <c r="A612" s="90"/>
      <c r="C612" s="90"/>
      <c r="E612" s="90"/>
      <c r="K612" s="90"/>
      <c r="P612" s="90"/>
      <c r="Q612" s="90"/>
      <c r="R612" s="90"/>
      <c r="W612" s="6"/>
      <c r="X612" s="6"/>
      <c r="Y612" s="6"/>
      <c r="Z612" s="6"/>
    </row>
    <row r="613" spans="1:26">
      <c r="A613" s="90"/>
      <c r="C613" s="90"/>
      <c r="E613" s="90"/>
      <c r="K613" s="90"/>
      <c r="P613" s="90"/>
      <c r="Q613" s="90"/>
      <c r="R613" s="90"/>
      <c r="W613" s="6"/>
      <c r="X613" s="6"/>
      <c r="Y613" s="6"/>
      <c r="Z613" s="6"/>
    </row>
    <row r="614" spans="1:26">
      <c r="A614" s="90"/>
      <c r="C614" s="90"/>
      <c r="E614" s="90"/>
      <c r="K614" s="90"/>
      <c r="P614" s="90"/>
      <c r="Q614" s="90"/>
      <c r="R614" s="90"/>
      <c r="W614" s="6"/>
      <c r="X614" s="6"/>
      <c r="Y614" s="6"/>
      <c r="Z614" s="6"/>
    </row>
    <row r="615" spans="1:26">
      <c r="A615" s="90"/>
      <c r="C615" s="90"/>
      <c r="E615" s="90"/>
      <c r="K615" s="90"/>
      <c r="P615" s="90"/>
      <c r="Q615" s="90"/>
      <c r="R615" s="90"/>
      <c r="W615" s="6"/>
      <c r="X615" s="6"/>
      <c r="Y615" s="6"/>
      <c r="Z615" s="6"/>
    </row>
    <row r="616" spans="1:26">
      <c r="A616" s="90"/>
      <c r="C616" s="90"/>
      <c r="E616" s="90"/>
      <c r="K616" s="90"/>
      <c r="P616" s="90"/>
      <c r="Q616" s="90"/>
      <c r="R616" s="90"/>
      <c r="W616" s="6"/>
      <c r="X616" s="6"/>
      <c r="Y616" s="6"/>
      <c r="Z616" s="6"/>
    </row>
    <row r="617" spans="1:26">
      <c r="A617" s="90"/>
      <c r="C617" s="90"/>
      <c r="E617" s="90"/>
      <c r="K617" s="90"/>
      <c r="P617" s="90"/>
      <c r="Q617" s="90"/>
      <c r="R617" s="90"/>
      <c r="W617" s="6"/>
      <c r="X617" s="6"/>
      <c r="Y617" s="6"/>
      <c r="Z617" s="6"/>
    </row>
    <row r="618" spans="1:26">
      <c r="A618" s="90"/>
      <c r="C618" s="90"/>
      <c r="E618" s="90"/>
      <c r="K618" s="90"/>
      <c r="P618" s="90"/>
      <c r="Q618" s="90"/>
      <c r="R618" s="90"/>
      <c r="W618" s="6"/>
      <c r="X618" s="6"/>
      <c r="Y618" s="6"/>
      <c r="Z618" s="6"/>
    </row>
    <row r="619" spans="1:26">
      <c r="A619" s="90"/>
      <c r="C619" s="90"/>
      <c r="E619" s="90"/>
      <c r="K619" s="90"/>
      <c r="P619" s="90"/>
      <c r="Q619" s="90"/>
      <c r="R619" s="90"/>
      <c r="W619" s="6"/>
      <c r="X619" s="6"/>
      <c r="Y619" s="6"/>
      <c r="Z619" s="6"/>
    </row>
    <row r="620" spans="1:26">
      <c r="A620" s="90"/>
      <c r="C620" s="90"/>
      <c r="E620" s="90"/>
      <c r="K620" s="90"/>
      <c r="P620" s="90"/>
      <c r="Q620" s="90"/>
      <c r="R620" s="90"/>
      <c r="W620" s="6"/>
      <c r="X620" s="6"/>
      <c r="Y620" s="6"/>
      <c r="Z620" s="6"/>
    </row>
    <row r="621" spans="1:26">
      <c r="A621" s="90"/>
      <c r="C621" s="90"/>
      <c r="E621" s="90"/>
      <c r="K621" s="90"/>
      <c r="P621" s="90"/>
      <c r="Q621" s="90"/>
      <c r="R621" s="90"/>
      <c r="W621" s="6"/>
      <c r="X621" s="6"/>
      <c r="Y621" s="6"/>
      <c r="Z621" s="6"/>
    </row>
    <row r="622" spans="1:26">
      <c r="A622" s="90"/>
      <c r="C622" s="90"/>
      <c r="E622" s="90"/>
      <c r="K622" s="90"/>
      <c r="P622" s="90"/>
      <c r="Q622" s="90"/>
      <c r="R622" s="90"/>
      <c r="W622" s="6"/>
      <c r="X622" s="6"/>
      <c r="Y622" s="6"/>
      <c r="Z622" s="6"/>
    </row>
    <row r="623" spans="1:26">
      <c r="A623" s="90"/>
      <c r="C623" s="90"/>
      <c r="E623" s="90"/>
      <c r="K623" s="90"/>
      <c r="P623" s="90"/>
      <c r="Q623" s="90"/>
      <c r="R623" s="90"/>
      <c r="W623" s="6"/>
      <c r="X623" s="6"/>
      <c r="Y623" s="6"/>
      <c r="Z623" s="6"/>
    </row>
    <row r="624" spans="1:26">
      <c r="A624" s="90"/>
      <c r="C624" s="90"/>
      <c r="E624" s="90"/>
      <c r="K624" s="90"/>
      <c r="P624" s="90"/>
      <c r="Q624" s="90"/>
      <c r="R624" s="90"/>
      <c r="W624" s="6"/>
      <c r="X624" s="6"/>
      <c r="Y624" s="6"/>
      <c r="Z624" s="6"/>
    </row>
    <row r="625" spans="1:26">
      <c r="A625" s="90"/>
      <c r="C625" s="90"/>
      <c r="E625" s="90"/>
      <c r="K625" s="90"/>
      <c r="P625" s="90"/>
      <c r="Q625" s="90"/>
      <c r="R625" s="90"/>
      <c r="W625" s="6"/>
      <c r="X625" s="6"/>
      <c r="Y625" s="6"/>
      <c r="Z625" s="6"/>
    </row>
    <row r="626" spans="1:26">
      <c r="A626" s="90"/>
      <c r="C626" s="90"/>
      <c r="E626" s="90"/>
      <c r="K626" s="90"/>
      <c r="P626" s="90"/>
      <c r="Q626" s="90"/>
      <c r="R626" s="90"/>
      <c r="W626" s="6"/>
      <c r="X626" s="6"/>
      <c r="Y626" s="6"/>
      <c r="Z626" s="6"/>
    </row>
    <row r="627" spans="1:26">
      <c r="A627" s="90"/>
      <c r="C627" s="90"/>
      <c r="E627" s="90"/>
      <c r="K627" s="90"/>
      <c r="P627" s="90"/>
      <c r="Q627" s="90"/>
      <c r="R627" s="90"/>
      <c r="W627" s="6"/>
      <c r="X627" s="6"/>
      <c r="Y627" s="6"/>
      <c r="Z627" s="6"/>
    </row>
    <row r="628" spans="1:26">
      <c r="A628" s="90"/>
      <c r="C628" s="90"/>
      <c r="E628" s="90"/>
      <c r="K628" s="90"/>
      <c r="P628" s="90"/>
      <c r="Q628" s="90"/>
      <c r="R628" s="90"/>
      <c r="W628" s="6"/>
      <c r="X628" s="6"/>
      <c r="Y628" s="6"/>
      <c r="Z628" s="6"/>
    </row>
    <row r="629" spans="1:26">
      <c r="A629" s="90"/>
      <c r="C629" s="90"/>
      <c r="E629" s="90"/>
      <c r="K629" s="90"/>
      <c r="P629" s="90"/>
      <c r="Q629" s="90"/>
      <c r="R629" s="90"/>
      <c r="W629" s="6"/>
      <c r="X629" s="6"/>
      <c r="Y629" s="6"/>
      <c r="Z629" s="6"/>
    </row>
    <row r="630" spans="1:26">
      <c r="A630" s="90"/>
      <c r="C630" s="90"/>
      <c r="E630" s="90"/>
      <c r="K630" s="90"/>
      <c r="P630" s="90"/>
      <c r="Q630" s="90"/>
      <c r="R630" s="90"/>
      <c r="W630" s="6"/>
      <c r="X630" s="6"/>
      <c r="Y630" s="6"/>
      <c r="Z630" s="6"/>
    </row>
    <row r="631" spans="1:26">
      <c r="A631" s="90"/>
      <c r="C631" s="90"/>
      <c r="E631" s="90"/>
      <c r="K631" s="90"/>
      <c r="P631" s="90"/>
      <c r="Q631" s="90"/>
      <c r="R631" s="90"/>
      <c r="W631" s="6"/>
      <c r="X631" s="6"/>
      <c r="Y631" s="6"/>
      <c r="Z631" s="6"/>
    </row>
    <row r="632" spans="1:26">
      <c r="A632" s="90"/>
      <c r="C632" s="90"/>
      <c r="E632" s="90"/>
      <c r="K632" s="90"/>
      <c r="P632" s="90"/>
      <c r="Q632" s="90"/>
      <c r="R632" s="90"/>
      <c r="W632" s="6"/>
      <c r="X632" s="6"/>
      <c r="Y632" s="6"/>
      <c r="Z632" s="6"/>
    </row>
    <row r="633" spans="1:26">
      <c r="A633" s="90"/>
      <c r="C633" s="90"/>
      <c r="E633" s="90"/>
      <c r="K633" s="90"/>
      <c r="P633" s="90"/>
      <c r="Q633" s="90"/>
      <c r="R633" s="90"/>
      <c r="W633" s="6"/>
      <c r="X633" s="6"/>
      <c r="Y633" s="6"/>
      <c r="Z633" s="6"/>
    </row>
    <row r="634" spans="1:26">
      <c r="A634" s="90"/>
      <c r="C634" s="90"/>
      <c r="E634" s="90"/>
      <c r="K634" s="90"/>
      <c r="P634" s="90"/>
      <c r="Q634" s="90"/>
      <c r="R634" s="90"/>
      <c r="W634" s="6"/>
      <c r="X634" s="6"/>
      <c r="Y634" s="6"/>
      <c r="Z634" s="6"/>
    </row>
    <row r="635" spans="1:26">
      <c r="A635" s="90"/>
      <c r="C635" s="90"/>
      <c r="E635" s="90"/>
      <c r="K635" s="90"/>
      <c r="P635" s="90"/>
      <c r="Q635" s="90"/>
      <c r="R635" s="90"/>
      <c r="W635" s="6"/>
      <c r="X635" s="6"/>
      <c r="Y635" s="6"/>
      <c r="Z635" s="6"/>
    </row>
    <row r="636" spans="1:26">
      <c r="A636" s="90"/>
      <c r="C636" s="90"/>
      <c r="E636" s="90"/>
      <c r="K636" s="90"/>
      <c r="P636" s="90"/>
      <c r="Q636" s="90"/>
      <c r="R636" s="90"/>
      <c r="W636" s="6"/>
      <c r="X636" s="6"/>
      <c r="Y636" s="6"/>
      <c r="Z636" s="6"/>
    </row>
    <row r="637" spans="1:26">
      <c r="A637" s="90"/>
      <c r="C637" s="90"/>
      <c r="E637" s="90"/>
      <c r="K637" s="90"/>
      <c r="P637" s="90"/>
      <c r="Q637" s="90"/>
      <c r="R637" s="90"/>
      <c r="W637" s="6"/>
      <c r="X637" s="6"/>
      <c r="Y637" s="6"/>
      <c r="Z637" s="6"/>
    </row>
    <row r="638" spans="1:26">
      <c r="A638" s="90"/>
      <c r="C638" s="90"/>
      <c r="E638" s="90"/>
      <c r="K638" s="90"/>
      <c r="P638" s="90"/>
      <c r="Q638" s="90"/>
      <c r="R638" s="90"/>
      <c r="W638" s="6"/>
      <c r="X638" s="6"/>
      <c r="Y638" s="6"/>
      <c r="Z638" s="6"/>
    </row>
    <row r="639" spans="1:26">
      <c r="A639" s="90"/>
      <c r="C639" s="90"/>
      <c r="E639" s="90"/>
      <c r="K639" s="90"/>
      <c r="P639" s="90"/>
      <c r="Q639" s="90"/>
      <c r="R639" s="90"/>
      <c r="W639" s="6"/>
      <c r="X639" s="6"/>
      <c r="Y639" s="6"/>
      <c r="Z639" s="6"/>
    </row>
    <row r="640" spans="1:26">
      <c r="A640" s="90"/>
      <c r="C640" s="90"/>
      <c r="E640" s="90"/>
      <c r="K640" s="90"/>
      <c r="P640" s="90"/>
      <c r="Q640" s="90"/>
      <c r="R640" s="90"/>
      <c r="W640" s="6"/>
      <c r="X640" s="6"/>
      <c r="Y640" s="6"/>
      <c r="Z640" s="6"/>
    </row>
    <row r="641" spans="1:26">
      <c r="A641" s="90"/>
      <c r="C641" s="90"/>
      <c r="E641" s="90"/>
      <c r="K641" s="90"/>
      <c r="P641" s="90"/>
      <c r="Q641" s="90"/>
      <c r="R641" s="90"/>
      <c r="W641" s="6"/>
      <c r="X641" s="6"/>
      <c r="Y641" s="6"/>
      <c r="Z641" s="6"/>
    </row>
    <row r="642" spans="1:26">
      <c r="A642" s="90"/>
      <c r="C642" s="90"/>
      <c r="E642" s="90"/>
      <c r="K642" s="90"/>
      <c r="P642" s="90"/>
      <c r="Q642" s="90"/>
      <c r="R642" s="90"/>
      <c r="W642" s="6"/>
      <c r="X642" s="6"/>
      <c r="Y642" s="6"/>
      <c r="Z642" s="6"/>
    </row>
    <row r="643" spans="1:26">
      <c r="A643" s="90"/>
      <c r="C643" s="90"/>
      <c r="E643" s="90"/>
      <c r="K643" s="90"/>
      <c r="P643" s="90"/>
      <c r="Q643" s="90"/>
      <c r="R643" s="90"/>
      <c r="W643" s="6"/>
      <c r="X643" s="6"/>
      <c r="Y643" s="6"/>
      <c r="Z643" s="6"/>
    </row>
    <row r="644" spans="1:26">
      <c r="A644" s="90"/>
      <c r="C644" s="90"/>
      <c r="E644" s="90"/>
      <c r="K644" s="90"/>
      <c r="P644" s="90"/>
      <c r="Q644" s="90"/>
      <c r="R644" s="90"/>
      <c r="W644" s="6"/>
      <c r="X644" s="6"/>
      <c r="Y644" s="6"/>
      <c r="Z644" s="6"/>
    </row>
    <row r="645" spans="1:26">
      <c r="A645" s="90"/>
      <c r="C645" s="90"/>
      <c r="E645" s="90"/>
      <c r="K645" s="90"/>
      <c r="P645" s="90"/>
      <c r="Q645" s="90"/>
      <c r="R645" s="90"/>
      <c r="W645" s="6"/>
      <c r="X645" s="6"/>
      <c r="Y645" s="6"/>
      <c r="Z645" s="6"/>
    </row>
    <row r="646" spans="1:26">
      <c r="A646" s="90"/>
      <c r="C646" s="90"/>
      <c r="E646" s="90"/>
      <c r="K646" s="90"/>
      <c r="P646" s="90"/>
      <c r="Q646" s="90"/>
      <c r="R646" s="90"/>
      <c r="W646" s="6"/>
      <c r="X646" s="6"/>
      <c r="Y646" s="6"/>
      <c r="Z646" s="6"/>
    </row>
    <row r="647" spans="1:26">
      <c r="A647" s="90"/>
      <c r="C647" s="90"/>
      <c r="E647" s="90"/>
      <c r="K647" s="90"/>
      <c r="P647" s="90"/>
      <c r="Q647" s="90"/>
      <c r="R647" s="90"/>
      <c r="W647" s="6"/>
      <c r="X647" s="6"/>
      <c r="Y647" s="6"/>
      <c r="Z647" s="6"/>
    </row>
    <row r="648" spans="1:26">
      <c r="A648" s="90"/>
      <c r="C648" s="90"/>
      <c r="E648" s="90"/>
      <c r="K648" s="90"/>
      <c r="P648" s="90"/>
      <c r="Q648" s="90"/>
      <c r="R648" s="90"/>
      <c r="W648" s="6"/>
      <c r="X648" s="6"/>
      <c r="Y648" s="6"/>
      <c r="Z648" s="6"/>
    </row>
    <row r="649" spans="1:26">
      <c r="A649" s="90"/>
      <c r="C649" s="90"/>
      <c r="E649" s="90"/>
      <c r="K649" s="90"/>
      <c r="P649" s="90"/>
      <c r="Q649" s="90"/>
      <c r="R649" s="90"/>
      <c r="W649" s="6"/>
      <c r="X649" s="6"/>
      <c r="Y649" s="6"/>
      <c r="Z649" s="6"/>
    </row>
    <row r="650" spans="1:26">
      <c r="A650" s="90"/>
      <c r="C650" s="90"/>
      <c r="E650" s="90"/>
      <c r="K650" s="90"/>
      <c r="P650" s="90"/>
      <c r="Q650" s="90"/>
      <c r="R650" s="90"/>
      <c r="W650" s="6"/>
      <c r="X650" s="6"/>
      <c r="Y650" s="6"/>
      <c r="Z650" s="6"/>
    </row>
    <row r="651" spans="1:26">
      <c r="A651" s="90"/>
      <c r="C651" s="90"/>
      <c r="E651" s="90"/>
      <c r="K651" s="90"/>
      <c r="P651" s="90"/>
      <c r="Q651" s="90"/>
      <c r="R651" s="90"/>
      <c r="W651" s="6"/>
      <c r="X651" s="6"/>
      <c r="Y651" s="6"/>
      <c r="Z651" s="6"/>
    </row>
    <row r="652" spans="1:26">
      <c r="A652" s="90"/>
      <c r="C652" s="90"/>
      <c r="E652" s="90"/>
      <c r="K652" s="90"/>
      <c r="P652" s="90"/>
      <c r="Q652" s="90"/>
      <c r="R652" s="90"/>
      <c r="W652" s="6"/>
      <c r="X652" s="6"/>
      <c r="Y652" s="6"/>
      <c r="Z652" s="6"/>
    </row>
    <row r="653" spans="1:26">
      <c r="A653" s="90"/>
      <c r="C653" s="90"/>
      <c r="E653" s="90"/>
      <c r="K653" s="90"/>
      <c r="P653" s="90"/>
      <c r="Q653" s="90"/>
      <c r="R653" s="90"/>
      <c r="W653" s="6"/>
      <c r="X653" s="6"/>
      <c r="Y653" s="6"/>
      <c r="Z653" s="6"/>
    </row>
    <row r="654" spans="1:26">
      <c r="A654" s="90"/>
      <c r="C654" s="90"/>
      <c r="E654" s="90"/>
      <c r="K654" s="90"/>
      <c r="P654" s="90"/>
      <c r="Q654" s="90"/>
      <c r="R654" s="90"/>
      <c r="W654" s="6"/>
      <c r="X654" s="6"/>
      <c r="Y654" s="6"/>
      <c r="Z654" s="6"/>
    </row>
    <row r="655" spans="1:26">
      <c r="A655" s="90"/>
      <c r="C655" s="90"/>
      <c r="E655" s="90"/>
      <c r="K655" s="90"/>
      <c r="P655" s="90"/>
      <c r="Q655" s="90"/>
      <c r="R655" s="90"/>
      <c r="W655" s="6"/>
      <c r="X655" s="6"/>
      <c r="Y655" s="6"/>
      <c r="Z655" s="6"/>
    </row>
    <row r="656" spans="1:26">
      <c r="A656" s="90"/>
      <c r="C656" s="90"/>
      <c r="E656" s="90"/>
      <c r="K656" s="90"/>
      <c r="P656" s="90"/>
      <c r="Q656" s="90"/>
      <c r="R656" s="90"/>
      <c r="W656" s="6"/>
      <c r="X656" s="6"/>
      <c r="Y656" s="6"/>
      <c r="Z656" s="6"/>
    </row>
    <row r="657" spans="1:26">
      <c r="A657" s="90"/>
      <c r="C657" s="90"/>
      <c r="E657" s="90"/>
      <c r="K657" s="90"/>
      <c r="P657" s="90"/>
      <c r="Q657" s="90"/>
      <c r="R657" s="90"/>
      <c r="W657" s="6"/>
      <c r="X657" s="6"/>
      <c r="Y657" s="6"/>
      <c r="Z657" s="6"/>
    </row>
    <row r="658" spans="1:26">
      <c r="A658" s="90"/>
      <c r="C658" s="90"/>
      <c r="E658" s="90"/>
      <c r="K658" s="90"/>
      <c r="P658" s="90"/>
      <c r="Q658" s="90"/>
      <c r="R658" s="90"/>
      <c r="W658" s="6"/>
      <c r="X658" s="6"/>
      <c r="Y658" s="6"/>
      <c r="Z658" s="6"/>
    </row>
    <row r="659" spans="1:26">
      <c r="A659" s="90"/>
      <c r="C659" s="90"/>
      <c r="E659" s="90"/>
      <c r="K659" s="90"/>
      <c r="P659" s="90"/>
      <c r="Q659" s="90"/>
      <c r="R659" s="90"/>
      <c r="W659" s="6"/>
      <c r="X659" s="6"/>
      <c r="Y659" s="6"/>
      <c r="Z659" s="6"/>
    </row>
    <row r="660" spans="1:26">
      <c r="A660" s="90"/>
      <c r="C660" s="90"/>
      <c r="E660" s="90"/>
      <c r="K660" s="90"/>
      <c r="P660" s="90"/>
      <c r="Q660" s="90"/>
      <c r="R660" s="90"/>
      <c r="W660" s="6"/>
      <c r="X660" s="6"/>
      <c r="Y660" s="6"/>
      <c r="Z660" s="6"/>
    </row>
    <row r="661" spans="1:26">
      <c r="A661" s="90"/>
      <c r="C661" s="90"/>
      <c r="E661" s="90"/>
      <c r="K661" s="90"/>
      <c r="P661" s="90"/>
      <c r="Q661" s="90"/>
      <c r="R661" s="90"/>
      <c r="W661" s="6"/>
      <c r="X661" s="6"/>
      <c r="Y661" s="6"/>
      <c r="Z661" s="6"/>
    </row>
    <row r="662" spans="1:26">
      <c r="A662" s="90"/>
      <c r="C662" s="90"/>
      <c r="E662" s="90"/>
      <c r="K662" s="90"/>
      <c r="P662" s="90"/>
      <c r="Q662" s="90"/>
      <c r="R662" s="90"/>
      <c r="W662" s="6"/>
      <c r="X662" s="6"/>
      <c r="Y662" s="6"/>
      <c r="Z662" s="6"/>
    </row>
    <row r="663" spans="1:26">
      <c r="A663" s="90"/>
      <c r="C663" s="90"/>
      <c r="E663" s="90"/>
      <c r="K663" s="90"/>
      <c r="P663" s="90"/>
      <c r="Q663" s="90"/>
      <c r="R663" s="90"/>
      <c r="W663" s="6"/>
      <c r="X663" s="6"/>
      <c r="Y663" s="6"/>
      <c r="Z663" s="6"/>
    </row>
    <row r="664" spans="1:26">
      <c r="A664" s="90"/>
      <c r="C664" s="90"/>
      <c r="E664" s="90"/>
      <c r="K664" s="90"/>
      <c r="P664" s="90"/>
      <c r="Q664" s="90"/>
      <c r="R664" s="90"/>
      <c r="W664" s="6"/>
      <c r="X664" s="6"/>
      <c r="Y664" s="6"/>
      <c r="Z664" s="6"/>
    </row>
    <row r="665" spans="1:26">
      <c r="A665" s="90"/>
      <c r="C665" s="90"/>
      <c r="E665" s="90"/>
      <c r="K665" s="90"/>
      <c r="P665" s="90"/>
      <c r="Q665" s="90"/>
      <c r="R665" s="90"/>
      <c r="W665" s="6"/>
      <c r="X665" s="6"/>
      <c r="Y665" s="6"/>
      <c r="Z665" s="6"/>
    </row>
    <row r="666" spans="1:26">
      <c r="A666" s="90"/>
      <c r="C666" s="90"/>
      <c r="E666" s="90"/>
      <c r="K666" s="90"/>
      <c r="P666" s="90"/>
      <c r="Q666" s="90"/>
      <c r="R666" s="90"/>
      <c r="W666" s="6"/>
      <c r="X666" s="6"/>
      <c r="Y666" s="6"/>
      <c r="Z666" s="6"/>
    </row>
    <row r="667" spans="1:26">
      <c r="A667" s="90"/>
      <c r="C667" s="90"/>
      <c r="E667" s="90"/>
      <c r="K667" s="90"/>
      <c r="P667" s="90"/>
      <c r="Q667" s="90"/>
      <c r="R667" s="90"/>
      <c r="W667" s="6"/>
      <c r="X667" s="6"/>
      <c r="Y667" s="6"/>
      <c r="Z667" s="6"/>
    </row>
    <row r="668" spans="1:26">
      <c r="A668" s="90"/>
      <c r="C668" s="90"/>
      <c r="E668" s="90"/>
      <c r="K668" s="90"/>
      <c r="P668" s="90"/>
      <c r="Q668" s="90"/>
      <c r="R668" s="90"/>
      <c r="W668" s="6"/>
      <c r="X668" s="6"/>
      <c r="Y668" s="6"/>
      <c r="Z668" s="6"/>
    </row>
    <row r="669" spans="1:26">
      <c r="A669" s="90"/>
      <c r="C669" s="90"/>
      <c r="E669" s="90"/>
      <c r="K669" s="90"/>
      <c r="P669" s="90"/>
      <c r="Q669" s="90"/>
      <c r="R669" s="90"/>
      <c r="W669" s="6"/>
      <c r="X669" s="6"/>
      <c r="Y669" s="6"/>
      <c r="Z669" s="6"/>
    </row>
    <row r="670" spans="1:26">
      <c r="A670" s="90"/>
      <c r="C670" s="90"/>
      <c r="E670" s="90"/>
      <c r="K670" s="90"/>
      <c r="P670" s="90"/>
      <c r="Q670" s="90"/>
      <c r="R670" s="90"/>
      <c r="W670" s="6"/>
      <c r="X670" s="6"/>
      <c r="Y670" s="6"/>
      <c r="Z670" s="6"/>
    </row>
    <row r="671" spans="1:26">
      <c r="A671" s="90"/>
      <c r="C671" s="90"/>
      <c r="E671" s="90"/>
      <c r="K671" s="90"/>
      <c r="P671" s="90"/>
      <c r="Q671" s="90"/>
      <c r="R671" s="90"/>
      <c r="W671" s="6"/>
      <c r="X671" s="6"/>
      <c r="Y671" s="6"/>
      <c r="Z671" s="6"/>
    </row>
    <row r="672" spans="1:26">
      <c r="A672" s="90"/>
      <c r="C672" s="90"/>
      <c r="E672" s="90"/>
      <c r="K672" s="90"/>
      <c r="P672" s="90"/>
      <c r="Q672" s="90"/>
      <c r="R672" s="90"/>
      <c r="W672" s="6"/>
      <c r="X672" s="6"/>
      <c r="Y672" s="6"/>
      <c r="Z672" s="6"/>
    </row>
    <row r="673" spans="1:26">
      <c r="A673" s="90"/>
      <c r="C673" s="90"/>
      <c r="E673" s="90"/>
      <c r="K673" s="90"/>
      <c r="P673" s="90"/>
      <c r="Q673" s="90"/>
      <c r="R673" s="90"/>
      <c r="W673" s="6"/>
      <c r="X673" s="6"/>
      <c r="Y673" s="6"/>
      <c r="Z673" s="6"/>
    </row>
    <row r="674" spans="1:26">
      <c r="A674" s="90"/>
      <c r="C674" s="90"/>
      <c r="E674" s="90"/>
      <c r="K674" s="90"/>
      <c r="P674" s="90"/>
      <c r="Q674" s="90"/>
      <c r="R674" s="90"/>
      <c r="W674" s="6"/>
      <c r="X674" s="6"/>
      <c r="Y674" s="6"/>
      <c r="Z674" s="6"/>
    </row>
    <row r="675" spans="1:26">
      <c r="A675" s="90"/>
      <c r="C675" s="90"/>
      <c r="E675" s="90"/>
      <c r="K675" s="90"/>
      <c r="P675" s="90"/>
      <c r="Q675" s="90"/>
      <c r="R675" s="90"/>
      <c r="W675" s="6"/>
      <c r="X675" s="6"/>
      <c r="Y675" s="6"/>
      <c r="Z675" s="6"/>
    </row>
    <row r="676" spans="1:26">
      <c r="A676" s="90"/>
      <c r="C676" s="90"/>
      <c r="E676" s="90"/>
      <c r="K676" s="90"/>
      <c r="P676" s="90"/>
      <c r="Q676" s="90"/>
      <c r="R676" s="90"/>
      <c r="W676" s="6"/>
      <c r="X676" s="6"/>
      <c r="Y676" s="6"/>
      <c r="Z676" s="6"/>
    </row>
    <row r="677" spans="1:26">
      <c r="A677" s="90"/>
      <c r="C677" s="90"/>
      <c r="E677" s="90"/>
      <c r="K677" s="90"/>
      <c r="P677" s="90"/>
      <c r="Q677" s="90"/>
      <c r="R677" s="90"/>
      <c r="W677" s="6"/>
      <c r="X677" s="6"/>
      <c r="Y677" s="6"/>
      <c r="Z677" s="6"/>
    </row>
    <row r="678" spans="1:26">
      <c r="A678" s="90"/>
      <c r="C678" s="90"/>
      <c r="E678" s="90"/>
      <c r="K678" s="90"/>
      <c r="P678" s="90"/>
      <c r="Q678" s="90"/>
      <c r="R678" s="90"/>
      <c r="W678" s="6"/>
      <c r="X678" s="6"/>
      <c r="Y678" s="6"/>
      <c r="Z678" s="6"/>
    </row>
    <row r="679" spans="1:26">
      <c r="A679" s="90"/>
      <c r="C679" s="90"/>
      <c r="E679" s="90"/>
      <c r="K679" s="90"/>
      <c r="P679" s="90"/>
      <c r="Q679" s="90"/>
      <c r="R679" s="90"/>
      <c r="W679" s="6"/>
      <c r="X679" s="6"/>
      <c r="Y679" s="6"/>
      <c r="Z679" s="6"/>
    </row>
    <row r="680" spans="1:26">
      <c r="A680" s="90"/>
      <c r="C680" s="90"/>
      <c r="E680" s="90"/>
      <c r="K680" s="90"/>
      <c r="P680" s="90"/>
      <c r="Q680" s="90"/>
      <c r="R680" s="90"/>
      <c r="W680" s="6"/>
      <c r="X680" s="6"/>
      <c r="Y680" s="6"/>
      <c r="Z680" s="6"/>
    </row>
    <row r="681" spans="1:26">
      <c r="A681" s="90"/>
      <c r="C681" s="90"/>
      <c r="E681" s="90"/>
      <c r="K681" s="90"/>
      <c r="P681" s="90"/>
      <c r="Q681" s="90"/>
      <c r="R681" s="90"/>
      <c r="W681" s="6"/>
      <c r="X681" s="6"/>
      <c r="Y681" s="6"/>
      <c r="Z681" s="6"/>
    </row>
    <row r="682" spans="1:26">
      <c r="A682" s="90"/>
      <c r="C682" s="90"/>
      <c r="E682" s="90"/>
      <c r="K682" s="90"/>
      <c r="P682" s="90"/>
      <c r="Q682" s="90"/>
      <c r="R682" s="90"/>
      <c r="W682" s="6"/>
      <c r="X682" s="6"/>
      <c r="Y682" s="6"/>
      <c r="Z682" s="6"/>
    </row>
    <row r="683" spans="1:26">
      <c r="A683" s="90"/>
      <c r="C683" s="90"/>
      <c r="E683" s="90"/>
      <c r="K683" s="90"/>
      <c r="P683" s="90"/>
      <c r="Q683" s="90"/>
      <c r="R683" s="90"/>
      <c r="W683" s="6"/>
      <c r="X683" s="6"/>
      <c r="Y683" s="6"/>
      <c r="Z683" s="6"/>
    </row>
    <row r="684" spans="1:26">
      <c r="A684" s="90"/>
      <c r="C684" s="90"/>
      <c r="E684" s="90"/>
      <c r="K684" s="90"/>
      <c r="P684" s="90"/>
      <c r="Q684" s="90"/>
      <c r="R684" s="90"/>
      <c r="W684" s="6"/>
      <c r="X684" s="6"/>
      <c r="Y684" s="6"/>
      <c r="Z684" s="6"/>
    </row>
    <row r="685" spans="1:26">
      <c r="A685" s="90"/>
      <c r="C685" s="90"/>
      <c r="E685" s="90"/>
      <c r="K685" s="90"/>
      <c r="P685" s="90"/>
      <c r="Q685" s="90"/>
      <c r="R685" s="90"/>
      <c r="W685" s="6"/>
      <c r="X685" s="6"/>
      <c r="Y685" s="6"/>
      <c r="Z685" s="6"/>
    </row>
    <row r="686" spans="1:26">
      <c r="A686" s="90"/>
      <c r="C686" s="90"/>
      <c r="E686" s="90"/>
      <c r="K686" s="90"/>
      <c r="P686" s="90"/>
      <c r="Q686" s="90"/>
      <c r="R686" s="90"/>
      <c r="W686" s="6"/>
      <c r="X686" s="6"/>
      <c r="Y686" s="6"/>
      <c r="Z686" s="6"/>
    </row>
    <row r="687" spans="1:26">
      <c r="A687" s="90"/>
      <c r="C687" s="90"/>
      <c r="E687" s="90"/>
      <c r="K687" s="90"/>
      <c r="P687" s="90"/>
      <c r="Q687" s="90"/>
      <c r="R687" s="90"/>
      <c r="W687" s="6"/>
      <c r="X687" s="6"/>
      <c r="Y687" s="6"/>
      <c r="Z687" s="6"/>
    </row>
    <row r="688" spans="1:26">
      <c r="A688" s="90"/>
      <c r="C688" s="90"/>
      <c r="E688" s="90"/>
      <c r="K688" s="90"/>
      <c r="P688" s="90"/>
      <c r="Q688" s="90"/>
      <c r="R688" s="90"/>
      <c r="W688" s="6"/>
      <c r="X688" s="6"/>
      <c r="Y688" s="6"/>
      <c r="Z688" s="6"/>
    </row>
    <row r="689" spans="1:26">
      <c r="A689" s="90"/>
      <c r="C689" s="90"/>
      <c r="E689" s="90"/>
      <c r="K689" s="90"/>
      <c r="P689" s="90"/>
      <c r="Q689" s="90"/>
      <c r="R689" s="90"/>
      <c r="W689" s="6"/>
      <c r="X689" s="6"/>
      <c r="Y689" s="6"/>
      <c r="Z689" s="6"/>
    </row>
    <row r="690" spans="1:26">
      <c r="A690" s="90"/>
      <c r="C690" s="90"/>
      <c r="E690" s="90"/>
      <c r="K690" s="90"/>
      <c r="P690" s="90"/>
      <c r="Q690" s="90"/>
      <c r="R690" s="90"/>
      <c r="W690" s="6"/>
      <c r="X690" s="6"/>
      <c r="Y690" s="6"/>
      <c r="Z690" s="6"/>
    </row>
    <row r="691" spans="1:26">
      <c r="A691" s="90"/>
      <c r="C691" s="90"/>
      <c r="E691" s="90"/>
      <c r="K691" s="90"/>
      <c r="P691" s="90"/>
      <c r="Q691" s="90"/>
      <c r="R691" s="90"/>
      <c r="W691" s="6"/>
      <c r="X691" s="6"/>
      <c r="Y691" s="6"/>
      <c r="Z691" s="6"/>
    </row>
    <row r="692" spans="1:26">
      <c r="A692" s="90"/>
      <c r="C692" s="90"/>
      <c r="E692" s="90"/>
      <c r="K692" s="90"/>
      <c r="P692" s="90"/>
      <c r="Q692" s="90"/>
      <c r="R692" s="90"/>
      <c r="W692" s="6"/>
      <c r="X692" s="6"/>
      <c r="Y692" s="6"/>
      <c r="Z692" s="6"/>
    </row>
    <row r="693" spans="1:26">
      <c r="A693" s="90"/>
      <c r="C693" s="90"/>
      <c r="E693" s="90"/>
      <c r="K693" s="90"/>
      <c r="P693" s="90"/>
      <c r="Q693" s="90"/>
      <c r="R693" s="90"/>
      <c r="W693" s="6"/>
      <c r="X693" s="6"/>
      <c r="Y693" s="6"/>
      <c r="Z693" s="6"/>
    </row>
    <row r="694" spans="1:26">
      <c r="A694" s="90"/>
      <c r="C694" s="90"/>
      <c r="E694" s="90"/>
      <c r="K694" s="90"/>
      <c r="P694" s="90"/>
      <c r="Q694" s="90"/>
      <c r="R694" s="90"/>
      <c r="W694" s="6"/>
      <c r="X694" s="6"/>
      <c r="Y694" s="6"/>
      <c r="Z694" s="6"/>
    </row>
    <row r="695" spans="1:26">
      <c r="A695" s="90"/>
      <c r="C695" s="90"/>
      <c r="E695" s="90"/>
      <c r="K695" s="90"/>
      <c r="P695" s="90"/>
      <c r="Q695" s="90"/>
      <c r="R695" s="90"/>
      <c r="W695" s="6"/>
      <c r="X695" s="6"/>
      <c r="Y695" s="6"/>
      <c r="Z695" s="6"/>
    </row>
    <row r="696" spans="1:26">
      <c r="A696" s="90"/>
      <c r="C696" s="90"/>
      <c r="E696" s="90"/>
      <c r="K696" s="90"/>
      <c r="P696" s="90"/>
      <c r="Q696" s="90"/>
      <c r="R696" s="90"/>
      <c r="W696" s="6"/>
      <c r="X696" s="6"/>
      <c r="Y696" s="6"/>
      <c r="Z696" s="6"/>
    </row>
    <row r="697" spans="1:26">
      <c r="A697" s="90"/>
      <c r="C697" s="90"/>
      <c r="E697" s="90"/>
      <c r="K697" s="90"/>
      <c r="P697" s="90"/>
      <c r="Q697" s="90"/>
      <c r="R697" s="90"/>
      <c r="W697" s="6"/>
      <c r="X697" s="6"/>
      <c r="Y697" s="6"/>
      <c r="Z697" s="6"/>
    </row>
    <row r="698" spans="1:26">
      <c r="A698" s="90"/>
      <c r="C698" s="90"/>
      <c r="E698" s="90"/>
      <c r="K698" s="90"/>
      <c r="P698" s="90"/>
      <c r="Q698" s="90"/>
      <c r="R698" s="90"/>
      <c r="W698" s="6"/>
      <c r="X698" s="6"/>
      <c r="Y698" s="6"/>
      <c r="Z698" s="6"/>
    </row>
    <row r="699" spans="1:26">
      <c r="A699" s="90"/>
      <c r="C699" s="90"/>
      <c r="E699" s="90"/>
      <c r="K699" s="90"/>
      <c r="P699" s="90"/>
      <c r="Q699" s="90"/>
      <c r="R699" s="90"/>
      <c r="W699" s="6"/>
      <c r="X699" s="6"/>
      <c r="Y699" s="6"/>
      <c r="Z699" s="6"/>
    </row>
    <row r="700" spans="1:26">
      <c r="A700" s="90"/>
      <c r="C700" s="90"/>
      <c r="E700" s="90"/>
      <c r="K700" s="90"/>
      <c r="P700" s="90"/>
      <c r="Q700" s="90"/>
      <c r="R700" s="90"/>
      <c r="W700" s="6"/>
      <c r="X700" s="6"/>
      <c r="Y700" s="6"/>
      <c r="Z700" s="6"/>
    </row>
    <row r="701" spans="1:26">
      <c r="A701" s="90"/>
      <c r="C701" s="90"/>
      <c r="E701" s="90"/>
      <c r="K701" s="90"/>
      <c r="P701" s="90"/>
      <c r="Q701" s="90"/>
      <c r="R701" s="90"/>
      <c r="W701" s="6"/>
      <c r="X701" s="6"/>
      <c r="Y701" s="6"/>
      <c r="Z701" s="6"/>
    </row>
    <row r="702" spans="1:26">
      <c r="A702" s="90"/>
      <c r="C702" s="90"/>
      <c r="E702" s="90"/>
      <c r="K702" s="90"/>
      <c r="P702" s="90"/>
      <c r="Q702" s="90"/>
      <c r="R702" s="90"/>
      <c r="W702" s="6"/>
      <c r="X702" s="6"/>
      <c r="Y702" s="6"/>
      <c r="Z702" s="6"/>
    </row>
    <row r="703" spans="1:26">
      <c r="A703" s="90"/>
      <c r="C703" s="90"/>
      <c r="E703" s="90"/>
      <c r="K703" s="90"/>
      <c r="P703" s="90"/>
      <c r="Q703" s="90"/>
      <c r="R703" s="90"/>
      <c r="W703" s="6"/>
      <c r="X703" s="6"/>
      <c r="Y703" s="6"/>
      <c r="Z703" s="6"/>
    </row>
    <row r="704" spans="1:26">
      <c r="A704" s="90"/>
      <c r="C704" s="90"/>
      <c r="E704" s="90"/>
      <c r="K704" s="90"/>
      <c r="P704" s="90"/>
      <c r="Q704" s="90"/>
      <c r="R704" s="90"/>
      <c r="W704" s="6"/>
      <c r="X704" s="6"/>
      <c r="Y704" s="6"/>
      <c r="Z704" s="6"/>
    </row>
    <row r="705" spans="1:26">
      <c r="A705" s="90"/>
      <c r="C705" s="90"/>
      <c r="E705" s="90"/>
      <c r="K705" s="90"/>
      <c r="P705" s="90"/>
      <c r="Q705" s="90"/>
      <c r="R705" s="90"/>
      <c r="W705" s="6"/>
      <c r="X705" s="6"/>
      <c r="Y705" s="6"/>
      <c r="Z705" s="6"/>
    </row>
    <row r="706" spans="1:26">
      <c r="A706" s="90"/>
      <c r="C706" s="90"/>
      <c r="E706" s="90"/>
      <c r="K706" s="90"/>
      <c r="P706" s="90"/>
      <c r="Q706" s="90"/>
      <c r="R706" s="90"/>
      <c r="W706" s="6"/>
      <c r="X706" s="6"/>
      <c r="Y706" s="6"/>
      <c r="Z706" s="6"/>
    </row>
    <row r="707" spans="1:26">
      <c r="A707" s="90"/>
      <c r="C707" s="90"/>
      <c r="E707" s="90"/>
      <c r="K707" s="90"/>
      <c r="P707" s="90"/>
      <c r="Q707" s="90"/>
      <c r="R707" s="90"/>
      <c r="W707" s="6"/>
      <c r="X707" s="6"/>
      <c r="Y707" s="6"/>
      <c r="Z707" s="6"/>
    </row>
    <row r="708" spans="1:26">
      <c r="A708" s="90"/>
      <c r="C708" s="90"/>
      <c r="E708" s="90"/>
      <c r="K708" s="90"/>
      <c r="P708" s="90"/>
      <c r="Q708" s="90"/>
      <c r="R708" s="90"/>
      <c r="W708" s="6"/>
      <c r="X708" s="6"/>
      <c r="Y708" s="6"/>
      <c r="Z708" s="6"/>
    </row>
    <row r="709" spans="1:26">
      <c r="A709" s="90"/>
      <c r="C709" s="90"/>
      <c r="E709" s="90"/>
      <c r="K709" s="90"/>
      <c r="P709" s="90"/>
      <c r="Q709" s="90"/>
      <c r="R709" s="90"/>
      <c r="W709" s="6"/>
      <c r="X709" s="6"/>
      <c r="Y709" s="6"/>
      <c r="Z709" s="6"/>
    </row>
    <row r="710" spans="1:26">
      <c r="A710" s="90"/>
      <c r="C710" s="90"/>
      <c r="E710" s="90"/>
      <c r="K710" s="90"/>
      <c r="P710" s="90"/>
      <c r="Q710" s="90"/>
      <c r="R710" s="90"/>
      <c r="W710" s="6"/>
      <c r="X710" s="6"/>
      <c r="Y710" s="6"/>
      <c r="Z710" s="6"/>
    </row>
    <row r="711" spans="1:26">
      <c r="A711" s="90"/>
      <c r="C711" s="90"/>
      <c r="E711" s="90"/>
      <c r="K711" s="90"/>
      <c r="P711" s="90"/>
      <c r="Q711" s="90"/>
      <c r="R711" s="90"/>
      <c r="W711" s="6"/>
      <c r="X711" s="6"/>
      <c r="Y711" s="6"/>
      <c r="Z711" s="6"/>
    </row>
    <row r="712" spans="1:26">
      <c r="A712" s="90"/>
      <c r="C712" s="90"/>
      <c r="E712" s="90"/>
      <c r="K712" s="90"/>
      <c r="P712" s="90"/>
      <c r="Q712" s="90"/>
      <c r="R712" s="90"/>
      <c r="W712" s="6"/>
      <c r="X712" s="6"/>
      <c r="Y712" s="6"/>
      <c r="Z712" s="6"/>
    </row>
    <row r="713" spans="1:26">
      <c r="A713" s="90"/>
      <c r="C713" s="90"/>
      <c r="E713" s="90"/>
      <c r="K713" s="90"/>
      <c r="P713" s="90"/>
      <c r="Q713" s="90"/>
      <c r="R713" s="90"/>
      <c r="W713" s="6"/>
      <c r="X713" s="6"/>
      <c r="Y713" s="6"/>
      <c r="Z713" s="6"/>
    </row>
    <row r="714" spans="1:26">
      <c r="A714" s="90"/>
      <c r="C714" s="90"/>
      <c r="E714" s="90"/>
      <c r="K714" s="90"/>
      <c r="P714" s="90"/>
      <c r="Q714" s="90"/>
      <c r="R714" s="90"/>
      <c r="W714" s="6"/>
      <c r="X714" s="6"/>
      <c r="Y714" s="6"/>
      <c r="Z714" s="6"/>
    </row>
    <row r="715" spans="1:26">
      <c r="A715" s="90"/>
      <c r="C715" s="90"/>
      <c r="E715" s="90"/>
      <c r="K715" s="90"/>
      <c r="P715" s="90"/>
      <c r="Q715" s="90"/>
      <c r="R715" s="90"/>
      <c r="W715" s="6"/>
      <c r="X715" s="6"/>
      <c r="Y715" s="6"/>
      <c r="Z715" s="6"/>
    </row>
    <row r="716" spans="1:26">
      <c r="A716" s="90"/>
      <c r="C716" s="90"/>
      <c r="E716" s="90"/>
      <c r="K716" s="90"/>
      <c r="P716" s="90"/>
      <c r="Q716" s="90"/>
      <c r="R716" s="90"/>
      <c r="W716" s="6"/>
      <c r="X716" s="6"/>
      <c r="Y716" s="6"/>
      <c r="Z716" s="6"/>
    </row>
    <row r="717" spans="1:26">
      <c r="A717" s="90"/>
      <c r="C717" s="90"/>
      <c r="E717" s="90"/>
      <c r="K717" s="90"/>
      <c r="P717" s="90"/>
      <c r="Q717" s="90"/>
      <c r="R717" s="90"/>
      <c r="W717" s="6"/>
      <c r="X717" s="6"/>
      <c r="Y717" s="6"/>
      <c r="Z717" s="6"/>
    </row>
    <row r="718" spans="1:26">
      <c r="A718" s="90"/>
      <c r="C718" s="90"/>
      <c r="E718" s="90"/>
      <c r="K718" s="90"/>
      <c r="P718" s="90"/>
      <c r="Q718" s="90"/>
      <c r="R718" s="90"/>
      <c r="W718" s="6"/>
      <c r="X718" s="6"/>
      <c r="Y718" s="6"/>
      <c r="Z718" s="6"/>
    </row>
    <row r="719" spans="1:26">
      <c r="A719" s="90"/>
      <c r="C719" s="90"/>
      <c r="E719" s="90"/>
      <c r="K719" s="90"/>
      <c r="P719" s="90"/>
      <c r="Q719" s="90"/>
      <c r="R719" s="90"/>
      <c r="W719" s="6"/>
      <c r="X719" s="6"/>
      <c r="Y719" s="6"/>
      <c r="Z719" s="6"/>
    </row>
    <row r="720" spans="1:26">
      <c r="A720" s="90"/>
      <c r="C720" s="90"/>
      <c r="E720" s="90"/>
      <c r="K720" s="90"/>
      <c r="P720" s="90"/>
      <c r="Q720" s="90"/>
      <c r="R720" s="90"/>
      <c r="W720" s="6"/>
      <c r="X720" s="6"/>
      <c r="Y720" s="6"/>
      <c r="Z720" s="6"/>
    </row>
    <row r="721" spans="1:26">
      <c r="A721" s="90"/>
      <c r="C721" s="90"/>
      <c r="E721" s="90"/>
      <c r="K721" s="90"/>
      <c r="P721" s="90"/>
      <c r="Q721" s="90"/>
      <c r="R721" s="90"/>
      <c r="W721" s="6"/>
      <c r="X721" s="6"/>
      <c r="Y721" s="6"/>
      <c r="Z721" s="6"/>
    </row>
    <row r="722" spans="1:26">
      <c r="A722" s="90"/>
      <c r="C722" s="90"/>
      <c r="E722" s="90"/>
      <c r="K722" s="90"/>
      <c r="P722" s="90"/>
      <c r="Q722" s="90"/>
      <c r="R722" s="90"/>
      <c r="W722" s="6"/>
      <c r="X722" s="6"/>
      <c r="Y722" s="6"/>
      <c r="Z722" s="6"/>
    </row>
    <row r="723" spans="1:26">
      <c r="A723" s="90"/>
      <c r="C723" s="90"/>
      <c r="E723" s="90"/>
      <c r="K723" s="90"/>
      <c r="P723" s="90"/>
      <c r="Q723" s="90"/>
      <c r="R723" s="90"/>
      <c r="W723" s="6"/>
      <c r="X723" s="6"/>
      <c r="Y723" s="6"/>
      <c r="Z723" s="6"/>
    </row>
    <row r="724" spans="1:26">
      <c r="A724" s="90"/>
      <c r="C724" s="90"/>
      <c r="E724" s="90"/>
      <c r="K724" s="90"/>
      <c r="P724" s="90"/>
      <c r="Q724" s="90"/>
      <c r="R724" s="90"/>
      <c r="W724" s="6"/>
      <c r="X724" s="6"/>
      <c r="Y724" s="6"/>
      <c r="Z724" s="6"/>
    </row>
    <row r="725" spans="1:26">
      <c r="A725" s="90"/>
      <c r="C725" s="90"/>
      <c r="E725" s="90"/>
      <c r="K725" s="90"/>
      <c r="P725" s="90"/>
      <c r="Q725" s="90"/>
      <c r="R725" s="90"/>
      <c r="W725" s="6"/>
      <c r="X725" s="6"/>
      <c r="Y725" s="6"/>
      <c r="Z725" s="6"/>
    </row>
    <row r="726" spans="1:26">
      <c r="A726" s="90"/>
      <c r="C726" s="90"/>
      <c r="E726" s="90"/>
      <c r="K726" s="90"/>
      <c r="P726" s="90"/>
      <c r="Q726" s="90"/>
      <c r="R726" s="90"/>
      <c r="W726" s="6"/>
      <c r="X726" s="6"/>
      <c r="Y726" s="6"/>
      <c r="Z726" s="6"/>
    </row>
    <row r="727" spans="1:26">
      <c r="A727" s="90"/>
      <c r="C727" s="90"/>
      <c r="E727" s="90"/>
      <c r="K727" s="90"/>
      <c r="P727" s="90"/>
      <c r="Q727" s="90"/>
      <c r="R727" s="90"/>
      <c r="W727" s="6"/>
      <c r="X727" s="6"/>
      <c r="Y727" s="6"/>
      <c r="Z727" s="6"/>
    </row>
    <row r="728" spans="1:26">
      <c r="A728" s="90"/>
      <c r="C728" s="90"/>
      <c r="E728" s="90"/>
      <c r="K728" s="90"/>
      <c r="P728" s="90"/>
      <c r="Q728" s="90"/>
      <c r="R728" s="90"/>
      <c r="W728" s="6"/>
      <c r="X728" s="6"/>
      <c r="Y728" s="6"/>
      <c r="Z728" s="6"/>
    </row>
    <row r="729" spans="1:26">
      <c r="A729" s="90"/>
      <c r="C729" s="90"/>
      <c r="E729" s="90"/>
      <c r="K729" s="90"/>
      <c r="P729" s="90"/>
      <c r="Q729" s="90"/>
      <c r="R729" s="90"/>
      <c r="W729" s="6"/>
      <c r="X729" s="6"/>
      <c r="Y729" s="6"/>
      <c r="Z729" s="6"/>
    </row>
    <row r="730" spans="1:26">
      <c r="A730" s="90"/>
      <c r="C730" s="90"/>
      <c r="E730" s="90"/>
      <c r="K730" s="90"/>
      <c r="P730" s="90"/>
      <c r="Q730" s="90"/>
      <c r="R730" s="90"/>
      <c r="W730" s="6"/>
      <c r="X730" s="6"/>
      <c r="Y730" s="6"/>
      <c r="Z730" s="6"/>
    </row>
    <row r="731" spans="1:26">
      <c r="A731" s="90"/>
      <c r="C731" s="90"/>
      <c r="E731" s="90"/>
      <c r="K731" s="90"/>
      <c r="P731" s="90"/>
      <c r="Q731" s="90"/>
      <c r="R731" s="90"/>
      <c r="W731" s="6"/>
      <c r="X731" s="6"/>
      <c r="Y731" s="6"/>
      <c r="Z731" s="6"/>
    </row>
    <row r="732" spans="1:26">
      <c r="A732" s="90"/>
      <c r="C732" s="90"/>
      <c r="E732" s="90"/>
      <c r="K732" s="90"/>
      <c r="P732" s="90"/>
      <c r="Q732" s="90"/>
      <c r="R732" s="90"/>
      <c r="W732" s="6"/>
      <c r="X732" s="6"/>
      <c r="Y732" s="6"/>
      <c r="Z732" s="6"/>
    </row>
    <row r="733" spans="1:26">
      <c r="A733" s="90"/>
      <c r="C733" s="90"/>
      <c r="E733" s="90"/>
      <c r="K733" s="90"/>
      <c r="P733" s="90"/>
      <c r="Q733" s="90"/>
      <c r="R733" s="90"/>
      <c r="W733" s="6"/>
      <c r="X733" s="6"/>
      <c r="Y733" s="6"/>
      <c r="Z733" s="6"/>
    </row>
    <row r="734" spans="1:26">
      <c r="A734" s="90"/>
      <c r="C734" s="90"/>
      <c r="E734" s="90"/>
      <c r="K734" s="90"/>
      <c r="P734" s="90"/>
      <c r="Q734" s="90"/>
      <c r="R734" s="90"/>
      <c r="W734" s="6"/>
      <c r="X734" s="6"/>
      <c r="Y734" s="6"/>
      <c r="Z734" s="6"/>
    </row>
    <row r="735" spans="1:26">
      <c r="A735" s="90"/>
      <c r="C735" s="90"/>
      <c r="E735" s="90"/>
      <c r="K735" s="90"/>
      <c r="P735" s="90"/>
      <c r="Q735" s="90"/>
      <c r="R735" s="90"/>
      <c r="W735" s="6"/>
      <c r="X735" s="6"/>
      <c r="Y735" s="6"/>
      <c r="Z735" s="6"/>
    </row>
    <row r="736" spans="1:26">
      <c r="A736" s="90"/>
      <c r="C736" s="90"/>
      <c r="E736" s="90"/>
      <c r="K736" s="90"/>
      <c r="P736" s="90"/>
      <c r="Q736" s="90"/>
      <c r="R736" s="90"/>
      <c r="W736" s="6"/>
      <c r="X736" s="6"/>
      <c r="Y736" s="6"/>
      <c r="Z736" s="6"/>
    </row>
    <row r="737" spans="1:26">
      <c r="A737" s="90"/>
      <c r="C737" s="90"/>
      <c r="E737" s="90"/>
      <c r="K737" s="90"/>
      <c r="P737" s="90"/>
      <c r="Q737" s="90"/>
      <c r="R737" s="90"/>
      <c r="W737" s="6"/>
      <c r="X737" s="6"/>
      <c r="Y737" s="6"/>
      <c r="Z737" s="6"/>
    </row>
    <row r="738" spans="1:26">
      <c r="A738" s="90"/>
      <c r="C738" s="90"/>
      <c r="E738" s="90"/>
      <c r="K738" s="90"/>
      <c r="P738" s="90"/>
      <c r="Q738" s="90"/>
      <c r="R738" s="90"/>
      <c r="W738" s="6"/>
      <c r="X738" s="6"/>
      <c r="Y738" s="6"/>
      <c r="Z738" s="6"/>
    </row>
    <row r="739" spans="1:26">
      <c r="A739" s="90"/>
      <c r="C739" s="90"/>
      <c r="E739" s="90"/>
      <c r="K739" s="90"/>
      <c r="P739" s="90"/>
      <c r="Q739" s="90"/>
      <c r="R739" s="90"/>
      <c r="W739" s="6"/>
      <c r="X739" s="6"/>
      <c r="Y739" s="6"/>
      <c r="Z739" s="6"/>
    </row>
    <row r="740" spans="1:26">
      <c r="A740" s="90"/>
      <c r="C740" s="90"/>
      <c r="E740" s="90"/>
      <c r="K740" s="90"/>
      <c r="P740" s="90"/>
      <c r="Q740" s="90"/>
      <c r="R740" s="90"/>
      <c r="W740" s="6"/>
      <c r="X740" s="6"/>
      <c r="Y740" s="6"/>
      <c r="Z740" s="6"/>
    </row>
    <row r="741" spans="1:26">
      <c r="A741" s="90"/>
      <c r="C741" s="90"/>
      <c r="E741" s="90"/>
      <c r="K741" s="90"/>
      <c r="P741" s="90"/>
      <c r="Q741" s="90"/>
      <c r="R741" s="90"/>
      <c r="W741" s="6"/>
      <c r="X741" s="6"/>
      <c r="Y741" s="6"/>
      <c r="Z741" s="6"/>
    </row>
    <row r="742" spans="1:26">
      <c r="A742" s="90"/>
      <c r="C742" s="90"/>
      <c r="E742" s="90"/>
      <c r="K742" s="90"/>
      <c r="P742" s="90"/>
      <c r="Q742" s="90"/>
      <c r="R742" s="90"/>
      <c r="W742" s="6"/>
      <c r="X742" s="6"/>
      <c r="Y742" s="6"/>
      <c r="Z742" s="6"/>
    </row>
    <row r="743" spans="1:26">
      <c r="A743" s="90"/>
      <c r="C743" s="90"/>
      <c r="E743" s="90"/>
      <c r="K743" s="90"/>
      <c r="P743" s="90"/>
      <c r="Q743" s="90"/>
      <c r="R743" s="90"/>
      <c r="W743" s="6"/>
      <c r="X743" s="6"/>
      <c r="Y743" s="6"/>
      <c r="Z743" s="6"/>
    </row>
    <row r="744" spans="1:26">
      <c r="A744" s="90"/>
      <c r="C744" s="90"/>
      <c r="E744" s="90"/>
      <c r="K744" s="90"/>
      <c r="P744" s="90"/>
      <c r="Q744" s="90"/>
      <c r="R744" s="90"/>
      <c r="W744" s="6"/>
      <c r="X744" s="6"/>
      <c r="Y744" s="6"/>
      <c r="Z744" s="6"/>
    </row>
    <row r="745" spans="1:26">
      <c r="A745" s="90"/>
      <c r="C745" s="90"/>
      <c r="E745" s="90"/>
      <c r="K745" s="90"/>
      <c r="P745" s="90"/>
      <c r="Q745" s="90"/>
      <c r="R745" s="90"/>
      <c r="W745" s="6"/>
      <c r="X745" s="6"/>
      <c r="Y745" s="6"/>
      <c r="Z745" s="6"/>
    </row>
    <row r="746" spans="1:26">
      <c r="A746" s="90"/>
      <c r="C746" s="90"/>
      <c r="E746" s="90"/>
      <c r="K746" s="90"/>
      <c r="P746" s="90"/>
      <c r="Q746" s="90"/>
      <c r="R746" s="90"/>
      <c r="W746" s="6"/>
      <c r="X746" s="6"/>
      <c r="Y746" s="6"/>
      <c r="Z746" s="6"/>
    </row>
    <row r="747" spans="1:26">
      <c r="A747" s="90"/>
      <c r="C747" s="90"/>
      <c r="E747" s="90"/>
      <c r="K747" s="90"/>
      <c r="P747" s="90"/>
      <c r="Q747" s="90"/>
      <c r="R747" s="90"/>
      <c r="W747" s="6"/>
      <c r="X747" s="6"/>
      <c r="Y747" s="6"/>
      <c r="Z747" s="6"/>
    </row>
    <row r="748" spans="1:26">
      <c r="A748" s="90"/>
      <c r="C748" s="90"/>
      <c r="E748" s="90"/>
      <c r="K748" s="90"/>
      <c r="P748" s="90"/>
      <c r="Q748" s="90"/>
      <c r="R748" s="90"/>
      <c r="W748" s="6"/>
      <c r="X748" s="6"/>
      <c r="Y748" s="6"/>
      <c r="Z748" s="6"/>
    </row>
    <row r="749" spans="1:26">
      <c r="A749" s="90"/>
      <c r="C749" s="90"/>
      <c r="E749" s="90"/>
      <c r="K749" s="90"/>
      <c r="P749" s="90"/>
      <c r="Q749" s="90"/>
      <c r="R749" s="90"/>
      <c r="W749" s="6"/>
      <c r="X749" s="6"/>
      <c r="Y749" s="6"/>
      <c r="Z749" s="6"/>
    </row>
    <row r="750" spans="1:26">
      <c r="A750" s="90"/>
      <c r="C750" s="90"/>
      <c r="E750" s="90"/>
      <c r="K750" s="90"/>
      <c r="P750" s="90"/>
      <c r="Q750" s="90"/>
      <c r="R750" s="90"/>
      <c r="W750" s="6"/>
      <c r="X750" s="6"/>
      <c r="Y750" s="6"/>
      <c r="Z750" s="6"/>
    </row>
    <row r="751" spans="1:26">
      <c r="A751" s="90"/>
      <c r="C751" s="90"/>
      <c r="E751" s="90"/>
      <c r="K751" s="90"/>
      <c r="P751" s="90"/>
      <c r="Q751" s="90"/>
      <c r="R751" s="90"/>
      <c r="W751" s="6"/>
      <c r="X751" s="6"/>
      <c r="Y751" s="6"/>
      <c r="Z751" s="6"/>
    </row>
    <row r="752" spans="1:26">
      <c r="A752" s="90"/>
      <c r="C752" s="90"/>
      <c r="E752" s="90"/>
      <c r="K752" s="90"/>
      <c r="P752" s="90"/>
      <c r="Q752" s="90"/>
      <c r="R752" s="90"/>
      <c r="W752" s="6"/>
      <c r="X752" s="6"/>
      <c r="Y752" s="6"/>
      <c r="Z752" s="6"/>
    </row>
    <row r="753" spans="1:26">
      <c r="A753" s="90"/>
      <c r="C753" s="90"/>
      <c r="E753" s="90"/>
      <c r="K753" s="90"/>
      <c r="P753" s="90"/>
      <c r="Q753" s="90"/>
      <c r="R753" s="90"/>
      <c r="W753" s="6"/>
      <c r="X753" s="6"/>
      <c r="Y753" s="6"/>
      <c r="Z753" s="6"/>
    </row>
    <row r="754" spans="1:26">
      <c r="A754" s="90"/>
      <c r="C754" s="90"/>
      <c r="E754" s="90"/>
      <c r="K754" s="90"/>
      <c r="P754" s="90"/>
      <c r="Q754" s="90"/>
      <c r="R754" s="90"/>
      <c r="W754" s="6"/>
      <c r="X754" s="6"/>
      <c r="Y754" s="6"/>
      <c r="Z754" s="6"/>
    </row>
    <row r="755" spans="1:26">
      <c r="A755" s="90"/>
      <c r="C755" s="90"/>
      <c r="E755" s="90"/>
      <c r="K755" s="90"/>
      <c r="P755" s="90"/>
      <c r="Q755" s="90"/>
      <c r="R755" s="90"/>
      <c r="W755" s="6"/>
      <c r="X755" s="6"/>
      <c r="Y755" s="6"/>
      <c r="Z755" s="6"/>
    </row>
    <row r="756" spans="1:26">
      <c r="A756" s="90"/>
      <c r="C756" s="90"/>
      <c r="E756" s="90"/>
      <c r="K756" s="90"/>
      <c r="P756" s="90"/>
      <c r="Q756" s="90"/>
      <c r="R756" s="90"/>
      <c r="W756" s="6"/>
      <c r="X756" s="6"/>
      <c r="Y756" s="6"/>
      <c r="Z756" s="6"/>
    </row>
    <row r="757" spans="1:26">
      <c r="A757" s="90"/>
      <c r="C757" s="90"/>
      <c r="E757" s="90"/>
      <c r="K757" s="90"/>
      <c r="P757" s="90"/>
      <c r="Q757" s="90"/>
      <c r="R757" s="90"/>
      <c r="W757" s="6"/>
      <c r="X757" s="6"/>
      <c r="Y757" s="6"/>
      <c r="Z757" s="6"/>
    </row>
    <row r="758" spans="1:26">
      <c r="A758" s="90"/>
      <c r="C758" s="90"/>
      <c r="E758" s="90"/>
      <c r="K758" s="90"/>
      <c r="P758" s="90"/>
      <c r="Q758" s="90"/>
      <c r="R758" s="90"/>
      <c r="W758" s="6"/>
      <c r="X758" s="6"/>
      <c r="Y758" s="6"/>
      <c r="Z758" s="6"/>
    </row>
    <row r="759" spans="1:26">
      <c r="A759" s="90"/>
      <c r="C759" s="90"/>
      <c r="E759" s="90"/>
      <c r="K759" s="90"/>
      <c r="P759" s="90"/>
      <c r="Q759" s="90"/>
      <c r="R759" s="90"/>
      <c r="W759" s="6"/>
      <c r="X759" s="6"/>
      <c r="Y759" s="6"/>
      <c r="Z759" s="6"/>
    </row>
    <row r="760" spans="1:26">
      <c r="A760" s="90"/>
      <c r="C760" s="90"/>
      <c r="E760" s="90"/>
      <c r="K760" s="90"/>
      <c r="P760" s="90"/>
      <c r="Q760" s="90"/>
      <c r="R760" s="90"/>
      <c r="W760" s="6"/>
      <c r="X760" s="6"/>
      <c r="Y760" s="6"/>
      <c r="Z760" s="6"/>
    </row>
    <row r="761" spans="1:26">
      <c r="A761" s="90"/>
      <c r="C761" s="90"/>
      <c r="E761" s="90"/>
      <c r="K761" s="90"/>
      <c r="P761" s="90"/>
      <c r="Q761" s="90"/>
      <c r="R761" s="90"/>
      <c r="W761" s="6"/>
      <c r="X761" s="6"/>
      <c r="Y761" s="6"/>
      <c r="Z761" s="6"/>
    </row>
    <row r="762" spans="1:26">
      <c r="A762" s="90"/>
      <c r="C762" s="90"/>
      <c r="E762" s="90"/>
      <c r="K762" s="90"/>
      <c r="P762" s="90"/>
      <c r="Q762" s="90"/>
      <c r="R762" s="90"/>
      <c r="W762" s="6"/>
      <c r="X762" s="6"/>
      <c r="Y762" s="6"/>
      <c r="Z762" s="6"/>
    </row>
    <row r="763" spans="1:26">
      <c r="A763" s="90"/>
      <c r="C763" s="90"/>
      <c r="E763" s="90"/>
      <c r="K763" s="90"/>
      <c r="P763" s="90"/>
      <c r="Q763" s="90"/>
      <c r="R763" s="90"/>
      <c r="W763" s="6"/>
      <c r="X763" s="6"/>
      <c r="Y763" s="6"/>
      <c r="Z763" s="6"/>
    </row>
    <row r="764" spans="1:26">
      <c r="A764" s="90"/>
      <c r="C764" s="90"/>
      <c r="E764" s="90"/>
      <c r="K764" s="90"/>
      <c r="P764" s="90"/>
      <c r="Q764" s="90"/>
      <c r="R764" s="90"/>
      <c r="W764" s="6"/>
      <c r="X764" s="6"/>
      <c r="Y764" s="6"/>
      <c r="Z764" s="6"/>
    </row>
    <row r="765" spans="1:26">
      <c r="A765" s="90"/>
      <c r="C765" s="90"/>
      <c r="E765" s="90"/>
      <c r="K765" s="90"/>
      <c r="P765" s="90"/>
      <c r="Q765" s="90"/>
      <c r="R765" s="90"/>
      <c r="W765" s="6"/>
      <c r="X765" s="6"/>
      <c r="Y765" s="6"/>
      <c r="Z765" s="6"/>
    </row>
    <row r="766" spans="1:26">
      <c r="A766" s="90"/>
      <c r="C766" s="90"/>
      <c r="E766" s="90"/>
      <c r="K766" s="90"/>
      <c r="P766" s="90"/>
      <c r="Q766" s="90"/>
      <c r="R766" s="90"/>
      <c r="W766" s="6"/>
      <c r="X766" s="6"/>
      <c r="Y766" s="6"/>
      <c r="Z766" s="6"/>
    </row>
    <row r="767" spans="1:26">
      <c r="A767" s="90"/>
      <c r="C767" s="90"/>
      <c r="E767" s="90"/>
      <c r="K767" s="90"/>
      <c r="P767" s="90"/>
      <c r="Q767" s="90"/>
      <c r="R767" s="90"/>
      <c r="W767" s="6"/>
      <c r="X767" s="6"/>
      <c r="Y767" s="6"/>
      <c r="Z767" s="6"/>
    </row>
    <row r="768" spans="1:26">
      <c r="A768" s="90"/>
      <c r="C768" s="90"/>
      <c r="E768" s="90"/>
      <c r="K768" s="90"/>
      <c r="P768" s="90"/>
      <c r="Q768" s="90"/>
      <c r="R768" s="90"/>
      <c r="W768" s="6"/>
      <c r="X768" s="6"/>
      <c r="Y768" s="6"/>
      <c r="Z768" s="6"/>
    </row>
    <row r="769" spans="1:26">
      <c r="A769" s="90"/>
      <c r="C769" s="90"/>
      <c r="E769" s="90"/>
      <c r="K769" s="90"/>
      <c r="P769" s="90"/>
      <c r="Q769" s="90"/>
      <c r="R769" s="90"/>
      <c r="W769" s="6"/>
      <c r="X769" s="6"/>
      <c r="Y769" s="6"/>
      <c r="Z769" s="6"/>
    </row>
    <row r="770" spans="1:26">
      <c r="A770" s="90"/>
      <c r="C770" s="90"/>
      <c r="E770" s="90"/>
      <c r="K770" s="90"/>
      <c r="P770" s="90"/>
      <c r="Q770" s="90"/>
      <c r="R770" s="90"/>
      <c r="W770" s="6"/>
      <c r="X770" s="6"/>
      <c r="Y770" s="6"/>
      <c r="Z770" s="6"/>
    </row>
    <row r="771" spans="1:26">
      <c r="A771" s="90"/>
      <c r="C771" s="90"/>
      <c r="E771" s="90"/>
      <c r="K771" s="90"/>
      <c r="P771" s="90"/>
      <c r="Q771" s="90"/>
      <c r="R771" s="90"/>
      <c r="W771" s="6"/>
      <c r="X771" s="6"/>
      <c r="Y771" s="6"/>
      <c r="Z771" s="6"/>
    </row>
    <row r="772" spans="1:26">
      <c r="A772" s="90"/>
      <c r="C772" s="90"/>
      <c r="E772" s="90"/>
      <c r="K772" s="90"/>
      <c r="P772" s="90"/>
      <c r="Q772" s="90"/>
      <c r="R772" s="90"/>
      <c r="W772" s="6"/>
      <c r="X772" s="6"/>
      <c r="Y772" s="6"/>
      <c r="Z772" s="6"/>
    </row>
    <row r="773" spans="1:26">
      <c r="A773" s="90"/>
      <c r="C773" s="90"/>
      <c r="E773" s="90"/>
      <c r="K773" s="90"/>
      <c r="P773" s="90"/>
      <c r="Q773" s="90"/>
      <c r="R773" s="90"/>
      <c r="W773" s="6"/>
      <c r="X773" s="6"/>
      <c r="Y773" s="6"/>
      <c r="Z773" s="6"/>
    </row>
    <row r="774" spans="1:26">
      <c r="A774" s="90"/>
      <c r="C774" s="90"/>
      <c r="E774" s="90"/>
      <c r="K774" s="90"/>
      <c r="P774" s="90"/>
      <c r="Q774" s="90"/>
      <c r="R774" s="90"/>
      <c r="W774" s="6"/>
      <c r="X774" s="6"/>
      <c r="Y774" s="6"/>
      <c r="Z774" s="6"/>
    </row>
    <row r="775" spans="1:26">
      <c r="A775" s="90"/>
      <c r="C775" s="90"/>
      <c r="E775" s="90"/>
      <c r="K775" s="90"/>
      <c r="P775" s="90"/>
      <c r="Q775" s="90"/>
      <c r="R775" s="90"/>
      <c r="W775" s="6"/>
      <c r="X775" s="6"/>
      <c r="Y775" s="6"/>
      <c r="Z775" s="6"/>
    </row>
    <row r="776" spans="1:26">
      <c r="A776" s="90"/>
      <c r="C776" s="90"/>
      <c r="E776" s="90"/>
      <c r="K776" s="90"/>
      <c r="P776" s="90"/>
      <c r="Q776" s="90"/>
      <c r="R776" s="90"/>
      <c r="W776" s="6"/>
      <c r="X776" s="6"/>
      <c r="Y776" s="6"/>
      <c r="Z776" s="6"/>
    </row>
    <row r="777" spans="1:26">
      <c r="A777" s="90"/>
      <c r="C777" s="90"/>
      <c r="E777" s="90"/>
      <c r="K777" s="90"/>
      <c r="P777" s="90"/>
      <c r="Q777" s="90"/>
      <c r="R777" s="90"/>
      <c r="W777" s="6"/>
      <c r="X777" s="6"/>
      <c r="Y777" s="6"/>
      <c r="Z777" s="6"/>
    </row>
    <row r="778" spans="1:26">
      <c r="A778" s="90"/>
      <c r="C778" s="90"/>
      <c r="E778" s="90"/>
      <c r="K778" s="90"/>
      <c r="P778" s="90"/>
      <c r="Q778" s="90"/>
      <c r="R778" s="90"/>
      <c r="W778" s="6"/>
      <c r="X778" s="6"/>
      <c r="Y778" s="6"/>
      <c r="Z778" s="6"/>
    </row>
    <row r="779" spans="1:26">
      <c r="A779" s="90"/>
      <c r="C779" s="90"/>
      <c r="E779" s="90"/>
      <c r="K779" s="90"/>
      <c r="P779" s="90"/>
      <c r="Q779" s="90"/>
      <c r="R779" s="90"/>
      <c r="W779" s="6"/>
      <c r="X779" s="6"/>
      <c r="Y779" s="6"/>
      <c r="Z779" s="6"/>
    </row>
    <row r="780" spans="1:26">
      <c r="A780" s="90"/>
      <c r="C780" s="90"/>
      <c r="E780" s="90"/>
      <c r="K780" s="90"/>
      <c r="P780" s="90"/>
      <c r="Q780" s="90"/>
      <c r="R780" s="90"/>
      <c r="W780" s="6"/>
      <c r="X780" s="6"/>
      <c r="Y780" s="6"/>
      <c r="Z780" s="6"/>
    </row>
    <row r="781" spans="1:26">
      <c r="A781" s="90"/>
      <c r="C781" s="90"/>
      <c r="E781" s="90"/>
      <c r="K781" s="90"/>
      <c r="P781" s="90"/>
      <c r="Q781" s="90"/>
      <c r="R781" s="90"/>
      <c r="W781" s="6"/>
      <c r="X781" s="6"/>
      <c r="Y781" s="6"/>
      <c r="Z781" s="6"/>
    </row>
    <row r="782" spans="1:26">
      <c r="A782" s="90"/>
      <c r="C782" s="90"/>
      <c r="E782" s="90"/>
      <c r="K782" s="90"/>
      <c r="P782" s="90"/>
      <c r="Q782" s="90"/>
      <c r="R782" s="90"/>
      <c r="W782" s="6"/>
      <c r="X782" s="6"/>
      <c r="Y782" s="6"/>
      <c r="Z782" s="6"/>
    </row>
    <row r="783" spans="1:26">
      <c r="A783" s="90"/>
      <c r="C783" s="90"/>
      <c r="E783" s="90"/>
      <c r="K783" s="90"/>
      <c r="P783" s="90"/>
      <c r="Q783" s="90"/>
      <c r="R783" s="90"/>
      <c r="W783" s="6"/>
      <c r="X783" s="6"/>
      <c r="Y783" s="6"/>
      <c r="Z783" s="6"/>
    </row>
    <row r="784" spans="1:26">
      <c r="A784" s="90"/>
      <c r="C784" s="90"/>
      <c r="E784" s="90"/>
      <c r="K784" s="90"/>
      <c r="P784" s="90"/>
      <c r="Q784" s="90"/>
      <c r="R784" s="90"/>
      <c r="W784" s="6"/>
      <c r="X784" s="6"/>
      <c r="Y784" s="6"/>
      <c r="Z784" s="6"/>
    </row>
    <row r="785" spans="1:26">
      <c r="A785" s="90"/>
      <c r="C785" s="90"/>
      <c r="E785" s="90"/>
      <c r="K785" s="90"/>
      <c r="P785" s="90"/>
      <c r="Q785" s="90"/>
      <c r="R785" s="90"/>
      <c r="W785" s="6"/>
      <c r="X785" s="6"/>
      <c r="Y785" s="6"/>
      <c r="Z785" s="6"/>
    </row>
    <row r="786" spans="1:26">
      <c r="A786" s="90"/>
      <c r="C786" s="90"/>
      <c r="E786" s="90"/>
      <c r="K786" s="90"/>
      <c r="P786" s="90"/>
      <c r="Q786" s="90"/>
      <c r="R786" s="90"/>
      <c r="W786" s="6"/>
      <c r="X786" s="6"/>
      <c r="Y786" s="6"/>
      <c r="Z786" s="6"/>
    </row>
    <row r="787" spans="1:26">
      <c r="A787" s="90"/>
      <c r="C787" s="90"/>
      <c r="E787" s="90"/>
      <c r="K787" s="90"/>
      <c r="P787" s="90"/>
      <c r="Q787" s="90"/>
      <c r="R787" s="90"/>
      <c r="W787" s="6"/>
      <c r="X787" s="6"/>
      <c r="Y787" s="6"/>
      <c r="Z787" s="6"/>
    </row>
    <row r="788" spans="1:26">
      <c r="A788" s="90"/>
      <c r="C788" s="90"/>
      <c r="E788" s="90"/>
      <c r="K788" s="90"/>
      <c r="P788" s="90"/>
      <c r="Q788" s="90"/>
      <c r="R788" s="90"/>
      <c r="W788" s="6"/>
      <c r="X788" s="6"/>
      <c r="Y788" s="6"/>
      <c r="Z788" s="6"/>
    </row>
    <row r="789" spans="1:26">
      <c r="A789" s="90"/>
      <c r="C789" s="90"/>
      <c r="E789" s="90"/>
      <c r="K789" s="90"/>
      <c r="P789" s="90"/>
      <c r="Q789" s="90"/>
      <c r="R789" s="90"/>
      <c r="W789" s="6"/>
      <c r="X789" s="6"/>
      <c r="Y789" s="6"/>
      <c r="Z789" s="6"/>
    </row>
    <row r="790" spans="1:26">
      <c r="A790" s="90"/>
      <c r="C790" s="90"/>
      <c r="E790" s="90"/>
      <c r="K790" s="90"/>
      <c r="P790" s="90"/>
      <c r="Q790" s="90"/>
      <c r="R790" s="90"/>
      <c r="W790" s="6"/>
      <c r="X790" s="6"/>
      <c r="Y790" s="6"/>
      <c r="Z790" s="6"/>
    </row>
    <row r="791" spans="1:26">
      <c r="A791" s="90"/>
      <c r="C791" s="90"/>
      <c r="E791" s="90"/>
      <c r="K791" s="90"/>
      <c r="P791" s="90"/>
      <c r="Q791" s="90"/>
      <c r="R791" s="90"/>
      <c r="W791" s="6"/>
      <c r="X791" s="6"/>
      <c r="Y791" s="6"/>
      <c r="Z791" s="6"/>
    </row>
    <row r="792" spans="1:26">
      <c r="A792" s="90"/>
      <c r="C792" s="90"/>
      <c r="E792" s="90"/>
      <c r="K792" s="90"/>
      <c r="P792" s="90"/>
      <c r="Q792" s="90"/>
      <c r="R792" s="90"/>
      <c r="W792" s="6"/>
      <c r="X792" s="6"/>
      <c r="Y792" s="6"/>
      <c r="Z792" s="6"/>
    </row>
    <row r="793" spans="1:26">
      <c r="A793" s="90"/>
      <c r="C793" s="90"/>
      <c r="E793" s="90"/>
      <c r="K793" s="90"/>
      <c r="P793" s="90"/>
      <c r="Q793" s="90"/>
      <c r="R793" s="90"/>
      <c r="W793" s="6"/>
      <c r="X793" s="6"/>
      <c r="Y793" s="6"/>
      <c r="Z793" s="6"/>
    </row>
    <row r="794" spans="1:26">
      <c r="A794" s="90"/>
      <c r="C794" s="90"/>
      <c r="E794" s="90"/>
      <c r="K794" s="90"/>
      <c r="P794" s="90"/>
      <c r="Q794" s="90"/>
      <c r="R794" s="90"/>
      <c r="W794" s="6"/>
      <c r="X794" s="6"/>
      <c r="Y794" s="6"/>
      <c r="Z794" s="6"/>
    </row>
    <row r="795" spans="1:26">
      <c r="A795" s="90"/>
      <c r="C795" s="90"/>
      <c r="E795" s="90"/>
      <c r="K795" s="90"/>
      <c r="P795" s="90"/>
      <c r="Q795" s="90"/>
      <c r="R795" s="90"/>
      <c r="W795" s="6"/>
      <c r="X795" s="6"/>
      <c r="Y795" s="6"/>
      <c r="Z795" s="6"/>
    </row>
    <row r="796" spans="1:26">
      <c r="A796" s="90"/>
      <c r="C796" s="90"/>
      <c r="E796" s="90"/>
      <c r="K796" s="90"/>
      <c r="P796" s="90"/>
      <c r="Q796" s="90"/>
      <c r="R796" s="90"/>
      <c r="W796" s="6"/>
      <c r="X796" s="6"/>
      <c r="Y796" s="6"/>
      <c r="Z796" s="6"/>
    </row>
    <row r="797" spans="1:26">
      <c r="A797" s="90"/>
      <c r="C797" s="90"/>
      <c r="E797" s="90"/>
      <c r="K797" s="90"/>
      <c r="P797" s="90"/>
      <c r="Q797" s="90"/>
      <c r="R797" s="90"/>
      <c r="W797" s="6"/>
      <c r="X797" s="6"/>
      <c r="Y797" s="6"/>
      <c r="Z797" s="6"/>
    </row>
    <row r="798" spans="1:26">
      <c r="A798" s="90"/>
      <c r="C798" s="90"/>
      <c r="E798" s="90"/>
      <c r="K798" s="90"/>
      <c r="P798" s="90"/>
      <c r="Q798" s="90"/>
      <c r="R798" s="90"/>
      <c r="W798" s="6"/>
      <c r="X798" s="6"/>
      <c r="Y798" s="6"/>
      <c r="Z798" s="6"/>
    </row>
    <row r="799" spans="1:26">
      <c r="A799" s="90"/>
      <c r="C799" s="90"/>
      <c r="E799" s="90"/>
      <c r="K799" s="90"/>
      <c r="P799" s="90"/>
      <c r="Q799" s="90"/>
      <c r="R799" s="90"/>
      <c r="W799" s="6"/>
      <c r="X799" s="6"/>
      <c r="Y799" s="6"/>
      <c r="Z799" s="6"/>
    </row>
    <row r="800" spans="1:26">
      <c r="A800" s="90"/>
      <c r="C800" s="90"/>
      <c r="E800" s="90"/>
      <c r="K800" s="90"/>
      <c r="P800" s="90"/>
      <c r="Q800" s="90"/>
      <c r="R800" s="90"/>
      <c r="W800" s="6"/>
      <c r="X800" s="6"/>
      <c r="Y800" s="6"/>
      <c r="Z800" s="6"/>
    </row>
    <row r="801" spans="1:26">
      <c r="A801" s="90"/>
      <c r="C801" s="90"/>
      <c r="E801" s="90"/>
      <c r="K801" s="90"/>
      <c r="P801" s="90"/>
      <c r="Q801" s="90"/>
      <c r="R801" s="90"/>
      <c r="W801" s="6"/>
      <c r="X801" s="6"/>
      <c r="Y801" s="6"/>
      <c r="Z801" s="6"/>
    </row>
    <row r="802" spans="1:26">
      <c r="A802" s="90"/>
      <c r="C802" s="90"/>
      <c r="E802" s="90"/>
      <c r="K802" s="90"/>
      <c r="P802" s="90"/>
      <c r="Q802" s="90"/>
      <c r="R802" s="90"/>
      <c r="W802" s="6"/>
      <c r="X802" s="6"/>
      <c r="Y802" s="6"/>
      <c r="Z802" s="6"/>
    </row>
    <row r="803" spans="1:26">
      <c r="A803" s="90"/>
      <c r="C803" s="90"/>
      <c r="E803" s="90"/>
      <c r="K803" s="90"/>
      <c r="P803" s="90"/>
      <c r="Q803" s="90"/>
      <c r="R803" s="90"/>
      <c r="W803" s="6"/>
      <c r="X803" s="6"/>
      <c r="Y803" s="6"/>
      <c r="Z803" s="6"/>
    </row>
    <row r="804" spans="1:26">
      <c r="A804" s="90"/>
      <c r="C804" s="90"/>
      <c r="E804" s="90"/>
      <c r="K804" s="90"/>
      <c r="P804" s="90"/>
      <c r="Q804" s="90"/>
      <c r="R804" s="90"/>
      <c r="W804" s="6"/>
      <c r="X804" s="6"/>
      <c r="Y804" s="6"/>
      <c r="Z804" s="6"/>
    </row>
    <row r="805" spans="1:26">
      <c r="A805" s="90"/>
      <c r="C805" s="90"/>
      <c r="E805" s="90"/>
      <c r="K805" s="90"/>
      <c r="P805" s="90"/>
      <c r="Q805" s="90"/>
      <c r="R805" s="90"/>
      <c r="W805" s="6"/>
      <c r="X805" s="6"/>
      <c r="Y805" s="6"/>
      <c r="Z805" s="6"/>
    </row>
    <row r="806" spans="1:26">
      <c r="A806" s="90"/>
      <c r="C806" s="90"/>
      <c r="E806" s="90"/>
      <c r="K806" s="90"/>
      <c r="P806" s="90"/>
      <c r="Q806" s="90"/>
      <c r="R806" s="90"/>
      <c r="W806" s="6"/>
      <c r="X806" s="6"/>
      <c r="Y806" s="6"/>
      <c r="Z806" s="6"/>
    </row>
    <row r="807" spans="1:26">
      <c r="A807" s="90"/>
      <c r="C807" s="90"/>
      <c r="E807" s="90"/>
      <c r="K807" s="90"/>
      <c r="P807" s="90"/>
      <c r="Q807" s="90"/>
      <c r="R807" s="90"/>
      <c r="W807" s="6"/>
      <c r="X807" s="6"/>
      <c r="Y807" s="6"/>
      <c r="Z807" s="6"/>
    </row>
    <row r="808" spans="1:26">
      <c r="A808" s="90"/>
      <c r="C808" s="90"/>
      <c r="E808" s="90"/>
      <c r="K808" s="90"/>
      <c r="P808" s="90"/>
      <c r="Q808" s="90"/>
      <c r="R808" s="90"/>
      <c r="W808" s="6"/>
      <c r="X808" s="6"/>
      <c r="Y808" s="6"/>
      <c r="Z808" s="6"/>
    </row>
    <row r="809" spans="1:26">
      <c r="A809" s="90"/>
      <c r="C809" s="90"/>
      <c r="E809" s="90"/>
      <c r="K809" s="90"/>
      <c r="P809" s="90"/>
      <c r="Q809" s="90"/>
      <c r="R809" s="90"/>
      <c r="W809" s="6"/>
      <c r="X809" s="6"/>
      <c r="Y809" s="6"/>
      <c r="Z809" s="6"/>
    </row>
    <row r="810" spans="1:26">
      <c r="A810" s="90"/>
      <c r="C810" s="90"/>
      <c r="E810" s="90"/>
      <c r="K810" s="90"/>
      <c r="P810" s="90"/>
      <c r="Q810" s="90"/>
      <c r="R810" s="90"/>
      <c r="W810" s="6"/>
      <c r="X810" s="6"/>
      <c r="Y810" s="6"/>
      <c r="Z810" s="6"/>
    </row>
    <row r="811" spans="1:26">
      <c r="A811" s="90"/>
      <c r="C811" s="90"/>
      <c r="E811" s="90"/>
      <c r="K811" s="90"/>
      <c r="P811" s="90"/>
      <c r="Q811" s="90"/>
      <c r="R811" s="90"/>
      <c r="W811" s="6"/>
      <c r="X811" s="6"/>
      <c r="Y811" s="6"/>
      <c r="Z811" s="6"/>
    </row>
    <row r="812" spans="1:26">
      <c r="A812" s="90"/>
      <c r="C812" s="90"/>
      <c r="E812" s="90"/>
      <c r="K812" s="90"/>
      <c r="P812" s="90"/>
      <c r="Q812" s="90"/>
      <c r="R812" s="90"/>
      <c r="W812" s="6"/>
      <c r="X812" s="6"/>
      <c r="Y812" s="6"/>
      <c r="Z812" s="6"/>
    </row>
    <row r="813" spans="1:26">
      <c r="A813" s="90"/>
      <c r="C813" s="90"/>
      <c r="E813" s="90"/>
      <c r="K813" s="90"/>
      <c r="P813" s="90"/>
      <c r="Q813" s="90"/>
      <c r="R813" s="90"/>
      <c r="W813" s="6"/>
      <c r="X813" s="6"/>
      <c r="Y813" s="6"/>
      <c r="Z813" s="6"/>
    </row>
    <row r="814" spans="1:26">
      <c r="A814" s="90"/>
      <c r="C814" s="90"/>
      <c r="E814" s="90"/>
      <c r="K814" s="90"/>
      <c r="P814" s="90"/>
      <c r="Q814" s="90"/>
      <c r="R814" s="90"/>
      <c r="W814" s="6"/>
      <c r="X814" s="6"/>
      <c r="Y814" s="6"/>
      <c r="Z814" s="6"/>
    </row>
    <row r="815" spans="1:26">
      <c r="A815" s="90"/>
      <c r="C815" s="90"/>
      <c r="E815" s="90"/>
      <c r="K815" s="90"/>
      <c r="P815" s="90"/>
      <c r="Q815" s="90"/>
      <c r="R815" s="90"/>
      <c r="W815" s="6"/>
      <c r="X815" s="6"/>
      <c r="Y815" s="6"/>
      <c r="Z815" s="6"/>
    </row>
    <row r="816" spans="1:26">
      <c r="A816" s="90"/>
      <c r="C816" s="90"/>
      <c r="E816" s="90"/>
      <c r="K816" s="90"/>
      <c r="P816" s="90"/>
      <c r="Q816" s="90"/>
      <c r="R816" s="90"/>
      <c r="W816" s="6"/>
      <c r="X816" s="6"/>
      <c r="Y816" s="6"/>
      <c r="Z816" s="6"/>
    </row>
    <row r="817" spans="1:26">
      <c r="A817" s="90"/>
      <c r="C817" s="90"/>
      <c r="E817" s="90"/>
      <c r="K817" s="90"/>
      <c r="P817" s="90"/>
      <c r="Q817" s="90"/>
      <c r="R817" s="90"/>
      <c r="W817" s="6"/>
      <c r="X817" s="6"/>
      <c r="Y817" s="6"/>
      <c r="Z817" s="6"/>
    </row>
    <row r="818" spans="1:26">
      <c r="A818" s="90"/>
      <c r="C818" s="90"/>
      <c r="E818" s="90"/>
      <c r="K818" s="90"/>
      <c r="P818" s="90"/>
      <c r="Q818" s="90"/>
      <c r="R818" s="90"/>
      <c r="W818" s="6"/>
      <c r="X818" s="6"/>
      <c r="Y818" s="6"/>
      <c r="Z818" s="6"/>
    </row>
    <row r="819" spans="1:26">
      <c r="A819" s="90"/>
      <c r="C819" s="90"/>
      <c r="E819" s="90"/>
      <c r="K819" s="90"/>
      <c r="P819" s="90"/>
      <c r="Q819" s="90"/>
      <c r="R819" s="90"/>
      <c r="W819" s="6"/>
      <c r="X819" s="6"/>
      <c r="Y819" s="6"/>
      <c r="Z819" s="6"/>
    </row>
    <row r="820" spans="1:26">
      <c r="A820" s="90"/>
      <c r="C820" s="90"/>
      <c r="E820" s="90"/>
      <c r="K820" s="90"/>
      <c r="P820" s="90"/>
      <c r="Q820" s="90"/>
      <c r="R820" s="90"/>
      <c r="W820" s="6"/>
      <c r="X820" s="6"/>
      <c r="Y820" s="6"/>
      <c r="Z820" s="6"/>
    </row>
    <row r="821" spans="1:26">
      <c r="A821" s="90"/>
      <c r="C821" s="90"/>
      <c r="E821" s="90"/>
      <c r="K821" s="90"/>
      <c r="P821" s="90"/>
      <c r="Q821" s="90"/>
      <c r="R821" s="90"/>
      <c r="W821" s="6"/>
      <c r="X821" s="6"/>
      <c r="Y821" s="6"/>
      <c r="Z821" s="6"/>
    </row>
    <row r="822" spans="1:26">
      <c r="A822" s="90"/>
      <c r="C822" s="90"/>
      <c r="E822" s="90"/>
      <c r="K822" s="90"/>
      <c r="P822" s="90"/>
      <c r="Q822" s="90"/>
      <c r="R822" s="90"/>
      <c r="W822" s="6"/>
      <c r="X822" s="6"/>
      <c r="Y822" s="6"/>
      <c r="Z822" s="6"/>
    </row>
    <row r="823" spans="1:26">
      <c r="A823" s="90"/>
      <c r="C823" s="90"/>
      <c r="E823" s="90"/>
      <c r="K823" s="90"/>
      <c r="P823" s="90"/>
      <c r="Q823" s="90"/>
      <c r="R823" s="90"/>
      <c r="W823" s="6"/>
      <c r="X823" s="6"/>
      <c r="Y823" s="6"/>
      <c r="Z823" s="6"/>
    </row>
    <row r="824" spans="1:26">
      <c r="A824" s="90"/>
      <c r="C824" s="90"/>
      <c r="E824" s="90"/>
      <c r="K824" s="90"/>
      <c r="P824" s="90"/>
      <c r="Q824" s="90"/>
      <c r="R824" s="90"/>
      <c r="W824" s="6"/>
      <c r="X824" s="6"/>
      <c r="Y824" s="6"/>
      <c r="Z824" s="6"/>
    </row>
    <row r="825" spans="1:26">
      <c r="A825" s="90"/>
      <c r="C825" s="90"/>
      <c r="E825" s="90"/>
      <c r="K825" s="90"/>
      <c r="P825" s="90"/>
      <c r="Q825" s="90"/>
      <c r="R825" s="90"/>
      <c r="W825" s="6"/>
      <c r="X825" s="6"/>
      <c r="Y825" s="6"/>
      <c r="Z825" s="6"/>
    </row>
    <row r="826" spans="1:26">
      <c r="A826" s="90"/>
      <c r="C826" s="90"/>
      <c r="E826" s="90"/>
      <c r="K826" s="90"/>
      <c r="P826" s="90"/>
      <c r="Q826" s="90"/>
      <c r="R826" s="90"/>
      <c r="W826" s="6"/>
      <c r="X826" s="6"/>
      <c r="Y826" s="6"/>
      <c r="Z826" s="6"/>
    </row>
    <row r="827" spans="1:26">
      <c r="A827" s="90"/>
      <c r="C827" s="90"/>
      <c r="E827" s="90"/>
      <c r="K827" s="90"/>
      <c r="P827" s="90"/>
      <c r="Q827" s="90"/>
      <c r="R827" s="90"/>
      <c r="W827" s="6"/>
      <c r="X827" s="6"/>
      <c r="Y827" s="6"/>
      <c r="Z827" s="6"/>
    </row>
    <row r="828" spans="1:26">
      <c r="A828" s="90"/>
      <c r="C828" s="90"/>
      <c r="E828" s="90"/>
      <c r="K828" s="90"/>
      <c r="P828" s="90"/>
      <c r="Q828" s="90"/>
      <c r="R828" s="90"/>
      <c r="W828" s="6"/>
      <c r="X828" s="6"/>
      <c r="Y828" s="6"/>
      <c r="Z828" s="6"/>
    </row>
    <row r="829" spans="1:26">
      <c r="A829" s="90"/>
      <c r="C829" s="90"/>
      <c r="E829" s="90"/>
      <c r="K829" s="90"/>
      <c r="P829" s="90"/>
      <c r="Q829" s="90"/>
      <c r="R829" s="90"/>
      <c r="W829" s="6"/>
      <c r="X829" s="6"/>
      <c r="Y829" s="6"/>
      <c r="Z829" s="6"/>
    </row>
    <row r="830" spans="1:26">
      <c r="A830" s="90"/>
      <c r="C830" s="90"/>
      <c r="E830" s="90"/>
      <c r="K830" s="90"/>
      <c r="P830" s="90"/>
      <c r="Q830" s="90"/>
      <c r="R830" s="90"/>
      <c r="W830" s="6"/>
      <c r="X830" s="6"/>
      <c r="Y830" s="6"/>
      <c r="Z830" s="6"/>
    </row>
    <row r="831" spans="1:26">
      <c r="A831" s="90"/>
      <c r="C831" s="90"/>
      <c r="E831" s="90"/>
      <c r="K831" s="90"/>
      <c r="P831" s="90"/>
      <c r="Q831" s="90"/>
      <c r="R831" s="90"/>
      <c r="W831" s="6"/>
      <c r="X831" s="6"/>
      <c r="Y831" s="6"/>
      <c r="Z831" s="6"/>
    </row>
    <row r="832" spans="1:26">
      <c r="A832" s="90"/>
      <c r="C832" s="90"/>
      <c r="E832" s="90"/>
      <c r="K832" s="90"/>
      <c r="P832" s="90"/>
      <c r="Q832" s="90"/>
      <c r="R832" s="90"/>
      <c r="W832" s="6"/>
      <c r="X832" s="6"/>
      <c r="Y832" s="6"/>
      <c r="Z832" s="6"/>
    </row>
    <row r="833" spans="1:26">
      <c r="A833" s="90"/>
      <c r="C833" s="90"/>
      <c r="E833" s="90"/>
      <c r="K833" s="90"/>
      <c r="P833" s="90"/>
      <c r="Q833" s="90"/>
      <c r="R833" s="90"/>
      <c r="W833" s="6"/>
      <c r="X833" s="6"/>
      <c r="Y833" s="6"/>
      <c r="Z833" s="6"/>
    </row>
    <row r="834" spans="1:26">
      <c r="A834" s="90"/>
      <c r="C834" s="90"/>
      <c r="E834" s="90"/>
      <c r="K834" s="90"/>
      <c r="P834" s="90"/>
      <c r="Q834" s="90"/>
      <c r="R834" s="90"/>
      <c r="W834" s="6"/>
      <c r="X834" s="6"/>
      <c r="Y834" s="6"/>
      <c r="Z834" s="6"/>
    </row>
    <row r="835" spans="1:26">
      <c r="A835" s="90"/>
      <c r="C835" s="90"/>
      <c r="E835" s="90"/>
      <c r="K835" s="90"/>
      <c r="P835" s="90"/>
      <c r="Q835" s="90"/>
      <c r="R835" s="90"/>
      <c r="W835" s="6"/>
      <c r="X835" s="6"/>
      <c r="Y835" s="6"/>
      <c r="Z835" s="6"/>
    </row>
    <row r="836" spans="1:26">
      <c r="A836" s="90"/>
      <c r="C836" s="90"/>
      <c r="E836" s="90"/>
      <c r="K836" s="90"/>
      <c r="P836" s="90"/>
      <c r="Q836" s="90"/>
      <c r="R836" s="90"/>
      <c r="W836" s="6"/>
      <c r="X836" s="6"/>
      <c r="Y836" s="6"/>
      <c r="Z836" s="6"/>
    </row>
    <row r="837" spans="1:26">
      <c r="A837" s="90"/>
      <c r="C837" s="90"/>
      <c r="E837" s="90"/>
      <c r="K837" s="90"/>
      <c r="P837" s="90"/>
      <c r="Q837" s="90"/>
      <c r="R837" s="90"/>
      <c r="W837" s="6"/>
      <c r="X837" s="6"/>
      <c r="Y837" s="6"/>
      <c r="Z837" s="6"/>
    </row>
    <row r="838" spans="1:26">
      <c r="A838" s="90"/>
      <c r="C838" s="90"/>
      <c r="E838" s="90"/>
      <c r="K838" s="90"/>
      <c r="P838" s="90"/>
      <c r="Q838" s="90"/>
      <c r="R838" s="90"/>
      <c r="W838" s="6"/>
      <c r="X838" s="6"/>
      <c r="Y838" s="6"/>
      <c r="Z838" s="6"/>
    </row>
    <row r="839" spans="1:26">
      <c r="A839" s="90"/>
      <c r="C839" s="90"/>
      <c r="E839" s="90"/>
      <c r="K839" s="90"/>
      <c r="P839" s="90"/>
      <c r="Q839" s="90"/>
      <c r="R839" s="90"/>
      <c r="W839" s="6"/>
      <c r="X839" s="6"/>
      <c r="Y839" s="6"/>
      <c r="Z839" s="6"/>
    </row>
    <row r="840" spans="1:26">
      <c r="A840" s="90"/>
      <c r="C840" s="90"/>
      <c r="E840" s="90"/>
      <c r="K840" s="90"/>
      <c r="P840" s="90"/>
      <c r="Q840" s="90"/>
      <c r="R840" s="90"/>
      <c r="W840" s="6"/>
      <c r="X840" s="6"/>
      <c r="Y840" s="6"/>
      <c r="Z840" s="6"/>
    </row>
    <row r="841" spans="1:26">
      <c r="A841" s="90"/>
      <c r="C841" s="90"/>
      <c r="E841" s="90"/>
      <c r="K841" s="90"/>
      <c r="P841" s="90"/>
      <c r="Q841" s="90"/>
      <c r="R841" s="90"/>
      <c r="W841" s="6"/>
      <c r="X841" s="6"/>
      <c r="Y841" s="6"/>
      <c r="Z841" s="6"/>
    </row>
    <row r="842" spans="1:26">
      <c r="A842" s="90"/>
      <c r="C842" s="90"/>
      <c r="E842" s="90"/>
      <c r="K842" s="90"/>
      <c r="P842" s="90"/>
      <c r="Q842" s="90"/>
      <c r="R842" s="90"/>
      <c r="W842" s="6"/>
      <c r="X842" s="6"/>
      <c r="Y842" s="6"/>
      <c r="Z842" s="6"/>
    </row>
    <row r="843" spans="1:26">
      <c r="A843" s="90"/>
      <c r="C843" s="90"/>
      <c r="E843" s="90"/>
      <c r="K843" s="90"/>
      <c r="P843" s="90"/>
      <c r="Q843" s="90"/>
      <c r="R843" s="90"/>
      <c r="W843" s="6"/>
      <c r="X843" s="6"/>
      <c r="Y843" s="6"/>
      <c r="Z843" s="6"/>
    </row>
    <row r="844" spans="1:26">
      <c r="A844" s="90"/>
      <c r="C844" s="90"/>
      <c r="E844" s="90"/>
      <c r="K844" s="90"/>
      <c r="P844" s="90"/>
      <c r="Q844" s="90"/>
      <c r="R844" s="90"/>
      <c r="W844" s="6"/>
      <c r="X844" s="6"/>
      <c r="Y844" s="6"/>
      <c r="Z844" s="6"/>
    </row>
    <row r="845" spans="1:26">
      <c r="A845" s="90"/>
      <c r="C845" s="90"/>
      <c r="E845" s="90"/>
      <c r="K845" s="90"/>
      <c r="P845" s="90"/>
      <c r="Q845" s="90"/>
      <c r="R845" s="90"/>
      <c r="W845" s="6"/>
      <c r="X845" s="6"/>
      <c r="Y845" s="6"/>
      <c r="Z845" s="6"/>
    </row>
    <row r="846" spans="1:26">
      <c r="A846" s="90"/>
      <c r="C846" s="90"/>
      <c r="E846" s="90"/>
      <c r="K846" s="90"/>
      <c r="P846" s="90"/>
      <c r="Q846" s="90"/>
      <c r="R846" s="90"/>
      <c r="W846" s="6"/>
      <c r="X846" s="6"/>
      <c r="Y846" s="6"/>
      <c r="Z846" s="6"/>
    </row>
    <row r="847" spans="1:26">
      <c r="A847" s="90"/>
      <c r="C847" s="90"/>
      <c r="E847" s="90"/>
      <c r="K847" s="90"/>
      <c r="P847" s="90"/>
      <c r="Q847" s="90"/>
      <c r="R847" s="90"/>
      <c r="W847" s="6"/>
      <c r="X847" s="6"/>
      <c r="Y847" s="6"/>
      <c r="Z847" s="6"/>
    </row>
    <row r="848" spans="1:26">
      <c r="A848" s="90"/>
      <c r="C848" s="90"/>
      <c r="E848" s="90"/>
      <c r="K848" s="90"/>
      <c r="P848" s="90"/>
      <c r="Q848" s="90"/>
      <c r="R848" s="90"/>
      <c r="W848" s="6"/>
      <c r="X848" s="6"/>
      <c r="Y848" s="6"/>
      <c r="Z848" s="6"/>
    </row>
    <row r="849" spans="1:26">
      <c r="A849" s="90"/>
      <c r="C849" s="90"/>
      <c r="E849" s="90"/>
      <c r="K849" s="90"/>
      <c r="P849" s="90"/>
      <c r="Q849" s="90"/>
      <c r="R849" s="90"/>
      <c r="W849" s="6"/>
      <c r="X849" s="6"/>
      <c r="Y849" s="6"/>
      <c r="Z849" s="6"/>
    </row>
    <row r="850" spans="1:26">
      <c r="A850" s="90"/>
      <c r="C850" s="90"/>
      <c r="E850" s="90"/>
      <c r="K850" s="90"/>
      <c r="P850" s="90"/>
      <c r="Q850" s="90"/>
      <c r="R850" s="90"/>
      <c r="W850" s="6"/>
      <c r="X850" s="6"/>
      <c r="Y850" s="6"/>
      <c r="Z850" s="6"/>
    </row>
    <row r="851" spans="1:26">
      <c r="A851" s="90"/>
      <c r="C851" s="90"/>
      <c r="E851" s="90"/>
      <c r="K851" s="90"/>
      <c r="P851" s="90"/>
      <c r="Q851" s="90"/>
      <c r="R851" s="90"/>
      <c r="W851" s="6"/>
      <c r="X851" s="6"/>
      <c r="Y851" s="6"/>
      <c r="Z851" s="6"/>
    </row>
    <row r="852" spans="1:26">
      <c r="A852" s="90"/>
      <c r="C852" s="90"/>
      <c r="E852" s="90"/>
      <c r="K852" s="90"/>
      <c r="P852" s="90"/>
      <c r="Q852" s="90"/>
      <c r="R852" s="90"/>
      <c r="W852" s="6"/>
      <c r="X852" s="6"/>
      <c r="Y852" s="6"/>
      <c r="Z852" s="6"/>
    </row>
    <row r="853" spans="1:26">
      <c r="A853" s="90"/>
      <c r="C853" s="90"/>
      <c r="E853" s="90"/>
      <c r="K853" s="90"/>
      <c r="P853" s="90"/>
      <c r="Q853" s="90"/>
      <c r="R853" s="90"/>
      <c r="W853" s="6"/>
      <c r="X853" s="6"/>
      <c r="Y853" s="6"/>
      <c r="Z853" s="6"/>
    </row>
    <row r="854" spans="1:26">
      <c r="A854" s="90"/>
      <c r="C854" s="90"/>
      <c r="E854" s="90"/>
      <c r="K854" s="90"/>
      <c r="P854" s="90"/>
      <c r="Q854" s="90"/>
      <c r="R854" s="90"/>
      <c r="W854" s="6"/>
      <c r="X854" s="6"/>
      <c r="Y854" s="6"/>
      <c r="Z854" s="6"/>
    </row>
    <row r="855" spans="1:26">
      <c r="A855" s="90"/>
      <c r="C855" s="90"/>
      <c r="E855" s="90"/>
      <c r="K855" s="90"/>
      <c r="P855" s="90"/>
      <c r="Q855" s="90"/>
      <c r="R855" s="90"/>
      <c r="W855" s="6"/>
      <c r="X855" s="6"/>
      <c r="Y855" s="6"/>
      <c r="Z855" s="6"/>
    </row>
    <row r="856" spans="1:26">
      <c r="A856" s="90"/>
      <c r="C856" s="90"/>
      <c r="E856" s="90"/>
      <c r="K856" s="90"/>
      <c r="P856" s="90"/>
      <c r="Q856" s="90"/>
      <c r="R856" s="90"/>
      <c r="W856" s="6"/>
      <c r="X856" s="6"/>
      <c r="Y856" s="6"/>
      <c r="Z856" s="6"/>
    </row>
    <row r="857" spans="1:26">
      <c r="A857" s="90"/>
      <c r="C857" s="90"/>
      <c r="E857" s="90"/>
      <c r="K857" s="90"/>
      <c r="P857" s="90"/>
      <c r="Q857" s="90"/>
      <c r="R857" s="90"/>
      <c r="W857" s="6"/>
      <c r="X857" s="6"/>
      <c r="Y857" s="6"/>
      <c r="Z857" s="6"/>
    </row>
    <row r="858" spans="1:26">
      <c r="A858" s="90"/>
      <c r="C858" s="90"/>
      <c r="E858" s="90"/>
      <c r="K858" s="90"/>
      <c r="P858" s="90"/>
      <c r="Q858" s="90"/>
      <c r="R858" s="90"/>
      <c r="W858" s="6"/>
      <c r="X858" s="6"/>
      <c r="Y858" s="6"/>
      <c r="Z858" s="6"/>
    </row>
    <row r="859" spans="1:26">
      <c r="A859" s="90"/>
      <c r="C859" s="90"/>
      <c r="E859" s="90"/>
      <c r="K859" s="90"/>
      <c r="P859" s="90"/>
      <c r="Q859" s="90"/>
      <c r="R859" s="90"/>
      <c r="W859" s="6"/>
      <c r="X859" s="6"/>
      <c r="Y859" s="6"/>
      <c r="Z859" s="6"/>
    </row>
    <row r="860" spans="1:26">
      <c r="A860" s="90"/>
      <c r="C860" s="90"/>
      <c r="E860" s="90"/>
      <c r="K860" s="90"/>
      <c r="P860" s="90"/>
      <c r="Q860" s="90"/>
      <c r="R860" s="90"/>
      <c r="W860" s="6"/>
      <c r="X860" s="6"/>
      <c r="Y860" s="6"/>
      <c r="Z860" s="6"/>
    </row>
    <row r="861" spans="1:26">
      <c r="A861" s="90"/>
      <c r="C861" s="90"/>
      <c r="E861" s="90"/>
      <c r="K861" s="90"/>
      <c r="P861" s="90"/>
      <c r="Q861" s="90"/>
      <c r="R861" s="90"/>
      <c r="W861" s="6"/>
      <c r="X861" s="6"/>
      <c r="Y861" s="6"/>
      <c r="Z861" s="6"/>
    </row>
    <row r="862" spans="1:26">
      <c r="A862" s="90"/>
      <c r="C862" s="90"/>
      <c r="E862" s="90"/>
      <c r="K862" s="90"/>
      <c r="P862" s="90"/>
      <c r="Q862" s="90"/>
      <c r="R862" s="90"/>
      <c r="W862" s="6"/>
      <c r="X862" s="6"/>
      <c r="Y862" s="6"/>
      <c r="Z862" s="6"/>
    </row>
    <row r="863" spans="1:26">
      <c r="A863" s="90"/>
      <c r="C863" s="90"/>
      <c r="E863" s="90"/>
      <c r="K863" s="90"/>
      <c r="P863" s="90"/>
      <c r="Q863" s="90"/>
      <c r="R863" s="90"/>
      <c r="W863" s="6"/>
      <c r="X863" s="6"/>
      <c r="Y863" s="6"/>
      <c r="Z863" s="6"/>
    </row>
    <row r="864" spans="1:26">
      <c r="A864" s="90"/>
      <c r="C864" s="90"/>
      <c r="E864" s="90"/>
      <c r="K864" s="90"/>
      <c r="P864" s="90"/>
      <c r="Q864" s="90"/>
      <c r="R864" s="90"/>
      <c r="W864" s="6"/>
      <c r="X864" s="6"/>
      <c r="Y864" s="6"/>
      <c r="Z864" s="6"/>
    </row>
    <row r="865" spans="1:26">
      <c r="A865" s="90"/>
      <c r="C865" s="90"/>
      <c r="E865" s="90"/>
      <c r="K865" s="90"/>
      <c r="P865" s="90"/>
      <c r="Q865" s="90"/>
      <c r="R865" s="90"/>
      <c r="W865" s="6"/>
      <c r="X865" s="6"/>
      <c r="Y865" s="6"/>
      <c r="Z865" s="6"/>
    </row>
    <row r="866" spans="1:26">
      <c r="A866" s="90"/>
      <c r="C866" s="90"/>
      <c r="E866" s="90"/>
      <c r="K866" s="90"/>
      <c r="P866" s="90"/>
      <c r="Q866" s="90"/>
      <c r="R866" s="90"/>
      <c r="W866" s="6"/>
      <c r="X866" s="6"/>
      <c r="Y866" s="6"/>
      <c r="Z866" s="6"/>
    </row>
    <row r="867" spans="1:26">
      <c r="A867" s="90"/>
      <c r="C867" s="90"/>
      <c r="E867" s="90"/>
      <c r="K867" s="90"/>
      <c r="P867" s="90"/>
      <c r="Q867" s="90"/>
      <c r="R867" s="90"/>
      <c r="W867" s="6"/>
      <c r="X867" s="6"/>
      <c r="Y867" s="6"/>
      <c r="Z867" s="6"/>
    </row>
    <row r="868" spans="1:26">
      <c r="A868" s="90"/>
      <c r="C868" s="90"/>
      <c r="E868" s="90"/>
      <c r="K868" s="90"/>
      <c r="P868" s="90"/>
      <c r="Q868" s="90"/>
      <c r="R868" s="90"/>
      <c r="W868" s="6"/>
      <c r="X868" s="6"/>
      <c r="Y868" s="6"/>
      <c r="Z868" s="6"/>
    </row>
    <row r="869" spans="1:26">
      <c r="A869" s="90"/>
      <c r="C869" s="90"/>
      <c r="E869" s="90"/>
      <c r="K869" s="90"/>
      <c r="P869" s="90"/>
      <c r="Q869" s="90"/>
      <c r="R869" s="90"/>
      <c r="W869" s="6"/>
      <c r="X869" s="6"/>
      <c r="Y869" s="6"/>
      <c r="Z869" s="6"/>
    </row>
    <row r="870" spans="1:26">
      <c r="A870" s="90"/>
      <c r="C870" s="90"/>
      <c r="E870" s="90"/>
      <c r="K870" s="90"/>
      <c r="P870" s="90"/>
      <c r="Q870" s="90"/>
      <c r="R870" s="90"/>
      <c r="W870" s="6"/>
      <c r="X870" s="6"/>
      <c r="Y870" s="6"/>
      <c r="Z870" s="6"/>
    </row>
    <row r="871" spans="1:26">
      <c r="A871" s="90"/>
      <c r="C871" s="90"/>
      <c r="E871" s="90"/>
      <c r="K871" s="90"/>
      <c r="P871" s="90"/>
      <c r="Q871" s="90"/>
      <c r="R871" s="90"/>
      <c r="W871" s="6"/>
      <c r="X871" s="6"/>
      <c r="Y871" s="6"/>
      <c r="Z871" s="6"/>
    </row>
    <row r="872" spans="1:26">
      <c r="A872" s="90"/>
      <c r="C872" s="90"/>
      <c r="E872" s="90"/>
      <c r="K872" s="90"/>
      <c r="P872" s="90"/>
      <c r="Q872" s="90"/>
      <c r="R872" s="90"/>
      <c r="W872" s="6"/>
      <c r="X872" s="6"/>
      <c r="Y872" s="6"/>
      <c r="Z872" s="6"/>
    </row>
    <row r="873" spans="1:26">
      <c r="A873" s="90"/>
      <c r="C873" s="90"/>
      <c r="E873" s="90"/>
      <c r="K873" s="90"/>
      <c r="P873" s="90"/>
      <c r="Q873" s="90"/>
      <c r="R873" s="90"/>
      <c r="W873" s="6"/>
      <c r="X873" s="6"/>
      <c r="Y873" s="6"/>
      <c r="Z873" s="6"/>
    </row>
    <row r="874" spans="1:26">
      <c r="A874" s="90"/>
      <c r="C874" s="90"/>
      <c r="E874" s="90"/>
      <c r="K874" s="90"/>
      <c r="P874" s="90"/>
      <c r="Q874" s="90"/>
      <c r="R874" s="90"/>
      <c r="W874" s="6"/>
      <c r="X874" s="6"/>
      <c r="Y874" s="6"/>
      <c r="Z874" s="6"/>
    </row>
    <row r="875" spans="1:26">
      <c r="A875" s="90"/>
      <c r="C875" s="90"/>
      <c r="E875" s="90"/>
      <c r="K875" s="90"/>
      <c r="P875" s="90"/>
      <c r="Q875" s="90"/>
      <c r="R875" s="90"/>
      <c r="W875" s="6"/>
      <c r="X875" s="6"/>
      <c r="Y875" s="6"/>
      <c r="Z875" s="6"/>
    </row>
    <row r="876" spans="1:26">
      <c r="A876" s="90"/>
      <c r="C876" s="90"/>
      <c r="E876" s="90"/>
      <c r="K876" s="90"/>
      <c r="P876" s="90"/>
      <c r="Q876" s="90"/>
      <c r="R876" s="90"/>
      <c r="W876" s="6"/>
      <c r="X876" s="6"/>
      <c r="Y876" s="6"/>
      <c r="Z876" s="6"/>
    </row>
    <row r="877" spans="1:26">
      <c r="A877" s="90"/>
      <c r="C877" s="90"/>
      <c r="E877" s="90"/>
      <c r="K877" s="90"/>
      <c r="P877" s="90"/>
      <c r="Q877" s="90"/>
      <c r="R877" s="90"/>
      <c r="W877" s="6"/>
      <c r="X877" s="6"/>
      <c r="Y877" s="6"/>
      <c r="Z877" s="6"/>
    </row>
    <row r="878" spans="1:26">
      <c r="A878" s="90"/>
      <c r="C878" s="90"/>
      <c r="E878" s="90"/>
      <c r="K878" s="90"/>
      <c r="P878" s="90"/>
      <c r="Q878" s="90"/>
      <c r="R878" s="90"/>
      <c r="W878" s="6"/>
      <c r="X878" s="6"/>
      <c r="Y878" s="6"/>
      <c r="Z878" s="6"/>
    </row>
    <row r="879" spans="1:26">
      <c r="A879" s="90"/>
      <c r="C879" s="90"/>
      <c r="E879" s="90"/>
      <c r="K879" s="90"/>
      <c r="P879" s="90"/>
      <c r="Q879" s="90"/>
      <c r="R879" s="90"/>
      <c r="W879" s="6"/>
      <c r="X879" s="6"/>
      <c r="Y879" s="6"/>
      <c r="Z879" s="6"/>
    </row>
    <row r="880" spans="1:26">
      <c r="A880" s="90"/>
      <c r="C880" s="90"/>
      <c r="E880" s="90"/>
      <c r="K880" s="90"/>
      <c r="P880" s="90"/>
      <c r="Q880" s="90"/>
      <c r="R880" s="90"/>
      <c r="W880" s="6"/>
      <c r="X880" s="6"/>
      <c r="Y880" s="6"/>
      <c r="Z880" s="6"/>
    </row>
    <row r="881" spans="1:26">
      <c r="A881" s="90"/>
      <c r="C881" s="90"/>
      <c r="E881" s="90"/>
      <c r="K881" s="90"/>
      <c r="P881" s="90"/>
      <c r="Q881" s="90"/>
      <c r="R881" s="90"/>
      <c r="W881" s="6"/>
      <c r="X881" s="6"/>
      <c r="Y881" s="6"/>
      <c r="Z881" s="6"/>
    </row>
    <row r="882" spans="1:26">
      <c r="A882" s="90"/>
      <c r="C882" s="90"/>
      <c r="E882" s="90"/>
      <c r="K882" s="90"/>
      <c r="P882" s="90"/>
      <c r="Q882" s="90"/>
      <c r="R882" s="90"/>
      <c r="W882" s="6"/>
      <c r="X882" s="6"/>
      <c r="Y882" s="6"/>
      <c r="Z882" s="6"/>
    </row>
    <row r="883" spans="1:26">
      <c r="A883" s="90"/>
      <c r="C883" s="90"/>
      <c r="E883" s="90"/>
      <c r="K883" s="90"/>
      <c r="P883" s="90"/>
      <c r="Q883" s="90"/>
      <c r="R883" s="90"/>
      <c r="W883" s="6"/>
      <c r="X883" s="6"/>
      <c r="Y883" s="6"/>
      <c r="Z883" s="6"/>
    </row>
    <row r="884" spans="1:26">
      <c r="A884" s="90"/>
      <c r="C884" s="90"/>
      <c r="E884" s="90"/>
      <c r="K884" s="90"/>
      <c r="P884" s="90"/>
      <c r="Q884" s="90"/>
      <c r="R884" s="90"/>
      <c r="W884" s="6"/>
      <c r="X884" s="6"/>
      <c r="Y884" s="6"/>
      <c r="Z884" s="6"/>
    </row>
    <row r="885" spans="1:26">
      <c r="A885" s="90"/>
      <c r="C885" s="90"/>
      <c r="E885" s="90"/>
      <c r="K885" s="90"/>
      <c r="P885" s="90"/>
      <c r="Q885" s="90"/>
      <c r="R885" s="90"/>
      <c r="W885" s="6"/>
      <c r="X885" s="6"/>
      <c r="Y885" s="6"/>
      <c r="Z885" s="6"/>
    </row>
    <row r="886" spans="1:26">
      <c r="A886" s="90"/>
      <c r="C886" s="90"/>
      <c r="E886" s="90"/>
      <c r="K886" s="90"/>
      <c r="P886" s="90"/>
      <c r="Q886" s="90"/>
      <c r="R886" s="90"/>
      <c r="W886" s="6"/>
      <c r="X886" s="6"/>
      <c r="Y886" s="6"/>
      <c r="Z886" s="6"/>
    </row>
    <row r="887" spans="1:26">
      <c r="A887" s="90"/>
      <c r="C887" s="90"/>
      <c r="E887" s="90"/>
      <c r="K887" s="90"/>
      <c r="P887" s="90"/>
      <c r="Q887" s="90"/>
      <c r="R887" s="90"/>
      <c r="W887" s="6"/>
      <c r="X887" s="6"/>
      <c r="Y887" s="6"/>
      <c r="Z887" s="6"/>
    </row>
    <row r="888" spans="1:26">
      <c r="A888" s="90"/>
      <c r="C888" s="90"/>
      <c r="E888" s="90"/>
      <c r="K888" s="90"/>
      <c r="P888" s="90"/>
      <c r="Q888" s="90"/>
      <c r="R888" s="90"/>
      <c r="W888" s="6"/>
      <c r="X888" s="6"/>
      <c r="Y888" s="6"/>
      <c r="Z888" s="6"/>
    </row>
    <row r="889" spans="1:26">
      <c r="A889" s="90"/>
      <c r="C889" s="90"/>
      <c r="E889" s="90"/>
      <c r="K889" s="90"/>
      <c r="P889" s="90"/>
      <c r="Q889" s="90"/>
      <c r="R889" s="90"/>
      <c r="W889" s="6"/>
      <c r="X889" s="6"/>
      <c r="Y889" s="6"/>
      <c r="Z889" s="6"/>
    </row>
    <row r="890" spans="1:26">
      <c r="A890" s="90"/>
      <c r="C890" s="90"/>
      <c r="E890" s="90"/>
      <c r="K890" s="90"/>
      <c r="P890" s="90"/>
      <c r="Q890" s="90"/>
      <c r="R890" s="90"/>
      <c r="W890" s="6"/>
      <c r="X890" s="6"/>
      <c r="Y890" s="6"/>
      <c r="Z890" s="6"/>
    </row>
    <row r="891" spans="1:26">
      <c r="A891" s="90"/>
      <c r="C891" s="90"/>
      <c r="E891" s="90"/>
      <c r="K891" s="90"/>
      <c r="P891" s="90"/>
      <c r="Q891" s="90"/>
      <c r="R891" s="90"/>
      <c r="W891" s="6"/>
      <c r="X891" s="6"/>
      <c r="Y891" s="6"/>
      <c r="Z891" s="6"/>
    </row>
    <row r="892" spans="1:26">
      <c r="A892" s="90"/>
      <c r="C892" s="90"/>
      <c r="E892" s="90"/>
      <c r="K892" s="90"/>
      <c r="P892" s="90"/>
      <c r="Q892" s="90"/>
      <c r="R892" s="90"/>
      <c r="W892" s="6"/>
      <c r="X892" s="6"/>
      <c r="Y892" s="6"/>
      <c r="Z892" s="6"/>
    </row>
    <row r="893" spans="1:26">
      <c r="A893" s="90"/>
      <c r="C893" s="90"/>
      <c r="E893" s="90"/>
      <c r="K893" s="90"/>
      <c r="P893" s="90"/>
      <c r="Q893" s="90"/>
      <c r="R893" s="90"/>
      <c r="W893" s="6"/>
      <c r="X893" s="6"/>
      <c r="Y893" s="6"/>
      <c r="Z893" s="6"/>
    </row>
    <row r="894" spans="1:26">
      <c r="A894" s="90"/>
      <c r="C894" s="90"/>
      <c r="E894" s="90"/>
      <c r="K894" s="90"/>
      <c r="P894" s="90"/>
      <c r="Q894" s="90"/>
      <c r="R894" s="90"/>
      <c r="W894" s="6"/>
      <c r="X894" s="6"/>
      <c r="Y894" s="6"/>
      <c r="Z894" s="6"/>
    </row>
    <row r="895" spans="1:26">
      <c r="A895" s="90"/>
      <c r="C895" s="90"/>
      <c r="E895" s="90"/>
      <c r="K895" s="90"/>
      <c r="P895" s="90"/>
      <c r="Q895" s="90"/>
      <c r="R895" s="90"/>
      <c r="W895" s="6"/>
      <c r="X895" s="6"/>
      <c r="Y895" s="6"/>
      <c r="Z895" s="6"/>
    </row>
    <row r="896" spans="1:26">
      <c r="A896" s="90"/>
      <c r="C896" s="90"/>
      <c r="E896" s="90"/>
      <c r="K896" s="90"/>
      <c r="P896" s="90"/>
      <c r="Q896" s="90"/>
      <c r="R896" s="90"/>
      <c r="W896" s="6"/>
      <c r="X896" s="6"/>
      <c r="Y896" s="6"/>
      <c r="Z896" s="6"/>
    </row>
    <row r="897" spans="1:26">
      <c r="A897" s="90"/>
      <c r="C897" s="90"/>
      <c r="E897" s="90"/>
      <c r="K897" s="90"/>
      <c r="P897" s="90"/>
      <c r="Q897" s="90"/>
      <c r="R897" s="90"/>
      <c r="W897" s="6"/>
      <c r="X897" s="6"/>
      <c r="Y897" s="6"/>
      <c r="Z897" s="6"/>
    </row>
    <row r="898" spans="1:26">
      <c r="A898" s="90"/>
      <c r="C898" s="90"/>
      <c r="E898" s="90"/>
      <c r="K898" s="90"/>
      <c r="P898" s="90"/>
      <c r="Q898" s="90"/>
      <c r="R898" s="90"/>
      <c r="W898" s="6"/>
      <c r="X898" s="6"/>
      <c r="Y898" s="6"/>
      <c r="Z898" s="6"/>
    </row>
    <row r="899" spans="1:26">
      <c r="A899" s="90"/>
      <c r="C899" s="90"/>
      <c r="E899" s="90"/>
      <c r="K899" s="90"/>
      <c r="P899" s="90"/>
      <c r="Q899" s="90"/>
      <c r="R899" s="90"/>
      <c r="W899" s="6"/>
      <c r="X899" s="6"/>
      <c r="Y899" s="6"/>
      <c r="Z899" s="6"/>
    </row>
    <row r="900" spans="1:26">
      <c r="A900" s="90"/>
      <c r="C900" s="90"/>
      <c r="E900" s="90"/>
      <c r="K900" s="90"/>
      <c r="P900" s="90"/>
      <c r="Q900" s="90"/>
      <c r="R900" s="90"/>
      <c r="W900" s="6"/>
      <c r="X900" s="6"/>
      <c r="Y900" s="6"/>
      <c r="Z900" s="6"/>
    </row>
    <row r="901" spans="1:26">
      <c r="A901" s="90"/>
      <c r="C901" s="90"/>
      <c r="E901" s="90"/>
      <c r="K901" s="90"/>
      <c r="P901" s="90"/>
      <c r="Q901" s="90"/>
      <c r="R901" s="90"/>
      <c r="W901" s="6"/>
      <c r="X901" s="6"/>
      <c r="Y901" s="6"/>
      <c r="Z901" s="6"/>
    </row>
    <row r="902" spans="1:26">
      <c r="A902" s="90"/>
      <c r="C902" s="90"/>
      <c r="E902" s="90"/>
      <c r="K902" s="90"/>
      <c r="P902" s="90"/>
      <c r="Q902" s="90"/>
      <c r="R902" s="90"/>
      <c r="W902" s="6"/>
      <c r="X902" s="6"/>
      <c r="Y902" s="6"/>
      <c r="Z902" s="6"/>
    </row>
    <row r="903" spans="1:26">
      <c r="A903" s="90"/>
      <c r="C903" s="90"/>
      <c r="E903" s="90"/>
      <c r="K903" s="90"/>
      <c r="P903" s="90"/>
      <c r="Q903" s="90"/>
      <c r="R903" s="90"/>
      <c r="W903" s="6"/>
      <c r="X903" s="6"/>
      <c r="Y903" s="6"/>
      <c r="Z903" s="6"/>
    </row>
    <row r="904" spans="1:26">
      <c r="A904" s="90"/>
      <c r="C904" s="90"/>
      <c r="E904" s="90"/>
      <c r="K904" s="90"/>
      <c r="P904" s="90"/>
      <c r="Q904" s="90"/>
      <c r="R904" s="90"/>
      <c r="W904" s="6"/>
      <c r="X904" s="6"/>
      <c r="Y904" s="6"/>
      <c r="Z904" s="6"/>
    </row>
    <row r="905" spans="1:26">
      <c r="A905" s="90"/>
      <c r="C905" s="90"/>
      <c r="E905" s="90"/>
      <c r="K905" s="90"/>
      <c r="P905" s="90"/>
      <c r="Q905" s="90"/>
      <c r="R905" s="90"/>
      <c r="W905" s="6"/>
      <c r="X905" s="6"/>
      <c r="Y905" s="6"/>
      <c r="Z905" s="6"/>
    </row>
    <row r="906" spans="1:26">
      <c r="A906" s="90"/>
      <c r="C906" s="90"/>
      <c r="E906" s="90"/>
      <c r="K906" s="90"/>
      <c r="P906" s="90"/>
      <c r="Q906" s="90"/>
      <c r="R906" s="90"/>
      <c r="W906" s="6"/>
      <c r="X906" s="6"/>
      <c r="Y906" s="6"/>
      <c r="Z906" s="6"/>
    </row>
    <row r="907" spans="1:26">
      <c r="A907" s="90"/>
      <c r="C907" s="90"/>
      <c r="E907" s="90"/>
      <c r="K907" s="90"/>
      <c r="P907" s="90"/>
      <c r="Q907" s="90"/>
      <c r="R907" s="90"/>
      <c r="W907" s="6"/>
      <c r="X907" s="6"/>
      <c r="Y907" s="6"/>
      <c r="Z907" s="6"/>
    </row>
    <row r="908" spans="1:26">
      <c r="A908" s="90"/>
      <c r="C908" s="90"/>
      <c r="E908" s="90"/>
      <c r="K908" s="90"/>
      <c r="P908" s="90"/>
      <c r="Q908" s="90"/>
      <c r="R908" s="90"/>
      <c r="W908" s="6"/>
      <c r="X908" s="6"/>
      <c r="Y908" s="6"/>
      <c r="Z908" s="6"/>
    </row>
    <row r="909" spans="1:26">
      <c r="A909" s="90"/>
      <c r="C909" s="90"/>
      <c r="E909" s="90"/>
      <c r="K909" s="90"/>
      <c r="P909" s="90"/>
      <c r="Q909" s="90"/>
      <c r="R909" s="90"/>
      <c r="W909" s="6"/>
      <c r="X909" s="6"/>
      <c r="Y909" s="6"/>
      <c r="Z909" s="6"/>
    </row>
    <row r="910" spans="1:26">
      <c r="A910" s="90"/>
      <c r="C910" s="90"/>
      <c r="E910" s="90"/>
      <c r="K910" s="90"/>
      <c r="P910" s="90"/>
      <c r="Q910" s="90"/>
      <c r="R910" s="90"/>
      <c r="W910" s="6"/>
      <c r="X910" s="6"/>
      <c r="Y910" s="6"/>
      <c r="Z910" s="6"/>
    </row>
    <row r="911" spans="1:26">
      <c r="A911" s="90"/>
      <c r="C911" s="90"/>
      <c r="E911" s="90"/>
      <c r="K911" s="90"/>
      <c r="P911" s="90"/>
      <c r="Q911" s="90"/>
      <c r="R911" s="90"/>
      <c r="W911" s="6"/>
      <c r="X911" s="6"/>
      <c r="Y911" s="6"/>
      <c r="Z911" s="6"/>
    </row>
    <row r="912" spans="1:26">
      <c r="A912" s="90"/>
      <c r="C912" s="90"/>
      <c r="E912" s="90"/>
      <c r="K912" s="90"/>
      <c r="P912" s="90"/>
      <c r="Q912" s="90"/>
      <c r="R912" s="90"/>
      <c r="W912" s="6"/>
      <c r="X912" s="6"/>
      <c r="Y912" s="6"/>
      <c r="Z912" s="6"/>
    </row>
    <row r="913" spans="1:26">
      <c r="A913" s="90"/>
      <c r="C913" s="90"/>
      <c r="E913" s="90"/>
      <c r="K913" s="90"/>
      <c r="P913" s="90"/>
      <c r="Q913" s="90"/>
      <c r="R913" s="90"/>
      <c r="W913" s="6"/>
      <c r="X913" s="6"/>
      <c r="Y913" s="6"/>
      <c r="Z913" s="6"/>
    </row>
    <row r="914" spans="1:26">
      <c r="A914" s="90"/>
      <c r="C914" s="90"/>
      <c r="E914" s="90"/>
      <c r="K914" s="90"/>
      <c r="P914" s="90"/>
      <c r="Q914" s="90"/>
      <c r="R914" s="90"/>
      <c r="W914" s="6"/>
      <c r="X914" s="6"/>
      <c r="Y914" s="6"/>
      <c r="Z914" s="6"/>
    </row>
    <row r="915" spans="1:26">
      <c r="A915" s="90"/>
      <c r="C915" s="90"/>
      <c r="E915" s="90"/>
      <c r="K915" s="90"/>
      <c r="P915" s="90"/>
      <c r="Q915" s="90"/>
      <c r="R915" s="90"/>
      <c r="W915" s="6"/>
      <c r="X915" s="6"/>
      <c r="Y915" s="6"/>
      <c r="Z915" s="6"/>
    </row>
    <row r="916" spans="1:26">
      <c r="A916" s="90"/>
      <c r="C916" s="90"/>
      <c r="E916" s="90"/>
      <c r="K916" s="90"/>
      <c r="P916" s="90"/>
      <c r="Q916" s="90"/>
      <c r="R916" s="90"/>
      <c r="W916" s="6"/>
      <c r="X916" s="6"/>
      <c r="Y916" s="6"/>
      <c r="Z916" s="6"/>
    </row>
    <row r="917" spans="1:26">
      <c r="A917" s="90"/>
      <c r="C917" s="90"/>
      <c r="E917" s="90"/>
      <c r="K917" s="90"/>
      <c r="P917" s="90"/>
      <c r="Q917" s="90"/>
      <c r="R917" s="90"/>
      <c r="W917" s="6"/>
      <c r="X917" s="6"/>
      <c r="Y917" s="6"/>
      <c r="Z917" s="6"/>
    </row>
    <row r="918" spans="1:26">
      <c r="A918" s="90"/>
      <c r="C918" s="90"/>
      <c r="E918" s="90"/>
      <c r="K918" s="90"/>
      <c r="P918" s="90"/>
      <c r="Q918" s="90"/>
      <c r="R918" s="90"/>
      <c r="W918" s="6"/>
      <c r="X918" s="6"/>
      <c r="Y918" s="6"/>
      <c r="Z918" s="6"/>
    </row>
    <row r="919" spans="1:26">
      <c r="A919" s="90"/>
      <c r="C919" s="90"/>
      <c r="E919" s="90"/>
      <c r="K919" s="90"/>
      <c r="P919" s="90"/>
      <c r="Q919" s="90"/>
      <c r="R919" s="90"/>
      <c r="W919" s="6"/>
      <c r="X919" s="6"/>
      <c r="Y919" s="6"/>
      <c r="Z919" s="6"/>
    </row>
    <row r="920" spans="1:26">
      <c r="A920" s="90"/>
      <c r="C920" s="90"/>
      <c r="E920" s="90"/>
      <c r="K920" s="90"/>
      <c r="P920" s="90"/>
      <c r="Q920" s="90"/>
      <c r="R920" s="90"/>
      <c r="W920" s="6"/>
      <c r="X920" s="6"/>
      <c r="Y920" s="6"/>
      <c r="Z920" s="6"/>
    </row>
    <row r="921" spans="1:26">
      <c r="A921" s="90"/>
      <c r="C921" s="90"/>
      <c r="E921" s="90"/>
      <c r="K921" s="90"/>
      <c r="P921" s="90"/>
      <c r="Q921" s="90"/>
      <c r="R921" s="90"/>
      <c r="W921" s="6"/>
      <c r="X921" s="6"/>
      <c r="Y921" s="6"/>
      <c r="Z921" s="6"/>
    </row>
    <row r="922" spans="1:26">
      <c r="A922" s="90"/>
      <c r="C922" s="90"/>
      <c r="E922" s="90"/>
      <c r="K922" s="90"/>
      <c r="P922" s="90"/>
      <c r="Q922" s="90"/>
      <c r="R922" s="90"/>
      <c r="W922" s="6"/>
      <c r="X922" s="6"/>
      <c r="Y922" s="6"/>
      <c r="Z922" s="6"/>
    </row>
    <row r="923" spans="1:26">
      <c r="A923" s="90"/>
      <c r="C923" s="90"/>
      <c r="E923" s="90"/>
      <c r="K923" s="90"/>
      <c r="P923" s="90"/>
      <c r="Q923" s="90"/>
      <c r="R923" s="90"/>
      <c r="W923" s="6"/>
      <c r="X923" s="6"/>
      <c r="Y923" s="6"/>
      <c r="Z923" s="6"/>
    </row>
    <row r="924" spans="1:26">
      <c r="A924" s="90"/>
      <c r="C924" s="90"/>
      <c r="E924" s="90"/>
      <c r="K924" s="90"/>
      <c r="P924" s="90"/>
      <c r="Q924" s="90"/>
      <c r="R924" s="90"/>
      <c r="W924" s="6"/>
      <c r="X924" s="6"/>
      <c r="Y924" s="6"/>
      <c r="Z924" s="6"/>
    </row>
    <row r="925" spans="1:26">
      <c r="A925" s="90"/>
      <c r="C925" s="90"/>
      <c r="E925" s="90"/>
      <c r="K925" s="90"/>
      <c r="P925" s="90"/>
      <c r="Q925" s="90"/>
      <c r="R925" s="90"/>
      <c r="W925" s="6"/>
      <c r="X925" s="6"/>
      <c r="Y925" s="6"/>
      <c r="Z925" s="6"/>
    </row>
    <row r="926" spans="1:26">
      <c r="A926" s="90"/>
      <c r="C926" s="90"/>
      <c r="E926" s="90"/>
      <c r="K926" s="90"/>
      <c r="P926" s="90"/>
      <c r="Q926" s="90"/>
      <c r="R926" s="90"/>
      <c r="W926" s="6"/>
      <c r="X926" s="6"/>
      <c r="Y926" s="6"/>
      <c r="Z926" s="6"/>
    </row>
    <row r="927" spans="1:26">
      <c r="A927" s="90"/>
      <c r="C927" s="90"/>
      <c r="E927" s="90"/>
      <c r="K927" s="90"/>
      <c r="P927" s="90"/>
      <c r="Q927" s="90"/>
      <c r="R927" s="90"/>
      <c r="W927" s="6"/>
      <c r="X927" s="6"/>
      <c r="Y927" s="6"/>
      <c r="Z927" s="6"/>
    </row>
    <row r="928" spans="1:26">
      <c r="A928" s="90"/>
      <c r="C928" s="90"/>
      <c r="E928" s="90"/>
      <c r="K928" s="90"/>
      <c r="P928" s="90"/>
      <c r="Q928" s="90"/>
      <c r="R928" s="90"/>
      <c r="W928" s="6"/>
      <c r="X928" s="6"/>
      <c r="Y928" s="6"/>
      <c r="Z928" s="6"/>
    </row>
    <row r="929" spans="1:26">
      <c r="A929" s="90"/>
      <c r="C929" s="90"/>
      <c r="E929" s="90"/>
      <c r="K929" s="90"/>
      <c r="P929" s="90"/>
      <c r="Q929" s="90"/>
      <c r="R929" s="90"/>
      <c r="W929" s="6"/>
      <c r="X929" s="6"/>
      <c r="Y929" s="6"/>
      <c r="Z929" s="6"/>
    </row>
    <row r="930" spans="1:26">
      <c r="A930" s="90"/>
      <c r="C930" s="90"/>
      <c r="E930" s="90"/>
      <c r="K930" s="90"/>
      <c r="P930" s="90"/>
      <c r="Q930" s="90"/>
      <c r="R930" s="90"/>
      <c r="W930" s="6"/>
      <c r="X930" s="6"/>
      <c r="Y930" s="6"/>
      <c r="Z930" s="6"/>
    </row>
    <row r="931" spans="1:26">
      <c r="A931" s="90"/>
      <c r="C931" s="90"/>
      <c r="E931" s="90"/>
      <c r="K931" s="90"/>
      <c r="P931" s="90"/>
      <c r="Q931" s="90"/>
      <c r="R931" s="90"/>
      <c r="W931" s="6"/>
      <c r="X931" s="6"/>
      <c r="Y931" s="6"/>
      <c r="Z931" s="6"/>
    </row>
    <row r="932" spans="1:26">
      <c r="A932" s="90"/>
      <c r="C932" s="90"/>
      <c r="E932" s="90"/>
      <c r="K932" s="90"/>
      <c r="P932" s="90"/>
      <c r="Q932" s="90"/>
      <c r="R932" s="90"/>
      <c r="W932" s="6"/>
      <c r="X932" s="6"/>
      <c r="Y932" s="6"/>
      <c r="Z932" s="6"/>
    </row>
    <row r="933" spans="1:26">
      <c r="A933" s="90"/>
      <c r="C933" s="90"/>
      <c r="E933" s="90"/>
      <c r="K933" s="90"/>
      <c r="P933" s="90"/>
      <c r="Q933" s="90"/>
      <c r="R933" s="90"/>
      <c r="W933" s="6"/>
      <c r="X933" s="6"/>
      <c r="Y933" s="6"/>
      <c r="Z933" s="6"/>
    </row>
    <row r="934" spans="1:26">
      <c r="A934" s="90"/>
      <c r="C934" s="90"/>
      <c r="E934" s="90"/>
      <c r="K934" s="90"/>
      <c r="P934" s="90"/>
      <c r="Q934" s="90"/>
      <c r="R934" s="90"/>
      <c r="W934" s="6"/>
      <c r="X934" s="6"/>
      <c r="Y934" s="6"/>
      <c r="Z934" s="6"/>
    </row>
    <row r="935" spans="1:26">
      <c r="A935" s="90"/>
      <c r="C935" s="90"/>
      <c r="E935" s="90"/>
      <c r="K935" s="90"/>
      <c r="P935" s="90"/>
      <c r="Q935" s="90"/>
      <c r="R935" s="90"/>
      <c r="W935" s="6"/>
      <c r="X935" s="6"/>
      <c r="Y935" s="6"/>
      <c r="Z935" s="6"/>
    </row>
    <row r="936" spans="1:26">
      <c r="A936" s="90"/>
      <c r="C936" s="90"/>
      <c r="E936" s="90"/>
      <c r="K936" s="90"/>
      <c r="P936" s="90"/>
      <c r="Q936" s="90"/>
      <c r="R936" s="90"/>
      <c r="W936" s="6"/>
      <c r="X936" s="6"/>
      <c r="Y936" s="6"/>
      <c r="Z936" s="6"/>
    </row>
    <row r="937" spans="1:26">
      <c r="A937" s="90"/>
      <c r="C937" s="90"/>
      <c r="E937" s="90"/>
      <c r="K937" s="90"/>
      <c r="P937" s="90"/>
      <c r="Q937" s="90"/>
      <c r="R937" s="90"/>
      <c r="W937" s="6"/>
      <c r="X937" s="6"/>
      <c r="Y937" s="6"/>
      <c r="Z937" s="6"/>
    </row>
    <row r="938" spans="1:26">
      <c r="A938" s="90"/>
      <c r="C938" s="90"/>
      <c r="E938" s="90"/>
      <c r="K938" s="90"/>
      <c r="P938" s="90"/>
      <c r="Q938" s="90"/>
      <c r="R938" s="90"/>
      <c r="W938" s="6"/>
      <c r="X938" s="6"/>
      <c r="Y938" s="6"/>
      <c r="Z938" s="6"/>
    </row>
    <row r="939" spans="1:26">
      <c r="A939" s="90"/>
      <c r="C939" s="90"/>
      <c r="E939" s="90"/>
      <c r="K939" s="90"/>
      <c r="P939" s="90"/>
      <c r="Q939" s="90"/>
      <c r="R939" s="90"/>
      <c r="W939" s="6"/>
      <c r="X939" s="6"/>
      <c r="Y939" s="6"/>
      <c r="Z939" s="6"/>
    </row>
    <row r="940" spans="1:26">
      <c r="A940" s="90"/>
      <c r="C940" s="90"/>
      <c r="E940" s="90"/>
      <c r="K940" s="90"/>
      <c r="P940" s="90"/>
      <c r="Q940" s="90"/>
      <c r="R940" s="90"/>
      <c r="W940" s="6"/>
      <c r="X940" s="6"/>
      <c r="Y940" s="6"/>
      <c r="Z940" s="6"/>
    </row>
    <row r="941" spans="1:26">
      <c r="A941" s="90"/>
      <c r="C941" s="90"/>
      <c r="E941" s="90"/>
      <c r="K941" s="90"/>
      <c r="P941" s="90"/>
      <c r="Q941" s="90"/>
      <c r="R941" s="90"/>
      <c r="W941" s="6"/>
      <c r="X941" s="6"/>
      <c r="Y941" s="6"/>
      <c r="Z941" s="6"/>
    </row>
    <row r="942" spans="1:26">
      <c r="A942" s="90"/>
      <c r="C942" s="90"/>
      <c r="E942" s="90"/>
      <c r="K942" s="90"/>
      <c r="P942" s="90"/>
      <c r="Q942" s="90"/>
      <c r="R942" s="90"/>
      <c r="W942" s="6"/>
      <c r="X942" s="6"/>
      <c r="Y942" s="6"/>
      <c r="Z942" s="6"/>
    </row>
    <row r="943" spans="1:26">
      <c r="A943" s="90"/>
      <c r="C943" s="90"/>
      <c r="E943" s="90"/>
      <c r="K943" s="90"/>
      <c r="P943" s="90"/>
      <c r="Q943" s="90"/>
      <c r="R943" s="90"/>
      <c r="W943" s="6"/>
      <c r="X943" s="6"/>
      <c r="Y943" s="6"/>
      <c r="Z943" s="6"/>
    </row>
    <row r="944" spans="1:26">
      <c r="A944" s="90"/>
      <c r="C944" s="90"/>
      <c r="E944" s="90"/>
      <c r="K944" s="90"/>
      <c r="P944" s="90"/>
      <c r="Q944" s="90"/>
      <c r="R944" s="90"/>
      <c r="W944" s="6"/>
      <c r="X944" s="6"/>
      <c r="Y944" s="6"/>
      <c r="Z944" s="6"/>
    </row>
    <row r="945" spans="1:26">
      <c r="A945" s="90"/>
      <c r="C945" s="90"/>
      <c r="E945" s="90"/>
      <c r="K945" s="90"/>
      <c r="P945" s="90"/>
      <c r="Q945" s="90"/>
      <c r="R945" s="90"/>
      <c r="W945" s="6"/>
      <c r="X945" s="6"/>
      <c r="Y945" s="6"/>
      <c r="Z945" s="6"/>
    </row>
    <row r="946" spans="1:26">
      <c r="A946" s="90"/>
      <c r="C946" s="90"/>
      <c r="E946" s="90"/>
      <c r="K946" s="90"/>
      <c r="P946" s="90"/>
      <c r="Q946" s="90"/>
      <c r="R946" s="90"/>
      <c r="W946" s="6"/>
      <c r="X946" s="6"/>
      <c r="Y946" s="6"/>
      <c r="Z946" s="6"/>
    </row>
    <row r="947" spans="1:26">
      <c r="A947" s="90"/>
      <c r="C947" s="90"/>
      <c r="E947" s="90"/>
      <c r="K947" s="90"/>
      <c r="P947" s="90"/>
      <c r="Q947" s="90"/>
      <c r="R947" s="90"/>
      <c r="W947" s="6"/>
      <c r="X947" s="6"/>
      <c r="Y947" s="6"/>
      <c r="Z947" s="6"/>
    </row>
    <row r="948" spans="1:26">
      <c r="A948" s="90"/>
      <c r="C948" s="90"/>
      <c r="E948" s="90"/>
      <c r="K948" s="90"/>
      <c r="P948" s="90"/>
      <c r="Q948" s="90"/>
      <c r="R948" s="90"/>
      <c r="W948" s="6"/>
      <c r="X948" s="6"/>
      <c r="Y948" s="6"/>
      <c r="Z948" s="6"/>
    </row>
    <row r="949" spans="1:26">
      <c r="A949" s="90"/>
      <c r="C949" s="90"/>
      <c r="E949" s="90"/>
      <c r="K949" s="90"/>
      <c r="P949" s="90"/>
      <c r="Q949" s="90"/>
      <c r="R949" s="90"/>
      <c r="W949" s="6"/>
      <c r="X949" s="6"/>
      <c r="Y949" s="6"/>
      <c r="Z949" s="6"/>
    </row>
    <row r="950" spans="1:26">
      <c r="A950" s="90"/>
      <c r="C950" s="90"/>
      <c r="E950" s="90"/>
      <c r="K950" s="90"/>
      <c r="P950" s="90"/>
      <c r="Q950" s="90"/>
      <c r="R950" s="90"/>
      <c r="W950" s="6"/>
      <c r="X950" s="6"/>
      <c r="Y950" s="6"/>
      <c r="Z950" s="6"/>
    </row>
    <row r="951" spans="1:26">
      <c r="A951" s="90"/>
      <c r="C951" s="90"/>
      <c r="E951" s="90"/>
      <c r="K951" s="90"/>
      <c r="P951" s="90"/>
      <c r="Q951" s="90"/>
      <c r="R951" s="90"/>
      <c r="W951" s="6"/>
      <c r="X951" s="6"/>
      <c r="Y951" s="6"/>
      <c r="Z951" s="6"/>
    </row>
    <row r="952" spans="1:26">
      <c r="A952" s="90"/>
      <c r="C952" s="90"/>
      <c r="E952" s="90"/>
      <c r="K952" s="90"/>
      <c r="P952" s="90"/>
      <c r="Q952" s="90"/>
      <c r="R952" s="90"/>
      <c r="W952" s="6"/>
      <c r="X952" s="6"/>
      <c r="Y952" s="6"/>
      <c r="Z952" s="6"/>
    </row>
    <row r="953" spans="1:26">
      <c r="A953" s="90"/>
      <c r="C953" s="90"/>
      <c r="E953" s="90"/>
      <c r="K953" s="90"/>
      <c r="P953" s="90"/>
      <c r="Q953" s="90"/>
      <c r="R953" s="90"/>
      <c r="W953" s="6"/>
      <c r="X953" s="6"/>
      <c r="Y953" s="6"/>
      <c r="Z953" s="6"/>
    </row>
    <row r="954" spans="1:26">
      <c r="A954" s="90"/>
      <c r="C954" s="90"/>
      <c r="E954" s="90"/>
      <c r="K954" s="90"/>
      <c r="P954" s="90"/>
      <c r="Q954" s="90"/>
      <c r="R954" s="90"/>
      <c r="W954" s="6"/>
      <c r="X954" s="6"/>
      <c r="Y954" s="6"/>
      <c r="Z954" s="6"/>
    </row>
    <row r="955" spans="1:26">
      <c r="A955" s="90"/>
      <c r="C955" s="90"/>
      <c r="E955" s="90"/>
      <c r="K955" s="90"/>
      <c r="P955" s="90"/>
      <c r="Q955" s="90"/>
      <c r="R955" s="90"/>
      <c r="W955" s="6"/>
      <c r="X955" s="6"/>
      <c r="Y955" s="6"/>
      <c r="Z955" s="6"/>
    </row>
    <row r="956" spans="1:26">
      <c r="A956" s="90"/>
      <c r="C956" s="90"/>
      <c r="E956" s="90"/>
      <c r="K956" s="90"/>
      <c r="P956" s="90"/>
      <c r="Q956" s="90"/>
      <c r="R956" s="90"/>
      <c r="W956" s="6"/>
      <c r="X956" s="6"/>
      <c r="Y956" s="6"/>
      <c r="Z956" s="6"/>
    </row>
    <row r="957" spans="1:26">
      <c r="A957" s="90"/>
      <c r="C957" s="90"/>
      <c r="E957" s="90"/>
      <c r="K957" s="90"/>
      <c r="P957" s="90"/>
      <c r="Q957" s="90"/>
      <c r="R957" s="90"/>
      <c r="W957" s="6"/>
      <c r="X957" s="6"/>
      <c r="Y957" s="6"/>
      <c r="Z957" s="6"/>
    </row>
    <row r="958" spans="1:26">
      <c r="A958" s="90"/>
      <c r="C958" s="90"/>
      <c r="E958" s="90"/>
      <c r="K958" s="90"/>
      <c r="P958" s="90"/>
      <c r="Q958" s="90"/>
      <c r="R958" s="90"/>
      <c r="W958" s="6"/>
      <c r="X958" s="6"/>
      <c r="Y958" s="6"/>
      <c r="Z958" s="6"/>
    </row>
    <row r="959" spans="1:26">
      <c r="A959" s="90"/>
      <c r="C959" s="90"/>
      <c r="E959" s="90"/>
      <c r="K959" s="90"/>
      <c r="P959" s="90"/>
      <c r="Q959" s="90"/>
      <c r="R959" s="90"/>
      <c r="W959" s="6"/>
      <c r="X959" s="6"/>
      <c r="Y959" s="6"/>
      <c r="Z959" s="6"/>
    </row>
    <row r="960" spans="1:26">
      <c r="A960" s="90"/>
      <c r="C960" s="90"/>
      <c r="E960" s="90"/>
      <c r="K960" s="90"/>
      <c r="P960" s="90"/>
      <c r="Q960" s="90"/>
      <c r="R960" s="90"/>
      <c r="W960" s="6"/>
      <c r="X960" s="6"/>
      <c r="Y960" s="6"/>
      <c r="Z960" s="6"/>
    </row>
    <row r="961" spans="1:26">
      <c r="A961" s="90"/>
      <c r="C961" s="90"/>
      <c r="E961" s="90"/>
      <c r="K961" s="90"/>
      <c r="P961" s="90"/>
      <c r="Q961" s="90"/>
      <c r="R961" s="90"/>
      <c r="W961" s="6"/>
      <c r="X961" s="6"/>
      <c r="Y961" s="6"/>
      <c r="Z961" s="6"/>
    </row>
    <row r="962" spans="1:26">
      <c r="A962" s="90"/>
      <c r="C962" s="90"/>
      <c r="E962" s="90"/>
      <c r="K962" s="90"/>
      <c r="P962" s="90"/>
      <c r="Q962" s="90"/>
      <c r="R962" s="90"/>
      <c r="W962" s="6"/>
      <c r="X962" s="6"/>
      <c r="Y962" s="6"/>
      <c r="Z962" s="6"/>
    </row>
    <row r="963" spans="1:26">
      <c r="A963" s="90"/>
      <c r="C963" s="90"/>
      <c r="E963" s="90"/>
      <c r="K963" s="90"/>
      <c r="P963" s="90"/>
      <c r="Q963" s="90"/>
      <c r="R963" s="90"/>
      <c r="W963" s="6"/>
      <c r="X963" s="6"/>
      <c r="Y963" s="6"/>
      <c r="Z963" s="6"/>
    </row>
    <row r="964" spans="1:26">
      <c r="A964" s="90"/>
      <c r="C964" s="90"/>
      <c r="E964" s="90"/>
      <c r="K964" s="90"/>
      <c r="P964" s="90"/>
      <c r="Q964" s="90"/>
      <c r="R964" s="90"/>
      <c r="W964" s="6"/>
      <c r="X964" s="6"/>
      <c r="Y964" s="6"/>
      <c r="Z964" s="6"/>
    </row>
    <row r="965" spans="1:26">
      <c r="A965" s="90"/>
      <c r="C965" s="90"/>
      <c r="E965" s="90"/>
      <c r="K965" s="90"/>
      <c r="P965" s="90"/>
      <c r="Q965" s="90"/>
      <c r="R965" s="90"/>
      <c r="W965" s="6"/>
      <c r="X965" s="6"/>
      <c r="Y965" s="6"/>
      <c r="Z965" s="6"/>
    </row>
    <row r="966" spans="1:26">
      <c r="A966" s="90"/>
      <c r="C966" s="90"/>
      <c r="E966" s="90"/>
      <c r="K966" s="90"/>
      <c r="P966" s="90"/>
      <c r="Q966" s="90"/>
      <c r="R966" s="90"/>
      <c r="W966" s="6"/>
      <c r="X966" s="6"/>
      <c r="Y966" s="6"/>
      <c r="Z966" s="6"/>
    </row>
    <row r="967" spans="1:26">
      <c r="A967" s="90"/>
      <c r="C967" s="90"/>
      <c r="E967" s="90"/>
      <c r="K967" s="90"/>
      <c r="P967" s="90"/>
      <c r="Q967" s="90"/>
      <c r="R967" s="90"/>
      <c r="W967" s="6"/>
      <c r="X967" s="6"/>
      <c r="Y967" s="6"/>
      <c r="Z967" s="6"/>
    </row>
    <row r="968" spans="1:26">
      <c r="A968" s="90"/>
      <c r="C968" s="90"/>
      <c r="E968" s="90"/>
      <c r="K968" s="90"/>
      <c r="P968" s="90"/>
      <c r="Q968" s="90"/>
      <c r="R968" s="90"/>
      <c r="W968" s="6"/>
      <c r="X968" s="6"/>
      <c r="Y968" s="6"/>
      <c r="Z968" s="6"/>
    </row>
    <row r="969" spans="1:26">
      <c r="A969" s="90"/>
      <c r="C969" s="90"/>
      <c r="E969" s="90"/>
      <c r="K969" s="90"/>
      <c r="P969" s="90"/>
      <c r="Q969" s="90"/>
      <c r="R969" s="90"/>
      <c r="W969" s="6"/>
      <c r="X969" s="6"/>
      <c r="Y969" s="6"/>
      <c r="Z969" s="6"/>
    </row>
    <row r="970" spans="1:26">
      <c r="A970" s="90"/>
      <c r="C970" s="90"/>
      <c r="E970" s="90"/>
      <c r="K970" s="90"/>
      <c r="P970" s="90"/>
      <c r="Q970" s="90"/>
      <c r="R970" s="90"/>
      <c r="W970" s="6"/>
      <c r="X970" s="6"/>
      <c r="Y970" s="6"/>
      <c r="Z970" s="6"/>
    </row>
    <row r="971" spans="1:26">
      <c r="A971" s="90"/>
      <c r="C971" s="90"/>
      <c r="E971" s="90"/>
      <c r="K971" s="90"/>
      <c r="P971" s="90"/>
      <c r="Q971" s="90"/>
      <c r="R971" s="90"/>
      <c r="W971" s="6"/>
      <c r="X971" s="6"/>
      <c r="Y971" s="6"/>
      <c r="Z971" s="6"/>
    </row>
    <row r="972" spans="1:26">
      <c r="A972" s="90"/>
      <c r="C972" s="90"/>
      <c r="E972" s="90"/>
      <c r="K972" s="90"/>
      <c r="P972" s="90"/>
      <c r="Q972" s="90"/>
      <c r="R972" s="90"/>
      <c r="W972" s="6"/>
      <c r="X972" s="6"/>
      <c r="Y972" s="6"/>
      <c r="Z972" s="6"/>
    </row>
    <row r="973" spans="1:26">
      <c r="A973" s="90"/>
      <c r="C973" s="90"/>
      <c r="E973" s="90"/>
      <c r="K973" s="90"/>
      <c r="P973" s="90"/>
      <c r="Q973" s="90"/>
      <c r="R973" s="90"/>
      <c r="W973" s="6"/>
      <c r="X973" s="6"/>
      <c r="Y973" s="6"/>
      <c r="Z973" s="6"/>
    </row>
    <row r="974" spans="1:26">
      <c r="A974" s="90"/>
      <c r="C974" s="90"/>
      <c r="E974" s="90"/>
      <c r="K974" s="90"/>
      <c r="P974" s="90"/>
      <c r="Q974" s="90"/>
      <c r="R974" s="90"/>
      <c r="W974" s="6"/>
      <c r="X974" s="6"/>
      <c r="Y974" s="6"/>
      <c r="Z974" s="6"/>
    </row>
    <row r="975" spans="1:26">
      <c r="A975" s="90"/>
      <c r="C975" s="90"/>
      <c r="E975" s="90"/>
      <c r="K975" s="90"/>
      <c r="P975" s="90"/>
      <c r="Q975" s="90"/>
      <c r="R975" s="90"/>
      <c r="W975" s="6"/>
      <c r="X975" s="6"/>
      <c r="Y975" s="6"/>
      <c r="Z975" s="6"/>
    </row>
    <row r="976" spans="1:26">
      <c r="A976" s="90"/>
      <c r="C976" s="90"/>
      <c r="E976" s="90"/>
      <c r="K976" s="90"/>
      <c r="P976" s="90"/>
      <c r="Q976" s="90"/>
      <c r="R976" s="90"/>
      <c r="W976" s="6"/>
      <c r="X976" s="6"/>
      <c r="Y976" s="6"/>
      <c r="Z976" s="6"/>
    </row>
    <row r="977" spans="1:26">
      <c r="A977" s="90"/>
      <c r="C977" s="90"/>
      <c r="E977" s="90"/>
      <c r="K977" s="90"/>
      <c r="P977" s="90"/>
      <c r="Q977" s="90"/>
      <c r="R977" s="90"/>
      <c r="W977" s="6"/>
      <c r="X977" s="6"/>
      <c r="Y977" s="6"/>
      <c r="Z977" s="6"/>
    </row>
    <row r="978" spans="1:26">
      <c r="A978" s="90"/>
      <c r="C978" s="90"/>
      <c r="E978" s="90"/>
      <c r="K978" s="90"/>
      <c r="P978" s="90"/>
      <c r="Q978" s="90"/>
      <c r="R978" s="90"/>
      <c r="W978" s="6"/>
      <c r="X978" s="6"/>
      <c r="Y978" s="6"/>
      <c r="Z978" s="6"/>
    </row>
    <row r="979" spans="1:26">
      <c r="A979" s="90"/>
      <c r="C979" s="90"/>
      <c r="E979" s="90"/>
      <c r="K979" s="90"/>
      <c r="P979" s="90"/>
      <c r="Q979" s="90"/>
      <c r="R979" s="90"/>
      <c r="W979" s="6"/>
      <c r="X979" s="6"/>
      <c r="Y979" s="6"/>
      <c r="Z979" s="6"/>
    </row>
    <row r="980" spans="1:26">
      <c r="A980" s="90"/>
      <c r="C980" s="90"/>
      <c r="E980" s="90"/>
      <c r="K980" s="90"/>
      <c r="P980" s="90"/>
      <c r="Q980" s="90"/>
      <c r="R980" s="90"/>
      <c r="W980" s="6"/>
      <c r="X980" s="6"/>
      <c r="Y980" s="6"/>
      <c r="Z980" s="6"/>
    </row>
    <row r="981" spans="1:26">
      <c r="A981" s="90"/>
      <c r="C981" s="90"/>
      <c r="E981" s="90"/>
      <c r="K981" s="90"/>
      <c r="P981" s="90"/>
      <c r="Q981" s="90"/>
      <c r="R981" s="90"/>
      <c r="W981" s="6"/>
      <c r="X981" s="6"/>
      <c r="Y981" s="6"/>
      <c r="Z981" s="6"/>
    </row>
    <row r="982" spans="1:26">
      <c r="A982" s="90"/>
      <c r="C982" s="90"/>
      <c r="E982" s="90"/>
      <c r="K982" s="90"/>
      <c r="P982" s="90"/>
      <c r="Q982" s="90"/>
      <c r="R982" s="90"/>
      <c r="W982" s="6"/>
      <c r="X982" s="6"/>
      <c r="Y982" s="6"/>
      <c r="Z982" s="6"/>
    </row>
    <row r="983" spans="1:26">
      <c r="A983" s="90"/>
      <c r="C983" s="90"/>
      <c r="E983" s="90"/>
      <c r="K983" s="90"/>
      <c r="P983" s="90"/>
      <c r="Q983" s="90"/>
      <c r="R983" s="90"/>
      <c r="W983" s="6"/>
      <c r="X983" s="6"/>
      <c r="Y983" s="6"/>
      <c r="Z983" s="6"/>
    </row>
    <row r="984" spans="1:26">
      <c r="A984" s="90"/>
      <c r="C984" s="90"/>
      <c r="E984" s="90"/>
      <c r="K984" s="90"/>
      <c r="P984" s="90"/>
      <c r="Q984" s="90"/>
      <c r="R984" s="90"/>
      <c r="W984" s="6"/>
      <c r="X984" s="6"/>
      <c r="Y984" s="6"/>
      <c r="Z984" s="6"/>
    </row>
    <row r="985" spans="1:26">
      <c r="A985" s="90"/>
      <c r="C985" s="90"/>
      <c r="E985" s="90"/>
      <c r="K985" s="90"/>
      <c r="P985" s="90"/>
      <c r="Q985" s="90"/>
      <c r="R985" s="90"/>
      <c r="W985" s="6"/>
      <c r="X985" s="6"/>
      <c r="Y985" s="6"/>
      <c r="Z985" s="6"/>
    </row>
    <row r="986" spans="1:26">
      <c r="A986" s="90"/>
      <c r="C986" s="90"/>
      <c r="E986" s="90"/>
      <c r="K986" s="90"/>
      <c r="P986" s="90"/>
      <c r="Q986" s="90"/>
      <c r="R986" s="90"/>
      <c r="W986" s="6"/>
      <c r="X986" s="6"/>
      <c r="Y986" s="6"/>
      <c r="Z986" s="6"/>
    </row>
    <row r="987" spans="1:26">
      <c r="A987" s="90"/>
      <c r="C987" s="90"/>
      <c r="E987" s="90"/>
      <c r="K987" s="90"/>
      <c r="P987" s="90"/>
      <c r="Q987" s="90"/>
      <c r="R987" s="90"/>
      <c r="W987" s="6"/>
      <c r="X987" s="6"/>
      <c r="Y987" s="6"/>
      <c r="Z987" s="6"/>
    </row>
    <row r="988" spans="1:26">
      <c r="A988" s="90"/>
      <c r="C988" s="90"/>
      <c r="E988" s="90"/>
      <c r="K988" s="90"/>
      <c r="P988" s="90"/>
      <c r="Q988" s="90"/>
      <c r="R988" s="90"/>
      <c r="W988" s="6"/>
      <c r="X988" s="6"/>
      <c r="Y988" s="6"/>
      <c r="Z988" s="6"/>
    </row>
    <row r="989" spans="1:26">
      <c r="A989" s="90"/>
      <c r="C989" s="90"/>
      <c r="E989" s="90"/>
      <c r="K989" s="90"/>
      <c r="P989" s="90"/>
      <c r="Q989" s="90"/>
      <c r="R989" s="90"/>
      <c r="W989" s="6"/>
      <c r="X989" s="6"/>
      <c r="Y989" s="6"/>
      <c r="Z989" s="6"/>
    </row>
    <row r="990" spans="1:26">
      <c r="A990" s="90"/>
      <c r="C990" s="90"/>
      <c r="E990" s="90"/>
      <c r="K990" s="90"/>
      <c r="P990" s="90"/>
      <c r="Q990" s="90"/>
      <c r="R990" s="90"/>
      <c r="W990" s="6"/>
      <c r="X990" s="6"/>
      <c r="Y990" s="6"/>
      <c r="Z990" s="6"/>
    </row>
    <row r="991" spans="1:26">
      <c r="A991" s="90"/>
      <c r="C991" s="90"/>
      <c r="E991" s="90"/>
      <c r="K991" s="90"/>
      <c r="P991" s="90"/>
      <c r="Q991" s="90"/>
      <c r="R991" s="90"/>
      <c r="W991" s="6"/>
      <c r="X991" s="6"/>
      <c r="Y991" s="6"/>
      <c r="Z991" s="6"/>
    </row>
    <row r="992" spans="1:26">
      <c r="A992" s="90"/>
      <c r="C992" s="90"/>
      <c r="E992" s="90"/>
      <c r="K992" s="90"/>
      <c r="P992" s="90"/>
      <c r="Q992" s="90"/>
      <c r="R992" s="90"/>
      <c r="W992" s="6"/>
      <c r="X992" s="6"/>
      <c r="Y992" s="6"/>
      <c r="Z992" s="6"/>
    </row>
    <row r="993" spans="1:26">
      <c r="A993" s="90"/>
      <c r="C993" s="90"/>
      <c r="E993" s="90"/>
      <c r="K993" s="90"/>
      <c r="P993" s="90"/>
      <c r="Q993" s="90"/>
      <c r="R993" s="90"/>
      <c r="W993" s="6"/>
      <c r="X993" s="6"/>
      <c r="Y993" s="6"/>
      <c r="Z993" s="6"/>
    </row>
    <row r="994" spans="1:26">
      <c r="A994" s="90"/>
      <c r="C994" s="90"/>
      <c r="E994" s="90"/>
      <c r="K994" s="90"/>
      <c r="P994" s="90"/>
      <c r="Q994" s="90"/>
      <c r="R994" s="90"/>
      <c r="W994" s="6"/>
      <c r="X994" s="6"/>
      <c r="Y994" s="6"/>
      <c r="Z994" s="6"/>
    </row>
    <row r="995" spans="1:26">
      <c r="A995" s="90"/>
      <c r="C995" s="90"/>
      <c r="E995" s="90"/>
      <c r="K995" s="90"/>
      <c r="P995" s="90"/>
      <c r="Q995" s="90"/>
      <c r="R995" s="90"/>
      <c r="W995" s="6"/>
      <c r="X995" s="6"/>
      <c r="Y995" s="6"/>
      <c r="Z995" s="6"/>
    </row>
    <row r="996" spans="1:26">
      <c r="A996" s="90"/>
      <c r="C996" s="90"/>
      <c r="E996" s="90"/>
      <c r="K996" s="90"/>
      <c r="P996" s="90"/>
      <c r="Q996" s="90"/>
      <c r="R996" s="90"/>
      <c r="W996" s="6"/>
      <c r="X996" s="6"/>
      <c r="Y996" s="6"/>
      <c r="Z996" s="6"/>
    </row>
    <row r="997" spans="1:26">
      <c r="A997" s="90"/>
      <c r="C997" s="90"/>
      <c r="E997" s="90"/>
      <c r="K997" s="90"/>
      <c r="P997" s="90"/>
      <c r="Q997" s="90"/>
      <c r="R997" s="90"/>
      <c r="W997" s="6"/>
      <c r="X997" s="6"/>
      <c r="Y997" s="6"/>
      <c r="Z997" s="6"/>
    </row>
  </sheetData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AM983"/>
  <sheetViews>
    <sheetView workbookViewId="0"/>
  </sheetViews>
  <sheetFormatPr defaultColWidth="14.42578125" defaultRowHeight="15" customHeight="1"/>
  <cols>
    <col min="1" max="1" width="8.42578125" customWidth="1"/>
    <col min="2" max="2" width="33" customWidth="1"/>
    <col min="4" max="4" width="24.5703125" customWidth="1"/>
    <col min="5" max="5" width="20.42578125" customWidth="1"/>
    <col min="6" max="6" width="17.42578125" customWidth="1"/>
    <col min="7" max="7" width="17.140625" customWidth="1"/>
    <col min="8" max="8" width="17.7109375" customWidth="1"/>
    <col min="9" max="9" width="22.140625" customWidth="1"/>
    <col min="10" max="10" width="18.140625" customWidth="1"/>
    <col min="11" max="11" width="19.140625" customWidth="1"/>
  </cols>
  <sheetData>
    <row r="1" spans="1:39" ht="17.25">
      <c r="A1" s="740" t="s">
        <v>814</v>
      </c>
      <c r="B1" s="740" t="s">
        <v>430</v>
      </c>
      <c r="C1" s="740" t="s">
        <v>815</v>
      </c>
      <c r="D1" s="740" t="s">
        <v>816</v>
      </c>
      <c r="E1" s="740" t="s">
        <v>817</v>
      </c>
      <c r="F1" s="740" t="s">
        <v>818</v>
      </c>
      <c r="G1" s="740" t="s">
        <v>433</v>
      </c>
      <c r="H1" s="740" t="s">
        <v>129</v>
      </c>
      <c r="I1" s="741" t="s">
        <v>819</v>
      </c>
      <c r="J1" s="740" t="s">
        <v>820</v>
      </c>
      <c r="K1" s="742" t="s">
        <v>821</v>
      </c>
      <c r="L1" s="743"/>
      <c r="M1" s="743"/>
      <c r="N1" s="743"/>
      <c r="O1" s="743"/>
      <c r="P1" s="743"/>
      <c r="Q1" s="743"/>
      <c r="R1" s="743"/>
      <c r="S1" s="743"/>
      <c r="T1" s="743"/>
      <c r="U1" s="743"/>
      <c r="V1" s="743"/>
      <c r="W1" s="743"/>
      <c r="X1" s="743"/>
      <c r="Y1" s="743"/>
      <c r="Z1" s="743"/>
      <c r="AA1" s="743"/>
      <c r="AB1" s="743"/>
      <c r="AC1" s="743"/>
      <c r="AD1" s="743"/>
      <c r="AE1" s="743"/>
      <c r="AF1" s="743"/>
      <c r="AG1" s="743"/>
      <c r="AH1" s="743"/>
      <c r="AI1" s="743"/>
      <c r="AJ1" s="743"/>
      <c r="AK1" s="743"/>
      <c r="AL1" s="743"/>
      <c r="AM1" s="743"/>
    </row>
    <row r="2" spans="1:39" ht="17.25">
      <c r="A2" s="744">
        <v>63</v>
      </c>
      <c r="B2" s="745" t="s">
        <v>822</v>
      </c>
      <c r="C2" s="746"/>
      <c r="D2" s="747" t="s">
        <v>823</v>
      </c>
      <c r="E2" s="748" t="s">
        <v>824</v>
      </c>
      <c r="F2" s="748">
        <v>3329803891</v>
      </c>
      <c r="G2" s="748" t="s">
        <v>825</v>
      </c>
      <c r="H2" s="749">
        <v>34121</v>
      </c>
      <c r="I2" s="750">
        <v>56035</v>
      </c>
      <c r="J2" s="751">
        <v>44123</v>
      </c>
      <c r="K2" s="752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753"/>
      <c r="AA2" s="753"/>
      <c r="AB2" s="753"/>
      <c r="AC2" s="753"/>
      <c r="AD2" s="753"/>
      <c r="AE2" s="753"/>
      <c r="AF2" s="753"/>
      <c r="AG2" s="753"/>
      <c r="AH2" s="753"/>
      <c r="AI2" s="753"/>
      <c r="AJ2" s="753"/>
      <c r="AK2" s="753"/>
      <c r="AL2" s="753"/>
      <c r="AM2" s="753"/>
    </row>
    <row r="3" spans="1:39" ht="17.25">
      <c r="A3" s="744">
        <v>2</v>
      </c>
      <c r="B3" s="754" t="s">
        <v>826</v>
      </c>
      <c r="C3" s="754" t="s">
        <v>827</v>
      </c>
      <c r="D3" s="754" t="s">
        <v>823</v>
      </c>
      <c r="E3" s="754" t="s">
        <v>10</v>
      </c>
      <c r="F3" s="754">
        <v>50205423340</v>
      </c>
      <c r="G3" s="746" t="s">
        <v>828</v>
      </c>
      <c r="H3" s="755">
        <v>28281</v>
      </c>
      <c r="I3" s="756">
        <v>50221</v>
      </c>
      <c r="J3" s="755">
        <v>37669</v>
      </c>
      <c r="K3" s="752"/>
      <c r="L3" s="743"/>
      <c r="M3" s="743"/>
      <c r="N3" s="743"/>
      <c r="O3" s="743"/>
      <c r="P3" s="743"/>
      <c r="Q3" s="743"/>
      <c r="R3" s="743"/>
      <c r="S3" s="743"/>
      <c r="T3" s="743"/>
      <c r="U3" s="743"/>
      <c r="V3" s="743"/>
      <c r="W3" s="743"/>
      <c r="X3" s="743"/>
      <c r="Y3" s="743"/>
      <c r="Z3" s="743"/>
      <c r="AA3" s="743"/>
      <c r="AB3" s="743"/>
      <c r="AC3" s="743"/>
      <c r="AD3" s="743"/>
      <c r="AE3" s="743"/>
      <c r="AF3" s="743"/>
      <c r="AG3" s="743"/>
      <c r="AH3" s="743"/>
      <c r="AI3" s="743"/>
      <c r="AJ3" s="743"/>
      <c r="AK3" s="743"/>
      <c r="AL3" s="743"/>
      <c r="AM3" s="743"/>
    </row>
    <row r="4" spans="1:39" ht="17.25">
      <c r="A4" s="744">
        <v>3</v>
      </c>
      <c r="B4" s="754" t="s">
        <v>829</v>
      </c>
      <c r="C4" s="754" t="s">
        <v>827</v>
      </c>
      <c r="D4" s="754" t="s">
        <v>823</v>
      </c>
      <c r="E4" s="754" t="s">
        <v>10</v>
      </c>
      <c r="F4" s="754">
        <v>50205511100</v>
      </c>
      <c r="G4" s="746" t="s">
        <v>830</v>
      </c>
      <c r="H4" s="755">
        <v>26738</v>
      </c>
      <c r="I4" s="756">
        <v>48669</v>
      </c>
      <c r="J4" s="755">
        <v>38600</v>
      </c>
      <c r="K4" s="752"/>
      <c r="L4" s="743"/>
      <c r="M4" s="743"/>
      <c r="N4" s="743"/>
      <c r="O4" s="743"/>
      <c r="P4" s="743"/>
      <c r="Q4" s="743"/>
      <c r="R4" s="743"/>
      <c r="S4" s="743"/>
      <c r="T4" s="743"/>
      <c r="U4" s="743"/>
      <c r="V4" s="743"/>
      <c r="W4" s="743"/>
      <c r="X4" s="743"/>
      <c r="Y4" s="743"/>
      <c r="Z4" s="743"/>
      <c r="AA4" s="743"/>
      <c r="AB4" s="743"/>
      <c r="AC4" s="743"/>
      <c r="AD4" s="743"/>
      <c r="AE4" s="743"/>
      <c r="AF4" s="743"/>
      <c r="AG4" s="743"/>
      <c r="AH4" s="743"/>
      <c r="AI4" s="743"/>
      <c r="AJ4" s="743"/>
      <c r="AK4" s="743"/>
      <c r="AL4" s="743"/>
      <c r="AM4" s="743"/>
    </row>
    <row r="5" spans="1:39" ht="17.25">
      <c r="A5" s="744">
        <v>4</v>
      </c>
      <c r="B5" s="754" t="s">
        <v>831</v>
      </c>
      <c r="C5" s="754" t="s">
        <v>827</v>
      </c>
      <c r="D5" s="754" t="s">
        <v>823</v>
      </c>
      <c r="E5" s="754" t="s">
        <v>10</v>
      </c>
      <c r="F5" s="754">
        <v>50205563689</v>
      </c>
      <c r="G5" s="746" t="s">
        <v>832</v>
      </c>
      <c r="H5" s="755">
        <v>28858</v>
      </c>
      <c r="I5" s="756">
        <v>50801</v>
      </c>
      <c r="J5" s="755">
        <v>39483</v>
      </c>
      <c r="K5" s="752"/>
      <c r="L5" s="743"/>
      <c r="M5" s="743"/>
      <c r="N5" s="743"/>
      <c r="O5" s="743"/>
      <c r="P5" s="743"/>
      <c r="Q5" s="743"/>
      <c r="R5" s="743"/>
      <c r="S5" s="743"/>
      <c r="T5" s="743"/>
      <c r="U5" s="743"/>
      <c r="V5" s="743"/>
      <c r="W5" s="743"/>
      <c r="X5" s="743"/>
      <c r="Y5" s="743"/>
      <c r="Z5" s="743"/>
      <c r="AA5" s="743"/>
      <c r="AB5" s="743"/>
      <c r="AC5" s="743"/>
      <c r="AD5" s="743"/>
      <c r="AE5" s="743"/>
      <c r="AF5" s="743"/>
      <c r="AG5" s="743"/>
      <c r="AH5" s="743"/>
      <c r="AI5" s="743"/>
      <c r="AJ5" s="743"/>
      <c r="AK5" s="743"/>
      <c r="AL5" s="743"/>
      <c r="AM5" s="743"/>
    </row>
    <row r="6" spans="1:39" ht="17.25">
      <c r="A6" s="744">
        <v>5</v>
      </c>
      <c r="B6" s="754" t="s">
        <v>833</v>
      </c>
      <c r="C6" s="754" t="s">
        <v>827</v>
      </c>
      <c r="D6" s="754" t="s">
        <v>823</v>
      </c>
      <c r="E6" s="754" t="s">
        <v>10</v>
      </c>
      <c r="F6" s="754">
        <v>50205352381</v>
      </c>
      <c r="G6" s="746" t="s">
        <v>834</v>
      </c>
      <c r="H6" s="757">
        <v>25170</v>
      </c>
      <c r="I6" s="756">
        <v>47087</v>
      </c>
      <c r="J6" s="755">
        <v>33078</v>
      </c>
      <c r="K6" s="752"/>
      <c r="L6" s="743"/>
      <c r="M6" s="743"/>
      <c r="N6" s="743"/>
      <c r="O6" s="743"/>
      <c r="P6" s="743"/>
      <c r="Q6" s="743"/>
      <c r="R6" s="743"/>
      <c r="S6" s="743"/>
      <c r="T6" s="743"/>
      <c r="U6" s="743"/>
      <c r="V6" s="743"/>
      <c r="W6" s="743"/>
      <c r="X6" s="743"/>
      <c r="Y6" s="743"/>
      <c r="Z6" s="743"/>
      <c r="AA6" s="743"/>
      <c r="AB6" s="743"/>
      <c r="AC6" s="743"/>
      <c r="AD6" s="743"/>
      <c r="AE6" s="743"/>
      <c r="AF6" s="743"/>
      <c r="AG6" s="743"/>
      <c r="AH6" s="743"/>
      <c r="AI6" s="743"/>
      <c r="AJ6" s="743"/>
      <c r="AK6" s="743"/>
      <c r="AL6" s="743"/>
      <c r="AM6" s="743"/>
    </row>
    <row r="7" spans="1:39" ht="17.25">
      <c r="A7" s="744">
        <v>6</v>
      </c>
      <c r="B7" s="754" t="s">
        <v>835</v>
      </c>
      <c r="C7" s="754" t="s">
        <v>827</v>
      </c>
      <c r="D7" s="744" t="s">
        <v>823</v>
      </c>
      <c r="E7" s="754" t="s">
        <v>10</v>
      </c>
      <c r="F7" s="754">
        <v>50200616655</v>
      </c>
      <c r="G7" s="746" t="s">
        <v>836</v>
      </c>
      <c r="H7" s="755">
        <v>28132</v>
      </c>
      <c r="I7" s="756">
        <v>50071</v>
      </c>
      <c r="J7" s="755">
        <v>39160</v>
      </c>
      <c r="K7" s="752"/>
      <c r="L7" s="743"/>
      <c r="M7" s="743"/>
      <c r="N7" s="743"/>
      <c r="O7" s="743"/>
      <c r="P7" s="743"/>
      <c r="Q7" s="743"/>
      <c r="R7" s="743"/>
      <c r="S7" s="743"/>
      <c r="T7" s="743"/>
      <c r="U7" s="743"/>
      <c r="V7" s="743"/>
      <c r="W7" s="743"/>
      <c r="X7" s="743"/>
      <c r="Y7" s="743"/>
      <c r="Z7" s="743"/>
      <c r="AA7" s="743"/>
      <c r="AB7" s="743"/>
      <c r="AC7" s="743"/>
      <c r="AD7" s="743"/>
      <c r="AE7" s="743"/>
      <c r="AF7" s="743"/>
      <c r="AG7" s="743"/>
      <c r="AH7" s="743"/>
      <c r="AI7" s="743"/>
      <c r="AJ7" s="743"/>
      <c r="AK7" s="743"/>
      <c r="AL7" s="743"/>
      <c r="AM7" s="743"/>
    </row>
    <row r="8" spans="1:39" ht="17.25">
      <c r="A8" s="744">
        <v>7</v>
      </c>
      <c r="B8" s="744" t="s">
        <v>837</v>
      </c>
      <c r="C8" s="754">
        <v>2530</v>
      </c>
      <c r="D8" s="744" t="s">
        <v>838</v>
      </c>
      <c r="E8" s="754" t="s">
        <v>10</v>
      </c>
      <c r="F8" s="754">
        <v>50205328408</v>
      </c>
      <c r="G8" s="746" t="s">
        <v>839</v>
      </c>
      <c r="H8" s="755">
        <v>24387</v>
      </c>
      <c r="I8" s="756">
        <v>46326</v>
      </c>
      <c r="J8" s="755">
        <v>31786</v>
      </c>
      <c r="K8" s="752"/>
      <c r="L8" s="743"/>
      <c r="M8" s="743"/>
      <c r="N8" s="743"/>
      <c r="O8" s="743"/>
      <c r="P8" s="743"/>
      <c r="Q8" s="743"/>
      <c r="R8" s="743"/>
      <c r="S8" s="743"/>
      <c r="T8" s="743"/>
      <c r="U8" s="743"/>
      <c r="V8" s="743"/>
      <c r="W8" s="743"/>
      <c r="X8" s="743"/>
      <c r="Y8" s="743"/>
      <c r="Z8" s="743"/>
      <c r="AA8" s="743"/>
      <c r="AB8" s="743"/>
      <c r="AC8" s="743"/>
      <c r="AD8" s="743"/>
      <c r="AE8" s="743"/>
      <c r="AF8" s="743"/>
      <c r="AG8" s="743"/>
      <c r="AH8" s="743"/>
      <c r="AI8" s="743"/>
      <c r="AJ8" s="743"/>
      <c r="AK8" s="743"/>
      <c r="AL8" s="743"/>
      <c r="AM8" s="743"/>
    </row>
    <row r="9" spans="1:39" ht="17.25">
      <c r="A9" s="744">
        <v>8</v>
      </c>
      <c r="B9" s="744" t="s">
        <v>840</v>
      </c>
      <c r="C9" s="754">
        <v>3910</v>
      </c>
      <c r="D9" s="754" t="s">
        <v>841</v>
      </c>
      <c r="E9" s="754" t="s">
        <v>10</v>
      </c>
      <c r="F9" s="754">
        <v>50205559431</v>
      </c>
      <c r="G9" s="746" t="s">
        <v>842</v>
      </c>
      <c r="H9" s="755">
        <v>32980</v>
      </c>
      <c r="I9" s="756">
        <v>54908</v>
      </c>
      <c r="J9" s="755">
        <v>40149</v>
      </c>
      <c r="K9" s="752"/>
      <c r="L9" s="743"/>
      <c r="M9" s="743"/>
      <c r="N9" s="743"/>
      <c r="O9" s="743"/>
      <c r="P9" s="743"/>
      <c r="Q9" s="743"/>
      <c r="R9" s="743"/>
      <c r="S9" s="743"/>
      <c r="T9" s="743"/>
      <c r="U9" s="743"/>
      <c r="V9" s="743"/>
      <c r="W9" s="743"/>
      <c r="X9" s="743"/>
      <c r="Y9" s="743"/>
      <c r="Z9" s="743"/>
      <c r="AA9" s="743"/>
      <c r="AB9" s="743"/>
      <c r="AC9" s="743"/>
      <c r="AD9" s="743"/>
      <c r="AE9" s="743"/>
      <c r="AF9" s="743"/>
      <c r="AG9" s="743"/>
      <c r="AH9" s="743"/>
      <c r="AI9" s="743"/>
      <c r="AJ9" s="743"/>
      <c r="AK9" s="743"/>
      <c r="AL9" s="743"/>
      <c r="AM9" s="743"/>
    </row>
    <row r="10" spans="1:39" ht="17.25">
      <c r="A10" s="744">
        <v>9</v>
      </c>
      <c r="B10" s="744" t="s">
        <v>843</v>
      </c>
      <c r="C10" s="754">
        <v>3893</v>
      </c>
      <c r="D10" s="754" t="s">
        <v>841</v>
      </c>
      <c r="E10" s="754" t="s">
        <v>10</v>
      </c>
      <c r="F10" s="754">
        <v>50205584292</v>
      </c>
      <c r="G10" s="746" t="s">
        <v>844</v>
      </c>
      <c r="H10" s="757">
        <v>25890</v>
      </c>
      <c r="I10" s="756">
        <v>47817</v>
      </c>
      <c r="J10" s="755">
        <v>41222</v>
      </c>
      <c r="K10" s="752"/>
      <c r="L10" s="743"/>
      <c r="M10" s="743"/>
      <c r="N10" s="743"/>
      <c r="O10" s="743"/>
      <c r="P10" s="743"/>
      <c r="Q10" s="743"/>
      <c r="R10" s="743"/>
      <c r="S10" s="743"/>
      <c r="T10" s="743"/>
      <c r="U10" s="743"/>
      <c r="V10" s="743"/>
      <c r="W10" s="743"/>
      <c r="X10" s="743"/>
      <c r="Y10" s="743"/>
      <c r="Z10" s="743"/>
      <c r="AA10" s="743"/>
      <c r="AB10" s="743"/>
      <c r="AC10" s="743"/>
      <c r="AD10" s="743"/>
      <c r="AE10" s="743"/>
      <c r="AF10" s="743"/>
      <c r="AG10" s="743"/>
      <c r="AH10" s="743"/>
      <c r="AI10" s="743"/>
      <c r="AJ10" s="743"/>
      <c r="AK10" s="743"/>
      <c r="AL10" s="743"/>
      <c r="AM10" s="743"/>
    </row>
    <row r="11" spans="1:39" ht="17.25">
      <c r="A11" s="744">
        <v>10</v>
      </c>
      <c r="B11" s="744" t="s">
        <v>845</v>
      </c>
      <c r="C11" s="754">
        <v>3586</v>
      </c>
      <c r="D11" s="754" t="s">
        <v>841</v>
      </c>
      <c r="E11" s="754" t="s">
        <v>10</v>
      </c>
      <c r="F11" s="754">
        <v>50205561006</v>
      </c>
      <c r="G11" s="746" t="s">
        <v>846</v>
      </c>
      <c r="H11" s="757">
        <v>28469</v>
      </c>
      <c r="I11" s="756">
        <v>50405</v>
      </c>
      <c r="J11" s="755">
        <v>40323</v>
      </c>
      <c r="K11" s="758"/>
      <c r="L11" s="743"/>
      <c r="M11" s="743"/>
      <c r="N11" s="743"/>
      <c r="O11" s="743"/>
      <c r="P11" s="743"/>
      <c r="Q11" s="743"/>
      <c r="R11" s="743"/>
      <c r="S11" s="743"/>
      <c r="T11" s="743"/>
      <c r="U11" s="743"/>
      <c r="V11" s="743"/>
      <c r="W11" s="743"/>
      <c r="X11" s="743"/>
      <c r="Y11" s="743"/>
      <c r="Z11" s="743"/>
      <c r="AA11" s="743"/>
      <c r="AB11" s="743"/>
      <c r="AC11" s="743"/>
      <c r="AD11" s="743"/>
      <c r="AE11" s="743"/>
      <c r="AF11" s="743"/>
      <c r="AG11" s="743"/>
      <c r="AH11" s="743"/>
      <c r="AI11" s="743"/>
      <c r="AJ11" s="743"/>
      <c r="AK11" s="743"/>
      <c r="AL11" s="743"/>
      <c r="AM11" s="743"/>
    </row>
    <row r="12" spans="1:39" ht="17.25">
      <c r="A12" s="744">
        <v>11</v>
      </c>
      <c r="B12" s="744" t="s">
        <v>847</v>
      </c>
      <c r="C12" s="754">
        <v>3399</v>
      </c>
      <c r="D12" s="754" t="s">
        <v>848</v>
      </c>
      <c r="E12" s="754" t="s">
        <v>10</v>
      </c>
      <c r="F12" s="754">
        <v>50205406973</v>
      </c>
      <c r="G12" s="746" t="s">
        <v>849</v>
      </c>
      <c r="H12" s="755">
        <v>26434</v>
      </c>
      <c r="I12" s="756">
        <v>48365</v>
      </c>
      <c r="J12" s="755">
        <v>35487</v>
      </c>
      <c r="K12" s="752"/>
      <c r="L12" s="743"/>
      <c r="M12" s="743"/>
      <c r="N12" s="743"/>
      <c r="O12" s="743"/>
      <c r="P12" s="743"/>
      <c r="Q12" s="743"/>
      <c r="R12" s="743"/>
      <c r="S12" s="743"/>
      <c r="T12" s="743"/>
      <c r="U12" s="743"/>
      <c r="V12" s="743"/>
      <c r="W12" s="743"/>
      <c r="X12" s="743"/>
      <c r="Y12" s="743"/>
      <c r="Z12" s="743"/>
      <c r="AA12" s="743"/>
      <c r="AB12" s="743"/>
      <c r="AC12" s="743"/>
      <c r="AD12" s="743"/>
      <c r="AE12" s="743"/>
      <c r="AF12" s="743"/>
      <c r="AG12" s="743"/>
      <c r="AH12" s="743"/>
      <c r="AI12" s="743"/>
      <c r="AJ12" s="743"/>
      <c r="AK12" s="743"/>
      <c r="AL12" s="743"/>
      <c r="AM12" s="743"/>
    </row>
    <row r="13" spans="1:39" ht="17.25">
      <c r="A13" s="744">
        <v>12</v>
      </c>
      <c r="B13" s="744" t="s">
        <v>850</v>
      </c>
      <c r="C13" s="754">
        <v>3447</v>
      </c>
      <c r="D13" s="754" t="s">
        <v>851</v>
      </c>
      <c r="E13" s="754" t="s">
        <v>10</v>
      </c>
      <c r="F13" s="754">
        <v>50205518180</v>
      </c>
      <c r="G13" s="746" t="s">
        <v>852</v>
      </c>
      <c r="H13" s="755">
        <v>26159</v>
      </c>
      <c r="I13" s="756">
        <v>48091</v>
      </c>
      <c r="J13" s="755">
        <v>38734</v>
      </c>
      <c r="K13" s="752"/>
      <c r="L13" s="743"/>
      <c r="M13" s="743"/>
      <c r="N13" s="743"/>
      <c r="O13" s="743"/>
      <c r="P13" s="743"/>
      <c r="Q13" s="743"/>
      <c r="R13" s="743"/>
      <c r="S13" s="743"/>
      <c r="T13" s="743"/>
      <c r="U13" s="743"/>
      <c r="V13" s="743"/>
      <c r="W13" s="743"/>
      <c r="X13" s="743"/>
      <c r="Y13" s="743"/>
      <c r="Z13" s="743"/>
      <c r="AA13" s="743"/>
      <c r="AB13" s="743"/>
      <c r="AC13" s="743"/>
      <c r="AD13" s="743"/>
      <c r="AE13" s="743"/>
      <c r="AF13" s="743"/>
      <c r="AG13" s="743"/>
      <c r="AH13" s="743"/>
      <c r="AI13" s="743"/>
      <c r="AJ13" s="743"/>
      <c r="AK13" s="743"/>
      <c r="AL13" s="743"/>
      <c r="AM13" s="743"/>
    </row>
    <row r="14" spans="1:39" ht="17.25">
      <c r="A14" s="744">
        <v>13</v>
      </c>
      <c r="B14" s="744" t="s">
        <v>853</v>
      </c>
      <c r="C14" s="754">
        <v>3652</v>
      </c>
      <c r="D14" s="754" t="s">
        <v>851</v>
      </c>
      <c r="E14" s="754" t="s">
        <v>10</v>
      </c>
      <c r="F14" s="754">
        <v>50205375459</v>
      </c>
      <c r="G14" s="746" t="s">
        <v>854</v>
      </c>
      <c r="H14" s="755">
        <v>24535</v>
      </c>
      <c r="I14" s="756">
        <v>46477</v>
      </c>
      <c r="J14" s="755">
        <v>33766</v>
      </c>
      <c r="K14" s="752"/>
      <c r="L14" s="743"/>
      <c r="M14" s="743"/>
      <c r="N14" s="743"/>
      <c r="O14" s="743"/>
      <c r="P14" s="743"/>
      <c r="Q14" s="743"/>
      <c r="R14" s="743"/>
      <c r="S14" s="743"/>
      <c r="T14" s="743"/>
      <c r="U14" s="743"/>
      <c r="V14" s="743"/>
      <c r="W14" s="743"/>
      <c r="X14" s="743"/>
      <c r="Y14" s="743"/>
      <c r="Z14" s="743"/>
      <c r="AA14" s="743"/>
      <c r="AB14" s="743"/>
      <c r="AC14" s="743"/>
      <c r="AD14" s="743"/>
      <c r="AE14" s="743"/>
      <c r="AF14" s="743"/>
      <c r="AG14" s="743"/>
      <c r="AH14" s="743"/>
      <c r="AI14" s="743"/>
      <c r="AJ14" s="743"/>
      <c r="AK14" s="743"/>
      <c r="AL14" s="743"/>
      <c r="AM14" s="743"/>
    </row>
    <row r="15" spans="1:39" ht="17.25">
      <c r="A15" s="744">
        <v>15</v>
      </c>
      <c r="B15" s="744" t="s">
        <v>855</v>
      </c>
      <c r="C15" s="754">
        <v>3235</v>
      </c>
      <c r="D15" s="754" t="s">
        <v>856</v>
      </c>
      <c r="E15" s="754" t="s">
        <v>10</v>
      </c>
      <c r="F15" s="754">
        <v>50205383912</v>
      </c>
      <c r="G15" s="746" t="s">
        <v>857</v>
      </c>
      <c r="H15" s="757">
        <v>25567</v>
      </c>
      <c r="I15" s="756">
        <v>47483</v>
      </c>
      <c r="J15" s="757">
        <v>34285</v>
      </c>
      <c r="K15" s="752"/>
      <c r="L15" s="743"/>
      <c r="M15" s="743"/>
      <c r="N15" s="743"/>
      <c r="O15" s="743"/>
      <c r="P15" s="743"/>
      <c r="Q15" s="743"/>
      <c r="R15" s="743"/>
      <c r="S15" s="743"/>
      <c r="T15" s="743"/>
      <c r="U15" s="743"/>
      <c r="V15" s="743"/>
      <c r="W15" s="743"/>
      <c r="X15" s="743"/>
      <c r="Y15" s="743"/>
      <c r="Z15" s="743"/>
      <c r="AA15" s="743"/>
      <c r="AB15" s="743"/>
      <c r="AC15" s="743"/>
      <c r="AD15" s="743"/>
      <c r="AE15" s="743"/>
      <c r="AF15" s="743"/>
      <c r="AG15" s="743"/>
      <c r="AH15" s="743"/>
      <c r="AI15" s="743"/>
      <c r="AJ15" s="743"/>
      <c r="AK15" s="743"/>
      <c r="AL15" s="743"/>
      <c r="AM15" s="743"/>
    </row>
    <row r="16" spans="1:39" ht="17.25">
      <c r="A16" s="744">
        <v>16</v>
      </c>
      <c r="B16" s="744" t="s">
        <v>858</v>
      </c>
      <c r="C16" s="754">
        <v>3410</v>
      </c>
      <c r="D16" s="754" t="s">
        <v>856</v>
      </c>
      <c r="E16" s="754" t="s">
        <v>10</v>
      </c>
      <c r="F16" s="754">
        <v>50205410782</v>
      </c>
      <c r="G16" s="746" t="s">
        <v>859</v>
      </c>
      <c r="H16" s="755">
        <v>27422</v>
      </c>
      <c r="I16" s="756">
        <v>49340</v>
      </c>
      <c r="J16" s="757">
        <v>32462</v>
      </c>
      <c r="K16" s="752"/>
      <c r="L16" s="743"/>
      <c r="M16" s="743"/>
      <c r="N16" s="743"/>
      <c r="O16" s="743"/>
      <c r="P16" s="743"/>
      <c r="Q16" s="743"/>
      <c r="R16" s="743"/>
      <c r="S16" s="743"/>
      <c r="T16" s="743"/>
      <c r="U16" s="743"/>
      <c r="V16" s="743"/>
      <c r="W16" s="743"/>
      <c r="X16" s="743"/>
      <c r="Y16" s="743"/>
      <c r="Z16" s="743"/>
      <c r="AA16" s="743"/>
      <c r="AB16" s="743"/>
      <c r="AC16" s="743"/>
      <c r="AD16" s="743"/>
      <c r="AE16" s="743"/>
      <c r="AF16" s="743"/>
      <c r="AG16" s="743"/>
      <c r="AH16" s="743"/>
      <c r="AI16" s="743"/>
      <c r="AJ16" s="743"/>
      <c r="AK16" s="743"/>
      <c r="AL16" s="743"/>
      <c r="AM16" s="743"/>
    </row>
    <row r="17" spans="1:39" ht="17.25">
      <c r="A17" s="744">
        <v>17</v>
      </c>
      <c r="B17" s="744" t="s">
        <v>860</v>
      </c>
      <c r="C17" s="754">
        <v>4126</v>
      </c>
      <c r="D17" s="744" t="s">
        <v>861</v>
      </c>
      <c r="E17" s="754" t="s">
        <v>10</v>
      </c>
      <c r="F17" s="754">
        <v>50205574523</v>
      </c>
      <c r="G17" s="746" t="s">
        <v>862</v>
      </c>
      <c r="H17" s="755">
        <v>29689</v>
      </c>
      <c r="I17" s="756">
        <v>51621</v>
      </c>
      <c r="J17" s="755">
        <v>41031</v>
      </c>
      <c r="K17" s="752"/>
      <c r="L17" s="743"/>
      <c r="M17" s="743"/>
      <c r="N17" s="743"/>
      <c r="O17" s="743"/>
      <c r="P17" s="743"/>
      <c r="Q17" s="743"/>
      <c r="R17" s="743"/>
      <c r="S17" s="743"/>
      <c r="T17" s="743"/>
      <c r="U17" s="743"/>
      <c r="V17" s="743"/>
      <c r="W17" s="743"/>
      <c r="X17" s="743"/>
      <c r="Y17" s="743"/>
      <c r="Z17" s="743"/>
      <c r="AA17" s="743"/>
      <c r="AB17" s="743"/>
      <c r="AC17" s="743"/>
      <c r="AD17" s="743"/>
      <c r="AE17" s="743"/>
      <c r="AF17" s="743"/>
      <c r="AG17" s="743"/>
      <c r="AH17" s="743"/>
      <c r="AI17" s="743"/>
      <c r="AJ17" s="743"/>
      <c r="AK17" s="743"/>
      <c r="AL17" s="743"/>
      <c r="AM17" s="743"/>
    </row>
    <row r="18" spans="1:39" ht="17.25">
      <c r="A18" s="744">
        <v>18</v>
      </c>
      <c r="B18" s="754" t="s">
        <v>863</v>
      </c>
      <c r="C18" s="754">
        <v>4125</v>
      </c>
      <c r="D18" s="744" t="s">
        <v>861</v>
      </c>
      <c r="E18" s="754" t="s">
        <v>10</v>
      </c>
      <c r="F18" s="754">
        <v>50205574511</v>
      </c>
      <c r="G18" s="746" t="s">
        <v>864</v>
      </c>
      <c r="H18" s="755">
        <v>32557</v>
      </c>
      <c r="I18" s="756">
        <v>54482</v>
      </c>
      <c r="J18" s="755">
        <v>41031</v>
      </c>
      <c r="K18" s="752"/>
      <c r="L18" s="743"/>
      <c r="M18" s="743"/>
      <c r="N18" s="743"/>
      <c r="O18" s="743"/>
      <c r="P18" s="743"/>
      <c r="Q18" s="743"/>
      <c r="R18" s="743"/>
      <c r="S18" s="743"/>
      <c r="T18" s="743"/>
      <c r="U18" s="743"/>
      <c r="V18" s="743"/>
      <c r="W18" s="743"/>
      <c r="X18" s="743"/>
      <c r="Y18" s="743"/>
      <c r="Z18" s="743"/>
      <c r="AA18" s="743"/>
      <c r="AB18" s="743"/>
      <c r="AC18" s="743"/>
      <c r="AD18" s="743"/>
      <c r="AE18" s="743"/>
      <c r="AF18" s="743"/>
      <c r="AG18" s="743"/>
      <c r="AH18" s="743"/>
      <c r="AI18" s="743"/>
      <c r="AJ18" s="743"/>
      <c r="AK18" s="743"/>
      <c r="AL18" s="743"/>
      <c r="AM18" s="743"/>
    </row>
    <row r="19" spans="1:39" ht="17.25">
      <c r="A19" s="744">
        <v>19</v>
      </c>
      <c r="B19" s="744" t="s">
        <v>865</v>
      </c>
      <c r="C19" s="754">
        <v>4167</v>
      </c>
      <c r="D19" s="744" t="s">
        <v>861</v>
      </c>
      <c r="E19" s="754" t="s">
        <v>10</v>
      </c>
      <c r="F19" s="754">
        <v>27309527990</v>
      </c>
      <c r="G19" s="746" t="s">
        <v>866</v>
      </c>
      <c r="H19" s="755">
        <v>28127</v>
      </c>
      <c r="I19" s="756">
        <v>50071</v>
      </c>
      <c r="J19" s="757">
        <v>39385</v>
      </c>
      <c r="K19" s="752"/>
      <c r="L19" s="743"/>
      <c r="M19" s="743"/>
      <c r="N19" s="743"/>
      <c r="O19" s="743"/>
      <c r="P19" s="743"/>
      <c r="Q19" s="743"/>
      <c r="R19" s="743"/>
      <c r="S19" s="743"/>
      <c r="T19" s="743"/>
      <c r="U19" s="743"/>
      <c r="V19" s="743"/>
      <c r="W19" s="743"/>
      <c r="X19" s="743"/>
      <c r="Y19" s="743"/>
      <c r="Z19" s="743"/>
      <c r="AA19" s="743"/>
      <c r="AB19" s="743"/>
      <c r="AC19" s="743"/>
      <c r="AD19" s="743"/>
      <c r="AE19" s="743"/>
      <c r="AF19" s="743"/>
      <c r="AG19" s="743"/>
      <c r="AH19" s="743"/>
      <c r="AI19" s="743"/>
      <c r="AJ19" s="743"/>
      <c r="AK19" s="743"/>
      <c r="AL19" s="743"/>
      <c r="AM19" s="743"/>
    </row>
    <row r="20" spans="1:39" ht="17.25">
      <c r="A20" s="744">
        <v>20</v>
      </c>
      <c r="B20" s="745" t="s">
        <v>867</v>
      </c>
      <c r="C20" s="746"/>
      <c r="D20" s="747" t="s">
        <v>868</v>
      </c>
      <c r="E20" s="748" t="s">
        <v>10</v>
      </c>
      <c r="F20" s="748">
        <v>3329803907</v>
      </c>
      <c r="G20" s="748" t="s">
        <v>869</v>
      </c>
      <c r="H20" s="746"/>
      <c r="I20" s="759"/>
      <c r="J20" s="746"/>
      <c r="K20" s="752"/>
      <c r="L20" s="743"/>
      <c r="M20" s="743"/>
      <c r="N20" s="743"/>
      <c r="O20" s="743"/>
      <c r="P20" s="743"/>
      <c r="Q20" s="743"/>
      <c r="R20" s="743"/>
      <c r="S20" s="743"/>
      <c r="T20" s="743"/>
      <c r="U20" s="743"/>
      <c r="V20" s="743"/>
      <c r="W20" s="743"/>
      <c r="X20" s="743"/>
      <c r="Y20" s="743"/>
      <c r="Z20" s="743"/>
      <c r="AA20" s="743"/>
      <c r="AB20" s="743"/>
      <c r="AC20" s="743"/>
      <c r="AD20" s="743"/>
      <c r="AE20" s="743"/>
      <c r="AF20" s="743"/>
      <c r="AG20" s="743"/>
      <c r="AH20" s="743"/>
      <c r="AI20" s="743"/>
      <c r="AJ20" s="743"/>
      <c r="AK20" s="743"/>
      <c r="AL20" s="743"/>
      <c r="AM20" s="743"/>
    </row>
    <row r="21" spans="1:39" ht="17.25">
      <c r="A21" s="744">
        <v>21</v>
      </c>
      <c r="B21" s="744" t="s">
        <v>870</v>
      </c>
      <c r="C21" s="746"/>
      <c r="D21" s="744" t="s">
        <v>871</v>
      </c>
      <c r="E21" s="748" t="s">
        <v>10</v>
      </c>
      <c r="F21" s="748">
        <v>50205383912</v>
      </c>
      <c r="G21" s="748" t="s">
        <v>872</v>
      </c>
      <c r="H21" s="746"/>
      <c r="I21" s="759"/>
      <c r="J21" s="746"/>
      <c r="K21" s="752"/>
      <c r="L21" s="743"/>
      <c r="M21" s="743"/>
      <c r="N21" s="743"/>
      <c r="O21" s="743"/>
      <c r="P21" s="743"/>
      <c r="Q21" s="743"/>
      <c r="R21" s="743"/>
      <c r="S21" s="743"/>
      <c r="T21" s="743"/>
      <c r="U21" s="743"/>
      <c r="V21" s="743"/>
      <c r="W21" s="743"/>
      <c r="X21" s="743"/>
      <c r="Y21" s="743"/>
      <c r="Z21" s="743"/>
      <c r="AA21" s="743"/>
      <c r="AB21" s="743"/>
      <c r="AC21" s="743"/>
      <c r="AD21" s="743"/>
      <c r="AE21" s="743"/>
      <c r="AF21" s="743"/>
      <c r="AG21" s="743"/>
      <c r="AH21" s="743"/>
      <c r="AI21" s="743"/>
      <c r="AJ21" s="743"/>
      <c r="AK21" s="743"/>
      <c r="AL21" s="743"/>
      <c r="AM21" s="743"/>
    </row>
    <row r="22" spans="1:39" ht="17.25">
      <c r="A22" s="744">
        <v>22</v>
      </c>
      <c r="B22" s="744" t="s">
        <v>873</v>
      </c>
      <c r="C22" s="746"/>
      <c r="D22" s="748" t="s">
        <v>868</v>
      </c>
      <c r="E22" s="748" t="s">
        <v>10</v>
      </c>
      <c r="F22" s="748">
        <v>515229800367</v>
      </c>
      <c r="G22" s="748" t="s">
        <v>874</v>
      </c>
      <c r="H22" s="746"/>
      <c r="I22" s="746"/>
      <c r="J22" s="746"/>
      <c r="K22" s="760"/>
      <c r="L22" s="743"/>
      <c r="M22" s="743"/>
      <c r="N22" s="743"/>
      <c r="O22" s="743"/>
      <c r="P22" s="743"/>
      <c r="Q22" s="743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743"/>
      <c r="AF22" s="743"/>
      <c r="AG22" s="743"/>
      <c r="AH22" s="743"/>
      <c r="AI22" s="743"/>
      <c r="AJ22" s="743"/>
      <c r="AK22" s="743"/>
      <c r="AL22" s="743"/>
      <c r="AM22" s="743"/>
    </row>
    <row r="23" spans="1:39" ht="17.25">
      <c r="A23" s="744">
        <v>23</v>
      </c>
      <c r="B23" s="744" t="s">
        <v>242</v>
      </c>
      <c r="C23" s="746"/>
      <c r="D23" s="744" t="s">
        <v>871</v>
      </c>
      <c r="E23" s="748" t="s">
        <v>10</v>
      </c>
      <c r="F23" s="748" t="s">
        <v>875</v>
      </c>
      <c r="G23" s="747" t="s">
        <v>876</v>
      </c>
      <c r="H23" s="746"/>
      <c r="I23" s="746"/>
      <c r="J23" s="746"/>
      <c r="K23" s="760"/>
      <c r="L23" s="743"/>
      <c r="M23" s="743"/>
      <c r="N23" s="743"/>
      <c r="O23" s="743"/>
      <c r="P23" s="743"/>
      <c r="Q23" s="743"/>
      <c r="R23" s="743"/>
      <c r="S23" s="743"/>
      <c r="T23" s="743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  <c r="AF23" s="743"/>
      <c r="AG23" s="743"/>
      <c r="AH23" s="743"/>
      <c r="AI23" s="743"/>
      <c r="AJ23" s="743"/>
      <c r="AK23" s="743"/>
      <c r="AL23" s="743"/>
      <c r="AM23" s="743"/>
    </row>
    <row r="24" spans="1:39" ht="17.25">
      <c r="A24" s="744">
        <v>24</v>
      </c>
      <c r="B24" s="761" t="s">
        <v>877</v>
      </c>
      <c r="C24" s="761" t="s">
        <v>878</v>
      </c>
      <c r="D24" s="748" t="s">
        <v>879</v>
      </c>
      <c r="E24" s="747" t="s">
        <v>10</v>
      </c>
      <c r="F24" s="762"/>
      <c r="G24" s="746" t="s">
        <v>880</v>
      </c>
      <c r="H24" s="759">
        <v>31117</v>
      </c>
      <c r="I24" s="759">
        <v>53052</v>
      </c>
      <c r="J24" s="762"/>
      <c r="K24" s="743"/>
      <c r="L24" s="743"/>
      <c r="M24" s="743"/>
      <c r="N24" s="743"/>
      <c r="O24" s="743"/>
      <c r="P24" s="743"/>
      <c r="Q24" s="743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3"/>
    </row>
    <row r="25" spans="1:39" ht="17.25">
      <c r="A25" s="744">
        <v>25</v>
      </c>
      <c r="B25" s="747" t="s">
        <v>881</v>
      </c>
      <c r="C25" s="763" t="s">
        <v>878</v>
      </c>
      <c r="D25" s="764" t="s">
        <v>882</v>
      </c>
      <c r="E25" s="747" t="s">
        <v>10</v>
      </c>
      <c r="F25" s="747">
        <v>3329805349</v>
      </c>
      <c r="G25" s="765" t="s">
        <v>883</v>
      </c>
      <c r="H25" s="762"/>
      <c r="I25" s="762"/>
      <c r="J25" s="762"/>
      <c r="K25" s="743"/>
      <c r="L25" s="743"/>
      <c r="M25" s="743"/>
      <c r="N25" s="743"/>
      <c r="O25" s="743"/>
      <c r="P25" s="743"/>
      <c r="Q25" s="743"/>
      <c r="R25" s="743"/>
      <c r="S25" s="743"/>
      <c r="T25" s="743"/>
      <c r="U25" s="743"/>
      <c r="V25" s="743"/>
      <c r="W25" s="743"/>
      <c r="X25" s="743"/>
      <c r="Y25" s="743"/>
      <c r="Z25" s="743"/>
      <c r="AA25" s="743"/>
      <c r="AB25" s="743"/>
      <c r="AC25" s="743"/>
      <c r="AD25" s="743"/>
      <c r="AE25" s="743"/>
      <c r="AF25" s="743"/>
      <c r="AG25" s="743"/>
      <c r="AH25" s="743"/>
      <c r="AI25" s="743"/>
      <c r="AJ25" s="743"/>
      <c r="AK25" s="743"/>
      <c r="AL25" s="743"/>
      <c r="AM25" s="743"/>
    </row>
    <row r="26" spans="1:39" ht="17.25">
      <c r="A26" s="744">
        <v>26</v>
      </c>
      <c r="B26" s="748" t="s">
        <v>884</v>
      </c>
      <c r="C26" s="748" t="s">
        <v>878</v>
      </c>
      <c r="D26" s="764" t="s">
        <v>882</v>
      </c>
      <c r="E26" s="747" t="s">
        <v>10</v>
      </c>
      <c r="F26" s="748">
        <v>3329805567</v>
      </c>
      <c r="G26" s="765" t="s">
        <v>885</v>
      </c>
      <c r="H26" s="746"/>
      <c r="I26" s="759"/>
      <c r="J26" s="746"/>
      <c r="K26" s="752"/>
      <c r="L26" s="743"/>
      <c r="M26" s="743"/>
      <c r="N26" s="743"/>
      <c r="O26" s="743"/>
      <c r="P26" s="743"/>
      <c r="Q26" s="743"/>
      <c r="R26" s="743"/>
      <c r="S26" s="743"/>
      <c r="T26" s="743"/>
      <c r="U26" s="743"/>
      <c r="V26" s="743"/>
      <c r="W26" s="743"/>
      <c r="X26" s="743"/>
      <c r="Y26" s="743"/>
      <c r="Z26" s="743"/>
      <c r="AA26" s="743"/>
      <c r="AB26" s="743"/>
      <c r="AC26" s="743"/>
      <c r="AD26" s="743"/>
      <c r="AE26" s="743"/>
      <c r="AF26" s="743"/>
      <c r="AG26" s="743"/>
      <c r="AH26" s="743"/>
      <c r="AI26" s="743"/>
      <c r="AJ26" s="743"/>
      <c r="AK26" s="743"/>
      <c r="AL26" s="743"/>
      <c r="AM26" s="743"/>
    </row>
    <row r="27" spans="1:39" ht="17.25">
      <c r="A27" s="744">
        <v>27</v>
      </c>
      <c r="B27" s="748" t="s">
        <v>886</v>
      </c>
      <c r="C27" s="748" t="s">
        <v>878</v>
      </c>
      <c r="D27" s="764" t="s">
        <v>882</v>
      </c>
      <c r="E27" s="747" t="s">
        <v>10</v>
      </c>
      <c r="F27" s="748">
        <v>3329805345</v>
      </c>
      <c r="G27" s="765" t="s">
        <v>887</v>
      </c>
      <c r="H27" s="746"/>
      <c r="I27" s="759"/>
      <c r="J27" s="746"/>
      <c r="K27" s="752"/>
      <c r="L27" s="743"/>
      <c r="M27" s="743"/>
      <c r="N27" s="743"/>
      <c r="O27" s="743"/>
      <c r="P27" s="743"/>
      <c r="Q27" s="743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743"/>
      <c r="AH27" s="743"/>
      <c r="AI27" s="743"/>
      <c r="AJ27" s="743"/>
      <c r="AK27" s="743"/>
      <c r="AL27" s="743"/>
      <c r="AM27" s="743"/>
    </row>
    <row r="28" spans="1:39" ht="17.25">
      <c r="A28" s="744">
        <v>28</v>
      </c>
      <c r="B28" s="748" t="s">
        <v>888</v>
      </c>
      <c r="C28" s="748" t="s">
        <v>878</v>
      </c>
      <c r="D28" s="764" t="s">
        <v>882</v>
      </c>
      <c r="E28" s="747" t="s">
        <v>10</v>
      </c>
      <c r="F28" s="748">
        <v>3329805352</v>
      </c>
      <c r="G28" s="765" t="s">
        <v>889</v>
      </c>
      <c r="H28" s="746"/>
      <c r="I28" s="759"/>
      <c r="J28" s="746"/>
      <c r="K28" s="752"/>
      <c r="L28" s="743"/>
      <c r="M28" s="743"/>
      <c r="N28" s="743"/>
      <c r="O28" s="743"/>
      <c r="P28" s="743"/>
      <c r="Q28" s="743"/>
      <c r="R28" s="743"/>
      <c r="S28" s="743"/>
      <c r="T28" s="743"/>
      <c r="U28" s="743"/>
      <c r="V28" s="743"/>
      <c r="W28" s="743"/>
      <c r="X28" s="743"/>
      <c r="Y28" s="743"/>
      <c r="Z28" s="743"/>
      <c r="AA28" s="743"/>
      <c r="AB28" s="743"/>
      <c r="AC28" s="743"/>
      <c r="AD28" s="743"/>
      <c r="AE28" s="743"/>
      <c r="AF28" s="743"/>
      <c r="AG28" s="743"/>
      <c r="AH28" s="743"/>
      <c r="AI28" s="743"/>
      <c r="AJ28" s="743"/>
      <c r="AK28" s="743"/>
      <c r="AL28" s="743"/>
      <c r="AM28" s="743"/>
    </row>
    <row r="29" spans="1:39" ht="17.25">
      <c r="A29" s="744">
        <v>29</v>
      </c>
      <c r="B29" s="748" t="s">
        <v>890</v>
      </c>
      <c r="C29" s="746"/>
      <c r="D29" s="748" t="s">
        <v>891</v>
      </c>
      <c r="E29" s="747" t="s">
        <v>10</v>
      </c>
      <c r="F29" s="746"/>
      <c r="G29" s="746"/>
      <c r="H29" s="746"/>
      <c r="I29" s="759"/>
      <c r="J29" s="746"/>
      <c r="K29" s="752"/>
      <c r="L29" s="743"/>
      <c r="M29" s="743"/>
      <c r="N29" s="743"/>
      <c r="O29" s="743"/>
      <c r="P29" s="743"/>
      <c r="Q29" s="743"/>
      <c r="R29" s="743"/>
      <c r="S29" s="743"/>
      <c r="T29" s="743"/>
      <c r="U29" s="743"/>
      <c r="V29" s="743"/>
      <c r="W29" s="743"/>
      <c r="X29" s="743"/>
      <c r="Y29" s="743"/>
      <c r="Z29" s="743"/>
      <c r="AA29" s="743"/>
      <c r="AB29" s="743"/>
      <c r="AC29" s="743"/>
      <c r="AD29" s="743"/>
      <c r="AE29" s="743"/>
      <c r="AF29" s="743"/>
      <c r="AG29" s="743"/>
      <c r="AH29" s="743"/>
      <c r="AI29" s="743"/>
      <c r="AJ29" s="743"/>
      <c r="AK29" s="743"/>
      <c r="AL29" s="743"/>
      <c r="AM29" s="743"/>
    </row>
    <row r="30" spans="1:39" ht="17.25">
      <c r="A30" s="744">
        <v>30</v>
      </c>
      <c r="B30" s="748" t="s">
        <v>892</v>
      </c>
      <c r="C30" s="746"/>
      <c r="D30" s="748" t="s">
        <v>893</v>
      </c>
      <c r="E30" s="747" t="s">
        <v>10</v>
      </c>
      <c r="F30" s="746"/>
      <c r="G30" s="746"/>
      <c r="H30" s="746"/>
      <c r="I30" s="759"/>
      <c r="J30" s="746"/>
      <c r="K30" s="752"/>
      <c r="L30" s="743"/>
      <c r="M30" s="743"/>
      <c r="N30" s="743"/>
      <c r="O30" s="743"/>
      <c r="P30" s="743"/>
      <c r="Q30" s="743"/>
      <c r="R30" s="743"/>
      <c r="S30" s="743"/>
      <c r="T30" s="743"/>
      <c r="U30" s="743"/>
      <c r="V30" s="743"/>
      <c r="W30" s="743"/>
      <c r="X30" s="743"/>
      <c r="Y30" s="743"/>
      <c r="Z30" s="743"/>
      <c r="AA30" s="743"/>
      <c r="AB30" s="743"/>
      <c r="AC30" s="743"/>
      <c r="AD30" s="743"/>
      <c r="AE30" s="743"/>
      <c r="AF30" s="743"/>
      <c r="AG30" s="743"/>
      <c r="AH30" s="743"/>
      <c r="AI30" s="743"/>
      <c r="AJ30" s="743"/>
      <c r="AK30" s="743"/>
      <c r="AL30" s="743"/>
      <c r="AM30" s="743"/>
    </row>
    <row r="31" spans="1:39" ht="17.25">
      <c r="A31" s="744">
        <v>31</v>
      </c>
      <c r="B31" s="748" t="s">
        <v>894</v>
      </c>
      <c r="C31" s="746"/>
      <c r="D31" s="748" t="s">
        <v>895</v>
      </c>
      <c r="E31" s="747" t="s">
        <v>10</v>
      </c>
      <c r="F31" s="746"/>
      <c r="G31" s="746"/>
      <c r="H31" s="746"/>
      <c r="I31" s="759"/>
      <c r="J31" s="746"/>
      <c r="K31" s="752"/>
      <c r="L31" s="743"/>
      <c r="M31" s="743"/>
      <c r="N31" s="743"/>
      <c r="O31" s="743"/>
      <c r="P31" s="743"/>
      <c r="Q31" s="743"/>
      <c r="R31" s="743"/>
      <c r="S31" s="743"/>
      <c r="T31" s="743"/>
      <c r="U31" s="743"/>
      <c r="V31" s="743"/>
      <c r="W31" s="743"/>
      <c r="X31" s="743"/>
      <c r="Y31" s="743"/>
      <c r="Z31" s="743"/>
      <c r="AA31" s="743"/>
      <c r="AB31" s="743"/>
      <c r="AC31" s="743"/>
      <c r="AD31" s="743"/>
      <c r="AE31" s="743"/>
      <c r="AF31" s="743"/>
      <c r="AG31" s="743"/>
      <c r="AH31" s="743"/>
      <c r="AI31" s="743"/>
      <c r="AJ31" s="743"/>
      <c r="AK31" s="743"/>
      <c r="AL31" s="743"/>
      <c r="AM31" s="743"/>
    </row>
    <row r="32" spans="1:39" ht="17.25">
      <c r="A32" s="744">
        <v>32</v>
      </c>
      <c r="B32" s="744" t="s">
        <v>896</v>
      </c>
      <c r="C32" s="766" t="s">
        <v>827</v>
      </c>
      <c r="D32" s="754" t="s">
        <v>823</v>
      </c>
      <c r="E32" s="754" t="s">
        <v>11</v>
      </c>
      <c r="F32" s="754">
        <v>50205516328</v>
      </c>
      <c r="G32" s="746" t="s">
        <v>897</v>
      </c>
      <c r="H32" s="757">
        <v>29586</v>
      </c>
      <c r="I32" s="756">
        <v>51501</v>
      </c>
      <c r="J32" s="755">
        <v>38268</v>
      </c>
      <c r="K32" s="752"/>
      <c r="L32" s="743"/>
      <c r="M32" s="743"/>
      <c r="N32" s="743"/>
      <c r="O32" s="743"/>
      <c r="P32" s="743"/>
      <c r="Q32" s="743"/>
      <c r="R32" s="743"/>
      <c r="S32" s="743"/>
      <c r="T32" s="743"/>
      <c r="U32" s="743"/>
      <c r="V32" s="743"/>
      <c r="W32" s="743"/>
      <c r="X32" s="743"/>
      <c r="Y32" s="743"/>
      <c r="Z32" s="743"/>
      <c r="AA32" s="743"/>
      <c r="AB32" s="743"/>
      <c r="AC32" s="743"/>
      <c r="AD32" s="743"/>
      <c r="AE32" s="743"/>
      <c r="AF32" s="743"/>
      <c r="AG32" s="743"/>
      <c r="AH32" s="743"/>
      <c r="AI32" s="743"/>
      <c r="AJ32" s="743"/>
      <c r="AK32" s="743"/>
      <c r="AL32" s="743"/>
      <c r="AM32" s="743"/>
    </row>
    <row r="33" spans="1:39" ht="17.25">
      <c r="A33" s="744">
        <v>34</v>
      </c>
      <c r="B33" s="744" t="s">
        <v>898</v>
      </c>
      <c r="C33" s="766" t="s">
        <v>827</v>
      </c>
      <c r="D33" s="754" t="s">
        <v>823</v>
      </c>
      <c r="E33" s="754" t="s">
        <v>11</v>
      </c>
      <c r="F33" s="754">
        <v>50207020324</v>
      </c>
      <c r="G33" s="746" t="s">
        <v>899</v>
      </c>
      <c r="H33" s="755">
        <v>28732</v>
      </c>
      <c r="I33" s="756">
        <v>50648</v>
      </c>
      <c r="J33" s="755">
        <v>39176</v>
      </c>
      <c r="K33" s="752"/>
      <c r="L33" s="760"/>
      <c r="M33" s="743"/>
      <c r="N33" s="743"/>
      <c r="O33" s="743"/>
      <c r="P33" s="743"/>
      <c r="Q33" s="743"/>
      <c r="R33" s="743"/>
      <c r="S33" s="743"/>
      <c r="T33" s="743"/>
      <c r="U33" s="743"/>
      <c r="V33" s="743"/>
      <c r="W33" s="743"/>
      <c r="X33" s="743"/>
      <c r="Y33" s="743"/>
      <c r="Z33" s="743"/>
      <c r="AA33" s="743"/>
      <c r="AB33" s="743"/>
      <c r="AC33" s="743"/>
      <c r="AD33" s="743"/>
      <c r="AE33" s="743"/>
      <c r="AF33" s="743"/>
      <c r="AG33" s="743"/>
      <c r="AH33" s="743"/>
      <c r="AI33" s="743"/>
      <c r="AJ33" s="743"/>
      <c r="AK33" s="743"/>
      <c r="AL33" s="743"/>
      <c r="AM33" s="743"/>
    </row>
    <row r="34" spans="1:39" ht="17.25">
      <c r="A34" s="744">
        <v>35</v>
      </c>
      <c r="B34" s="744" t="s">
        <v>900</v>
      </c>
      <c r="C34" s="766" t="s">
        <v>827</v>
      </c>
      <c r="D34" s="754" t="s">
        <v>823</v>
      </c>
      <c r="E34" s="754" t="s">
        <v>11</v>
      </c>
      <c r="F34" s="754">
        <v>50200094614</v>
      </c>
      <c r="G34" s="746" t="s">
        <v>901</v>
      </c>
      <c r="H34" s="755">
        <v>29069</v>
      </c>
      <c r="I34" s="756">
        <v>51013</v>
      </c>
      <c r="J34" s="757">
        <v>39773</v>
      </c>
      <c r="K34" s="752"/>
      <c r="L34" s="743"/>
      <c r="M34" s="743"/>
      <c r="N34" s="743"/>
      <c r="O34" s="743"/>
      <c r="P34" s="743"/>
      <c r="Q34" s="743"/>
      <c r="R34" s="743"/>
      <c r="S34" s="743"/>
      <c r="T34" s="743"/>
      <c r="U34" s="743"/>
      <c r="V34" s="743"/>
      <c r="W34" s="743"/>
      <c r="X34" s="743"/>
      <c r="Y34" s="743"/>
      <c r="Z34" s="743"/>
      <c r="AA34" s="743"/>
      <c r="AB34" s="743"/>
      <c r="AC34" s="743"/>
      <c r="AD34" s="743"/>
      <c r="AE34" s="743"/>
      <c r="AF34" s="743"/>
      <c r="AG34" s="743"/>
      <c r="AH34" s="743"/>
      <c r="AI34" s="743"/>
      <c r="AJ34" s="743"/>
      <c r="AK34" s="743"/>
      <c r="AL34" s="743"/>
      <c r="AM34" s="743"/>
    </row>
    <row r="35" spans="1:39" ht="17.25">
      <c r="A35" s="744">
        <v>36</v>
      </c>
      <c r="B35" s="744" t="s">
        <v>902</v>
      </c>
      <c r="C35" s="766" t="s">
        <v>827</v>
      </c>
      <c r="D35" s="744" t="s">
        <v>823</v>
      </c>
      <c r="E35" s="754" t="s">
        <v>11</v>
      </c>
      <c r="F35" s="754">
        <v>50200063216</v>
      </c>
      <c r="G35" s="746" t="s">
        <v>903</v>
      </c>
      <c r="H35" s="755">
        <v>27395</v>
      </c>
      <c r="I35" s="756">
        <v>49309</v>
      </c>
      <c r="J35" s="755">
        <v>39140</v>
      </c>
      <c r="K35" s="752"/>
      <c r="L35" s="743"/>
      <c r="M35" s="743"/>
      <c r="N35" s="743"/>
      <c r="O35" s="743"/>
      <c r="P35" s="743"/>
      <c r="Q35" s="743"/>
      <c r="R35" s="743"/>
      <c r="S35" s="743"/>
      <c r="T35" s="743"/>
      <c r="U35" s="743"/>
      <c r="V35" s="743"/>
      <c r="W35" s="743"/>
      <c r="X35" s="743"/>
      <c r="Y35" s="743"/>
      <c r="Z35" s="743"/>
      <c r="AA35" s="743"/>
      <c r="AB35" s="743"/>
      <c r="AC35" s="743"/>
      <c r="AD35" s="743"/>
      <c r="AE35" s="743"/>
      <c r="AF35" s="743"/>
      <c r="AG35" s="743"/>
      <c r="AH35" s="743"/>
      <c r="AI35" s="743"/>
      <c r="AJ35" s="743"/>
      <c r="AK35" s="743"/>
      <c r="AL35" s="743"/>
      <c r="AM35" s="743"/>
    </row>
    <row r="36" spans="1:39" ht="17.25">
      <c r="A36" s="744">
        <v>37</v>
      </c>
      <c r="B36" s="754" t="s">
        <v>904</v>
      </c>
      <c r="C36" s="754">
        <v>3812</v>
      </c>
      <c r="D36" s="744" t="s">
        <v>823</v>
      </c>
      <c r="E36" s="754" t="s">
        <v>11</v>
      </c>
      <c r="F36" s="754">
        <v>50205530040</v>
      </c>
      <c r="G36" s="746" t="s">
        <v>905</v>
      </c>
      <c r="H36" s="755">
        <v>29190</v>
      </c>
      <c r="I36" s="756">
        <v>51104</v>
      </c>
      <c r="J36" s="757">
        <v>39446</v>
      </c>
      <c r="K36" s="752"/>
      <c r="L36" s="743"/>
      <c r="M36" s="743"/>
      <c r="N36" s="743"/>
      <c r="O36" s="743"/>
      <c r="P36" s="743"/>
      <c r="Q36" s="743"/>
      <c r="R36" s="743"/>
      <c r="S36" s="743"/>
      <c r="T36" s="743"/>
      <c r="U36" s="743"/>
      <c r="V36" s="743"/>
      <c r="W36" s="743"/>
      <c r="X36" s="743"/>
      <c r="Y36" s="743"/>
      <c r="Z36" s="743"/>
      <c r="AA36" s="743"/>
      <c r="AB36" s="743"/>
      <c r="AC36" s="743"/>
      <c r="AD36" s="743"/>
      <c r="AE36" s="743"/>
      <c r="AF36" s="743"/>
      <c r="AG36" s="743"/>
      <c r="AH36" s="743"/>
      <c r="AI36" s="743"/>
      <c r="AJ36" s="743"/>
      <c r="AK36" s="743"/>
      <c r="AL36" s="743"/>
      <c r="AM36" s="743"/>
    </row>
    <row r="37" spans="1:39" ht="17.25">
      <c r="A37" s="744">
        <v>38</v>
      </c>
      <c r="B37" s="754" t="s">
        <v>906</v>
      </c>
      <c r="C37" s="754">
        <v>3873</v>
      </c>
      <c r="D37" s="744" t="s">
        <v>823</v>
      </c>
      <c r="E37" s="754" t="s">
        <v>11</v>
      </c>
      <c r="F37" s="754">
        <v>50205574547</v>
      </c>
      <c r="G37" s="746" t="s">
        <v>907</v>
      </c>
      <c r="H37" s="755">
        <v>31721</v>
      </c>
      <c r="I37" s="756">
        <v>53661</v>
      </c>
      <c r="J37" s="755">
        <v>41214</v>
      </c>
      <c r="K37" s="752"/>
      <c r="L37" s="743"/>
      <c r="M37" s="743"/>
      <c r="N37" s="743"/>
      <c r="O37" s="743"/>
      <c r="P37" s="743"/>
      <c r="Q37" s="743"/>
      <c r="R37" s="743"/>
      <c r="S37" s="743"/>
      <c r="T37" s="743"/>
      <c r="U37" s="743"/>
      <c r="V37" s="743"/>
      <c r="W37" s="743"/>
      <c r="X37" s="743"/>
      <c r="Y37" s="743"/>
      <c r="Z37" s="743"/>
      <c r="AA37" s="743"/>
      <c r="AB37" s="743"/>
      <c r="AC37" s="743"/>
      <c r="AD37" s="743"/>
      <c r="AE37" s="743"/>
      <c r="AF37" s="743"/>
      <c r="AG37" s="743"/>
      <c r="AH37" s="743"/>
      <c r="AI37" s="743"/>
      <c r="AJ37" s="743"/>
      <c r="AK37" s="743"/>
      <c r="AL37" s="743"/>
      <c r="AM37" s="743"/>
    </row>
    <row r="38" spans="1:39" ht="17.25">
      <c r="A38" s="744">
        <v>66</v>
      </c>
      <c r="B38" s="744" t="s">
        <v>270</v>
      </c>
      <c r="C38" s="748" t="s">
        <v>878</v>
      </c>
      <c r="D38" s="744" t="s">
        <v>908</v>
      </c>
      <c r="E38" s="748" t="s">
        <v>11</v>
      </c>
      <c r="F38" s="748">
        <v>9429801805</v>
      </c>
      <c r="G38" s="747" t="s">
        <v>909</v>
      </c>
      <c r="H38" s="746"/>
      <c r="I38" s="746"/>
      <c r="J38" s="746"/>
      <c r="K38" s="767"/>
      <c r="L38" s="743"/>
      <c r="M38" s="743"/>
      <c r="N38" s="743"/>
      <c r="O38" s="743"/>
      <c r="P38" s="743"/>
      <c r="Q38" s="743"/>
      <c r="R38" s="743"/>
      <c r="S38" s="743"/>
      <c r="T38" s="743"/>
      <c r="U38" s="743"/>
      <c r="V38" s="743"/>
      <c r="W38" s="743"/>
      <c r="X38" s="743"/>
      <c r="Y38" s="743"/>
      <c r="Z38" s="743"/>
      <c r="AA38" s="743"/>
      <c r="AB38" s="743"/>
      <c r="AC38" s="743"/>
      <c r="AD38" s="743"/>
      <c r="AE38" s="743"/>
      <c r="AF38" s="743"/>
      <c r="AG38" s="743"/>
      <c r="AH38" s="743"/>
      <c r="AI38" s="743"/>
      <c r="AJ38" s="743"/>
      <c r="AK38" s="743"/>
      <c r="AL38" s="743"/>
      <c r="AM38" s="743"/>
    </row>
    <row r="39" spans="1:39" ht="17.25">
      <c r="A39" s="744">
        <v>53</v>
      </c>
      <c r="B39" s="744" t="s">
        <v>910</v>
      </c>
      <c r="C39" s="754">
        <v>3732</v>
      </c>
      <c r="D39" s="744" t="s">
        <v>908</v>
      </c>
      <c r="E39" s="754" t="s">
        <v>11</v>
      </c>
      <c r="F39" s="754">
        <v>50205559273</v>
      </c>
      <c r="G39" s="746" t="s">
        <v>911</v>
      </c>
      <c r="H39" s="755">
        <v>30784</v>
      </c>
      <c r="I39" s="756">
        <v>52717</v>
      </c>
      <c r="J39" s="755">
        <v>40310</v>
      </c>
      <c r="K39" s="752"/>
      <c r="L39" s="743"/>
      <c r="M39" s="743"/>
      <c r="N39" s="743"/>
      <c r="O39" s="743"/>
      <c r="P39" s="743"/>
      <c r="Q39" s="743"/>
      <c r="R39" s="743"/>
      <c r="S39" s="743"/>
      <c r="T39" s="743"/>
      <c r="U39" s="743"/>
      <c r="V39" s="743"/>
      <c r="W39" s="743"/>
      <c r="X39" s="743"/>
      <c r="Y39" s="743"/>
      <c r="Z39" s="743"/>
      <c r="AA39" s="743"/>
      <c r="AB39" s="743"/>
      <c r="AC39" s="743"/>
      <c r="AD39" s="743"/>
      <c r="AE39" s="743"/>
      <c r="AF39" s="743"/>
      <c r="AG39" s="743"/>
      <c r="AH39" s="743"/>
      <c r="AI39" s="743"/>
      <c r="AJ39" s="743"/>
      <c r="AK39" s="743"/>
      <c r="AL39" s="743"/>
      <c r="AM39" s="743"/>
    </row>
    <row r="40" spans="1:39" ht="17.25">
      <c r="A40" s="744">
        <v>43</v>
      </c>
      <c r="B40" s="744" t="s">
        <v>912</v>
      </c>
      <c r="C40" s="754">
        <v>3924</v>
      </c>
      <c r="D40" s="744" t="s">
        <v>908</v>
      </c>
      <c r="E40" s="754" t="s">
        <v>11</v>
      </c>
      <c r="F40" s="754">
        <v>50205583834</v>
      </c>
      <c r="G40" s="746" t="s">
        <v>913</v>
      </c>
      <c r="H40" s="755">
        <v>30869</v>
      </c>
      <c r="I40" s="756">
        <v>52809</v>
      </c>
      <c r="J40" s="755">
        <v>41214</v>
      </c>
      <c r="K40" s="752"/>
      <c r="L40" s="743"/>
      <c r="M40" s="743"/>
      <c r="N40" s="743"/>
      <c r="O40" s="743"/>
      <c r="P40" s="743"/>
      <c r="Q40" s="743"/>
      <c r="R40" s="743"/>
      <c r="S40" s="743"/>
      <c r="T40" s="743"/>
      <c r="U40" s="743"/>
      <c r="V40" s="743"/>
      <c r="W40" s="743"/>
      <c r="X40" s="743"/>
      <c r="Y40" s="743"/>
      <c r="Z40" s="743"/>
      <c r="AA40" s="743"/>
      <c r="AB40" s="743"/>
      <c r="AC40" s="743"/>
      <c r="AD40" s="743"/>
      <c r="AE40" s="743"/>
      <c r="AF40" s="743"/>
      <c r="AG40" s="743"/>
      <c r="AH40" s="743"/>
      <c r="AI40" s="743"/>
      <c r="AJ40" s="743"/>
      <c r="AK40" s="743"/>
      <c r="AL40" s="743"/>
      <c r="AM40" s="743"/>
    </row>
    <row r="41" spans="1:39" ht="17.25">
      <c r="A41" s="744">
        <v>50</v>
      </c>
      <c r="B41" s="744" t="s">
        <v>914</v>
      </c>
      <c r="C41" s="754">
        <v>3824</v>
      </c>
      <c r="D41" s="744" t="s">
        <v>908</v>
      </c>
      <c r="E41" s="754" t="s">
        <v>11</v>
      </c>
      <c r="F41" s="754">
        <v>50205397900</v>
      </c>
      <c r="G41" s="746" t="s">
        <v>915</v>
      </c>
      <c r="H41" s="755">
        <v>25574</v>
      </c>
      <c r="I41" s="756">
        <v>47514</v>
      </c>
      <c r="J41" s="755">
        <v>35803</v>
      </c>
      <c r="K41" s="752"/>
      <c r="L41" s="743"/>
      <c r="M41" s="743"/>
      <c r="N41" s="743"/>
      <c r="O41" s="743"/>
      <c r="P41" s="743"/>
      <c r="Q41" s="743"/>
      <c r="R41" s="743"/>
      <c r="S41" s="743"/>
      <c r="T41" s="743"/>
      <c r="U41" s="743"/>
      <c r="V41" s="743"/>
      <c r="W41" s="743"/>
      <c r="X41" s="743"/>
      <c r="Y41" s="743"/>
      <c r="Z41" s="743"/>
      <c r="AA41" s="743"/>
      <c r="AB41" s="743"/>
      <c r="AC41" s="743"/>
      <c r="AD41" s="743"/>
      <c r="AE41" s="743"/>
      <c r="AF41" s="743"/>
      <c r="AG41" s="743"/>
      <c r="AH41" s="743"/>
      <c r="AI41" s="743"/>
      <c r="AJ41" s="743"/>
      <c r="AK41" s="743"/>
      <c r="AL41" s="743"/>
      <c r="AM41" s="743"/>
    </row>
    <row r="42" spans="1:39" ht="17.25">
      <c r="A42" s="744">
        <v>39</v>
      </c>
      <c r="B42" s="744" t="s">
        <v>916</v>
      </c>
      <c r="C42" s="754">
        <v>2773</v>
      </c>
      <c r="D42" s="754" t="s">
        <v>917</v>
      </c>
      <c r="E42" s="754" t="s">
        <v>11</v>
      </c>
      <c r="F42" s="754">
        <v>50205340081</v>
      </c>
      <c r="G42" s="746" t="s">
        <v>866</v>
      </c>
      <c r="H42" s="755">
        <v>24108</v>
      </c>
      <c r="I42" s="756">
        <v>46022</v>
      </c>
      <c r="J42" s="755">
        <v>32353</v>
      </c>
      <c r="K42" s="752"/>
      <c r="L42" s="743"/>
      <c r="M42" s="743"/>
      <c r="N42" s="743"/>
      <c r="O42" s="743"/>
      <c r="P42" s="743"/>
      <c r="Q42" s="743"/>
      <c r="R42" s="743"/>
      <c r="S42" s="743"/>
      <c r="T42" s="743"/>
      <c r="U42" s="743"/>
      <c r="V42" s="743"/>
      <c r="W42" s="743"/>
      <c r="X42" s="743"/>
      <c r="Y42" s="743"/>
      <c r="Z42" s="743"/>
      <c r="AA42" s="743"/>
      <c r="AB42" s="743"/>
      <c r="AC42" s="743"/>
      <c r="AD42" s="743"/>
      <c r="AE42" s="743"/>
      <c r="AF42" s="743"/>
      <c r="AG42" s="743"/>
      <c r="AH42" s="743"/>
      <c r="AI42" s="743"/>
      <c r="AJ42" s="743"/>
      <c r="AK42" s="743"/>
      <c r="AL42" s="743"/>
      <c r="AM42" s="743"/>
    </row>
    <row r="43" spans="1:39" ht="17.25">
      <c r="A43" s="744">
        <v>40</v>
      </c>
      <c r="B43" s="754" t="s">
        <v>918</v>
      </c>
      <c r="C43" s="754">
        <v>3872</v>
      </c>
      <c r="D43" s="754" t="s">
        <v>919</v>
      </c>
      <c r="E43" s="754" t="s">
        <v>11</v>
      </c>
      <c r="F43" s="754">
        <v>50204769417</v>
      </c>
      <c r="G43" s="746" t="s">
        <v>920</v>
      </c>
      <c r="H43" s="755">
        <v>28160</v>
      </c>
      <c r="I43" s="756">
        <v>50099</v>
      </c>
      <c r="J43" s="755">
        <v>38947</v>
      </c>
      <c r="K43" s="752"/>
      <c r="L43" s="760"/>
      <c r="M43" s="743"/>
      <c r="N43" s="743"/>
      <c r="O43" s="760"/>
      <c r="P43" s="743"/>
      <c r="Q43" s="743"/>
      <c r="R43" s="743"/>
      <c r="S43" s="743"/>
      <c r="T43" s="743"/>
      <c r="U43" s="743"/>
      <c r="V43" s="743"/>
      <c r="W43" s="743"/>
      <c r="X43" s="743"/>
      <c r="Y43" s="743"/>
      <c r="Z43" s="743"/>
      <c r="AA43" s="743"/>
      <c r="AB43" s="743"/>
      <c r="AC43" s="743"/>
      <c r="AD43" s="743"/>
      <c r="AE43" s="743"/>
      <c r="AF43" s="743"/>
      <c r="AG43" s="743"/>
      <c r="AH43" s="743"/>
      <c r="AI43" s="743"/>
      <c r="AJ43" s="743"/>
      <c r="AK43" s="743"/>
      <c r="AL43" s="743"/>
      <c r="AM43" s="743"/>
    </row>
    <row r="44" spans="1:39" ht="17.25">
      <c r="A44" s="744">
        <v>41</v>
      </c>
      <c r="B44" s="744" t="s">
        <v>921</v>
      </c>
      <c r="C44" s="754">
        <v>4106</v>
      </c>
      <c r="D44" s="754" t="s">
        <v>919</v>
      </c>
      <c r="E44" s="754" t="s">
        <v>11</v>
      </c>
      <c r="F44" s="754">
        <v>50209840357</v>
      </c>
      <c r="G44" s="746" t="s">
        <v>922</v>
      </c>
      <c r="H44" s="755">
        <v>28461</v>
      </c>
      <c r="I44" s="756">
        <v>50405</v>
      </c>
      <c r="J44" s="757">
        <v>37952</v>
      </c>
      <c r="K44" s="752"/>
      <c r="L44" s="743"/>
      <c r="M44" s="743"/>
      <c r="N44" s="743"/>
      <c r="O44" s="743"/>
      <c r="P44" s="743"/>
      <c r="Q44" s="743"/>
      <c r="R44" s="743"/>
      <c r="S44" s="743"/>
      <c r="T44" s="743"/>
      <c r="U44" s="743"/>
      <c r="V44" s="743"/>
      <c r="W44" s="743"/>
      <c r="X44" s="743"/>
      <c r="Y44" s="743"/>
      <c r="Z44" s="743"/>
      <c r="AA44" s="743"/>
      <c r="AB44" s="743"/>
      <c r="AC44" s="743"/>
      <c r="AD44" s="743"/>
      <c r="AE44" s="743"/>
      <c r="AF44" s="743"/>
      <c r="AG44" s="743"/>
      <c r="AH44" s="743"/>
      <c r="AI44" s="743"/>
      <c r="AJ44" s="743"/>
      <c r="AK44" s="743"/>
      <c r="AL44" s="743"/>
      <c r="AM44" s="743"/>
    </row>
    <row r="45" spans="1:39" ht="17.25">
      <c r="A45" s="744">
        <v>42</v>
      </c>
      <c r="B45" s="754" t="s">
        <v>923</v>
      </c>
      <c r="C45" s="754">
        <v>3846</v>
      </c>
      <c r="D45" s="744" t="s">
        <v>924</v>
      </c>
      <c r="E45" s="754" t="s">
        <v>11</v>
      </c>
      <c r="F45" s="754">
        <v>50205564591</v>
      </c>
      <c r="G45" s="746" t="s">
        <v>925</v>
      </c>
      <c r="H45" s="755">
        <v>29844</v>
      </c>
      <c r="I45" s="756">
        <v>51774</v>
      </c>
      <c r="J45" s="755">
        <v>40301</v>
      </c>
      <c r="K45" s="752"/>
      <c r="L45" s="743"/>
      <c r="M45" s="743"/>
      <c r="N45" s="743"/>
      <c r="O45" s="743"/>
      <c r="P45" s="743"/>
      <c r="Q45" s="743"/>
      <c r="R45" s="743"/>
      <c r="S45" s="743"/>
      <c r="T45" s="743"/>
      <c r="U45" s="743"/>
      <c r="V45" s="743"/>
      <c r="W45" s="743"/>
      <c r="X45" s="743"/>
      <c r="Y45" s="743"/>
      <c r="Z45" s="743"/>
      <c r="AA45" s="743"/>
      <c r="AB45" s="743"/>
      <c r="AC45" s="743"/>
      <c r="AD45" s="743"/>
      <c r="AE45" s="743"/>
      <c r="AF45" s="743"/>
      <c r="AG45" s="743"/>
      <c r="AH45" s="743"/>
      <c r="AI45" s="743"/>
      <c r="AJ45" s="743"/>
      <c r="AK45" s="743"/>
      <c r="AL45" s="743"/>
      <c r="AM45" s="743"/>
    </row>
    <row r="46" spans="1:39" ht="17.25">
      <c r="A46" s="744">
        <v>45</v>
      </c>
      <c r="B46" s="744" t="s">
        <v>926</v>
      </c>
      <c r="C46" s="754">
        <v>4104</v>
      </c>
      <c r="D46" s="754" t="s">
        <v>851</v>
      </c>
      <c r="E46" s="754" t="s">
        <v>11</v>
      </c>
      <c r="F46" s="754">
        <v>50205584851</v>
      </c>
      <c r="G46" s="746" t="s">
        <v>927</v>
      </c>
      <c r="H46" s="755">
        <v>28915</v>
      </c>
      <c r="I46" s="756">
        <v>50829</v>
      </c>
      <c r="J46" s="757">
        <v>41256</v>
      </c>
      <c r="K46" s="752"/>
      <c r="L46" s="743"/>
      <c r="M46" s="743"/>
      <c r="N46" s="743"/>
      <c r="O46" s="743"/>
      <c r="P46" s="743"/>
      <c r="Q46" s="743"/>
      <c r="R46" s="743"/>
      <c r="S46" s="743"/>
      <c r="T46" s="743"/>
      <c r="U46" s="743"/>
      <c r="V46" s="743"/>
      <c r="W46" s="743"/>
      <c r="X46" s="743"/>
      <c r="Y46" s="743"/>
      <c r="Z46" s="743"/>
      <c r="AA46" s="743"/>
      <c r="AB46" s="743"/>
      <c r="AC46" s="743"/>
      <c r="AD46" s="743"/>
      <c r="AE46" s="743"/>
      <c r="AF46" s="743"/>
      <c r="AG46" s="743"/>
      <c r="AH46" s="743"/>
      <c r="AI46" s="743"/>
      <c r="AJ46" s="743"/>
      <c r="AK46" s="743"/>
      <c r="AL46" s="743"/>
      <c r="AM46" s="743"/>
    </row>
    <row r="47" spans="1:39" ht="17.25">
      <c r="A47" s="744">
        <v>46</v>
      </c>
      <c r="B47" s="765" t="s">
        <v>928</v>
      </c>
      <c r="C47" s="754">
        <v>3429</v>
      </c>
      <c r="D47" s="768" t="s">
        <v>851</v>
      </c>
      <c r="E47" s="754" t="s">
        <v>11</v>
      </c>
      <c r="F47" s="754">
        <v>50205505811</v>
      </c>
      <c r="G47" s="748" t="s">
        <v>929</v>
      </c>
      <c r="H47" s="757">
        <v>28482</v>
      </c>
      <c r="I47" s="756">
        <v>50405</v>
      </c>
      <c r="J47" s="755">
        <v>38385</v>
      </c>
      <c r="K47" s="752"/>
      <c r="L47" s="743"/>
      <c r="M47" s="743"/>
      <c r="N47" s="743"/>
      <c r="O47" s="743"/>
      <c r="P47" s="743"/>
      <c r="Q47" s="743"/>
      <c r="R47" s="743"/>
      <c r="S47" s="743"/>
      <c r="T47" s="743"/>
      <c r="U47" s="743"/>
      <c r="V47" s="743"/>
      <c r="W47" s="743"/>
      <c r="X47" s="743"/>
      <c r="Y47" s="743"/>
      <c r="Z47" s="743"/>
      <c r="AA47" s="743"/>
      <c r="AB47" s="743"/>
      <c r="AC47" s="743"/>
      <c r="AD47" s="743"/>
      <c r="AE47" s="743"/>
      <c r="AF47" s="743"/>
      <c r="AG47" s="743"/>
      <c r="AH47" s="743"/>
      <c r="AI47" s="743"/>
      <c r="AJ47" s="743"/>
      <c r="AK47" s="743"/>
      <c r="AL47" s="743"/>
      <c r="AM47" s="743"/>
    </row>
    <row r="48" spans="1:39" ht="17.25">
      <c r="A48" s="744">
        <v>47</v>
      </c>
      <c r="B48" s="744" t="s">
        <v>930</v>
      </c>
      <c r="C48" s="754">
        <v>3896</v>
      </c>
      <c r="D48" s="754" t="s">
        <v>851</v>
      </c>
      <c r="E48" s="754" t="s">
        <v>11</v>
      </c>
      <c r="F48" s="754">
        <v>50205583822</v>
      </c>
      <c r="G48" s="746" t="s">
        <v>931</v>
      </c>
      <c r="H48" s="755">
        <v>31504</v>
      </c>
      <c r="I48" s="756">
        <v>53447</v>
      </c>
      <c r="J48" s="755">
        <v>41214</v>
      </c>
      <c r="K48" s="752"/>
      <c r="L48" s="743"/>
      <c r="M48" s="743"/>
      <c r="N48" s="743"/>
      <c r="O48" s="743"/>
      <c r="P48" s="743"/>
      <c r="Q48" s="743"/>
      <c r="R48" s="743"/>
      <c r="S48" s="743"/>
      <c r="T48" s="743"/>
      <c r="U48" s="743"/>
      <c r="V48" s="743"/>
      <c r="W48" s="743"/>
      <c r="X48" s="743"/>
      <c r="Y48" s="743"/>
      <c r="Z48" s="743"/>
      <c r="AA48" s="743"/>
      <c r="AB48" s="743"/>
      <c r="AC48" s="743"/>
      <c r="AD48" s="743"/>
      <c r="AE48" s="743"/>
      <c r="AF48" s="743"/>
      <c r="AG48" s="743"/>
      <c r="AH48" s="743"/>
      <c r="AI48" s="743"/>
      <c r="AJ48" s="743"/>
      <c r="AK48" s="743"/>
      <c r="AL48" s="743"/>
      <c r="AM48" s="743"/>
    </row>
    <row r="49" spans="1:39" ht="17.25">
      <c r="A49" s="744">
        <v>48</v>
      </c>
      <c r="B49" s="744" t="s">
        <v>932</v>
      </c>
      <c r="C49" s="754">
        <v>3307</v>
      </c>
      <c r="D49" s="754" t="s">
        <v>919</v>
      </c>
      <c r="E49" s="754" t="s">
        <v>11</v>
      </c>
      <c r="F49" s="754">
        <v>50205396335</v>
      </c>
      <c r="G49" s="746" t="s">
        <v>933</v>
      </c>
      <c r="H49" s="755">
        <v>25538</v>
      </c>
      <c r="I49" s="756">
        <v>47452</v>
      </c>
      <c r="J49" s="755">
        <v>35670</v>
      </c>
      <c r="K49" s="752"/>
      <c r="L49" s="743"/>
      <c r="M49" s="743"/>
      <c r="N49" s="743"/>
      <c r="O49" s="743"/>
      <c r="P49" s="743"/>
      <c r="Q49" s="743"/>
      <c r="R49" s="743"/>
      <c r="S49" s="743"/>
      <c r="T49" s="743"/>
      <c r="U49" s="743"/>
      <c r="V49" s="743"/>
      <c r="W49" s="743"/>
      <c r="X49" s="743"/>
      <c r="Y49" s="743"/>
      <c r="Z49" s="743"/>
      <c r="AA49" s="743"/>
      <c r="AB49" s="743"/>
      <c r="AC49" s="743"/>
      <c r="AD49" s="743"/>
      <c r="AE49" s="743"/>
      <c r="AF49" s="743"/>
      <c r="AG49" s="743"/>
      <c r="AH49" s="743"/>
      <c r="AI49" s="743"/>
      <c r="AJ49" s="743"/>
      <c r="AK49" s="743"/>
      <c r="AL49" s="743"/>
      <c r="AM49" s="743"/>
    </row>
    <row r="50" spans="1:39" ht="17.25">
      <c r="A50" s="744">
        <v>49</v>
      </c>
      <c r="B50" s="744" t="s">
        <v>934</v>
      </c>
      <c r="C50" s="754">
        <v>3693</v>
      </c>
      <c r="D50" s="754" t="s">
        <v>919</v>
      </c>
      <c r="E50" s="754" t="s">
        <v>11</v>
      </c>
      <c r="F50" s="754">
        <v>50205513212</v>
      </c>
      <c r="G50" s="746" t="s">
        <v>935</v>
      </c>
      <c r="H50" s="755">
        <v>29627</v>
      </c>
      <c r="I50" s="756">
        <v>51560</v>
      </c>
      <c r="J50" s="755">
        <v>39239</v>
      </c>
      <c r="K50" s="752"/>
      <c r="L50" s="743"/>
      <c r="M50" s="743"/>
      <c r="N50" s="743"/>
      <c r="O50" s="743"/>
      <c r="P50" s="743"/>
      <c r="Q50" s="743"/>
      <c r="R50" s="743"/>
      <c r="S50" s="743"/>
      <c r="T50" s="743"/>
      <c r="U50" s="743"/>
      <c r="V50" s="743"/>
      <c r="W50" s="743"/>
      <c r="X50" s="743"/>
      <c r="Y50" s="743"/>
      <c r="Z50" s="743"/>
      <c r="AA50" s="743"/>
      <c r="AB50" s="743"/>
      <c r="AC50" s="743"/>
      <c r="AD50" s="743"/>
      <c r="AE50" s="743"/>
      <c r="AF50" s="743"/>
      <c r="AG50" s="743"/>
      <c r="AH50" s="743"/>
      <c r="AI50" s="743"/>
      <c r="AJ50" s="743"/>
      <c r="AK50" s="743"/>
      <c r="AL50" s="743"/>
      <c r="AM50" s="743"/>
    </row>
    <row r="51" spans="1:39" ht="17.25">
      <c r="A51" s="744">
        <v>51</v>
      </c>
      <c r="B51" s="595" t="s">
        <v>936</v>
      </c>
      <c r="C51" s="754">
        <v>3826</v>
      </c>
      <c r="D51" s="754" t="s">
        <v>919</v>
      </c>
      <c r="E51" s="754" t="s">
        <v>11</v>
      </c>
      <c r="F51" s="754">
        <v>50205396165</v>
      </c>
      <c r="G51" s="746" t="s">
        <v>937</v>
      </c>
      <c r="H51" s="755">
        <v>27870</v>
      </c>
      <c r="I51" s="756">
        <v>49795</v>
      </c>
      <c r="J51" s="757">
        <v>35746</v>
      </c>
      <c r="K51" s="752"/>
      <c r="L51" s="743"/>
      <c r="M51" s="743"/>
      <c r="N51" s="743"/>
      <c r="O51" s="743"/>
      <c r="P51" s="743"/>
      <c r="Q51" s="743"/>
      <c r="R51" s="743"/>
      <c r="S51" s="743"/>
      <c r="T51" s="743"/>
      <c r="U51" s="743"/>
      <c r="V51" s="743"/>
      <c r="W51" s="743"/>
      <c r="X51" s="743"/>
      <c r="Y51" s="743"/>
      <c r="Z51" s="743"/>
      <c r="AA51" s="743"/>
      <c r="AB51" s="743"/>
      <c r="AC51" s="743"/>
      <c r="AD51" s="743"/>
      <c r="AE51" s="743"/>
      <c r="AF51" s="743"/>
      <c r="AG51" s="743"/>
      <c r="AH51" s="743"/>
      <c r="AI51" s="743"/>
      <c r="AJ51" s="743"/>
      <c r="AK51" s="743"/>
      <c r="AL51" s="743"/>
      <c r="AM51" s="743"/>
    </row>
    <row r="52" spans="1:39" ht="17.25">
      <c r="A52" s="744">
        <v>52</v>
      </c>
      <c r="B52" s="754" t="s">
        <v>938</v>
      </c>
      <c r="C52" s="754">
        <v>3814</v>
      </c>
      <c r="D52" s="744" t="s">
        <v>924</v>
      </c>
      <c r="E52" s="754" t="s">
        <v>11</v>
      </c>
      <c r="F52" s="754">
        <v>50205530064</v>
      </c>
      <c r="G52" s="746" t="s">
        <v>939</v>
      </c>
      <c r="H52" s="755">
        <v>28037</v>
      </c>
      <c r="I52" s="756">
        <v>49979</v>
      </c>
      <c r="J52" s="755">
        <v>39263</v>
      </c>
      <c r="K52" s="752"/>
      <c r="L52" s="743"/>
      <c r="M52" s="743"/>
      <c r="N52" s="743"/>
      <c r="O52" s="743"/>
      <c r="P52" s="743"/>
      <c r="Q52" s="743"/>
      <c r="R52" s="743"/>
      <c r="S52" s="743"/>
      <c r="T52" s="743"/>
      <c r="U52" s="743"/>
      <c r="V52" s="743"/>
      <c r="W52" s="743"/>
      <c r="X52" s="743"/>
      <c r="Y52" s="743"/>
      <c r="Z52" s="743"/>
      <c r="AA52" s="743"/>
      <c r="AB52" s="743"/>
      <c r="AC52" s="743"/>
      <c r="AD52" s="743"/>
      <c r="AE52" s="743"/>
      <c r="AF52" s="743"/>
      <c r="AG52" s="743"/>
      <c r="AH52" s="743"/>
      <c r="AI52" s="743"/>
      <c r="AJ52" s="743"/>
      <c r="AK52" s="743"/>
      <c r="AL52" s="743"/>
      <c r="AM52" s="743"/>
    </row>
    <row r="53" spans="1:39" ht="17.25">
      <c r="A53" s="744">
        <v>54</v>
      </c>
      <c r="B53" s="754" t="s">
        <v>940</v>
      </c>
      <c r="C53" s="754">
        <v>3811</v>
      </c>
      <c r="D53" s="744" t="s">
        <v>924</v>
      </c>
      <c r="E53" s="754" t="s">
        <v>11</v>
      </c>
      <c r="F53" s="754">
        <v>50205530039</v>
      </c>
      <c r="G53" s="746" t="s">
        <v>941</v>
      </c>
      <c r="H53" s="755">
        <v>29974</v>
      </c>
      <c r="I53" s="756">
        <v>51897</v>
      </c>
      <c r="J53" s="755">
        <v>39263</v>
      </c>
      <c r="K53" s="752"/>
      <c r="L53" s="743"/>
      <c r="M53" s="743"/>
      <c r="N53" s="743"/>
      <c r="O53" s="743"/>
      <c r="P53" s="743"/>
      <c r="Q53" s="743"/>
      <c r="R53" s="743"/>
      <c r="S53" s="743"/>
      <c r="T53" s="743"/>
      <c r="U53" s="743"/>
      <c r="V53" s="743"/>
      <c r="W53" s="743"/>
      <c r="X53" s="743"/>
      <c r="Y53" s="743"/>
      <c r="Z53" s="743"/>
      <c r="AA53" s="743"/>
      <c r="AB53" s="743"/>
      <c r="AC53" s="743"/>
      <c r="AD53" s="743"/>
      <c r="AE53" s="743"/>
      <c r="AF53" s="743"/>
      <c r="AG53" s="743"/>
      <c r="AH53" s="743"/>
      <c r="AI53" s="743"/>
      <c r="AJ53" s="743"/>
      <c r="AK53" s="743"/>
      <c r="AL53" s="743"/>
      <c r="AM53" s="743"/>
    </row>
    <row r="54" spans="1:39" ht="17.25">
      <c r="A54" s="744">
        <v>55</v>
      </c>
      <c r="B54" s="754" t="s">
        <v>942</v>
      </c>
      <c r="C54" s="754">
        <v>3874</v>
      </c>
      <c r="D54" s="754" t="s">
        <v>919</v>
      </c>
      <c r="E54" s="754" t="s">
        <v>11</v>
      </c>
      <c r="F54" s="754">
        <v>50205574572</v>
      </c>
      <c r="G54" s="746" t="s">
        <v>943</v>
      </c>
      <c r="H54" s="755">
        <v>30803</v>
      </c>
      <c r="I54" s="756">
        <v>52717</v>
      </c>
      <c r="J54" s="755">
        <v>41031</v>
      </c>
      <c r="K54" s="752"/>
      <c r="L54" s="743"/>
      <c r="M54" s="743"/>
      <c r="N54" s="743"/>
      <c r="O54" s="743"/>
      <c r="P54" s="743"/>
      <c r="Q54" s="743"/>
      <c r="R54" s="743"/>
      <c r="S54" s="743"/>
      <c r="T54" s="743"/>
      <c r="U54" s="743"/>
      <c r="V54" s="743"/>
      <c r="W54" s="743"/>
      <c r="X54" s="743"/>
      <c r="Y54" s="743"/>
      <c r="Z54" s="743"/>
      <c r="AA54" s="743"/>
      <c r="AB54" s="743"/>
      <c r="AC54" s="743"/>
      <c r="AD54" s="743"/>
      <c r="AE54" s="743"/>
      <c r="AF54" s="743"/>
      <c r="AG54" s="743"/>
      <c r="AH54" s="743"/>
      <c r="AI54" s="743"/>
      <c r="AJ54" s="743"/>
      <c r="AK54" s="743"/>
      <c r="AL54" s="743"/>
      <c r="AM54" s="743"/>
    </row>
    <row r="55" spans="1:39" ht="17.25">
      <c r="A55" s="744">
        <v>56</v>
      </c>
      <c r="B55" s="744" t="s">
        <v>944</v>
      </c>
      <c r="C55" s="754">
        <v>3813</v>
      </c>
      <c r="D55" s="744" t="s">
        <v>924</v>
      </c>
      <c r="E55" s="754" t="s">
        <v>11</v>
      </c>
      <c r="F55" s="754">
        <v>50205530052</v>
      </c>
      <c r="G55" s="746" t="s">
        <v>945</v>
      </c>
      <c r="H55" s="755">
        <v>29227</v>
      </c>
      <c r="I55" s="756">
        <v>51166</v>
      </c>
      <c r="J55" s="755">
        <v>39263</v>
      </c>
      <c r="K55" s="752"/>
      <c r="L55" s="743"/>
      <c r="M55" s="743"/>
      <c r="N55" s="743"/>
      <c r="O55" s="743"/>
      <c r="P55" s="743"/>
      <c r="Q55" s="743"/>
      <c r="R55" s="743"/>
      <c r="S55" s="743"/>
      <c r="T55" s="743"/>
      <c r="U55" s="743"/>
      <c r="V55" s="743"/>
      <c r="W55" s="743"/>
      <c r="X55" s="743"/>
      <c r="Y55" s="743"/>
      <c r="Z55" s="743"/>
      <c r="AA55" s="743"/>
      <c r="AB55" s="743"/>
      <c r="AC55" s="743"/>
      <c r="AD55" s="743"/>
      <c r="AE55" s="743"/>
      <c r="AF55" s="743"/>
      <c r="AG55" s="743"/>
      <c r="AH55" s="743"/>
      <c r="AI55" s="743"/>
      <c r="AJ55" s="743"/>
      <c r="AK55" s="743"/>
      <c r="AL55" s="743"/>
      <c r="AM55" s="743"/>
    </row>
    <row r="56" spans="1:39" ht="17.25">
      <c r="A56" s="744">
        <v>57</v>
      </c>
      <c r="B56" s="754" t="s">
        <v>946</v>
      </c>
      <c r="C56" s="754">
        <v>2757</v>
      </c>
      <c r="D56" s="744" t="s">
        <v>947</v>
      </c>
      <c r="E56" s="754" t="s">
        <v>11</v>
      </c>
      <c r="F56" s="754">
        <v>50205341218</v>
      </c>
      <c r="G56" s="746" t="s">
        <v>948</v>
      </c>
      <c r="H56" s="755">
        <v>24389</v>
      </c>
      <c r="I56" s="756">
        <v>46326</v>
      </c>
      <c r="J56" s="755">
        <v>32452</v>
      </c>
      <c r="K56" s="752"/>
      <c r="L56" s="743"/>
      <c r="M56" s="743"/>
      <c r="N56" s="743"/>
      <c r="O56" s="743"/>
      <c r="P56" s="743"/>
      <c r="Q56" s="743"/>
      <c r="R56" s="743"/>
      <c r="S56" s="743"/>
      <c r="T56" s="743"/>
      <c r="U56" s="743"/>
      <c r="V56" s="743"/>
      <c r="W56" s="743"/>
      <c r="X56" s="743"/>
      <c r="Y56" s="743"/>
      <c r="Z56" s="743"/>
      <c r="AA56" s="743"/>
      <c r="AB56" s="743"/>
      <c r="AC56" s="743"/>
      <c r="AD56" s="743"/>
      <c r="AE56" s="743"/>
      <c r="AF56" s="743"/>
      <c r="AG56" s="743"/>
      <c r="AH56" s="743"/>
      <c r="AI56" s="743"/>
      <c r="AJ56" s="743"/>
      <c r="AK56" s="743"/>
      <c r="AL56" s="743"/>
      <c r="AM56" s="743"/>
    </row>
    <row r="57" spans="1:39" ht="17.25">
      <c r="A57" s="744">
        <v>58</v>
      </c>
      <c r="B57" s="754" t="s">
        <v>949</v>
      </c>
      <c r="C57" s="754">
        <v>3654</v>
      </c>
      <c r="D57" s="754" t="s">
        <v>851</v>
      </c>
      <c r="E57" s="754" t="s">
        <v>11</v>
      </c>
      <c r="F57" s="754">
        <v>5020539735</v>
      </c>
      <c r="G57" s="746" t="s">
        <v>950</v>
      </c>
      <c r="H57" s="755">
        <v>28857</v>
      </c>
      <c r="I57" s="756">
        <v>50801</v>
      </c>
      <c r="J57" s="755">
        <v>35844</v>
      </c>
      <c r="K57" s="752"/>
      <c r="L57" s="743"/>
      <c r="M57" s="743"/>
      <c r="N57" s="743"/>
      <c r="O57" s="743"/>
      <c r="P57" s="743"/>
      <c r="Q57" s="743"/>
      <c r="R57" s="743"/>
      <c r="S57" s="743"/>
      <c r="T57" s="743"/>
      <c r="U57" s="743"/>
      <c r="V57" s="743"/>
      <c r="W57" s="743"/>
      <c r="X57" s="743"/>
      <c r="Y57" s="743"/>
      <c r="Z57" s="743"/>
      <c r="AA57" s="743"/>
      <c r="AB57" s="743"/>
      <c r="AC57" s="743"/>
      <c r="AD57" s="743"/>
      <c r="AE57" s="743"/>
      <c r="AF57" s="743"/>
      <c r="AG57" s="743"/>
      <c r="AH57" s="743"/>
      <c r="AI57" s="743"/>
      <c r="AJ57" s="743"/>
      <c r="AK57" s="743"/>
      <c r="AL57" s="743"/>
      <c r="AM57" s="743"/>
    </row>
    <row r="58" spans="1:39" ht="17.25">
      <c r="A58" s="744">
        <v>59</v>
      </c>
      <c r="B58" s="744" t="s">
        <v>951</v>
      </c>
      <c r="C58" s="754">
        <v>2460</v>
      </c>
      <c r="D58" s="754" t="s">
        <v>841</v>
      </c>
      <c r="E58" s="754" t="s">
        <v>11</v>
      </c>
      <c r="F58" s="754">
        <v>50205324695</v>
      </c>
      <c r="G58" s="746" t="s">
        <v>952</v>
      </c>
      <c r="H58" s="755">
        <v>24687</v>
      </c>
      <c r="I58" s="756">
        <v>46630</v>
      </c>
      <c r="J58" s="755">
        <v>31626</v>
      </c>
      <c r="K58" s="752"/>
      <c r="L58" s="743"/>
      <c r="M58" s="743"/>
      <c r="N58" s="743"/>
      <c r="O58" s="743"/>
      <c r="P58" s="743"/>
      <c r="Q58" s="743"/>
      <c r="R58" s="743"/>
      <c r="S58" s="743"/>
      <c r="T58" s="743"/>
      <c r="U58" s="743"/>
      <c r="V58" s="743"/>
      <c r="W58" s="743"/>
      <c r="X58" s="743"/>
      <c r="Y58" s="743"/>
      <c r="Z58" s="743"/>
      <c r="AA58" s="743"/>
      <c r="AB58" s="743"/>
      <c r="AC58" s="743"/>
      <c r="AD58" s="743"/>
      <c r="AE58" s="743"/>
      <c r="AF58" s="743"/>
      <c r="AG58" s="743"/>
      <c r="AH58" s="743"/>
      <c r="AI58" s="743"/>
      <c r="AJ58" s="743"/>
      <c r="AK58" s="743"/>
      <c r="AL58" s="743"/>
      <c r="AM58" s="743"/>
    </row>
    <row r="59" spans="1:39" ht="17.25">
      <c r="A59" s="744">
        <v>60</v>
      </c>
      <c r="B59" s="744" t="s">
        <v>953</v>
      </c>
      <c r="C59" s="754">
        <v>4135</v>
      </c>
      <c r="D59" s="754" t="s">
        <v>841</v>
      </c>
      <c r="E59" s="754" t="s">
        <v>11</v>
      </c>
      <c r="F59" s="754">
        <v>50200404696</v>
      </c>
      <c r="G59" s="746" t="s">
        <v>954</v>
      </c>
      <c r="H59" s="757">
        <v>31762</v>
      </c>
      <c r="I59" s="756">
        <v>53692</v>
      </c>
      <c r="J59" s="755">
        <v>42439</v>
      </c>
      <c r="K59" s="752"/>
      <c r="L59" s="743"/>
      <c r="M59" s="743"/>
      <c r="N59" s="743"/>
      <c r="O59" s="743"/>
      <c r="P59" s="743"/>
      <c r="Q59" s="743"/>
      <c r="R59" s="743"/>
      <c r="S59" s="743"/>
      <c r="T59" s="743"/>
      <c r="U59" s="743"/>
      <c r="V59" s="743"/>
      <c r="W59" s="743"/>
      <c r="X59" s="743"/>
      <c r="Y59" s="743"/>
      <c r="Z59" s="743"/>
      <c r="AA59" s="743"/>
      <c r="AB59" s="743"/>
      <c r="AC59" s="743"/>
      <c r="AD59" s="743"/>
      <c r="AE59" s="743"/>
      <c r="AF59" s="743"/>
      <c r="AG59" s="743"/>
      <c r="AH59" s="743"/>
      <c r="AI59" s="743"/>
      <c r="AJ59" s="743"/>
      <c r="AK59" s="743"/>
      <c r="AL59" s="743"/>
      <c r="AM59" s="743"/>
    </row>
    <row r="60" spans="1:39" ht="17.25">
      <c r="A60" s="744">
        <v>61</v>
      </c>
      <c r="B60" s="754" t="s">
        <v>955</v>
      </c>
      <c r="C60" s="754">
        <v>4171</v>
      </c>
      <c r="D60" s="754" t="s">
        <v>851</v>
      </c>
      <c r="E60" s="754" t="s">
        <v>11</v>
      </c>
      <c r="F60" s="754">
        <v>50205628295</v>
      </c>
      <c r="G60" s="746" t="s">
        <v>956</v>
      </c>
      <c r="H60" s="755">
        <v>30172</v>
      </c>
      <c r="I60" s="756">
        <v>52109</v>
      </c>
      <c r="J60" s="755">
        <v>41793</v>
      </c>
      <c r="K60" s="752"/>
      <c r="L60" s="743"/>
      <c r="M60" s="743"/>
      <c r="N60" s="743"/>
      <c r="O60" s="743"/>
      <c r="P60" s="743"/>
      <c r="Q60" s="743"/>
      <c r="R60" s="743"/>
      <c r="S60" s="743"/>
      <c r="T60" s="743"/>
      <c r="U60" s="743"/>
      <c r="V60" s="743"/>
      <c r="W60" s="743"/>
      <c r="X60" s="743"/>
      <c r="Y60" s="743"/>
      <c r="Z60" s="743"/>
      <c r="AA60" s="743"/>
      <c r="AB60" s="743"/>
      <c r="AC60" s="743"/>
      <c r="AD60" s="743"/>
      <c r="AE60" s="743"/>
      <c r="AF60" s="743"/>
      <c r="AG60" s="743"/>
      <c r="AH60" s="743"/>
      <c r="AI60" s="743"/>
      <c r="AJ60" s="743"/>
      <c r="AK60" s="743"/>
      <c r="AL60" s="743"/>
      <c r="AM60" s="743"/>
    </row>
    <row r="61" spans="1:39" ht="17.25">
      <c r="A61" s="744">
        <v>62</v>
      </c>
      <c r="B61" s="744" t="s">
        <v>957</v>
      </c>
      <c r="C61" s="754">
        <v>4111</v>
      </c>
      <c r="D61" s="744" t="s">
        <v>958</v>
      </c>
      <c r="E61" s="754" t="s">
        <v>11</v>
      </c>
      <c r="F61" s="754">
        <v>50205602040</v>
      </c>
      <c r="G61" s="769" t="s">
        <v>959</v>
      </c>
      <c r="H61" s="755">
        <v>25475</v>
      </c>
      <c r="I61" s="756">
        <v>47391</v>
      </c>
      <c r="J61" s="755">
        <v>41547</v>
      </c>
      <c r="K61" s="752"/>
      <c r="L61" s="743"/>
      <c r="M61" s="743"/>
      <c r="N61" s="743"/>
      <c r="O61" s="743"/>
      <c r="P61" s="743"/>
      <c r="Q61" s="743"/>
      <c r="R61" s="743"/>
      <c r="S61" s="743"/>
      <c r="T61" s="743"/>
      <c r="U61" s="743"/>
      <c r="V61" s="743"/>
      <c r="W61" s="743"/>
      <c r="X61" s="743"/>
      <c r="Y61" s="743"/>
      <c r="Z61" s="743"/>
      <c r="AA61" s="743"/>
      <c r="AB61" s="743"/>
      <c r="AC61" s="743"/>
      <c r="AD61" s="743"/>
      <c r="AE61" s="743"/>
      <c r="AF61" s="743"/>
      <c r="AG61" s="743"/>
      <c r="AH61" s="743"/>
      <c r="AI61" s="743"/>
      <c r="AJ61" s="743"/>
      <c r="AK61" s="743"/>
      <c r="AL61" s="743"/>
      <c r="AM61" s="743"/>
    </row>
    <row r="62" spans="1:39" ht="15.75" customHeight="1">
      <c r="A62" s="744">
        <v>64</v>
      </c>
      <c r="B62" s="754" t="s">
        <v>960</v>
      </c>
      <c r="C62" s="746"/>
      <c r="D62" s="744" t="s">
        <v>882</v>
      </c>
      <c r="E62" s="748" t="s">
        <v>11</v>
      </c>
      <c r="F62" s="770">
        <v>50205628337</v>
      </c>
      <c r="G62" s="746" t="s">
        <v>961</v>
      </c>
      <c r="H62" s="759">
        <v>32068</v>
      </c>
      <c r="I62" s="771">
        <v>53996</v>
      </c>
      <c r="J62" s="746"/>
      <c r="K62" s="772"/>
      <c r="L62" s="773"/>
      <c r="M62" s="589"/>
      <c r="N62" s="773"/>
      <c r="O62" s="774"/>
      <c r="P62" s="743"/>
      <c r="Q62" s="775"/>
      <c r="R62" s="776"/>
      <c r="S62" s="776"/>
      <c r="T62" s="777" t="s">
        <v>962</v>
      </c>
      <c r="U62" s="778"/>
      <c r="V62" s="778"/>
      <c r="W62" s="778"/>
      <c r="X62" s="778">
        <f>LEN(F62)</f>
        <v>11</v>
      </c>
      <c r="Y62" s="779">
        <f ca="1">INT((TODAY()-O62)/365)</f>
        <v>126</v>
      </c>
      <c r="Z62" s="743"/>
      <c r="AA62" s="743"/>
      <c r="AB62" s="743"/>
      <c r="AC62" s="743"/>
      <c r="AD62" s="743"/>
      <c r="AE62" s="743"/>
      <c r="AF62" s="743"/>
      <c r="AG62" s="743"/>
      <c r="AH62" s="743"/>
      <c r="AI62" s="743"/>
      <c r="AJ62" s="743"/>
      <c r="AK62" s="743"/>
      <c r="AL62" s="743"/>
      <c r="AM62" s="743"/>
    </row>
    <row r="63" spans="1:39" ht="17.25">
      <c r="A63" s="744">
        <v>65</v>
      </c>
      <c r="B63" s="754" t="s">
        <v>963</v>
      </c>
      <c r="C63" s="746"/>
      <c r="D63" s="744" t="s">
        <v>882</v>
      </c>
      <c r="E63" s="748" t="s">
        <v>11</v>
      </c>
      <c r="F63" s="770">
        <v>50205628430</v>
      </c>
      <c r="G63" s="746" t="s">
        <v>964</v>
      </c>
      <c r="H63" s="759">
        <v>32511</v>
      </c>
      <c r="I63" s="759">
        <v>54454</v>
      </c>
      <c r="J63" s="746"/>
      <c r="K63" s="772"/>
      <c r="L63" s="743"/>
      <c r="M63" s="743"/>
      <c r="N63" s="743"/>
      <c r="O63" s="743"/>
      <c r="P63" s="743"/>
      <c r="Q63" s="743"/>
      <c r="R63" s="743"/>
      <c r="S63" s="743"/>
      <c r="T63" s="743"/>
      <c r="U63" s="743"/>
      <c r="V63" s="743"/>
      <c r="W63" s="743"/>
      <c r="X63" s="743"/>
      <c r="Y63" s="743"/>
      <c r="Z63" s="743"/>
      <c r="AA63" s="743"/>
      <c r="AB63" s="743"/>
      <c r="AC63" s="743"/>
      <c r="AD63" s="743"/>
      <c r="AE63" s="743"/>
      <c r="AF63" s="743"/>
      <c r="AG63" s="743"/>
      <c r="AH63" s="743"/>
      <c r="AI63" s="743"/>
      <c r="AJ63" s="743"/>
      <c r="AK63" s="743"/>
      <c r="AL63" s="743"/>
      <c r="AM63" s="743"/>
    </row>
    <row r="64" spans="1:39" ht="17.25">
      <c r="A64" s="744">
        <v>66</v>
      </c>
      <c r="B64" s="780" t="s">
        <v>965</v>
      </c>
      <c r="C64" s="761" t="s">
        <v>878</v>
      </c>
      <c r="D64" s="748" t="s">
        <v>966</v>
      </c>
      <c r="E64" s="747" t="s">
        <v>11</v>
      </c>
      <c r="F64" s="762"/>
      <c r="G64" s="746" t="s">
        <v>967</v>
      </c>
      <c r="H64" s="759">
        <v>31455</v>
      </c>
      <c r="I64" s="759">
        <v>53386</v>
      </c>
      <c r="J64" s="762"/>
      <c r="K64" s="772"/>
      <c r="L64" s="743"/>
      <c r="M64" s="743"/>
      <c r="N64" s="743"/>
      <c r="O64" s="743"/>
      <c r="P64" s="743"/>
      <c r="Q64" s="743"/>
      <c r="R64" s="743"/>
      <c r="S64" s="743"/>
      <c r="T64" s="743"/>
      <c r="U64" s="743"/>
      <c r="V64" s="743"/>
      <c r="W64" s="743"/>
      <c r="X64" s="743"/>
      <c r="Y64" s="743"/>
      <c r="Z64" s="743"/>
      <c r="AA64" s="743"/>
      <c r="AB64" s="743"/>
      <c r="AC64" s="743"/>
      <c r="AD64" s="743"/>
      <c r="AE64" s="743"/>
      <c r="AF64" s="743"/>
      <c r="AG64" s="743"/>
      <c r="AH64" s="743"/>
      <c r="AI64" s="743"/>
      <c r="AJ64" s="743"/>
      <c r="AK64" s="743"/>
      <c r="AL64" s="743"/>
      <c r="AM64" s="743"/>
    </row>
    <row r="65" spans="1:39" ht="17.25">
      <c r="A65" s="744">
        <v>67</v>
      </c>
      <c r="B65" s="744" t="s">
        <v>968</v>
      </c>
      <c r="C65" s="764">
        <v>4781</v>
      </c>
      <c r="D65" s="748" t="s">
        <v>966</v>
      </c>
      <c r="E65" s="747" t="s">
        <v>11</v>
      </c>
      <c r="F65" s="762"/>
      <c r="G65" s="747" t="s">
        <v>969</v>
      </c>
      <c r="H65" s="759"/>
      <c r="I65" s="759"/>
      <c r="J65" s="762"/>
      <c r="K65" s="743"/>
      <c r="L65" s="743"/>
      <c r="M65" s="743"/>
      <c r="N65" s="743"/>
      <c r="O65" s="743"/>
      <c r="P65" s="743"/>
      <c r="Q65" s="743"/>
      <c r="R65" s="743"/>
      <c r="S65" s="743"/>
      <c r="T65" s="743"/>
      <c r="U65" s="743"/>
      <c r="V65" s="743"/>
      <c r="W65" s="743"/>
      <c r="X65" s="743"/>
      <c r="Y65" s="743"/>
      <c r="Z65" s="743"/>
      <c r="AA65" s="743"/>
      <c r="AB65" s="743"/>
      <c r="AC65" s="743"/>
      <c r="AD65" s="743"/>
      <c r="AE65" s="743"/>
      <c r="AF65" s="743"/>
      <c r="AG65" s="743"/>
      <c r="AH65" s="743"/>
      <c r="AI65" s="743"/>
      <c r="AJ65" s="743"/>
      <c r="AK65" s="743"/>
      <c r="AL65" s="743"/>
      <c r="AM65" s="743"/>
    </row>
    <row r="66" spans="1:39" ht="17.25">
      <c r="A66" s="744">
        <v>68</v>
      </c>
      <c r="B66" s="754" t="s">
        <v>970</v>
      </c>
      <c r="C66" s="748" t="s">
        <v>971</v>
      </c>
      <c r="D66" s="748" t="s">
        <v>966</v>
      </c>
      <c r="E66" s="747" t="s">
        <v>11</v>
      </c>
      <c r="F66" s="762"/>
      <c r="G66" s="746" t="s">
        <v>972</v>
      </c>
      <c r="H66" s="759">
        <v>32731</v>
      </c>
      <c r="I66" s="759">
        <v>54666</v>
      </c>
      <c r="J66" s="762"/>
      <c r="K66" s="753"/>
      <c r="L66" s="743"/>
      <c r="M66" s="743"/>
      <c r="N66" s="743"/>
      <c r="O66" s="743"/>
      <c r="P66" s="743"/>
      <c r="Q66" s="743"/>
      <c r="R66" s="743"/>
      <c r="S66" s="743"/>
      <c r="T66" s="743"/>
      <c r="U66" s="743"/>
      <c r="V66" s="743"/>
      <c r="W66" s="743"/>
      <c r="X66" s="743"/>
      <c r="Y66" s="743"/>
      <c r="Z66" s="743"/>
      <c r="AA66" s="743"/>
      <c r="AB66" s="743"/>
      <c r="AC66" s="743"/>
      <c r="AD66" s="743"/>
      <c r="AE66" s="743"/>
      <c r="AF66" s="743"/>
      <c r="AG66" s="743"/>
      <c r="AH66" s="743"/>
      <c r="AI66" s="743"/>
      <c r="AJ66" s="743"/>
      <c r="AK66" s="743"/>
      <c r="AL66" s="743"/>
      <c r="AM66" s="743"/>
    </row>
    <row r="67" spans="1:39" ht="17.25">
      <c r="A67" s="744">
        <v>69</v>
      </c>
      <c r="B67" s="781" t="s">
        <v>973</v>
      </c>
      <c r="C67" s="747">
        <v>4731</v>
      </c>
      <c r="D67" s="744" t="s">
        <v>958</v>
      </c>
      <c r="E67" s="747" t="s">
        <v>11</v>
      </c>
      <c r="F67" s="782">
        <v>50205678092</v>
      </c>
      <c r="G67" s="763" t="s">
        <v>974</v>
      </c>
      <c r="H67" s="783">
        <v>34759</v>
      </c>
      <c r="I67" s="784">
        <v>56673</v>
      </c>
      <c r="J67" s="785"/>
      <c r="K67" s="786"/>
      <c r="L67" s="743"/>
      <c r="M67" s="743"/>
      <c r="N67" s="743"/>
      <c r="O67" s="743"/>
      <c r="P67" s="743"/>
      <c r="Q67" s="743"/>
      <c r="R67" s="743"/>
      <c r="S67" s="743"/>
      <c r="T67" s="743"/>
      <c r="U67" s="743"/>
      <c r="V67" s="743"/>
      <c r="W67" s="743"/>
      <c r="X67" s="743"/>
      <c r="Y67" s="743"/>
      <c r="Z67" s="743"/>
      <c r="AA67" s="743"/>
      <c r="AB67" s="743"/>
      <c r="AC67" s="743"/>
      <c r="AD67" s="743"/>
      <c r="AE67" s="743"/>
      <c r="AF67" s="743"/>
      <c r="AG67" s="743"/>
      <c r="AH67" s="743"/>
      <c r="AI67" s="743"/>
      <c r="AJ67" s="743"/>
      <c r="AK67" s="743"/>
      <c r="AL67" s="743"/>
      <c r="AM67" s="743"/>
    </row>
    <row r="68" spans="1:39" ht="17.25">
      <c r="A68" s="744">
        <v>70</v>
      </c>
      <c r="B68" s="780" t="s">
        <v>975</v>
      </c>
      <c r="C68" s="761"/>
      <c r="D68" s="764" t="s">
        <v>976</v>
      </c>
      <c r="E68" s="748" t="s">
        <v>11</v>
      </c>
      <c r="F68" s="787">
        <v>50205628465</v>
      </c>
      <c r="G68" s="746" t="s">
        <v>977</v>
      </c>
      <c r="H68" s="759">
        <v>32633</v>
      </c>
      <c r="I68" s="759">
        <v>54574</v>
      </c>
      <c r="J68" s="759"/>
      <c r="K68" s="788"/>
      <c r="L68" s="789"/>
      <c r="M68" s="789"/>
      <c r="N68" s="790"/>
      <c r="O68" s="743"/>
      <c r="P68" s="743"/>
      <c r="Q68" s="743"/>
      <c r="R68" s="743"/>
      <c r="S68" s="743"/>
      <c r="T68" s="743"/>
      <c r="U68" s="743"/>
      <c r="V68" s="743"/>
      <c r="W68" s="743"/>
      <c r="X68" s="743"/>
      <c r="Y68" s="743"/>
      <c r="Z68" s="743"/>
      <c r="AA68" s="743"/>
      <c r="AB68" s="743"/>
      <c r="AC68" s="743"/>
      <c r="AD68" s="743"/>
      <c r="AE68" s="743"/>
      <c r="AF68" s="743"/>
      <c r="AG68" s="743"/>
      <c r="AH68" s="743"/>
      <c r="AI68" s="743"/>
      <c r="AJ68" s="743"/>
      <c r="AK68" s="743"/>
      <c r="AL68" s="743"/>
      <c r="AM68" s="743"/>
    </row>
    <row r="69" spans="1:39" ht="17.25">
      <c r="A69" s="744">
        <v>71</v>
      </c>
      <c r="B69" s="791" t="s">
        <v>978</v>
      </c>
      <c r="C69" s="747" t="s">
        <v>878</v>
      </c>
      <c r="D69" s="764" t="s">
        <v>882</v>
      </c>
      <c r="E69" s="747" t="s">
        <v>11</v>
      </c>
      <c r="F69" s="747">
        <v>3329805354</v>
      </c>
      <c r="G69" s="765" t="s">
        <v>979</v>
      </c>
      <c r="H69" s="762"/>
      <c r="I69" s="762"/>
      <c r="J69" s="762"/>
      <c r="K69" s="743"/>
      <c r="L69" s="743"/>
      <c r="M69" s="743"/>
      <c r="N69" s="792"/>
      <c r="O69" s="743"/>
      <c r="P69" s="743"/>
      <c r="Q69" s="743"/>
      <c r="R69" s="743"/>
      <c r="S69" s="743"/>
      <c r="T69" s="743"/>
      <c r="U69" s="743"/>
      <c r="V69" s="743"/>
      <c r="W69" s="743"/>
      <c r="X69" s="743"/>
      <c r="Y69" s="743"/>
      <c r="Z69" s="743"/>
      <c r="AA69" s="743"/>
      <c r="AB69" s="743"/>
      <c r="AC69" s="743"/>
      <c r="AD69" s="743"/>
      <c r="AE69" s="743"/>
      <c r="AF69" s="743"/>
      <c r="AG69" s="743"/>
      <c r="AH69" s="743"/>
      <c r="AI69" s="743"/>
      <c r="AJ69" s="743"/>
      <c r="AK69" s="743"/>
      <c r="AL69" s="743"/>
      <c r="AM69" s="743"/>
    </row>
    <row r="70" spans="1:39" ht="17.25">
      <c r="A70" s="744">
        <v>72</v>
      </c>
      <c r="B70" s="791" t="s">
        <v>980</v>
      </c>
      <c r="C70" s="747" t="s">
        <v>878</v>
      </c>
      <c r="D70" s="764" t="s">
        <v>882</v>
      </c>
      <c r="E70" s="747" t="s">
        <v>11</v>
      </c>
      <c r="F70" s="747">
        <v>3329805347</v>
      </c>
      <c r="G70" s="765" t="s">
        <v>981</v>
      </c>
      <c r="H70" s="762"/>
      <c r="I70" s="762"/>
      <c r="J70" s="762"/>
      <c r="K70" s="743"/>
      <c r="L70" s="743"/>
      <c r="M70" s="743"/>
      <c r="N70" s="792"/>
      <c r="O70" s="743"/>
      <c r="P70" s="743"/>
      <c r="Q70" s="743"/>
      <c r="R70" s="743"/>
      <c r="S70" s="743"/>
      <c r="T70" s="743"/>
      <c r="U70" s="743"/>
      <c r="V70" s="743"/>
      <c r="W70" s="743"/>
      <c r="X70" s="743"/>
      <c r="Y70" s="743"/>
      <c r="Z70" s="743"/>
      <c r="AA70" s="743"/>
      <c r="AB70" s="743"/>
      <c r="AC70" s="743"/>
      <c r="AD70" s="743"/>
      <c r="AE70" s="743"/>
      <c r="AF70" s="743"/>
      <c r="AG70" s="743"/>
      <c r="AH70" s="743"/>
      <c r="AI70" s="743"/>
      <c r="AJ70" s="743"/>
      <c r="AK70" s="743"/>
      <c r="AL70" s="743"/>
      <c r="AM70" s="743"/>
    </row>
    <row r="71" spans="1:39" ht="17.25">
      <c r="A71" s="744">
        <v>73</v>
      </c>
      <c r="B71" s="744" t="s">
        <v>982</v>
      </c>
      <c r="C71" s="748">
        <v>4782</v>
      </c>
      <c r="D71" s="754" t="s">
        <v>919</v>
      </c>
      <c r="E71" s="748" t="s">
        <v>11</v>
      </c>
      <c r="F71" s="748">
        <v>50204770176</v>
      </c>
      <c r="G71" s="748" t="s">
        <v>983</v>
      </c>
      <c r="H71" s="793">
        <v>26526</v>
      </c>
      <c r="I71" s="794">
        <v>48457</v>
      </c>
      <c r="J71" s="748" t="s">
        <v>984</v>
      </c>
      <c r="K71" s="752"/>
      <c r="L71" s="743"/>
      <c r="M71" s="743"/>
      <c r="N71" s="792"/>
      <c r="O71" s="743"/>
      <c r="P71" s="743"/>
      <c r="Q71" s="743"/>
      <c r="R71" s="743"/>
      <c r="S71" s="743"/>
      <c r="T71" s="743"/>
      <c r="U71" s="743"/>
      <c r="V71" s="743"/>
      <c r="W71" s="743"/>
      <c r="X71" s="743"/>
      <c r="Y71" s="743"/>
      <c r="Z71" s="743"/>
      <c r="AA71" s="743"/>
      <c r="AB71" s="743"/>
      <c r="AC71" s="743"/>
      <c r="AD71" s="743"/>
      <c r="AE71" s="743"/>
      <c r="AF71" s="743"/>
      <c r="AG71" s="743"/>
      <c r="AH71" s="743"/>
      <c r="AI71" s="743"/>
      <c r="AJ71" s="743"/>
      <c r="AK71" s="743"/>
      <c r="AL71" s="743"/>
      <c r="AM71" s="743"/>
    </row>
    <row r="72" spans="1:39" ht="17.25">
      <c r="A72" s="744">
        <v>74</v>
      </c>
      <c r="B72" s="744" t="s">
        <v>985</v>
      </c>
      <c r="C72" s="748">
        <v>4783</v>
      </c>
      <c r="D72" s="744" t="s">
        <v>958</v>
      </c>
      <c r="E72" s="748" t="s">
        <v>11</v>
      </c>
      <c r="F72" s="748">
        <v>50205679096</v>
      </c>
      <c r="G72" s="748" t="s">
        <v>986</v>
      </c>
      <c r="H72" s="746"/>
      <c r="I72" s="759"/>
      <c r="J72" s="748" t="s">
        <v>984</v>
      </c>
      <c r="K72" s="752"/>
      <c r="L72" s="743"/>
      <c r="M72" s="743"/>
      <c r="N72" s="792"/>
      <c r="O72" s="743"/>
      <c r="P72" s="743"/>
      <c r="Q72" s="743"/>
      <c r="R72" s="743"/>
      <c r="S72" s="743"/>
      <c r="T72" s="743"/>
      <c r="U72" s="743"/>
      <c r="V72" s="743"/>
      <c r="W72" s="743"/>
      <c r="X72" s="743"/>
      <c r="Y72" s="743"/>
      <c r="Z72" s="743"/>
      <c r="AA72" s="743"/>
      <c r="AB72" s="743"/>
      <c r="AC72" s="743"/>
      <c r="AD72" s="743"/>
      <c r="AE72" s="743"/>
      <c r="AF72" s="743"/>
      <c r="AG72" s="743"/>
      <c r="AH72" s="743"/>
      <c r="AI72" s="743"/>
      <c r="AJ72" s="743"/>
      <c r="AK72" s="743"/>
      <c r="AL72" s="743"/>
      <c r="AM72" s="743"/>
    </row>
    <row r="73" spans="1:39" ht="17.25">
      <c r="A73" s="744">
        <v>75</v>
      </c>
      <c r="B73" s="795" t="s">
        <v>987</v>
      </c>
      <c r="C73" s="796"/>
      <c r="D73" s="744" t="s">
        <v>958</v>
      </c>
      <c r="E73" s="748" t="s">
        <v>11</v>
      </c>
      <c r="F73" s="797">
        <v>3429802778</v>
      </c>
      <c r="G73" s="765" t="s">
        <v>988</v>
      </c>
      <c r="H73" s="781"/>
      <c r="I73" s="798"/>
      <c r="J73" s="795" t="s">
        <v>989</v>
      </c>
      <c r="K73" s="799"/>
      <c r="L73" s="763"/>
      <c r="M73" s="783"/>
      <c r="N73" s="783"/>
      <c r="O73" s="783"/>
      <c r="P73" s="800"/>
      <c r="Q73" s="801"/>
      <c r="R73" s="802" t="s">
        <v>990</v>
      </c>
      <c r="S73" s="803"/>
      <c r="T73" s="804"/>
      <c r="U73" s="803"/>
      <c r="V73" s="805"/>
      <c r="W73" s="806"/>
      <c r="X73" s="753"/>
      <c r="Y73" s="807"/>
      <c r="Z73" s="807"/>
      <c r="AA73" s="807"/>
      <c r="AB73" s="807"/>
      <c r="AC73" s="807"/>
      <c r="AD73" s="807"/>
      <c r="AE73" s="807"/>
      <c r="AF73" s="807"/>
      <c r="AG73" s="807"/>
      <c r="AH73" s="807"/>
      <c r="AI73" s="807"/>
      <c r="AJ73" s="807"/>
      <c r="AK73" s="807"/>
      <c r="AL73" s="807"/>
      <c r="AM73" s="753"/>
    </row>
    <row r="74" spans="1:39" ht="15.75" customHeight="1">
      <c r="A74" s="744">
        <v>76</v>
      </c>
      <c r="B74" s="808" t="s">
        <v>991</v>
      </c>
      <c r="C74" s="762"/>
      <c r="D74" s="744" t="s">
        <v>958</v>
      </c>
      <c r="E74" s="748" t="s">
        <v>11</v>
      </c>
      <c r="F74" s="809">
        <v>53163130553</v>
      </c>
      <c r="G74" s="765" t="s">
        <v>992</v>
      </c>
      <c r="H74" s="810">
        <v>31422</v>
      </c>
      <c r="I74" s="810">
        <v>53358</v>
      </c>
      <c r="J74" s="795" t="s">
        <v>989</v>
      </c>
      <c r="K74" s="785"/>
      <c r="L74" s="747"/>
      <c r="M74" s="753"/>
      <c r="N74" s="811"/>
      <c r="O74" s="812">
        <v>46008</v>
      </c>
      <c r="P74" s="810">
        <v>45709</v>
      </c>
      <c r="Q74" s="810">
        <v>45132</v>
      </c>
      <c r="R74" s="813" t="s">
        <v>993</v>
      </c>
      <c r="S74" s="814"/>
      <c r="T74" s="814"/>
      <c r="U74" s="814"/>
      <c r="V74" s="814"/>
      <c r="W74" s="815">
        <f ca="1">INT((TODAY()-H74)/365)</f>
        <v>40</v>
      </c>
      <c r="X74" s="816"/>
      <c r="Y74" s="817"/>
      <c r="Z74" s="816"/>
      <c r="AA74" s="805"/>
      <c r="AB74" s="779"/>
      <c r="AC74" s="818"/>
      <c r="AD74" s="818"/>
      <c r="AE74" s="818"/>
      <c r="AF74" s="818"/>
      <c r="AG74" s="818"/>
      <c r="AH74" s="818"/>
      <c r="AI74" s="818"/>
      <c r="AJ74" s="818"/>
      <c r="AK74" s="818"/>
      <c r="AL74" s="818"/>
      <c r="AM74" s="753"/>
    </row>
    <row r="75" spans="1:39" ht="17.25">
      <c r="A75" s="744">
        <v>77</v>
      </c>
      <c r="B75" s="819" t="s">
        <v>994</v>
      </c>
      <c r="C75" s="819">
        <v>4794</v>
      </c>
      <c r="D75" s="819" t="s">
        <v>995</v>
      </c>
      <c r="E75" s="819" t="s">
        <v>10</v>
      </c>
      <c r="F75" s="527">
        <v>3329808001</v>
      </c>
      <c r="G75" s="527" t="s">
        <v>996</v>
      </c>
      <c r="H75" s="820"/>
      <c r="I75" s="821"/>
      <c r="J75" s="820"/>
      <c r="K75" s="752"/>
      <c r="L75" s="743"/>
      <c r="M75" s="743"/>
      <c r="N75" s="792"/>
      <c r="O75" s="743"/>
      <c r="P75" s="743"/>
      <c r="Q75" s="743"/>
      <c r="R75" s="743"/>
      <c r="S75" s="743"/>
      <c r="T75" s="743"/>
      <c r="U75" s="743"/>
      <c r="V75" s="743"/>
      <c r="W75" s="743"/>
      <c r="X75" s="743"/>
      <c r="Y75" s="743"/>
      <c r="Z75" s="743"/>
      <c r="AA75" s="743"/>
      <c r="AB75" s="743"/>
      <c r="AC75" s="743"/>
      <c r="AD75" s="743"/>
      <c r="AE75" s="743"/>
      <c r="AF75" s="743"/>
      <c r="AG75" s="743"/>
      <c r="AH75" s="743"/>
      <c r="AI75" s="743"/>
      <c r="AJ75" s="743"/>
      <c r="AK75" s="743"/>
      <c r="AL75" s="743"/>
      <c r="AM75" s="743"/>
    </row>
    <row r="76" spans="1:39" ht="17.25">
      <c r="A76" s="744">
        <v>78</v>
      </c>
      <c r="B76" s="819" t="s">
        <v>997</v>
      </c>
      <c r="C76" s="819">
        <v>4795</v>
      </c>
      <c r="D76" s="819" t="s">
        <v>995</v>
      </c>
      <c r="E76" s="819" t="s">
        <v>11</v>
      </c>
      <c r="F76" s="527">
        <v>3329807846</v>
      </c>
      <c r="G76" s="527" t="s">
        <v>998</v>
      </c>
      <c r="H76" s="820"/>
      <c r="I76" s="820"/>
      <c r="J76" s="820"/>
      <c r="K76" s="743"/>
      <c r="L76" s="743"/>
      <c r="M76" s="743"/>
      <c r="N76" s="792"/>
      <c r="O76" s="743"/>
      <c r="P76" s="743"/>
      <c r="Q76" s="743"/>
      <c r="R76" s="743"/>
      <c r="S76" s="743"/>
      <c r="T76" s="743"/>
      <c r="U76" s="743"/>
      <c r="V76" s="743"/>
      <c r="W76" s="743"/>
      <c r="X76" s="743"/>
      <c r="Y76" s="743"/>
      <c r="Z76" s="743"/>
      <c r="AA76" s="743"/>
      <c r="AB76" s="743"/>
      <c r="AC76" s="743"/>
      <c r="AD76" s="743"/>
      <c r="AE76" s="743"/>
      <c r="AF76" s="743"/>
      <c r="AG76" s="743"/>
      <c r="AH76" s="743"/>
      <c r="AI76" s="743"/>
      <c r="AJ76" s="743"/>
      <c r="AK76" s="743"/>
      <c r="AL76" s="743"/>
      <c r="AM76" s="743"/>
    </row>
    <row r="77" spans="1:39" ht="17.25">
      <c r="A77" s="744">
        <v>79</v>
      </c>
      <c r="B77" s="822" t="s">
        <v>999</v>
      </c>
      <c r="C77" s="823"/>
      <c r="D77" s="744" t="s">
        <v>1000</v>
      </c>
      <c r="E77" s="819" t="s">
        <v>10</v>
      </c>
      <c r="F77" s="824" t="s">
        <v>1001</v>
      </c>
      <c r="G77" s="527" t="s">
        <v>1002</v>
      </c>
      <c r="H77" s="592">
        <v>30393</v>
      </c>
      <c r="I77" s="440">
        <v>52321</v>
      </c>
      <c r="J77" s="3"/>
      <c r="K77" s="274" t="s">
        <v>253</v>
      </c>
      <c r="L77" s="445" t="s">
        <v>797</v>
      </c>
      <c r="M77" s="444">
        <v>30393</v>
      </c>
      <c r="N77" s="444">
        <v>52321</v>
      </c>
      <c r="O77" s="446"/>
      <c r="P77" s="447"/>
      <c r="Q77" s="448"/>
      <c r="R77" s="449" t="s">
        <v>37</v>
      </c>
      <c r="S77" s="332"/>
      <c r="T77" s="450"/>
      <c r="U77" s="332"/>
      <c r="V77" s="334"/>
      <c r="W77" s="334"/>
      <c r="AA77" s="451"/>
      <c r="AD77" s="825"/>
      <c r="AJ77" s="199"/>
      <c r="AK77" s="199"/>
      <c r="AL77" s="199"/>
      <c r="AM77" s="199"/>
    </row>
    <row r="78" spans="1:39" ht="17.25">
      <c r="A78" s="758">
        <v>80</v>
      </c>
      <c r="B78" s="758" t="s">
        <v>1003</v>
      </c>
      <c r="C78" s="758">
        <v>4796</v>
      </c>
      <c r="D78" s="758" t="s">
        <v>995</v>
      </c>
      <c r="E78" s="826" t="s">
        <v>11</v>
      </c>
      <c r="F78" s="826">
        <v>15229800724</v>
      </c>
      <c r="G78" s="758" t="s">
        <v>1004</v>
      </c>
      <c r="H78" s="827">
        <v>33240</v>
      </c>
      <c r="I78" s="827">
        <v>55184</v>
      </c>
      <c r="J78" s="752"/>
      <c r="K78" s="743"/>
      <c r="L78" s="743"/>
      <c r="M78" s="743"/>
      <c r="N78" s="743"/>
      <c r="O78" s="743"/>
      <c r="P78" s="743"/>
      <c r="Q78" s="743"/>
      <c r="R78" s="743"/>
      <c r="S78" s="743"/>
      <c r="T78" s="743"/>
      <c r="U78" s="743"/>
      <c r="V78" s="743"/>
      <c r="W78" s="743"/>
      <c r="X78" s="743"/>
      <c r="Y78" s="743"/>
      <c r="Z78" s="743"/>
      <c r="AA78" s="743"/>
      <c r="AB78" s="743"/>
      <c r="AC78" s="743"/>
      <c r="AD78" s="743"/>
      <c r="AE78" s="743"/>
      <c r="AF78" s="743"/>
      <c r="AG78" s="743"/>
      <c r="AH78" s="743"/>
      <c r="AI78" s="743"/>
      <c r="AJ78" s="743"/>
      <c r="AK78" s="743"/>
      <c r="AL78" s="743"/>
      <c r="AM78" s="743"/>
    </row>
    <row r="79" spans="1:39" ht="17.25">
      <c r="A79" s="752"/>
      <c r="B79" s="752"/>
      <c r="C79" s="752"/>
      <c r="D79" s="752"/>
      <c r="E79" s="828"/>
      <c r="F79" s="828"/>
      <c r="G79" s="752"/>
      <c r="H79" s="752"/>
      <c r="I79" s="752"/>
      <c r="J79" s="752"/>
      <c r="K79" s="743"/>
      <c r="L79" s="743"/>
      <c r="M79" s="743"/>
      <c r="N79" s="743"/>
      <c r="O79" s="743"/>
      <c r="P79" s="743"/>
      <c r="Q79" s="743"/>
      <c r="R79" s="743"/>
      <c r="S79" s="743"/>
      <c r="T79" s="743"/>
      <c r="U79" s="743"/>
      <c r="V79" s="743"/>
      <c r="W79" s="743"/>
      <c r="X79" s="743"/>
      <c r="Y79" s="743"/>
      <c r="Z79" s="743"/>
      <c r="AA79" s="743"/>
      <c r="AB79" s="743"/>
      <c r="AC79" s="743"/>
      <c r="AD79" s="743"/>
      <c r="AE79" s="743"/>
      <c r="AF79" s="743"/>
      <c r="AG79" s="743"/>
      <c r="AH79" s="743"/>
      <c r="AI79" s="743"/>
      <c r="AJ79" s="743"/>
      <c r="AK79" s="743"/>
      <c r="AL79" s="743"/>
      <c r="AM79" s="743"/>
    </row>
    <row r="80" spans="1:39" ht="17.25">
      <c r="A80" s="752"/>
      <c r="B80" s="752"/>
      <c r="C80" s="752"/>
      <c r="D80" s="752"/>
      <c r="E80" s="828"/>
      <c r="F80" s="828"/>
      <c r="G80" s="752"/>
      <c r="H80" s="752"/>
      <c r="I80" s="752"/>
      <c r="J80" s="752"/>
      <c r="K80" s="743"/>
      <c r="L80" s="743"/>
      <c r="M80" s="743"/>
      <c r="N80" s="743"/>
      <c r="O80" s="743"/>
      <c r="P80" s="743"/>
      <c r="Q80" s="743"/>
      <c r="R80" s="743"/>
      <c r="S80" s="743"/>
      <c r="T80" s="743"/>
      <c r="U80" s="743"/>
      <c r="V80" s="743"/>
      <c r="W80" s="743"/>
      <c r="X80" s="743"/>
      <c r="Y80" s="743"/>
      <c r="Z80" s="743"/>
      <c r="AA80" s="743"/>
      <c r="AB80" s="743"/>
      <c r="AC80" s="743"/>
      <c r="AD80" s="743"/>
      <c r="AE80" s="743"/>
      <c r="AF80" s="743"/>
      <c r="AG80" s="743"/>
      <c r="AH80" s="743"/>
      <c r="AI80" s="743"/>
      <c r="AJ80" s="743"/>
      <c r="AK80" s="743"/>
      <c r="AL80" s="743"/>
      <c r="AM80" s="743"/>
    </row>
    <row r="81" spans="1:39" ht="17.25">
      <c r="A81" s="752"/>
      <c r="B81" s="752"/>
      <c r="C81" s="752"/>
      <c r="D81" s="752"/>
      <c r="E81" s="828"/>
      <c r="F81" s="828"/>
      <c r="G81" s="752"/>
      <c r="H81" s="752"/>
      <c r="I81" s="752"/>
      <c r="J81" s="752"/>
      <c r="K81" s="743"/>
      <c r="L81" s="743"/>
      <c r="M81" s="743"/>
      <c r="N81" s="743"/>
      <c r="O81" s="743"/>
      <c r="P81" s="743"/>
      <c r="Q81" s="743"/>
      <c r="R81" s="743"/>
      <c r="S81" s="743"/>
      <c r="T81" s="743"/>
      <c r="U81" s="743"/>
      <c r="V81" s="743"/>
      <c r="W81" s="743"/>
      <c r="X81" s="743"/>
      <c r="Y81" s="743"/>
      <c r="Z81" s="743"/>
      <c r="AA81" s="743"/>
      <c r="AB81" s="743"/>
      <c r="AC81" s="743"/>
      <c r="AD81" s="743"/>
      <c r="AE81" s="743"/>
      <c r="AF81" s="743"/>
      <c r="AG81" s="743"/>
      <c r="AH81" s="743"/>
      <c r="AI81" s="743"/>
      <c r="AJ81" s="743"/>
      <c r="AK81" s="743"/>
      <c r="AL81" s="743"/>
      <c r="AM81" s="743"/>
    </row>
    <row r="82" spans="1:39" ht="17.25">
      <c r="A82" s="752"/>
      <c r="B82" s="752"/>
      <c r="C82" s="752"/>
      <c r="D82" s="752"/>
      <c r="E82" s="828"/>
      <c r="F82" s="828"/>
      <c r="G82" s="752"/>
      <c r="H82" s="752"/>
      <c r="I82" s="752"/>
      <c r="J82" s="752"/>
      <c r="K82" s="743"/>
      <c r="L82" s="743"/>
      <c r="M82" s="743"/>
      <c r="N82" s="743"/>
      <c r="O82" s="743"/>
      <c r="P82" s="743"/>
      <c r="Q82" s="743"/>
      <c r="R82" s="743"/>
      <c r="S82" s="743"/>
      <c r="T82" s="743"/>
      <c r="U82" s="743"/>
      <c r="V82" s="743"/>
      <c r="W82" s="743"/>
      <c r="X82" s="743"/>
      <c r="Y82" s="743"/>
      <c r="Z82" s="743"/>
      <c r="AA82" s="743"/>
      <c r="AB82" s="743"/>
      <c r="AC82" s="743"/>
      <c r="AD82" s="743"/>
      <c r="AE82" s="743"/>
      <c r="AF82" s="743"/>
      <c r="AG82" s="743"/>
      <c r="AH82" s="743"/>
      <c r="AI82" s="743"/>
      <c r="AJ82" s="743"/>
      <c r="AK82" s="743"/>
      <c r="AL82" s="743"/>
      <c r="AM82" s="743"/>
    </row>
    <row r="83" spans="1:39" ht="17.25">
      <c r="A83" s="752"/>
      <c r="B83" s="752"/>
      <c r="C83" s="752"/>
      <c r="D83" s="752"/>
      <c r="E83" s="828"/>
      <c r="F83" s="828"/>
      <c r="G83" s="752"/>
      <c r="H83" s="752"/>
      <c r="I83" s="752"/>
      <c r="J83" s="752"/>
      <c r="K83" s="743"/>
      <c r="L83" s="743"/>
      <c r="M83" s="743"/>
      <c r="N83" s="743"/>
      <c r="O83" s="743"/>
      <c r="P83" s="743"/>
      <c r="Q83" s="743"/>
      <c r="R83" s="743"/>
      <c r="S83" s="743"/>
      <c r="T83" s="743"/>
      <c r="U83" s="743"/>
      <c r="V83" s="743"/>
      <c r="W83" s="743"/>
      <c r="X83" s="743"/>
      <c r="Y83" s="743"/>
      <c r="Z83" s="743"/>
      <c r="AA83" s="743"/>
      <c r="AB83" s="743"/>
      <c r="AC83" s="743"/>
      <c r="AD83" s="743"/>
      <c r="AE83" s="743"/>
      <c r="AF83" s="743"/>
      <c r="AG83" s="743"/>
      <c r="AH83" s="743"/>
      <c r="AI83" s="743"/>
      <c r="AJ83" s="743"/>
      <c r="AK83" s="743"/>
      <c r="AL83" s="743"/>
      <c r="AM83" s="743"/>
    </row>
    <row r="84" spans="1:39" ht="17.25">
      <c r="A84" s="752"/>
      <c r="B84" s="752"/>
      <c r="C84" s="752"/>
      <c r="D84" s="752"/>
      <c r="E84" s="828"/>
      <c r="F84" s="828"/>
      <c r="G84" s="752"/>
      <c r="H84" s="752"/>
      <c r="I84" s="752"/>
      <c r="J84" s="752"/>
      <c r="K84" s="743"/>
      <c r="L84" s="743"/>
      <c r="M84" s="743"/>
      <c r="N84" s="743"/>
      <c r="O84" s="743"/>
      <c r="P84" s="743"/>
      <c r="Q84" s="743"/>
      <c r="R84" s="743"/>
      <c r="S84" s="743"/>
      <c r="T84" s="743"/>
      <c r="U84" s="743"/>
      <c r="V84" s="743"/>
      <c r="W84" s="743"/>
      <c r="X84" s="743"/>
      <c r="Y84" s="743"/>
      <c r="Z84" s="743"/>
      <c r="AA84" s="743"/>
      <c r="AB84" s="743"/>
      <c r="AC84" s="743"/>
      <c r="AD84" s="743"/>
      <c r="AE84" s="743"/>
      <c r="AF84" s="743"/>
      <c r="AG84" s="743"/>
      <c r="AH84" s="743"/>
      <c r="AI84" s="743"/>
      <c r="AJ84" s="743"/>
      <c r="AK84" s="743"/>
      <c r="AL84" s="743"/>
      <c r="AM84" s="743"/>
    </row>
    <row r="85" spans="1:39" ht="17.25">
      <c r="A85" s="752"/>
      <c r="B85" s="752"/>
      <c r="C85" s="752"/>
      <c r="D85" s="752"/>
      <c r="E85" s="828"/>
      <c r="F85" s="828"/>
      <c r="G85" s="752"/>
      <c r="H85" s="752"/>
      <c r="I85" s="752"/>
      <c r="J85" s="752"/>
      <c r="K85" s="743"/>
      <c r="L85" s="743"/>
      <c r="M85" s="743"/>
      <c r="N85" s="743"/>
      <c r="O85" s="743"/>
      <c r="P85" s="743"/>
      <c r="Q85" s="743"/>
      <c r="R85" s="743"/>
      <c r="S85" s="743"/>
      <c r="T85" s="743"/>
      <c r="U85" s="743"/>
      <c r="V85" s="743"/>
      <c r="W85" s="743"/>
      <c r="X85" s="743"/>
      <c r="Y85" s="743"/>
      <c r="Z85" s="743"/>
      <c r="AA85" s="743"/>
      <c r="AB85" s="743"/>
      <c r="AC85" s="743"/>
      <c r="AD85" s="743"/>
      <c r="AE85" s="743"/>
      <c r="AF85" s="743"/>
      <c r="AG85" s="743"/>
      <c r="AH85" s="743"/>
      <c r="AI85" s="743"/>
      <c r="AJ85" s="743"/>
      <c r="AK85" s="743"/>
      <c r="AL85" s="743"/>
      <c r="AM85" s="743"/>
    </row>
    <row r="86" spans="1:39" ht="17.25">
      <c r="A86" s="752"/>
      <c r="B86" s="752"/>
      <c r="C86" s="752"/>
      <c r="D86" s="752"/>
      <c r="E86" s="752"/>
      <c r="F86" s="752"/>
      <c r="G86" s="752"/>
      <c r="H86" s="752"/>
      <c r="I86" s="752"/>
      <c r="J86" s="752"/>
      <c r="K86" s="743"/>
      <c r="L86" s="743"/>
      <c r="M86" s="743"/>
      <c r="N86" s="743"/>
      <c r="O86" s="743"/>
      <c r="P86" s="743"/>
      <c r="Q86" s="743"/>
      <c r="R86" s="743"/>
      <c r="S86" s="743"/>
      <c r="T86" s="743"/>
      <c r="U86" s="743"/>
      <c r="V86" s="743"/>
      <c r="W86" s="743"/>
      <c r="X86" s="743"/>
      <c r="Y86" s="743"/>
      <c r="Z86" s="743"/>
      <c r="AA86" s="743"/>
      <c r="AB86" s="743"/>
      <c r="AC86" s="743"/>
      <c r="AD86" s="743"/>
      <c r="AE86" s="743"/>
      <c r="AF86" s="743"/>
      <c r="AG86" s="743"/>
      <c r="AH86" s="743"/>
      <c r="AI86" s="743"/>
      <c r="AJ86" s="743"/>
      <c r="AK86" s="743"/>
      <c r="AL86" s="743"/>
      <c r="AM86" s="743"/>
    </row>
    <row r="87" spans="1:39" ht="17.25">
      <c r="A87" s="752"/>
      <c r="B87" s="752"/>
      <c r="C87" s="752"/>
      <c r="D87" s="752"/>
      <c r="E87" s="752"/>
      <c r="F87" s="752"/>
      <c r="G87" s="752"/>
      <c r="H87" s="752"/>
      <c r="I87" s="752"/>
      <c r="J87" s="752"/>
      <c r="K87" s="743"/>
      <c r="L87" s="743"/>
      <c r="M87" s="743"/>
      <c r="N87" s="743"/>
      <c r="O87" s="743"/>
      <c r="P87" s="743"/>
      <c r="Q87" s="743"/>
      <c r="R87" s="743"/>
      <c r="S87" s="743"/>
      <c r="T87" s="743"/>
      <c r="U87" s="743"/>
      <c r="V87" s="743"/>
      <c r="W87" s="743"/>
      <c r="X87" s="743"/>
      <c r="Y87" s="743"/>
      <c r="Z87" s="743"/>
      <c r="AA87" s="743"/>
      <c r="AB87" s="743"/>
      <c r="AC87" s="743"/>
      <c r="AD87" s="743"/>
      <c r="AE87" s="743"/>
      <c r="AF87" s="743"/>
      <c r="AG87" s="743"/>
      <c r="AH87" s="743"/>
      <c r="AI87" s="743"/>
      <c r="AJ87" s="743"/>
      <c r="AK87" s="743"/>
      <c r="AL87" s="743"/>
      <c r="AM87" s="743"/>
    </row>
    <row r="88" spans="1:39" ht="17.25">
      <c r="A88" s="752"/>
      <c r="B88" s="752"/>
      <c r="C88" s="752"/>
      <c r="D88" s="752"/>
      <c r="E88" s="752"/>
      <c r="F88" s="752"/>
      <c r="G88" s="752"/>
      <c r="H88" s="752"/>
      <c r="I88" s="752"/>
      <c r="J88" s="752"/>
      <c r="K88" s="752"/>
      <c r="L88" s="743"/>
      <c r="M88" s="743"/>
      <c r="N88" s="743"/>
      <c r="O88" s="743"/>
      <c r="P88" s="743"/>
      <c r="Q88" s="743"/>
      <c r="R88" s="743"/>
      <c r="S88" s="743"/>
      <c r="T88" s="743"/>
      <c r="U88" s="743"/>
      <c r="V88" s="743"/>
      <c r="W88" s="743"/>
      <c r="X88" s="743"/>
      <c r="Y88" s="743"/>
      <c r="Z88" s="743"/>
      <c r="AA88" s="743"/>
      <c r="AB88" s="743"/>
      <c r="AC88" s="743"/>
      <c r="AD88" s="743"/>
      <c r="AE88" s="743"/>
      <c r="AF88" s="743"/>
      <c r="AG88" s="743"/>
      <c r="AH88" s="743"/>
      <c r="AI88" s="743"/>
      <c r="AJ88" s="743"/>
      <c r="AK88" s="743"/>
      <c r="AL88" s="743"/>
      <c r="AM88" s="743"/>
    </row>
    <row r="89" spans="1:39" ht="17.25">
      <c r="A89" s="752"/>
      <c r="B89" s="752"/>
      <c r="C89" s="752"/>
      <c r="D89" s="752"/>
      <c r="E89" s="752"/>
      <c r="F89" s="752"/>
      <c r="G89" s="752"/>
      <c r="H89" s="752"/>
      <c r="I89" s="752"/>
      <c r="J89" s="752"/>
      <c r="K89" s="752"/>
      <c r="L89" s="743"/>
      <c r="M89" s="743"/>
      <c r="N89" s="743"/>
      <c r="O89" s="743"/>
      <c r="P89" s="743"/>
      <c r="Q89" s="743"/>
      <c r="R89" s="743"/>
      <c r="S89" s="743"/>
      <c r="T89" s="743"/>
      <c r="U89" s="743"/>
      <c r="V89" s="743"/>
      <c r="W89" s="743"/>
      <c r="X89" s="743"/>
      <c r="Y89" s="743"/>
      <c r="Z89" s="743"/>
      <c r="AA89" s="743"/>
      <c r="AB89" s="743"/>
      <c r="AC89" s="743"/>
      <c r="AD89" s="743"/>
      <c r="AE89" s="743"/>
      <c r="AF89" s="743"/>
      <c r="AG89" s="743"/>
      <c r="AH89" s="743"/>
      <c r="AI89" s="743"/>
      <c r="AJ89" s="743"/>
      <c r="AK89" s="743"/>
      <c r="AL89" s="743"/>
      <c r="AM89" s="743"/>
    </row>
    <row r="90" spans="1:39" ht="17.25">
      <c r="A90" s="752"/>
      <c r="B90" s="752"/>
      <c r="C90" s="752"/>
      <c r="D90" s="752"/>
      <c r="E90" s="752"/>
      <c r="F90" s="752"/>
      <c r="G90" s="752"/>
      <c r="H90" s="752"/>
      <c r="I90" s="752"/>
      <c r="J90" s="752"/>
      <c r="K90" s="752"/>
      <c r="L90" s="743"/>
      <c r="M90" s="743"/>
      <c r="N90" s="743"/>
      <c r="O90" s="743"/>
      <c r="P90" s="743"/>
      <c r="Q90" s="743"/>
      <c r="R90" s="743"/>
      <c r="S90" s="743"/>
      <c r="T90" s="743"/>
      <c r="U90" s="743"/>
      <c r="V90" s="743"/>
      <c r="W90" s="743"/>
      <c r="X90" s="743"/>
      <c r="Y90" s="743"/>
      <c r="Z90" s="743"/>
      <c r="AA90" s="743"/>
      <c r="AB90" s="743"/>
      <c r="AC90" s="743"/>
      <c r="AD90" s="743"/>
      <c r="AE90" s="743"/>
      <c r="AF90" s="743"/>
      <c r="AG90" s="743"/>
      <c r="AH90" s="743"/>
      <c r="AI90" s="743"/>
      <c r="AJ90" s="743"/>
      <c r="AK90" s="743"/>
      <c r="AL90" s="743"/>
      <c r="AM90" s="743"/>
    </row>
    <row r="91" spans="1:39" ht="17.25">
      <c r="A91" s="752"/>
      <c r="B91" s="752"/>
      <c r="C91" s="752"/>
      <c r="D91" s="752"/>
      <c r="E91" s="752"/>
      <c r="F91" s="752"/>
      <c r="G91" s="752"/>
      <c r="H91" s="752"/>
      <c r="I91" s="752"/>
      <c r="J91" s="752"/>
      <c r="K91" s="752"/>
      <c r="L91" s="743"/>
      <c r="M91" s="743"/>
      <c r="N91" s="743"/>
      <c r="O91" s="743"/>
      <c r="P91" s="743"/>
      <c r="Q91" s="743"/>
      <c r="R91" s="743"/>
      <c r="S91" s="743"/>
      <c r="T91" s="743"/>
      <c r="U91" s="743"/>
      <c r="V91" s="743"/>
      <c r="W91" s="743"/>
      <c r="X91" s="743"/>
      <c r="Y91" s="743"/>
      <c r="Z91" s="743"/>
      <c r="AA91" s="743"/>
      <c r="AB91" s="743"/>
      <c r="AC91" s="743"/>
      <c r="AD91" s="743"/>
      <c r="AE91" s="743"/>
      <c r="AF91" s="743"/>
      <c r="AG91" s="743"/>
      <c r="AH91" s="743"/>
      <c r="AI91" s="743"/>
      <c r="AJ91" s="743"/>
      <c r="AK91" s="743"/>
      <c r="AL91" s="743"/>
      <c r="AM91" s="743"/>
    </row>
    <row r="92" spans="1:39" ht="17.25">
      <c r="A92" s="752"/>
      <c r="B92" s="752"/>
      <c r="C92" s="752"/>
      <c r="D92" s="752"/>
      <c r="E92" s="752"/>
      <c r="F92" s="752"/>
      <c r="G92" s="752"/>
      <c r="H92" s="752"/>
      <c r="I92" s="752"/>
      <c r="J92" s="752"/>
      <c r="K92" s="752"/>
      <c r="L92" s="743"/>
      <c r="M92" s="743"/>
      <c r="N92" s="743"/>
      <c r="O92" s="743"/>
      <c r="P92" s="743"/>
      <c r="Q92" s="743"/>
      <c r="R92" s="743"/>
      <c r="S92" s="743"/>
      <c r="T92" s="743"/>
      <c r="U92" s="743"/>
      <c r="V92" s="743"/>
      <c r="W92" s="743"/>
      <c r="X92" s="743"/>
      <c r="Y92" s="743"/>
      <c r="Z92" s="743"/>
      <c r="AA92" s="743"/>
      <c r="AB92" s="743"/>
      <c r="AC92" s="743"/>
      <c r="AD92" s="743"/>
      <c r="AE92" s="743"/>
      <c r="AF92" s="743"/>
      <c r="AG92" s="743"/>
      <c r="AH92" s="743"/>
      <c r="AI92" s="743"/>
      <c r="AJ92" s="743"/>
      <c r="AK92" s="743"/>
      <c r="AL92" s="743"/>
      <c r="AM92" s="743"/>
    </row>
    <row r="93" spans="1:39" ht="17.25">
      <c r="A93" s="752"/>
      <c r="B93" s="752"/>
      <c r="C93" s="752"/>
      <c r="D93" s="752"/>
      <c r="E93" s="752"/>
      <c r="F93" s="752"/>
      <c r="G93" s="752"/>
      <c r="H93" s="752"/>
      <c r="I93" s="752"/>
      <c r="J93" s="752"/>
      <c r="K93" s="752"/>
      <c r="L93" s="743"/>
      <c r="M93" s="743"/>
      <c r="N93" s="743"/>
      <c r="O93" s="743"/>
      <c r="P93" s="743"/>
      <c r="Q93" s="743"/>
      <c r="R93" s="743"/>
      <c r="S93" s="743"/>
      <c r="T93" s="743"/>
      <c r="U93" s="743"/>
      <c r="V93" s="743"/>
      <c r="W93" s="743"/>
      <c r="X93" s="743"/>
      <c r="Y93" s="743"/>
      <c r="Z93" s="743"/>
      <c r="AA93" s="743"/>
      <c r="AB93" s="743"/>
      <c r="AC93" s="743"/>
      <c r="AD93" s="743"/>
      <c r="AE93" s="743"/>
      <c r="AF93" s="743"/>
      <c r="AG93" s="743"/>
      <c r="AH93" s="743"/>
      <c r="AI93" s="743"/>
      <c r="AJ93" s="743"/>
      <c r="AK93" s="743"/>
      <c r="AL93" s="743"/>
      <c r="AM93" s="743"/>
    </row>
    <row r="94" spans="1:39" ht="17.25">
      <c r="A94" s="752"/>
      <c r="B94" s="752"/>
      <c r="C94" s="752"/>
      <c r="D94" s="752"/>
      <c r="E94" s="752"/>
      <c r="F94" s="752"/>
      <c r="G94" s="752"/>
      <c r="H94" s="752"/>
      <c r="I94" s="752"/>
      <c r="J94" s="752"/>
      <c r="K94" s="752"/>
      <c r="L94" s="743"/>
      <c r="M94" s="743"/>
      <c r="N94" s="743"/>
      <c r="O94" s="743"/>
      <c r="P94" s="743"/>
      <c r="Q94" s="743"/>
      <c r="R94" s="743"/>
      <c r="S94" s="743"/>
      <c r="T94" s="743"/>
      <c r="U94" s="743"/>
      <c r="V94" s="743"/>
      <c r="W94" s="743"/>
      <c r="X94" s="743"/>
      <c r="Y94" s="743"/>
      <c r="Z94" s="743"/>
      <c r="AA94" s="743"/>
      <c r="AB94" s="743"/>
      <c r="AC94" s="743"/>
      <c r="AD94" s="743"/>
      <c r="AE94" s="743"/>
      <c r="AF94" s="743"/>
      <c r="AG94" s="743"/>
      <c r="AH94" s="743"/>
      <c r="AI94" s="743"/>
      <c r="AJ94" s="743"/>
      <c r="AK94" s="743"/>
      <c r="AL94" s="743"/>
      <c r="AM94" s="743"/>
    </row>
    <row r="95" spans="1:39" ht="17.25">
      <c r="A95" s="752"/>
      <c r="B95" s="752"/>
      <c r="C95" s="752"/>
      <c r="D95" s="752"/>
      <c r="E95" s="752"/>
      <c r="F95" s="752"/>
      <c r="G95" s="752"/>
      <c r="H95" s="752"/>
      <c r="I95" s="829"/>
      <c r="J95" s="752"/>
      <c r="K95" s="752"/>
      <c r="L95" s="743"/>
      <c r="M95" s="743"/>
      <c r="N95" s="743"/>
      <c r="O95" s="743"/>
      <c r="P95" s="743"/>
      <c r="Q95" s="743"/>
      <c r="R95" s="743"/>
      <c r="S95" s="743"/>
      <c r="T95" s="743"/>
      <c r="U95" s="743"/>
      <c r="V95" s="743"/>
      <c r="W95" s="743"/>
      <c r="X95" s="743"/>
      <c r="Y95" s="743"/>
      <c r="Z95" s="743"/>
      <c r="AA95" s="743"/>
      <c r="AB95" s="743"/>
      <c r="AC95" s="743"/>
      <c r="AD95" s="743"/>
      <c r="AE95" s="743"/>
      <c r="AF95" s="743"/>
      <c r="AG95" s="743"/>
      <c r="AH95" s="743"/>
      <c r="AI95" s="743"/>
      <c r="AJ95" s="743"/>
      <c r="AK95" s="743"/>
      <c r="AL95" s="743"/>
      <c r="AM95" s="743"/>
    </row>
    <row r="96" spans="1:39" ht="17.25">
      <c r="A96" s="752"/>
      <c r="B96" s="752"/>
      <c r="C96" s="752"/>
      <c r="D96" s="752"/>
      <c r="E96" s="752"/>
      <c r="F96" s="752"/>
      <c r="G96" s="752"/>
      <c r="H96" s="752"/>
      <c r="I96" s="829"/>
      <c r="J96" s="752"/>
      <c r="K96" s="752"/>
      <c r="L96" s="743"/>
      <c r="M96" s="743"/>
      <c r="N96" s="743"/>
      <c r="O96" s="743"/>
      <c r="P96" s="743"/>
      <c r="Q96" s="743"/>
      <c r="R96" s="743"/>
      <c r="S96" s="743"/>
      <c r="T96" s="743"/>
      <c r="U96" s="743"/>
      <c r="V96" s="743"/>
      <c r="W96" s="743"/>
      <c r="X96" s="743"/>
      <c r="Y96" s="743"/>
      <c r="Z96" s="743"/>
      <c r="AA96" s="743"/>
      <c r="AB96" s="743"/>
      <c r="AC96" s="743"/>
      <c r="AD96" s="743"/>
      <c r="AE96" s="743"/>
      <c r="AF96" s="743"/>
      <c r="AG96" s="743"/>
      <c r="AH96" s="743"/>
      <c r="AI96" s="743"/>
      <c r="AJ96" s="743"/>
      <c r="AK96" s="743"/>
      <c r="AL96" s="743"/>
      <c r="AM96" s="743"/>
    </row>
    <row r="97" spans="1:39" ht="17.25">
      <c r="A97" s="752"/>
      <c r="B97" s="752"/>
      <c r="C97" s="752"/>
      <c r="D97" s="752"/>
      <c r="E97" s="752"/>
      <c r="F97" s="752"/>
      <c r="G97" s="752"/>
      <c r="H97" s="752"/>
      <c r="I97" s="829"/>
      <c r="J97" s="752"/>
      <c r="K97" s="752"/>
      <c r="L97" s="743"/>
      <c r="M97" s="743"/>
      <c r="N97" s="743"/>
      <c r="O97" s="743"/>
      <c r="P97" s="743"/>
      <c r="Q97" s="743"/>
      <c r="R97" s="743"/>
      <c r="S97" s="743"/>
      <c r="T97" s="743"/>
      <c r="U97" s="743"/>
      <c r="V97" s="743"/>
      <c r="W97" s="743"/>
      <c r="X97" s="743"/>
      <c r="Y97" s="743"/>
      <c r="Z97" s="743"/>
      <c r="AA97" s="743"/>
      <c r="AB97" s="743"/>
      <c r="AC97" s="743"/>
      <c r="AD97" s="743"/>
      <c r="AE97" s="743"/>
      <c r="AF97" s="743"/>
      <c r="AG97" s="743"/>
      <c r="AH97" s="743"/>
      <c r="AI97" s="743"/>
      <c r="AJ97" s="743"/>
      <c r="AK97" s="743"/>
      <c r="AL97" s="743"/>
      <c r="AM97" s="743"/>
    </row>
    <row r="98" spans="1:39" ht="17.25">
      <c r="A98" s="752"/>
      <c r="B98" s="752"/>
      <c r="C98" s="752"/>
      <c r="D98" s="752"/>
      <c r="E98" s="752"/>
      <c r="F98" s="752"/>
      <c r="G98" s="752"/>
      <c r="H98" s="752"/>
      <c r="I98" s="829"/>
      <c r="J98" s="752"/>
      <c r="K98" s="752"/>
      <c r="L98" s="743"/>
      <c r="M98" s="743"/>
      <c r="N98" s="743"/>
      <c r="O98" s="743"/>
      <c r="P98" s="743"/>
      <c r="Q98" s="743"/>
      <c r="R98" s="743"/>
      <c r="S98" s="743"/>
      <c r="T98" s="743"/>
      <c r="U98" s="743"/>
      <c r="V98" s="743"/>
      <c r="W98" s="743"/>
      <c r="X98" s="743"/>
      <c r="Y98" s="743"/>
      <c r="Z98" s="743"/>
      <c r="AA98" s="743"/>
      <c r="AB98" s="743"/>
      <c r="AC98" s="743"/>
      <c r="AD98" s="743"/>
      <c r="AE98" s="743"/>
      <c r="AF98" s="743"/>
      <c r="AG98" s="743"/>
      <c r="AH98" s="743"/>
      <c r="AI98" s="743"/>
      <c r="AJ98" s="743"/>
      <c r="AK98" s="743"/>
      <c r="AL98" s="743"/>
      <c r="AM98" s="743"/>
    </row>
    <row r="99" spans="1:39" ht="17.25">
      <c r="A99" s="752"/>
      <c r="B99" s="752"/>
      <c r="C99" s="752"/>
      <c r="D99" s="752"/>
      <c r="E99" s="752"/>
      <c r="F99" s="752"/>
      <c r="G99" s="752"/>
      <c r="H99" s="752"/>
      <c r="I99" s="829"/>
      <c r="J99" s="752"/>
      <c r="K99" s="752"/>
      <c r="L99" s="743"/>
      <c r="M99" s="743"/>
      <c r="N99" s="743"/>
      <c r="O99" s="743"/>
      <c r="P99" s="743"/>
      <c r="Q99" s="743"/>
      <c r="R99" s="743"/>
      <c r="S99" s="743"/>
      <c r="T99" s="743"/>
      <c r="U99" s="743"/>
      <c r="V99" s="743"/>
      <c r="W99" s="743"/>
      <c r="X99" s="743"/>
      <c r="Y99" s="743"/>
      <c r="Z99" s="743"/>
      <c r="AA99" s="743"/>
      <c r="AB99" s="743"/>
      <c r="AC99" s="743"/>
      <c r="AD99" s="743"/>
      <c r="AE99" s="743"/>
      <c r="AF99" s="743"/>
      <c r="AG99" s="743"/>
      <c r="AH99" s="743"/>
      <c r="AI99" s="743"/>
      <c r="AJ99" s="743"/>
      <c r="AK99" s="743"/>
      <c r="AL99" s="743"/>
      <c r="AM99" s="743"/>
    </row>
    <row r="100" spans="1:39" ht="17.25">
      <c r="A100" s="752"/>
      <c r="B100" s="752"/>
      <c r="C100" s="752"/>
      <c r="D100" s="752"/>
      <c r="E100" s="752"/>
      <c r="F100" s="752"/>
      <c r="G100" s="752"/>
      <c r="H100" s="752"/>
      <c r="I100" s="829"/>
      <c r="J100" s="752"/>
      <c r="K100" s="752"/>
      <c r="L100" s="743"/>
      <c r="M100" s="743"/>
      <c r="N100" s="743"/>
      <c r="O100" s="743"/>
      <c r="P100" s="743"/>
      <c r="Q100" s="743"/>
      <c r="R100" s="743"/>
      <c r="S100" s="743"/>
      <c r="T100" s="743"/>
      <c r="U100" s="743"/>
      <c r="V100" s="743"/>
      <c r="W100" s="743"/>
      <c r="X100" s="743"/>
      <c r="Y100" s="743"/>
      <c r="Z100" s="743"/>
      <c r="AA100" s="743"/>
      <c r="AB100" s="743"/>
      <c r="AC100" s="743"/>
      <c r="AD100" s="743"/>
      <c r="AE100" s="743"/>
      <c r="AF100" s="743"/>
      <c r="AG100" s="743"/>
      <c r="AH100" s="743"/>
      <c r="AI100" s="743"/>
      <c r="AJ100" s="743"/>
      <c r="AK100" s="743"/>
      <c r="AL100" s="743"/>
      <c r="AM100" s="743"/>
    </row>
    <row r="101" spans="1:39" ht="17.25">
      <c r="A101" s="752"/>
      <c r="B101" s="752"/>
      <c r="C101" s="752"/>
      <c r="D101" s="752"/>
      <c r="E101" s="752"/>
      <c r="F101" s="752"/>
      <c r="G101" s="752"/>
      <c r="H101" s="752"/>
      <c r="I101" s="829"/>
      <c r="J101" s="752"/>
      <c r="K101" s="752"/>
      <c r="L101" s="743"/>
      <c r="M101" s="743"/>
      <c r="N101" s="743"/>
      <c r="O101" s="743"/>
      <c r="P101" s="743"/>
      <c r="Q101" s="743"/>
      <c r="R101" s="743"/>
      <c r="S101" s="743"/>
      <c r="T101" s="743"/>
      <c r="U101" s="743"/>
      <c r="V101" s="743"/>
      <c r="W101" s="743"/>
      <c r="X101" s="743"/>
      <c r="Y101" s="743"/>
      <c r="Z101" s="743"/>
      <c r="AA101" s="743"/>
      <c r="AB101" s="743"/>
      <c r="AC101" s="743"/>
      <c r="AD101" s="743"/>
      <c r="AE101" s="743"/>
      <c r="AF101" s="743"/>
      <c r="AG101" s="743"/>
      <c r="AH101" s="743"/>
      <c r="AI101" s="743"/>
      <c r="AJ101" s="743"/>
      <c r="AK101" s="743"/>
      <c r="AL101" s="743"/>
      <c r="AM101" s="743"/>
    </row>
    <row r="102" spans="1:39" ht="17.25">
      <c r="A102" s="752"/>
      <c r="B102" s="752"/>
      <c r="C102" s="752"/>
      <c r="D102" s="752"/>
      <c r="E102" s="752"/>
      <c r="F102" s="752"/>
      <c r="G102" s="752"/>
      <c r="H102" s="752"/>
      <c r="I102" s="829"/>
      <c r="J102" s="752"/>
      <c r="K102" s="752"/>
      <c r="L102" s="743"/>
      <c r="M102" s="743"/>
      <c r="N102" s="743"/>
      <c r="O102" s="743"/>
      <c r="P102" s="743"/>
      <c r="Q102" s="743"/>
      <c r="R102" s="743"/>
      <c r="S102" s="743"/>
      <c r="T102" s="743"/>
      <c r="U102" s="743"/>
      <c r="V102" s="743"/>
      <c r="W102" s="743"/>
      <c r="X102" s="743"/>
      <c r="Y102" s="743"/>
      <c r="Z102" s="743"/>
      <c r="AA102" s="743"/>
      <c r="AB102" s="743"/>
      <c r="AC102" s="743"/>
      <c r="AD102" s="743"/>
      <c r="AE102" s="743"/>
      <c r="AF102" s="743"/>
      <c r="AG102" s="743"/>
      <c r="AH102" s="743"/>
      <c r="AI102" s="743"/>
      <c r="AJ102" s="743"/>
      <c r="AK102" s="743"/>
      <c r="AL102" s="743"/>
      <c r="AM102" s="743"/>
    </row>
    <row r="103" spans="1:39" ht="17.25">
      <c r="A103" s="752"/>
      <c r="B103" s="752"/>
      <c r="C103" s="752"/>
      <c r="D103" s="752"/>
      <c r="E103" s="752"/>
      <c r="F103" s="752"/>
      <c r="G103" s="752"/>
      <c r="H103" s="752"/>
      <c r="I103" s="829"/>
      <c r="J103" s="752"/>
      <c r="K103" s="752"/>
      <c r="L103" s="743"/>
      <c r="M103" s="743"/>
      <c r="N103" s="743"/>
      <c r="O103" s="743"/>
      <c r="P103" s="743"/>
      <c r="Q103" s="743"/>
      <c r="R103" s="743"/>
      <c r="S103" s="743"/>
      <c r="T103" s="743"/>
      <c r="U103" s="743"/>
      <c r="V103" s="743"/>
      <c r="W103" s="743"/>
      <c r="X103" s="743"/>
      <c r="Y103" s="743"/>
      <c r="Z103" s="743"/>
      <c r="AA103" s="743"/>
      <c r="AB103" s="743"/>
      <c r="AC103" s="743"/>
      <c r="AD103" s="743"/>
      <c r="AE103" s="743"/>
      <c r="AF103" s="743"/>
      <c r="AG103" s="743"/>
      <c r="AH103" s="743"/>
      <c r="AI103" s="743"/>
      <c r="AJ103" s="743"/>
      <c r="AK103" s="743"/>
      <c r="AL103" s="743"/>
      <c r="AM103" s="743"/>
    </row>
    <row r="104" spans="1:39" ht="17.25">
      <c r="A104" s="752"/>
      <c r="B104" s="752"/>
      <c r="C104" s="752"/>
      <c r="D104" s="752"/>
      <c r="E104" s="752"/>
      <c r="F104" s="752"/>
      <c r="G104" s="752"/>
      <c r="H104" s="752"/>
      <c r="I104" s="829"/>
      <c r="J104" s="752"/>
      <c r="K104" s="752"/>
      <c r="L104" s="743"/>
      <c r="M104" s="743"/>
      <c r="N104" s="743"/>
      <c r="O104" s="743"/>
      <c r="P104" s="743"/>
      <c r="Q104" s="743"/>
      <c r="R104" s="743"/>
      <c r="S104" s="743"/>
      <c r="T104" s="743"/>
      <c r="U104" s="743"/>
      <c r="V104" s="743"/>
      <c r="W104" s="743"/>
      <c r="X104" s="743"/>
      <c r="Y104" s="743"/>
      <c r="Z104" s="743"/>
      <c r="AA104" s="743"/>
      <c r="AB104" s="743"/>
      <c r="AC104" s="743"/>
      <c r="AD104" s="743"/>
      <c r="AE104" s="743"/>
      <c r="AF104" s="743"/>
      <c r="AG104" s="743"/>
      <c r="AH104" s="743"/>
      <c r="AI104" s="743"/>
      <c r="AJ104" s="743"/>
      <c r="AK104" s="743"/>
      <c r="AL104" s="743"/>
      <c r="AM104" s="743"/>
    </row>
    <row r="105" spans="1:39" ht="17.25">
      <c r="A105" s="752"/>
      <c r="B105" s="752"/>
      <c r="C105" s="752"/>
      <c r="D105" s="752"/>
      <c r="E105" s="752"/>
      <c r="F105" s="752"/>
      <c r="G105" s="752"/>
      <c r="H105" s="752"/>
      <c r="I105" s="829"/>
      <c r="J105" s="752"/>
      <c r="K105" s="752"/>
      <c r="L105" s="743"/>
      <c r="M105" s="743"/>
      <c r="N105" s="743"/>
      <c r="O105" s="743"/>
      <c r="P105" s="743"/>
      <c r="Q105" s="743"/>
      <c r="R105" s="743"/>
      <c r="S105" s="743"/>
      <c r="T105" s="743"/>
      <c r="U105" s="743"/>
      <c r="V105" s="743"/>
      <c r="W105" s="743"/>
      <c r="X105" s="743"/>
      <c r="Y105" s="743"/>
      <c r="Z105" s="743"/>
      <c r="AA105" s="743"/>
      <c r="AB105" s="743"/>
      <c r="AC105" s="743"/>
      <c r="AD105" s="743"/>
      <c r="AE105" s="743"/>
      <c r="AF105" s="743"/>
      <c r="AG105" s="743"/>
      <c r="AH105" s="743"/>
      <c r="AI105" s="743"/>
      <c r="AJ105" s="743"/>
      <c r="AK105" s="743"/>
      <c r="AL105" s="743"/>
      <c r="AM105" s="743"/>
    </row>
    <row r="106" spans="1:39" ht="17.25">
      <c r="A106" s="752"/>
      <c r="B106" s="752"/>
      <c r="C106" s="752"/>
      <c r="D106" s="752"/>
      <c r="E106" s="752"/>
      <c r="F106" s="752"/>
      <c r="G106" s="752"/>
      <c r="H106" s="752"/>
      <c r="I106" s="829"/>
      <c r="J106" s="752"/>
      <c r="K106" s="752"/>
      <c r="L106" s="743"/>
      <c r="M106" s="743"/>
      <c r="N106" s="743"/>
      <c r="O106" s="743"/>
      <c r="P106" s="743"/>
      <c r="Q106" s="743"/>
      <c r="R106" s="743"/>
      <c r="S106" s="743"/>
      <c r="T106" s="743"/>
      <c r="U106" s="743"/>
      <c r="V106" s="743"/>
      <c r="W106" s="743"/>
      <c r="X106" s="743"/>
      <c r="Y106" s="743"/>
      <c r="Z106" s="743"/>
      <c r="AA106" s="743"/>
      <c r="AB106" s="743"/>
      <c r="AC106" s="743"/>
      <c r="AD106" s="743"/>
      <c r="AE106" s="743"/>
      <c r="AF106" s="743"/>
      <c r="AG106" s="743"/>
      <c r="AH106" s="743"/>
      <c r="AI106" s="743"/>
      <c r="AJ106" s="743"/>
      <c r="AK106" s="743"/>
      <c r="AL106" s="743"/>
      <c r="AM106" s="743"/>
    </row>
    <row r="107" spans="1:39" ht="17.25">
      <c r="A107" s="752"/>
      <c r="B107" s="752"/>
      <c r="C107" s="752"/>
      <c r="D107" s="752"/>
      <c r="E107" s="752"/>
      <c r="F107" s="752"/>
      <c r="G107" s="752"/>
      <c r="H107" s="752"/>
      <c r="I107" s="829"/>
      <c r="J107" s="752"/>
      <c r="K107" s="752"/>
      <c r="L107" s="743"/>
      <c r="M107" s="743"/>
      <c r="N107" s="743"/>
      <c r="O107" s="743"/>
      <c r="P107" s="743"/>
      <c r="Q107" s="743"/>
      <c r="R107" s="743"/>
      <c r="S107" s="743"/>
      <c r="T107" s="743"/>
      <c r="U107" s="743"/>
      <c r="V107" s="743"/>
      <c r="W107" s="743"/>
      <c r="X107" s="743"/>
      <c r="Y107" s="743"/>
      <c r="Z107" s="743"/>
      <c r="AA107" s="743"/>
      <c r="AB107" s="743"/>
      <c r="AC107" s="743"/>
      <c r="AD107" s="743"/>
      <c r="AE107" s="743"/>
      <c r="AF107" s="743"/>
      <c r="AG107" s="743"/>
      <c r="AH107" s="743"/>
      <c r="AI107" s="743"/>
      <c r="AJ107" s="743"/>
      <c r="AK107" s="743"/>
      <c r="AL107" s="743"/>
      <c r="AM107" s="743"/>
    </row>
    <row r="108" spans="1:39" ht="17.25">
      <c r="A108" s="752"/>
      <c r="B108" s="752"/>
      <c r="C108" s="752"/>
      <c r="D108" s="752"/>
      <c r="E108" s="752"/>
      <c r="F108" s="752"/>
      <c r="G108" s="752"/>
      <c r="H108" s="752"/>
      <c r="I108" s="829"/>
      <c r="J108" s="752"/>
      <c r="K108" s="752"/>
      <c r="L108" s="743"/>
      <c r="M108" s="743"/>
      <c r="N108" s="743"/>
      <c r="O108" s="743"/>
      <c r="P108" s="743"/>
      <c r="Q108" s="743"/>
      <c r="R108" s="743"/>
      <c r="S108" s="743"/>
      <c r="T108" s="743"/>
      <c r="U108" s="743"/>
      <c r="V108" s="743"/>
      <c r="W108" s="743"/>
      <c r="X108" s="743"/>
      <c r="Y108" s="743"/>
      <c r="Z108" s="743"/>
      <c r="AA108" s="743"/>
      <c r="AB108" s="743"/>
      <c r="AC108" s="743"/>
      <c r="AD108" s="743"/>
      <c r="AE108" s="743"/>
      <c r="AF108" s="743"/>
      <c r="AG108" s="743"/>
      <c r="AH108" s="743"/>
      <c r="AI108" s="743"/>
      <c r="AJ108" s="743"/>
      <c r="AK108" s="743"/>
      <c r="AL108" s="743"/>
      <c r="AM108" s="743"/>
    </row>
    <row r="109" spans="1:39" ht="17.25">
      <c r="A109" s="752"/>
      <c r="B109" s="752"/>
      <c r="C109" s="752"/>
      <c r="D109" s="752"/>
      <c r="E109" s="752"/>
      <c r="F109" s="752"/>
      <c r="G109" s="752"/>
      <c r="H109" s="752"/>
      <c r="I109" s="829"/>
      <c r="J109" s="752"/>
      <c r="K109" s="752"/>
      <c r="L109" s="743"/>
      <c r="M109" s="743"/>
      <c r="N109" s="743"/>
      <c r="O109" s="743"/>
      <c r="P109" s="743"/>
      <c r="Q109" s="743"/>
      <c r="R109" s="743"/>
      <c r="S109" s="743"/>
      <c r="T109" s="743"/>
      <c r="U109" s="743"/>
      <c r="V109" s="743"/>
      <c r="W109" s="743"/>
      <c r="X109" s="743"/>
      <c r="Y109" s="743"/>
      <c r="Z109" s="743"/>
      <c r="AA109" s="743"/>
      <c r="AB109" s="743"/>
      <c r="AC109" s="743"/>
      <c r="AD109" s="743"/>
      <c r="AE109" s="743"/>
      <c r="AF109" s="743"/>
      <c r="AG109" s="743"/>
      <c r="AH109" s="743"/>
      <c r="AI109" s="743"/>
      <c r="AJ109" s="743"/>
      <c r="AK109" s="743"/>
      <c r="AL109" s="743"/>
      <c r="AM109" s="743"/>
    </row>
    <row r="110" spans="1:39" ht="17.25">
      <c r="A110" s="752"/>
      <c r="B110" s="752"/>
      <c r="C110" s="752"/>
      <c r="D110" s="752"/>
      <c r="E110" s="752"/>
      <c r="F110" s="752"/>
      <c r="G110" s="752"/>
      <c r="H110" s="752"/>
      <c r="I110" s="829"/>
      <c r="J110" s="752"/>
      <c r="K110" s="752"/>
      <c r="L110" s="743"/>
      <c r="M110" s="743"/>
      <c r="N110" s="743"/>
      <c r="O110" s="743"/>
      <c r="P110" s="743"/>
      <c r="Q110" s="743"/>
      <c r="R110" s="743"/>
      <c r="S110" s="743"/>
      <c r="T110" s="743"/>
      <c r="U110" s="743"/>
      <c r="V110" s="743"/>
      <c r="W110" s="743"/>
      <c r="X110" s="743"/>
      <c r="Y110" s="743"/>
      <c r="Z110" s="743"/>
      <c r="AA110" s="743"/>
      <c r="AB110" s="743"/>
      <c r="AC110" s="743"/>
      <c r="AD110" s="743"/>
      <c r="AE110" s="743"/>
      <c r="AF110" s="743"/>
      <c r="AG110" s="743"/>
      <c r="AH110" s="743"/>
      <c r="AI110" s="743"/>
      <c r="AJ110" s="743"/>
      <c r="AK110" s="743"/>
      <c r="AL110" s="743"/>
      <c r="AM110" s="743"/>
    </row>
    <row r="111" spans="1:39" ht="17.25">
      <c r="A111" s="752"/>
      <c r="B111" s="752"/>
      <c r="C111" s="752"/>
      <c r="D111" s="752"/>
      <c r="E111" s="752"/>
      <c r="F111" s="752"/>
      <c r="G111" s="752"/>
      <c r="H111" s="752"/>
      <c r="I111" s="829"/>
      <c r="J111" s="752"/>
      <c r="K111" s="752"/>
      <c r="L111" s="743"/>
      <c r="M111" s="743"/>
      <c r="N111" s="743"/>
      <c r="O111" s="743"/>
      <c r="P111" s="743"/>
      <c r="Q111" s="743"/>
      <c r="R111" s="743"/>
      <c r="S111" s="743"/>
      <c r="T111" s="743"/>
      <c r="U111" s="743"/>
      <c r="V111" s="743"/>
      <c r="W111" s="743"/>
      <c r="X111" s="743"/>
      <c r="Y111" s="743"/>
      <c r="Z111" s="743"/>
      <c r="AA111" s="743"/>
      <c r="AB111" s="743"/>
      <c r="AC111" s="743"/>
      <c r="AD111" s="743"/>
      <c r="AE111" s="743"/>
      <c r="AF111" s="743"/>
      <c r="AG111" s="743"/>
      <c r="AH111" s="743"/>
      <c r="AI111" s="743"/>
      <c r="AJ111" s="743"/>
      <c r="AK111" s="743"/>
      <c r="AL111" s="743"/>
      <c r="AM111" s="743"/>
    </row>
    <row r="112" spans="1:39" ht="17.25">
      <c r="A112" s="752"/>
      <c r="B112" s="752"/>
      <c r="C112" s="752"/>
      <c r="D112" s="752"/>
      <c r="E112" s="752"/>
      <c r="F112" s="752"/>
      <c r="G112" s="752"/>
      <c r="H112" s="752"/>
      <c r="I112" s="829"/>
      <c r="J112" s="752"/>
      <c r="K112" s="752"/>
      <c r="L112" s="743"/>
      <c r="M112" s="743"/>
      <c r="N112" s="743"/>
      <c r="O112" s="743"/>
      <c r="P112" s="743"/>
      <c r="Q112" s="743"/>
      <c r="R112" s="743"/>
      <c r="S112" s="743"/>
      <c r="T112" s="743"/>
      <c r="U112" s="743"/>
      <c r="V112" s="743"/>
      <c r="W112" s="743"/>
      <c r="X112" s="743"/>
      <c r="Y112" s="743"/>
      <c r="Z112" s="743"/>
      <c r="AA112" s="743"/>
      <c r="AB112" s="743"/>
      <c r="AC112" s="743"/>
      <c r="AD112" s="743"/>
      <c r="AE112" s="743"/>
      <c r="AF112" s="743"/>
      <c r="AG112" s="743"/>
      <c r="AH112" s="743"/>
      <c r="AI112" s="743"/>
      <c r="AJ112" s="743"/>
      <c r="AK112" s="743"/>
      <c r="AL112" s="743"/>
      <c r="AM112" s="743"/>
    </row>
    <row r="113" spans="1:39" ht="17.25">
      <c r="A113" s="752"/>
      <c r="B113" s="752"/>
      <c r="C113" s="752"/>
      <c r="D113" s="752"/>
      <c r="E113" s="752"/>
      <c r="F113" s="752"/>
      <c r="G113" s="752"/>
      <c r="H113" s="752"/>
      <c r="I113" s="829"/>
      <c r="J113" s="752"/>
      <c r="K113" s="752"/>
      <c r="L113" s="743"/>
      <c r="M113" s="743"/>
      <c r="N113" s="743"/>
      <c r="O113" s="743"/>
      <c r="P113" s="743"/>
      <c r="Q113" s="743"/>
      <c r="R113" s="743"/>
      <c r="S113" s="743"/>
      <c r="T113" s="743"/>
      <c r="U113" s="743"/>
      <c r="V113" s="743"/>
      <c r="W113" s="743"/>
      <c r="X113" s="743"/>
      <c r="Y113" s="743"/>
      <c r="Z113" s="743"/>
      <c r="AA113" s="743"/>
      <c r="AB113" s="743"/>
      <c r="AC113" s="743"/>
      <c r="AD113" s="743"/>
      <c r="AE113" s="743"/>
      <c r="AF113" s="743"/>
      <c r="AG113" s="743"/>
      <c r="AH113" s="743"/>
      <c r="AI113" s="743"/>
      <c r="AJ113" s="743"/>
      <c r="AK113" s="743"/>
      <c r="AL113" s="743"/>
      <c r="AM113" s="743"/>
    </row>
    <row r="114" spans="1:39" ht="17.25">
      <c r="A114" s="752"/>
      <c r="B114" s="752"/>
      <c r="C114" s="752"/>
      <c r="D114" s="752"/>
      <c r="E114" s="752"/>
      <c r="F114" s="752"/>
      <c r="G114" s="752"/>
      <c r="H114" s="752"/>
      <c r="I114" s="829"/>
      <c r="J114" s="752"/>
      <c r="K114" s="752"/>
      <c r="L114" s="743"/>
      <c r="M114" s="743"/>
      <c r="N114" s="743"/>
      <c r="O114" s="743"/>
      <c r="P114" s="743"/>
      <c r="Q114" s="743"/>
      <c r="R114" s="743"/>
      <c r="S114" s="743"/>
      <c r="T114" s="743"/>
      <c r="U114" s="743"/>
      <c r="V114" s="743"/>
      <c r="W114" s="743"/>
      <c r="X114" s="743"/>
      <c r="Y114" s="743"/>
      <c r="Z114" s="743"/>
      <c r="AA114" s="743"/>
      <c r="AB114" s="743"/>
      <c r="AC114" s="743"/>
      <c r="AD114" s="743"/>
      <c r="AE114" s="743"/>
      <c r="AF114" s="743"/>
      <c r="AG114" s="743"/>
      <c r="AH114" s="743"/>
      <c r="AI114" s="743"/>
      <c r="AJ114" s="743"/>
      <c r="AK114" s="743"/>
      <c r="AL114" s="743"/>
      <c r="AM114" s="743"/>
    </row>
    <row r="115" spans="1:39" ht="17.25">
      <c r="A115" s="752"/>
      <c r="B115" s="752"/>
      <c r="C115" s="752"/>
      <c r="D115" s="752"/>
      <c r="E115" s="752"/>
      <c r="F115" s="752"/>
      <c r="G115" s="752"/>
      <c r="H115" s="752"/>
      <c r="I115" s="829"/>
      <c r="J115" s="752"/>
      <c r="K115" s="752"/>
      <c r="L115" s="743"/>
      <c r="M115" s="743"/>
      <c r="N115" s="743"/>
      <c r="O115" s="743"/>
      <c r="P115" s="743"/>
      <c r="Q115" s="743"/>
      <c r="R115" s="743"/>
      <c r="S115" s="743"/>
      <c r="T115" s="743"/>
      <c r="U115" s="743"/>
      <c r="V115" s="743"/>
      <c r="W115" s="743"/>
      <c r="X115" s="743"/>
      <c r="Y115" s="743"/>
      <c r="Z115" s="743"/>
      <c r="AA115" s="743"/>
      <c r="AB115" s="743"/>
      <c r="AC115" s="743"/>
      <c r="AD115" s="743"/>
      <c r="AE115" s="743"/>
      <c r="AF115" s="743"/>
      <c r="AG115" s="743"/>
      <c r="AH115" s="743"/>
      <c r="AI115" s="743"/>
      <c r="AJ115" s="743"/>
      <c r="AK115" s="743"/>
      <c r="AL115" s="743"/>
      <c r="AM115" s="743"/>
    </row>
    <row r="116" spans="1:39" ht="17.25">
      <c r="A116" s="752"/>
      <c r="B116" s="752"/>
      <c r="C116" s="752"/>
      <c r="D116" s="752"/>
      <c r="E116" s="752"/>
      <c r="F116" s="752"/>
      <c r="G116" s="752"/>
      <c r="H116" s="752"/>
      <c r="I116" s="829"/>
      <c r="J116" s="752"/>
      <c r="K116" s="752"/>
      <c r="L116" s="743"/>
      <c r="M116" s="743"/>
      <c r="N116" s="743"/>
      <c r="O116" s="743"/>
      <c r="P116" s="743"/>
      <c r="Q116" s="743"/>
      <c r="R116" s="743"/>
      <c r="S116" s="743"/>
      <c r="T116" s="743"/>
      <c r="U116" s="743"/>
      <c r="V116" s="743"/>
      <c r="W116" s="743"/>
      <c r="X116" s="743"/>
      <c r="Y116" s="743"/>
      <c r="Z116" s="743"/>
      <c r="AA116" s="743"/>
      <c r="AB116" s="743"/>
      <c r="AC116" s="743"/>
      <c r="AD116" s="743"/>
      <c r="AE116" s="743"/>
      <c r="AF116" s="743"/>
      <c r="AG116" s="743"/>
      <c r="AH116" s="743"/>
      <c r="AI116" s="743"/>
      <c r="AJ116" s="743"/>
      <c r="AK116" s="743"/>
      <c r="AL116" s="743"/>
      <c r="AM116" s="743"/>
    </row>
    <row r="117" spans="1:39" ht="17.25">
      <c r="A117" s="752"/>
      <c r="B117" s="752"/>
      <c r="C117" s="752"/>
      <c r="D117" s="752"/>
      <c r="E117" s="752"/>
      <c r="F117" s="752"/>
      <c r="G117" s="752"/>
      <c r="H117" s="752"/>
      <c r="I117" s="829"/>
      <c r="J117" s="752"/>
      <c r="K117" s="752"/>
      <c r="L117" s="743"/>
      <c r="M117" s="743"/>
      <c r="N117" s="743"/>
      <c r="O117" s="743"/>
      <c r="P117" s="743"/>
      <c r="Q117" s="743"/>
      <c r="R117" s="743"/>
      <c r="S117" s="743"/>
      <c r="T117" s="743"/>
      <c r="U117" s="743"/>
      <c r="V117" s="743"/>
      <c r="W117" s="743"/>
      <c r="X117" s="743"/>
      <c r="Y117" s="743"/>
      <c r="Z117" s="743"/>
      <c r="AA117" s="743"/>
      <c r="AB117" s="743"/>
      <c r="AC117" s="743"/>
      <c r="AD117" s="743"/>
      <c r="AE117" s="743"/>
      <c r="AF117" s="743"/>
      <c r="AG117" s="743"/>
      <c r="AH117" s="743"/>
      <c r="AI117" s="743"/>
      <c r="AJ117" s="743"/>
      <c r="AK117" s="743"/>
      <c r="AL117" s="743"/>
      <c r="AM117" s="743"/>
    </row>
    <row r="118" spans="1:39" ht="17.25">
      <c r="A118" s="752"/>
      <c r="B118" s="752"/>
      <c r="C118" s="752"/>
      <c r="D118" s="752"/>
      <c r="E118" s="752"/>
      <c r="F118" s="752"/>
      <c r="G118" s="752"/>
      <c r="H118" s="752"/>
      <c r="I118" s="829"/>
      <c r="J118" s="752"/>
      <c r="K118" s="752"/>
      <c r="L118" s="743"/>
      <c r="M118" s="743"/>
      <c r="N118" s="743"/>
      <c r="O118" s="743"/>
      <c r="P118" s="743"/>
      <c r="Q118" s="743"/>
      <c r="R118" s="743"/>
      <c r="S118" s="743"/>
      <c r="T118" s="743"/>
      <c r="U118" s="743"/>
      <c r="V118" s="743"/>
      <c r="W118" s="743"/>
      <c r="X118" s="743"/>
      <c r="Y118" s="743"/>
      <c r="Z118" s="743"/>
      <c r="AA118" s="743"/>
      <c r="AB118" s="743"/>
      <c r="AC118" s="743"/>
      <c r="AD118" s="743"/>
      <c r="AE118" s="743"/>
      <c r="AF118" s="743"/>
      <c r="AG118" s="743"/>
      <c r="AH118" s="743"/>
      <c r="AI118" s="743"/>
      <c r="AJ118" s="743"/>
      <c r="AK118" s="743"/>
      <c r="AL118" s="743"/>
      <c r="AM118" s="743"/>
    </row>
    <row r="119" spans="1:39" ht="17.25">
      <c r="A119" s="752"/>
      <c r="B119" s="752"/>
      <c r="C119" s="752"/>
      <c r="D119" s="752"/>
      <c r="E119" s="752"/>
      <c r="F119" s="752"/>
      <c r="G119" s="752"/>
      <c r="H119" s="752"/>
      <c r="I119" s="829"/>
      <c r="J119" s="752"/>
      <c r="K119" s="752"/>
      <c r="L119" s="743"/>
      <c r="M119" s="743"/>
      <c r="N119" s="743"/>
      <c r="O119" s="743"/>
      <c r="P119" s="743"/>
      <c r="Q119" s="743"/>
      <c r="R119" s="743"/>
      <c r="S119" s="743"/>
      <c r="T119" s="743"/>
      <c r="U119" s="743"/>
      <c r="V119" s="743"/>
      <c r="W119" s="743"/>
      <c r="X119" s="743"/>
      <c r="Y119" s="743"/>
      <c r="Z119" s="743"/>
      <c r="AA119" s="743"/>
      <c r="AB119" s="743"/>
      <c r="AC119" s="743"/>
      <c r="AD119" s="743"/>
      <c r="AE119" s="743"/>
      <c r="AF119" s="743"/>
      <c r="AG119" s="743"/>
      <c r="AH119" s="743"/>
      <c r="AI119" s="743"/>
      <c r="AJ119" s="743"/>
      <c r="AK119" s="743"/>
      <c r="AL119" s="743"/>
      <c r="AM119" s="743"/>
    </row>
    <row r="120" spans="1:39" ht="17.25">
      <c r="A120" s="752"/>
      <c r="B120" s="752"/>
      <c r="C120" s="752"/>
      <c r="D120" s="752"/>
      <c r="E120" s="752"/>
      <c r="F120" s="752"/>
      <c r="G120" s="752"/>
      <c r="H120" s="752"/>
      <c r="I120" s="829"/>
      <c r="J120" s="752"/>
      <c r="K120" s="752"/>
      <c r="L120" s="743"/>
      <c r="M120" s="743"/>
      <c r="N120" s="743"/>
      <c r="O120" s="743"/>
      <c r="P120" s="743"/>
      <c r="Q120" s="743"/>
      <c r="R120" s="743"/>
      <c r="S120" s="743"/>
      <c r="T120" s="743"/>
      <c r="U120" s="743"/>
      <c r="V120" s="743"/>
      <c r="W120" s="743"/>
      <c r="X120" s="743"/>
      <c r="Y120" s="743"/>
      <c r="Z120" s="743"/>
      <c r="AA120" s="743"/>
      <c r="AB120" s="743"/>
      <c r="AC120" s="743"/>
      <c r="AD120" s="743"/>
      <c r="AE120" s="743"/>
      <c r="AF120" s="743"/>
      <c r="AG120" s="743"/>
      <c r="AH120" s="743"/>
      <c r="AI120" s="743"/>
      <c r="AJ120" s="743"/>
      <c r="AK120" s="743"/>
      <c r="AL120" s="743"/>
      <c r="AM120" s="743"/>
    </row>
    <row r="121" spans="1:39" ht="17.25">
      <c r="A121" s="752"/>
      <c r="B121" s="752"/>
      <c r="C121" s="752"/>
      <c r="D121" s="752"/>
      <c r="E121" s="752"/>
      <c r="F121" s="752"/>
      <c r="G121" s="752"/>
      <c r="H121" s="752"/>
      <c r="I121" s="829"/>
      <c r="J121" s="752"/>
      <c r="K121" s="752"/>
      <c r="L121" s="743"/>
      <c r="M121" s="743"/>
      <c r="N121" s="743"/>
      <c r="O121" s="743"/>
      <c r="P121" s="743"/>
      <c r="Q121" s="743"/>
      <c r="R121" s="743"/>
      <c r="S121" s="743"/>
      <c r="T121" s="743"/>
      <c r="U121" s="743"/>
      <c r="V121" s="743"/>
      <c r="W121" s="743"/>
      <c r="X121" s="743"/>
      <c r="Y121" s="743"/>
      <c r="Z121" s="743"/>
      <c r="AA121" s="743"/>
      <c r="AB121" s="743"/>
      <c r="AC121" s="743"/>
      <c r="AD121" s="743"/>
      <c r="AE121" s="743"/>
      <c r="AF121" s="743"/>
      <c r="AG121" s="743"/>
      <c r="AH121" s="743"/>
      <c r="AI121" s="743"/>
      <c r="AJ121" s="743"/>
      <c r="AK121" s="743"/>
      <c r="AL121" s="743"/>
      <c r="AM121" s="743"/>
    </row>
    <row r="122" spans="1:39" ht="17.25">
      <c r="A122" s="752"/>
      <c r="B122" s="752"/>
      <c r="C122" s="752"/>
      <c r="D122" s="752"/>
      <c r="E122" s="752"/>
      <c r="F122" s="752"/>
      <c r="G122" s="752"/>
      <c r="H122" s="752"/>
      <c r="I122" s="829"/>
      <c r="J122" s="752"/>
      <c r="K122" s="752"/>
      <c r="L122" s="743"/>
      <c r="M122" s="743"/>
      <c r="N122" s="743"/>
      <c r="O122" s="743"/>
      <c r="P122" s="743"/>
      <c r="Q122" s="743"/>
      <c r="R122" s="743"/>
      <c r="S122" s="743"/>
      <c r="T122" s="743"/>
      <c r="U122" s="743"/>
      <c r="V122" s="743"/>
      <c r="W122" s="743"/>
      <c r="X122" s="743"/>
      <c r="Y122" s="743"/>
      <c r="Z122" s="743"/>
      <c r="AA122" s="743"/>
      <c r="AB122" s="743"/>
      <c r="AC122" s="743"/>
      <c r="AD122" s="743"/>
      <c r="AE122" s="743"/>
      <c r="AF122" s="743"/>
      <c r="AG122" s="743"/>
      <c r="AH122" s="743"/>
      <c r="AI122" s="743"/>
      <c r="AJ122" s="743"/>
      <c r="AK122" s="743"/>
      <c r="AL122" s="743"/>
      <c r="AM122" s="743"/>
    </row>
    <row r="123" spans="1:39" ht="17.25">
      <c r="A123" s="752"/>
      <c r="B123" s="752"/>
      <c r="C123" s="752"/>
      <c r="D123" s="752"/>
      <c r="E123" s="752"/>
      <c r="F123" s="752"/>
      <c r="G123" s="752"/>
      <c r="H123" s="752"/>
      <c r="I123" s="829"/>
      <c r="J123" s="752"/>
      <c r="K123" s="752"/>
      <c r="L123" s="743"/>
      <c r="M123" s="743"/>
      <c r="N123" s="743"/>
      <c r="O123" s="743"/>
      <c r="P123" s="743"/>
      <c r="Q123" s="743"/>
      <c r="R123" s="743"/>
      <c r="S123" s="743"/>
      <c r="T123" s="743"/>
      <c r="U123" s="743"/>
      <c r="V123" s="743"/>
      <c r="W123" s="743"/>
      <c r="X123" s="743"/>
      <c r="Y123" s="743"/>
      <c r="Z123" s="743"/>
      <c r="AA123" s="743"/>
      <c r="AB123" s="743"/>
      <c r="AC123" s="743"/>
      <c r="AD123" s="743"/>
      <c r="AE123" s="743"/>
      <c r="AF123" s="743"/>
      <c r="AG123" s="743"/>
      <c r="AH123" s="743"/>
      <c r="AI123" s="743"/>
      <c r="AJ123" s="743"/>
      <c r="AK123" s="743"/>
      <c r="AL123" s="743"/>
      <c r="AM123" s="743"/>
    </row>
    <row r="124" spans="1:39" ht="17.25">
      <c r="A124" s="752"/>
      <c r="B124" s="752"/>
      <c r="C124" s="752"/>
      <c r="D124" s="752"/>
      <c r="E124" s="752"/>
      <c r="F124" s="752"/>
      <c r="G124" s="752"/>
      <c r="H124" s="752"/>
      <c r="I124" s="829"/>
      <c r="J124" s="752"/>
      <c r="K124" s="752"/>
      <c r="L124" s="743"/>
      <c r="M124" s="743"/>
      <c r="N124" s="743"/>
      <c r="O124" s="743"/>
      <c r="P124" s="743"/>
      <c r="Q124" s="743"/>
      <c r="R124" s="743"/>
      <c r="S124" s="743"/>
      <c r="T124" s="743"/>
      <c r="U124" s="743"/>
      <c r="V124" s="743"/>
      <c r="W124" s="743"/>
      <c r="X124" s="743"/>
      <c r="Y124" s="743"/>
      <c r="Z124" s="743"/>
      <c r="AA124" s="743"/>
      <c r="AB124" s="743"/>
      <c r="AC124" s="743"/>
      <c r="AD124" s="743"/>
      <c r="AE124" s="743"/>
      <c r="AF124" s="743"/>
      <c r="AG124" s="743"/>
      <c r="AH124" s="743"/>
      <c r="AI124" s="743"/>
      <c r="AJ124" s="743"/>
      <c r="AK124" s="743"/>
      <c r="AL124" s="743"/>
      <c r="AM124" s="743"/>
    </row>
    <row r="125" spans="1:39" ht="17.25">
      <c r="A125" s="752"/>
      <c r="B125" s="752"/>
      <c r="C125" s="752"/>
      <c r="D125" s="752"/>
      <c r="E125" s="752"/>
      <c r="F125" s="752"/>
      <c r="G125" s="752"/>
      <c r="H125" s="752"/>
      <c r="I125" s="829"/>
      <c r="J125" s="752"/>
      <c r="K125" s="752"/>
      <c r="L125" s="743"/>
      <c r="M125" s="743"/>
      <c r="N125" s="743"/>
      <c r="O125" s="743"/>
      <c r="P125" s="743"/>
      <c r="Q125" s="743"/>
      <c r="R125" s="743"/>
      <c r="S125" s="743"/>
      <c r="T125" s="743"/>
      <c r="U125" s="743"/>
      <c r="V125" s="743"/>
      <c r="W125" s="743"/>
      <c r="X125" s="743"/>
      <c r="Y125" s="743"/>
      <c r="Z125" s="743"/>
      <c r="AA125" s="743"/>
      <c r="AB125" s="743"/>
      <c r="AC125" s="743"/>
      <c r="AD125" s="743"/>
      <c r="AE125" s="743"/>
      <c r="AF125" s="743"/>
      <c r="AG125" s="743"/>
      <c r="AH125" s="743"/>
      <c r="AI125" s="743"/>
      <c r="AJ125" s="743"/>
      <c r="AK125" s="743"/>
      <c r="AL125" s="743"/>
      <c r="AM125" s="743"/>
    </row>
    <row r="126" spans="1:39" ht="17.25">
      <c r="A126" s="752"/>
      <c r="B126" s="752"/>
      <c r="C126" s="752"/>
      <c r="D126" s="752"/>
      <c r="E126" s="752"/>
      <c r="F126" s="752"/>
      <c r="G126" s="752"/>
      <c r="H126" s="752"/>
      <c r="I126" s="829"/>
      <c r="J126" s="752"/>
      <c r="K126" s="752"/>
      <c r="L126" s="743"/>
      <c r="M126" s="743"/>
      <c r="N126" s="743"/>
      <c r="O126" s="743"/>
      <c r="P126" s="743"/>
      <c r="Q126" s="743"/>
      <c r="R126" s="743"/>
      <c r="S126" s="743"/>
      <c r="T126" s="743"/>
      <c r="U126" s="743"/>
      <c r="V126" s="743"/>
      <c r="W126" s="743"/>
      <c r="X126" s="743"/>
      <c r="Y126" s="743"/>
      <c r="Z126" s="743"/>
      <c r="AA126" s="743"/>
      <c r="AB126" s="743"/>
      <c r="AC126" s="743"/>
      <c r="AD126" s="743"/>
      <c r="AE126" s="743"/>
      <c r="AF126" s="743"/>
      <c r="AG126" s="743"/>
      <c r="AH126" s="743"/>
      <c r="AI126" s="743"/>
      <c r="AJ126" s="743"/>
      <c r="AK126" s="743"/>
      <c r="AL126" s="743"/>
      <c r="AM126" s="743"/>
    </row>
    <row r="127" spans="1:39" ht="17.25">
      <c r="A127" s="752"/>
      <c r="B127" s="752"/>
      <c r="C127" s="752"/>
      <c r="D127" s="752"/>
      <c r="E127" s="752"/>
      <c r="F127" s="752"/>
      <c r="G127" s="752"/>
      <c r="H127" s="752"/>
      <c r="I127" s="829"/>
      <c r="J127" s="752"/>
      <c r="K127" s="752"/>
      <c r="L127" s="743"/>
      <c r="M127" s="743"/>
      <c r="N127" s="743"/>
      <c r="O127" s="743"/>
      <c r="P127" s="743"/>
      <c r="Q127" s="743"/>
      <c r="R127" s="743"/>
      <c r="S127" s="743"/>
      <c r="T127" s="743"/>
      <c r="U127" s="743"/>
      <c r="V127" s="743"/>
      <c r="W127" s="743"/>
      <c r="X127" s="743"/>
      <c r="Y127" s="743"/>
      <c r="Z127" s="743"/>
      <c r="AA127" s="743"/>
      <c r="AB127" s="743"/>
      <c r="AC127" s="743"/>
      <c r="AD127" s="743"/>
      <c r="AE127" s="743"/>
      <c r="AF127" s="743"/>
      <c r="AG127" s="743"/>
      <c r="AH127" s="743"/>
      <c r="AI127" s="743"/>
      <c r="AJ127" s="743"/>
      <c r="AK127" s="743"/>
      <c r="AL127" s="743"/>
      <c r="AM127" s="743"/>
    </row>
    <row r="128" spans="1:39" ht="17.25">
      <c r="A128" s="752"/>
      <c r="B128" s="752"/>
      <c r="C128" s="752"/>
      <c r="D128" s="752"/>
      <c r="E128" s="752"/>
      <c r="F128" s="752"/>
      <c r="G128" s="752"/>
      <c r="H128" s="752"/>
      <c r="I128" s="829"/>
      <c r="J128" s="752"/>
      <c r="K128" s="752"/>
      <c r="L128" s="743"/>
      <c r="M128" s="743"/>
      <c r="N128" s="743"/>
      <c r="O128" s="743"/>
      <c r="P128" s="743"/>
      <c r="Q128" s="743"/>
      <c r="R128" s="743"/>
      <c r="S128" s="743"/>
      <c r="T128" s="743"/>
      <c r="U128" s="743"/>
      <c r="V128" s="743"/>
      <c r="W128" s="743"/>
      <c r="X128" s="743"/>
      <c r="Y128" s="743"/>
      <c r="Z128" s="743"/>
      <c r="AA128" s="743"/>
      <c r="AB128" s="743"/>
      <c r="AC128" s="743"/>
      <c r="AD128" s="743"/>
      <c r="AE128" s="743"/>
      <c r="AF128" s="743"/>
      <c r="AG128" s="743"/>
      <c r="AH128" s="743"/>
      <c r="AI128" s="743"/>
      <c r="AJ128" s="743"/>
      <c r="AK128" s="743"/>
      <c r="AL128" s="743"/>
      <c r="AM128" s="743"/>
    </row>
    <row r="129" spans="1:39" ht="17.25">
      <c r="A129" s="752"/>
      <c r="B129" s="752"/>
      <c r="C129" s="752"/>
      <c r="D129" s="752"/>
      <c r="E129" s="752"/>
      <c r="F129" s="752"/>
      <c r="G129" s="752"/>
      <c r="H129" s="752"/>
      <c r="I129" s="829"/>
      <c r="J129" s="752"/>
      <c r="K129" s="752"/>
      <c r="L129" s="743"/>
      <c r="M129" s="743"/>
      <c r="N129" s="743"/>
      <c r="O129" s="743"/>
      <c r="P129" s="743"/>
      <c r="Q129" s="743"/>
      <c r="R129" s="743"/>
      <c r="S129" s="743"/>
      <c r="T129" s="743"/>
      <c r="U129" s="743"/>
      <c r="V129" s="743"/>
      <c r="W129" s="743"/>
      <c r="X129" s="743"/>
      <c r="Y129" s="743"/>
      <c r="Z129" s="743"/>
      <c r="AA129" s="743"/>
      <c r="AB129" s="743"/>
      <c r="AC129" s="743"/>
      <c r="AD129" s="743"/>
      <c r="AE129" s="743"/>
      <c r="AF129" s="743"/>
      <c r="AG129" s="743"/>
      <c r="AH129" s="743"/>
      <c r="AI129" s="743"/>
      <c r="AJ129" s="743"/>
      <c r="AK129" s="743"/>
      <c r="AL129" s="743"/>
      <c r="AM129" s="743"/>
    </row>
    <row r="130" spans="1:39" ht="17.25">
      <c r="A130" s="752"/>
      <c r="B130" s="752"/>
      <c r="C130" s="752"/>
      <c r="D130" s="752"/>
      <c r="E130" s="752"/>
      <c r="F130" s="752"/>
      <c r="G130" s="752"/>
      <c r="H130" s="752"/>
      <c r="I130" s="829"/>
      <c r="J130" s="752"/>
      <c r="K130" s="752"/>
      <c r="L130" s="743"/>
      <c r="M130" s="743"/>
      <c r="N130" s="743"/>
      <c r="O130" s="743"/>
      <c r="P130" s="743"/>
      <c r="Q130" s="743"/>
      <c r="R130" s="743"/>
      <c r="S130" s="743"/>
      <c r="T130" s="743"/>
      <c r="U130" s="743"/>
      <c r="V130" s="743"/>
      <c r="W130" s="743"/>
      <c r="X130" s="743"/>
      <c r="Y130" s="743"/>
      <c r="Z130" s="743"/>
      <c r="AA130" s="743"/>
      <c r="AB130" s="743"/>
      <c r="AC130" s="743"/>
      <c r="AD130" s="743"/>
      <c r="AE130" s="743"/>
      <c r="AF130" s="743"/>
      <c r="AG130" s="743"/>
      <c r="AH130" s="743"/>
      <c r="AI130" s="743"/>
      <c r="AJ130" s="743"/>
      <c r="AK130" s="743"/>
      <c r="AL130" s="743"/>
      <c r="AM130" s="743"/>
    </row>
    <row r="131" spans="1:39" ht="17.25">
      <c r="A131" s="752"/>
      <c r="B131" s="752"/>
      <c r="C131" s="752"/>
      <c r="D131" s="752"/>
      <c r="E131" s="752"/>
      <c r="F131" s="752"/>
      <c r="G131" s="752"/>
      <c r="H131" s="752"/>
      <c r="I131" s="829"/>
      <c r="J131" s="752"/>
      <c r="K131" s="752"/>
      <c r="L131" s="743"/>
      <c r="M131" s="743"/>
      <c r="N131" s="743"/>
      <c r="O131" s="743"/>
      <c r="P131" s="743"/>
      <c r="Q131" s="743"/>
      <c r="R131" s="743"/>
      <c r="S131" s="743"/>
      <c r="T131" s="743"/>
      <c r="U131" s="743"/>
      <c r="V131" s="743"/>
      <c r="W131" s="743"/>
      <c r="X131" s="743"/>
      <c r="Y131" s="743"/>
      <c r="Z131" s="743"/>
      <c r="AA131" s="743"/>
      <c r="AB131" s="743"/>
      <c r="AC131" s="743"/>
      <c r="AD131" s="743"/>
      <c r="AE131" s="743"/>
      <c r="AF131" s="743"/>
      <c r="AG131" s="743"/>
      <c r="AH131" s="743"/>
      <c r="AI131" s="743"/>
      <c r="AJ131" s="743"/>
      <c r="AK131" s="743"/>
      <c r="AL131" s="743"/>
      <c r="AM131" s="743"/>
    </row>
    <row r="132" spans="1:39" ht="17.25">
      <c r="A132" s="752"/>
      <c r="B132" s="752"/>
      <c r="C132" s="752"/>
      <c r="D132" s="752"/>
      <c r="E132" s="752"/>
      <c r="F132" s="752"/>
      <c r="G132" s="752"/>
      <c r="H132" s="752"/>
      <c r="I132" s="829"/>
      <c r="J132" s="752"/>
      <c r="K132" s="752"/>
      <c r="L132" s="743"/>
      <c r="M132" s="743"/>
      <c r="N132" s="743"/>
      <c r="O132" s="743"/>
      <c r="P132" s="743"/>
      <c r="Q132" s="743"/>
      <c r="R132" s="743"/>
      <c r="S132" s="743"/>
      <c r="T132" s="743"/>
      <c r="U132" s="743"/>
      <c r="V132" s="743"/>
      <c r="W132" s="743"/>
      <c r="X132" s="743"/>
      <c r="Y132" s="743"/>
      <c r="Z132" s="743"/>
      <c r="AA132" s="743"/>
      <c r="AB132" s="743"/>
      <c r="AC132" s="743"/>
      <c r="AD132" s="743"/>
      <c r="AE132" s="743"/>
      <c r="AF132" s="743"/>
      <c r="AG132" s="743"/>
      <c r="AH132" s="743"/>
      <c r="AI132" s="743"/>
      <c r="AJ132" s="743"/>
      <c r="AK132" s="743"/>
      <c r="AL132" s="743"/>
      <c r="AM132" s="743"/>
    </row>
    <row r="133" spans="1:39" ht="17.25">
      <c r="A133" s="752"/>
      <c r="B133" s="752"/>
      <c r="C133" s="752"/>
      <c r="D133" s="752"/>
      <c r="E133" s="752"/>
      <c r="F133" s="752"/>
      <c r="G133" s="752"/>
      <c r="H133" s="752"/>
      <c r="I133" s="829"/>
      <c r="J133" s="752"/>
      <c r="K133" s="752"/>
      <c r="L133" s="743"/>
      <c r="M133" s="743"/>
      <c r="N133" s="743"/>
      <c r="O133" s="743"/>
      <c r="P133" s="743"/>
      <c r="Q133" s="743"/>
      <c r="R133" s="743"/>
      <c r="S133" s="743"/>
      <c r="T133" s="743"/>
      <c r="U133" s="743"/>
      <c r="V133" s="743"/>
      <c r="W133" s="743"/>
      <c r="X133" s="743"/>
      <c r="Y133" s="743"/>
      <c r="Z133" s="743"/>
      <c r="AA133" s="743"/>
      <c r="AB133" s="743"/>
      <c r="AC133" s="743"/>
      <c r="AD133" s="743"/>
      <c r="AE133" s="743"/>
      <c r="AF133" s="743"/>
      <c r="AG133" s="743"/>
      <c r="AH133" s="743"/>
      <c r="AI133" s="743"/>
      <c r="AJ133" s="743"/>
      <c r="AK133" s="743"/>
      <c r="AL133" s="743"/>
      <c r="AM133" s="743"/>
    </row>
    <row r="134" spans="1:39" ht="17.25">
      <c r="A134" s="752"/>
      <c r="B134" s="752"/>
      <c r="C134" s="752"/>
      <c r="D134" s="752"/>
      <c r="E134" s="752"/>
      <c r="F134" s="752"/>
      <c r="G134" s="752"/>
      <c r="H134" s="752"/>
      <c r="I134" s="829"/>
      <c r="J134" s="752"/>
      <c r="K134" s="752"/>
      <c r="L134" s="743"/>
      <c r="M134" s="743"/>
      <c r="N134" s="743"/>
      <c r="O134" s="743"/>
      <c r="P134" s="743"/>
      <c r="Q134" s="743"/>
      <c r="R134" s="743"/>
      <c r="S134" s="743"/>
      <c r="T134" s="743"/>
      <c r="U134" s="743"/>
      <c r="V134" s="743"/>
      <c r="W134" s="743"/>
      <c r="X134" s="743"/>
      <c r="Y134" s="743"/>
      <c r="Z134" s="743"/>
      <c r="AA134" s="743"/>
      <c r="AB134" s="743"/>
      <c r="AC134" s="743"/>
      <c r="AD134" s="743"/>
      <c r="AE134" s="743"/>
      <c r="AF134" s="743"/>
      <c r="AG134" s="743"/>
      <c r="AH134" s="743"/>
      <c r="AI134" s="743"/>
      <c r="AJ134" s="743"/>
      <c r="AK134" s="743"/>
      <c r="AL134" s="743"/>
      <c r="AM134" s="743"/>
    </row>
    <row r="135" spans="1:39" ht="17.25">
      <c r="A135" s="752"/>
      <c r="B135" s="752"/>
      <c r="C135" s="752"/>
      <c r="D135" s="752"/>
      <c r="E135" s="752"/>
      <c r="F135" s="752"/>
      <c r="G135" s="752"/>
      <c r="H135" s="752"/>
      <c r="I135" s="829"/>
      <c r="J135" s="752"/>
      <c r="K135" s="752"/>
      <c r="L135" s="743"/>
      <c r="M135" s="743"/>
      <c r="N135" s="743"/>
      <c r="O135" s="743"/>
      <c r="P135" s="743"/>
      <c r="Q135" s="743"/>
      <c r="R135" s="743"/>
      <c r="S135" s="743"/>
      <c r="T135" s="743"/>
      <c r="U135" s="743"/>
      <c r="V135" s="743"/>
      <c r="W135" s="743"/>
      <c r="X135" s="743"/>
      <c r="Y135" s="743"/>
      <c r="Z135" s="743"/>
      <c r="AA135" s="743"/>
      <c r="AB135" s="743"/>
      <c r="AC135" s="743"/>
      <c r="AD135" s="743"/>
      <c r="AE135" s="743"/>
      <c r="AF135" s="743"/>
      <c r="AG135" s="743"/>
      <c r="AH135" s="743"/>
      <c r="AI135" s="743"/>
      <c r="AJ135" s="743"/>
      <c r="AK135" s="743"/>
      <c r="AL135" s="743"/>
      <c r="AM135" s="743"/>
    </row>
    <row r="136" spans="1:39" ht="17.25">
      <c r="A136" s="752"/>
      <c r="B136" s="752"/>
      <c r="C136" s="752"/>
      <c r="D136" s="752"/>
      <c r="E136" s="752"/>
      <c r="F136" s="752"/>
      <c r="G136" s="752"/>
      <c r="H136" s="752"/>
      <c r="I136" s="829"/>
      <c r="J136" s="752"/>
      <c r="K136" s="752"/>
      <c r="L136" s="743"/>
      <c r="M136" s="743"/>
      <c r="N136" s="743"/>
      <c r="O136" s="743"/>
      <c r="P136" s="743"/>
      <c r="Q136" s="743"/>
      <c r="R136" s="743"/>
      <c r="S136" s="743"/>
      <c r="T136" s="743"/>
      <c r="U136" s="743"/>
      <c r="V136" s="743"/>
      <c r="W136" s="743"/>
      <c r="X136" s="743"/>
      <c r="Y136" s="743"/>
      <c r="Z136" s="743"/>
      <c r="AA136" s="743"/>
      <c r="AB136" s="743"/>
      <c r="AC136" s="743"/>
      <c r="AD136" s="743"/>
      <c r="AE136" s="743"/>
      <c r="AF136" s="743"/>
      <c r="AG136" s="743"/>
      <c r="AH136" s="743"/>
      <c r="AI136" s="743"/>
      <c r="AJ136" s="743"/>
      <c r="AK136" s="743"/>
      <c r="AL136" s="743"/>
      <c r="AM136" s="743"/>
    </row>
    <row r="137" spans="1:39" ht="17.25">
      <c r="A137" s="752"/>
      <c r="B137" s="752"/>
      <c r="C137" s="752"/>
      <c r="D137" s="752"/>
      <c r="E137" s="752"/>
      <c r="F137" s="752"/>
      <c r="G137" s="752"/>
      <c r="H137" s="752"/>
      <c r="I137" s="829"/>
      <c r="J137" s="752"/>
      <c r="K137" s="752"/>
      <c r="L137" s="743"/>
      <c r="M137" s="743"/>
      <c r="N137" s="743"/>
      <c r="O137" s="743"/>
      <c r="P137" s="743"/>
      <c r="Q137" s="743"/>
      <c r="R137" s="743"/>
      <c r="S137" s="743"/>
      <c r="T137" s="743"/>
      <c r="U137" s="743"/>
      <c r="V137" s="743"/>
      <c r="W137" s="743"/>
      <c r="X137" s="743"/>
      <c r="Y137" s="743"/>
      <c r="Z137" s="743"/>
      <c r="AA137" s="743"/>
      <c r="AB137" s="743"/>
      <c r="AC137" s="743"/>
      <c r="AD137" s="743"/>
      <c r="AE137" s="743"/>
      <c r="AF137" s="743"/>
      <c r="AG137" s="743"/>
      <c r="AH137" s="743"/>
      <c r="AI137" s="743"/>
      <c r="AJ137" s="743"/>
      <c r="AK137" s="743"/>
      <c r="AL137" s="743"/>
      <c r="AM137" s="743"/>
    </row>
    <row r="138" spans="1:39" ht="17.25">
      <c r="A138" s="752"/>
      <c r="B138" s="752"/>
      <c r="C138" s="752"/>
      <c r="D138" s="752"/>
      <c r="E138" s="752"/>
      <c r="F138" s="752"/>
      <c r="G138" s="752"/>
      <c r="H138" s="752"/>
      <c r="I138" s="829"/>
      <c r="J138" s="752"/>
      <c r="K138" s="752"/>
      <c r="L138" s="743"/>
      <c r="M138" s="743"/>
      <c r="N138" s="743"/>
      <c r="O138" s="743"/>
      <c r="P138" s="743"/>
      <c r="Q138" s="743"/>
      <c r="R138" s="743"/>
      <c r="S138" s="743"/>
      <c r="T138" s="743"/>
      <c r="U138" s="743"/>
      <c r="V138" s="743"/>
      <c r="W138" s="743"/>
      <c r="X138" s="743"/>
      <c r="Y138" s="743"/>
      <c r="Z138" s="743"/>
      <c r="AA138" s="743"/>
      <c r="AB138" s="743"/>
      <c r="AC138" s="743"/>
      <c r="AD138" s="743"/>
      <c r="AE138" s="743"/>
      <c r="AF138" s="743"/>
      <c r="AG138" s="743"/>
      <c r="AH138" s="743"/>
      <c r="AI138" s="743"/>
      <c r="AJ138" s="743"/>
      <c r="AK138" s="743"/>
      <c r="AL138" s="743"/>
      <c r="AM138" s="743"/>
    </row>
    <row r="139" spans="1:39" ht="17.25">
      <c r="A139" s="752"/>
      <c r="B139" s="752"/>
      <c r="C139" s="752"/>
      <c r="D139" s="752"/>
      <c r="E139" s="752"/>
      <c r="F139" s="752"/>
      <c r="G139" s="752"/>
      <c r="H139" s="752"/>
      <c r="I139" s="829"/>
      <c r="J139" s="752"/>
      <c r="K139" s="752"/>
      <c r="L139" s="743"/>
      <c r="M139" s="743"/>
      <c r="N139" s="743"/>
      <c r="O139" s="743"/>
      <c r="P139" s="743"/>
      <c r="Q139" s="743"/>
      <c r="R139" s="743"/>
      <c r="S139" s="743"/>
      <c r="T139" s="743"/>
      <c r="U139" s="743"/>
      <c r="V139" s="743"/>
      <c r="W139" s="743"/>
      <c r="X139" s="743"/>
      <c r="Y139" s="743"/>
      <c r="Z139" s="743"/>
      <c r="AA139" s="743"/>
      <c r="AB139" s="743"/>
      <c r="AC139" s="743"/>
      <c r="AD139" s="743"/>
      <c r="AE139" s="743"/>
      <c r="AF139" s="743"/>
      <c r="AG139" s="743"/>
      <c r="AH139" s="743"/>
      <c r="AI139" s="743"/>
      <c r="AJ139" s="743"/>
      <c r="AK139" s="743"/>
      <c r="AL139" s="743"/>
      <c r="AM139" s="743"/>
    </row>
    <row r="140" spans="1:39" ht="17.25">
      <c r="A140" s="752"/>
      <c r="B140" s="752"/>
      <c r="C140" s="752"/>
      <c r="D140" s="752"/>
      <c r="E140" s="752"/>
      <c r="F140" s="752"/>
      <c r="G140" s="752"/>
      <c r="H140" s="752"/>
      <c r="I140" s="829"/>
      <c r="J140" s="752"/>
      <c r="K140" s="752"/>
      <c r="L140" s="743"/>
      <c r="M140" s="743"/>
      <c r="N140" s="743"/>
      <c r="O140" s="743"/>
      <c r="P140" s="743"/>
      <c r="Q140" s="743"/>
      <c r="R140" s="743"/>
      <c r="S140" s="743"/>
      <c r="T140" s="743"/>
      <c r="U140" s="743"/>
      <c r="V140" s="743"/>
      <c r="W140" s="743"/>
      <c r="X140" s="743"/>
      <c r="Y140" s="743"/>
      <c r="Z140" s="743"/>
      <c r="AA140" s="743"/>
      <c r="AB140" s="743"/>
      <c r="AC140" s="743"/>
      <c r="AD140" s="743"/>
      <c r="AE140" s="743"/>
      <c r="AF140" s="743"/>
      <c r="AG140" s="743"/>
      <c r="AH140" s="743"/>
      <c r="AI140" s="743"/>
      <c r="AJ140" s="743"/>
      <c r="AK140" s="743"/>
      <c r="AL140" s="743"/>
      <c r="AM140" s="743"/>
    </row>
    <row r="141" spans="1:39" ht="17.25">
      <c r="A141" s="752"/>
      <c r="B141" s="752"/>
      <c r="C141" s="752"/>
      <c r="D141" s="752"/>
      <c r="E141" s="752"/>
      <c r="F141" s="752"/>
      <c r="G141" s="752"/>
      <c r="H141" s="752"/>
      <c r="I141" s="829"/>
      <c r="J141" s="752"/>
      <c r="K141" s="752"/>
      <c r="L141" s="743"/>
      <c r="M141" s="743"/>
      <c r="N141" s="743"/>
      <c r="O141" s="743"/>
      <c r="P141" s="743"/>
      <c r="Q141" s="743"/>
      <c r="R141" s="743"/>
      <c r="S141" s="743"/>
      <c r="T141" s="743"/>
      <c r="U141" s="743"/>
      <c r="V141" s="743"/>
      <c r="W141" s="743"/>
      <c r="X141" s="743"/>
      <c r="Y141" s="743"/>
      <c r="Z141" s="743"/>
      <c r="AA141" s="743"/>
      <c r="AB141" s="743"/>
      <c r="AC141" s="743"/>
      <c r="AD141" s="743"/>
      <c r="AE141" s="743"/>
      <c r="AF141" s="743"/>
      <c r="AG141" s="743"/>
      <c r="AH141" s="743"/>
      <c r="AI141" s="743"/>
      <c r="AJ141" s="743"/>
      <c r="AK141" s="743"/>
      <c r="AL141" s="743"/>
      <c r="AM141" s="743"/>
    </row>
    <row r="142" spans="1:39" ht="17.25">
      <c r="A142" s="752"/>
      <c r="B142" s="752"/>
      <c r="C142" s="752"/>
      <c r="D142" s="752"/>
      <c r="E142" s="752"/>
      <c r="F142" s="752"/>
      <c r="G142" s="752"/>
      <c r="H142" s="752"/>
      <c r="I142" s="829"/>
      <c r="J142" s="752"/>
      <c r="K142" s="752"/>
      <c r="L142" s="743"/>
      <c r="M142" s="743"/>
      <c r="N142" s="743"/>
      <c r="O142" s="743"/>
      <c r="P142" s="743"/>
      <c r="Q142" s="743"/>
      <c r="R142" s="743"/>
      <c r="S142" s="743"/>
      <c r="T142" s="743"/>
      <c r="U142" s="743"/>
      <c r="V142" s="743"/>
      <c r="W142" s="743"/>
      <c r="X142" s="743"/>
      <c r="Y142" s="743"/>
      <c r="Z142" s="743"/>
      <c r="AA142" s="743"/>
      <c r="AB142" s="743"/>
      <c r="AC142" s="743"/>
      <c r="AD142" s="743"/>
      <c r="AE142" s="743"/>
      <c r="AF142" s="743"/>
      <c r="AG142" s="743"/>
      <c r="AH142" s="743"/>
      <c r="AI142" s="743"/>
      <c r="AJ142" s="743"/>
      <c r="AK142" s="743"/>
      <c r="AL142" s="743"/>
      <c r="AM142" s="743"/>
    </row>
    <row r="143" spans="1:39" ht="17.25">
      <c r="A143" s="752"/>
      <c r="B143" s="752"/>
      <c r="C143" s="752"/>
      <c r="D143" s="752"/>
      <c r="E143" s="752"/>
      <c r="F143" s="752"/>
      <c r="G143" s="752"/>
      <c r="H143" s="752"/>
      <c r="I143" s="829"/>
      <c r="J143" s="752"/>
      <c r="K143" s="752"/>
      <c r="L143" s="743"/>
      <c r="M143" s="743"/>
      <c r="N143" s="743"/>
      <c r="O143" s="743"/>
      <c r="P143" s="743"/>
      <c r="Q143" s="743"/>
      <c r="R143" s="743"/>
      <c r="S143" s="743"/>
      <c r="T143" s="743"/>
      <c r="U143" s="743"/>
      <c r="V143" s="743"/>
      <c r="W143" s="743"/>
      <c r="X143" s="743"/>
      <c r="Y143" s="743"/>
      <c r="Z143" s="743"/>
      <c r="AA143" s="743"/>
      <c r="AB143" s="743"/>
      <c r="AC143" s="743"/>
      <c r="AD143" s="743"/>
      <c r="AE143" s="743"/>
      <c r="AF143" s="743"/>
      <c r="AG143" s="743"/>
      <c r="AH143" s="743"/>
      <c r="AI143" s="743"/>
      <c r="AJ143" s="743"/>
      <c r="AK143" s="743"/>
      <c r="AL143" s="743"/>
      <c r="AM143" s="743"/>
    </row>
    <row r="144" spans="1:39" ht="17.25">
      <c r="A144" s="752"/>
      <c r="B144" s="752"/>
      <c r="C144" s="752"/>
      <c r="D144" s="752"/>
      <c r="E144" s="752"/>
      <c r="F144" s="752"/>
      <c r="G144" s="752"/>
      <c r="H144" s="752"/>
      <c r="I144" s="829"/>
      <c r="J144" s="752"/>
      <c r="K144" s="752"/>
      <c r="L144" s="743"/>
      <c r="M144" s="743"/>
      <c r="N144" s="743"/>
      <c r="O144" s="743"/>
      <c r="P144" s="743"/>
      <c r="Q144" s="743"/>
      <c r="R144" s="743"/>
      <c r="S144" s="743"/>
      <c r="T144" s="743"/>
      <c r="U144" s="743"/>
      <c r="V144" s="743"/>
      <c r="W144" s="743"/>
      <c r="X144" s="743"/>
      <c r="Y144" s="743"/>
      <c r="Z144" s="743"/>
      <c r="AA144" s="743"/>
      <c r="AB144" s="743"/>
      <c r="AC144" s="743"/>
      <c r="AD144" s="743"/>
      <c r="AE144" s="743"/>
      <c r="AF144" s="743"/>
      <c r="AG144" s="743"/>
      <c r="AH144" s="743"/>
      <c r="AI144" s="743"/>
      <c r="AJ144" s="743"/>
      <c r="AK144" s="743"/>
      <c r="AL144" s="743"/>
      <c r="AM144" s="743"/>
    </row>
    <row r="145" spans="1:39" ht="17.25">
      <c r="A145" s="752"/>
      <c r="B145" s="752"/>
      <c r="C145" s="752"/>
      <c r="D145" s="752"/>
      <c r="E145" s="752"/>
      <c r="F145" s="752"/>
      <c r="G145" s="752"/>
      <c r="H145" s="752"/>
      <c r="I145" s="829"/>
      <c r="J145" s="752"/>
      <c r="K145" s="752"/>
      <c r="L145" s="743"/>
      <c r="M145" s="743"/>
      <c r="N145" s="743"/>
      <c r="O145" s="743"/>
      <c r="P145" s="743"/>
      <c r="Q145" s="743"/>
      <c r="R145" s="743"/>
      <c r="S145" s="743"/>
      <c r="T145" s="743"/>
      <c r="U145" s="743"/>
      <c r="V145" s="743"/>
      <c r="W145" s="743"/>
      <c r="X145" s="743"/>
      <c r="Y145" s="743"/>
      <c r="Z145" s="743"/>
      <c r="AA145" s="743"/>
      <c r="AB145" s="743"/>
      <c r="AC145" s="743"/>
      <c r="AD145" s="743"/>
      <c r="AE145" s="743"/>
      <c r="AF145" s="743"/>
      <c r="AG145" s="743"/>
      <c r="AH145" s="743"/>
      <c r="AI145" s="743"/>
      <c r="AJ145" s="743"/>
      <c r="AK145" s="743"/>
      <c r="AL145" s="743"/>
      <c r="AM145" s="743"/>
    </row>
    <row r="146" spans="1:39" ht="17.25">
      <c r="A146" s="752"/>
      <c r="B146" s="752"/>
      <c r="C146" s="752"/>
      <c r="D146" s="752"/>
      <c r="E146" s="752"/>
      <c r="F146" s="752"/>
      <c r="G146" s="752"/>
      <c r="H146" s="752"/>
      <c r="I146" s="829"/>
      <c r="J146" s="752"/>
      <c r="K146" s="752"/>
      <c r="L146" s="743"/>
      <c r="M146" s="743"/>
      <c r="N146" s="743"/>
      <c r="O146" s="743"/>
      <c r="P146" s="743"/>
      <c r="Q146" s="743"/>
      <c r="R146" s="743"/>
      <c r="S146" s="743"/>
      <c r="T146" s="743"/>
      <c r="U146" s="743"/>
      <c r="V146" s="743"/>
      <c r="W146" s="743"/>
      <c r="X146" s="743"/>
      <c r="Y146" s="743"/>
      <c r="Z146" s="743"/>
      <c r="AA146" s="743"/>
      <c r="AB146" s="743"/>
      <c r="AC146" s="743"/>
      <c r="AD146" s="743"/>
      <c r="AE146" s="743"/>
      <c r="AF146" s="743"/>
      <c r="AG146" s="743"/>
      <c r="AH146" s="743"/>
      <c r="AI146" s="743"/>
      <c r="AJ146" s="743"/>
      <c r="AK146" s="743"/>
      <c r="AL146" s="743"/>
      <c r="AM146" s="743"/>
    </row>
    <row r="147" spans="1:39" ht="17.25">
      <c r="A147" s="752"/>
      <c r="B147" s="752"/>
      <c r="C147" s="752"/>
      <c r="D147" s="752"/>
      <c r="E147" s="752"/>
      <c r="F147" s="752"/>
      <c r="G147" s="752"/>
      <c r="H147" s="752"/>
      <c r="I147" s="829"/>
      <c r="J147" s="752"/>
      <c r="K147" s="752"/>
      <c r="L147" s="743"/>
      <c r="M147" s="743"/>
      <c r="N147" s="743"/>
      <c r="O147" s="743"/>
      <c r="P147" s="743"/>
      <c r="Q147" s="743"/>
      <c r="R147" s="743"/>
      <c r="S147" s="743"/>
      <c r="T147" s="743"/>
      <c r="U147" s="743"/>
      <c r="V147" s="743"/>
      <c r="W147" s="743"/>
      <c r="X147" s="743"/>
      <c r="Y147" s="743"/>
      <c r="Z147" s="743"/>
      <c r="AA147" s="743"/>
      <c r="AB147" s="743"/>
      <c r="AC147" s="743"/>
      <c r="AD147" s="743"/>
      <c r="AE147" s="743"/>
      <c r="AF147" s="743"/>
      <c r="AG147" s="743"/>
      <c r="AH147" s="743"/>
      <c r="AI147" s="743"/>
      <c r="AJ147" s="743"/>
      <c r="AK147" s="743"/>
      <c r="AL147" s="743"/>
      <c r="AM147" s="743"/>
    </row>
    <row r="148" spans="1:39" ht="17.25">
      <c r="A148" s="752"/>
      <c r="B148" s="752"/>
      <c r="C148" s="752"/>
      <c r="D148" s="752"/>
      <c r="E148" s="752"/>
      <c r="F148" s="752"/>
      <c r="G148" s="752"/>
      <c r="H148" s="752"/>
      <c r="I148" s="829"/>
      <c r="J148" s="752"/>
      <c r="K148" s="752"/>
      <c r="L148" s="743"/>
      <c r="M148" s="743"/>
      <c r="N148" s="743"/>
      <c r="O148" s="743"/>
      <c r="P148" s="743"/>
      <c r="Q148" s="743"/>
      <c r="R148" s="743"/>
      <c r="S148" s="743"/>
      <c r="T148" s="743"/>
      <c r="U148" s="743"/>
      <c r="V148" s="743"/>
      <c r="W148" s="743"/>
      <c r="X148" s="743"/>
      <c r="Y148" s="743"/>
      <c r="Z148" s="743"/>
      <c r="AA148" s="743"/>
      <c r="AB148" s="743"/>
      <c r="AC148" s="743"/>
      <c r="AD148" s="743"/>
      <c r="AE148" s="743"/>
      <c r="AF148" s="743"/>
      <c r="AG148" s="743"/>
      <c r="AH148" s="743"/>
      <c r="AI148" s="743"/>
      <c r="AJ148" s="743"/>
      <c r="AK148" s="743"/>
      <c r="AL148" s="743"/>
      <c r="AM148" s="743"/>
    </row>
    <row r="149" spans="1:39" ht="17.25">
      <c r="A149" s="752"/>
      <c r="B149" s="752"/>
      <c r="C149" s="752"/>
      <c r="D149" s="752"/>
      <c r="E149" s="752"/>
      <c r="F149" s="752"/>
      <c r="G149" s="752"/>
      <c r="H149" s="752"/>
      <c r="I149" s="829"/>
      <c r="J149" s="752"/>
      <c r="K149" s="752"/>
      <c r="L149" s="743"/>
      <c r="M149" s="743"/>
      <c r="N149" s="743"/>
      <c r="O149" s="743"/>
      <c r="P149" s="743"/>
      <c r="Q149" s="743"/>
      <c r="R149" s="743"/>
      <c r="S149" s="743"/>
      <c r="T149" s="743"/>
      <c r="U149" s="743"/>
      <c r="V149" s="743"/>
      <c r="W149" s="743"/>
      <c r="X149" s="743"/>
      <c r="Y149" s="743"/>
      <c r="Z149" s="743"/>
      <c r="AA149" s="743"/>
      <c r="AB149" s="743"/>
      <c r="AC149" s="743"/>
      <c r="AD149" s="743"/>
      <c r="AE149" s="743"/>
      <c r="AF149" s="743"/>
      <c r="AG149" s="743"/>
      <c r="AH149" s="743"/>
      <c r="AI149" s="743"/>
      <c r="AJ149" s="743"/>
      <c r="AK149" s="743"/>
      <c r="AL149" s="743"/>
      <c r="AM149" s="743"/>
    </row>
    <row r="150" spans="1:39" ht="17.25">
      <c r="A150" s="752"/>
      <c r="B150" s="752"/>
      <c r="C150" s="752"/>
      <c r="D150" s="752"/>
      <c r="E150" s="752"/>
      <c r="F150" s="752"/>
      <c r="G150" s="752"/>
      <c r="H150" s="752"/>
      <c r="I150" s="829"/>
      <c r="J150" s="752"/>
      <c r="K150" s="752"/>
      <c r="L150" s="743"/>
      <c r="M150" s="743"/>
      <c r="N150" s="743"/>
      <c r="O150" s="743"/>
      <c r="P150" s="743"/>
      <c r="Q150" s="743"/>
      <c r="R150" s="743"/>
      <c r="S150" s="743"/>
      <c r="T150" s="743"/>
      <c r="U150" s="743"/>
      <c r="V150" s="743"/>
      <c r="W150" s="743"/>
      <c r="X150" s="743"/>
      <c r="Y150" s="743"/>
      <c r="Z150" s="743"/>
      <c r="AA150" s="743"/>
      <c r="AB150" s="743"/>
      <c r="AC150" s="743"/>
      <c r="AD150" s="743"/>
      <c r="AE150" s="743"/>
      <c r="AF150" s="743"/>
      <c r="AG150" s="743"/>
      <c r="AH150" s="743"/>
      <c r="AI150" s="743"/>
      <c r="AJ150" s="743"/>
      <c r="AK150" s="743"/>
      <c r="AL150" s="743"/>
      <c r="AM150" s="743"/>
    </row>
    <row r="151" spans="1:39" ht="17.25">
      <c r="A151" s="752"/>
      <c r="B151" s="752"/>
      <c r="C151" s="752"/>
      <c r="D151" s="752"/>
      <c r="E151" s="752"/>
      <c r="F151" s="752"/>
      <c r="G151" s="752"/>
      <c r="H151" s="752"/>
      <c r="I151" s="829"/>
      <c r="J151" s="752"/>
      <c r="K151" s="752"/>
      <c r="L151" s="743"/>
      <c r="M151" s="743"/>
      <c r="N151" s="743"/>
      <c r="O151" s="743"/>
      <c r="P151" s="743"/>
      <c r="Q151" s="743"/>
      <c r="R151" s="743"/>
      <c r="S151" s="743"/>
      <c r="T151" s="743"/>
      <c r="U151" s="743"/>
      <c r="V151" s="743"/>
      <c r="W151" s="743"/>
      <c r="X151" s="743"/>
      <c r="Y151" s="743"/>
      <c r="Z151" s="743"/>
      <c r="AA151" s="743"/>
      <c r="AB151" s="743"/>
      <c r="AC151" s="743"/>
      <c r="AD151" s="743"/>
      <c r="AE151" s="743"/>
      <c r="AF151" s="743"/>
      <c r="AG151" s="743"/>
      <c r="AH151" s="743"/>
      <c r="AI151" s="743"/>
      <c r="AJ151" s="743"/>
      <c r="AK151" s="743"/>
      <c r="AL151" s="743"/>
      <c r="AM151" s="743"/>
    </row>
    <row r="152" spans="1:39" ht="17.25">
      <c r="A152" s="752"/>
      <c r="B152" s="752"/>
      <c r="C152" s="752"/>
      <c r="D152" s="752"/>
      <c r="E152" s="752"/>
      <c r="F152" s="752"/>
      <c r="G152" s="752"/>
      <c r="H152" s="752"/>
      <c r="I152" s="829"/>
      <c r="J152" s="752"/>
      <c r="K152" s="752"/>
      <c r="L152" s="743"/>
      <c r="M152" s="743"/>
      <c r="N152" s="743"/>
      <c r="O152" s="743"/>
      <c r="P152" s="743"/>
      <c r="Q152" s="743"/>
      <c r="R152" s="743"/>
      <c r="S152" s="743"/>
      <c r="T152" s="743"/>
      <c r="U152" s="743"/>
      <c r="V152" s="743"/>
      <c r="W152" s="743"/>
      <c r="X152" s="743"/>
      <c r="Y152" s="743"/>
      <c r="Z152" s="743"/>
      <c r="AA152" s="743"/>
      <c r="AB152" s="743"/>
      <c r="AC152" s="743"/>
      <c r="AD152" s="743"/>
      <c r="AE152" s="743"/>
      <c r="AF152" s="743"/>
      <c r="AG152" s="743"/>
      <c r="AH152" s="743"/>
      <c r="AI152" s="743"/>
      <c r="AJ152" s="743"/>
      <c r="AK152" s="743"/>
      <c r="AL152" s="743"/>
      <c r="AM152" s="743"/>
    </row>
    <row r="153" spans="1:39" ht="17.25">
      <c r="A153" s="752"/>
      <c r="B153" s="752"/>
      <c r="C153" s="752"/>
      <c r="D153" s="752"/>
      <c r="E153" s="752"/>
      <c r="F153" s="752"/>
      <c r="G153" s="752"/>
      <c r="H153" s="752"/>
      <c r="I153" s="829"/>
      <c r="J153" s="752"/>
      <c r="K153" s="752"/>
      <c r="L153" s="743"/>
      <c r="M153" s="743"/>
      <c r="N153" s="743"/>
      <c r="O153" s="743"/>
      <c r="P153" s="743"/>
      <c r="Q153" s="743"/>
      <c r="R153" s="743"/>
      <c r="S153" s="743"/>
      <c r="T153" s="743"/>
      <c r="U153" s="743"/>
      <c r="V153" s="743"/>
      <c r="W153" s="743"/>
      <c r="X153" s="743"/>
      <c r="Y153" s="743"/>
      <c r="Z153" s="743"/>
      <c r="AA153" s="743"/>
      <c r="AB153" s="743"/>
      <c r="AC153" s="743"/>
      <c r="AD153" s="743"/>
      <c r="AE153" s="743"/>
      <c r="AF153" s="743"/>
      <c r="AG153" s="743"/>
      <c r="AH153" s="743"/>
      <c r="AI153" s="743"/>
      <c r="AJ153" s="743"/>
      <c r="AK153" s="743"/>
      <c r="AL153" s="743"/>
      <c r="AM153" s="743"/>
    </row>
    <row r="154" spans="1:39" ht="17.25">
      <c r="A154" s="752"/>
      <c r="B154" s="752"/>
      <c r="C154" s="752"/>
      <c r="D154" s="752"/>
      <c r="E154" s="752"/>
      <c r="F154" s="752"/>
      <c r="G154" s="752"/>
      <c r="H154" s="752"/>
      <c r="I154" s="829"/>
      <c r="J154" s="752"/>
      <c r="K154" s="752"/>
      <c r="L154" s="743"/>
      <c r="M154" s="743"/>
      <c r="N154" s="743"/>
      <c r="O154" s="743"/>
      <c r="P154" s="743"/>
      <c r="Q154" s="743"/>
      <c r="R154" s="743"/>
      <c r="S154" s="743"/>
      <c r="T154" s="743"/>
      <c r="U154" s="743"/>
      <c r="V154" s="743"/>
      <c r="W154" s="743"/>
      <c r="X154" s="743"/>
      <c r="Y154" s="743"/>
      <c r="Z154" s="743"/>
      <c r="AA154" s="743"/>
      <c r="AB154" s="743"/>
      <c r="AC154" s="743"/>
      <c r="AD154" s="743"/>
      <c r="AE154" s="743"/>
      <c r="AF154" s="743"/>
      <c r="AG154" s="743"/>
      <c r="AH154" s="743"/>
      <c r="AI154" s="743"/>
      <c r="AJ154" s="743"/>
      <c r="AK154" s="743"/>
      <c r="AL154" s="743"/>
      <c r="AM154" s="743"/>
    </row>
    <row r="155" spans="1:39" ht="17.25">
      <c r="A155" s="752"/>
      <c r="B155" s="752"/>
      <c r="C155" s="752"/>
      <c r="D155" s="752"/>
      <c r="E155" s="752"/>
      <c r="F155" s="752"/>
      <c r="G155" s="752"/>
      <c r="H155" s="752"/>
      <c r="I155" s="829"/>
      <c r="J155" s="752"/>
      <c r="K155" s="752"/>
      <c r="L155" s="743"/>
      <c r="M155" s="743"/>
      <c r="N155" s="743"/>
      <c r="O155" s="743"/>
      <c r="P155" s="743"/>
      <c r="Q155" s="743"/>
      <c r="R155" s="743"/>
      <c r="S155" s="743"/>
      <c r="T155" s="743"/>
      <c r="U155" s="743"/>
      <c r="V155" s="743"/>
      <c r="W155" s="743"/>
      <c r="X155" s="743"/>
      <c r="Y155" s="743"/>
      <c r="Z155" s="743"/>
      <c r="AA155" s="743"/>
      <c r="AB155" s="743"/>
      <c r="AC155" s="743"/>
      <c r="AD155" s="743"/>
      <c r="AE155" s="743"/>
      <c r="AF155" s="743"/>
      <c r="AG155" s="743"/>
      <c r="AH155" s="743"/>
      <c r="AI155" s="743"/>
      <c r="AJ155" s="743"/>
      <c r="AK155" s="743"/>
      <c r="AL155" s="743"/>
      <c r="AM155" s="743"/>
    </row>
    <row r="156" spans="1:39" ht="17.25">
      <c r="A156" s="752"/>
      <c r="B156" s="752"/>
      <c r="C156" s="752"/>
      <c r="D156" s="752"/>
      <c r="E156" s="752"/>
      <c r="F156" s="752"/>
      <c r="G156" s="752"/>
      <c r="H156" s="752"/>
      <c r="I156" s="829"/>
      <c r="J156" s="752"/>
      <c r="K156" s="752"/>
      <c r="L156" s="743"/>
      <c r="M156" s="743"/>
      <c r="N156" s="743"/>
      <c r="O156" s="743"/>
      <c r="P156" s="743"/>
      <c r="Q156" s="743"/>
      <c r="R156" s="743"/>
      <c r="S156" s="743"/>
      <c r="T156" s="743"/>
      <c r="U156" s="743"/>
      <c r="V156" s="743"/>
      <c r="W156" s="743"/>
      <c r="X156" s="743"/>
      <c r="Y156" s="743"/>
      <c r="Z156" s="743"/>
      <c r="AA156" s="743"/>
      <c r="AB156" s="743"/>
      <c r="AC156" s="743"/>
      <c r="AD156" s="743"/>
      <c r="AE156" s="743"/>
      <c r="AF156" s="743"/>
      <c r="AG156" s="743"/>
      <c r="AH156" s="743"/>
      <c r="AI156" s="743"/>
      <c r="AJ156" s="743"/>
      <c r="AK156" s="743"/>
      <c r="AL156" s="743"/>
      <c r="AM156" s="743"/>
    </row>
    <row r="157" spans="1:39" ht="17.25">
      <c r="A157" s="752"/>
      <c r="B157" s="752"/>
      <c r="C157" s="752"/>
      <c r="D157" s="752"/>
      <c r="E157" s="752"/>
      <c r="F157" s="752"/>
      <c r="G157" s="752"/>
      <c r="H157" s="752"/>
      <c r="I157" s="829"/>
      <c r="J157" s="752"/>
      <c r="K157" s="752"/>
      <c r="L157" s="743"/>
      <c r="M157" s="743"/>
      <c r="N157" s="743"/>
      <c r="O157" s="743"/>
      <c r="P157" s="743"/>
      <c r="Q157" s="743"/>
      <c r="R157" s="743"/>
      <c r="S157" s="743"/>
      <c r="T157" s="743"/>
      <c r="U157" s="743"/>
      <c r="V157" s="743"/>
      <c r="W157" s="743"/>
      <c r="X157" s="743"/>
      <c r="Y157" s="743"/>
      <c r="Z157" s="743"/>
      <c r="AA157" s="743"/>
      <c r="AB157" s="743"/>
      <c r="AC157" s="743"/>
      <c r="AD157" s="743"/>
      <c r="AE157" s="743"/>
      <c r="AF157" s="743"/>
      <c r="AG157" s="743"/>
      <c r="AH157" s="743"/>
      <c r="AI157" s="743"/>
      <c r="AJ157" s="743"/>
      <c r="AK157" s="743"/>
      <c r="AL157" s="743"/>
      <c r="AM157" s="743"/>
    </row>
    <row r="158" spans="1:39" ht="17.25">
      <c r="A158" s="752"/>
      <c r="B158" s="752"/>
      <c r="C158" s="752"/>
      <c r="D158" s="752"/>
      <c r="E158" s="752"/>
      <c r="F158" s="752"/>
      <c r="G158" s="752"/>
      <c r="H158" s="752"/>
      <c r="I158" s="829"/>
      <c r="J158" s="752"/>
      <c r="K158" s="752"/>
      <c r="L158" s="743"/>
      <c r="M158" s="743"/>
      <c r="N158" s="743"/>
      <c r="O158" s="743"/>
      <c r="P158" s="743"/>
      <c r="Q158" s="743"/>
      <c r="R158" s="743"/>
      <c r="S158" s="743"/>
      <c r="T158" s="743"/>
      <c r="U158" s="743"/>
      <c r="V158" s="743"/>
      <c r="W158" s="743"/>
      <c r="X158" s="743"/>
      <c r="Y158" s="743"/>
      <c r="Z158" s="743"/>
      <c r="AA158" s="743"/>
      <c r="AB158" s="743"/>
      <c r="AC158" s="743"/>
      <c r="AD158" s="743"/>
      <c r="AE158" s="743"/>
      <c r="AF158" s="743"/>
      <c r="AG158" s="743"/>
      <c r="AH158" s="743"/>
      <c r="AI158" s="743"/>
      <c r="AJ158" s="743"/>
      <c r="AK158" s="743"/>
      <c r="AL158" s="743"/>
      <c r="AM158" s="743"/>
    </row>
    <row r="159" spans="1:39" ht="17.25">
      <c r="A159" s="752"/>
      <c r="B159" s="752"/>
      <c r="C159" s="752"/>
      <c r="D159" s="752"/>
      <c r="E159" s="752"/>
      <c r="F159" s="752"/>
      <c r="G159" s="752"/>
      <c r="H159" s="752"/>
      <c r="I159" s="829"/>
      <c r="J159" s="752"/>
      <c r="K159" s="752"/>
      <c r="L159" s="743"/>
      <c r="M159" s="743"/>
      <c r="N159" s="743"/>
      <c r="O159" s="743"/>
      <c r="P159" s="743"/>
      <c r="Q159" s="743"/>
      <c r="R159" s="743"/>
      <c r="S159" s="743"/>
      <c r="T159" s="743"/>
      <c r="U159" s="743"/>
      <c r="V159" s="743"/>
      <c r="W159" s="743"/>
      <c r="X159" s="743"/>
      <c r="Y159" s="743"/>
      <c r="Z159" s="743"/>
      <c r="AA159" s="743"/>
      <c r="AB159" s="743"/>
      <c r="AC159" s="743"/>
      <c r="AD159" s="743"/>
      <c r="AE159" s="743"/>
      <c r="AF159" s="743"/>
      <c r="AG159" s="743"/>
      <c r="AH159" s="743"/>
      <c r="AI159" s="743"/>
      <c r="AJ159" s="743"/>
      <c r="AK159" s="743"/>
      <c r="AL159" s="743"/>
      <c r="AM159" s="743"/>
    </row>
    <row r="160" spans="1:39" ht="17.25">
      <c r="A160" s="752"/>
      <c r="B160" s="752"/>
      <c r="C160" s="752"/>
      <c r="D160" s="752"/>
      <c r="E160" s="752"/>
      <c r="F160" s="752"/>
      <c r="G160" s="752"/>
      <c r="H160" s="752"/>
      <c r="I160" s="829"/>
      <c r="J160" s="752"/>
      <c r="K160" s="752"/>
      <c r="L160" s="743"/>
      <c r="M160" s="743"/>
      <c r="N160" s="743"/>
      <c r="O160" s="743"/>
      <c r="P160" s="743"/>
      <c r="Q160" s="743"/>
      <c r="R160" s="743"/>
      <c r="S160" s="743"/>
      <c r="T160" s="743"/>
      <c r="U160" s="743"/>
      <c r="V160" s="743"/>
      <c r="W160" s="743"/>
      <c r="X160" s="743"/>
      <c r="Y160" s="743"/>
      <c r="Z160" s="743"/>
      <c r="AA160" s="743"/>
      <c r="AB160" s="743"/>
      <c r="AC160" s="743"/>
      <c r="AD160" s="743"/>
      <c r="AE160" s="743"/>
      <c r="AF160" s="743"/>
      <c r="AG160" s="743"/>
      <c r="AH160" s="743"/>
      <c r="AI160" s="743"/>
      <c r="AJ160" s="743"/>
      <c r="AK160" s="743"/>
      <c r="AL160" s="743"/>
      <c r="AM160" s="743"/>
    </row>
    <row r="161" spans="1:39" ht="17.25">
      <c r="A161" s="752"/>
      <c r="B161" s="752"/>
      <c r="C161" s="752"/>
      <c r="D161" s="752"/>
      <c r="E161" s="752"/>
      <c r="F161" s="752"/>
      <c r="G161" s="752"/>
      <c r="H161" s="752"/>
      <c r="I161" s="829"/>
      <c r="J161" s="752"/>
      <c r="K161" s="752"/>
      <c r="L161" s="743"/>
      <c r="M161" s="743"/>
      <c r="N161" s="743"/>
      <c r="O161" s="743"/>
      <c r="P161" s="743"/>
      <c r="Q161" s="743"/>
      <c r="R161" s="743"/>
      <c r="S161" s="743"/>
      <c r="T161" s="743"/>
      <c r="U161" s="743"/>
      <c r="V161" s="743"/>
      <c r="W161" s="743"/>
      <c r="X161" s="743"/>
      <c r="Y161" s="743"/>
      <c r="Z161" s="743"/>
      <c r="AA161" s="743"/>
      <c r="AB161" s="743"/>
      <c r="AC161" s="743"/>
      <c r="AD161" s="743"/>
      <c r="AE161" s="743"/>
      <c r="AF161" s="743"/>
      <c r="AG161" s="743"/>
      <c r="AH161" s="743"/>
      <c r="AI161" s="743"/>
      <c r="AJ161" s="743"/>
      <c r="AK161" s="743"/>
      <c r="AL161" s="743"/>
      <c r="AM161" s="743"/>
    </row>
    <row r="162" spans="1:39" ht="17.25">
      <c r="A162" s="752"/>
      <c r="B162" s="752"/>
      <c r="C162" s="752"/>
      <c r="D162" s="752"/>
      <c r="E162" s="752"/>
      <c r="F162" s="752"/>
      <c r="G162" s="752"/>
      <c r="H162" s="752"/>
      <c r="I162" s="829"/>
      <c r="J162" s="752"/>
      <c r="K162" s="752"/>
      <c r="L162" s="743"/>
      <c r="M162" s="743"/>
      <c r="N162" s="743"/>
      <c r="O162" s="743"/>
      <c r="P162" s="743"/>
      <c r="Q162" s="743"/>
      <c r="R162" s="743"/>
      <c r="S162" s="743"/>
      <c r="T162" s="743"/>
      <c r="U162" s="743"/>
      <c r="V162" s="743"/>
      <c r="W162" s="743"/>
      <c r="X162" s="743"/>
      <c r="Y162" s="743"/>
      <c r="Z162" s="743"/>
      <c r="AA162" s="743"/>
      <c r="AB162" s="743"/>
      <c r="AC162" s="743"/>
      <c r="AD162" s="743"/>
      <c r="AE162" s="743"/>
      <c r="AF162" s="743"/>
      <c r="AG162" s="743"/>
      <c r="AH162" s="743"/>
      <c r="AI162" s="743"/>
      <c r="AJ162" s="743"/>
      <c r="AK162" s="743"/>
      <c r="AL162" s="743"/>
      <c r="AM162" s="743"/>
    </row>
    <row r="163" spans="1:39" ht="17.25">
      <c r="A163" s="752"/>
      <c r="B163" s="752"/>
      <c r="C163" s="752"/>
      <c r="D163" s="752"/>
      <c r="E163" s="752"/>
      <c r="F163" s="752"/>
      <c r="G163" s="752"/>
      <c r="H163" s="752"/>
      <c r="I163" s="829"/>
      <c r="J163" s="752"/>
      <c r="K163" s="752"/>
      <c r="L163" s="743"/>
      <c r="M163" s="743"/>
      <c r="N163" s="743"/>
      <c r="O163" s="743"/>
      <c r="P163" s="743"/>
      <c r="Q163" s="743"/>
      <c r="R163" s="743"/>
      <c r="S163" s="743"/>
      <c r="T163" s="743"/>
      <c r="U163" s="743"/>
      <c r="V163" s="743"/>
      <c r="W163" s="743"/>
      <c r="X163" s="743"/>
      <c r="Y163" s="743"/>
      <c r="Z163" s="743"/>
      <c r="AA163" s="743"/>
      <c r="AB163" s="743"/>
      <c r="AC163" s="743"/>
      <c r="AD163" s="743"/>
      <c r="AE163" s="743"/>
      <c r="AF163" s="743"/>
      <c r="AG163" s="743"/>
      <c r="AH163" s="743"/>
      <c r="AI163" s="743"/>
      <c r="AJ163" s="743"/>
      <c r="AK163" s="743"/>
      <c r="AL163" s="743"/>
      <c r="AM163" s="743"/>
    </row>
    <row r="164" spans="1:39" ht="17.25">
      <c r="A164" s="752"/>
      <c r="B164" s="752"/>
      <c r="C164" s="752"/>
      <c r="D164" s="752"/>
      <c r="E164" s="752"/>
      <c r="F164" s="752"/>
      <c r="G164" s="752"/>
      <c r="H164" s="752"/>
      <c r="I164" s="829"/>
      <c r="J164" s="752"/>
      <c r="K164" s="752"/>
      <c r="L164" s="743"/>
      <c r="M164" s="743"/>
      <c r="N164" s="743"/>
      <c r="O164" s="743"/>
      <c r="P164" s="743"/>
      <c r="Q164" s="743"/>
      <c r="R164" s="743"/>
      <c r="S164" s="743"/>
      <c r="T164" s="743"/>
      <c r="U164" s="743"/>
      <c r="V164" s="743"/>
      <c r="W164" s="743"/>
      <c r="X164" s="743"/>
      <c r="Y164" s="743"/>
      <c r="Z164" s="743"/>
      <c r="AA164" s="743"/>
      <c r="AB164" s="743"/>
      <c r="AC164" s="743"/>
      <c r="AD164" s="743"/>
      <c r="AE164" s="743"/>
      <c r="AF164" s="743"/>
      <c r="AG164" s="743"/>
      <c r="AH164" s="743"/>
      <c r="AI164" s="743"/>
      <c r="AJ164" s="743"/>
      <c r="AK164" s="743"/>
      <c r="AL164" s="743"/>
      <c r="AM164" s="743"/>
    </row>
    <row r="165" spans="1:39" ht="17.25">
      <c r="A165" s="752"/>
      <c r="B165" s="752"/>
      <c r="C165" s="752"/>
      <c r="D165" s="752"/>
      <c r="E165" s="752"/>
      <c r="F165" s="752"/>
      <c r="G165" s="752"/>
      <c r="H165" s="752"/>
      <c r="I165" s="829"/>
      <c r="J165" s="752"/>
      <c r="K165" s="752"/>
      <c r="L165" s="743"/>
      <c r="M165" s="743"/>
      <c r="N165" s="743"/>
      <c r="O165" s="743"/>
      <c r="P165" s="743"/>
      <c r="Q165" s="743"/>
      <c r="R165" s="743"/>
      <c r="S165" s="743"/>
      <c r="T165" s="743"/>
      <c r="U165" s="743"/>
      <c r="V165" s="743"/>
      <c r="W165" s="743"/>
      <c r="X165" s="743"/>
      <c r="Y165" s="743"/>
      <c r="Z165" s="743"/>
      <c r="AA165" s="743"/>
      <c r="AB165" s="743"/>
      <c r="AC165" s="743"/>
      <c r="AD165" s="743"/>
      <c r="AE165" s="743"/>
      <c r="AF165" s="743"/>
      <c r="AG165" s="743"/>
      <c r="AH165" s="743"/>
      <c r="AI165" s="743"/>
      <c r="AJ165" s="743"/>
      <c r="AK165" s="743"/>
      <c r="AL165" s="743"/>
      <c r="AM165" s="743"/>
    </row>
    <row r="166" spans="1:39" ht="17.25">
      <c r="A166" s="752"/>
      <c r="B166" s="752"/>
      <c r="C166" s="752"/>
      <c r="D166" s="752"/>
      <c r="E166" s="752"/>
      <c r="F166" s="752"/>
      <c r="G166" s="752"/>
      <c r="H166" s="752"/>
      <c r="I166" s="829"/>
      <c r="J166" s="752"/>
      <c r="K166" s="752"/>
      <c r="L166" s="743"/>
      <c r="M166" s="743"/>
      <c r="N166" s="743"/>
      <c r="O166" s="743"/>
      <c r="P166" s="743"/>
      <c r="Q166" s="743"/>
      <c r="R166" s="743"/>
      <c r="S166" s="743"/>
      <c r="T166" s="743"/>
      <c r="U166" s="743"/>
      <c r="V166" s="743"/>
      <c r="W166" s="743"/>
      <c r="X166" s="743"/>
      <c r="Y166" s="743"/>
      <c r="Z166" s="743"/>
      <c r="AA166" s="743"/>
      <c r="AB166" s="743"/>
      <c r="AC166" s="743"/>
      <c r="AD166" s="743"/>
      <c r="AE166" s="743"/>
      <c r="AF166" s="743"/>
      <c r="AG166" s="743"/>
      <c r="AH166" s="743"/>
      <c r="AI166" s="743"/>
      <c r="AJ166" s="743"/>
      <c r="AK166" s="743"/>
      <c r="AL166" s="743"/>
      <c r="AM166" s="743"/>
    </row>
    <row r="167" spans="1:39" ht="17.25">
      <c r="A167" s="752"/>
      <c r="B167" s="752"/>
      <c r="C167" s="752"/>
      <c r="D167" s="752"/>
      <c r="E167" s="752"/>
      <c r="F167" s="752"/>
      <c r="G167" s="752"/>
      <c r="H167" s="752"/>
      <c r="I167" s="829"/>
      <c r="J167" s="752"/>
      <c r="K167" s="752"/>
      <c r="L167" s="743"/>
      <c r="M167" s="743"/>
      <c r="N167" s="743"/>
      <c r="O167" s="743"/>
      <c r="P167" s="743"/>
      <c r="Q167" s="743"/>
      <c r="R167" s="743"/>
      <c r="S167" s="743"/>
      <c r="T167" s="743"/>
      <c r="U167" s="743"/>
      <c r="V167" s="743"/>
      <c r="W167" s="743"/>
      <c r="X167" s="743"/>
      <c r="Y167" s="743"/>
      <c r="Z167" s="743"/>
      <c r="AA167" s="743"/>
      <c r="AB167" s="743"/>
      <c r="AC167" s="743"/>
      <c r="AD167" s="743"/>
      <c r="AE167" s="743"/>
      <c r="AF167" s="743"/>
      <c r="AG167" s="743"/>
      <c r="AH167" s="743"/>
      <c r="AI167" s="743"/>
      <c r="AJ167" s="743"/>
      <c r="AK167" s="743"/>
      <c r="AL167" s="743"/>
      <c r="AM167" s="743"/>
    </row>
    <row r="168" spans="1:39" ht="17.25">
      <c r="A168" s="752"/>
      <c r="B168" s="752"/>
      <c r="C168" s="752"/>
      <c r="D168" s="752"/>
      <c r="E168" s="752"/>
      <c r="F168" s="752"/>
      <c r="G168" s="752"/>
      <c r="H168" s="752"/>
      <c r="I168" s="829"/>
      <c r="J168" s="752"/>
      <c r="K168" s="752"/>
      <c r="L168" s="743"/>
      <c r="M168" s="743"/>
      <c r="N168" s="743"/>
      <c r="O168" s="743"/>
      <c r="P168" s="743"/>
      <c r="Q168" s="743"/>
      <c r="R168" s="743"/>
      <c r="S168" s="743"/>
      <c r="T168" s="743"/>
      <c r="U168" s="743"/>
      <c r="V168" s="743"/>
      <c r="W168" s="743"/>
      <c r="X168" s="743"/>
      <c r="Y168" s="743"/>
      <c r="Z168" s="743"/>
      <c r="AA168" s="743"/>
      <c r="AB168" s="743"/>
      <c r="AC168" s="743"/>
      <c r="AD168" s="743"/>
      <c r="AE168" s="743"/>
      <c r="AF168" s="743"/>
      <c r="AG168" s="743"/>
      <c r="AH168" s="743"/>
      <c r="AI168" s="743"/>
      <c r="AJ168" s="743"/>
      <c r="AK168" s="743"/>
      <c r="AL168" s="743"/>
      <c r="AM168" s="743"/>
    </row>
    <row r="169" spans="1:39" ht="17.25">
      <c r="A169" s="752"/>
      <c r="B169" s="752"/>
      <c r="C169" s="752"/>
      <c r="D169" s="752"/>
      <c r="E169" s="752"/>
      <c r="F169" s="752"/>
      <c r="G169" s="752"/>
      <c r="H169" s="752"/>
      <c r="I169" s="829"/>
      <c r="J169" s="752"/>
      <c r="K169" s="752"/>
      <c r="L169" s="743"/>
      <c r="M169" s="743"/>
      <c r="N169" s="743"/>
      <c r="O169" s="743"/>
      <c r="P169" s="743"/>
      <c r="Q169" s="743"/>
      <c r="R169" s="743"/>
      <c r="S169" s="743"/>
      <c r="T169" s="743"/>
      <c r="U169" s="743"/>
      <c r="V169" s="743"/>
      <c r="W169" s="743"/>
      <c r="X169" s="743"/>
      <c r="Y169" s="743"/>
      <c r="Z169" s="743"/>
      <c r="AA169" s="743"/>
      <c r="AB169" s="743"/>
      <c r="AC169" s="743"/>
      <c r="AD169" s="743"/>
      <c r="AE169" s="743"/>
      <c r="AF169" s="743"/>
      <c r="AG169" s="743"/>
      <c r="AH169" s="743"/>
      <c r="AI169" s="743"/>
      <c r="AJ169" s="743"/>
      <c r="AK169" s="743"/>
      <c r="AL169" s="743"/>
      <c r="AM169" s="743"/>
    </row>
    <row r="170" spans="1:39" ht="17.25">
      <c r="A170" s="752"/>
      <c r="B170" s="752"/>
      <c r="C170" s="752"/>
      <c r="D170" s="752"/>
      <c r="E170" s="752"/>
      <c r="F170" s="752"/>
      <c r="G170" s="752"/>
      <c r="H170" s="752"/>
      <c r="I170" s="829"/>
      <c r="J170" s="752"/>
      <c r="K170" s="752"/>
      <c r="L170" s="743"/>
      <c r="M170" s="743"/>
      <c r="N170" s="743"/>
      <c r="O170" s="743"/>
      <c r="P170" s="743"/>
      <c r="Q170" s="743"/>
      <c r="R170" s="743"/>
      <c r="S170" s="743"/>
      <c r="T170" s="743"/>
      <c r="U170" s="743"/>
      <c r="V170" s="743"/>
      <c r="W170" s="743"/>
      <c r="X170" s="743"/>
      <c r="Y170" s="743"/>
      <c r="Z170" s="743"/>
      <c r="AA170" s="743"/>
      <c r="AB170" s="743"/>
      <c r="AC170" s="743"/>
      <c r="AD170" s="743"/>
      <c r="AE170" s="743"/>
      <c r="AF170" s="743"/>
      <c r="AG170" s="743"/>
      <c r="AH170" s="743"/>
      <c r="AI170" s="743"/>
      <c r="AJ170" s="743"/>
      <c r="AK170" s="743"/>
      <c r="AL170" s="743"/>
      <c r="AM170" s="743"/>
    </row>
    <row r="171" spans="1:39" ht="17.25">
      <c r="A171" s="752"/>
      <c r="B171" s="752"/>
      <c r="C171" s="752"/>
      <c r="D171" s="752"/>
      <c r="E171" s="752"/>
      <c r="F171" s="752"/>
      <c r="G171" s="752"/>
      <c r="H171" s="752"/>
      <c r="I171" s="829"/>
      <c r="J171" s="752"/>
      <c r="K171" s="752"/>
      <c r="L171" s="743"/>
      <c r="M171" s="743"/>
      <c r="N171" s="743"/>
      <c r="O171" s="743"/>
      <c r="P171" s="743"/>
      <c r="Q171" s="743"/>
      <c r="R171" s="743"/>
      <c r="S171" s="743"/>
      <c r="T171" s="743"/>
      <c r="U171" s="743"/>
      <c r="V171" s="743"/>
      <c r="W171" s="743"/>
      <c r="X171" s="743"/>
      <c r="Y171" s="743"/>
      <c r="Z171" s="743"/>
      <c r="AA171" s="743"/>
      <c r="AB171" s="743"/>
      <c r="AC171" s="743"/>
      <c r="AD171" s="743"/>
      <c r="AE171" s="743"/>
      <c r="AF171" s="743"/>
      <c r="AG171" s="743"/>
      <c r="AH171" s="743"/>
      <c r="AI171" s="743"/>
      <c r="AJ171" s="743"/>
      <c r="AK171" s="743"/>
      <c r="AL171" s="743"/>
      <c r="AM171" s="743"/>
    </row>
    <row r="172" spans="1:39" ht="17.25">
      <c r="A172" s="752"/>
      <c r="B172" s="752"/>
      <c r="C172" s="752"/>
      <c r="D172" s="752"/>
      <c r="E172" s="752"/>
      <c r="F172" s="752"/>
      <c r="G172" s="752"/>
      <c r="H172" s="752"/>
      <c r="I172" s="829"/>
      <c r="J172" s="752"/>
      <c r="K172" s="752"/>
      <c r="L172" s="743"/>
      <c r="M172" s="743"/>
      <c r="N172" s="743"/>
      <c r="O172" s="743"/>
      <c r="P172" s="743"/>
      <c r="Q172" s="743"/>
      <c r="R172" s="743"/>
      <c r="S172" s="743"/>
      <c r="T172" s="743"/>
      <c r="U172" s="743"/>
      <c r="V172" s="743"/>
      <c r="W172" s="743"/>
      <c r="X172" s="743"/>
      <c r="Y172" s="743"/>
      <c r="Z172" s="743"/>
      <c r="AA172" s="743"/>
      <c r="AB172" s="743"/>
      <c r="AC172" s="743"/>
      <c r="AD172" s="743"/>
      <c r="AE172" s="743"/>
      <c r="AF172" s="743"/>
      <c r="AG172" s="743"/>
      <c r="AH172" s="743"/>
      <c r="AI172" s="743"/>
      <c r="AJ172" s="743"/>
      <c r="AK172" s="743"/>
      <c r="AL172" s="743"/>
      <c r="AM172" s="743"/>
    </row>
    <row r="173" spans="1:39" ht="17.25">
      <c r="A173" s="752"/>
      <c r="B173" s="752"/>
      <c r="C173" s="752"/>
      <c r="D173" s="752"/>
      <c r="E173" s="752"/>
      <c r="F173" s="752"/>
      <c r="G173" s="752"/>
      <c r="H173" s="752"/>
      <c r="I173" s="829"/>
      <c r="J173" s="752"/>
      <c r="K173" s="752"/>
      <c r="L173" s="743"/>
      <c r="M173" s="743"/>
      <c r="N173" s="743"/>
      <c r="O173" s="743"/>
      <c r="P173" s="743"/>
      <c r="Q173" s="743"/>
      <c r="R173" s="743"/>
      <c r="S173" s="743"/>
      <c r="T173" s="743"/>
      <c r="U173" s="743"/>
      <c r="V173" s="743"/>
      <c r="W173" s="743"/>
      <c r="X173" s="743"/>
      <c r="Y173" s="743"/>
      <c r="Z173" s="743"/>
      <c r="AA173" s="743"/>
      <c r="AB173" s="743"/>
      <c r="AC173" s="743"/>
      <c r="AD173" s="743"/>
      <c r="AE173" s="743"/>
      <c r="AF173" s="743"/>
      <c r="AG173" s="743"/>
      <c r="AH173" s="743"/>
      <c r="AI173" s="743"/>
      <c r="AJ173" s="743"/>
      <c r="AK173" s="743"/>
      <c r="AL173" s="743"/>
      <c r="AM173" s="743"/>
    </row>
    <row r="174" spans="1:39" ht="17.25">
      <c r="A174" s="752"/>
      <c r="B174" s="752"/>
      <c r="C174" s="752"/>
      <c r="D174" s="752"/>
      <c r="E174" s="752"/>
      <c r="F174" s="752"/>
      <c r="G174" s="752"/>
      <c r="H174" s="752"/>
      <c r="I174" s="829"/>
      <c r="J174" s="752"/>
      <c r="K174" s="752"/>
      <c r="L174" s="743"/>
      <c r="M174" s="743"/>
      <c r="N174" s="743"/>
      <c r="O174" s="743"/>
      <c r="P174" s="743"/>
      <c r="Q174" s="743"/>
      <c r="R174" s="743"/>
      <c r="S174" s="743"/>
      <c r="T174" s="743"/>
      <c r="U174" s="743"/>
      <c r="V174" s="743"/>
      <c r="W174" s="743"/>
      <c r="X174" s="743"/>
      <c r="Y174" s="743"/>
      <c r="Z174" s="743"/>
      <c r="AA174" s="743"/>
      <c r="AB174" s="743"/>
      <c r="AC174" s="743"/>
      <c r="AD174" s="743"/>
      <c r="AE174" s="743"/>
      <c r="AF174" s="743"/>
      <c r="AG174" s="743"/>
      <c r="AH174" s="743"/>
      <c r="AI174" s="743"/>
      <c r="AJ174" s="743"/>
      <c r="AK174" s="743"/>
      <c r="AL174" s="743"/>
      <c r="AM174" s="743"/>
    </row>
    <row r="175" spans="1:39" ht="17.25">
      <c r="A175" s="752"/>
      <c r="B175" s="752"/>
      <c r="C175" s="752"/>
      <c r="D175" s="752"/>
      <c r="E175" s="752"/>
      <c r="F175" s="752"/>
      <c r="G175" s="752"/>
      <c r="H175" s="752"/>
      <c r="I175" s="829"/>
      <c r="J175" s="752"/>
      <c r="K175" s="752"/>
      <c r="L175" s="743"/>
      <c r="M175" s="743"/>
      <c r="N175" s="743"/>
      <c r="O175" s="743"/>
      <c r="P175" s="743"/>
      <c r="Q175" s="743"/>
      <c r="R175" s="743"/>
      <c r="S175" s="743"/>
      <c r="T175" s="743"/>
      <c r="U175" s="743"/>
      <c r="V175" s="743"/>
      <c r="W175" s="743"/>
      <c r="X175" s="743"/>
      <c r="Y175" s="743"/>
      <c r="Z175" s="743"/>
      <c r="AA175" s="743"/>
      <c r="AB175" s="743"/>
      <c r="AC175" s="743"/>
      <c r="AD175" s="743"/>
      <c r="AE175" s="743"/>
      <c r="AF175" s="743"/>
      <c r="AG175" s="743"/>
      <c r="AH175" s="743"/>
      <c r="AI175" s="743"/>
      <c r="AJ175" s="743"/>
      <c r="AK175" s="743"/>
      <c r="AL175" s="743"/>
      <c r="AM175" s="743"/>
    </row>
    <row r="176" spans="1:39" ht="17.25">
      <c r="A176" s="752"/>
      <c r="B176" s="752"/>
      <c r="C176" s="752"/>
      <c r="D176" s="752"/>
      <c r="E176" s="752"/>
      <c r="F176" s="752"/>
      <c r="G176" s="752"/>
      <c r="H176" s="752"/>
      <c r="I176" s="829"/>
      <c r="J176" s="752"/>
      <c r="K176" s="752"/>
      <c r="L176" s="743"/>
      <c r="M176" s="743"/>
      <c r="N176" s="743"/>
      <c r="O176" s="743"/>
      <c r="P176" s="743"/>
      <c r="Q176" s="743"/>
      <c r="R176" s="743"/>
      <c r="S176" s="743"/>
      <c r="T176" s="743"/>
      <c r="U176" s="743"/>
      <c r="V176" s="743"/>
      <c r="W176" s="743"/>
      <c r="X176" s="743"/>
      <c r="Y176" s="743"/>
      <c r="Z176" s="743"/>
      <c r="AA176" s="743"/>
      <c r="AB176" s="743"/>
      <c r="AC176" s="743"/>
      <c r="AD176" s="743"/>
      <c r="AE176" s="743"/>
      <c r="AF176" s="743"/>
      <c r="AG176" s="743"/>
      <c r="AH176" s="743"/>
      <c r="AI176" s="743"/>
      <c r="AJ176" s="743"/>
      <c r="AK176" s="743"/>
      <c r="AL176" s="743"/>
      <c r="AM176" s="743"/>
    </row>
    <row r="177" spans="1:39" ht="17.25">
      <c r="A177" s="752"/>
      <c r="B177" s="752"/>
      <c r="C177" s="752"/>
      <c r="D177" s="752"/>
      <c r="E177" s="752"/>
      <c r="F177" s="752"/>
      <c r="G177" s="752"/>
      <c r="H177" s="752"/>
      <c r="I177" s="829"/>
      <c r="J177" s="752"/>
      <c r="K177" s="752"/>
      <c r="L177" s="743"/>
      <c r="M177" s="743"/>
      <c r="N177" s="743"/>
      <c r="O177" s="743"/>
      <c r="P177" s="743"/>
      <c r="Q177" s="743"/>
      <c r="R177" s="743"/>
      <c r="S177" s="743"/>
      <c r="T177" s="743"/>
      <c r="U177" s="743"/>
      <c r="V177" s="743"/>
      <c r="W177" s="743"/>
      <c r="X177" s="743"/>
      <c r="Y177" s="743"/>
      <c r="Z177" s="743"/>
      <c r="AA177" s="743"/>
      <c r="AB177" s="743"/>
      <c r="AC177" s="743"/>
      <c r="AD177" s="743"/>
      <c r="AE177" s="743"/>
      <c r="AF177" s="743"/>
      <c r="AG177" s="743"/>
      <c r="AH177" s="743"/>
      <c r="AI177" s="743"/>
      <c r="AJ177" s="743"/>
      <c r="AK177" s="743"/>
      <c r="AL177" s="743"/>
      <c r="AM177" s="743"/>
    </row>
    <row r="178" spans="1:39" ht="17.25">
      <c r="A178" s="752"/>
      <c r="B178" s="752"/>
      <c r="C178" s="752"/>
      <c r="D178" s="752"/>
      <c r="E178" s="752"/>
      <c r="F178" s="752"/>
      <c r="G178" s="752"/>
      <c r="H178" s="752"/>
      <c r="I178" s="829"/>
      <c r="J178" s="752"/>
      <c r="K178" s="752"/>
      <c r="L178" s="743"/>
      <c r="M178" s="743"/>
      <c r="N178" s="743"/>
      <c r="O178" s="743"/>
      <c r="P178" s="743"/>
      <c r="Q178" s="743"/>
      <c r="R178" s="743"/>
      <c r="S178" s="743"/>
      <c r="T178" s="743"/>
      <c r="U178" s="743"/>
      <c r="V178" s="743"/>
      <c r="W178" s="743"/>
      <c r="X178" s="743"/>
      <c r="Y178" s="743"/>
      <c r="Z178" s="743"/>
      <c r="AA178" s="743"/>
      <c r="AB178" s="743"/>
      <c r="AC178" s="743"/>
      <c r="AD178" s="743"/>
      <c r="AE178" s="743"/>
      <c r="AF178" s="743"/>
      <c r="AG178" s="743"/>
      <c r="AH178" s="743"/>
      <c r="AI178" s="743"/>
      <c r="AJ178" s="743"/>
      <c r="AK178" s="743"/>
      <c r="AL178" s="743"/>
      <c r="AM178" s="743"/>
    </row>
    <row r="179" spans="1:39" ht="17.25">
      <c r="A179" s="752"/>
      <c r="B179" s="752"/>
      <c r="C179" s="752"/>
      <c r="D179" s="752"/>
      <c r="E179" s="752"/>
      <c r="F179" s="752"/>
      <c r="G179" s="752"/>
      <c r="H179" s="752"/>
      <c r="I179" s="829"/>
      <c r="J179" s="752"/>
      <c r="K179" s="752"/>
      <c r="L179" s="743"/>
      <c r="M179" s="743"/>
      <c r="N179" s="743"/>
      <c r="O179" s="743"/>
      <c r="P179" s="743"/>
      <c r="Q179" s="743"/>
      <c r="R179" s="743"/>
      <c r="S179" s="743"/>
      <c r="T179" s="743"/>
      <c r="U179" s="743"/>
      <c r="V179" s="743"/>
      <c r="W179" s="743"/>
      <c r="X179" s="743"/>
      <c r="Y179" s="743"/>
      <c r="Z179" s="743"/>
      <c r="AA179" s="743"/>
      <c r="AB179" s="743"/>
      <c r="AC179" s="743"/>
      <c r="AD179" s="743"/>
      <c r="AE179" s="743"/>
      <c r="AF179" s="743"/>
      <c r="AG179" s="743"/>
      <c r="AH179" s="743"/>
      <c r="AI179" s="743"/>
      <c r="AJ179" s="743"/>
      <c r="AK179" s="743"/>
      <c r="AL179" s="743"/>
      <c r="AM179" s="743"/>
    </row>
    <row r="180" spans="1:39" ht="17.25">
      <c r="A180" s="752"/>
      <c r="B180" s="752"/>
      <c r="C180" s="752"/>
      <c r="D180" s="752"/>
      <c r="E180" s="752"/>
      <c r="F180" s="752"/>
      <c r="G180" s="752"/>
      <c r="H180" s="752"/>
      <c r="I180" s="829"/>
      <c r="J180" s="752"/>
      <c r="K180" s="752"/>
      <c r="L180" s="743"/>
      <c r="M180" s="743"/>
      <c r="N180" s="743"/>
      <c r="O180" s="743"/>
      <c r="P180" s="743"/>
      <c r="Q180" s="743"/>
      <c r="R180" s="743"/>
      <c r="S180" s="743"/>
      <c r="T180" s="743"/>
      <c r="U180" s="743"/>
      <c r="V180" s="743"/>
      <c r="W180" s="743"/>
      <c r="X180" s="743"/>
      <c r="Y180" s="743"/>
      <c r="Z180" s="743"/>
      <c r="AA180" s="743"/>
      <c r="AB180" s="743"/>
      <c r="AC180" s="743"/>
      <c r="AD180" s="743"/>
      <c r="AE180" s="743"/>
      <c r="AF180" s="743"/>
      <c r="AG180" s="743"/>
      <c r="AH180" s="743"/>
      <c r="AI180" s="743"/>
      <c r="AJ180" s="743"/>
      <c r="AK180" s="743"/>
      <c r="AL180" s="743"/>
      <c r="AM180" s="743"/>
    </row>
    <row r="181" spans="1:39" ht="17.25">
      <c r="A181" s="752"/>
      <c r="B181" s="752"/>
      <c r="C181" s="752"/>
      <c r="D181" s="752"/>
      <c r="E181" s="752"/>
      <c r="F181" s="752"/>
      <c r="G181" s="752"/>
      <c r="H181" s="752"/>
      <c r="I181" s="829"/>
      <c r="J181" s="752"/>
      <c r="K181" s="752"/>
      <c r="L181" s="743"/>
      <c r="M181" s="743"/>
      <c r="N181" s="743"/>
      <c r="O181" s="743"/>
      <c r="P181" s="743"/>
      <c r="Q181" s="743"/>
      <c r="R181" s="743"/>
      <c r="S181" s="743"/>
      <c r="T181" s="743"/>
      <c r="U181" s="743"/>
      <c r="V181" s="743"/>
      <c r="W181" s="743"/>
      <c r="X181" s="743"/>
      <c r="Y181" s="743"/>
      <c r="Z181" s="743"/>
      <c r="AA181" s="743"/>
      <c r="AB181" s="743"/>
      <c r="AC181" s="743"/>
      <c r="AD181" s="743"/>
      <c r="AE181" s="743"/>
      <c r="AF181" s="743"/>
      <c r="AG181" s="743"/>
      <c r="AH181" s="743"/>
      <c r="AI181" s="743"/>
      <c r="AJ181" s="743"/>
      <c r="AK181" s="743"/>
      <c r="AL181" s="743"/>
      <c r="AM181" s="743"/>
    </row>
    <row r="182" spans="1:39" ht="17.25">
      <c r="A182" s="752"/>
      <c r="B182" s="752"/>
      <c r="C182" s="752"/>
      <c r="D182" s="752"/>
      <c r="E182" s="752"/>
      <c r="F182" s="752"/>
      <c r="G182" s="752"/>
      <c r="H182" s="752"/>
      <c r="I182" s="829"/>
      <c r="J182" s="752"/>
      <c r="K182" s="752"/>
      <c r="L182" s="743"/>
      <c r="M182" s="743"/>
      <c r="N182" s="743"/>
      <c r="O182" s="743"/>
      <c r="P182" s="743"/>
      <c r="Q182" s="743"/>
      <c r="R182" s="743"/>
      <c r="S182" s="743"/>
      <c r="T182" s="743"/>
      <c r="U182" s="743"/>
      <c r="V182" s="743"/>
      <c r="W182" s="743"/>
      <c r="X182" s="743"/>
      <c r="Y182" s="743"/>
      <c r="Z182" s="743"/>
      <c r="AA182" s="743"/>
      <c r="AB182" s="743"/>
      <c r="AC182" s="743"/>
      <c r="AD182" s="743"/>
      <c r="AE182" s="743"/>
      <c r="AF182" s="743"/>
      <c r="AG182" s="743"/>
      <c r="AH182" s="743"/>
      <c r="AI182" s="743"/>
      <c r="AJ182" s="743"/>
      <c r="AK182" s="743"/>
      <c r="AL182" s="743"/>
      <c r="AM182" s="743"/>
    </row>
    <row r="183" spans="1:39" ht="17.25">
      <c r="A183" s="752"/>
      <c r="B183" s="752"/>
      <c r="C183" s="752"/>
      <c r="D183" s="752"/>
      <c r="E183" s="752"/>
      <c r="F183" s="752"/>
      <c r="G183" s="752"/>
      <c r="H183" s="752"/>
      <c r="I183" s="829"/>
      <c r="J183" s="752"/>
      <c r="K183" s="752"/>
      <c r="L183" s="743"/>
      <c r="M183" s="743"/>
      <c r="N183" s="743"/>
      <c r="O183" s="743"/>
      <c r="P183" s="743"/>
      <c r="Q183" s="743"/>
      <c r="R183" s="743"/>
      <c r="S183" s="743"/>
      <c r="T183" s="743"/>
      <c r="U183" s="743"/>
      <c r="V183" s="743"/>
      <c r="W183" s="743"/>
      <c r="X183" s="743"/>
      <c r="Y183" s="743"/>
      <c r="Z183" s="743"/>
      <c r="AA183" s="743"/>
      <c r="AB183" s="743"/>
      <c r="AC183" s="743"/>
      <c r="AD183" s="743"/>
      <c r="AE183" s="743"/>
      <c r="AF183" s="743"/>
      <c r="AG183" s="743"/>
      <c r="AH183" s="743"/>
      <c r="AI183" s="743"/>
      <c r="AJ183" s="743"/>
      <c r="AK183" s="743"/>
      <c r="AL183" s="743"/>
      <c r="AM183" s="743"/>
    </row>
    <row r="184" spans="1:39" ht="17.25">
      <c r="A184" s="752"/>
      <c r="B184" s="752"/>
      <c r="C184" s="752"/>
      <c r="D184" s="752"/>
      <c r="E184" s="752"/>
      <c r="F184" s="752"/>
      <c r="G184" s="752"/>
      <c r="H184" s="752"/>
      <c r="I184" s="829"/>
      <c r="J184" s="752"/>
      <c r="K184" s="752"/>
      <c r="L184" s="743"/>
      <c r="M184" s="743"/>
      <c r="N184" s="743"/>
      <c r="O184" s="743"/>
      <c r="P184" s="743"/>
      <c r="Q184" s="743"/>
      <c r="R184" s="743"/>
      <c r="S184" s="743"/>
      <c r="T184" s="743"/>
      <c r="U184" s="743"/>
      <c r="V184" s="743"/>
      <c r="W184" s="743"/>
      <c r="X184" s="743"/>
      <c r="Y184" s="743"/>
      <c r="Z184" s="743"/>
      <c r="AA184" s="743"/>
      <c r="AB184" s="743"/>
      <c r="AC184" s="743"/>
      <c r="AD184" s="743"/>
      <c r="AE184" s="743"/>
      <c r="AF184" s="743"/>
      <c r="AG184" s="743"/>
      <c r="AH184" s="743"/>
      <c r="AI184" s="743"/>
      <c r="AJ184" s="743"/>
      <c r="AK184" s="743"/>
      <c r="AL184" s="743"/>
      <c r="AM184" s="743"/>
    </row>
    <row r="185" spans="1:39" ht="17.25">
      <c r="A185" s="752"/>
      <c r="B185" s="752"/>
      <c r="C185" s="752"/>
      <c r="D185" s="752"/>
      <c r="E185" s="752"/>
      <c r="F185" s="752"/>
      <c r="G185" s="752"/>
      <c r="H185" s="752"/>
      <c r="I185" s="829"/>
      <c r="J185" s="752"/>
      <c r="K185" s="752"/>
      <c r="L185" s="743"/>
      <c r="M185" s="743"/>
      <c r="N185" s="743"/>
      <c r="O185" s="743"/>
      <c r="P185" s="743"/>
      <c r="Q185" s="743"/>
      <c r="R185" s="743"/>
      <c r="S185" s="743"/>
      <c r="T185" s="743"/>
      <c r="U185" s="743"/>
      <c r="V185" s="743"/>
      <c r="W185" s="743"/>
      <c r="X185" s="743"/>
      <c r="Y185" s="743"/>
      <c r="Z185" s="743"/>
      <c r="AA185" s="743"/>
      <c r="AB185" s="743"/>
      <c r="AC185" s="743"/>
      <c r="AD185" s="743"/>
      <c r="AE185" s="743"/>
      <c r="AF185" s="743"/>
      <c r="AG185" s="743"/>
      <c r="AH185" s="743"/>
      <c r="AI185" s="743"/>
      <c r="AJ185" s="743"/>
      <c r="AK185" s="743"/>
      <c r="AL185" s="743"/>
      <c r="AM185" s="743"/>
    </row>
    <row r="186" spans="1:39" ht="17.25">
      <c r="A186" s="752"/>
      <c r="B186" s="752"/>
      <c r="C186" s="752"/>
      <c r="D186" s="752"/>
      <c r="E186" s="752"/>
      <c r="F186" s="752"/>
      <c r="G186" s="752"/>
      <c r="H186" s="752"/>
      <c r="I186" s="829"/>
      <c r="J186" s="752"/>
      <c r="K186" s="752"/>
      <c r="L186" s="743"/>
      <c r="M186" s="743"/>
      <c r="N186" s="743"/>
      <c r="O186" s="743"/>
      <c r="P186" s="743"/>
      <c r="Q186" s="743"/>
      <c r="R186" s="743"/>
      <c r="S186" s="743"/>
      <c r="T186" s="743"/>
      <c r="U186" s="743"/>
      <c r="V186" s="743"/>
      <c r="W186" s="743"/>
      <c r="X186" s="743"/>
      <c r="Y186" s="743"/>
      <c r="Z186" s="743"/>
      <c r="AA186" s="743"/>
      <c r="AB186" s="743"/>
      <c r="AC186" s="743"/>
      <c r="AD186" s="743"/>
      <c r="AE186" s="743"/>
      <c r="AF186" s="743"/>
      <c r="AG186" s="743"/>
      <c r="AH186" s="743"/>
      <c r="AI186" s="743"/>
      <c r="AJ186" s="743"/>
      <c r="AK186" s="743"/>
      <c r="AL186" s="743"/>
      <c r="AM186" s="743"/>
    </row>
    <row r="187" spans="1:39" ht="17.25">
      <c r="A187" s="752"/>
      <c r="B187" s="752"/>
      <c r="C187" s="752"/>
      <c r="D187" s="752"/>
      <c r="E187" s="752"/>
      <c r="F187" s="752"/>
      <c r="G187" s="752"/>
      <c r="H187" s="752"/>
      <c r="I187" s="829"/>
      <c r="J187" s="752"/>
      <c r="K187" s="752"/>
      <c r="L187" s="743"/>
      <c r="M187" s="743"/>
      <c r="N187" s="743"/>
      <c r="O187" s="743"/>
      <c r="P187" s="743"/>
      <c r="Q187" s="743"/>
      <c r="R187" s="743"/>
      <c r="S187" s="743"/>
      <c r="T187" s="743"/>
      <c r="U187" s="743"/>
      <c r="V187" s="743"/>
      <c r="W187" s="743"/>
      <c r="X187" s="743"/>
      <c r="Y187" s="743"/>
      <c r="Z187" s="743"/>
      <c r="AA187" s="743"/>
      <c r="AB187" s="743"/>
      <c r="AC187" s="743"/>
      <c r="AD187" s="743"/>
      <c r="AE187" s="743"/>
      <c r="AF187" s="743"/>
      <c r="AG187" s="743"/>
      <c r="AH187" s="743"/>
      <c r="AI187" s="743"/>
      <c r="AJ187" s="743"/>
      <c r="AK187" s="743"/>
      <c r="AL187" s="743"/>
      <c r="AM187" s="743"/>
    </row>
    <row r="188" spans="1:39" ht="17.25">
      <c r="A188" s="752"/>
      <c r="B188" s="752"/>
      <c r="C188" s="752"/>
      <c r="D188" s="752"/>
      <c r="E188" s="752"/>
      <c r="F188" s="752"/>
      <c r="G188" s="752"/>
      <c r="H188" s="752"/>
      <c r="I188" s="829"/>
      <c r="J188" s="752"/>
      <c r="K188" s="752"/>
      <c r="L188" s="743"/>
      <c r="M188" s="743"/>
      <c r="N188" s="743"/>
      <c r="O188" s="743"/>
      <c r="P188" s="743"/>
      <c r="Q188" s="743"/>
      <c r="R188" s="743"/>
      <c r="S188" s="743"/>
      <c r="T188" s="743"/>
      <c r="U188" s="743"/>
      <c r="V188" s="743"/>
      <c r="W188" s="743"/>
      <c r="X188" s="743"/>
      <c r="Y188" s="743"/>
      <c r="Z188" s="743"/>
      <c r="AA188" s="743"/>
      <c r="AB188" s="743"/>
      <c r="AC188" s="743"/>
      <c r="AD188" s="743"/>
      <c r="AE188" s="743"/>
      <c r="AF188" s="743"/>
      <c r="AG188" s="743"/>
      <c r="AH188" s="743"/>
      <c r="AI188" s="743"/>
      <c r="AJ188" s="743"/>
      <c r="AK188" s="743"/>
      <c r="AL188" s="743"/>
      <c r="AM188" s="743"/>
    </row>
    <row r="189" spans="1:39" ht="17.25">
      <c r="A189" s="752"/>
      <c r="B189" s="752"/>
      <c r="C189" s="752"/>
      <c r="D189" s="752"/>
      <c r="E189" s="752"/>
      <c r="F189" s="752"/>
      <c r="G189" s="752"/>
      <c r="H189" s="752"/>
      <c r="I189" s="829"/>
      <c r="J189" s="752"/>
      <c r="K189" s="752"/>
      <c r="L189" s="743"/>
      <c r="M189" s="743"/>
      <c r="N189" s="743"/>
      <c r="O189" s="743"/>
      <c r="P189" s="743"/>
      <c r="Q189" s="743"/>
      <c r="R189" s="743"/>
      <c r="S189" s="743"/>
      <c r="T189" s="743"/>
      <c r="U189" s="743"/>
      <c r="V189" s="743"/>
      <c r="W189" s="743"/>
      <c r="X189" s="743"/>
      <c r="Y189" s="743"/>
      <c r="Z189" s="743"/>
      <c r="AA189" s="743"/>
      <c r="AB189" s="743"/>
      <c r="AC189" s="743"/>
      <c r="AD189" s="743"/>
      <c r="AE189" s="743"/>
      <c r="AF189" s="743"/>
      <c r="AG189" s="743"/>
      <c r="AH189" s="743"/>
      <c r="AI189" s="743"/>
      <c r="AJ189" s="743"/>
      <c r="AK189" s="743"/>
      <c r="AL189" s="743"/>
      <c r="AM189" s="743"/>
    </row>
    <row r="190" spans="1:39" ht="17.25">
      <c r="A190" s="752"/>
      <c r="B190" s="752"/>
      <c r="C190" s="752"/>
      <c r="D190" s="752"/>
      <c r="E190" s="752"/>
      <c r="F190" s="752"/>
      <c r="G190" s="752"/>
      <c r="H190" s="752"/>
      <c r="I190" s="829"/>
      <c r="J190" s="752"/>
      <c r="K190" s="752"/>
      <c r="L190" s="743"/>
      <c r="M190" s="743"/>
      <c r="N190" s="743"/>
      <c r="O190" s="743"/>
      <c r="P190" s="743"/>
      <c r="Q190" s="743"/>
      <c r="R190" s="743"/>
      <c r="S190" s="743"/>
      <c r="T190" s="743"/>
      <c r="U190" s="743"/>
      <c r="V190" s="743"/>
      <c r="W190" s="743"/>
      <c r="X190" s="743"/>
      <c r="Y190" s="743"/>
      <c r="Z190" s="743"/>
      <c r="AA190" s="743"/>
      <c r="AB190" s="743"/>
      <c r="AC190" s="743"/>
      <c r="AD190" s="743"/>
      <c r="AE190" s="743"/>
      <c r="AF190" s="743"/>
      <c r="AG190" s="743"/>
      <c r="AH190" s="743"/>
      <c r="AI190" s="743"/>
      <c r="AJ190" s="743"/>
      <c r="AK190" s="743"/>
      <c r="AL190" s="743"/>
      <c r="AM190" s="743"/>
    </row>
    <row r="191" spans="1:39" ht="17.25">
      <c r="A191" s="752"/>
      <c r="B191" s="752"/>
      <c r="C191" s="752"/>
      <c r="D191" s="752"/>
      <c r="E191" s="752"/>
      <c r="F191" s="752"/>
      <c r="G191" s="752"/>
      <c r="H191" s="752"/>
      <c r="I191" s="829"/>
      <c r="J191" s="752"/>
      <c r="K191" s="752"/>
      <c r="L191" s="743"/>
      <c r="M191" s="743"/>
      <c r="N191" s="743"/>
      <c r="O191" s="743"/>
      <c r="P191" s="743"/>
      <c r="Q191" s="743"/>
      <c r="R191" s="743"/>
      <c r="S191" s="743"/>
      <c r="T191" s="743"/>
      <c r="U191" s="743"/>
      <c r="V191" s="743"/>
      <c r="W191" s="743"/>
      <c r="X191" s="743"/>
      <c r="Y191" s="743"/>
      <c r="Z191" s="743"/>
      <c r="AA191" s="743"/>
      <c r="AB191" s="743"/>
      <c r="AC191" s="743"/>
      <c r="AD191" s="743"/>
      <c r="AE191" s="743"/>
      <c r="AF191" s="743"/>
      <c r="AG191" s="743"/>
      <c r="AH191" s="743"/>
      <c r="AI191" s="743"/>
      <c r="AJ191" s="743"/>
      <c r="AK191" s="743"/>
      <c r="AL191" s="743"/>
      <c r="AM191" s="743"/>
    </row>
    <row r="192" spans="1:39" ht="17.25">
      <c r="A192" s="752"/>
      <c r="B192" s="752"/>
      <c r="C192" s="752"/>
      <c r="D192" s="752"/>
      <c r="E192" s="752"/>
      <c r="F192" s="752"/>
      <c r="G192" s="752"/>
      <c r="H192" s="752"/>
      <c r="I192" s="829"/>
      <c r="J192" s="752"/>
      <c r="K192" s="752"/>
      <c r="L192" s="743"/>
      <c r="M192" s="743"/>
      <c r="N192" s="743"/>
      <c r="O192" s="743"/>
      <c r="P192" s="743"/>
      <c r="Q192" s="743"/>
      <c r="R192" s="743"/>
      <c r="S192" s="743"/>
      <c r="T192" s="743"/>
      <c r="U192" s="743"/>
      <c r="V192" s="743"/>
      <c r="W192" s="743"/>
      <c r="X192" s="743"/>
      <c r="Y192" s="743"/>
      <c r="Z192" s="743"/>
      <c r="AA192" s="743"/>
      <c r="AB192" s="743"/>
      <c r="AC192" s="743"/>
      <c r="AD192" s="743"/>
      <c r="AE192" s="743"/>
      <c r="AF192" s="743"/>
      <c r="AG192" s="743"/>
      <c r="AH192" s="743"/>
      <c r="AI192" s="743"/>
      <c r="AJ192" s="743"/>
      <c r="AK192" s="743"/>
      <c r="AL192" s="743"/>
      <c r="AM192" s="743"/>
    </row>
    <row r="193" spans="1:39" ht="17.25">
      <c r="A193" s="752"/>
      <c r="B193" s="752"/>
      <c r="C193" s="752"/>
      <c r="D193" s="752"/>
      <c r="E193" s="752"/>
      <c r="F193" s="752"/>
      <c r="G193" s="752"/>
      <c r="H193" s="752"/>
      <c r="I193" s="829"/>
      <c r="J193" s="752"/>
      <c r="K193" s="752"/>
      <c r="L193" s="743"/>
      <c r="M193" s="743"/>
      <c r="N193" s="743"/>
      <c r="O193" s="743"/>
      <c r="P193" s="743"/>
      <c r="Q193" s="743"/>
      <c r="R193" s="743"/>
      <c r="S193" s="743"/>
      <c r="T193" s="743"/>
      <c r="U193" s="743"/>
      <c r="V193" s="743"/>
      <c r="W193" s="743"/>
      <c r="X193" s="743"/>
      <c r="Y193" s="743"/>
      <c r="Z193" s="743"/>
      <c r="AA193" s="743"/>
      <c r="AB193" s="743"/>
      <c r="AC193" s="743"/>
      <c r="AD193" s="743"/>
      <c r="AE193" s="743"/>
      <c r="AF193" s="743"/>
      <c r="AG193" s="743"/>
      <c r="AH193" s="743"/>
      <c r="AI193" s="743"/>
      <c r="AJ193" s="743"/>
      <c r="AK193" s="743"/>
      <c r="AL193" s="743"/>
      <c r="AM193" s="743"/>
    </row>
    <row r="194" spans="1:39" ht="17.25">
      <c r="A194" s="752"/>
      <c r="B194" s="752"/>
      <c r="C194" s="752"/>
      <c r="D194" s="752"/>
      <c r="E194" s="752"/>
      <c r="F194" s="752"/>
      <c r="G194" s="752"/>
      <c r="H194" s="752"/>
      <c r="I194" s="829"/>
      <c r="J194" s="752"/>
      <c r="K194" s="752"/>
      <c r="L194" s="743"/>
      <c r="M194" s="743"/>
      <c r="N194" s="743"/>
      <c r="O194" s="743"/>
      <c r="P194" s="743"/>
      <c r="Q194" s="743"/>
      <c r="R194" s="743"/>
      <c r="S194" s="743"/>
      <c r="T194" s="743"/>
      <c r="U194" s="743"/>
      <c r="V194" s="743"/>
      <c r="W194" s="743"/>
      <c r="X194" s="743"/>
      <c r="Y194" s="743"/>
      <c r="Z194" s="743"/>
      <c r="AA194" s="743"/>
      <c r="AB194" s="743"/>
      <c r="AC194" s="743"/>
      <c r="AD194" s="743"/>
      <c r="AE194" s="743"/>
      <c r="AF194" s="743"/>
      <c r="AG194" s="743"/>
      <c r="AH194" s="743"/>
      <c r="AI194" s="743"/>
      <c r="AJ194" s="743"/>
      <c r="AK194" s="743"/>
      <c r="AL194" s="743"/>
      <c r="AM194" s="743"/>
    </row>
    <row r="195" spans="1:39" ht="17.25">
      <c r="A195" s="752"/>
      <c r="B195" s="752"/>
      <c r="C195" s="752"/>
      <c r="D195" s="752"/>
      <c r="E195" s="752"/>
      <c r="F195" s="752"/>
      <c r="G195" s="752"/>
      <c r="H195" s="752"/>
      <c r="I195" s="829"/>
      <c r="J195" s="752"/>
      <c r="K195" s="752"/>
      <c r="L195" s="743"/>
      <c r="M195" s="743"/>
      <c r="N195" s="743"/>
      <c r="O195" s="743"/>
      <c r="P195" s="743"/>
      <c r="Q195" s="743"/>
      <c r="R195" s="743"/>
      <c r="S195" s="743"/>
      <c r="T195" s="743"/>
      <c r="U195" s="743"/>
      <c r="V195" s="743"/>
      <c r="W195" s="743"/>
      <c r="X195" s="743"/>
      <c r="Y195" s="743"/>
      <c r="Z195" s="743"/>
      <c r="AA195" s="743"/>
      <c r="AB195" s="743"/>
      <c r="AC195" s="743"/>
      <c r="AD195" s="743"/>
      <c r="AE195" s="743"/>
      <c r="AF195" s="743"/>
      <c r="AG195" s="743"/>
      <c r="AH195" s="743"/>
      <c r="AI195" s="743"/>
      <c r="AJ195" s="743"/>
      <c r="AK195" s="743"/>
      <c r="AL195" s="743"/>
      <c r="AM195" s="743"/>
    </row>
    <row r="196" spans="1:39" ht="17.25">
      <c r="A196" s="752"/>
      <c r="B196" s="752"/>
      <c r="C196" s="752"/>
      <c r="D196" s="752"/>
      <c r="E196" s="752"/>
      <c r="F196" s="752"/>
      <c r="G196" s="752"/>
      <c r="H196" s="752"/>
      <c r="I196" s="829"/>
      <c r="J196" s="752"/>
      <c r="K196" s="752"/>
      <c r="L196" s="743"/>
      <c r="M196" s="743"/>
      <c r="N196" s="743"/>
      <c r="O196" s="743"/>
      <c r="P196" s="743"/>
      <c r="Q196" s="743"/>
      <c r="R196" s="743"/>
      <c r="S196" s="743"/>
      <c r="T196" s="743"/>
      <c r="U196" s="743"/>
      <c r="V196" s="743"/>
      <c r="W196" s="743"/>
      <c r="X196" s="743"/>
      <c r="Y196" s="743"/>
      <c r="Z196" s="743"/>
      <c r="AA196" s="743"/>
      <c r="AB196" s="743"/>
      <c r="AC196" s="743"/>
      <c r="AD196" s="743"/>
      <c r="AE196" s="743"/>
      <c r="AF196" s="743"/>
      <c r="AG196" s="743"/>
      <c r="AH196" s="743"/>
      <c r="AI196" s="743"/>
      <c r="AJ196" s="743"/>
      <c r="AK196" s="743"/>
      <c r="AL196" s="743"/>
      <c r="AM196" s="743"/>
    </row>
    <row r="197" spans="1:39" ht="17.25">
      <c r="A197" s="752"/>
      <c r="B197" s="752"/>
      <c r="C197" s="752"/>
      <c r="D197" s="752"/>
      <c r="E197" s="752"/>
      <c r="F197" s="752"/>
      <c r="G197" s="752"/>
      <c r="H197" s="752"/>
      <c r="I197" s="829"/>
      <c r="J197" s="752"/>
      <c r="K197" s="752"/>
      <c r="L197" s="743"/>
      <c r="M197" s="743"/>
      <c r="N197" s="743"/>
      <c r="O197" s="743"/>
      <c r="P197" s="743"/>
      <c r="Q197" s="743"/>
      <c r="R197" s="743"/>
      <c r="S197" s="743"/>
      <c r="T197" s="743"/>
      <c r="U197" s="743"/>
      <c r="V197" s="743"/>
      <c r="W197" s="743"/>
      <c r="X197" s="743"/>
      <c r="Y197" s="743"/>
      <c r="Z197" s="743"/>
      <c r="AA197" s="743"/>
      <c r="AB197" s="743"/>
      <c r="AC197" s="743"/>
      <c r="AD197" s="743"/>
      <c r="AE197" s="743"/>
      <c r="AF197" s="743"/>
      <c r="AG197" s="743"/>
      <c r="AH197" s="743"/>
      <c r="AI197" s="743"/>
      <c r="AJ197" s="743"/>
      <c r="AK197" s="743"/>
      <c r="AL197" s="743"/>
      <c r="AM197" s="743"/>
    </row>
    <row r="198" spans="1:39" ht="17.25">
      <c r="A198" s="752"/>
      <c r="B198" s="752"/>
      <c r="C198" s="752"/>
      <c r="D198" s="752"/>
      <c r="E198" s="752"/>
      <c r="F198" s="752"/>
      <c r="G198" s="752"/>
      <c r="H198" s="752"/>
      <c r="I198" s="829"/>
      <c r="J198" s="752"/>
      <c r="K198" s="752"/>
      <c r="L198" s="743"/>
      <c r="M198" s="743"/>
      <c r="N198" s="743"/>
      <c r="O198" s="743"/>
      <c r="P198" s="743"/>
      <c r="Q198" s="743"/>
      <c r="R198" s="743"/>
      <c r="S198" s="743"/>
      <c r="T198" s="743"/>
      <c r="U198" s="743"/>
      <c r="V198" s="743"/>
      <c r="W198" s="743"/>
      <c r="X198" s="743"/>
      <c r="Y198" s="743"/>
      <c r="Z198" s="743"/>
      <c r="AA198" s="743"/>
      <c r="AB198" s="743"/>
      <c r="AC198" s="743"/>
      <c r="AD198" s="743"/>
      <c r="AE198" s="743"/>
      <c r="AF198" s="743"/>
      <c r="AG198" s="743"/>
      <c r="AH198" s="743"/>
      <c r="AI198" s="743"/>
      <c r="AJ198" s="743"/>
      <c r="AK198" s="743"/>
      <c r="AL198" s="743"/>
      <c r="AM198" s="743"/>
    </row>
    <row r="199" spans="1:39" ht="17.25">
      <c r="A199" s="752"/>
      <c r="B199" s="752"/>
      <c r="C199" s="752"/>
      <c r="D199" s="752"/>
      <c r="E199" s="752"/>
      <c r="F199" s="752"/>
      <c r="G199" s="752"/>
      <c r="H199" s="752"/>
      <c r="I199" s="829"/>
      <c r="J199" s="752"/>
      <c r="K199" s="752"/>
      <c r="L199" s="743"/>
      <c r="M199" s="743"/>
      <c r="N199" s="743"/>
      <c r="O199" s="743"/>
      <c r="P199" s="743"/>
      <c r="Q199" s="743"/>
      <c r="R199" s="743"/>
      <c r="S199" s="743"/>
      <c r="T199" s="743"/>
      <c r="U199" s="743"/>
      <c r="V199" s="743"/>
      <c r="W199" s="743"/>
      <c r="X199" s="743"/>
      <c r="Y199" s="743"/>
      <c r="Z199" s="743"/>
      <c r="AA199" s="743"/>
      <c r="AB199" s="743"/>
      <c r="AC199" s="743"/>
      <c r="AD199" s="743"/>
      <c r="AE199" s="743"/>
      <c r="AF199" s="743"/>
      <c r="AG199" s="743"/>
      <c r="AH199" s="743"/>
      <c r="AI199" s="743"/>
      <c r="AJ199" s="743"/>
      <c r="AK199" s="743"/>
      <c r="AL199" s="743"/>
      <c r="AM199" s="743"/>
    </row>
    <row r="200" spans="1:39" ht="17.25">
      <c r="A200" s="752"/>
      <c r="B200" s="752"/>
      <c r="C200" s="752"/>
      <c r="D200" s="752"/>
      <c r="E200" s="752"/>
      <c r="F200" s="752"/>
      <c r="G200" s="752"/>
      <c r="H200" s="752"/>
      <c r="I200" s="829"/>
      <c r="J200" s="752"/>
      <c r="K200" s="752"/>
      <c r="L200" s="743"/>
      <c r="M200" s="743"/>
      <c r="N200" s="743"/>
      <c r="O200" s="743"/>
      <c r="P200" s="743"/>
      <c r="Q200" s="743"/>
      <c r="R200" s="743"/>
      <c r="S200" s="743"/>
      <c r="T200" s="743"/>
      <c r="U200" s="743"/>
      <c r="V200" s="743"/>
      <c r="W200" s="743"/>
      <c r="X200" s="743"/>
      <c r="Y200" s="743"/>
      <c r="Z200" s="743"/>
      <c r="AA200" s="743"/>
      <c r="AB200" s="743"/>
      <c r="AC200" s="743"/>
      <c r="AD200" s="743"/>
      <c r="AE200" s="743"/>
      <c r="AF200" s="743"/>
      <c r="AG200" s="743"/>
      <c r="AH200" s="743"/>
      <c r="AI200" s="743"/>
      <c r="AJ200" s="743"/>
      <c r="AK200" s="743"/>
      <c r="AL200" s="743"/>
      <c r="AM200" s="743"/>
    </row>
    <row r="201" spans="1:39" ht="17.25">
      <c r="A201" s="752"/>
      <c r="B201" s="752"/>
      <c r="C201" s="752"/>
      <c r="D201" s="752"/>
      <c r="E201" s="752"/>
      <c r="F201" s="752"/>
      <c r="G201" s="752"/>
      <c r="H201" s="752"/>
      <c r="I201" s="829"/>
      <c r="J201" s="752"/>
      <c r="K201" s="752"/>
      <c r="L201" s="743"/>
      <c r="M201" s="743"/>
      <c r="N201" s="743"/>
      <c r="O201" s="743"/>
      <c r="P201" s="743"/>
      <c r="Q201" s="743"/>
      <c r="R201" s="743"/>
      <c r="S201" s="743"/>
      <c r="T201" s="743"/>
      <c r="U201" s="743"/>
      <c r="V201" s="743"/>
      <c r="W201" s="743"/>
      <c r="X201" s="743"/>
      <c r="Y201" s="743"/>
      <c r="Z201" s="743"/>
      <c r="AA201" s="743"/>
      <c r="AB201" s="743"/>
      <c r="AC201" s="743"/>
      <c r="AD201" s="743"/>
      <c r="AE201" s="743"/>
      <c r="AF201" s="743"/>
      <c r="AG201" s="743"/>
      <c r="AH201" s="743"/>
      <c r="AI201" s="743"/>
      <c r="AJ201" s="743"/>
      <c r="AK201" s="743"/>
      <c r="AL201" s="743"/>
      <c r="AM201" s="743"/>
    </row>
    <row r="202" spans="1:39" ht="17.25">
      <c r="A202" s="752"/>
      <c r="B202" s="752"/>
      <c r="C202" s="752"/>
      <c r="D202" s="752"/>
      <c r="E202" s="752"/>
      <c r="F202" s="752"/>
      <c r="G202" s="752"/>
      <c r="H202" s="752"/>
      <c r="I202" s="829"/>
      <c r="J202" s="752"/>
      <c r="K202" s="752"/>
      <c r="L202" s="743"/>
      <c r="M202" s="743"/>
      <c r="N202" s="743"/>
      <c r="O202" s="743"/>
      <c r="P202" s="743"/>
      <c r="Q202" s="743"/>
      <c r="R202" s="743"/>
      <c r="S202" s="743"/>
      <c r="T202" s="743"/>
      <c r="U202" s="743"/>
      <c r="V202" s="743"/>
      <c r="W202" s="743"/>
      <c r="X202" s="743"/>
      <c r="Y202" s="743"/>
      <c r="Z202" s="743"/>
      <c r="AA202" s="743"/>
      <c r="AB202" s="743"/>
      <c r="AC202" s="743"/>
      <c r="AD202" s="743"/>
      <c r="AE202" s="743"/>
      <c r="AF202" s="743"/>
      <c r="AG202" s="743"/>
      <c r="AH202" s="743"/>
      <c r="AI202" s="743"/>
      <c r="AJ202" s="743"/>
      <c r="AK202" s="743"/>
      <c r="AL202" s="743"/>
      <c r="AM202" s="743"/>
    </row>
    <row r="203" spans="1:39" ht="17.25">
      <c r="A203" s="752"/>
      <c r="B203" s="752"/>
      <c r="C203" s="752"/>
      <c r="D203" s="752"/>
      <c r="E203" s="752"/>
      <c r="F203" s="752"/>
      <c r="G203" s="752"/>
      <c r="H203" s="752"/>
      <c r="I203" s="829"/>
      <c r="J203" s="752"/>
      <c r="K203" s="752"/>
      <c r="L203" s="743"/>
      <c r="M203" s="743"/>
      <c r="N203" s="743"/>
      <c r="O203" s="743"/>
      <c r="P203" s="743"/>
      <c r="Q203" s="743"/>
      <c r="R203" s="743"/>
      <c r="S203" s="743"/>
      <c r="T203" s="743"/>
      <c r="U203" s="743"/>
      <c r="V203" s="743"/>
      <c r="W203" s="743"/>
      <c r="X203" s="743"/>
      <c r="Y203" s="743"/>
      <c r="Z203" s="743"/>
      <c r="AA203" s="743"/>
      <c r="AB203" s="743"/>
      <c r="AC203" s="743"/>
      <c r="AD203" s="743"/>
      <c r="AE203" s="743"/>
      <c r="AF203" s="743"/>
      <c r="AG203" s="743"/>
      <c r="AH203" s="743"/>
      <c r="AI203" s="743"/>
      <c r="AJ203" s="743"/>
      <c r="AK203" s="743"/>
      <c r="AL203" s="743"/>
      <c r="AM203" s="743"/>
    </row>
    <row r="204" spans="1:39" ht="17.25">
      <c r="A204" s="752"/>
      <c r="B204" s="752"/>
      <c r="C204" s="752"/>
      <c r="D204" s="752"/>
      <c r="E204" s="752"/>
      <c r="F204" s="752"/>
      <c r="G204" s="752"/>
      <c r="H204" s="752"/>
      <c r="I204" s="829"/>
      <c r="J204" s="752"/>
      <c r="K204" s="752"/>
      <c r="L204" s="743"/>
      <c r="M204" s="743"/>
      <c r="N204" s="743"/>
      <c r="O204" s="743"/>
      <c r="P204" s="743"/>
      <c r="Q204" s="743"/>
      <c r="R204" s="743"/>
      <c r="S204" s="743"/>
      <c r="T204" s="743"/>
      <c r="U204" s="743"/>
      <c r="V204" s="743"/>
      <c r="W204" s="743"/>
      <c r="X204" s="743"/>
      <c r="Y204" s="743"/>
      <c r="Z204" s="743"/>
      <c r="AA204" s="743"/>
      <c r="AB204" s="743"/>
      <c r="AC204" s="743"/>
      <c r="AD204" s="743"/>
      <c r="AE204" s="743"/>
      <c r="AF204" s="743"/>
      <c r="AG204" s="743"/>
      <c r="AH204" s="743"/>
      <c r="AI204" s="743"/>
      <c r="AJ204" s="743"/>
      <c r="AK204" s="743"/>
      <c r="AL204" s="743"/>
      <c r="AM204" s="743"/>
    </row>
    <row r="205" spans="1:39" ht="17.25">
      <c r="A205" s="752"/>
      <c r="B205" s="752"/>
      <c r="C205" s="752"/>
      <c r="D205" s="752"/>
      <c r="E205" s="752"/>
      <c r="F205" s="752"/>
      <c r="G205" s="752"/>
      <c r="H205" s="752"/>
      <c r="I205" s="829"/>
      <c r="J205" s="752"/>
      <c r="K205" s="752"/>
      <c r="L205" s="743"/>
      <c r="M205" s="743"/>
      <c r="N205" s="743"/>
      <c r="O205" s="743"/>
      <c r="P205" s="743"/>
      <c r="Q205" s="743"/>
      <c r="R205" s="743"/>
      <c r="S205" s="743"/>
      <c r="T205" s="743"/>
      <c r="U205" s="743"/>
      <c r="V205" s="743"/>
      <c r="W205" s="743"/>
      <c r="X205" s="743"/>
      <c r="Y205" s="743"/>
      <c r="Z205" s="743"/>
      <c r="AA205" s="743"/>
      <c r="AB205" s="743"/>
      <c r="AC205" s="743"/>
      <c r="AD205" s="743"/>
      <c r="AE205" s="743"/>
      <c r="AF205" s="743"/>
      <c r="AG205" s="743"/>
      <c r="AH205" s="743"/>
      <c r="AI205" s="743"/>
      <c r="AJ205" s="743"/>
      <c r="AK205" s="743"/>
      <c r="AL205" s="743"/>
      <c r="AM205" s="743"/>
    </row>
    <row r="206" spans="1:39" ht="17.25">
      <c r="A206" s="752"/>
      <c r="B206" s="752"/>
      <c r="C206" s="752"/>
      <c r="D206" s="752"/>
      <c r="E206" s="752"/>
      <c r="F206" s="752"/>
      <c r="G206" s="752"/>
      <c r="H206" s="752"/>
      <c r="I206" s="829"/>
      <c r="J206" s="752"/>
      <c r="K206" s="752"/>
      <c r="L206" s="743"/>
      <c r="M206" s="743"/>
      <c r="N206" s="743"/>
      <c r="O206" s="743"/>
      <c r="P206" s="743"/>
      <c r="Q206" s="743"/>
      <c r="R206" s="743"/>
      <c r="S206" s="743"/>
      <c r="T206" s="743"/>
      <c r="U206" s="743"/>
      <c r="V206" s="743"/>
      <c r="W206" s="743"/>
      <c r="X206" s="743"/>
      <c r="Y206" s="743"/>
      <c r="Z206" s="743"/>
      <c r="AA206" s="743"/>
      <c r="AB206" s="743"/>
      <c r="AC206" s="743"/>
      <c r="AD206" s="743"/>
      <c r="AE206" s="743"/>
      <c r="AF206" s="743"/>
      <c r="AG206" s="743"/>
      <c r="AH206" s="743"/>
      <c r="AI206" s="743"/>
      <c r="AJ206" s="743"/>
      <c r="AK206" s="743"/>
      <c r="AL206" s="743"/>
      <c r="AM206" s="743"/>
    </row>
    <row r="207" spans="1:39" ht="17.25">
      <c r="A207" s="752"/>
      <c r="B207" s="752"/>
      <c r="C207" s="752"/>
      <c r="D207" s="752"/>
      <c r="E207" s="752"/>
      <c r="F207" s="752"/>
      <c r="G207" s="752"/>
      <c r="H207" s="752"/>
      <c r="I207" s="829"/>
      <c r="J207" s="752"/>
      <c r="K207" s="752"/>
      <c r="L207" s="743"/>
      <c r="M207" s="743"/>
      <c r="N207" s="743"/>
      <c r="O207" s="743"/>
      <c r="P207" s="743"/>
      <c r="Q207" s="743"/>
      <c r="R207" s="743"/>
      <c r="S207" s="743"/>
      <c r="T207" s="743"/>
      <c r="U207" s="743"/>
      <c r="V207" s="743"/>
      <c r="W207" s="743"/>
      <c r="X207" s="743"/>
      <c r="Y207" s="743"/>
      <c r="Z207" s="743"/>
      <c r="AA207" s="743"/>
      <c r="AB207" s="743"/>
      <c r="AC207" s="743"/>
      <c r="AD207" s="743"/>
      <c r="AE207" s="743"/>
      <c r="AF207" s="743"/>
      <c r="AG207" s="743"/>
      <c r="AH207" s="743"/>
      <c r="AI207" s="743"/>
      <c r="AJ207" s="743"/>
      <c r="AK207" s="743"/>
      <c r="AL207" s="743"/>
      <c r="AM207" s="743"/>
    </row>
    <row r="208" spans="1:39" ht="17.25">
      <c r="A208" s="752"/>
      <c r="B208" s="752"/>
      <c r="C208" s="752"/>
      <c r="D208" s="752"/>
      <c r="E208" s="752"/>
      <c r="F208" s="752"/>
      <c r="G208" s="752"/>
      <c r="H208" s="752"/>
      <c r="I208" s="829"/>
      <c r="J208" s="752"/>
      <c r="K208" s="752"/>
      <c r="L208" s="743"/>
      <c r="M208" s="743"/>
      <c r="N208" s="743"/>
      <c r="O208" s="743"/>
      <c r="P208" s="743"/>
      <c r="Q208" s="743"/>
      <c r="R208" s="743"/>
      <c r="S208" s="743"/>
      <c r="T208" s="743"/>
      <c r="U208" s="743"/>
      <c r="V208" s="743"/>
      <c r="W208" s="743"/>
      <c r="X208" s="743"/>
      <c r="Y208" s="743"/>
      <c r="Z208" s="743"/>
      <c r="AA208" s="743"/>
      <c r="AB208" s="743"/>
      <c r="AC208" s="743"/>
      <c r="AD208" s="743"/>
      <c r="AE208" s="743"/>
      <c r="AF208" s="743"/>
      <c r="AG208" s="743"/>
      <c r="AH208" s="743"/>
      <c r="AI208" s="743"/>
      <c r="AJ208" s="743"/>
      <c r="AK208" s="743"/>
      <c r="AL208" s="743"/>
      <c r="AM208" s="743"/>
    </row>
    <row r="209" spans="1:39" ht="17.25">
      <c r="A209" s="752"/>
      <c r="B209" s="752"/>
      <c r="C209" s="752"/>
      <c r="D209" s="752"/>
      <c r="E209" s="752"/>
      <c r="F209" s="752"/>
      <c r="G209" s="752"/>
      <c r="H209" s="752"/>
      <c r="I209" s="829"/>
      <c r="J209" s="752"/>
      <c r="K209" s="752"/>
      <c r="L209" s="743"/>
      <c r="M209" s="743"/>
      <c r="N209" s="743"/>
      <c r="O209" s="743"/>
      <c r="P209" s="743"/>
      <c r="Q209" s="743"/>
      <c r="R209" s="743"/>
      <c r="S209" s="743"/>
      <c r="T209" s="743"/>
      <c r="U209" s="743"/>
      <c r="V209" s="743"/>
      <c r="W209" s="743"/>
      <c r="X209" s="743"/>
      <c r="Y209" s="743"/>
      <c r="Z209" s="743"/>
      <c r="AA209" s="743"/>
      <c r="AB209" s="743"/>
      <c r="AC209" s="743"/>
      <c r="AD209" s="743"/>
      <c r="AE209" s="743"/>
      <c r="AF209" s="743"/>
      <c r="AG209" s="743"/>
      <c r="AH209" s="743"/>
      <c r="AI209" s="743"/>
      <c r="AJ209" s="743"/>
      <c r="AK209" s="743"/>
      <c r="AL209" s="743"/>
      <c r="AM209" s="743"/>
    </row>
    <row r="210" spans="1:39" ht="17.25">
      <c r="A210" s="752"/>
      <c r="B210" s="752"/>
      <c r="C210" s="752"/>
      <c r="D210" s="752"/>
      <c r="E210" s="752"/>
      <c r="F210" s="752"/>
      <c r="G210" s="752"/>
      <c r="H210" s="752"/>
      <c r="I210" s="829"/>
      <c r="J210" s="752"/>
      <c r="K210" s="752"/>
      <c r="L210" s="743"/>
      <c r="M210" s="743"/>
      <c r="N210" s="743"/>
      <c r="O210" s="743"/>
      <c r="P210" s="743"/>
      <c r="Q210" s="743"/>
      <c r="R210" s="743"/>
      <c r="S210" s="743"/>
      <c r="T210" s="743"/>
      <c r="U210" s="743"/>
      <c r="V210" s="743"/>
      <c r="W210" s="743"/>
      <c r="X210" s="743"/>
      <c r="Y210" s="743"/>
      <c r="Z210" s="743"/>
      <c r="AA210" s="743"/>
      <c r="AB210" s="743"/>
      <c r="AC210" s="743"/>
      <c r="AD210" s="743"/>
      <c r="AE210" s="743"/>
      <c r="AF210" s="743"/>
      <c r="AG210" s="743"/>
      <c r="AH210" s="743"/>
      <c r="AI210" s="743"/>
      <c r="AJ210" s="743"/>
      <c r="AK210" s="743"/>
      <c r="AL210" s="743"/>
      <c r="AM210" s="743"/>
    </row>
    <row r="211" spans="1:39" ht="17.25">
      <c r="A211" s="752"/>
      <c r="B211" s="752"/>
      <c r="C211" s="752"/>
      <c r="D211" s="752"/>
      <c r="E211" s="752"/>
      <c r="F211" s="752"/>
      <c r="G211" s="752"/>
      <c r="H211" s="752"/>
      <c r="I211" s="829"/>
      <c r="J211" s="752"/>
      <c r="K211" s="752"/>
      <c r="L211" s="743"/>
      <c r="M211" s="743"/>
      <c r="N211" s="743"/>
      <c r="O211" s="743"/>
      <c r="P211" s="743"/>
      <c r="Q211" s="743"/>
      <c r="R211" s="743"/>
      <c r="S211" s="743"/>
      <c r="T211" s="743"/>
      <c r="U211" s="743"/>
      <c r="V211" s="743"/>
      <c r="W211" s="743"/>
      <c r="X211" s="743"/>
      <c r="Y211" s="743"/>
      <c r="Z211" s="743"/>
      <c r="AA211" s="743"/>
      <c r="AB211" s="743"/>
      <c r="AC211" s="743"/>
      <c r="AD211" s="743"/>
      <c r="AE211" s="743"/>
      <c r="AF211" s="743"/>
      <c r="AG211" s="743"/>
      <c r="AH211" s="743"/>
      <c r="AI211" s="743"/>
      <c r="AJ211" s="743"/>
      <c r="AK211" s="743"/>
      <c r="AL211" s="743"/>
      <c r="AM211" s="743"/>
    </row>
    <row r="212" spans="1:39" ht="17.25">
      <c r="A212" s="752"/>
      <c r="B212" s="752"/>
      <c r="C212" s="752"/>
      <c r="D212" s="752"/>
      <c r="E212" s="752"/>
      <c r="F212" s="752"/>
      <c r="G212" s="752"/>
      <c r="H212" s="752"/>
      <c r="I212" s="829"/>
      <c r="J212" s="752"/>
      <c r="K212" s="752"/>
      <c r="L212" s="743"/>
      <c r="M212" s="743"/>
      <c r="N212" s="743"/>
      <c r="O212" s="743"/>
      <c r="P212" s="743"/>
      <c r="Q212" s="743"/>
      <c r="R212" s="743"/>
      <c r="S212" s="743"/>
      <c r="T212" s="743"/>
      <c r="U212" s="743"/>
      <c r="V212" s="743"/>
      <c r="W212" s="743"/>
      <c r="X212" s="743"/>
      <c r="Y212" s="743"/>
      <c r="Z212" s="743"/>
      <c r="AA212" s="743"/>
      <c r="AB212" s="743"/>
      <c r="AC212" s="743"/>
      <c r="AD212" s="743"/>
      <c r="AE212" s="743"/>
      <c r="AF212" s="743"/>
      <c r="AG212" s="743"/>
      <c r="AH212" s="743"/>
      <c r="AI212" s="743"/>
      <c r="AJ212" s="743"/>
      <c r="AK212" s="743"/>
      <c r="AL212" s="743"/>
      <c r="AM212" s="743"/>
    </row>
    <row r="213" spans="1:39" ht="17.25">
      <c r="A213" s="752"/>
      <c r="B213" s="752"/>
      <c r="C213" s="752"/>
      <c r="D213" s="752"/>
      <c r="E213" s="752"/>
      <c r="F213" s="752"/>
      <c r="G213" s="752"/>
      <c r="H213" s="752"/>
      <c r="I213" s="829"/>
      <c r="J213" s="752"/>
      <c r="K213" s="752"/>
      <c r="L213" s="743"/>
      <c r="M213" s="743"/>
      <c r="N213" s="743"/>
      <c r="O213" s="743"/>
      <c r="P213" s="743"/>
      <c r="Q213" s="743"/>
      <c r="R213" s="743"/>
      <c r="S213" s="743"/>
      <c r="T213" s="743"/>
      <c r="U213" s="743"/>
      <c r="V213" s="743"/>
      <c r="W213" s="743"/>
      <c r="X213" s="743"/>
      <c r="Y213" s="743"/>
      <c r="Z213" s="743"/>
      <c r="AA213" s="743"/>
      <c r="AB213" s="743"/>
      <c r="AC213" s="743"/>
      <c r="AD213" s="743"/>
      <c r="AE213" s="743"/>
      <c r="AF213" s="743"/>
      <c r="AG213" s="743"/>
      <c r="AH213" s="743"/>
      <c r="AI213" s="743"/>
      <c r="AJ213" s="743"/>
      <c r="AK213" s="743"/>
      <c r="AL213" s="743"/>
      <c r="AM213" s="743"/>
    </row>
    <row r="214" spans="1:39" ht="17.25">
      <c r="A214" s="752"/>
      <c r="B214" s="752"/>
      <c r="C214" s="752"/>
      <c r="D214" s="752"/>
      <c r="E214" s="752"/>
      <c r="F214" s="752"/>
      <c r="G214" s="752"/>
      <c r="H214" s="752"/>
      <c r="I214" s="829"/>
      <c r="J214" s="752"/>
      <c r="K214" s="752"/>
      <c r="L214" s="743"/>
      <c r="M214" s="743"/>
      <c r="N214" s="743"/>
      <c r="O214" s="743"/>
      <c r="P214" s="743"/>
      <c r="Q214" s="743"/>
      <c r="R214" s="743"/>
      <c r="S214" s="743"/>
      <c r="T214" s="743"/>
      <c r="U214" s="743"/>
      <c r="V214" s="743"/>
      <c r="W214" s="743"/>
      <c r="X214" s="743"/>
      <c r="Y214" s="743"/>
      <c r="Z214" s="743"/>
      <c r="AA214" s="743"/>
      <c r="AB214" s="743"/>
      <c r="AC214" s="743"/>
      <c r="AD214" s="743"/>
      <c r="AE214" s="743"/>
      <c r="AF214" s="743"/>
      <c r="AG214" s="743"/>
      <c r="AH214" s="743"/>
      <c r="AI214" s="743"/>
      <c r="AJ214" s="743"/>
      <c r="AK214" s="743"/>
      <c r="AL214" s="743"/>
      <c r="AM214" s="743"/>
    </row>
    <row r="215" spans="1:39" ht="17.25">
      <c r="A215" s="752"/>
      <c r="B215" s="752"/>
      <c r="C215" s="752"/>
      <c r="D215" s="752"/>
      <c r="E215" s="752"/>
      <c r="F215" s="752"/>
      <c r="G215" s="752"/>
      <c r="H215" s="752"/>
      <c r="I215" s="829"/>
      <c r="J215" s="752"/>
      <c r="K215" s="752"/>
      <c r="L215" s="743"/>
      <c r="M215" s="743"/>
      <c r="N215" s="743"/>
      <c r="O215" s="743"/>
      <c r="P215" s="743"/>
      <c r="Q215" s="743"/>
      <c r="R215" s="743"/>
      <c r="S215" s="743"/>
      <c r="T215" s="743"/>
      <c r="U215" s="743"/>
      <c r="V215" s="743"/>
      <c r="W215" s="743"/>
      <c r="X215" s="743"/>
      <c r="Y215" s="743"/>
      <c r="Z215" s="743"/>
      <c r="AA215" s="743"/>
      <c r="AB215" s="743"/>
      <c r="AC215" s="743"/>
      <c r="AD215" s="743"/>
      <c r="AE215" s="743"/>
      <c r="AF215" s="743"/>
      <c r="AG215" s="743"/>
      <c r="AH215" s="743"/>
      <c r="AI215" s="743"/>
      <c r="AJ215" s="743"/>
      <c r="AK215" s="743"/>
      <c r="AL215" s="743"/>
      <c r="AM215" s="743"/>
    </row>
    <row r="216" spans="1:39" ht="17.25">
      <c r="A216" s="752"/>
      <c r="B216" s="752"/>
      <c r="C216" s="752"/>
      <c r="D216" s="752"/>
      <c r="E216" s="752"/>
      <c r="F216" s="752"/>
      <c r="G216" s="752"/>
      <c r="H216" s="752"/>
      <c r="I216" s="829"/>
      <c r="J216" s="752"/>
      <c r="K216" s="752"/>
      <c r="L216" s="743"/>
      <c r="M216" s="743"/>
      <c r="N216" s="743"/>
      <c r="O216" s="743"/>
      <c r="P216" s="743"/>
      <c r="Q216" s="743"/>
      <c r="R216" s="743"/>
      <c r="S216" s="743"/>
      <c r="T216" s="743"/>
      <c r="U216" s="743"/>
      <c r="V216" s="743"/>
      <c r="W216" s="743"/>
      <c r="X216" s="743"/>
      <c r="Y216" s="743"/>
      <c r="Z216" s="743"/>
      <c r="AA216" s="743"/>
      <c r="AB216" s="743"/>
      <c r="AC216" s="743"/>
      <c r="AD216" s="743"/>
      <c r="AE216" s="743"/>
      <c r="AF216" s="743"/>
      <c r="AG216" s="743"/>
      <c r="AH216" s="743"/>
      <c r="AI216" s="743"/>
      <c r="AJ216" s="743"/>
      <c r="AK216" s="743"/>
      <c r="AL216" s="743"/>
      <c r="AM216" s="743"/>
    </row>
    <row r="217" spans="1:39" ht="17.25">
      <c r="A217" s="752"/>
      <c r="B217" s="752"/>
      <c r="C217" s="752"/>
      <c r="D217" s="752"/>
      <c r="E217" s="752"/>
      <c r="F217" s="752"/>
      <c r="G217" s="752"/>
      <c r="H217" s="752"/>
      <c r="I217" s="829"/>
      <c r="J217" s="752"/>
      <c r="K217" s="752"/>
      <c r="L217" s="743"/>
      <c r="M217" s="743"/>
      <c r="N217" s="743"/>
      <c r="O217" s="743"/>
      <c r="P217" s="743"/>
      <c r="Q217" s="743"/>
      <c r="R217" s="743"/>
      <c r="S217" s="743"/>
      <c r="T217" s="743"/>
      <c r="U217" s="743"/>
      <c r="V217" s="743"/>
      <c r="W217" s="743"/>
      <c r="X217" s="743"/>
      <c r="Y217" s="743"/>
      <c r="Z217" s="743"/>
      <c r="AA217" s="743"/>
      <c r="AB217" s="743"/>
      <c r="AC217" s="743"/>
      <c r="AD217" s="743"/>
      <c r="AE217" s="743"/>
      <c r="AF217" s="743"/>
      <c r="AG217" s="743"/>
      <c r="AH217" s="743"/>
      <c r="AI217" s="743"/>
      <c r="AJ217" s="743"/>
      <c r="AK217" s="743"/>
      <c r="AL217" s="743"/>
      <c r="AM217" s="743"/>
    </row>
    <row r="218" spans="1:39" ht="17.25">
      <c r="A218" s="752"/>
      <c r="B218" s="752"/>
      <c r="C218" s="752"/>
      <c r="D218" s="752"/>
      <c r="E218" s="752"/>
      <c r="F218" s="752"/>
      <c r="G218" s="752"/>
      <c r="H218" s="752"/>
      <c r="I218" s="829"/>
      <c r="J218" s="752"/>
      <c r="K218" s="752"/>
      <c r="L218" s="743"/>
      <c r="M218" s="743"/>
      <c r="N218" s="743"/>
      <c r="O218" s="743"/>
      <c r="P218" s="743"/>
      <c r="Q218" s="743"/>
      <c r="R218" s="743"/>
      <c r="S218" s="743"/>
      <c r="T218" s="743"/>
      <c r="U218" s="743"/>
      <c r="V218" s="743"/>
      <c r="W218" s="743"/>
      <c r="X218" s="743"/>
      <c r="Y218" s="743"/>
      <c r="Z218" s="743"/>
      <c r="AA218" s="743"/>
      <c r="AB218" s="743"/>
      <c r="AC218" s="743"/>
      <c r="AD218" s="743"/>
      <c r="AE218" s="743"/>
      <c r="AF218" s="743"/>
      <c r="AG218" s="743"/>
      <c r="AH218" s="743"/>
      <c r="AI218" s="743"/>
      <c r="AJ218" s="743"/>
      <c r="AK218" s="743"/>
      <c r="AL218" s="743"/>
      <c r="AM218" s="743"/>
    </row>
    <row r="219" spans="1:39" ht="17.25">
      <c r="A219" s="752"/>
      <c r="B219" s="752"/>
      <c r="C219" s="752"/>
      <c r="D219" s="752"/>
      <c r="E219" s="752"/>
      <c r="F219" s="752"/>
      <c r="G219" s="752"/>
      <c r="H219" s="752"/>
      <c r="I219" s="829"/>
      <c r="J219" s="752"/>
      <c r="K219" s="752"/>
      <c r="L219" s="743"/>
      <c r="M219" s="743"/>
      <c r="N219" s="743"/>
      <c r="O219" s="743"/>
      <c r="P219" s="743"/>
      <c r="Q219" s="743"/>
      <c r="R219" s="743"/>
      <c r="S219" s="743"/>
      <c r="T219" s="743"/>
      <c r="U219" s="743"/>
      <c r="V219" s="743"/>
      <c r="W219" s="743"/>
      <c r="X219" s="743"/>
      <c r="Y219" s="743"/>
      <c r="Z219" s="743"/>
      <c r="AA219" s="743"/>
      <c r="AB219" s="743"/>
      <c r="AC219" s="743"/>
      <c r="AD219" s="743"/>
      <c r="AE219" s="743"/>
      <c r="AF219" s="743"/>
      <c r="AG219" s="743"/>
      <c r="AH219" s="743"/>
      <c r="AI219" s="743"/>
      <c r="AJ219" s="743"/>
      <c r="AK219" s="743"/>
      <c r="AL219" s="743"/>
      <c r="AM219" s="743"/>
    </row>
    <row r="220" spans="1:39" ht="17.25">
      <c r="A220" s="752"/>
      <c r="B220" s="752"/>
      <c r="C220" s="752"/>
      <c r="D220" s="752"/>
      <c r="E220" s="752"/>
      <c r="F220" s="752"/>
      <c r="G220" s="752"/>
      <c r="H220" s="752"/>
      <c r="I220" s="829"/>
      <c r="J220" s="752"/>
      <c r="K220" s="752"/>
      <c r="L220" s="743"/>
      <c r="M220" s="743"/>
      <c r="N220" s="743"/>
      <c r="O220" s="743"/>
      <c r="P220" s="743"/>
      <c r="Q220" s="743"/>
      <c r="R220" s="743"/>
      <c r="S220" s="743"/>
      <c r="T220" s="743"/>
      <c r="U220" s="743"/>
      <c r="V220" s="743"/>
      <c r="W220" s="743"/>
      <c r="X220" s="743"/>
      <c r="Y220" s="743"/>
      <c r="Z220" s="743"/>
      <c r="AA220" s="743"/>
      <c r="AB220" s="743"/>
      <c r="AC220" s="743"/>
      <c r="AD220" s="743"/>
      <c r="AE220" s="743"/>
      <c r="AF220" s="743"/>
      <c r="AG220" s="743"/>
      <c r="AH220" s="743"/>
      <c r="AI220" s="743"/>
      <c r="AJ220" s="743"/>
      <c r="AK220" s="743"/>
      <c r="AL220" s="743"/>
      <c r="AM220" s="743"/>
    </row>
    <row r="221" spans="1:39" ht="17.25">
      <c r="A221" s="752"/>
      <c r="B221" s="752"/>
      <c r="C221" s="752"/>
      <c r="D221" s="752"/>
      <c r="E221" s="752"/>
      <c r="F221" s="752"/>
      <c r="G221" s="752"/>
      <c r="H221" s="752"/>
      <c r="I221" s="829"/>
      <c r="J221" s="752"/>
      <c r="K221" s="752"/>
      <c r="L221" s="743"/>
      <c r="M221" s="743"/>
      <c r="N221" s="743"/>
      <c r="O221" s="743"/>
      <c r="P221" s="743"/>
      <c r="Q221" s="743"/>
      <c r="R221" s="743"/>
      <c r="S221" s="743"/>
      <c r="T221" s="743"/>
      <c r="U221" s="743"/>
      <c r="V221" s="743"/>
      <c r="W221" s="743"/>
      <c r="X221" s="743"/>
      <c r="Y221" s="743"/>
      <c r="Z221" s="743"/>
      <c r="AA221" s="743"/>
      <c r="AB221" s="743"/>
      <c r="AC221" s="743"/>
      <c r="AD221" s="743"/>
      <c r="AE221" s="743"/>
      <c r="AF221" s="743"/>
      <c r="AG221" s="743"/>
      <c r="AH221" s="743"/>
      <c r="AI221" s="743"/>
      <c r="AJ221" s="743"/>
      <c r="AK221" s="743"/>
      <c r="AL221" s="743"/>
      <c r="AM221" s="743"/>
    </row>
    <row r="222" spans="1:39" ht="17.25">
      <c r="A222" s="752"/>
      <c r="B222" s="752"/>
      <c r="C222" s="752"/>
      <c r="D222" s="752"/>
      <c r="E222" s="752"/>
      <c r="F222" s="752"/>
      <c r="G222" s="752"/>
      <c r="H222" s="752"/>
      <c r="I222" s="829"/>
      <c r="J222" s="752"/>
      <c r="K222" s="752"/>
      <c r="L222" s="743"/>
      <c r="M222" s="743"/>
      <c r="N222" s="743"/>
      <c r="O222" s="743"/>
      <c r="P222" s="743"/>
      <c r="Q222" s="743"/>
      <c r="R222" s="743"/>
      <c r="S222" s="743"/>
      <c r="T222" s="743"/>
      <c r="U222" s="743"/>
      <c r="V222" s="743"/>
      <c r="W222" s="743"/>
      <c r="X222" s="743"/>
      <c r="Y222" s="743"/>
      <c r="Z222" s="743"/>
      <c r="AA222" s="743"/>
      <c r="AB222" s="743"/>
      <c r="AC222" s="743"/>
      <c r="AD222" s="743"/>
      <c r="AE222" s="743"/>
      <c r="AF222" s="743"/>
      <c r="AG222" s="743"/>
      <c r="AH222" s="743"/>
      <c r="AI222" s="743"/>
      <c r="AJ222" s="743"/>
      <c r="AK222" s="743"/>
      <c r="AL222" s="743"/>
      <c r="AM222" s="743"/>
    </row>
    <row r="223" spans="1:39" ht="17.25">
      <c r="A223" s="752"/>
      <c r="B223" s="752"/>
      <c r="C223" s="752"/>
      <c r="D223" s="752"/>
      <c r="E223" s="752"/>
      <c r="F223" s="752"/>
      <c r="G223" s="752"/>
      <c r="H223" s="752"/>
      <c r="I223" s="829"/>
      <c r="J223" s="752"/>
      <c r="K223" s="752"/>
      <c r="L223" s="743"/>
      <c r="M223" s="743"/>
      <c r="N223" s="743"/>
      <c r="O223" s="743"/>
      <c r="P223" s="743"/>
      <c r="Q223" s="743"/>
      <c r="R223" s="743"/>
      <c r="S223" s="743"/>
      <c r="T223" s="743"/>
      <c r="U223" s="743"/>
      <c r="V223" s="743"/>
      <c r="W223" s="743"/>
      <c r="X223" s="743"/>
      <c r="Y223" s="743"/>
      <c r="Z223" s="743"/>
      <c r="AA223" s="743"/>
      <c r="AB223" s="743"/>
      <c r="AC223" s="743"/>
      <c r="AD223" s="743"/>
      <c r="AE223" s="743"/>
      <c r="AF223" s="743"/>
      <c r="AG223" s="743"/>
      <c r="AH223" s="743"/>
      <c r="AI223" s="743"/>
      <c r="AJ223" s="743"/>
      <c r="AK223" s="743"/>
      <c r="AL223" s="743"/>
      <c r="AM223" s="743"/>
    </row>
    <row r="224" spans="1:39" ht="17.25">
      <c r="A224" s="752"/>
      <c r="B224" s="752"/>
      <c r="C224" s="752"/>
      <c r="D224" s="752"/>
      <c r="E224" s="752"/>
      <c r="F224" s="752"/>
      <c r="G224" s="752"/>
      <c r="H224" s="752"/>
      <c r="I224" s="829"/>
      <c r="J224" s="752"/>
      <c r="K224" s="752"/>
      <c r="L224" s="743"/>
      <c r="M224" s="743"/>
      <c r="N224" s="743"/>
      <c r="O224" s="743"/>
      <c r="P224" s="743"/>
      <c r="Q224" s="743"/>
      <c r="R224" s="743"/>
      <c r="S224" s="743"/>
      <c r="T224" s="743"/>
      <c r="U224" s="743"/>
      <c r="V224" s="743"/>
      <c r="W224" s="743"/>
      <c r="X224" s="743"/>
      <c r="Y224" s="743"/>
      <c r="Z224" s="743"/>
      <c r="AA224" s="743"/>
      <c r="AB224" s="743"/>
      <c r="AC224" s="743"/>
      <c r="AD224" s="743"/>
      <c r="AE224" s="743"/>
      <c r="AF224" s="743"/>
      <c r="AG224" s="743"/>
      <c r="AH224" s="743"/>
      <c r="AI224" s="743"/>
      <c r="AJ224" s="743"/>
      <c r="AK224" s="743"/>
      <c r="AL224" s="743"/>
      <c r="AM224" s="743"/>
    </row>
    <row r="225" spans="1:39" ht="17.25">
      <c r="A225" s="752"/>
      <c r="B225" s="752"/>
      <c r="C225" s="752"/>
      <c r="D225" s="752"/>
      <c r="E225" s="752"/>
      <c r="F225" s="752"/>
      <c r="G225" s="752"/>
      <c r="H225" s="752"/>
      <c r="I225" s="829"/>
      <c r="J225" s="752"/>
      <c r="K225" s="752"/>
      <c r="L225" s="743"/>
      <c r="M225" s="743"/>
      <c r="N225" s="743"/>
      <c r="O225" s="743"/>
      <c r="P225" s="743"/>
      <c r="Q225" s="743"/>
      <c r="R225" s="743"/>
      <c r="S225" s="743"/>
      <c r="T225" s="743"/>
      <c r="U225" s="743"/>
      <c r="V225" s="743"/>
      <c r="W225" s="743"/>
      <c r="X225" s="743"/>
      <c r="Y225" s="743"/>
      <c r="Z225" s="743"/>
      <c r="AA225" s="743"/>
      <c r="AB225" s="743"/>
      <c r="AC225" s="743"/>
      <c r="AD225" s="743"/>
      <c r="AE225" s="743"/>
      <c r="AF225" s="743"/>
      <c r="AG225" s="743"/>
      <c r="AH225" s="743"/>
      <c r="AI225" s="743"/>
      <c r="AJ225" s="743"/>
      <c r="AK225" s="743"/>
      <c r="AL225" s="743"/>
      <c r="AM225" s="743"/>
    </row>
    <row r="226" spans="1:39" ht="17.25">
      <c r="A226" s="752"/>
      <c r="B226" s="752"/>
      <c r="C226" s="752"/>
      <c r="D226" s="752"/>
      <c r="E226" s="752"/>
      <c r="F226" s="752"/>
      <c r="G226" s="752"/>
      <c r="H226" s="752"/>
      <c r="I226" s="829"/>
      <c r="J226" s="752"/>
      <c r="K226" s="752"/>
      <c r="L226" s="743"/>
      <c r="M226" s="743"/>
      <c r="N226" s="743"/>
      <c r="O226" s="743"/>
      <c r="P226" s="743"/>
      <c r="Q226" s="743"/>
      <c r="R226" s="743"/>
      <c r="S226" s="743"/>
      <c r="T226" s="743"/>
      <c r="U226" s="743"/>
      <c r="V226" s="743"/>
      <c r="W226" s="743"/>
      <c r="X226" s="743"/>
      <c r="Y226" s="743"/>
      <c r="Z226" s="743"/>
      <c r="AA226" s="743"/>
      <c r="AB226" s="743"/>
      <c r="AC226" s="743"/>
      <c r="AD226" s="743"/>
      <c r="AE226" s="743"/>
      <c r="AF226" s="743"/>
      <c r="AG226" s="743"/>
      <c r="AH226" s="743"/>
      <c r="AI226" s="743"/>
      <c r="AJ226" s="743"/>
      <c r="AK226" s="743"/>
      <c r="AL226" s="743"/>
      <c r="AM226" s="743"/>
    </row>
    <row r="227" spans="1:39" ht="17.25">
      <c r="A227" s="752"/>
      <c r="B227" s="752"/>
      <c r="C227" s="752"/>
      <c r="D227" s="752"/>
      <c r="E227" s="752"/>
      <c r="F227" s="752"/>
      <c r="G227" s="752"/>
      <c r="H227" s="752"/>
      <c r="I227" s="829"/>
      <c r="J227" s="752"/>
      <c r="K227" s="752"/>
      <c r="L227" s="743"/>
      <c r="M227" s="743"/>
      <c r="N227" s="743"/>
      <c r="O227" s="743"/>
      <c r="P227" s="743"/>
      <c r="Q227" s="743"/>
      <c r="R227" s="743"/>
      <c r="S227" s="743"/>
      <c r="T227" s="743"/>
      <c r="U227" s="743"/>
      <c r="V227" s="743"/>
      <c r="W227" s="743"/>
      <c r="X227" s="743"/>
      <c r="Y227" s="743"/>
      <c r="Z227" s="743"/>
      <c r="AA227" s="743"/>
      <c r="AB227" s="743"/>
      <c r="AC227" s="743"/>
      <c r="AD227" s="743"/>
      <c r="AE227" s="743"/>
      <c r="AF227" s="743"/>
      <c r="AG227" s="743"/>
      <c r="AH227" s="743"/>
      <c r="AI227" s="743"/>
      <c r="AJ227" s="743"/>
      <c r="AK227" s="743"/>
      <c r="AL227" s="743"/>
      <c r="AM227" s="743"/>
    </row>
    <row r="228" spans="1:39" ht="17.25">
      <c r="A228" s="752"/>
      <c r="B228" s="752"/>
      <c r="C228" s="752"/>
      <c r="D228" s="752"/>
      <c r="E228" s="752"/>
      <c r="F228" s="752"/>
      <c r="G228" s="752"/>
      <c r="H228" s="752"/>
      <c r="I228" s="829"/>
      <c r="J228" s="752"/>
      <c r="K228" s="752"/>
      <c r="L228" s="743"/>
      <c r="M228" s="743"/>
      <c r="N228" s="743"/>
      <c r="O228" s="743"/>
      <c r="P228" s="743"/>
      <c r="Q228" s="743"/>
      <c r="R228" s="743"/>
      <c r="S228" s="743"/>
      <c r="T228" s="743"/>
      <c r="U228" s="743"/>
      <c r="V228" s="743"/>
      <c r="W228" s="743"/>
      <c r="X228" s="743"/>
      <c r="Y228" s="743"/>
      <c r="Z228" s="743"/>
      <c r="AA228" s="743"/>
      <c r="AB228" s="743"/>
      <c r="AC228" s="743"/>
      <c r="AD228" s="743"/>
      <c r="AE228" s="743"/>
      <c r="AF228" s="743"/>
      <c r="AG228" s="743"/>
      <c r="AH228" s="743"/>
      <c r="AI228" s="743"/>
      <c r="AJ228" s="743"/>
      <c r="AK228" s="743"/>
      <c r="AL228" s="743"/>
      <c r="AM228" s="743"/>
    </row>
    <row r="229" spans="1:39" ht="17.25">
      <c r="A229" s="752"/>
      <c r="B229" s="752"/>
      <c r="C229" s="752"/>
      <c r="D229" s="752"/>
      <c r="E229" s="752"/>
      <c r="F229" s="752"/>
      <c r="G229" s="752"/>
      <c r="H229" s="752"/>
      <c r="I229" s="829"/>
      <c r="J229" s="752"/>
      <c r="K229" s="752"/>
      <c r="L229" s="743"/>
      <c r="M229" s="743"/>
      <c r="N229" s="743"/>
      <c r="O229" s="743"/>
      <c r="P229" s="743"/>
      <c r="Q229" s="743"/>
      <c r="R229" s="743"/>
      <c r="S229" s="743"/>
      <c r="T229" s="743"/>
      <c r="U229" s="743"/>
      <c r="V229" s="743"/>
      <c r="W229" s="743"/>
      <c r="X229" s="743"/>
      <c r="Y229" s="743"/>
      <c r="Z229" s="743"/>
      <c r="AA229" s="743"/>
      <c r="AB229" s="743"/>
      <c r="AC229" s="743"/>
      <c r="AD229" s="743"/>
      <c r="AE229" s="743"/>
      <c r="AF229" s="743"/>
      <c r="AG229" s="743"/>
      <c r="AH229" s="743"/>
      <c r="AI229" s="743"/>
      <c r="AJ229" s="743"/>
      <c r="AK229" s="743"/>
      <c r="AL229" s="743"/>
      <c r="AM229" s="743"/>
    </row>
    <row r="230" spans="1:39" ht="17.25">
      <c r="A230" s="752"/>
      <c r="B230" s="752"/>
      <c r="C230" s="752"/>
      <c r="D230" s="752"/>
      <c r="E230" s="752"/>
      <c r="F230" s="752"/>
      <c r="G230" s="752"/>
      <c r="H230" s="752"/>
      <c r="I230" s="829"/>
      <c r="J230" s="752"/>
      <c r="K230" s="752"/>
      <c r="L230" s="743"/>
      <c r="M230" s="743"/>
      <c r="N230" s="743"/>
      <c r="O230" s="743"/>
      <c r="P230" s="743"/>
      <c r="Q230" s="743"/>
      <c r="R230" s="743"/>
      <c r="S230" s="743"/>
      <c r="T230" s="743"/>
      <c r="U230" s="743"/>
      <c r="V230" s="743"/>
      <c r="W230" s="743"/>
      <c r="X230" s="743"/>
      <c r="Y230" s="743"/>
      <c r="Z230" s="743"/>
      <c r="AA230" s="743"/>
      <c r="AB230" s="743"/>
      <c r="AC230" s="743"/>
      <c r="AD230" s="743"/>
      <c r="AE230" s="743"/>
      <c r="AF230" s="743"/>
      <c r="AG230" s="743"/>
      <c r="AH230" s="743"/>
      <c r="AI230" s="743"/>
      <c r="AJ230" s="743"/>
      <c r="AK230" s="743"/>
      <c r="AL230" s="743"/>
      <c r="AM230" s="743"/>
    </row>
    <row r="231" spans="1:39" ht="17.25">
      <c r="A231" s="752"/>
      <c r="B231" s="752"/>
      <c r="C231" s="752"/>
      <c r="D231" s="752"/>
      <c r="E231" s="752"/>
      <c r="F231" s="752"/>
      <c r="G231" s="752"/>
      <c r="H231" s="752"/>
      <c r="I231" s="829"/>
      <c r="J231" s="752"/>
      <c r="K231" s="752"/>
      <c r="L231" s="743"/>
      <c r="M231" s="743"/>
      <c r="N231" s="743"/>
      <c r="O231" s="743"/>
      <c r="P231" s="743"/>
      <c r="Q231" s="743"/>
      <c r="R231" s="743"/>
      <c r="S231" s="743"/>
      <c r="T231" s="743"/>
      <c r="U231" s="743"/>
      <c r="V231" s="743"/>
      <c r="W231" s="743"/>
      <c r="X231" s="743"/>
      <c r="Y231" s="743"/>
      <c r="Z231" s="743"/>
      <c r="AA231" s="743"/>
      <c r="AB231" s="743"/>
      <c r="AC231" s="743"/>
      <c r="AD231" s="743"/>
      <c r="AE231" s="743"/>
      <c r="AF231" s="743"/>
      <c r="AG231" s="743"/>
      <c r="AH231" s="743"/>
      <c r="AI231" s="743"/>
      <c r="AJ231" s="743"/>
      <c r="AK231" s="743"/>
      <c r="AL231" s="743"/>
      <c r="AM231" s="743"/>
    </row>
    <row r="232" spans="1:39" ht="17.25">
      <c r="A232" s="752"/>
      <c r="B232" s="752"/>
      <c r="C232" s="752"/>
      <c r="D232" s="752"/>
      <c r="E232" s="752"/>
      <c r="F232" s="752"/>
      <c r="G232" s="752"/>
      <c r="H232" s="752"/>
      <c r="I232" s="829"/>
      <c r="J232" s="752"/>
      <c r="K232" s="752"/>
      <c r="L232" s="743"/>
      <c r="M232" s="743"/>
      <c r="N232" s="743"/>
      <c r="O232" s="743"/>
      <c r="P232" s="743"/>
      <c r="Q232" s="743"/>
      <c r="R232" s="743"/>
      <c r="S232" s="743"/>
      <c r="T232" s="743"/>
      <c r="U232" s="743"/>
      <c r="V232" s="743"/>
      <c r="W232" s="743"/>
      <c r="X232" s="743"/>
      <c r="Y232" s="743"/>
      <c r="Z232" s="743"/>
      <c r="AA232" s="743"/>
      <c r="AB232" s="743"/>
      <c r="AC232" s="743"/>
      <c r="AD232" s="743"/>
      <c r="AE232" s="743"/>
      <c r="AF232" s="743"/>
      <c r="AG232" s="743"/>
      <c r="AH232" s="743"/>
      <c r="AI232" s="743"/>
      <c r="AJ232" s="743"/>
      <c r="AK232" s="743"/>
      <c r="AL232" s="743"/>
      <c r="AM232" s="743"/>
    </row>
    <row r="233" spans="1:39" ht="17.25">
      <c r="A233" s="752"/>
      <c r="B233" s="752"/>
      <c r="C233" s="752"/>
      <c r="D233" s="752"/>
      <c r="E233" s="752"/>
      <c r="F233" s="752"/>
      <c r="G233" s="752"/>
      <c r="H233" s="752"/>
      <c r="I233" s="829"/>
      <c r="J233" s="752"/>
      <c r="K233" s="752"/>
      <c r="L233" s="743"/>
      <c r="M233" s="743"/>
      <c r="N233" s="743"/>
      <c r="O233" s="743"/>
      <c r="P233" s="743"/>
      <c r="Q233" s="743"/>
      <c r="R233" s="743"/>
      <c r="S233" s="743"/>
      <c r="T233" s="743"/>
      <c r="U233" s="743"/>
      <c r="V233" s="743"/>
      <c r="W233" s="743"/>
      <c r="X233" s="743"/>
      <c r="Y233" s="743"/>
      <c r="Z233" s="743"/>
      <c r="AA233" s="743"/>
      <c r="AB233" s="743"/>
      <c r="AC233" s="743"/>
      <c r="AD233" s="743"/>
      <c r="AE233" s="743"/>
      <c r="AF233" s="743"/>
      <c r="AG233" s="743"/>
      <c r="AH233" s="743"/>
      <c r="AI233" s="743"/>
      <c r="AJ233" s="743"/>
      <c r="AK233" s="743"/>
      <c r="AL233" s="743"/>
      <c r="AM233" s="743"/>
    </row>
    <row r="234" spans="1:39" ht="17.25">
      <c r="A234" s="752"/>
      <c r="B234" s="752"/>
      <c r="C234" s="752"/>
      <c r="D234" s="752"/>
      <c r="E234" s="752"/>
      <c r="F234" s="752"/>
      <c r="G234" s="752"/>
      <c r="H234" s="752"/>
      <c r="I234" s="829"/>
      <c r="J234" s="752"/>
      <c r="K234" s="752"/>
      <c r="L234" s="743"/>
      <c r="M234" s="743"/>
      <c r="N234" s="743"/>
      <c r="O234" s="743"/>
      <c r="P234" s="743"/>
      <c r="Q234" s="743"/>
      <c r="R234" s="743"/>
      <c r="S234" s="743"/>
      <c r="T234" s="743"/>
      <c r="U234" s="743"/>
      <c r="V234" s="743"/>
      <c r="W234" s="743"/>
      <c r="X234" s="743"/>
      <c r="Y234" s="743"/>
      <c r="Z234" s="743"/>
      <c r="AA234" s="743"/>
      <c r="AB234" s="743"/>
      <c r="AC234" s="743"/>
      <c r="AD234" s="743"/>
      <c r="AE234" s="743"/>
      <c r="AF234" s="743"/>
      <c r="AG234" s="743"/>
      <c r="AH234" s="743"/>
      <c r="AI234" s="743"/>
      <c r="AJ234" s="743"/>
      <c r="AK234" s="743"/>
      <c r="AL234" s="743"/>
      <c r="AM234" s="743"/>
    </row>
    <row r="235" spans="1:39" ht="17.25">
      <c r="A235" s="752"/>
      <c r="B235" s="752"/>
      <c r="C235" s="752"/>
      <c r="D235" s="752"/>
      <c r="E235" s="752"/>
      <c r="F235" s="752"/>
      <c r="G235" s="752"/>
      <c r="H235" s="752"/>
      <c r="I235" s="829"/>
      <c r="J235" s="752"/>
      <c r="K235" s="752"/>
      <c r="L235" s="743"/>
      <c r="M235" s="743"/>
      <c r="N235" s="743"/>
      <c r="O235" s="743"/>
      <c r="P235" s="743"/>
      <c r="Q235" s="743"/>
      <c r="R235" s="743"/>
      <c r="S235" s="743"/>
      <c r="T235" s="743"/>
      <c r="U235" s="743"/>
      <c r="V235" s="743"/>
      <c r="W235" s="743"/>
      <c r="X235" s="743"/>
      <c r="Y235" s="743"/>
      <c r="Z235" s="743"/>
      <c r="AA235" s="743"/>
      <c r="AB235" s="743"/>
      <c r="AC235" s="743"/>
      <c r="AD235" s="743"/>
      <c r="AE235" s="743"/>
      <c r="AF235" s="743"/>
      <c r="AG235" s="743"/>
      <c r="AH235" s="743"/>
      <c r="AI235" s="743"/>
      <c r="AJ235" s="743"/>
      <c r="AK235" s="743"/>
      <c r="AL235" s="743"/>
      <c r="AM235" s="743"/>
    </row>
    <row r="236" spans="1:39" ht="17.25">
      <c r="A236" s="752"/>
      <c r="B236" s="752"/>
      <c r="C236" s="752"/>
      <c r="D236" s="752"/>
      <c r="E236" s="752"/>
      <c r="F236" s="752"/>
      <c r="G236" s="752"/>
      <c r="H236" s="752"/>
      <c r="I236" s="829"/>
      <c r="J236" s="752"/>
      <c r="K236" s="752"/>
      <c r="L236" s="743"/>
      <c r="M236" s="743"/>
      <c r="N236" s="743"/>
      <c r="O236" s="743"/>
      <c r="P236" s="743"/>
      <c r="Q236" s="743"/>
      <c r="R236" s="743"/>
      <c r="S236" s="743"/>
      <c r="T236" s="743"/>
      <c r="U236" s="743"/>
      <c r="V236" s="743"/>
      <c r="W236" s="743"/>
      <c r="X236" s="743"/>
      <c r="Y236" s="743"/>
      <c r="Z236" s="743"/>
      <c r="AA236" s="743"/>
      <c r="AB236" s="743"/>
      <c r="AC236" s="743"/>
      <c r="AD236" s="743"/>
      <c r="AE236" s="743"/>
      <c r="AF236" s="743"/>
      <c r="AG236" s="743"/>
      <c r="AH236" s="743"/>
      <c r="AI236" s="743"/>
      <c r="AJ236" s="743"/>
      <c r="AK236" s="743"/>
      <c r="AL236" s="743"/>
      <c r="AM236" s="743"/>
    </row>
    <row r="237" spans="1:39" ht="17.25">
      <c r="A237" s="752"/>
      <c r="B237" s="752"/>
      <c r="C237" s="752"/>
      <c r="D237" s="752"/>
      <c r="E237" s="752"/>
      <c r="F237" s="752"/>
      <c r="G237" s="752"/>
      <c r="H237" s="752"/>
      <c r="I237" s="829"/>
      <c r="J237" s="752"/>
      <c r="K237" s="752"/>
      <c r="L237" s="743"/>
      <c r="M237" s="743"/>
      <c r="N237" s="743"/>
      <c r="O237" s="743"/>
      <c r="P237" s="743"/>
      <c r="Q237" s="743"/>
      <c r="R237" s="743"/>
      <c r="S237" s="743"/>
      <c r="T237" s="743"/>
      <c r="U237" s="743"/>
      <c r="V237" s="743"/>
      <c r="W237" s="743"/>
      <c r="X237" s="743"/>
      <c r="Y237" s="743"/>
      <c r="Z237" s="743"/>
      <c r="AA237" s="743"/>
      <c r="AB237" s="743"/>
      <c r="AC237" s="743"/>
      <c r="AD237" s="743"/>
      <c r="AE237" s="743"/>
      <c r="AF237" s="743"/>
      <c r="AG237" s="743"/>
      <c r="AH237" s="743"/>
      <c r="AI237" s="743"/>
      <c r="AJ237" s="743"/>
      <c r="AK237" s="743"/>
      <c r="AL237" s="743"/>
      <c r="AM237" s="743"/>
    </row>
    <row r="238" spans="1:39" ht="17.25">
      <c r="A238" s="752"/>
      <c r="B238" s="752"/>
      <c r="C238" s="752"/>
      <c r="D238" s="752"/>
      <c r="E238" s="752"/>
      <c r="F238" s="752"/>
      <c r="G238" s="752"/>
      <c r="H238" s="752"/>
      <c r="I238" s="829"/>
      <c r="J238" s="752"/>
      <c r="K238" s="752"/>
      <c r="L238" s="743"/>
      <c r="M238" s="743"/>
      <c r="N238" s="743"/>
      <c r="O238" s="743"/>
      <c r="P238" s="743"/>
      <c r="Q238" s="743"/>
      <c r="R238" s="743"/>
      <c r="S238" s="743"/>
      <c r="T238" s="743"/>
      <c r="U238" s="743"/>
      <c r="V238" s="743"/>
      <c r="W238" s="743"/>
      <c r="X238" s="743"/>
      <c r="Y238" s="743"/>
      <c r="Z238" s="743"/>
      <c r="AA238" s="743"/>
      <c r="AB238" s="743"/>
      <c r="AC238" s="743"/>
      <c r="AD238" s="743"/>
      <c r="AE238" s="743"/>
      <c r="AF238" s="743"/>
      <c r="AG238" s="743"/>
      <c r="AH238" s="743"/>
      <c r="AI238" s="743"/>
      <c r="AJ238" s="743"/>
      <c r="AK238" s="743"/>
      <c r="AL238" s="743"/>
      <c r="AM238" s="743"/>
    </row>
    <row r="239" spans="1:39" ht="17.25">
      <c r="A239" s="752"/>
      <c r="B239" s="752"/>
      <c r="C239" s="752"/>
      <c r="D239" s="752"/>
      <c r="E239" s="752"/>
      <c r="F239" s="752"/>
      <c r="G239" s="752"/>
      <c r="H239" s="752"/>
      <c r="I239" s="829"/>
      <c r="J239" s="752"/>
      <c r="K239" s="752"/>
      <c r="L239" s="743"/>
      <c r="M239" s="743"/>
      <c r="N239" s="743"/>
      <c r="O239" s="743"/>
      <c r="P239" s="743"/>
      <c r="Q239" s="743"/>
      <c r="R239" s="743"/>
      <c r="S239" s="743"/>
      <c r="T239" s="743"/>
      <c r="U239" s="743"/>
      <c r="V239" s="743"/>
      <c r="W239" s="743"/>
      <c r="X239" s="743"/>
      <c r="Y239" s="743"/>
      <c r="Z239" s="743"/>
      <c r="AA239" s="743"/>
      <c r="AB239" s="743"/>
      <c r="AC239" s="743"/>
      <c r="AD239" s="743"/>
      <c r="AE239" s="743"/>
      <c r="AF239" s="743"/>
      <c r="AG239" s="743"/>
      <c r="AH239" s="743"/>
      <c r="AI239" s="743"/>
      <c r="AJ239" s="743"/>
      <c r="AK239" s="743"/>
      <c r="AL239" s="743"/>
      <c r="AM239" s="743"/>
    </row>
    <row r="240" spans="1:39" ht="17.25">
      <c r="A240" s="752"/>
      <c r="B240" s="752"/>
      <c r="C240" s="752"/>
      <c r="D240" s="752"/>
      <c r="E240" s="752"/>
      <c r="F240" s="752"/>
      <c r="G240" s="752"/>
      <c r="H240" s="752"/>
      <c r="I240" s="829"/>
      <c r="J240" s="752"/>
      <c r="K240" s="752"/>
      <c r="L240" s="743"/>
      <c r="M240" s="743"/>
      <c r="N240" s="743"/>
      <c r="O240" s="743"/>
      <c r="P240" s="743"/>
      <c r="Q240" s="743"/>
      <c r="R240" s="743"/>
      <c r="S240" s="743"/>
      <c r="T240" s="743"/>
      <c r="U240" s="743"/>
      <c r="V240" s="743"/>
      <c r="W240" s="743"/>
      <c r="X240" s="743"/>
      <c r="Y240" s="743"/>
      <c r="Z240" s="743"/>
      <c r="AA240" s="743"/>
      <c r="AB240" s="743"/>
      <c r="AC240" s="743"/>
      <c r="AD240" s="743"/>
      <c r="AE240" s="743"/>
      <c r="AF240" s="743"/>
      <c r="AG240" s="743"/>
      <c r="AH240" s="743"/>
      <c r="AI240" s="743"/>
      <c r="AJ240" s="743"/>
      <c r="AK240" s="743"/>
      <c r="AL240" s="743"/>
      <c r="AM240" s="743"/>
    </row>
    <row r="241" spans="1:39" ht="17.25">
      <c r="A241" s="752"/>
      <c r="B241" s="752"/>
      <c r="C241" s="752"/>
      <c r="D241" s="752"/>
      <c r="E241" s="752"/>
      <c r="F241" s="752"/>
      <c r="G241" s="752"/>
      <c r="H241" s="752"/>
      <c r="I241" s="829"/>
      <c r="J241" s="752"/>
      <c r="K241" s="752"/>
      <c r="L241" s="743"/>
      <c r="M241" s="743"/>
      <c r="N241" s="743"/>
      <c r="O241" s="743"/>
      <c r="P241" s="743"/>
      <c r="Q241" s="743"/>
      <c r="R241" s="743"/>
      <c r="S241" s="743"/>
      <c r="T241" s="743"/>
      <c r="U241" s="743"/>
      <c r="V241" s="743"/>
      <c r="W241" s="743"/>
      <c r="X241" s="743"/>
      <c r="Y241" s="743"/>
      <c r="Z241" s="743"/>
      <c r="AA241" s="743"/>
      <c r="AB241" s="743"/>
      <c r="AC241" s="743"/>
      <c r="AD241" s="743"/>
      <c r="AE241" s="743"/>
      <c r="AF241" s="743"/>
      <c r="AG241" s="743"/>
      <c r="AH241" s="743"/>
      <c r="AI241" s="743"/>
      <c r="AJ241" s="743"/>
      <c r="AK241" s="743"/>
      <c r="AL241" s="743"/>
      <c r="AM241" s="743"/>
    </row>
    <row r="242" spans="1:39" ht="17.25">
      <c r="A242" s="752"/>
      <c r="B242" s="752"/>
      <c r="C242" s="752"/>
      <c r="D242" s="752"/>
      <c r="E242" s="752"/>
      <c r="F242" s="752"/>
      <c r="G242" s="752"/>
      <c r="H242" s="752"/>
      <c r="I242" s="829"/>
      <c r="J242" s="752"/>
      <c r="K242" s="752"/>
      <c r="L242" s="743"/>
      <c r="M242" s="743"/>
      <c r="N242" s="743"/>
      <c r="O242" s="743"/>
      <c r="P242" s="743"/>
      <c r="Q242" s="743"/>
      <c r="R242" s="743"/>
      <c r="S242" s="743"/>
      <c r="T242" s="743"/>
      <c r="U242" s="743"/>
      <c r="V242" s="743"/>
      <c r="W242" s="743"/>
      <c r="X242" s="743"/>
      <c r="Y242" s="743"/>
      <c r="Z242" s="743"/>
      <c r="AA242" s="743"/>
      <c r="AB242" s="743"/>
      <c r="AC242" s="743"/>
      <c r="AD242" s="743"/>
      <c r="AE242" s="743"/>
      <c r="AF242" s="743"/>
      <c r="AG242" s="743"/>
      <c r="AH242" s="743"/>
      <c r="AI242" s="743"/>
      <c r="AJ242" s="743"/>
      <c r="AK242" s="743"/>
      <c r="AL242" s="743"/>
      <c r="AM242" s="743"/>
    </row>
    <row r="243" spans="1:39" ht="17.25">
      <c r="A243" s="752"/>
      <c r="B243" s="752"/>
      <c r="C243" s="752"/>
      <c r="D243" s="752"/>
      <c r="E243" s="752"/>
      <c r="F243" s="752"/>
      <c r="G243" s="752"/>
      <c r="H243" s="752"/>
      <c r="I243" s="829"/>
      <c r="J243" s="752"/>
      <c r="K243" s="752"/>
      <c r="L243" s="743"/>
      <c r="M243" s="743"/>
      <c r="N243" s="743"/>
      <c r="O243" s="743"/>
      <c r="P243" s="743"/>
      <c r="Q243" s="743"/>
      <c r="R243" s="743"/>
      <c r="S243" s="743"/>
      <c r="T243" s="743"/>
      <c r="U243" s="743"/>
      <c r="V243" s="743"/>
      <c r="W243" s="743"/>
      <c r="X243" s="743"/>
      <c r="Y243" s="743"/>
      <c r="Z243" s="743"/>
      <c r="AA243" s="743"/>
      <c r="AB243" s="743"/>
      <c r="AC243" s="743"/>
      <c r="AD243" s="743"/>
      <c r="AE243" s="743"/>
      <c r="AF243" s="743"/>
      <c r="AG243" s="743"/>
      <c r="AH243" s="743"/>
      <c r="AI243" s="743"/>
      <c r="AJ243" s="743"/>
      <c r="AK243" s="743"/>
      <c r="AL243" s="743"/>
      <c r="AM243" s="743"/>
    </row>
    <row r="244" spans="1:39" ht="17.25">
      <c r="A244" s="752"/>
      <c r="B244" s="752"/>
      <c r="C244" s="752"/>
      <c r="D244" s="752"/>
      <c r="E244" s="752"/>
      <c r="F244" s="752"/>
      <c r="G244" s="752"/>
      <c r="H244" s="752"/>
      <c r="I244" s="829"/>
      <c r="J244" s="752"/>
      <c r="K244" s="752"/>
      <c r="L244" s="743"/>
      <c r="M244" s="743"/>
      <c r="N244" s="743"/>
      <c r="O244" s="743"/>
      <c r="P244" s="743"/>
      <c r="Q244" s="743"/>
      <c r="R244" s="743"/>
      <c r="S244" s="743"/>
      <c r="T244" s="743"/>
      <c r="U244" s="743"/>
      <c r="V244" s="743"/>
      <c r="W244" s="743"/>
      <c r="X244" s="743"/>
      <c r="Y244" s="743"/>
      <c r="Z244" s="743"/>
      <c r="AA244" s="743"/>
      <c r="AB244" s="743"/>
      <c r="AC244" s="743"/>
      <c r="AD244" s="743"/>
      <c r="AE244" s="743"/>
      <c r="AF244" s="743"/>
      <c r="AG244" s="743"/>
      <c r="AH244" s="743"/>
      <c r="AI244" s="743"/>
      <c r="AJ244" s="743"/>
      <c r="AK244" s="743"/>
      <c r="AL244" s="743"/>
      <c r="AM244" s="743"/>
    </row>
    <row r="245" spans="1:39" ht="17.25">
      <c r="A245" s="752"/>
      <c r="B245" s="752"/>
      <c r="C245" s="752"/>
      <c r="D245" s="752"/>
      <c r="E245" s="752"/>
      <c r="F245" s="752"/>
      <c r="G245" s="752"/>
      <c r="H245" s="752"/>
      <c r="I245" s="829"/>
      <c r="J245" s="752"/>
      <c r="K245" s="752"/>
      <c r="L245" s="743"/>
      <c r="M245" s="743"/>
      <c r="N245" s="743"/>
      <c r="O245" s="743"/>
      <c r="P245" s="743"/>
      <c r="Q245" s="743"/>
      <c r="R245" s="743"/>
      <c r="S245" s="743"/>
      <c r="T245" s="743"/>
      <c r="U245" s="743"/>
      <c r="V245" s="743"/>
      <c r="W245" s="743"/>
      <c r="X245" s="743"/>
      <c r="Y245" s="743"/>
      <c r="Z245" s="743"/>
      <c r="AA245" s="743"/>
      <c r="AB245" s="743"/>
      <c r="AC245" s="743"/>
      <c r="AD245" s="743"/>
      <c r="AE245" s="743"/>
      <c r="AF245" s="743"/>
      <c r="AG245" s="743"/>
      <c r="AH245" s="743"/>
      <c r="AI245" s="743"/>
      <c r="AJ245" s="743"/>
      <c r="AK245" s="743"/>
      <c r="AL245" s="743"/>
      <c r="AM245" s="743"/>
    </row>
    <row r="246" spans="1:39" ht="17.25">
      <c r="A246" s="752"/>
      <c r="B246" s="752"/>
      <c r="C246" s="752"/>
      <c r="D246" s="752"/>
      <c r="E246" s="752"/>
      <c r="F246" s="752"/>
      <c r="G246" s="752"/>
      <c r="H246" s="752"/>
      <c r="I246" s="829"/>
      <c r="J246" s="752"/>
      <c r="K246" s="752"/>
      <c r="L246" s="743"/>
      <c r="M246" s="743"/>
      <c r="N246" s="743"/>
      <c r="O246" s="743"/>
      <c r="P246" s="743"/>
      <c r="Q246" s="743"/>
      <c r="R246" s="743"/>
      <c r="S246" s="743"/>
      <c r="T246" s="743"/>
      <c r="U246" s="743"/>
      <c r="V246" s="743"/>
      <c r="W246" s="743"/>
      <c r="X246" s="743"/>
      <c r="Y246" s="743"/>
      <c r="Z246" s="743"/>
      <c r="AA246" s="743"/>
      <c r="AB246" s="743"/>
      <c r="AC246" s="743"/>
      <c r="AD246" s="743"/>
      <c r="AE246" s="743"/>
      <c r="AF246" s="743"/>
      <c r="AG246" s="743"/>
      <c r="AH246" s="743"/>
      <c r="AI246" s="743"/>
      <c r="AJ246" s="743"/>
      <c r="AK246" s="743"/>
      <c r="AL246" s="743"/>
      <c r="AM246" s="743"/>
    </row>
    <row r="247" spans="1:39" ht="17.25">
      <c r="A247" s="752"/>
      <c r="B247" s="752"/>
      <c r="C247" s="752"/>
      <c r="D247" s="752"/>
      <c r="E247" s="752"/>
      <c r="F247" s="752"/>
      <c r="G247" s="752"/>
      <c r="H247" s="752"/>
      <c r="I247" s="829"/>
      <c r="J247" s="752"/>
      <c r="K247" s="752"/>
      <c r="L247" s="743"/>
      <c r="M247" s="743"/>
      <c r="N247" s="743"/>
      <c r="O247" s="743"/>
      <c r="P247" s="743"/>
      <c r="Q247" s="743"/>
      <c r="R247" s="743"/>
      <c r="S247" s="743"/>
      <c r="T247" s="743"/>
      <c r="U247" s="743"/>
      <c r="V247" s="743"/>
      <c r="W247" s="743"/>
      <c r="X247" s="743"/>
      <c r="Y247" s="743"/>
      <c r="Z247" s="743"/>
      <c r="AA247" s="743"/>
      <c r="AB247" s="743"/>
      <c r="AC247" s="743"/>
      <c r="AD247" s="743"/>
      <c r="AE247" s="743"/>
      <c r="AF247" s="743"/>
      <c r="AG247" s="743"/>
      <c r="AH247" s="743"/>
      <c r="AI247" s="743"/>
      <c r="AJ247" s="743"/>
      <c r="AK247" s="743"/>
      <c r="AL247" s="743"/>
      <c r="AM247" s="743"/>
    </row>
    <row r="248" spans="1:39" ht="17.25">
      <c r="A248" s="752"/>
      <c r="B248" s="752"/>
      <c r="C248" s="752"/>
      <c r="D248" s="752"/>
      <c r="E248" s="752"/>
      <c r="F248" s="752"/>
      <c r="G248" s="752"/>
      <c r="H248" s="752"/>
      <c r="I248" s="829"/>
      <c r="J248" s="752"/>
      <c r="K248" s="752"/>
      <c r="L248" s="743"/>
      <c r="M248" s="743"/>
      <c r="N248" s="743"/>
      <c r="O248" s="743"/>
      <c r="P248" s="743"/>
      <c r="Q248" s="743"/>
      <c r="R248" s="743"/>
      <c r="S248" s="743"/>
      <c r="T248" s="743"/>
      <c r="U248" s="743"/>
      <c r="V248" s="743"/>
      <c r="W248" s="743"/>
      <c r="X248" s="743"/>
      <c r="Y248" s="743"/>
      <c r="Z248" s="743"/>
      <c r="AA248" s="743"/>
      <c r="AB248" s="743"/>
      <c r="AC248" s="743"/>
      <c r="AD248" s="743"/>
      <c r="AE248" s="743"/>
      <c r="AF248" s="743"/>
      <c r="AG248" s="743"/>
      <c r="AH248" s="743"/>
      <c r="AI248" s="743"/>
      <c r="AJ248" s="743"/>
      <c r="AK248" s="743"/>
      <c r="AL248" s="743"/>
      <c r="AM248" s="743"/>
    </row>
    <row r="249" spans="1:39" ht="17.25">
      <c r="A249" s="752"/>
      <c r="B249" s="752"/>
      <c r="C249" s="752"/>
      <c r="D249" s="752"/>
      <c r="E249" s="752"/>
      <c r="F249" s="752"/>
      <c r="G249" s="752"/>
      <c r="H249" s="752"/>
      <c r="I249" s="829"/>
      <c r="J249" s="752"/>
      <c r="K249" s="752"/>
      <c r="L249" s="743"/>
      <c r="M249" s="743"/>
      <c r="N249" s="743"/>
      <c r="O249" s="743"/>
      <c r="P249" s="743"/>
      <c r="Q249" s="743"/>
      <c r="R249" s="743"/>
      <c r="S249" s="743"/>
      <c r="T249" s="743"/>
      <c r="U249" s="743"/>
      <c r="V249" s="743"/>
      <c r="W249" s="743"/>
      <c r="X249" s="743"/>
      <c r="Y249" s="743"/>
      <c r="Z249" s="743"/>
      <c r="AA249" s="743"/>
      <c r="AB249" s="743"/>
      <c r="AC249" s="743"/>
      <c r="AD249" s="743"/>
      <c r="AE249" s="743"/>
      <c r="AF249" s="743"/>
      <c r="AG249" s="743"/>
      <c r="AH249" s="743"/>
      <c r="AI249" s="743"/>
      <c r="AJ249" s="743"/>
      <c r="AK249" s="743"/>
      <c r="AL249" s="743"/>
      <c r="AM249" s="743"/>
    </row>
    <row r="250" spans="1:39" ht="17.25">
      <c r="A250" s="752"/>
      <c r="B250" s="752"/>
      <c r="C250" s="752"/>
      <c r="D250" s="752"/>
      <c r="E250" s="752"/>
      <c r="F250" s="752"/>
      <c r="G250" s="752"/>
      <c r="H250" s="752"/>
      <c r="I250" s="829"/>
      <c r="J250" s="752"/>
      <c r="K250" s="752"/>
      <c r="L250" s="743"/>
      <c r="M250" s="743"/>
      <c r="N250" s="743"/>
      <c r="O250" s="743"/>
      <c r="P250" s="743"/>
      <c r="Q250" s="743"/>
      <c r="R250" s="743"/>
      <c r="S250" s="743"/>
      <c r="T250" s="743"/>
      <c r="U250" s="743"/>
      <c r="V250" s="743"/>
      <c r="W250" s="743"/>
      <c r="X250" s="743"/>
      <c r="Y250" s="743"/>
      <c r="Z250" s="743"/>
      <c r="AA250" s="743"/>
      <c r="AB250" s="743"/>
      <c r="AC250" s="743"/>
      <c r="AD250" s="743"/>
      <c r="AE250" s="743"/>
      <c r="AF250" s="743"/>
      <c r="AG250" s="743"/>
      <c r="AH250" s="743"/>
      <c r="AI250" s="743"/>
      <c r="AJ250" s="743"/>
      <c r="AK250" s="743"/>
      <c r="AL250" s="743"/>
      <c r="AM250" s="743"/>
    </row>
    <row r="251" spans="1:39" ht="17.25">
      <c r="A251" s="752"/>
      <c r="B251" s="752"/>
      <c r="C251" s="752"/>
      <c r="D251" s="752"/>
      <c r="E251" s="752"/>
      <c r="F251" s="752"/>
      <c r="G251" s="752"/>
      <c r="H251" s="752"/>
      <c r="I251" s="829"/>
      <c r="J251" s="752"/>
      <c r="K251" s="752"/>
      <c r="L251" s="743"/>
      <c r="M251" s="743"/>
      <c r="N251" s="743"/>
      <c r="O251" s="743"/>
      <c r="P251" s="743"/>
      <c r="Q251" s="743"/>
      <c r="R251" s="743"/>
      <c r="S251" s="743"/>
      <c r="T251" s="743"/>
      <c r="U251" s="743"/>
      <c r="V251" s="743"/>
      <c r="W251" s="743"/>
      <c r="X251" s="743"/>
      <c r="Y251" s="743"/>
      <c r="Z251" s="743"/>
      <c r="AA251" s="743"/>
      <c r="AB251" s="743"/>
      <c r="AC251" s="743"/>
      <c r="AD251" s="743"/>
      <c r="AE251" s="743"/>
      <c r="AF251" s="743"/>
      <c r="AG251" s="743"/>
      <c r="AH251" s="743"/>
      <c r="AI251" s="743"/>
      <c r="AJ251" s="743"/>
      <c r="AK251" s="743"/>
      <c r="AL251" s="743"/>
      <c r="AM251" s="743"/>
    </row>
    <row r="252" spans="1:39" ht="17.25">
      <c r="A252" s="752"/>
      <c r="B252" s="752"/>
      <c r="C252" s="752"/>
      <c r="D252" s="752"/>
      <c r="E252" s="752"/>
      <c r="F252" s="752"/>
      <c r="G252" s="752"/>
      <c r="H252" s="752"/>
      <c r="I252" s="829"/>
      <c r="J252" s="752"/>
      <c r="K252" s="752"/>
      <c r="L252" s="743"/>
      <c r="M252" s="743"/>
      <c r="N252" s="743"/>
      <c r="O252" s="743"/>
      <c r="P252" s="743"/>
      <c r="Q252" s="743"/>
      <c r="R252" s="743"/>
      <c r="S252" s="743"/>
      <c r="T252" s="743"/>
      <c r="U252" s="743"/>
      <c r="V252" s="743"/>
      <c r="W252" s="743"/>
      <c r="X252" s="743"/>
      <c r="Y252" s="743"/>
      <c r="Z252" s="743"/>
      <c r="AA252" s="743"/>
      <c r="AB252" s="743"/>
      <c r="AC252" s="743"/>
      <c r="AD252" s="743"/>
      <c r="AE252" s="743"/>
      <c r="AF252" s="743"/>
      <c r="AG252" s="743"/>
      <c r="AH252" s="743"/>
      <c r="AI252" s="743"/>
      <c r="AJ252" s="743"/>
      <c r="AK252" s="743"/>
      <c r="AL252" s="743"/>
      <c r="AM252" s="743"/>
    </row>
    <row r="253" spans="1:39" ht="17.25">
      <c r="A253" s="752"/>
      <c r="B253" s="752"/>
      <c r="C253" s="752"/>
      <c r="D253" s="752"/>
      <c r="E253" s="752"/>
      <c r="F253" s="752"/>
      <c r="G253" s="752"/>
      <c r="H253" s="752"/>
      <c r="I253" s="829"/>
      <c r="J253" s="752"/>
      <c r="K253" s="752"/>
      <c r="L253" s="743"/>
      <c r="M253" s="743"/>
      <c r="N253" s="743"/>
      <c r="O253" s="743"/>
      <c r="P253" s="743"/>
      <c r="Q253" s="743"/>
      <c r="R253" s="743"/>
      <c r="S253" s="743"/>
      <c r="T253" s="743"/>
      <c r="U253" s="743"/>
      <c r="V253" s="743"/>
      <c r="W253" s="743"/>
      <c r="X253" s="743"/>
      <c r="Y253" s="743"/>
      <c r="Z253" s="743"/>
      <c r="AA253" s="743"/>
      <c r="AB253" s="743"/>
      <c r="AC253" s="743"/>
      <c r="AD253" s="743"/>
      <c r="AE253" s="743"/>
      <c r="AF253" s="743"/>
      <c r="AG253" s="743"/>
      <c r="AH253" s="743"/>
      <c r="AI253" s="743"/>
      <c r="AJ253" s="743"/>
      <c r="AK253" s="743"/>
      <c r="AL253" s="743"/>
      <c r="AM253" s="743"/>
    </row>
    <row r="254" spans="1:39" ht="17.25">
      <c r="A254" s="752"/>
      <c r="B254" s="752"/>
      <c r="C254" s="752"/>
      <c r="D254" s="752"/>
      <c r="E254" s="752"/>
      <c r="F254" s="752"/>
      <c r="G254" s="752"/>
      <c r="H254" s="752"/>
      <c r="I254" s="829"/>
      <c r="J254" s="752"/>
      <c r="K254" s="752"/>
      <c r="L254" s="743"/>
      <c r="M254" s="743"/>
      <c r="N254" s="743"/>
      <c r="O254" s="743"/>
      <c r="P254" s="743"/>
      <c r="Q254" s="743"/>
      <c r="R254" s="743"/>
      <c r="S254" s="743"/>
      <c r="T254" s="743"/>
      <c r="U254" s="743"/>
      <c r="V254" s="743"/>
      <c r="W254" s="743"/>
      <c r="X254" s="743"/>
      <c r="Y254" s="743"/>
      <c r="Z254" s="743"/>
      <c r="AA254" s="743"/>
      <c r="AB254" s="743"/>
      <c r="AC254" s="743"/>
      <c r="AD254" s="743"/>
      <c r="AE254" s="743"/>
      <c r="AF254" s="743"/>
      <c r="AG254" s="743"/>
      <c r="AH254" s="743"/>
      <c r="AI254" s="743"/>
      <c r="AJ254" s="743"/>
      <c r="AK254" s="743"/>
      <c r="AL254" s="743"/>
      <c r="AM254" s="743"/>
    </row>
    <row r="255" spans="1:39" ht="17.25">
      <c r="A255" s="752"/>
      <c r="B255" s="752"/>
      <c r="C255" s="752"/>
      <c r="D255" s="752"/>
      <c r="E255" s="752"/>
      <c r="F255" s="752"/>
      <c r="G255" s="752"/>
      <c r="H255" s="752"/>
      <c r="I255" s="829"/>
      <c r="J255" s="752"/>
      <c r="K255" s="752"/>
      <c r="L255" s="743"/>
      <c r="M255" s="743"/>
      <c r="N255" s="743"/>
      <c r="O255" s="743"/>
      <c r="P255" s="743"/>
      <c r="Q255" s="743"/>
      <c r="R255" s="743"/>
      <c r="S255" s="743"/>
      <c r="T255" s="743"/>
      <c r="U255" s="743"/>
      <c r="V255" s="743"/>
      <c r="W255" s="743"/>
      <c r="X255" s="743"/>
      <c r="Y255" s="743"/>
      <c r="Z255" s="743"/>
      <c r="AA255" s="743"/>
      <c r="AB255" s="743"/>
      <c r="AC255" s="743"/>
      <c r="AD255" s="743"/>
      <c r="AE255" s="743"/>
      <c r="AF255" s="743"/>
      <c r="AG255" s="743"/>
      <c r="AH255" s="743"/>
      <c r="AI255" s="743"/>
      <c r="AJ255" s="743"/>
      <c r="AK255" s="743"/>
      <c r="AL255" s="743"/>
      <c r="AM255" s="743"/>
    </row>
    <row r="256" spans="1:39" ht="17.25">
      <c r="A256" s="752"/>
      <c r="B256" s="752"/>
      <c r="C256" s="752"/>
      <c r="D256" s="752"/>
      <c r="E256" s="752"/>
      <c r="F256" s="752"/>
      <c r="G256" s="752"/>
      <c r="H256" s="752"/>
      <c r="I256" s="829"/>
      <c r="J256" s="752"/>
      <c r="K256" s="752"/>
      <c r="L256" s="743"/>
      <c r="M256" s="743"/>
      <c r="N256" s="743"/>
      <c r="O256" s="743"/>
      <c r="P256" s="743"/>
      <c r="Q256" s="743"/>
      <c r="R256" s="743"/>
      <c r="S256" s="743"/>
      <c r="T256" s="743"/>
      <c r="U256" s="743"/>
      <c r="V256" s="743"/>
      <c r="W256" s="743"/>
      <c r="X256" s="743"/>
      <c r="Y256" s="743"/>
      <c r="Z256" s="743"/>
      <c r="AA256" s="743"/>
      <c r="AB256" s="743"/>
      <c r="AC256" s="743"/>
      <c r="AD256" s="743"/>
      <c r="AE256" s="743"/>
      <c r="AF256" s="743"/>
      <c r="AG256" s="743"/>
      <c r="AH256" s="743"/>
      <c r="AI256" s="743"/>
      <c r="AJ256" s="743"/>
      <c r="AK256" s="743"/>
      <c r="AL256" s="743"/>
      <c r="AM256" s="743"/>
    </row>
    <row r="257" spans="1:39" ht="17.25">
      <c r="A257" s="752"/>
      <c r="B257" s="752"/>
      <c r="C257" s="752"/>
      <c r="D257" s="752"/>
      <c r="E257" s="752"/>
      <c r="F257" s="752"/>
      <c r="G257" s="752"/>
      <c r="H257" s="752"/>
      <c r="I257" s="829"/>
      <c r="J257" s="752"/>
      <c r="K257" s="752"/>
      <c r="L257" s="743"/>
      <c r="M257" s="743"/>
      <c r="N257" s="743"/>
      <c r="O257" s="743"/>
      <c r="P257" s="743"/>
      <c r="Q257" s="743"/>
      <c r="R257" s="743"/>
      <c r="S257" s="743"/>
      <c r="T257" s="743"/>
      <c r="U257" s="743"/>
      <c r="V257" s="743"/>
      <c r="W257" s="743"/>
      <c r="X257" s="743"/>
      <c r="Y257" s="743"/>
      <c r="Z257" s="743"/>
      <c r="AA257" s="743"/>
      <c r="AB257" s="743"/>
      <c r="AC257" s="743"/>
      <c r="AD257" s="743"/>
      <c r="AE257" s="743"/>
      <c r="AF257" s="743"/>
      <c r="AG257" s="743"/>
      <c r="AH257" s="743"/>
      <c r="AI257" s="743"/>
      <c r="AJ257" s="743"/>
      <c r="AK257" s="743"/>
      <c r="AL257" s="743"/>
      <c r="AM257" s="743"/>
    </row>
    <row r="258" spans="1:39" ht="17.25">
      <c r="A258" s="752"/>
      <c r="B258" s="752"/>
      <c r="C258" s="752"/>
      <c r="D258" s="752"/>
      <c r="E258" s="752"/>
      <c r="F258" s="752"/>
      <c r="G258" s="752"/>
      <c r="H258" s="752"/>
      <c r="I258" s="829"/>
      <c r="J258" s="752"/>
      <c r="K258" s="752"/>
      <c r="L258" s="743"/>
      <c r="M258" s="743"/>
      <c r="N258" s="743"/>
      <c r="O258" s="743"/>
      <c r="P258" s="743"/>
      <c r="Q258" s="743"/>
      <c r="R258" s="743"/>
      <c r="S258" s="743"/>
      <c r="T258" s="743"/>
      <c r="U258" s="743"/>
      <c r="V258" s="743"/>
      <c r="W258" s="743"/>
      <c r="X258" s="743"/>
      <c r="Y258" s="743"/>
      <c r="Z258" s="743"/>
      <c r="AA258" s="743"/>
      <c r="AB258" s="743"/>
      <c r="AC258" s="743"/>
      <c r="AD258" s="743"/>
      <c r="AE258" s="743"/>
      <c r="AF258" s="743"/>
      <c r="AG258" s="743"/>
      <c r="AH258" s="743"/>
      <c r="AI258" s="743"/>
      <c r="AJ258" s="743"/>
      <c r="AK258" s="743"/>
      <c r="AL258" s="743"/>
      <c r="AM258" s="743"/>
    </row>
    <row r="259" spans="1:39" ht="17.25">
      <c r="A259" s="752"/>
      <c r="B259" s="752"/>
      <c r="C259" s="752"/>
      <c r="D259" s="752"/>
      <c r="E259" s="752"/>
      <c r="F259" s="752"/>
      <c r="G259" s="752"/>
      <c r="H259" s="752"/>
      <c r="I259" s="829"/>
      <c r="J259" s="752"/>
      <c r="K259" s="752"/>
      <c r="L259" s="743"/>
      <c r="M259" s="743"/>
      <c r="N259" s="743"/>
      <c r="O259" s="743"/>
      <c r="P259" s="743"/>
      <c r="Q259" s="743"/>
      <c r="R259" s="743"/>
      <c r="S259" s="743"/>
      <c r="T259" s="743"/>
      <c r="U259" s="743"/>
      <c r="V259" s="743"/>
      <c r="W259" s="743"/>
      <c r="X259" s="743"/>
      <c r="Y259" s="743"/>
      <c r="Z259" s="743"/>
      <c r="AA259" s="743"/>
      <c r="AB259" s="743"/>
      <c r="AC259" s="743"/>
      <c r="AD259" s="743"/>
      <c r="AE259" s="743"/>
      <c r="AF259" s="743"/>
      <c r="AG259" s="743"/>
      <c r="AH259" s="743"/>
      <c r="AI259" s="743"/>
      <c r="AJ259" s="743"/>
      <c r="AK259" s="743"/>
      <c r="AL259" s="743"/>
      <c r="AM259" s="743"/>
    </row>
    <row r="260" spans="1:39" ht="17.25">
      <c r="A260" s="752"/>
      <c r="B260" s="752"/>
      <c r="C260" s="752"/>
      <c r="D260" s="752"/>
      <c r="E260" s="752"/>
      <c r="F260" s="752"/>
      <c r="G260" s="752"/>
      <c r="H260" s="752"/>
      <c r="I260" s="829"/>
      <c r="J260" s="752"/>
      <c r="K260" s="752"/>
      <c r="L260" s="743"/>
      <c r="M260" s="743"/>
      <c r="N260" s="743"/>
      <c r="O260" s="743"/>
      <c r="P260" s="743"/>
      <c r="Q260" s="743"/>
      <c r="R260" s="743"/>
      <c r="S260" s="743"/>
      <c r="T260" s="743"/>
      <c r="U260" s="743"/>
      <c r="V260" s="743"/>
      <c r="W260" s="743"/>
      <c r="X260" s="743"/>
      <c r="Y260" s="743"/>
      <c r="Z260" s="743"/>
      <c r="AA260" s="743"/>
      <c r="AB260" s="743"/>
      <c r="AC260" s="743"/>
      <c r="AD260" s="743"/>
      <c r="AE260" s="743"/>
      <c r="AF260" s="743"/>
      <c r="AG260" s="743"/>
      <c r="AH260" s="743"/>
      <c r="AI260" s="743"/>
      <c r="AJ260" s="743"/>
      <c r="AK260" s="743"/>
      <c r="AL260" s="743"/>
      <c r="AM260" s="743"/>
    </row>
    <row r="261" spans="1:39" ht="17.25">
      <c r="A261" s="752"/>
      <c r="B261" s="752"/>
      <c r="C261" s="752"/>
      <c r="D261" s="752"/>
      <c r="E261" s="752"/>
      <c r="F261" s="752"/>
      <c r="G261" s="752"/>
      <c r="H261" s="752"/>
      <c r="I261" s="829"/>
      <c r="J261" s="752"/>
      <c r="K261" s="752"/>
      <c r="L261" s="743"/>
      <c r="M261" s="743"/>
      <c r="N261" s="743"/>
      <c r="O261" s="743"/>
      <c r="P261" s="743"/>
      <c r="Q261" s="743"/>
      <c r="R261" s="743"/>
      <c r="S261" s="743"/>
      <c r="T261" s="743"/>
      <c r="U261" s="743"/>
      <c r="V261" s="743"/>
      <c r="W261" s="743"/>
      <c r="X261" s="743"/>
      <c r="Y261" s="743"/>
      <c r="Z261" s="743"/>
      <c r="AA261" s="743"/>
      <c r="AB261" s="743"/>
      <c r="AC261" s="743"/>
      <c r="AD261" s="743"/>
      <c r="AE261" s="743"/>
      <c r="AF261" s="743"/>
      <c r="AG261" s="743"/>
      <c r="AH261" s="743"/>
      <c r="AI261" s="743"/>
      <c r="AJ261" s="743"/>
      <c r="AK261" s="743"/>
      <c r="AL261" s="743"/>
      <c r="AM261" s="743"/>
    </row>
    <row r="262" spans="1:39" ht="17.25">
      <c r="A262" s="752"/>
      <c r="B262" s="752"/>
      <c r="C262" s="752"/>
      <c r="D262" s="752"/>
      <c r="E262" s="752"/>
      <c r="F262" s="752"/>
      <c r="G262" s="752"/>
      <c r="H262" s="752"/>
      <c r="I262" s="829"/>
      <c r="J262" s="752"/>
      <c r="K262" s="752"/>
      <c r="L262" s="743"/>
      <c r="M262" s="743"/>
      <c r="N262" s="743"/>
      <c r="O262" s="743"/>
      <c r="P262" s="743"/>
      <c r="Q262" s="743"/>
      <c r="R262" s="743"/>
      <c r="S262" s="743"/>
      <c r="T262" s="743"/>
      <c r="U262" s="743"/>
      <c r="V262" s="743"/>
      <c r="W262" s="743"/>
      <c r="X262" s="743"/>
      <c r="Y262" s="743"/>
      <c r="Z262" s="743"/>
      <c r="AA262" s="743"/>
      <c r="AB262" s="743"/>
      <c r="AC262" s="743"/>
      <c r="AD262" s="743"/>
      <c r="AE262" s="743"/>
      <c r="AF262" s="743"/>
      <c r="AG262" s="743"/>
      <c r="AH262" s="743"/>
      <c r="AI262" s="743"/>
      <c r="AJ262" s="743"/>
      <c r="AK262" s="743"/>
      <c r="AL262" s="743"/>
      <c r="AM262" s="743"/>
    </row>
    <row r="263" spans="1:39" ht="17.25">
      <c r="A263" s="752"/>
      <c r="B263" s="752"/>
      <c r="C263" s="752"/>
      <c r="D263" s="752"/>
      <c r="E263" s="752"/>
      <c r="F263" s="752"/>
      <c r="G263" s="752"/>
      <c r="H263" s="752"/>
      <c r="I263" s="829"/>
      <c r="J263" s="752"/>
      <c r="K263" s="752"/>
      <c r="L263" s="743"/>
      <c r="M263" s="743"/>
      <c r="N263" s="743"/>
      <c r="O263" s="743"/>
      <c r="P263" s="743"/>
      <c r="Q263" s="743"/>
      <c r="R263" s="743"/>
      <c r="S263" s="743"/>
      <c r="T263" s="743"/>
      <c r="U263" s="743"/>
      <c r="V263" s="743"/>
      <c r="W263" s="743"/>
      <c r="X263" s="743"/>
      <c r="Y263" s="743"/>
      <c r="Z263" s="743"/>
      <c r="AA263" s="743"/>
      <c r="AB263" s="743"/>
      <c r="AC263" s="743"/>
      <c r="AD263" s="743"/>
      <c r="AE263" s="743"/>
      <c r="AF263" s="743"/>
      <c r="AG263" s="743"/>
      <c r="AH263" s="743"/>
      <c r="AI263" s="743"/>
      <c r="AJ263" s="743"/>
      <c r="AK263" s="743"/>
      <c r="AL263" s="743"/>
      <c r="AM263" s="743"/>
    </row>
    <row r="264" spans="1:39" ht="17.25">
      <c r="A264" s="752"/>
      <c r="B264" s="752"/>
      <c r="C264" s="752"/>
      <c r="D264" s="752"/>
      <c r="E264" s="752"/>
      <c r="F264" s="752"/>
      <c r="G264" s="752"/>
      <c r="H264" s="752"/>
      <c r="I264" s="829"/>
      <c r="J264" s="752"/>
      <c r="K264" s="752"/>
      <c r="L264" s="743"/>
      <c r="M264" s="743"/>
      <c r="N264" s="743"/>
      <c r="O264" s="743"/>
      <c r="P264" s="743"/>
      <c r="Q264" s="743"/>
      <c r="R264" s="743"/>
      <c r="S264" s="743"/>
      <c r="T264" s="743"/>
      <c r="U264" s="743"/>
      <c r="V264" s="743"/>
      <c r="W264" s="743"/>
      <c r="X264" s="743"/>
      <c r="Y264" s="743"/>
      <c r="Z264" s="743"/>
      <c r="AA264" s="743"/>
      <c r="AB264" s="743"/>
      <c r="AC264" s="743"/>
      <c r="AD264" s="743"/>
      <c r="AE264" s="743"/>
      <c r="AF264" s="743"/>
      <c r="AG264" s="743"/>
      <c r="AH264" s="743"/>
      <c r="AI264" s="743"/>
      <c r="AJ264" s="743"/>
      <c r="AK264" s="743"/>
      <c r="AL264" s="743"/>
      <c r="AM264" s="743"/>
    </row>
    <row r="265" spans="1:39" ht="17.25">
      <c r="A265" s="752"/>
      <c r="B265" s="752"/>
      <c r="C265" s="752"/>
      <c r="D265" s="752"/>
      <c r="E265" s="752"/>
      <c r="F265" s="752"/>
      <c r="G265" s="752"/>
      <c r="H265" s="752"/>
      <c r="I265" s="829"/>
      <c r="J265" s="752"/>
      <c r="K265" s="752"/>
      <c r="L265" s="743"/>
      <c r="M265" s="743"/>
      <c r="N265" s="743"/>
      <c r="O265" s="743"/>
      <c r="P265" s="743"/>
      <c r="Q265" s="743"/>
      <c r="R265" s="743"/>
      <c r="S265" s="743"/>
      <c r="T265" s="743"/>
      <c r="U265" s="743"/>
      <c r="V265" s="743"/>
      <c r="W265" s="743"/>
      <c r="X265" s="743"/>
      <c r="Y265" s="743"/>
      <c r="Z265" s="743"/>
      <c r="AA265" s="743"/>
      <c r="AB265" s="743"/>
      <c r="AC265" s="743"/>
      <c r="AD265" s="743"/>
      <c r="AE265" s="743"/>
      <c r="AF265" s="743"/>
      <c r="AG265" s="743"/>
      <c r="AH265" s="743"/>
      <c r="AI265" s="743"/>
      <c r="AJ265" s="743"/>
      <c r="AK265" s="743"/>
      <c r="AL265" s="743"/>
      <c r="AM265" s="743"/>
    </row>
    <row r="266" spans="1:39" ht="17.25">
      <c r="A266" s="752"/>
      <c r="B266" s="752"/>
      <c r="C266" s="752"/>
      <c r="D266" s="752"/>
      <c r="E266" s="752"/>
      <c r="F266" s="752"/>
      <c r="G266" s="752"/>
      <c r="H266" s="752"/>
      <c r="I266" s="829"/>
      <c r="J266" s="752"/>
      <c r="K266" s="752"/>
      <c r="L266" s="743"/>
      <c r="M266" s="743"/>
      <c r="N266" s="743"/>
      <c r="O266" s="743"/>
      <c r="P266" s="743"/>
      <c r="Q266" s="743"/>
      <c r="R266" s="743"/>
      <c r="S266" s="743"/>
      <c r="T266" s="743"/>
      <c r="U266" s="743"/>
      <c r="V266" s="743"/>
      <c r="W266" s="743"/>
      <c r="X266" s="743"/>
      <c r="Y266" s="743"/>
      <c r="Z266" s="743"/>
      <c r="AA266" s="743"/>
      <c r="AB266" s="743"/>
      <c r="AC266" s="743"/>
      <c r="AD266" s="743"/>
      <c r="AE266" s="743"/>
      <c r="AF266" s="743"/>
      <c r="AG266" s="743"/>
      <c r="AH266" s="743"/>
      <c r="AI266" s="743"/>
      <c r="AJ266" s="743"/>
      <c r="AK266" s="743"/>
      <c r="AL266" s="743"/>
      <c r="AM266" s="743"/>
    </row>
    <row r="267" spans="1:39" ht="17.25">
      <c r="A267" s="752"/>
      <c r="B267" s="752"/>
      <c r="C267" s="752"/>
      <c r="D267" s="752"/>
      <c r="E267" s="752"/>
      <c r="F267" s="752"/>
      <c r="G267" s="752"/>
      <c r="H267" s="752"/>
      <c r="I267" s="829"/>
      <c r="J267" s="752"/>
      <c r="K267" s="752"/>
      <c r="L267" s="743"/>
      <c r="M267" s="743"/>
      <c r="N267" s="743"/>
      <c r="O267" s="743"/>
      <c r="P267" s="743"/>
      <c r="Q267" s="743"/>
      <c r="R267" s="743"/>
      <c r="S267" s="743"/>
      <c r="T267" s="743"/>
      <c r="U267" s="743"/>
      <c r="V267" s="743"/>
      <c r="W267" s="743"/>
      <c r="X267" s="743"/>
      <c r="Y267" s="743"/>
      <c r="Z267" s="743"/>
      <c r="AA267" s="743"/>
      <c r="AB267" s="743"/>
      <c r="AC267" s="743"/>
      <c r="AD267" s="743"/>
      <c r="AE267" s="743"/>
      <c r="AF267" s="743"/>
      <c r="AG267" s="743"/>
      <c r="AH267" s="743"/>
      <c r="AI267" s="743"/>
      <c r="AJ267" s="743"/>
      <c r="AK267" s="743"/>
      <c r="AL267" s="743"/>
      <c r="AM267" s="743"/>
    </row>
    <row r="268" spans="1:39" ht="17.25">
      <c r="A268" s="752"/>
      <c r="B268" s="752"/>
      <c r="C268" s="752"/>
      <c r="D268" s="752"/>
      <c r="E268" s="752"/>
      <c r="F268" s="752"/>
      <c r="G268" s="752"/>
      <c r="H268" s="752"/>
      <c r="I268" s="829"/>
      <c r="J268" s="752"/>
      <c r="K268" s="752"/>
      <c r="L268" s="743"/>
      <c r="M268" s="743"/>
      <c r="N268" s="743"/>
      <c r="O268" s="743"/>
      <c r="P268" s="743"/>
      <c r="Q268" s="743"/>
      <c r="R268" s="743"/>
      <c r="S268" s="743"/>
      <c r="T268" s="743"/>
      <c r="U268" s="743"/>
      <c r="V268" s="743"/>
      <c r="W268" s="743"/>
      <c r="X268" s="743"/>
      <c r="Y268" s="743"/>
      <c r="Z268" s="743"/>
      <c r="AA268" s="743"/>
      <c r="AB268" s="743"/>
      <c r="AC268" s="743"/>
      <c r="AD268" s="743"/>
      <c r="AE268" s="743"/>
      <c r="AF268" s="743"/>
      <c r="AG268" s="743"/>
      <c r="AH268" s="743"/>
      <c r="AI268" s="743"/>
      <c r="AJ268" s="743"/>
      <c r="AK268" s="743"/>
      <c r="AL268" s="743"/>
      <c r="AM268" s="743"/>
    </row>
    <row r="269" spans="1:39" ht="17.25">
      <c r="A269" s="752"/>
      <c r="B269" s="752"/>
      <c r="C269" s="752"/>
      <c r="D269" s="752"/>
      <c r="E269" s="752"/>
      <c r="F269" s="752"/>
      <c r="G269" s="752"/>
      <c r="H269" s="752"/>
      <c r="I269" s="829"/>
      <c r="J269" s="752"/>
      <c r="K269" s="752"/>
      <c r="L269" s="743"/>
      <c r="M269" s="743"/>
      <c r="N269" s="743"/>
      <c r="O269" s="743"/>
      <c r="P269" s="743"/>
      <c r="Q269" s="743"/>
      <c r="R269" s="743"/>
      <c r="S269" s="743"/>
      <c r="T269" s="743"/>
      <c r="U269" s="743"/>
      <c r="V269" s="743"/>
      <c r="W269" s="743"/>
      <c r="X269" s="743"/>
      <c r="Y269" s="743"/>
      <c r="Z269" s="743"/>
      <c r="AA269" s="743"/>
      <c r="AB269" s="743"/>
      <c r="AC269" s="743"/>
      <c r="AD269" s="743"/>
      <c r="AE269" s="743"/>
      <c r="AF269" s="743"/>
      <c r="AG269" s="743"/>
      <c r="AH269" s="743"/>
      <c r="AI269" s="743"/>
      <c r="AJ269" s="743"/>
      <c r="AK269" s="743"/>
      <c r="AL269" s="743"/>
      <c r="AM269" s="743"/>
    </row>
    <row r="270" spans="1:39" ht="17.25">
      <c r="A270" s="752"/>
      <c r="B270" s="752"/>
      <c r="C270" s="752"/>
      <c r="D270" s="752"/>
      <c r="E270" s="752"/>
      <c r="F270" s="752"/>
      <c r="G270" s="752"/>
      <c r="H270" s="752"/>
      <c r="I270" s="829"/>
      <c r="J270" s="752"/>
      <c r="K270" s="752"/>
      <c r="L270" s="743"/>
      <c r="M270" s="743"/>
      <c r="N270" s="743"/>
      <c r="O270" s="743"/>
      <c r="P270" s="743"/>
      <c r="Q270" s="743"/>
      <c r="R270" s="743"/>
      <c r="S270" s="743"/>
      <c r="T270" s="743"/>
      <c r="U270" s="743"/>
      <c r="V270" s="743"/>
      <c r="W270" s="743"/>
      <c r="X270" s="743"/>
      <c r="Y270" s="743"/>
      <c r="Z270" s="743"/>
      <c r="AA270" s="743"/>
      <c r="AB270" s="743"/>
      <c r="AC270" s="743"/>
      <c r="AD270" s="743"/>
      <c r="AE270" s="743"/>
      <c r="AF270" s="743"/>
      <c r="AG270" s="743"/>
      <c r="AH270" s="743"/>
      <c r="AI270" s="743"/>
      <c r="AJ270" s="743"/>
      <c r="AK270" s="743"/>
      <c r="AL270" s="743"/>
      <c r="AM270" s="743"/>
    </row>
    <row r="271" spans="1:39" ht="17.25">
      <c r="A271" s="752"/>
      <c r="B271" s="752"/>
      <c r="C271" s="752"/>
      <c r="D271" s="752"/>
      <c r="E271" s="752"/>
      <c r="F271" s="752"/>
      <c r="G271" s="752"/>
      <c r="H271" s="752"/>
      <c r="I271" s="829"/>
      <c r="J271" s="752"/>
      <c r="K271" s="752"/>
      <c r="L271" s="743"/>
      <c r="M271" s="743"/>
      <c r="N271" s="743"/>
      <c r="O271" s="743"/>
      <c r="P271" s="743"/>
      <c r="Q271" s="743"/>
      <c r="R271" s="743"/>
      <c r="S271" s="743"/>
      <c r="T271" s="743"/>
      <c r="U271" s="743"/>
      <c r="V271" s="743"/>
      <c r="W271" s="743"/>
      <c r="X271" s="743"/>
      <c r="Y271" s="743"/>
      <c r="Z271" s="743"/>
      <c r="AA271" s="743"/>
      <c r="AB271" s="743"/>
      <c r="AC271" s="743"/>
      <c r="AD271" s="743"/>
      <c r="AE271" s="743"/>
      <c r="AF271" s="743"/>
      <c r="AG271" s="743"/>
      <c r="AH271" s="743"/>
      <c r="AI271" s="743"/>
      <c r="AJ271" s="743"/>
      <c r="AK271" s="743"/>
      <c r="AL271" s="743"/>
      <c r="AM271" s="743"/>
    </row>
    <row r="272" spans="1:39" ht="17.25">
      <c r="A272" s="752"/>
      <c r="B272" s="752"/>
      <c r="C272" s="752"/>
      <c r="D272" s="752"/>
      <c r="E272" s="752"/>
      <c r="F272" s="752"/>
      <c r="G272" s="752"/>
      <c r="H272" s="752"/>
      <c r="I272" s="829"/>
      <c r="J272" s="752"/>
      <c r="K272" s="752"/>
      <c r="L272" s="743"/>
      <c r="M272" s="743"/>
      <c r="N272" s="743"/>
      <c r="O272" s="743"/>
      <c r="P272" s="743"/>
      <c r="Q272" s="743"/>
      <c r="R272" s="743"/>
      <c r="S272" s="743"/>
      <c r="T272" s="743"/>
      <c r="U272" s="743"/>
      <c r="V272" s="743"/>
      <c r="W272" s="743"/>
      <c r="X272" s="743"/>
      <c r="Y272" s="743"/>
      <c r="Z272" s="743"/>
      <c r="AA272" s="743"/>
      <c r="AB272" s="743"/>
      <c r="AC272" s="743"/>
      <c r="AD272" s="743"/>
      <c r="AE272" s="743"/>
      <c r="AF272" s="743"/>
      <c r="AG272" s="743"/>
      <c r="AH272" s="743"/>
      <c r="AI272" s="743"/>
      <c r="AJ272" s="743"/>
      <c r="AK272" s="743"/>
      <c r="AL272" s="743"/>
      <c r="AM272" s="743"/>
    </row>
    <row r="273" spans="1:39" ht="17.25">
      <c r="A273" s="752"/>
      <c r="B273" s="752"/>
      <c r="C273" s="752"/>
      <c r="D273" s="752"/>
      <c r="E273" s="752"/>
      <c r="F273" s="752"/>
      <c r="G273" s="752"/>
      <c r="H273" s="752"/>
      <c r="I273" s="829"/>
      <c r="J273" s="752"/>
      <c r="K273" s="752"/>
      <c r="L273" s="743"/>
      <c r="M273" s="743"/>
      <c r="N273" s="743"/>
      <c r="O273" s="743"/>
      <c r="P273" s="743"/>
      <c r="Q273" s="743"/>
      <c r="R273" s="743"/>
      <c r="S273" s="743"/>
      <c r="T273" s="743"/>
      <c r="U273" s="743"/>
      <c r="V273" s="743"/>
      <c r="W273" s="743"/>
      <c r="X273" s="743"/>
      <c r="Y273" s="743"/>
      <c r="Z273" s="743"/>
      <c r="AA273" s="743"/>
      <c r="AB273" s="743"/>
      <c r="AC273" s="743"/>
      <c r="AD273" s="743"/>
      <c r="AE273" s="743"/>
      <c r="AF273" s="743"/>
      <c r="AG273" s="743"/>
      <c r="AH273" s="743"/>
      <c r="AI273" s="743"/>
      <c r="AJ273" s="743"/>
      <c r="AK273" s="743"/>
      <c r="AL273" s="743"/>
      <c r="AM273" s="743"/>
    </row>
    <row r="274" spans="1:39" ht="17.25">
      <c r="A274" s="752"/>
      <c r="B274" s="752"/>
      <c r="C274" s="752"/>
      <c r="D274" s="752"/>
      <c r="E274" s="752"/>
      <c r="F274" s="752"/>
      <c r="G274" s="752"/>
      <c r="H274" s="752"/>
      <c r="I274" s="829"/>
      <c r="J274" s="752"/>
      <c r="K274" s="752"/>
      <c r="L274" s="743"/>
      <c r="M274" s="743"/>
      <c r="N274" s="743"/>
      <c r="O274" s="743"/>
      <c r="P274" s="743"/>
      <c r="Q274" s="743"/>
      <c r="R274" s="743"/>
      <c r="S274" s="743"/>
      <c r="T274" s="743"/>
      <c r="U274" s="743"/>
      <c r="V274" s="743"/>
      <c r="W274" s="743"/>
      <c r="X274" s="743"/>
      <c r="Y274" s="743"/>
      <c r="Z274" s="743"/>
      <c r="AA274" s="743"/>
      <c r="AB274" s="743"/>
      <c r="AC274" s="743"/>
      <c r="AD274" s="743"/>
      <c r="AE274" s="743"/>
      <c r="AF274" s="743"/>
      <c r="AG274" s="743"/>
      <c r="AH274" s="743"/>
      <c r="AI274" s="743"/>
      <c r="AJ274" s="743"/>
      <c r="AK274" s="743"/>
      <c r="AL274" s="743"/>
      <c r="AM274" s="743"/>
    </row>
    <row r="275" spans="1:39" ht="17.25">
      <c r="A275" s="752"/>
      <c r="B275" s="752"/>
      <c r="C275" s="752"/>
      <c r="D275" s="752"/>
      <c r="E275" s="752"/>
      <c r="F275" s="752"/>
      <c r="G275" s="752"/>
      <c r="H275" s="752"/>
      <c r="I275" s="829"/>
      <c r="J275" s="752"/>
      <c r="K275" s="752"/>
      <c r="L275" s="743"/>
      <c r="M275" s="743"/>
      <c r="N275" s="743"/>
      <c r="O275" s="743"/>
      <c r="P275" s="743"/>
      <c r="Q275" s="743"/>
      <c r="R275" s="743"/>
      <c r="S275" s="743"/>
      <c r="T275" s="743"/>
      <c r="U275" s="743"/>
      <c r="V275" s="743"/>
      <c r="W275" s="743"/>
      <c r="X275" s="743"/>
      <c r="Y275" s="743"/>
      <c r="Z275" s="743"/>
      <c r="AA275" s="743"/>
      <c r="AB275" s="743"/>
      <c r="AC275" s="743"/>
      <c r="AD275" s="743"/>
      <c r="AE275" s="743"/>
      <c r="AF275" s="743"/>
      <c r="AG275" s="743"/>
      <c r="AH275" s="743"/>
      <c r="AI275" s="743"/>
      <c r="AJ275" s="743"/>
      <c r="AK275" s="743"/>
      <c r="AL275" s="743"/>
      <c r="AM275" s="743"/>
    </row>
    <row r="276" spans="1:39" ht="17.25">
      <c r="A276" s="752"/>
      <c r="B276" s="752"/>
      <c r="C276" s="752"/>
      <c r="D276" s="752"/>
      <c r="E276" s="752"/>
      <c r="F276" s="752"/>
      <c r="G276" s="752"/>
      <c r="H276" s="752"/>
      <c r="I276" s="829"/>
      <c r="J276" s="752"/>
      <c r="K276" s="752"/>
      <c r="L276" s="743"/>
      <c r="M276" s="743"/>
      <c r="N276" s="743"/>
      <c r="O276" s="743"/>
      <c r="P276" s="743"/>
      <c r="Q276" s="743"/>
      <c r="R276" s="743"/>
      <c r="S276" s="743"/>
      <c r="T276" s="743"/>
      <c r="U276" s="743"/>
      <c r="V276" s="743"/>
      <c r="W276" s="743"/>
      <c r="X276" s="743"/>
      <c r="Y276" s="743"/>
      <c r="Z276" s="743"/>
      <c r="AA276" s="743"/>
      <c r="AB276" s="743"/>
      <c r="AC276" s="743"/>
      <c r="AD276" s="743"/>
      <c r="AE276" s="743"/>
      <c r="AF276" s="743"/>
      <c r="AG276" s="743"/>
      <c r="AH276" s="743"/>
      <c r="AI276" s="743"/>
      <c r="AJ276" s="743"/>
      <c r="AK276" s="743"/>
      <c r="AL276" s="743"/>
      <c r="AM276" s="743"/>
    </row>
    <row r="277" spans="1:39" ht="17.25">
      <c r="A277" s="752"/>
      <c r="B277" s="752"/>
      <c r="C277" s="752"/>
      <c r="D277" s="752"/>
      <c r="E277" s="752"/>
      <c r="F277" s="752"/>
      <c r="G277" s="752"/>
      <c r="H277" s="752"/>
      <c r="I277" s="829"/>
      <c r="J277" s="752"/>
      <c r="K277" s="752"/>
      <c r="L277" s="743"/>
      <c r="M277" s="743"/>
      <c r="N277" s="743"/>
      <c r="O277" s="743"/>
      <c r="P277" s="743"/>
      <c r="Q277" s="743"/>
      <c r="R277" s="743"/>
      <c r="S277" s="743"/>
      <c r="T277" s="743"/>
      <c r="U277" s="743"/>
      <c r="V277" s="743"/>
      <c r="W277" s="743"/>
      <c r="X277" s="743"/>
      <c r="Y277" s="743"/>
      <c r="Z277" s="743"/>
      <c r="AA277" s="743"/>
      <c r="AB277" s="743"/>
      <c r="AC277" s="743"/>
      <c r="AD277" s="743"/>
      <c r="AE277" s="743"/>
      <c r="AF277" s="743"/>
      <c r="AG277" s="743"/>
      <c r="AH277" s="743"/>
      <c r="AI277" s="743"/>
      <c r="AJ277" s="743"/>
      <c r="AK277" s="743"/>
      <c r="AL277" s="743"/>
      <c r="AM277" s="743"/>
    </row>
    <row r="278" spans="1:39" ht="17.25">
      <c r="A278" s="752"/>
      <c r="B278" s="752"/>
      <c r="C278" s="752"/>
      <c r="D278" s="752"/>
      <c r="E278" s="752"/>
      <c r="F278" s="752"/>
      <c r="G278" s="752"/>
      <c r="H278" s="752"/>
      <c r="I278" s="829"/>
      <c r="J278" s="752"/>
      <c r="K278" s="752"/>
      <c r="L278" s="743"/>
      <c r="M278" s="743"/>
      <c r="N278" s="743"/>
      <c r="O278" s="743"/>
      <c r="P278" s="743"/>
      <c r="Q278" s="743"/>
      <c r="R278" s="743"/>
      <c r="S278" s="743"/>
      <c r="T278" s="743"/>
      <c r="U278" s="743"/>
      <c r="V278" s="743"/>
      <c r="W278" s="743"/>
      <c r="X278" s="743"/>
      <c r="Y278" s="743"/>
      <c r="Z278" s="743"/>
      <c r="AA278" s="743"/>
      <c r="AB278" s="743"/>
      <c r="AC278" s="743"/>
      <c r="AD278" s="743"/>
      <c r="AE278" s="743"/>
      <c r="AF278" s="743"/>
      <c r="AG278" s="743"/>
      <c r="AH278" s="743"/>
      <c r="AI278" s="743"/>
      <c r="AJ278" s="743"/>
      <c r="AK278" s="743"/>
      <c r="AL278" s="743"/>
      <c r="AM278" s="743"/>
    </row>
    <row r="279" spans="1:39" ht="17.25">
      <c r="A279" s="752"/>
      <c r="B279" s="752"/>
      <c r="C279" s="752"/>
      <c r="D279" s="752"/>
      <c r="E279" s="752"/>
      <c r="F279" s="752"/>
      <c r="G279" s="752"/>
      <c r="H279" s="752"/>
      <c r="I279" s="829"/>
      <c r="J279" s="752"/>
      <c r="K279" s="752"/>
      <c r="L279" s="743"/>
      <c r="M279" s="743"/>
      <c r="N279" s="743"/>
      <c r="O279" s="743"/>
      <c r="P279" s="743"/>
      <c r="Q279" s="743"/>
      <c r="R279" s="743"/>
      <c r="S279" s="743"/>
      <c r="T279" s="743"/>
      <c r="U279" s="743"/>
      <c r="V279" s="743"/>
      <c r="W279" s="743"/>
      <c r="X279" s="743"/>
      <c r="Y279" s="743"/>
      <c r="Z279" s="743"/>
      <c r="AA279" s="743"/>
      <c r="AB279" s="743"/>
      <c r="AC279" s="743"/>
      <c r="AD279" s="743"/>
      <c r="AE279" s="743"/>
      <c r="AF279" s="743"/>
      <c r="AG279" s="743"/>
      <c r="AH279" s="743"/>
      <c r="AI279" s="743"/>
      <c r="AJ279" s="743"/>
      <c r="AK279" s="743"/>
      <c r="AL279" s="743"/>
      <c r="AM279" s="743"/>
    </row>
    <row r="280" spans="1:39" ht="17.25">
      <c r="A280" s="752"/>
      <c r="B280" s="752"/>
      <c r="C280" s="752"/>
      <c r="D280" s="752"/>
      <c r="E280" s="752"/>
      <c r="F280" s="752"/>
      <c r="G280" s="752"/>
      <c r="H280" s="752"/>
      <c r="I280" s="829"/>
      <c r="J280" s="752"/>
      <c r="K280" s="752"/>
      <c r="L280" s="743"/>
      <c r="M280" s="743"/>
      <c r="N280" s="743"/>
      <c r="O280" s="743"/>
      <c r="P280" s="743"/>
      <c r="Q280" s="743"/>
      <c r="R280" s="743"/>
      <c r="S280" s="743"/>
      <c r="T280" s="743"/>
      <c r="U280" s="743"/>
      <c r="V280" s="743"/>
      <c r="W280" s="743"/>
      <c r="X280" s="743"/>
      <c r="Y280" s="743"/>
      <c r="Z280" s="743"/>
      <c r="AA280" s="743"/>
      <c r="AB280" s="743"/>
      <c r="AC280" s="743"/>
      <c r="AD280" s="743"/>
      <c r="AE280" s="743"/>
      <c r="AF280" s="743"/>
      <c r="AG280" s="743"/>
      <c r="AH280" s="743"/>
      <c r="AI280" s="743"/>
      <c r="AJ280" s="743"/>
      <c r="AK280" s="743"/>
      <c r="AL280" s="743"/>
      <c r="AM280" s="743"/>
    </row>
    <row r="281" spans="1:39" ht="17.25">
      <c r="A281" s="752"/>
      <c r="B281" s="752"/>
      <c r="C281" s="752"/>
      <c r="D281" s="752"/>
      <c r="E281" s="752"/>
      <c r="F281" s="752"/>
      <c r="G281" s="752"/>
      <c r="H281" s="752"/>
      <c r="I281" s="829"/>
      <c r="J281" s="752"/>
      <c r="K281" s="752"/>
      <c r="L281" s="743"/>
      <c r="M281" s="743"/>
      <c r="N281" s="743"/>
      <c r="O281" s="743"/>
      <c r="P281" s="743"/>
      <c r="Q281" s="743"/>
      <c r="R281" s="743"/>
      <c r="S281" s="743"/>
      <c r="T281" s="743"/>
      <c r="U281" s="743"/>
      <c r="V281" s="743"/>
      <c r="W281" s="743"/>
      <c r="X281" s="743"/>
      <c r="Y281" s="743"/>
      <c r="Z281" s="743"/>
      <c r="AA281" s="743"/>
      <c r="AB281" s="743"/>
      <c r="AC281" s="743"/>
      <c r="AD281" s="743"/>
      <c r="AE281" s="743"/>
      <c r="AF281" s="743"/>
      <c r="AG281" s="743"/>
      <c r="AH281" s="743"/>
      <c r="AI281" s="743"/>
      <c r="AJ281" s="743"/>
      <c r="AK281" s="743"/>
      <c r="AL281" s="743"/>
      <c r="AM281" s="743"/>
    </row>
    <row r="282" spans="1:39" ht="17.25">
      <c r="A282" s="752"/>
      <c r="B282" s="752"/>
      <c r="C282" s="752"/>
      <c r="D282" s="752"/>
      <c r="E282" s="752"/>
      <c r="F282" s="752"/>
      <c r="G282" s="752"/>
      <c r="H282" s="752"/>
      <c r="I282" s="829"/>
      <c r="J282" s="752"/>
      <c r="K282" s="752"/>
      <c r="L282" s="743"/>
      <c r="M282" s="743"/>
      <c r="N282" s="743"/>
      <c r="O282" s="743"/>
      <c r="P282" s="743"/>
      <c r="Q282" s="743"/>
      <c r="R282" s="743"/>
      <c r="S282" s="743"/>
      <c r="T282" s="743"/>
      <c r="U282" s="743"/>
      <c r="V282" s="743"/>
      <c r="W282" s="743"/>
      <c r="X282" s="743"/>
      <c r="Y282" s="743"/>
      <c r="Z282" s="743"/>
      <c r="AA282" s="743"/>
      <c r="AB282" s="743"/>
      <c r="AC282" s="743"/>
      <c r="AD282" s="743"/>
      <c r="AE282" s="743"/>
      <c r="AF282" s="743"/>
      <c r="AG282" s="743"/>
      <c r="AH282" s="743"/>
      <c r="AI282" s="743"/>
      <c r="AJ282" s="743"/>
      <c r="AK282" s="743"/>
      <c r="AL282" s="743"/>
      <c r="AM282" s="743"/>
    </row>
    <row r="283" spans="1:39" ht="17.25">
      <c r="A283" s="752"/>
      <c r="B283" s="752"/>
      <c r="C283" s="752"/>
      <c r="D283" s="752"/>
      <c r="E283" s="752"/>
      <c r="F283" s="752"/>
      <c r="G283" s="752"/>
      <c r="H283" s="752"/>
      <c r="I283" s="829"/>
      <c r="J283" s="752"/>
      <c r="K283" s="752"/>
      <c r="L283" s="743"/>
      <c r="M283" s="743"/>
      <c r="N283" s="743"/>
      <c r="O283" s="743"/>
      <c r="P283" s="743"/>
      <c r="Q283" s="743"/>
      <c r="R283" s="743"/>
      <c r="S283" s="743"/>
      <c r="T283" s="743"/>
      <c r="U283" s="743"/>
      <c r="V283" s="743"/>
      <c r="W283" s="743"/>
      <c r="X283" s="743"/>
      <c r="Y283" s="743"/>
      <c r="Z283" s="743"/>
      <c r="AA283" s="743"/>
      <c r="AB283" s="743"/>
      <c r="AC283" s="743"/>
      <c r="AD283" s="743"/>
      <c r="AE283" s="743"/>
      <c r="AF283" s="743"/>
      <c r="AG283" s="743"/>
      <c r="AH283" s="743"/>
      <c r="AI283" s="743"/>
      <c r="AJ283" s="743"/>
      <c r="AK283" s="743"/>
      <c r="AL283" s="743"/>
      <c r="AM283" s="743"/>
    </row>
    <row r="284" spans="1:39" ht="17.25">
      <c r="A284" s="752"/>
      <c r="B284" s="752"/>
      <c r="C284" s="752"/>
      <c r="D284" s="752"/>
      <c r="E284" s="752"/>
      <c r="F284" s="752"/>
      <c r="G284" s="752"/>
      <c r="H284" s="752"/>
      <c r="I284" s="829"/>
      <c r="J284" s="752"/>
      <c r="K284" s="752"/>
      <c r="L284" s="743"/>
      <c r="M284" s="743"/>
      <c r="N284" s="743"/>
      <c r="O284" s="743"/>
      <c r="P284" s="743"/>
      <c r="Q284" s="743"/>
      <c r="R284" s="743"/>
      <c r="S284" s="743"/>
      <c r="T284" s="743"/>
      <c r="U284" s="743"/>
      <c r="V284" s="743"/>
      <c r="W284" s="743"/>
      <c r="X284" s="743"/>
      <c r="Y284" s="743"/>
      <c r="Z284" s="743"/>
      <c r="AA284" s="743"/>
      <c r="AB284" s="743"/>
      <c r="AC284" s="743"/>
      <c r="AD284" s="743"/>
      <c r="AE284" s="743"/>
      <c r="AF284" s="743"/>
      <c r="AG284" s="743"/>
      <c r="AH284" s="743"/>
      <c r="AI284" s="743"/>
      <c r="AJ284" s="743"/>
      <c r="AK284" s="743"/>
      <c r="AL284" s="743"/>
      <c r="AM284" s="743"/>
    </row>
    <row r="285" spans="1:39" ht="17.25">
      <c r="A285" s="752"/>
      <c r="B285" s="752"/>
      <c r="C285" s="752"/>
      <c r="D285" s="752"/>
      <c r="E285" s="752"/>
      <c r="F285" s="752"/>
      <c r="G285" s="752"/>
      <c r="H285" s="752"/>
      <c r="I285" s="829"/>
      <c r="J285" s="752"/>
      <c r="K285" s="752"/>
      <c r="L285" s="743"/>
      <c r="M285" s="743"/>
      <c r="N285" s="743"/>
      <c r="O285" s="743"/>
      <c r="P285" s="743"/>
      <c r="Q285" s="743"/>
      <c r="R285" s="743"/>
      <c r="S285" s="743"/>
      <c r="T285" s="743"/>
      <c r="U285" s="743"/>
      <c r="V285" s="743"/>
      <c r="W285" s="743"/>
      <c r="X285" s="743"/>
      <c r="Y285" s="743"/>
      <c r="Z285" s="743"/>
      <c r="AA285" s="743"/>
      <c r="AB285" s="743"/>
      <c r="AC285" s="743"/>
      <c r="AD285" s="743"/>
      <c r="AE285" s="743"/>
      <c r="AF285" s="743"/>
      <c r="AG285" s="743"/>
      <c r="AH285" s="743"/>
      <c r="AI285" s="743"/>
      <c r="AJ285" s="743"/>
      <c r="AK285" s="743"/>
      <c r="AL285" s="743"/>
      <c r="AM285" s="743"/>
    </row>
    <row r="286" spans="1:39" ht="17.25">
      <c r="A286" s="752"/>
      <c r="B286" s="752"/>
      <c r="C286" s="752"/>
      <c r="D286" s="752"/>
      <c r="E286" s="752"/>
      <c r="F286" s="752"/>
      <c r="G286" s="752"/>
      <c r="H286" s="752"/>
      <c r="I286" s="829"/>
      <c r="J286" s="752"/>
      <c r="K286" s="752"/>
      <c r="L286" s="743"/>
      <c r="M286" s="743"/>
      <c r="N286" s="743"/>
      <c r="O286" s="743"/>
      <c r="P286" s="743"/>
      <c r="Q286" s="743"/>
      <c r="R286" s="743"/>
      <c r="S286" s="743"/>
      <c r="T286" s="743"/>
      <c r="U286" s="743"/>
      <c r="V286" s="743"/>
      <c r="W286" s="743"/>
      <c r="X286" s="743"/>
      <c r="Y286" s="743"/>
      <c r="Z286" s="743"/>
      <c r="AA286" s="743"/>
      <c r="AB286" s="743"/>
      <c r="AC286" s="743"/>
      <c r="AD286" s="743"/>
      <c r="AE286" s="743"/>
      <c r="AF286" s="743"/>
      <c r="AG286" s="743"/>
      <c r="AH286" s="743"/>
      <c r="AI286" s="743"/>
      <c r="AJ286" s="743"/>
      <c r="AK286" s="743"/>
      <c r="AL286" s="743"/>
      <c r="AM286" s="743"/>
    </row>
    <row r="287" spans="1:39" ht="17.25">
      <c r="A287" s="752"/>
      <c r="B287" s="752"/>
      <c r="C287" s="752"/>
      <c r="D287" s="752"/>
      <c r="E287" s="752"/>
      <c r="F287" s="752"/>
      <c r="G287" s="752"/>
      <c r="H287" s="752"/>
      <c r="I287" s="829"/>
      <c r="J287" s="752"/>
      <c r="K287" s="752"/>
      <c r="L287" s="743"/>
      <c r="M287" s="743"/>
      <c r="N287" s="743"/>
      <c r="O287" s="743"/>
      <c r="P287" s="743"/>
      <c r="Q287" s="743"/>
      <c r="R287" s="743"/>
      <c r="S287" s="743"/>
      <c r="T287" s="743"/>
      <c r="U287" s="743"/>
      <c r="V287" s="743"/>
      <c r="W287" s="743"/>
      <c r="X287" s="743"/>
      <c r="Y287" s="743"/>
      <c r="Z287" s="743"/>
      <c r="AA287" s="743"/>
      <c r="AB287" s="743"/>
      <c r="AC287" s="743"/>
      <c r="AD287" s="743"/>
      <c r="AE287" s="743"/>
      <c r="AF287" s="743"/>
      <c r="AG287" s="743"/>
      <c r="AH287" s="743"/>
      <c r="AI287" s="743"/>
      <c r="AJ287" s="743"/>
      <c r="AK287" s="743"/>
      <c r="AL287" s="743"/>
      <c r="AM287" s="743"/>
    </row>
    <row r="288" spans="1:39" ht="17.25">
      <c r="A288" s="752"/>
      <c r="B288" s="752"/>
      <c r="C288" s="752"/>
      <c r="D288" s="752"/>
      <c r="E288" s="752"/>
      <c r="F288" s="752"/>
      <c r="G288" s="752"/>
      <c r="H288" s="752"/>
      <c r="I288" s="829"/>
      <c r="J288" s="752"/>
      <c r="K288" s="752"/>
      <c r="L288" s="743"/>
      <c r="M288" s="743"/>
      <c r="N288" s="743"/>
      <c r="O288" s="743"/>
      <c r="P288" s="743"/>
      <c r="Q288" s="743"/>
      <c r="R288" s="743"/>
      <c r="S288" s="743"/>
      <c r="T288" s="743"/>
      <c r="U288" s="743"/>
      <c r="V288" s="743"/>
      <c r="W288" s="743"/>
      <c r="X288" s="743"/>
      <c r="Y288" s="743"/>
      <c r="Z288" s="743"/>
      <c r="AA288" s="743"/>
      <c r="AB288" s="743"/>
      <c r="AC288" s="743"/>
      <c r="AD288" s="743"/>
      <c r="AE288" s="743"/>
      <c r="AF288" s="743"/>
      <c r="AG288" s="743"/>
      <c r="AH288" s="743"/>
      <c r="AI288" s="743"/>
      <c r="AJ288" s="743"/>
      <c r="AK288" s="743"/>
      <c r="AL288" s="743"/>
      <c r="AM288" s="743"/>
    </row>
    <row r="289" spans="1:39" ht="17.25">
      <c r="A289" s="752"/>
      <c r="B289" s="752"/>
      <c r="C289" s="752"/>
      <c r="D289" s="752"/>
      <c r="E289" s="752"/>
      <c r="F289" s="752"/>
      <c r="G289" s="752"/>
      <c r="H289" s="752"/>
      <c r="I289" s="829"/>
      <c r="J289" s="752"/>
      <c r="K289" s="752"/>
      <c r="L289" s="743"/>
      <c r="M289" s="743"/>
      <c r="N289" s="743"/>
      <c r="O289" s="743"/>
      <c r="P289" s="743"/>
      <c r="Q289" s="743"/>
      <c r="R289" s="743"/>
      <c r="S289" s="743"/>
      <c r="T289" s="743"/>
      <c r="U289" s="743"/>
      <c r="V289" s="743"/>
      <c r="W289" s="743"/>
      <c r="X289" s="743"/>
      <c r="Y289" s="743"/>
      <c r="Z289" s="743"/>
      <c r="AA289" s="743"/>
      <c r="AB289" s="743"/>
      <c r="AC289" s="743"/>
      <c r="AD289" s="743"/>
      <c r="AE289" s="743"/>
      <c r="AF289" s="743"/>
      <c r="AG289" s="743"/>
      <c r="AH289" s="743"/>
      <c r="AI289" s="743"/>
      <c r="AJ289" s="743"/>
      <c r="AK289" s="743"/>
      <c r="AL289" s="743"/>
      <c r="AM289" s="743"/>
    </row>
    <row r="290" spans="1:39" ht="17.25">
      <c r="A290" s="752"/>
      <c r="B290" s="752"/>
      <c r="C290" s="752"/>
      <c r="D290" s="752"/>
      <c r="E290" s="752"/>
      <c r="F290" s="752"/>
      <c r="G290" s="752"/>
      <c r="H290" s="752"/>
      <c r="I290" s="829"/>
      <c r="J290" s="752"/>
      <c r="K290" s="752"/>
      <c r="L290" s="743"/>
      <c r="M290" s="743"/>
      <c r="N290" s="743"/>
      <c r="O290" s="743"/>
      <c r="P290" s="743"/>
      <c r="Q290" s="743"/>
      <c r="R290" s="743"/>
      <c r="S290" s="743"/>
      <c r="T290" s="743"/>
      <c r="U290" s="743"/>
      <c r="V290" s="743"/>
      <c r="W290" s="743"/>
      <c r="X290" s="743"/>
      <c r="Y290" s="743"/>
      <c r="Z290" s="743"/>
      <c r="AA290" s="743"/>
      <c r="AB290" s="743"/>
      <c r="AC290" s="743"/>
      <c r="AD290" s="743"/>
      <c r="AE290" s="743"/>
      <c r="AF290" s="743"/>
      <c r="AG290" s="743"/>
      <c r="AH290" s="743"/>
      <c r="AI290" s="743"/>
      <c r="AJ290" s="743"/>
      <c r="AK290" s="743"/>
      <c r="AL290" s="743"/>
      <c r="AM290" s="743"/>
    </row>
    <row r="291" spans="1:39" ht="17.25">
      <c r="A291" s="752"/>
      <c r="B291" s="752"/>
      <c r="C291" s="752"/>
      <c r="D291" s="752"/>
      <c r="E291" s="752"/>
      <c r="F291" s="752"/>
      <c r="G291" s="752"/>
      <c r="H291" s="752"/>
      <c r="I291" s="829"/>
      <c r="J291" s="752"/>
      <c r="K291" s="752"/>
      <c r="L291" s="743"/>
      <c r="M291" s="743"/>
      <c r="N291" s="743"/>
      <c r="O291" s="743"/>
      <c r="P291" s="743"/>
      <c r="Q291" s="743"/>
      <c r="R291" s="743"/>
      <c r="S291" s="743"/>
      <c r="T291" s="743"/>
      <c r="U291" s="743"/>
      <c r="V291" s="743"/>
      <c r="W291" s="743"/>
      <c r="X291" s="743"/>
      <c r="Y291" s="743"/>
      <c r="Z291" s="743"/>
      <c r="AA291" s="743"/>
      <c r="AB291" s="743"/>
      <c r="AC291" s="743"/>
      <c r="AD291" s="743"/>
      <c r="AE291" s="743"/>
      <c r="AF291" s="743"/>
      <c r="AG291" s="743"/>
      <c r="AH291" s="743"/>
      <c r="AI291" s="743"/>
      <c r="AJ291" s="743"/>
      <c r="AK291" s="743"/>
      <c r="AL291" s="743"/>
      <c r="AM291" s="743"/>
    </row>
    <row r="292" spans="1:39" ht="17.25">
      <c r="A292" s="752"/>
      <c r="B292" s="752"/>
      <c r="C292" s="752"/>
      <c r="D292" s="752"/>
      <c r="E292" s="752"/>
      <c r="F292" s="752"/>
      <c r="G292" s="752"/>
      <c r="H292" s="752"/>
      <c r="I292" s="829"/>
      <c r="J292" s="752"/>
      <c r="K292" s="752"/>
      <c r="L292" s="743"/>
      <c r="M292" s="743"/>
      <c r="N292" s="743"/>
      <c r="O292" s="743"/>
      <c r="P292" s="743"/>
      <c r="Q292" s="743"/>
      <c r="R292" s="743"/>
      <c r="S292" s="743"/>
      <c r="T292" s="743"/>
      <c r="U292" s="743"/>
      <c r="V292" s="743"/>
      <c r="W292" s="743"/>
      <c r="X292" s="743"/>
      <c r="Y292" s="743"/>
      <c r="Z292" s="743"/>
      <c r="AA292" s="743"/>
      <c r="AB292" s="743"/>
      <c r="AC292" s="743"/>
      <c r="AD292" s="743"/>
      <c r="AE292" s="743"/>
      <c r="AF292" s="743"/>
      <c r="AG292" s="743"/>
      <c r="AH292" s="743"/>
      <c r="AI292" s="743"/>
      <c r="AJ292" s="743"/>
      <c r="AK292" s="743"/>
      <c r="AL292" s="743"/>
      <c r="AM292" s="743"/>
    </row>
    <row r="293" spans="1:39" ht="17.25">
      <c r="A293" s="752"/>
      <c r="B293" s="752"/>
      <c r="C293" s="752"/>
      <c r="D293" s="752"/>
      <c r="E293" s="752"/>
      <c r="F293" s="752"/>
      <c r="G293" s="752"/>
      <c r="H293" s="752"/>
      <c r="I293" s="829"/>
      <c r="J293" s="752"/>
      <c r="K293" s="752"/>
      <c r="L293" s="743"/>
      <c r="M293" s="743"/>
      <c r="N293" s="743"/>
      <c r="O293" s="743"/>
      <c r="P293" s="743"/>
      <c r="Q293" s="743"/>
      <c r="R293" s="743"/>
      <c r="S293" s="743"/>
      <c r="T293" s="743"/>
      <c r="U293" s="743"/>
      <c r="V293" s="743"/>
      <c r="W293" s="743"/>
      <c r="X293" s="743"/>
      <c r="Y293" s="743"/>
      <c r="Z293" s="743"/>
      <c r="AA293" s="743"/>
      <c r="AB293" s="743"/>
      <c r="AC293" s="743"/>
      <c r="AD293" s="743"/>
      <c r="AE293" s="743"/>
      <c r="AF293" s="743"/>
      <c r="AG293" s="743"/>
      <c r="AH293" s="743"/>
      <c r="AI293" s="743"/>
      <c r="AJ293" s="743"/>
      <c r="AK293" s="743"/>
      <c r="AL293" s="743"/>
      <c r="AM293" s="743"/>
    </row>
    <row r="294" spans="1:39" ht="17.25">
      <c r="A294" s="752"/>
      <c r="B294" s="752"/>
      <c r="C294" s="752"/>
      <c r="D294" s="752"/>
      <c r="E294" s="752"/>
      <c r="F294" s="752"/>
      <c r="G294" s="752"/>
      <c r="H294" s="752"/>
      <c r="I294" s="829"/>
      <c r="J294" s="752"/>
      <c r="K294" s="752"/>
      <c r="L294" s="743"/>
      <c r="M294" s="743"/>
      <c r="N294" s="743"/>
      <c r="O294" s="743"/>
      <c r="P294" s="743"/>
      <c r="Q294" s="743"/>
      <c r="R294" s="743"/>
      <c r="S294" s="743"/>
      <c r="T294" s="743"/>
      <c r="U294" s="743"/>
      <c r="V294" s="743"/>
      <c r="W294" s="743"/>
      <c r="X294" s="743"/>
      <c r="Y294" s="743"/>
      <c r="Z294" s="743"/>
      <c r="AA294" s="743"/>
      <c r="AB294" s="743"/>
      <c r="AC294" s="743"/>
      <c r="AD294" s="743"/>
      <c r="AE294" s="743"/>
      <c r="AF294" s="743"/>
      <c r="AG294" s="743"/>
      <c r="AH294" s="743"/>
      <c r="AI294" s="743"/>
      <c r="AJ294" s="743"/>
      <c r="AK294" s="743"/>
      <c r="AL294" s="743"/>
      <c r="AM294" s="743"/>
    </row>
    <row r="295" spans="1:39" ht="17.25">
      <c r="A295" s="752"/>
      <c r="B295" s="752"/>
      <c r="C295" s="752"/>
      <c r="D295" s="752"/>
      <c r="E295" s="752"/>
      <c r="F295" s="752"/>
      <c r="G295" s="752"/>
      <c r="H295" s="752"/>
      <c r="I295" s="829"/>
      <c r="J295" s="752"/>
      <c r="K295" s="752"/>
      <c r="L295" s="743"/>
      <c r="M295" s="743"/>
      <c r="N295" s="743"/>
      <c r="O295" s="743"/>
      <c r="P295" s="743"/>
      <c r="Q295" s="743"/>
      <c r="R295" s="743"/>
      <c r="S295" s="743"/>
      <c r="T295" s="743"/>
      <c r="U295" s="743"/>
      <c r="V295" s="743"/>
      <c r="W295" s="743"/>
      <c r="X295" s="743"/>
      <c r="Y295" s="743"/>
      <c r="Z295" s="743"/>
      <c r="AA295" s="743"/>
      <c r="AB295" s="743"/>
      <c r="AC295" s="743"/>
      <c r="AD295" s="743"/>
      <c r="AE295" s="743"/>
      <c r="AF295" s="743"/>
      <c r="AG295" s="743"/>
      <c r="AH295" s="743"/>
      <c r="AI295" s="743"/>
      <c r="AJ295" s="743"/>
      <c r="AK295" s="743"/>
      <c r="AL295" s="743"/>
      <c r="AM295" s="743"/>
    </row>
    <row r="296" spans="1:39" ht="17.25">
      <c r="A296" s="752"/>
      <c r="B296" s="752"/>
      <c r="C296" s="752"/>
      <c r="D296" s="752"/>
      <c r="E296" s="752"/>
      <c r="F296" s="752"/>
      <c r="G296" s="752"/>
      <c r="H296" s="752"/>
      <c r="I296" s="829"/>
      <c r="J296" s="752"/>
      <c r="K296" s="752"/>
      <c r="L296" s="743"/>
      <c r="M296" s="743"/>
      <c r="N296" s="743"/>
      <c r="O296" s="743"/>
      <c r="P296" s="743"/>
      <c r="Q296" s="743"/>
      <c r="R296" s="743"/>
      <c r="S296" s="743"/>
      <c r="T296" s="743"/>
      <c r="U296" s="743"/>
      <c r="V296" s="743"/>
      <c r="W296" s="743"/>
      <c r="X296" s="743"/>
      <c r="Y296" s="743"/>
      <c r="Z296" s="743"/>
      <c r="AA296" s="743"/>
      <c r="AB296" s="743"/>
      <c r="AC296" s="743"/>
      <c r="AD296" s="743"/>
      <c r="AE296" s="743"/>
      <c r="AF296" s="743"/>
      <c r="AG296" s="743"/>
      <c r="AH296" s="743"/>
      <c r="AI296" s="743"/>
      <c r="AJ296" s="743"/>
      <c r="AK296" s="743"/>
      <c r="AL296" s="743"/>
      <c r="AM296" s="743"/>
    </row>
    <row r="297" spans="1:39" ht="17.25">
      <c r="A297" s="752"/>
      <c r="B297" s="752"/>
      <c r="C297" s="752"/>
      <c r="D297" s="752"/>
      <c r="E297" s="752"/>
      <c r="F297" s="752"/>
      <c r="G297" s="752"/>
      <c r="H297" s="752"/>
      <c r="I297" s="829"/>
      <c r="J297" s="752"/>
      <c r="K297" s="752"/>
      <c r="L297" s="743"/>
      <c r="M297" s="743"/>
      <c r="N297" s="743"/>
      <c r="O297" s="743"/>
      <c r="P297" s="743"/>
      <c r="Q297" s="743"/>
      <c r="R297" s="743"/>
      <c r="S297" s="743"/>
      <c r="T297" s="743"/>
      <c r="U297" s="743"/>
      <c r="V297" s="743"/>
      <c r="W297" s="743"/>
      <c r="X297" s="743"/>
      <c r="Y297" s="743"/>
      <c r="Z297" s="743"/>
      <c r="AA297" s="743"/>
      <c r="AB297" s="743"/>
      <c r="AC297" s="743"/>
      <c r="AD297" s="743"/>
      <c r="AE297" s="743"/>
      <c r="AF297" s="743"/>
      <c r="AG297" s="743"/>
      <c r="AH297" s="743"/>
      <c r="AI297" s="743"/>
      <c r="AJ297" s="743"/>
      <c r="AK297" s="743"/>
      <c r="AL297" s="743"/>
      <c r="AM297" s="743"/>
    </row>
    <row r="298" spans="1:39" ht="17.25">
      <c r="A298" s="752"/>
      <c r="B298" s="752"/>
      <c r="C298" s="752"/>
      <c r="D298" s="752"/>
      <c r="E298" s="752"/>
      <c r="F298" s="752"/>
      <c r="G298" s="752"/>
      <c r="H298" s="752"/>
      <c r="I298" s="829"/>
      <c r="J298" s="752"/>
      <c r="K298" s="752"/>
      <c r="L298" s="743"/>
      <c r="M298" s="743"/>
      <c r="N298" s="743"/>
      <c r="O298" s="743"/>
      <c r="P298" s="743"/>
      <c r="Q298" s="743"/>
      <c r="R298" s="743"/>
      <c r="S298" s="743"/>
      <c r="T298" s="743"/>
      <c r="U298" s="743"/>
      <c r="V298" s="743"/>
      <c r="W298" s="743"/>
      <c r="X298" s="743"/>
      <c r="Y298" s="743"/>
      <c r="Z298" s="743"/>
      <c r="AA298" s="743"/>
      <c r="AB298" s="743"/>
      <c r="AC298" s="743"/>
      <c r="AD298" s="743"/>
      <c r="AE298" s="743"/>
      <c r="AF298" s="743"/>
      <c r="AG298" s="743"/>
      <c r="AH298" s="743"/>
      <c r="AI298" s="743"/>
      <c r="AJ298" s="743"/>
      <c r="AK298" s="743"/>
      <c r="AL298" s="743"/>
      <c r="AM298" s="743"/>
    </row>
    <row r="299" spans="1:39" ht="17.25">
      <c r="A299" s="752"/>
      <c r="B299" s="752"/>
      <c r="C299" s="752"/>
      <c r="D299" s="752"/>
      <c r="E299" s="752"/>
      <c r="F299" s="752"/>
      <c r="G299" s="752"/>
      <c r="H299" s="752"/>
      <c r="I299" s="829"/>
      <c r="J299" s="752"/>
      <c r="K299" s="752"/>
      <c r="L299" s="743"/>
      <c r="M299" s="743"/>
      <c r="N299" s="743"/>
      <c r="O299" s="743"/>
      <c r="P299" s="743"/>
      <c r="Q299" s="743"/>
      <c r="R299" s="743"/>
      <c r="S299" s="743"/>
      <c r="T299" s="743"/>
      <c r="U299" s="743"/>
      <c r="V299" s="743"/>
      <c r="W299" s="743"/>
      <c r="X299" s="743"/>
      <c r="Y299" s="743"/>
      <c r="Z299" s="743"/>
      <c r="AA299" s="743"/>
      <c r="AB299" s="743"/>
      <c r="AC299" s="743"/>
      <c r="AD299" s="743"/>
      <c r="AE299" s="743"/>
      <c r="AF299" s="743"/>
      <c r="AG299" s="743"/>
      <c r="AH299" s="743"/>
      <c r="AI299" s="743"/>
      <c r="AJ299" s="743"/>
      <c r="AK299" s="743"/>
      <c r="AL299" s="743"/>
      <c r="AM299" s="743"/>
    </row>
    <row r="300" spans="1:39" ht="17.25">
      <c r="A300" s="752"/>
      <c r="B300" s="752"/>
      <c r="C300" s="752"/>
      <c r="D300" s="752"/>
      <c r="E300" s="752"/>
      <c r="F300" s="752"/>
      <c r="G300" s="752"/>
      <c r="H300" s="752"/>
      <c r="I300" s="829"/>
      <c r="J300" s="752"/>
      <c r="K300" s="752"/>
      <c r="L300" s="743"/>
      <c r="M300" s="743"/>
      <c r="N300" s="743"/>
      <c r="O300" s="743"/>
      <c r="P300" s="743"/>
      <c r="Q300" s="743"/>
      <c r="R300" s="743"/>
      <c r="S300" s="743"/>
      <c r="T300" s="743"/>
      <c r="U300" s="743"/>
      <c r="V300" s="743"/>
      <c r="W300" s="743"/>
      <c r="X300" s="743"/>
      <c r="Y300" s="743"/>
      <c r="Z300" s="743"/>
      <c r="AA300" s="743"/>
      <c r="AB300" s="743"/>
      <c r="AC300" s="743"/>
      <c r="AD300" s="743"/>
      <c r="AE300" s="743"/>
      <c r="AF300" s="743"/>
      <c r="AG300" s="743"/>
      <c r="AH300" s="743"/>
      <c r="AI300" s="743"/>
      <c r="AJ300" s="743"/>
      <c r="AK300" s="743"/>
      <c r="AL300" s="743"/>
      <c r="AM300" s="743"/>
    </row>
    <row r="301" spans="1:39" ht="17.25">
      <c r="A301" s="752"/>
      <c r="B301" s="752"/>
      <c r="C301" s="752"/>
      <c r="D301" s="752"/>
      <c r="E301" s="752"/>
      <c r="F301" s="752"/>
      <c r="G301" s="752"/>
      <c r="H301" s="752"/>
      <c r="I301" s="829"/>
      <c r="J301" s="752"/>
      <c r="K301" s="752"/>
      <c r="L301" s="743"/>
      <c r="M301" s="743"/>
      <c r="N301" s="743"/>
      <c r="O301" s="743"/>
      <c r="P301" s="743"/>
      <c r="Q301" s="743"/>
      <c r="R301" s="743"/>
      <c r="S301" s="743"/>
      <c r="T301" s="743"/>
      <c r="U301" s="743"/>
      <c r="V301" s="743"/>
      <c r="W301" s="743"/>
      <c r="X301" s="743"/>
      <c r="Y301" s="743"/>
      <c r="Z301" s="743"/>
      <c r="AA301" s="743"/>
      <c r="AB301" s="743"/>
      <c r="AC301" s="743"/>
      <c r="AD301" s="743"/>
      <c r="AE301" s="743"/>
      <c r="AF301" s="743"/>
      <c r="AG301" s="743"/>
      <c r="AH301" s="743"/>
      <c r="AI301" s="743"/>
      <c r="AJ301" s="743"/>
      <c r="AK301" s="743"/>
      <c r="AL301" s="743"/>
      <c r="AM301" s="743"/>
    </row>
    <row r="302" spans="1:39" ht="17.25">
      <c r="A302" s="752"/>
      <c r="B302" s="752"/>
      <c r="C302" s="752"/>
      <c r="D302" s="752"/>
      <c r="E302" s="752"/>
      <c r="F302" s="752"/>
      <c r="G302" s="752"/>
      <c r="H302" s="752"/>
      <c r="I302" s="829"/>
      <c r="J302" s="752"/>
      <c r="K302" s="752"/>
      <c r="L302" s="743"/>
      <c r="M302" s="743"/>
      <c r="N302" s="743"/>
      <c r="O302" s="743"/>
      <c r="P302" s="743"/>
      <c r="Q302" s="743"/>
      <c r="R302" s="743"/>
      <c r="S302" s="743"/>
      <c r="T302" s="743"/>
      <c r="U302" s="743"/>
      <c r="V302" s="743"/>
      <c r="W302" s="743"/>
      <c r="X302" s="743"/>
      <c r="Y302" s="743"/>
      <c r="Z302" s="743"/>
      <c r="AA302" s="743"/>
      <c r="AB302" s="743"/>
      <c r="AC302" s="743"/>
      <c r="AD302" s="743"/>
      <c r="AE302" s="743"/>
      <c r="AF302" s="743"/>
      <c r="AG302" s="743"/>
      <c r="AH302" s="743"/>
      <c r="AI302" s="743"/>
      <c r="AJ302" s="743"/>
      <c r="AK302" s="743"/>
      <c r="AL302" s="743"/>
      <c r="AM302" s="743"/>
    </row>
    <row r="303" spans="1:39" ht="17.25">
      <c r="A303" s="752"/>
      <c r="B303" s="752"/>
      <c r="C303" s="752"/>
      <c r="D303" s="752"/>
      <c r="E303" s="752"/>
      <c r="F303" s="752"/>
      <c r="G303" s="752"/>
      <c r="H303" s="752"/>
      <c r="I303" s="829"/>
      <c r="J303" s="752"/>
      <c r="K303" s="752"/>
      <c r="L303" s="743"/>
      <c r="M303" s="743"/>
      <c r="N303" s="743"/>
      <c r="O303" s="743"/>
      <c r="P303" s="743"/>
      <c r="Q303" s="743"/>
      <c r="R303" s="743"/>
      <c r="S303" s="743"/>
      <c r="T303" s="743"/>
      <c r="U303" s="743"/>
      <c r="V303" s="743"/>
      <c r="W303" s="743"/>
      <c r="X303" s="743"/>
      <c r="Y303" s="743"/>
      <c r="Z303" s="743"/>
      <c r="AA303" s="743"/>
      <c r="AB303" s="743"/>
      <c r="AC303" s="743"/>
      <c r="AD303" s="743"/>
      <c r="AE303" s="743"/>
      <c r="AF303" s="743"/>
      <c r="AG303" s="743"/>
      <c r="AH303" s="743"/>
      <c r="AI303" s="743"/>
      <c r="AJ303" s="743"/>
      <c r="AK303" s="743"/>
      <c r="AL303" s="743"/>
      <c r="AM303" s="743"/>
    </row>
    <row r="304" spans="1:39" ht="17.25">
      <c r="A304" s="752"/>
      <c r="B304" s="752"/>
      <c r="C304" s="752"/>
      <c r="D304" s="752"/>
      <c r="E304" s="752"/>
      <c r="F304" s="752"/>
      <c r="G304" s="752"/>
      <c r="H304" s="752"/>
      <c r="I304" s="829"/>
      <c r="J304" s="752"/>
      <c r="K304" s="752"/>
      <c r="L304" s="743"/>
      <c r="M304" s="743"/>
      <c r="N304" s="743"/>
      <c r="O304" s="743"/>
      <c r="P304" s="743"/>
      <c r="Q304" s="743"/>
      <c r="R304" s="743"/>
      <c r="S304" s="743"/>
      <c r="T304" s="743"/>
      <c r="U304" s="743"/>
      <c r="V304" s="743"/>
      <c r="W304" s="743"/>
      <c r="X304" s="743"/>
      <c r="Y304" s="743"/>
      <c r="Z304" s="743"/>
      <c r="AA304" s="743"/>
      <c r="AB304" s="743"/>
      <c r="AC304" s="743"/>
      <c r="AD304" s="743"/>
      <c r="AE304" s="743"/>
      <c r="AF304" s="743"/>
      <c r="AG304" s="743"/>
      <c r="AH304" s="743"/>
      <c r="AI304" s="743"/>
      <c r="AJ304" s="743"/>
      <c r="AK304" s="743"/>
      <c r="AL304" s="743"/>
      <c r="AM304" s="743"/>
    </row>
    <row r="305" spans="1:39" ht="17.25">
      <c r="A305" s="752"/>
      <c r="B305" s="752"/>
      <c r="C305" s="752"/>
      <c r="D305" s="752"/>
      <c r="E305" s="752"/>
      <c r="F305" s="752"/>
      <c r="G305" s="752"/>
      <c r="H305" s="752"/>
      <c r="I305" s="829"/>
      <c r="J305" s="752"/>
      <c r="K305" s="752"/>
      <c r="L305" s="743"/>
      <c r="M305" s="743"/>
      <c r="N305" s="743"/>
      <c r="O305" s="743"/>
      <c r="P305" s="743"/>
      <c r="Q305" s="743"/>
      <c r="R305" s="743"/>
      <c r="S305" s="743"/>
      <c r="T305" s="743"/>
      <c r="U305" s="743"/>
      <c r="V305" s="743"/>
      <c r="W305" s="743"/>
      <c r="X305" s="743"/>
      <c r="Y305" s="743"/>
      <c r="Z305" s="743"/>
      <c r="AA305" s="743"/>
      <c r="AB305" s="743"/>
      <c r="AC305" s="743"/>
      <c r="AD305" s="743"/>
      <c r="AE305" s="743"/>
      <c r="AF305" s="743"/>
      <c r="AG305" s="743"/>
      <c r="AH305" s="743"/>
      <c r="AI305" s="743"/>
      <c r="AJ305" s="743"/>
      <c r="AK305" s="743"/>
      <c r="AL305" s="743"/>
      <c r="AM305" s="743"/>
    </row>
    <row r="306" spans="1:39" ht="17.25">
      <c r="A306" s="752"/>
      <c r="B306" s="752"/>
      <c r="C306" s="752"/>
      <c r="D306" s="752"/>
      <c r="E306" s="752"/>
      <c r="F306" s="752"/>
      <c r="G306" s="752"/>
      <c r="H306" s="752"/>
      <c r="I306" s="829"/>
      <c r="J306" s="752"/>
      <c r="K306" s="752"/>
      <c r="L306" s="743"/>
      <c r="M306" s="743"/>
      <c r="N306" s="743"/>
      <c r="O306" s="743"/>
      <c r="P306" s="743"/>
      <c r="Q306" s="743"/>
      <c r="R306" s="743"/>
      <c r="S306" s="743"/>
      <c r="T306" s="743"/>
      <c r="U306" s="743"/>
      <c r="V306" s="743"/>
      <c r="W306" s="743"/>
      <c r="X306" s="743"/>
      <c r="Y306" s="743"/>
      <c r="Z306" s="743"/>
      <c r="AA306" s="743"/>
      <c r="AB306" s="743"/>
      <c r="AC306" s="743"/>
      <c r="AD306" s="743"/>
      <c r="AE306" s="743"/>
      <c r="AF306" s="743"/>
      <c r="AG306" s="743"/>
      <c r="AH306" s="743"/>
      <c r="AI306" s="743"/>
      <c r="AJ306" s="743"/>
      <c r="AK306" s="743"/>
      <c r="AL306" s="743"/>
      <c r="AM306" s="743"/>
    </row>
    <row r="307" spans="1:39" ht="17.25">
      <c r="A307" s="752"/>
      <c r="B307" s="752"/>
      <c r="C307" s="752"/>
      <c r="D307" s="752"/>
      <c r="E307" s="752"/>
      <c r="F307" s="752"/>
      <c r="G307" s="752"/>
      <c r="H307" s="752"/>
      <c r="I307" s="829"/>
      <c r="J307" s="752"/>
      <c r="K307" s="752"/>
      <c r="L307" s="743"/>
      <c r="M307" s="743"/>
      <c r="N307" s="743"/>
      <c r="O307" s="743"/>
      <c r="P307" s="743"/>
      <c r="Q307" s="743"/>
      <c r="R307" s="743"/>
      <c r="S307" s="743"/>
      <c r="T307" s="743"/>
      <c r="U307" s="743"/>
      <c r="V307" s="743"/>
      <c r="W307" s="743"/>
      <c r="X307" s="743"/>
      <c r="Y307" s="743"/>
      <c r="Z307" s="743"/>
      <c r="AA307" s="743"/>
      <c r="AB307" s="743"/>
      <c r="AC307" s="743"/>
      <c r="AD307" s="743"/>
      <c r="AE307" s="743"/>
      <c r="AF307" s="743"/>
      <c r="AG307" s="743"/>
      <c r="AH307" s="743"/>
      <c r="AI307" s="743"/>
      <c r="AJ307" s="743"/>
      <c r="AK307" s="743"/>
      <c r="AL307" s="743"/>
      <c r="AM307" s="743"/>
    </row>
    <row r="308" spans="1:39" ht="17.25">
      <c r="A308" s="752"/>
      <c r="B308" s="752"/>
      <c r="C308" s="752"/>
      <c r="D308" s="752"/>
      <c r="E308" s="752"/>
      <c r="F308" s="752"/>
      <c r="G308" s="752"/>
      <c r="H308" s="752"/>
      <c r="I308" s="829"/>
      <c r="J308" s="752"/>
      <c r="K308" s="752"/>
      <c r="L308" s="743"/>
      <c r="M308" s="743"/>
      <c r="N308" s="743"/>
      <c r="O308" s="743"/>
      <c r="P308" s="743"/>
      <c r="Q308" s="743"/>
      <c r="R308" s="743"/>
      <c r="S308" s="743"/>
      <c r="T308" s="743"/>
      <c r="U308" s="743"/>
      <c r="V308" s="743"/>
      <c r="W308" s="743"/>
      <c r="X308" s="743"/>
      <c r="Y308" s="743"/>
      <c r="Z308" s="743"/>
      <c r="AA308" s="743"/>
      <c r="AB308" s="743"/>
      <c r="AC308" s="743"/>
      <c r="AD308" s="743"/>
      <c r="AE308" s="743"/>
      <c r="AF308" s="743"/>
      <c r="AG308" s="743"/>
      <c r="AH308" s="743"/>
      <c r="AI308" s="743"/>
      <c r="AJ308" s="743"/>
      <c r="AK308" s="743"/>
      <c r="AL308" s="743"/>
      <c r="AM308" s="743"/>
    </row>
    <row r="309" spans="1:39" ht="17.25">
      <c r="A309" s="752"/>
      <c r="B309" s="752"/>
      <c r="C309" s="752"/>
      <c r="D309" s="752"/>
      <c r="E309" s="752"/>
      <c r="F309" s="752"/>
      <c r="G309" s="752"/>
      <c r="H309" s="752"/>
      <c r="I309" s="829"/>
      <c r="J309" s="752"/>
      <c r="K309" s="752"/>
      <c r="L309" s="743"/>
      <c r="M309" s="743"/>
      <c r="N309" s="743"/>
      <c r="O309" s="743"/>
      <c r="P309" s="743"/>
      <c r="Q309" s="743"/>
      <c r="R309" s="743"/>
      <c r="S309" s="743"/>
      <c r="T309" s="743"/>
      <c r="U309" s="743"/>
      <c r="V309" s="743"/>
      <c r="W309" s="743"/>
      <c r="X309" s="743"/>
      <c r="Y309" s="743"/>
      <c r="Z309" s="743"/>
      <c r="AA309" s="743"/>
      <c r="AB309" s="743"/>
      <c r="AC309" s="743"/>
      <c r="AD309" s="743"/>
      <c r="AE309" s="743"/>
      <c r="AF309" s="743"/>
      <c r="AG309" s="743"/>
      <c r="AH309" s="743"/>
      <c r="AI309" s="743"/>
      <c r="AJ309" s="743"/>
      <c r="AK309" s="743"/>
      <c r="AL309" s="743"/>
      <c r="AM309" s="743"/>
    </row>
    <row r="310" spans="1:39" ht="17.25">
      <c r="A310" s="752"/>
      <c r="B310" s="752"/>
      <c r="C310" s="752"/>
      <c r="D310" s="752"/>
      <c r="E310" s="752"/>
      <c r="F310" s="752"/>
      <c r="G310" s="752"/>
      <c r="H310" s="752"/>
      <c r="I310" s="829"/>
      <c r="J310" s="752"/>
      <c r="K310" s="752"/>
      <c r="L310" s="743"/>
      <c r="M310" s="743"/>
      <c r="N310" s="743"/>
      <c r="O310" s="743"/>
      <c r="P310" s="743"/>
      <c r="Q310" s="743"/>
      <c r="R310" s="743"/>
      <c r="S310" s="743"/>
      <c r="T310" s="743"/>
      <c r="U310" s="743"/>
      <c r="V310" s="743"/>
      <c r="W310" s="743"/>
      <c r="X310" s="743"/>
      <c r="Y310" s="743"/>
      <c r="Z310" s="743"/>
      <c r="AA310" s="743"/>
      <c r="AB310" s="743"/>
      <c r="AC310" s="743"/>
      <c r="AD310" s="743"/>
      <c r="AE310" s="743"/>
      <c r="AF310" s="743"/>
      <c r="AG310" s="743"/>
      <c r="AH310" s="743"/>
      <c r="AI310" s="743"/>
      <c r="AJ310" s="743"/>
      <c r="AK310" s="743"/>
      <c r="AL310" s="743"/>
      <c r="AM310" s="743"/>
    </row>
    <row r="311" spans="1:39" ht="17.25">
      <c r="A311" s="752"/>
      <c r="B311" s="752"/>
      <c r="C311" s="752"/>
      <c r="D311" s="752"/>
      <c r="E311" s="752"/>
      <c r="F311" s="752"/>
      <c r="G311" s="752"/>
      <c r="H311" s="752"/>
      <c r="I311" s="829"/>
      <c r="J311" s="752"/>
      <c r="K311" s="752"/>
      <c r="L311" s="743"/>
      <c r="M311" s="743"/>
      <c r="N311" s="743"/>
      <c r="O311" s="743"/>
      <c r="P311" s="743"/>
      <c r="Q311" s="743"/>
      <c r="R311" s="743"/>
      <c r="S311" s="743"/>
      <c r="T311" s="743"/>
      <c r="U311" s="743"/>
      <c r="V311" s="743"/>
      <c r="W311" s="743"/>
      <c r="X311" s="743"/>
      <c r="Y311" s="743"/>
      <c r="Z311" s="743"/>
      <c r="AA311" s="743"/>
      <c r="AB311" s="743"/>
      <c r="AC311" s="743"/>
      <c r="AD311" s="743"/>
      <c r="AE311" s="743"/>
      <c r="AF311" s="743"/>
      <c r="AG311" s="743"/>
      <c r="AH311" s="743"/>
      <c r="AI311" s="743"/>
      <c r="AJ311" s="743"/>
      <c r="AK311" s="743"/>
      <c r="AL311" s="743"/>
      <c r="AM311" s="743"/>
    </row>
    <row r="312" spans="1:39" ht="17.25">
      <c r="A312" s="752"/>
      <c r="B312" s="752"/>
      <c r="C312" s="752"/>
      <c r="D312" s="752"/>
      <c r="E312" s="752"/>
      <c r="F312" s="752"/>
      <c r="G312" s="752"/>
      <c r="H312" s="752"/>
      <c r="I312" s="829"/>
      <c r="J312" s="752"/>
      <c r="K312" s="752"/>
      <c r="L312" s="743"/>
      <c r="M312" s="743"/>
      <c r="N312" s="743"/>
      <c r="O312" s="743"/>
      <c r="P312" s="743"/>
      <c r="Q312" s="743"/>
      <c r="R312" s="743"/>
      <c r="S312" s="743"/>
      <c r="T312" s="743"/>
      <c r="U312" s="743"/>
      <c r="V312" s="743"/>
      <c r="W312" s="743"/>
      <c r="X312" s="743"/>
      <c r="Y312" s="743"/>
      <c r="Z312" s="743"/>
      <c r="AA312" s="743"/>
      <c r="AB312" s="743"/>
      <c r="AC312" s="743"/>
      <c r="AD312" s="743"/>
      <c r="AE312" s="743"/>
      <c r="AF312" s="743"/>
      <c r="AG312" s="743"/>
      <c r="AH312" s="743"/>
      <c r="AI312" s="743"/>
      <c r="AJ312" s="743"/>
      <c r="AK312" s="743"/>
      <c r="AL312" s="743"/>
      <c r="AM312" s="743"/>
    </row>
    <row r="313" spans="1:39" ht="17.25">
      <c r="A313" s="752"/>
      <c r="B313" s="752"/>
      <c r="C313" s="752"/>
      <c r="D313" s="752"/>
      <c r="E313" s="752"/>
      <c r="F313" s="752"/>
      <c r="G313" s="752"/>
      <c r="H313" s="752"/>
      <c r="I313" s="829"/>
      <c r="J313" s="752"/>
      <c r="K313" s="752"/>
      <c r="L313" s="743"/>
      <c r="M313" s="743"/>
      <c r="N313" s="743"/>
      <c r="O313" s="743"/>
      <c r="P313" s="743"/>
      <c r="Q313" s="743"/>
      <c r="R313" s="743"/>
      <c r="S313" s="743"/>
      <c r="T313" s="743"/>
      <c r="U313" s="743"/>
      <c r="V313" s="743"/>
      <c r="W313" s="743"/>
      <c r="X313" s="743"/>
      <c r="Y313" s="743"/>
      <c r="Z313" s="743"/>
      <c r="AA313" s="743"/>
      <c r="AB313" s="743"/>
      <c r="AC313" s="743"/>
      <c r="AD313" s="743"/>
      <c r="AE313" s="743"/>
      <c r="AF313" s="743"/>
      <c r="AG313" s="743"/>
      <c r="AH313" s="743"/>
      <c r="AI313" s="743"/>
      <c r="AJ313" s="743"/>
      <c r="AK313" s="743"/>
      <c r="AL313" s="743"/>
      <c r="AM313" s="743"/>
    </row>
    <row r="314" spans="1:39" ht="17.25">
      <c r="A314" s="752"/>
      <c r="B314" s="752"/>
      <c r="C314" s="752"/>
      <c r="D314" s="752"/>
      <c r="E314" s="752"/>
      <c r="F314" s="752"/>
      <c r="G314" s="752"/>
      <c r="H314" s="752"/>
      <c r="I314" s="829"/>
      <c r="J314" s="752"/>
      <c r="K314" s="752"/>
      <c r="L314" s="743"/>
      <c r="M314" s="743"/>
      <c r="N314" s="743"/>
      <c r="O314" s="743"/>
      <c r="P314" s="743"/>
      <c r="Q314" s="743"/>
      <c r="R314" s="743"/>
      <c r="S314" s="743"/>
      <c r="T314" s="743"/>
      <c r="U314" s="743"/>
      <c r="V314" s="743"/>
      <c r="W314" s="743"/>
      <c r="X314" s="743"/>
      <c r="Y314" s="743"/>
      <c r="Z314" s="743"/>
      <c r="AA314" s="743"/>
      <c r="AB314" s="743"/>
      <c r="AC314" s="743"/>
      <c r="AD314" s="743"/>
      <c r="AE314" s="743"/>
      <c r="AF314" s="743"/>
      <c r="AG314" s="743"/>
      <c r="AH314" s="743"/>
      <c r="AI314" s="743"/>
      <c r="AJ314" s="743"/>
      <c r="AK314" s="743"/>
      <c r="AL314" s="743"/>
      <c r="AM314" s="743"/>
    </row>
    <row r="315" spans="1:39" ht="17.25">
      <c r="A315" s="752"/>
      <c r="B315" s="752"/>
      <c r="C315" s="752"/>
      <c r="D315" s="752"/>
      <c r="E315" s="752"/>
      <c r="F315" s="752"/>
      <c r="G315" s="752"/>
      <c r="H315" s="752"/>
      <c r="I315" s="829"/>
      <c r="J315" s="752"/>
      <c r="K315" s="752"/>
      <c r="L315" s="743"/>
      <c r="M315" s="743"/>
      <c r="N315" s="743"/>
      <c r="O315" s="743"/>
      <c r="P315" s="743"/>
      <c r="Q315" s="743"/>
      <c r="R315" s="743"/>
      <c r="S315" s="743"/>
      <c r="T315" s="743"/>
      <c r="U315" s="743"/>
      <c r="V315" s="743"/>
      <c r="W315" s="743"/>
      <c r="X315" s="743"/>
      <c r="Y315" s="743"/>
      <c r="Z315" s="743"/>
      <c r="AA315" s="743"/>
      <c r="AB315" s="743"/>
      <c r="AC315" s="743"/>
      <c r="AD315" s="743"/>
      <c r="AE315" s="743"/>
      <c r="AF315" s="743"/>
      <c r="AG315" s="743"/>
      <c r="AH315" s="743"/>
      <c r="AI315" s="743"/>
      <c r="AJ315" s="743"/>
      <c r="AK315" s="743"/>
      <c r="AL315" s="743"/>
      <c r="AM315" s="743"/>
    </row>
    <row r="316" spans="1:39" ht="17.25">
      <c r="A316" s="752"/>
      <c r="B316" s="752"/>
      <c r="C316" s="752"/>
      <c r="D316" s="752"/>
      <c r="E316" s="752"/>
      <c r="F316" s="752"/>
      <c r="G316" s="752"/>
      <c r="H316" s="752"/>
      <c r="I316" s="829"/>
      <c r="J316" s="752"/>
      <c r="K316" s="752"/>
      <c r="L316" s="743"/>
      <c r="M316" s="743"/>
      <c r="N316" s="743"/>
      <c r="O316" s="743"/>
      <c r="P316" s="743"/>
      <c r="Q316" s="743"/>
      <c r="R316" s="743"/>
      <c r="S316" s="743"/>
      <c r="T316" s="743"/>
      <c r="U316" s="743"/>
      <c r="V316" s="743"/>
      <c r="W316" s="743"/>
      <c r="X316" s="743"/>
      <c r="Y316" s="743"/>
      <c r="Z316" s="743"/>
      <c r="AA316" s="743"/>
      <c r="AB316" s="743"/>
      <c r="AC316" s="743"/>
      <c r="AD316" s="743"/>
      <c r="AE316" s="743"/>
      <c r="AF316" s="743"/>
      <c r="AG316" s="743"/>
      <c r="AH316" s="743"/>
      <c r="AI316" s="743"/>
      <c r="AJ316" s="743"/>
      <c r="AK316" s="743"/>
      <c r="AL316" s="743"/>
      <c r="AM316" s="743"/>
    </row>
    <row r="317" spans="1:39" ht="17.25">
      <c r="A317" s="752"/>
      <c r="B317" s="752"/>
      <c r="C317" s="752"/>
      <c r="D317" s="752"/>
      <c r="E317" s="752"/>
      <c r="F317" s="752"/>
      <c r="G317" s="752"/>
      <c r="H317" s="752"/>
      <c r="I317" s="829"/>
      <c r="J317" s="752"/>
      <c r="K317" s="752"/>
      <c r="L317" s="743"/>
      <c r="M317" s="743"/>
      <c r="N317" s="743"/>
      <c r="O317" s="743"/>
      <c r="P317" s="743"/>
      <c r="Q317" s="743"/>
      <c r="R317" s="743"/>
      <c r="S317" s="743"/>
      <c r="T317" s="743"/>
      <c r="U317" s="743"/>
      <c r="V317" s="743"/>
      <c r="W317" s="743"/>
      <c r="X317" s="743"/>
      <c r="Y317" s="743"/>
      <c r="Z317" s="743"/>
      <c r="AA317" s="743"/>
      <c r="AB317" s="743"/>
      <c r="AC317" s="743"/>
      <c r="AD317" s="743"/>
      <c r="AE317" s="743"/>
      <c r="AF317" s="743"/>
      <c r="AG317" s="743"/>
      <c r="AH317" s="743"/>
      <c r="AI317" s="743"/>
      <c r="AJ317" s="743"/>
      <c r="AK317" s="743"/>
      <c r="AL317" s="743"/>
      <c r="AM317" s="743"/>
    </row>
    <row r="318" spans="1:39" ht="17.25">
      <c r="A318" s="752"/>
      <c r="B318" s="752"/>
      <c r="C318" s="752"/>
      <c r="D318" s="752"/>
      <c r="E318" s="752"/>
      <c r="F318" s="752"/>
      <c r="G318" s="752"/>
      <c r="H318" s="752"/>
      <c r="I318" s="829"/>
      <c r="J318" s="752"/>
      <c r="K318" s="752"/>
      <c r="L318" s="743"/>
      <c r="M318" s="743"/>
      <c r="N318" s="743"/>
      <c r="O318" s="743"/>
      <c r="P318" s="743"/>
      <c r="Q318" s="743"/>
      <c r="R318" s="743"/>
      <c r="S318" s="743"/>
      <c r="T318" s="743"/>
      <c r="U318" s="743"/>
      <c r="V318" s="743"/>
      <c r="W318" s="743"/>
      <c r="X318" s="743"/>
      <c r="Y318" s="743"/>
      <c r="Z318" s="743"/>
      <c r="AA318" s="743"/>
      <c r="AB318" s="743"/>
      <c r="AC318" s="743"/>
      <c r="AD318" s="743"/>
      <c r="AE318" s="743"/>
      <c r="AF318" s="743"/>
      <c r="AG318" s="743"/>
      <c r="AH318" s="743"/>
      <c r="AI318" s="743"/>
      <c r="AJ318" s="743"/>
      <c r="AK318" s="743"/>
      <c r="AL318" s="743"/>
      <c r="AM318" s="743"/>
    </row>
    <row r="319" spans="1:39" ht="17.25">
      <c r="A319" s="752"/>
      <c r="B319" s="752"/>
      <c r="C319" s="752"/>
      <c r="D319" s="752"/>
      <c r="E319" s="752"/>
      <c r="F319" s="752"/>
      <c r="G319" s="752"/>
      <c r="H319" s="752"/>
      <c r="I319" s="829"/>
      <c r="J319" s="752"/>
      <c r="K319" s="752"/>
      <c r="L319" s="743"/>
      <c r="M319" s="743"/>
      <c r="N319" s="743"/>
      <c r="O319" s="743"/>
      <c r="P319" s="743"/>
      <c r="Q319" s="743"/>
      <c r="R319" s="743"/>
      <c r="S319" s="743"/>
      <c r="T319" s="743"/>
      <c r="U319" s="743"/>
      <c r="V319" s="743"/>
      <c r="W319" s="743"/>
      <c r="X319" s="743"/>
      <c r="Y319" s="743"/>
      <c r="Z319" s="743"/>
      <c r="AA319" s="743"/>
      <c r="AB319" s="743"/>
      <c r="AC319" s="743"/>
      <c r="AD319" s="743"/>
      <c r="AE319" s="743"/>
      <c r="AF319" s="743"/>
      <c r="AG319" s="743"/>
      <c r="AH319" s="743"/>
      <c r="AI319" s="743"/>
      <c r="AJ319" s="743"/>
      <c r="AK319" s="743"/>
      <c r="AL319" s="743"/>
      <c r="AM319" s="743"/>
    </row>
    <row r="320" spans="1:39" ht="17.25">
      <c r="A320" s="752"/>
      <c r="B320" s="752"/>
      <c r="C320" s="752"/>
      <c r="D320" s="752"/>
      <c r="E320" s="752"/>
      <c r="F320" s="752"/>
      <c r="G320" s="752"/>
      <c r="H320" s="752"/>
      <c r="I320" s="829"/>
      <c r="J320" s="752"/>
      <c r="K320" s="752"/>
      <c r="L320" s="743"/>
      <c r="M320" s="743"/>
      <c r="N320" s="743"/>
      <c r="O320" s="743"/>
      <c r="P320" s="743"/>
      <c r="Q320" s="743"/>
      <c r="R320" s="743"/>
      <c r="S320" s="743"/>
      <c r="T320" s="743"/>
      <c r="U320" s="743"/>
      <c r="V320" s="743"/>
      <c r="W320" s="743"/>
      <c r="X320" s="743"/>
      <c r="Y320" s="743"/>
      <c r="Z320" s="743"/>
      <c r="AA320" s="743"/>
      <c r="AB320" s="743"/>
      <c r="AC320" s="743"/>
      <c r="AD320" s="743"/>
      <c r="AE320" s="743"/>
      <c r="AF320" s="743"/>
      <c r="AG320" s="743"/>
      <c r="AH320" s="743"/>
      <c r="AI320" s="743"/>
      <c r="AJ320" s="743"/>
      <c r="AK320" s="743"/>
      <c r="AL320" s="743"/>
      <c r="AM320" s="743"/>
    </row>
    <row r="321" spans="1:39" ht="17.25">
      <c r="A321" s="752"/>
      <c r="B321" s="752"/>
      <c r="C321" s="752"/>
      <c r="D321" s="752"/>
      <c r="E321" s="752"/>
      <c r="F321" s="752"/>
      <c r="G321" s="752"/>
      <c r="H321" s="752"/>
      <c r="I321" s="829"/>
      <c r="J321" s="752"/>
      <c r="K321" s="752"/>
      <c r="L321" s="743"/>
      <c r="M321" s="743"/>
      <c r="N321" s="743"/>
      <c r="O321" s="743"/>
      <c r="P321" s="743"/>
      <c r="Q321" s="743"/>
      <c r="R321" s="743"/>
      <c r="S321" s="743"/>
      <c r="T321" s="743"/>
      <c r="U321" s="743"/>
      <c r="V321" s="743"/>
      <c r="W321" s="743"/>
      <c r="X321" s="743"/>
      <c r="Y321" s="743"/>
      <c r="Z321" s="743"/>
      <c r="AA321" s="743"/>
      <c r="AB321" s="743"/>
      <c r="AC321" s="743"/>
      <c r="AD321" s="743"/>
      <c r="AE321" s="743"/>
      <c r="AF321" s="743"/>
      <c r="AG321" s="743"/>
      <c r="AH321" s="743"/>
      <c r="AI321" s="743"/>
      <c r="AJ321" s="743"/>
      <c r="AK321" s="743"/>
      <c r="AL321" s="743"/>
      <c r="AM321" s="743"/>
    </row>
    <row r="322" spans="1:39" ht="17.25">
      <c r="A322" s="752"/>
      <c r="B322" s="752"/>
      <c r="C322" s="752"/>
      <c r="D322" s="752"/>
      <c r="E322" s="752"/>
      <c r="F322" s="752"/>
      <c r="G322" s="752"/>
      <c r="H322" s="752"/>
      <c r="I322" s="829"/>
      <c r="J322" s="752"/>
      <c r="K322" s="752"/>
      <c r="L322" s="743"/>
      <c r="M322" s="743"/>
      <c r="N322" s="743"/>
      <c r="O322" s="743"/>
      <c r="P322" s="743"/>
      <c r="Q322" s="743"/>
      <c r="R322" s="743"/>
      <c r="S322" s="743"/>
      <c r="T322" s="743"/>
      <c r="U322" s="743"/>
      <c r="V322" s="743"/>
      <c r="W322" s="743"/>
      <c r="X322" s="743"/>
      <c r="Y322" s="743"/>
      <c r="Z322" s="743"/>
      <c r="AA322" s="743"/>
      <c r="AB322" s="743"/>
      <c r="AC322" s="743"/>
      <c r="AD322" s="743"/>
      <c r="AE322" s="743"/>
      <c r="AF322" s="743"/>
      <c r="AG322" s="743"/>
      <c r="AH322" s="743"/>
      <c r="AI322" s="743"/>
      <c r="AJ322" s="743"/>
      <c r="AK322" s="743"/>
      <c r="AL322" s="743"/>
      <c r="AM322" s="743"/>
    </row>
    <row r="323" spans="1:39" ht="17.25">
      <c r="A323" s="752"/>
      <c r="B323" s="752"/>
      <c r="C323" s="752"/>
      <c r="D323" s="752"/>
      <c r="E323" s="752"/>
      <c r="F323" s="752"/>
      <c r="G323" s="752"/>
      <c r="H323" s="752"/>
      <c r="I323" s="829"/>
      <c r="J323" s="752"/>
      <c r="K323" s="752"/>
      <c r="L323" s="743"/>
      <c r="M323" s="743"/>
      <c r="N323" s="743"/>
      <c r="O323" s="743"/>
      <c r="P323" s="743"/>
      <c r="Q323" s="743"/>
      <c r="R323" s="743"/>
      <c r="S323" s="743"/>
      <c r="T323" s="743"/>
      <c r="U323" s="743"/>
      <c r="V323" s="743"/>
      <c r="W323" s="743"/>
      <c r="X323" s="743"/>
      <c r="Y323" s="743"/>
      <c r="Z323" s="743"/>
      <c r="AA323" s="743"/>
      <c r="AB323" s="743"/>
      <c r="AC323" s="743"/>
      <c r="AD323" s="743"/>
      <c r="AE323" s="743"/>
      <c r="AF323" s="743"/>
      <c r="AG323" s="743"/>
      <c r="AH323" s="743"/>
      <c r="AI323" s="743"/>
      <c r="AJ323" s="743"/>
      <c r="AK323" s="743"/>
      <c r="AL323" s="743"/>
      <c r="AM323" s="743"/>
    </row>
    <row r="324" spans="1:39" ht="17.25">
      <c r="A324" s="752"/>
      <c r="B324" s="752"/>
      <c r="C324" s="752"/>
      <c r="D324" s="752"/>
      <c r="E324" s="752"/>
      <c r="F324" s="752"/>
      <c r="G324" s="752"/>
      <c r="H324" s="752"/>
      <c r="I324" s="829"/>
      <c r="J324" s="752"/>
      <c r="K324" s="752"/>
      <c r="L324" s="743"/>
      <c r="M324" s="743"/>
      <c r="N324" s="743"/>
      <c r="O324" s="743"/>
      <c r="P324" s="743"/>
      <c r="Q324" s="743"/>
      <c r="R324" s="743"/>
      <c r="S324" s="743"/>
      <c r="T324" s="743"/>
      <c r="U324" s="743"/>
      <c r="V324" s="743"/>
      <c r="W324" s="743"/>
      <c r="X324" s="743"/>
      <c r="Y324" s="743"/>
      <c r="Z324" s="743"/>
      <c r="AA324" s="743"/>
      <c r="AB324" s="743"/>
      <c r="AC324" s="743"/>
      <c r="AD324" s="743"/>
      <c r="AE324" s="743"/>
      <c r="AF324" s="743"/>
      <c r="AG324" s="743"/>
      <c r="AH324" s="743"/>
      <c r="AI324" s="743"/>
      <c r="AJ324" s="743"/>
      <c r="AK324" s="743"/>
      <c r="AL324" s="743"/>
      <c r="AM324" s="743"/>
    </row>
    <row r="325" spans="1:39" ht="17.25">
      <c r="A325" s="752"/>
      <c r="B325" s="752"/>
      <c r="C325" s="752"/>
      <c r="D325" s="752"/>
      <c r="E325" s="752"/>
      <c r="F325" s="752"/>
      <c r="G325" s="752"/>
      <c r="H325" s="752"/>
      <c r="I325" s="829"/>
      <c r="J325" s="752"/>
      <c r="K325" s="752"/>
      <c r="L325" s="743"/>
      <c r="M325" s="743"/>
      <c r="N325" s="743"/>
      <c r="O325" s="743"/>
      <c r="P325" s="743"/>
      <c r="Q325" s="743"/>
      <c r="R325" s="743"/>
      <c r="S325" s="743"/>
      <c r="T325" s="743"/>
      <c r="U325" s="743"/>
      <c r="V325" s="743"/>
      <c r="W325" s="743"/>
      <c r="X325" s="743"/>
      <c r="Y325" s="743"/>
      <c r="Z325" s="743"/>
      <c r="AA325" s="743"/>
      <c r="AB325" s="743"/>
      <c r="AC325" s="743"/>
      <c r="AD325" s="743"/>
      <c r="AE325" s="743"/>
      <c r="AF325" s="743"/>
      <c r="AG325" s="743"/>
      <c r="AH325" s="743"/>
      <c r="AI325" s="743"/>
      <c r="AJ325" s="743"/>
      <c r="AK325" s="743"/>
      <c r="AL325" s="743"/>
      <c r="AM325" s="743"/>
    </row>
    <row r="326" spans="1:39" ht="17.25">
      <c r="A326" s="752"/>
      <c r="B326" s="752"/>
      <c r="C326" s="752"/>
      <c r="D326" s="752"/>
      <c r="E326" s="752"/>
      <c r="F326" s="752"/>
      <c r="G326" s="752"/>
      <c r="H326" s="752"/>
      <c r="I326" s="829"/>
      <c r="J326" s="752"/>
      <c r="K326" s="752"/>
      <c r="L326" s="743"/>
      <c r="M326" s="743"/>
      <c r="N326" s="743"/>
      <c r="O326" s="743"/>
      <c r="P326" s="743"/>
      <c r="Q326" s="743"/>
      <c r="R326" s="743"/>
      <c r="S326" s="743"/>
      <c r="T326" s="743"/>
      <c r="U326" s="743"/>
      <c r="V326" s="743"/>
      <c r="W326" s="743"/>
      <c r="X326" s="743"/>
      <c r="Y326" s="743"/>
      <c r="Z326" s="743"/>
      <c r="AA326" s="743"/>
      <c r="AB326" s="743"/>
      <c r="AC326" s="743"/>
      <c r="AD326" s="743"/>
      <c r="AE326" s="743"/>
      <c r="AF326" s="743"/>
      <c r="AG326" s="743"/>
      <c r="AH326" s="743"/>
      <c r="AI326" s="743"/>
      <c r="AJ326" s="743"/>
      <c r="AK326" s="743"/>
      <c r="AL326" s="743"/>
      <c r="AM326" s="743"/>
    </row>
    <row r="327" spans="1:39" ht="17.25">
      <c r="A327" s="752"/>
      <c r="B327" s="752"/>
      <c r="C327" s="752"/>
      <c r="D327" s="752"/>
      <c r="E327" s="752"/>
      <c r="F327" s="752"/>
      <c r="G327" s="752"/>
      <c r="H327" s="752"/>
      <c r="I327" s="829"/>
      <c r="J327" s="752"/>
      <c r="K327" s="752"/>
      <c r="L327" s="743"/>
      <c r="M327" s="743"/>
      <c r="N327" s="743"/>
      <c r="O327" s="743"/>
      <c r="P327" s="743"/>
      <c r="Q327" s="743"/>
      <c r="R327" s="743"/>
      <c r="S327" s="743"/>
      <c r="T327" s="743"/>
      <c r="U327" s="743"/>
      <c r="V327" s="743"/>
      <c r="W327" s="743"/>
      <c r="X327" s="743"/>
      <c r="Y327" s="743"/>
      <c r="Z327" s="743"/>
      <c r="AA327" s="743"/>
      <c r="AB327" s="743"/>
      <c r="AC327" s="743"/>
      <c r="AD327" s="743"/>
      <c r="AE327" s="743"/>
      <c r="AF327" s="743"/>
      <c r="AG327" s="743"/>
      <c r="AH327" s="743"/>
      <c r="AI327" s="743"/>
      <c r="AJ327" s="743"/>
      <c r="AK327" s="743"/>
      <c r="AL327" s="743"/>
      <c r="AM327" s="743"/>
    </row>
    <row r="328" spans="1:39" ht="17.25">
      <c r="A328" s="752"/>
      <c r="B328" s="752"/>
      <c r="C328" s="752"/>
      <c r="D328" s="752"/>
      <c r="E328" s="752"/>
      <c r="F328" s="752"/>
      <c r="G328" s="752"/>
      <c r="H328" s="752"/>
      <c r="I328" s="829"/>
      <c r="J328" s="752"/>
      <c r="K328" s="752"/>
      <c r="L328" s="743"/>
      <c r="M328" s="743"/>
      <c r="N328" s="743"/>
      <c r="O328" s="743"/>
      <c r="P328" s="743"/>
      <c r="Q328" s="743"/>
      <c r="R328" s="743"/>
      <c r="S328" s="743"/>
      <c r="T328" s="743"/>
      <c r="U328" s="743"/>
      <c r="V328" s="743"/>
      <c r="W328" s="743"/>
      <c r="X328" s="743"/>
      <c r="Y328" s="743"/>
      <c r="Z328" s="743"/>
      <c r="AA328" s="743"/>
      <c r="AB328" s="743"/>
      <c r="AC328" s="743"/>
      <c r="AD328" s="743"/>
      <c r="AE328" s="743"/>
      <c r="AF328" s="743"/>
      <c r="AG328" s="743"/>
      <c r="AH328" s="743"/>
      <c r="AI328" s="743"/>
      <c r="AJ328" s="743"/>
      <c r="AK328" s="743"/>
      <c r="AL328" s="743"/>
      <c r="AM328" s="743"/>
    </row>
    <row r="329" spans="1:39" ht="17.25">
      <c r="A329" s="752"/>
      <c r="B329" s="752"/>
      <c r="C329" s="752"/>
      <c r="D329" s="752"/>
      <c r="E329" s="752"/>
      <c r="F329" s="752"/>
      <c r="G329" s="752"/>
      <c r="H329" s="752"/>
      <c r="I329" s="829"/>
      <c r="J329" s="752"/>
      <c r="K329" s="752"/>
      <c r="L329" s="743"/>
      <c r="M329" s="743"/>
      <c r="N329" s="743"/>
      <c r="O329" s="743"/>
      <c r="P329" s="743"/>
      <c r="Q329" s="743"/>
      <c r="R329" s="743"/>
      <c r="S329" s="743"/>
      <c r="T329" s="743"/>
      <c r="U329" s="743"/>
      <c r="V329" s="743"/>
      <c r="W329" s="743"/>
      <c r="X329" s="743"/>
      <c r="Y329" s="743"/>
      <c r="Z329" s="743"/>
      <c r="AA329" s="743"/>
      <c r="AB329" s="743"/>
      <c r="AC329" s="743"/>
      <c r="AD329" s="743"/>
      <c r="AE329" s="743"/>
      <c r="AF329" s="743"/>
      <c r="AG329" s="743"/>
      <c r="AH329" s="743"/>
      <c r="AI329" s="743"/>
      <c r="AJ329" s="743"/>
      <c r="AK329" s="743"/>
      <c r="AL329" s="743"/>
      <c r="AM329" s="743"/>
    </row>
    <row r="330" spans="1:39" ht="17.25">
      <c r="A330" s="752"/>
      <c r="B330" s="752"/>
      <c r="C330" s="752"/>
      <c r="D330" s="752"/>
      <c r="E330" s="752"/>
      <c r="F330" s="752"/>
      <c r="G330" s="752"/>
      <c r="H330" s="752"/>
      <c r="I330" s="829"/>
      <c r="J330" s="752"/>
      <c r="K330" s="752"/>
      <c r="L330" s="743"/>
      <c r="M330" s="743"/>
      <c r="N330" s="743"/>
      <c r="O330" s="743"/>
      <c r="P330" s="743"/>
      <c r="Q330" s="743"/>
      <c r="R330" s="743"/>
      <c r="S330" s="743"/>
      <c r="T330" s="743"/>
      <c r="U330" s="743"/>
      <c r="V330" s="743"/>
      <c r="W330" s="743"/>
      <c r="X330" s="743"/>
      <c r="Y330" s="743"/>
      <c r="Z330" s="743"/>
      <c r="AA330" s="743"/>
      <c r="AB330" s="743"/>
      <c r="AC330" s="743"/>
      <c r="AD330" s="743"/>
      <c r="AE330" s="743"/>
      <c r="AF330" s="743"/>
      <c r="AG330" s="743"/>
      <c r="AH330" s="743"/>
      <c r="AI330" s="743"/>
      <c r="AJ330" s="743"/>
      <c r="AK330" s="743"/>
      <c r="AL330" s="743"/>
      <c r="AM330" s="743"/>
    </row>
    <row r="331" spans="1:39" ht="17.25">
      <c r="A331" s="752"/>
      <c r="B331" s="752"/>
      <c r="C331" s="752"/>
      <c r="D331" s="752"/>
      <c r="E331" s="752"/>
      <c r="F331" s="752"/>
      <c r="G331" s="752"/>
      <c r="H331" s="752"/>
      <c r="I331" s="829"/>
      <c r="J331" s="752"/>
      <c r="K331" s="752"/>
      <c r="L331" s="743"/>
      <c r="M331" s="743"/>
      <c r="N331" s="743"/>
      <c r="O331" s="743"/>
      <c r="P331" s="743"/>
      <c r="Q331" s="743"/>
      <c r="R331" s="743"/>
      <c r="S331" s="743"/>
      <c r="T331" s="743"/>
      <c r="U331" s="743"/>
      <c r="V331" s="743"/>
      <c r="W331" s="743"/>
      <c r="X331" s="743"/>
      <c r="Y331" s="743"/>
      <c r="Z331" s="743"/>
      <c r="AA331" s="743"/>
      <c r="AB331" s="743"/>
      <c r="AC331" s="743"/>
      <c r="AD331" s="743"/>
      <c r="AE331" s="743"/>
      <c r="AF331" s="743"/>
      <c r="AG331" s="743"/>
      <c r="AH331" s="743"/>
      <c r="AI331" s="743"/>
      <c r="AJ331" s="743"/>
      <c r="AK331" s="743"/>
      <c r="AL331" s="743"/>
      <c r="AM331" s="743"/>
    </row>
    <row r="332" spans="1:39" ht="17.25">
      <c r="A332" s="752"/>
      <c r="B332" s="752"/>
      <c r="C332" s="752"/>
      <c r="D332" s="752"/>
      <c r="E332" s="752"/>
      <c r="F332" s="752"/>
      <c r="G332" s="752"/>
      <c r="H332" s="752"/>
      <c r="I332" s="829"/>
      <c r="J332" s="752"/>
      <c r="K332" s="752"/>
      <c r="L332" s="743"/>
      <c r="M332" s="743"/>
      <c r="N332" s="743"/>
      <c r="O332" s="743"/>
      <c r="P332" s="743"/>
      <c r="Q332" s="743"/>
      <c r="R332" s="743"/>
      <c r="S332" s="743"/>
      <c r="T332" s="743"/>
      <c r="U332" s="743"/>
      <c r="V332" s="743"/>
      <c r="W332" s="743"/>
      <c r="X332" s="743"/>
      <c r="Y332" s="743"/>
      <c r="Z332" s="743"/>
      <c r="AA332" s="743"/>
      <c r="AB332" s="743"/>
      <c r="AC332" s="743"/>
      <c r="AD332" s="743"/>
      <c r="AE332" s="743"/>
      <c r="AF332" s="743"/>
      <c r="AG332" s="743"/>
      <c r="AH332" s="743"/>
      <c r="AI332" s="743"/>
      <c r="AJ332" s="743"/>
      <c r="AK332" s="743"/>
      <c r="AL332" s="743"/>
      <c r="AM332" s="743"/>
    </row>
    <row r="333" spans="1:39" ht="17.25">
      <c r="A333" s="752"/>
      <c r="B333" s="752"/>
      <c r="C333" s="752"/>
      <c r="D333" s="752"/>
      <c r="E333" s="752"/>
      <c r="F333" s="752"/>
      <c r="G333" s="752"/>
      <c r="H333" s="752"/>
      <c r="I333" s="829"/>
      <c r="J333" s="752"/>
      <c r="K333" s="752"/>
      <c r="L333" s="743"/>
      <c r="M333" s="743"/>
      <c r="N333" s="743"/>
      <c r="O333" s="743"/>
      <c r="P333" s="743"/>
      <c r="Q333" s="743"/>
      <c r="R333" s="743"/>
      <c r="S333" s="743"/>
      <c r="T333" s="743"/>
      <c r="U333" s="743"/>
      <c r="V333" s="743"/>
      <c r="W333" s="743"/>
      <c r="X333" s="743"/>
      <c r="Y333" s="743"/>
      <c r="Z333" s="743"/>
      <c r="AA333" s="743"/>
      <c r="AB333" s="743"/>
      <c r="AC333" s="743"/>
      <c r="AD333" s="743"/>
      <c r="AE333" s="743"/>
      <c r="AF333" s="743"/>
      <c r="AG333" s="743"/>
      <c r="AH333" s="743"/>
      <c r="AI333" s="743"/>
      <c r="AJ333" s="743"/>
      <c r="AK333" s="743"/>
      <c r="AL333" s="743"/>
      <c r="AM333" s="743"/>
    </row>
    <row r="334" spans="1:39" ht="17.25">
      <c r="A334" s="752"/>
      <c r="B334" s="752"/>
      <c r="C334" s="752"/>
      <c r="D334" s="752"/>
      <c r="E334" s="752"/>
      <c r="F334" s="752"/>
      <c r="G334" s="752"/>
      <c r="H334" s="752"/>
      <c r="I334" s="829"/>
      <c r="J334" s="752"/>
      <c r="K334" s="752"/>
      <c r="L334" s="743"/>
      <c r="M334" s="743"/>
      <c r="N334" s="743"/>
      <c r="O334" s="743"/>
      <c r="P334" s="743"/>
      <c r="Q334" s="743"/>
      <c r="R334" s="743"/>
      <c r="S334" s="743"/>
      <c r="T334" s="743"/>
      <c r="U334" s="743"/>
      <c r="V334" s="743"/>
      <c r="W334" s="743"/>
      <c r="X334" s="743"/>
      <c r="Y334" s="743"/>
      <c r="Z334" s="743"/>
      <c r="AA334" s="743"/>
      <c r="AB334" s="743"/>
      <c r="AC334" s="743"/>
      <c r="AD334" s="743"/>
      <c r="AE334" s="743"/>
      <c r="AF334" s="743"/>
      <c r="AG334" s="743"/>
      <c r="AH334" s="743"/>
      <c r="AI334" s="743"/>
      <c r="AJ334" s="743"/>
      <c r="AK334" s="743"/>
      <c r="AL334" s="743"/>
      <c r="AM334" s="743"/>
    </row>
    <row r="335" spans="1:39" ht="17.25">
      <c r="A335" s="752"/>
      <c r="B335" s="752"/>
      <c r="C335" s="752"/>
      <c r="D335" s="752"/>
      <c r="E335" s="752"/>
      <c r="F335" s="752"/>
      <c r="G335" s="752"/>
      <c r="H335" s="752"/>
      <c r="I335" s="829"/>
      <c r="J335" s="752"/>
      <c r="K335" s="752"/>
      <c r="L335" s="743"/>
      <c r="M335" s="743"/>
      <c r="N335" s="743"/>
      <c r="O335" s="743"/>
      <c r="P335" s="743"/>
      <c r="Q335" s="743"/>
      <c r="R335" s="743"/>
      <c r="S335" s="743"/>
      <c r="T335" s="743"/>
      <c r="U335" s="743"/>
      <c r="V335" s="743"/>
      <c r="W335" s="743"/>
      <c r="X335" s="743"/>
      <c r="Y335" s="743"/>
      <c r="Z335" s="743"/>
      <c r="AA335" s="743"/>
      <c r="AB335" s="743"/>
      <c r="AC335" s="743"/>
      <c r="AD335" s="743"/>
      <c r="AE335" s="743"/>
      <c r="AF335" s="743"/>
      <c r="AG335" s="743"/>
      <c r="AH335" s="743"/>
      <c r="AI335" s="743"/>
      <c r="AJ335" s="743"/>
      <c r="AK335" s="743"/>
      <c r="AL335" s="743"/>
      <c r="AM335" s="743"/>
    </row>
    <row r="336" spans="1:39" ht="17.25">
      <c r="A336" s="752"/>
      <c r="B336" s="752"/>
      <c r="C336" s="752"/>
      <c r="D336" s="752"/>
      <c r="E336" s="752"/>
      <c r="F336" s="752"/>
      <c r="G336" s="752"/>
      <c r="H336" s="752"/>
      <c r="I336" s="829"/>
      <c r="J336" s="752"/>
      <c r="K336" s="752"/>
      <c r="L336" s="743"/>
      <c r="M336" s="743"/>
      <c r="N336" s="743"/>
      <c r="O336" s="743"/>
      <c r="P336" s="743"/>
      <c r="Q336" s="743"/>
      <c r="R336" s="743"/>
      <c r="S336" s="743"/>
      <c r="T336" s="743"/>
      <c r="U336" s="743"/>
      <c r="V336" s="743"/>
      <c r="W336" s="743"/>
      <c r="X336" s="743"/>
      <c r="Y336" s="743"/>
      <c r="Z336" s="743"/>
      <c r="AA336" s="743"/>
      <c r="AB336" s="743"/>
      <c r="AC336" s="743"/>
      <c r="AD336" s="743"/>
      <c r="AE336" s="743"/>
      <c r="AF336" s="743"/>
      <c r="AG336" s="743"/>
      <c r="AH336" s="743"/>
      <c r="AI336" s="743"/>
      <c r="AJ336" s="743"/>
      <c r="AK336" s="743"/>
      <c r="AL336" s="743"/>
      <c r="AM336" s="743"/>
    </row>
    <row r="337" spans="1:39" ht="17.25">
      <c r="A337" s="752"/>
      <c r="B337" s="752"/>
      <c r="C337" s="752"/>
      <c r="D337" s="752"/>
      <c r="E337" s="752"/>
      <c r="F337" s="752"/>
      <c r="G337" s="752"/>
      <c r="H337" s="752"/>
      <c r="I337" s="829"/>
      <c r="J337" s="752"/>
      <c r="K337" s="752"/>
      <c r="L337" s="743"/>
      <c r="M337" s="743"/>
      <c r="N337" s="743"/>
      <c r="O337" s="743"/>
      <c r="P337" s="743"/>
      <c r="Q337" s="743"/>
      <c r="R337" s="743"/>
      <c r="S337" s="743"/>
      <c r="T337" s="743"/>
      <c r="U337" s="743"/>
      <c r="V337" s="743"/>
      <c r="W337" s="743"/>
      <c r="X337" s="743"/>
      <c r="Y337" s="743"/>
      <c r="Z337" s="743"/>
      <c r="AA337" s="743"/>
      <c r="AB337" s="743"/>
      <c r="AC337" s="743"/>
      <c r="AD337" s="743"/>
      <c r="AE337" s="743"/>
      <c r="AF337" s="743"/>
      <c r="AG337" s="743"/>
      <c r="AH337" s="743"/>
      <c r="AI337" s="743"/>
      <c r="AJ337" s="743"/>
      <c r="AK337" s="743"/>
      <c r="AL337" s="743"/>
      <c r="AM337" s="743"/>
    </row>
    <row r="338" spans="1:39" ht="17.25">
      <c r="A338" s="752"/>
      <c r="B338" s="752"/>
      <c r="C338" s="752"/>
      <c r="D338" s="752"/>
      <c r="E338" s="752"/>
      <c r="F338" s="752"/>
      <c r="G338" s="752"/>
      <c r="H338" s="752"/>
      <c r="I338" s="829"/>
      <c r="J338" s="752"/>
      <c r="K338" s="752"/>
      <c r="L338" s="743"/>
      <c r="M338" s="743"/>
      <c r="N338" s="743"/>
      <c r="O338" s="743"/>
      <c r="P338" s="743"/>
      <c r="Q338" s="743"/>
      <c r="R338" s="743"/>
      <c r="S338" s="743"/>
      <c r="T338" s="743"/>
      <c r="U338" s="743"/>
      <c r="V338" s="743"/>
      <c r="W338" s="743"/>
      <c r="X338" s="743"/>
      <c r="Y338" s="743"/>
      <c r="Z338" s="743"/>
      <c r="AA338" s="743"/>
      <c r="AB338" s="743"/>
      <c r="AC338" s="743"/>
      <c r="AD338" s="743"/>
      <c r="AE338" s="743"/>
      <c r="AF338" s="743"/>
      <c r="AG338" s="743"/>
      <c r="AH338" s="743"/>
      <c r="AI338" s="743"/>
      <c r="AJ338" s="743"/>
      <c r="AK338" s="743"/>
      <c r="AL338" s="743"/>
      <c r="AM338" s="743"/>
    </row>
    <row r="339" spans="1:39" ht="17.25">
      <c r="A339" s="752"/>
      <c r="B339" s="752"/>
      <c r="C339" s="752"/>
      <c r="D339" s="752"/>
      <c r="E339" s="752"/>
      <c r="F339" s="752"/>
      <c r="G339" s="752"/>
      <c r="H339" s="752"/>
      <c r="I339" s="829"/>
      <c r="J339" s="752"/>
      <c r="K339" s="752"/>
      <c r="L339" s="743"/>
      <c r="M339" s="743"/>
      <c r="N339" s="743"/>
      <c r="O339" s="743"/>
      <c r="P339" s="743"/>
      <c r="Q339" s="743"/>
      <c r="R339" s="743"/>
      <c r="S339" s="743"/>
      <c r="T339" s="743"/>
      <c r="U339" s="743"/>
      <c r="V339" s="743"/>
      <c r="W339" s="743"/>
      <c r="X339" s="743"/>
      <c r="Y339" s="743"/>
      <c r="Z339" s="743"/>
      <c r="AA339" s="743"/>
      <c r="AB339" s="743"/>
      <c r="AC339" s="743"/>
      <c r="AD339" s="743"/>
      <c r="AE339" s="743"/>
      <c r="AF339" s="743"/>
      <c r="AG339" s="743"/>
      <c r="AH339" s="743"/>
      <c r="AI339" s="743"/>
      <c r="AJ339" s="743"/>
      <c r="AK339" s="743"/>
      <c r="AL339" s="743"/>
      <c r="AM339" s="743"/>
    </row>
    <row r="340" spans="1:39" ht="17.25">
      <c r="A340" s="752"/>
      <c r="B340" s="752"/>
      <c r="C340" s="752"/>
      <c r="D340" s="752"/>
      <c r="E340" s="752"/>
      <c r="F340" s="752"/>
      <c r="G340" s="752"/>
      <c r="H340" s="752"/>
      <c r="I340" s="829"/>
      <c r="J340" s="752"/>
      <c r="K340" s="752"/>
      <c r="L340" s="743"/>
      <c r="M340" s="743"/>
      <c r="N340" s="743"/>
      <c r="O340" s="743"/>
      <c r="P340" s="743"/>
      <c r="Q340" s="743"/>
      <c r="R340" s="743"/>
      <c r="S340" s="743"/>
      <c r="T340" s="743"/>
      <c r="U340" s="743"/>
      <c r="V340" s="743"/>
      <c r="W340" s="743"/>
      <c r="X340" s="743"/>
      <c r="Y340" s="743"/>
      <c r="Z340" s="743"/>
      <c r="AA340" s="743"/>
      <c r="AB340" s="743"/>
      <c r="AC340" s="743"/>
      <c r="AD340" s="743"/>
      <c r="AE340" s="743"/>
      <c r="AF340" s="743"/>
      <c r="AG340" s="743"/>
      <c r="AH340" s="743"/>
      <c r="AI340" s="743"/>
      <c r="AJ340" s="743"/>
      <c r="AK340" s="743"/>
      <c r="AL340" s="743"/>
      <c r="AM340" s="743"/>
    </row>
    <row r="341" spans="1:39" ht="17.25">
      <c r="A341" s="752"/>
      <c r="B341" s="752"/>
      <c r="C341" s="752"/>
      <c r="D341" s="752"/>
      <c r="E341" s="752"/>
      <c r="F341" s="752"/>
      <c r="G341" s="752"/>
      <c r="H341" s="752"/>
      <c r="I341" s="829"/>
      <c r="J341" s="752"/>
      <c r="K341" s="752"/>
      <c r="L341" s="743"/>
      <c r="M341" s="743"/>
      <c r="N341" s="743"/>
      <c r="O341" s="743"/>
      <c r="P341" s="743"/>
      <c r="Q341" s="743"/>
      <c r="R341" s="743"/>
      <c r="S341" s="743"/>
      <c r="T341" s="743"/>
      <c r="U341" s="743"/>
      <c r="V341" s="743"/>
      <c r="W341" s="743"/>
      <c r="X341" s="743"/>
      <c r="Y341" s="743"/>
      <c r="Z341" s="743"/>
      <c r="AA341" s="743"/>
      <c r="AB341" s="743"/>
      <c r="AC341" s="743"/>
      <c r="AD341" s="743"/>
      <c r="AE341" s="743"/>
      <c r="AF341" s="743"/>
      <c r="AG341" s="743"/>
      <c r="AH341" s="743"/>
      <c r="AI341" s="743"/>
      <c r="AJ341" s="743"/>
      <c r="AK341" s="743"/>
      <c r="AL341" s="743"/>
      <c r="AM341" s="743"/>
    </row>
    <row r="342" spans="1:39" ht="17.25">
      <c r="A342" s="752"/>
      <c r="B342" s="752"/>
      <c r="C342" s="752"/>
      <c r="D342" s="752"/>
      <c r="E342" s="752"/>
      <c r="F342" s="752"/>
      <c r="G342" s="752"/>
      <c r="H342" s="752"/>
      <c r="I342" s="829"/>
      <c r="J342" s="752"/>
      <c r="K342" s="752"/>
      <c r="L342" s="743"/>
      <c r="M342" s="743"/>
      <c r="N342" s="743"/>
      <c r="O342" s="743"/>
      <c r="P342" s="743"/>
      <c r="Q342" s="743"/>
      <c r="R342" s="743"/>
      <c r="S342" s="743"/>
      <c r="T342" s="743"/>
      <c r="U342" s="743"/>
      <c r="V342" s="743"/>
      <c r="W342" s="743"/>
      <c r="X342" s="743"/>
      <c r="Y342" s="743"/>
      <c r="Z342" s="743"/>
      <c r="AA342" s="743"/>
      <c r="AB342" s="743"/>
      <c r="AC342" s="743"/>
      <c r="AD342" s="743"/>
      <c r="AE342" s="743"/>
      <c r="AF342" s="743"/>
      <c r="AG342" s="743"/>
      <c r="AH342" s="743"/>
      <c r="AI342" s="743"/>
      <c r="AJ342" s="743"/>
      <c r="AK342" s="743"/>
      <c r="AL342" s="743"/>
      <c r="AM342" s="743"/>
    </row>
    <row r="343" spans="1:39" ht="17.25">
      <c r="A343" s="752"/>
      <c r="B343" s="752"/>
      <c r="C343" s="752"/>
      <c r="D343" s="752"/>
      <c r="E343" s="752"/>
      <c r="F343" s="752"/>
      <c r="G343" s="752"/>
      <c r="H343" s="752"/>
      <c r="I343" s="829"/>
      <c r="J343" s="752"/>
      <c r="K343" s="752"/>
      <c r="L343" s="743"/>
      <c r="M343" s="743"/>
      <c r="N343" s="743"/>
      <c r="O343" s="743"/>
      <c r="P343" s="743"/>
      <c r="Q343" s="743"/>
      <c r="R343" s="743"/>
      <c r="S343" s="743"/>
      <c r="T343" s="743"/>
      <c r="U343" s="743"/>
      <c r="V343" s="743"/>
      <c r="W343" s="743"/>
      <c r="X343" s="743"/>
      <c r="Y343" s="743"/>
      <c r="Z343" s="743"/>
      <c r="AA343" s="743"/>
      <c r="AB343" s="743"/>
      <c r="AC343" s="743"/>
      <c r="AD343" s="743"/>
      <c r="AE343" s="743"/>
      <c r="AF343" s="743"/>
      <c r="AG343" s="743"/>
      <c r="AH343" s="743"/>
      <c r="AI343" s="743"/>
      <c r="AJ343" s="743"/>
      <c r="AK343" s="743"/>
      <c r="AL343" s="743"/>
      <c r="AM343" s="743"/>
    </row>
    <row r="344" spans="1:39" ht="17.25">
      <c r="A344" s="752"/>
      <c r="B344" s="752"/>
      <c r="C344" s="752"/>
      <c r="D344" s="752"/>
      <c r="E344" s="752"/>
      <c r="F344" s="752"/>
      <c r="G344" s="752"/>
      <c r="H344" s="752"/>
      <c r="I344" s="829"/>
      <c r="J344" s="752"/>
      <c r="K344" s="752"/>
      <c r="L344" s="743"/>
      <c r="M344" s="743"/>
      <c r="N344" s="743"/>
      <c r="O344" s="743"/>
      <c r="P344" s="743"/>
      <c r="Q344" s="743"/>
      <c r="R344" s="743"/>
      <c r="S344" s="743"/>
      <c r="T344" s="743"/>
      <c r="U344" s="743"/>
      <c r="V344" s="743"/>
      <c r="W344" s="743"/>
      <c r="X344" s="743"/>
      <c r="Y344" s="743"/>
      <c r="Z344" s="743"/>
      <c r="AA344" s="743"/>
      <c r="AB344" s="743"/>
      <c r="AC344" s="743"/>
      <c r="AD344" s="743"/>
      <c r="AE344" s="743"/>
      <c r="AF344" s="743"/>
      <c r="AG344" s="743"/>
      <c r="AH344" s="743"/>
      <c r="AI344" s="743"/>
      <c r="AJ344" s="743"/>
      <c r="AK344" s="743"/>
      <c r="AL344" s="743"/>
      <c r="AM344" s="743"/>
    </row>
    <row r="345" spans="1:39" ht="17.25">
      <c r="A345" s="752"/>
      <c r="B345" s="752"/>
      <c r="C345" s="752"/>
      <c r="D345" s="752"/>
      <c r="E345" s="752"/>
      <c r="F345" s="752"/>
      <c r="G345" s="752"/>
      <c r="H345" s="752"/>
      <c r="I345" s="829"/>
      <c r="J345" s="752"/>
      <c r="K345" s="752"/>
      <c r="L345" s="743"/>
      <c r="M345" s="743"/>
      <c r="N345" s="743"/>
      <c r="O345" s="743"/>
      <c r="P345" s="743"/>
      <c r="Q345" s="743"/>
      <c r="R345" s="743"/>
      <c r="S345" s="743"/>
      <c r="T345" s="743"/>
      <c r="U345" s="743"/>
      <c r="V345" s="743"/>
      <c r="W345" s="743"/>
      <c r="X345" s="743"/>
      <c r="Y345" s="743"/>
      <c r="Z345" s="743"/>
      <c r="AA345" s="743"/>
      <c r="AB345" s="743"/>
      <c r="AC345" s="743"/>
      <c r="AD345" s="743"/>
      <c r="AE345" s="743"/>
      <c r="AF345" s="743"/>
      <c r="AG345" s="743"/>
      <c r="AH345" s="743"/>
      <c r="AI345" s="743"/>
      <c r="AJ345" s="743"/>
      <c r="AK345" s="743"/>
      <c r="AL345" s="743"/>
      <c r="AM345" s="743"/>
    </row>
    <row r="346" spans="1:39" ht="17.25">
      <c r="A346" s="752"/>
      <c r="B346" s="752"/>
      <c r="C346" s="752"/>
      <c r="D346" s="752"/>
      <c r="E346" s="752"/>
      <c r="F346" s="752"/>
      <c r="G346" s="752"/>
      <c r="H346" s="752"/>
      <c r="I346" s="829"/>
      <c r="J346" s="752"/>
      <c r="K346" s="752"/>
      <c r="L346" s="743"/>
      <c r="M346" s="743"/>
      <c r="N346" s="743"/>
      <c r="O346" s="743"/>
      <c r="P346" s="743"/>
      <c r="Q346" s="743"/>
      <c r="R346" s="743"/>
      <c r="S346" s="743"/>
      <c r="T346" s="743"/>
      <c r="U346" s="743"/>
      <c r="V346" s="743"/>
      <c r="W346" s="743"/>
      <c r="X346" s="743"/>
      <c r="Y346" s="743"/>
      <c r="Z346" s="743"/>
      <c r="AA346" s="743"/>
      <c r="AB346" s="743"/>
      <c r="AC346" s="743"/>
      <c r="AD346" s="743"/>
      <c r="AE346" s="743"/>
      <c r="AF346" s="743"/>
      <c r="AG346" s="743"/>
      <c r="AH346" s="743"/>
      <c r="AI346" s="743"/>
      <c r="AJ346" s="743"/>
      <c r="AK346" s="743"/>
      <c r="AL346" s="743"/>
      <c r="AM346" s="743"/>
    </row>
    <row r="347" spans="1:39" ht="17.25">
      <c r="A347" s="752"/>
      <c r="B347" s="752"/>
      <c r="C347" s="752"/>
      <c r="D347" s="752"/>
      <c r="E347" s="752"/>
      <c r="F347" s="752"/>
      <c r="G347" s="752"/>
      <c r="H347" s="752"/>
      <c r="I347" s="829"/>
      <c r="J347" s="752"/>
      <c r="K347" s="752"/>
      <c r="L347" s="743"/>
      <c r="M347" s="743"/>
      <c r="N347" s="743"/>
      <c r="O347" s="743"/>
      <c r="P347" s="743"/>
      <c r="Q347" s="743"/>
      <c r="R347" s="743"/>
      <c r="S347" s="743"/>
      <c r="T347" s="743"/>
      <c r="U347" s="743"/>
      <c r="V347" s="743"/>
      <c r="W347" s="743"/>
      <c r="X347" s="743"/>
      <c r="Y347" s="743"/>
      <c r="Z347" s="743"/>
      <c r="AA347" s="743"/>
      <c r="AB347" s="743"/>
      <c r="AC347" s="743"/>
      <c r="AD347" s="743"/>
      <c r="AE347" s="743"/>
      <c r="AF347" s="743"/>
      <c r="AG347" s="743"/>
      <c r="AH347" s="743"/>
      <c r="AI347" s="743"/>
      <c r="AJ347" s="743"/>
      <c r="AK347" s="743"/>
      <c r="AL347" s="743"/>
      <c r="AM347" s="743"/>
    </row>
    <row r="348" spans="1:39" ht="17.25">
      <c r="A348" s="752"/>
      <c r="B348" s="752"/>
      <c r="C348" s="752"/>
      <c r="D348" s="752"/>
      <c r="E348" s="752"/>
      <c r="F348" s="752"/>
      <c r="G348" s="752"/>
      <c r="H348" s="752"/>
      <c r="I348" s="829"/>
      <c r="J348" s="752"/>
      <c r="K348" s="752"/>
      <c r="L348" s="743"/>
      <c r="M348" s="743"/>
      <c r="N348" s="743"/>
      <c r="O348" s="743"/>
      <c r="P348" s="743"/>
      <c r="Q348" s="743"/>
      <c r="R348" s="743"/>
      <c r="S348" s="743"/>
      <c r="T348" s="743"/>
      <c r="U348" s="743"/>
      <c r="V348" s="743"/>
      <c r="W348" s="743"/>
      <c r="X348" s="743"/>
      <c r="Y348" s="743"/>
      <c r="Z348" s="743"/>
      <c r="AA348" s="743"/>
      <c r="AB348" s="743"/>
      <c r="AC348" s="743"/>
      <c r="AD348" s="743"/>
      <c r="AE348" s="743"/>
      <c r="AF348" s="743"/>
      <c r="AG348" s="743"/>
      <c r="AH348" s="743"/>
      <c r="AI348" s="743"/>
      <c r="AJ348" s="743"/>
      <c r="AK348" s="743"/>
      <c r="AL348" s="743"/>
      <c r="AM348" s="743"/>
    </row>
    <row r="349" spans="1:39" ht="17.25">
      <c r="A349" s="752"/>
      <c r="B349" s="752"/>
      <c r="C349" s="752"/>
      <c r="D349" s="752"/>
      <c r="E349" s="752"/>
      <c r="F349" s="752"/>
      <c r="G349" s="752"/>
      <c r="H349" s="752"/>
      <c r="I349" s="829"/>
      <c r="J349" s="752"/>
      <c r="K349" s="752"/>
      <c r="L349" s="743"/>
      <c r="M349" s="743"/>
      <c r="N349" s="743"/>
      <c r="O349" s="743"/>
      <c r="P349" s="743"/>
      <c r="Q349" s="743"/>
      <c r="R349" s="743"/>
      <c r="S349" s="743"/>
      <c r="T349" s="743"/>
      <c r="U349" s="743"/>
      <c r="V349" s="743"/>
      <c r="W349" s="743"/>
      <c r="X349" s="743"/>
      <c r="Y349" s="743"/>
      <c r="Z349" s="743"/>
      <c r="AA349" s="743"/>
      <c r="AB349" s="743"/>
      <c r="AC349" s="743"/>
      <c r="AD349" s="743"/>
      <c r="AE349" s="743"/>
      <c r="AF349" s="743"/>
      <c r="AG349" s="743"/>
      <c r="AH349" s="743"/>
      <c r="AI349" s="743"/>
      <c r="AJ349" s="743"/>
      <c r="AK349" s="743"/>
      <c r="AL349" s="743"/>
      <c r="AM349" s="743"/>
    </row>
    <row r="350" spans="1:39" ht="17.25">
      <c r="A350" s="752"/>
      <c r="B350" s="752"/>
      <c r="C350" s="752"/>
      <c r="D350" s="752"/>
      <c r="E350" s="752"/>
      <c r="F350" s="752"/>
      <c r="G350" s="752"/>
      <c r="H350" s="752"/>
      <c r="I350" s="829"/>
      <c r="J350" s="752"/>
      <c r="K350" s="752"/>
      <c r="L350" s="743"/>
      <c r="M350" s="743"/>
      <c r="N350" s="743"/>
      <c r="O350" s="743"/>
      <c r="P350" s="743"/>
      <c r="Q350" s="743"/>
      <c r="R350" s="743"/>
      <c r="S350" s="743"/>
      <c r="T350" s="743"/>
      <c r="U350" s="743"/>
      <c r="V350" s="743"/>
      <c r="W350" s="743"/>
      <c r="X350" s="743"/>
      <c r="Y350" s="743"/>
      <c r="Z350" s="743"/>
      <c r="AA350" s="743"/>
      <c r="AB350" s="743"/>
      <c r="AC350" s="743"/>
      <c r="AD350" s="743"/>
      <c r="AE350" s="743"/>
      <c r="AF350" s="743"/>
      <c r="AG350" s="743"/>
      <c r="AH350" s="743"/>
      <c r="AI350" s="743"/>
      <c r="AJ350" s="743"/>
      <c r="AK350" s="743"/>
      <c r="AL350" s="743"/>
      <c r="AM350" s="743"/>
    </row>
    <row r="351" spans="1:39" ht="17.25">
      <c r="A351" s="752"/>
      <c r="B351" s="752"/>
      <c r="C351" s="752"/>
      <c r="D351" s="752"/>
      <c r="E351" s="752"/>
      <c r="F351" s="752"/>
      <c r="G351" s="752"/>
      <c r="H351" s="752"/>
      <c r="I351" s="829"/>
      <c r="J351" s="752"/>
      <c r="K351" s="752"/>
      <c r="L351" s="743"/>
      <c r="M351" s="743"/>
      <c r="N351" s="743"/>
      <c r="O351" s="743"/>
      <c r="P351" s="743"/>
      <c r="Q351" s="743"/>
      <c r="R351" s="743"/>
      <c r="S351" s="743"/>
      <c r="T351" s="743"/>
      <c r="U351" s="743"/>
      <c r="V351" s="743"/>
      <c r="W351" s="743"/>
      <c r="X351" s="743"/>
      <c r="Y351" s="743"/>
      <c r="Z351" s="743"/>
      <c r="AA351" s="743"/>
      <c r="AB351" s="743"/>
      <c r="AC351" s="743"/>
      <c r="AD351" s="743"/>
      <c r="AE351" s="743"/>
      <c r="AF351" s="743"/>
      <c r="AG351" s="743"/>
      <c r="AH351" s="743"/>
      <c r="AI351" s="743"/>
      <c r="AJ351" s="743"/>
      <c r="AK351" s="743"/>
      <c r="AL351" s="743"/>
      <c r="AM351" s="743"/>
    </row>
    <row r="352" spans="1:39" ht="17.25">
      <c r="A352" s="752"/>
      <c r="B352" s="752"/>
      <c r="C352" s="752"/>
      <c r="D352" s="752"/>
      <c r="E352" s="752"/>
      <c r="F352" s="752"/>
      <c r="G352" s="752"/>
      <c r="H352" s="752"/>
      <c r="I352" s="829"/>
      <c r="J352" s="752"/>
      <c r="K352" s="752"/>
      <c r="L352" s="743"/>
      <c r="M352" s="743"/>
      <c r="N352" s="743"/>
      <c r="O352" s="743"/>
      <c r="P352" s="743"/>
      <c r="Q352" s="743"/>
      <c r="R352" s="743"/>
      <c r="S352" s="743"/>
      <c r="T352" s="743"/>
      <c r="U352" s="743"/>
      <c r="V352" s="743"/>
      <c r="W352" s="743"/>
      <c r="X352" s="743"/>
      <c r="Y352" s="743"/>
      <c r="Z352" s="743"/>
      <c r="AA352" s="743"/>
      <c r="AB352" s="743"/>
      <c r="AC352" s="743"/>
      <c r="AD352" s="743"/>
      <c r="AE352" s="743"/>
      <c r="AF352" s="743"/>
      <c r="AG352" s="743"/>
      <c r="AH352" s="743"/>
      <c r="AI352" s="743"/>
      <c r="AJ352" s="743"/>
      <c r="AK352" s="743"/>
      <c r="AL352" s="743"/>
      <c r="AM352" s="743"/>
    </row>
    <row r="353" spans="1:39" ht="17.25">
      <c r="A353" s="752"/>
      <c r="B353" s="752"/>
      <c r="C353" s="752"/>
      <c r="D353" s="752"/>
      <c r="E353" s="752"/>
      <c r="F353" s="752"/>
      <c r="G353" s="752"/>
      <c r="H353" s="752"/>
      <c r="I353" s="829"/>
      <c r="J353" s="752"/>
      <c r="K353" s="752"/>
      <c r="L353" s="743"/>
      <c r="M353" s="743"/>
      <c r="N353" s="743"/>
      <c r="O353" s="743"/>
      <c r="P353" s="743"/>
      <c r="Q353" s="743"/>
      <c r="R353" s="743"/>
      <c r="S353" s="743"/>
      <c r="T353" s="743"/>
      <c r="U353" s="743"/>
      <c r="V353" s="743"/>
      <c r="W353" s="743"/>
      <c r="X353" s="743"/>
      <c r="Y353" s="743"/>
      <c r="Z353" s="743"/>
      <c r="AA353" s="743"/>
      <c r="AB353" s="743"/>
      <c r="AC353" s="743"/>
      <c r="AD353" s="743"/>
      <c r="AE353" s="743"/>
      <c r="AF353" s="743"/>
      <c r="AG353" s="743"/>
      <c r="AH353" s="743"/>
      <c r="AI353" s="743"/>
      <c r="AJ353" s="743"/>
      <c r="AK353" s="743"/>
      <c r="AL353" s="743"/>
      <c r="AM353" s="743"/>
    </row>
    <row r="354" spans="1:39" ht="17.25">
      <c r="A354" s="752"/>
      <c r="B354" s="752"/>
      <c r="C354" s="752"/>
      <c r="D354" s="752"/>
      <c r="E354" s="752"/>
      <c r="F354" s="752"/>
      <c r="G354" s="752"/>
      <c r="H354" s="752"/>
      <c r="I354" s="829"/>
      <c r="J354" s="752"/>
      <c r="K354" s="752"/>
      <c r="L354" s="743"/>
      <c r="M354" s="743"/>
      <c r="N354" s="743"/>
      <c r="O354" s="743"/>
      <c r="P354" s="743"/>
      <c r="Q354" s="743"/>
      <c r="R354" s="743"/>
      <c r="S354" s="743"/>
      <c r="T354" s="743"/>
      <c r="U354" s="743"/>
      <c r="V354" s="743"/>
      <c r="W354" s="743"/>
      <c r="X354" s="743"/>
      <c r="Y354" s="743"/>
      <c r="Z354" s="743"/>
      <c r="AA354" s="743"/>
      <c r="AB354" s="743"/>
      <c r="AC354" s="743"/>
      <c r="AD354" s="743"/>
      <c r="AE354" s="743"/>
      <c r="AF354" s="743"/>
      <c r="AG354" s="743"/>
      <c r="AH354" s="743"/>
      <c r="AI354" s="743"/>
      <c r="AJ354" s="743"/>
      <c r="AK354" s="743"/>
      <c r="AL354" s="743"/>
      <c r="AM354" s="743"/>
    </row>
    <row r="355" spans="1:39" ht="17.25">
      <c r="A355" s="752"/>
      <c r="B355" s="752"/>
      <c r="C355" s="752"/>
      <c r="D355" s="752"/>
      <c r="E355" s="752"/>
      <c r="F355" s="752"/>
      <c r="G355" s="752"/>
      <c r="H355" s="752"/>
      <c r="I355" s="829"/>
      <c r="J355" s="752"/>
      <c r="K355" s="752"/>
      <c r="L355" s="743"/>
      <c r="M355" s="743"/>
      <c r="N355" s="743"/>
      <c r="O355" s="743"/>
      <c r="P355" s="743"/>
      <c r="Q355" s="743"/>
      <c r="R355" s="743"/>
      <c r="S355" s="743"/>
      <c r="T355" s="743"/>
      <c r="U355" s="743"/>
      <c r="V355" s="743"/>
      <c r="W355" s="743"/>
      <c r="X355" s="743"/>
      <c r="Y355" s="743"/>
      <c r="Z355" s="743"/>
      <c r="AA355" s="743"/>
      <c r="AB355" s="743"/>
      <c r="AC355" s="743"/>
      <c r="AD355" s="743"/>
      <c r="AE355" s="743"/>
      <c r="AF355" s="743"/>
      <c r="AG355" s="743"/>
      <c r="AH355" s="743"/>
      <c r="AI355" s="743"/>
      <c r="AJ355" s="743"/>
      <c r="AK355" s="743"/>
      <c r="AL355" s="743"/>
      <c r="AM355" s="743"/>
    </row>
    <row r="356" spans="1:39" ht="17.25">
      <c r="A356" s="752"/>
      <c r="B356" s="752"/>
      <c r="C356" s="752"/>
      <c r="D356" s="752"/>
      <c r="E356" s="752"/>
      <c r="F356" s="752"/>
      <c r="G356" s="752"/>
      <c r="H356" s="752"/>
      <c r="I356" s="829"/>
      <c r="J356" s="752"/>
      <c r="K356" s="752"/>
      <c r="L356" s="743"/>
      <c r="M356" s="743"/>
      <c r="N356" s="743"/>
      <c r="O356" s="743"/>
      <c r="P356" s="743"/>
      <c r="Q356" s="743"/>
      <c r="R356" s="743"/>
      <c r="S356" s="743"/>
      <c r="T356" s="743"/>
      <c r="U356" s="743"/>
      <c r="V356" s="743"/>
      <c r="W356" s="743"/>
      <c r="X356" s="743"/>
      <c r="Y356" s="743"/>
      <c r="Z356" s="743"/>
      <c r="AA356" s="743"/>
      <c r="AB356" s="743"/>
      <c r="AC356" s="743"/>
      <c r="AD356" s="743"/>
      <c r="AE356" s="743"/>
      <c r="AF356" s="743"/>
      <c r="AG356" s="743"/>
      <c r="AH356" s="743"/>
      <c r="AI356" s="743"/>
      <c r="AJ356" s="743"/>
      <c r="AK356" s="743"/>
      <c r="AL356" s="743"/>
      <c r="AM356" s="743"/>
    </row>
    <row r="357" spans="1:39" ht="17.25">
      <c r="A357" s="752"/>
      <c r="B357" s="752"/>
      <c r="C357" s="752"/>
      <c r="D357" s="752"/>
      <c r="E357" s="752"/>
      <c r="F357" s="752"/>
      <c r="G357" s="752"/>
      <c r="H357" s="752"/>
      <c r="I357" s="829"/>
      <c r="J357" s="752"/>
      <c r="K357" s="752"/>
      <c r="L357" s="743"/>
      <c r="M357" s="743"/>
      <c r="N357" s="743"/>
      <c r="O357" s="743"/>
      <c r="P357" s="743"/>
      <c r="Q357" s="743"/>
      <c r="R357" s="743"/>
      <c r="S357" s="743"/>
      <c r="T357" s="743"/>
      <c r="U357" s="743"/>
      <c r="V357" s="743"/>
      <c r="W357" s="743"/>
      <c r="X357" s="743"/>
      <c r="Y357" s="743"/>
      <c r="Z357" s="743"/>
      <c r="AA357" s="743"/>
      <c r="AB357" s="743"/>
      <c r="AC357" s="743"/>
      <c r="AD357" s="743"/>
      <c r="AE357" s="743"/>
      <c r="AF357" s="743"/>
      <c r="AG357" s="743"/>
      <c r="AH357" s="743"/>
      <c r="AI357" s="743"/>
      <c r="AJ357" s="743"/>
      <c r="AK357" s="743"/>
      <c r="AL357" s="743"/>
      <c r="AM357" s="743"/>
    </row>
    <row r="358" spans="1:39" ht="17.25">
      <c r="A358" s="752"/>
      <c r="B358" s="752"/>
      <c r="C358" s="752"/>
      <c r="D358" s="752"/>
      <c r="E358" s="752"/>
      <c r="F358" s="752"/>
      <c r="G358" s="752"/>
      <c r="H358" s="752"/>
      <c r="I358" s="829"/>
      <c r="J358" s="752"/>
      <c r="K358" s="752"/>
      <c r="L358" s="743"/>
      <c r="M358" s="743"/>
      <c r="N358" s="743"/>
      <c r="O358" s="743"/>
      <c r="P358" s="743"/>
      <c r="Q358" s="743"/>
      <c r="R358" s="743"/>
      <c r="S358" s="743"/>
      <c r="T358" s="743"/>
      <c r="U358" s="743"/>
      <c r="V358" s="743"/>
      <c r="W358" s="743"/>
      <c r="X358" s="743"/>
      <c r="Y358" s="743"/>
      <c r="Z358" s="743"/>
      <c r="AA358" s="743"/>
      <c r="AB358" s="743"/>
      <c r="AC358" s="743"/>
      <c r="AD358" s="743"/>
      <c r="AE358" s="743"/>
      <c r="AF358" s="743"/>
      <c r="AG358" s="743"/>
      <c r="AH358" s="743"/>
      <c r="AI358" s="743"/>
      <c r="AJ358" s="743"/>
      <c r="AK358" s="743"/>
      <c r="AL358" s="743"/>
      <c r="AM358" s="743"/>
    </row>
    <row r="359" spans="1:39" ht="17.25">
      <c r="A359" s="752"/>
      <c r="B359" s="752"/>
      <c r="C359" s="752"/>
      <c r="D359" s="752"/>
      <c r="E359" s="752"/>
      <c r="F359" s="752"/>
      <c r="G359" s="752"/>
      <c r="H359" s="752"/>
      <c r="I359" s="829"/>
      <c r="J359" s="752"/>
      <c r="K359" s="752"/>
      <c r="L359" s="743"/>
      <c r="M359" s="743"/>
      <c r="N359" s="743"/>
      <c r="O359" s="743"/>
      <c r="P359" s="743"/>
      <c r="Q359" s="743"/>
      <c r="R359" s="743"/>
      <c r="S359" s="743"/>
      <c r="T359" s="743"/>
      <c r="U359" s="743"/>
      <c r="V359" s="743"/>
      <c r="W359" s="743"/>
      <c r="X359" s="743"/>
      <c r="Y359" s="743"/>
      <c r="Z359" s="743"/>
      <c r="AA359" s="743"/>
      <c r="AB359" s="743"/>
      <c r="AC359" s="743"/>
      <c r="AD359" s="743"/>
      <c r="AE359" s="743"/>
      <c r="AF359" s="743"/>
      <c r="AG359" s="743"/>
      <c r="AH359" s="743"/>
      <c r="AI359" s="743"/>
      <c r="AJ359" s="743"/>
      <c r="AK359" s="743"/>
      <c r="AL359" s="743"/>
      <c r="AM359" s="743"/>
    </row>
    <row r="360" spans="1:39" ht="17.25">
      <c r="A360" s="752"/>
      <c r="B360" s="752"/>
      <c r="C360" s="752"/>
      <c r="D360" s="752"/>
      <c r="E360" s="752"/>
      <c r="F360" s="752"/>
      <c r="G360" s="752"/>
      <c r="H360" s="752"/>
      <c r="I360" s="829"/>
      <c r="J360" s="752"/>
      <c r="K360" s="752"/>
      <c r="L360" s="743"/>
      <c r="M360" s="743"/>
      <c r="N360" s="743"/>
      <c r="O360" s="743"/>
      <c r="P360" s="743"/>
      <c r="Q360" s="743"/>
      <c r="R360" s="743"/>
      <c r="S360" s="743"/>
      <c r="T360" s="743"/>
      <c r="U360" s="743"/>
      <c r="V360" s="743"/>
      <c r="W360" s="743"/>
      <c r="X360" s="743"/>
      <c r="Y360" s="743"/>
      <c r="Z360" s="743"/>
      <c r="AA360" s="743"/>
      <c r="AB360" s="743"/>
      <c r="AC360" s="743"/>
      <c r="AD360" s="743"/>
      <c r="AE360" s="743"/>
      <c r="AF360" s="743"/>
      <c r="AG360" s="743"/>
      <c r="AH360" s="743"/>
      <c r="AI360" s="743"/>
      <c r="AJ360" s="743"/>
      <c r="AK360" s="743"/>
      <c r="AL360" s="743"/>
      <c r="AM360" s="743"/>
    </row>
    <row r="361" spans="1:39" ht="17.25">
      <c r="A361" s="752"/>
      <c r="B361" s="752"/>
      <c r="C361" s="752"/>
      <c r="D361" s="752"/>
      <c r="E361" s="752"/>
      <c r="F361" s="752"/>
      <c r="G361" s="752"/>
      <c r="H361" s="752"/>
      <c r="I361" s="829"/>
      <c r="J361" s="752"/>
      <c r="K361" s="752"/>
      <c r="L361" s="743"/>
      <c r="M361" s="743"/>
      <c r="N361" s="743"/>
      <c r="O361" s="743"/>
      <c r="P361" s="743"/>
      <c r="Q361" s="743"/>
      <c r="R361" s="743"/>
      <c r="S361" s="743"/>
      <c r="T361" s="743"/>
      <c r="U361" s="743"/>
      <c r="V361" s="743"/>
      <c r="W361" s="743"/>
      <c r="X361" s="743"/>
      <c r="Y361" s="743"/>
      <c r="Z361" s="743"/>
      <c r="AA361" s="743"/>
      <c r="AB361" s="743"/>
      <c r="AC361" s="743"/>
      <c r="AD361" s="743"/>
      <c r="AE361" s="743"/>
      <c r="AF361" s="743"/>
      <c r="AG361" s="743"/>
      <c r="AH361" s="743"/>
      <c r="AI361" s="743"/>
      <c r="AJ361" s="743"/>
      <c r="AK361" s="743"/>
      <c r="AL361" s="743"/>
      <c r="AM361" s="743"/>
    </row>
    <row r="362" spans="1:39" ht="17.25">
      <c r="A362" s="752"/>
      <c r="B362" s="752"/>
      <c r="C362" s="752"/>
      <c r="D362" s="752"/>
      <c r="E362" s="752"/>
      <c r="F362" s="752"/>
      <c r="G362" s="752"/>
      <c r="H362" s="752"/>
      <c r="I362" s="829"/>
      <c r="J362" s="752"/>
      <c r="K362" s="752"/>
      <c r="L362" s="743"/>
      <c r="M362" s="743"/>
      <c r="N362" s="743"/>
      <c r="O362" s="743"/>
      <c r="P362" s="743"/>
      <c r="Q362" s="743"/>
      <c r="R362" s="743"/>
      <c r="S362" s="743"/>
      <c r="T362" s="743"/>
      <c r="U362" s="743"/>
      <c r="V362" s="743"/>
      <c r="W362" s="743"/>
      <c r="X362" s="743"/>
      <c r="Y362" s="743"/>
      <c r="Z362" s="743"/>
      <c r="AA362" s="743"/>
      <c r="AB362" s="743"/>
      <c r="AC362" s="743"/>
      <c r="AD362" s="743"/>
      <c r="AE362" s="743"/>
      <c r="AF362" s="743"/>
      <c r="AG362" s="743"/>
      <c r="AH362" s="743"/>
      <c r="AI362" s="743"/>
      <c r="AJ362" s="743"/>
      <c r="AK362" s="743"/>
      <c r="AL362" s="743"/>
      <c r="AM362" s="743"/>
    </row>
    <row r="363" spans="1:39" ht="17.25">
      <c r="A363" s="752"/>
      <c r="B363" s="752"/>
      <c r="C363" s="752"/>
      <c r="D363" s="752"/>
      <c r="E363" s="752"/>
      <c r="F363" s="752"/>
      <c r="G363" s="752"/>
      <c r="H363" s="752"/>
      <c r="I363" s="829"/>
      <c r="J363" s="752"/>
      <c r="K363" s="752"/>
      <c r="L363" s="743"/>
      <c r="M363" s="743"/>
      <c r="N363" s="743"/>
      <c r="O363" s="743"/>
      <c r="P363" s="743"/>
      <c r="Q363" s="743"/>
      <c r="R363" s="743"/>
      <c r="S363" s="743"/>
      <c r="T363" s="743"/>
      <c r="U363" s="743"/>
      <c r="V363" s="743"/>
      <c r="W363" s="743"/>
      <c r="X363" s="743"/>
      <c r="Y363" s="743"/>
      <c r="Z363" s="743"/>
      <c r="AA363" s="743"/>
      <c r="AB363" s="743"/>
      <c r="AC363" s="743"/>
      <c r="AD363" s="743"/>
      <c r="AE363" s="743"/>
      <c r="AF363" s="743"/>
      <c r="AG363" s="743"/>
      <c r="AH363" s="743"/>
      <c r="AI363" s="743"/>
      <c r="AJ363" s="743"/>
      <c r="AK363" s="743"/>
      <c r="AL363" s="743"/>
      <c r="AM363" s="743"/>
    </row>
    <row r="364" spans="1:39" ht="17.25">
      <c r="A364" s="752"/>
      <c r="B364" s="752"/>
      <c r="C364" s="752"/>
      <c r="D364" s="752"/>
      <c r="E364" s="752"/>
      <c r="F364" s="752"/>
      <c r="G364" s="752"/>
      <c r="H364" s="752"/>
      <c r="I364" s="829"/>
      <c r="J364" s="752"/>
      <c r="K364" s="752"/>
      <c r="L364" s="743"/>
      <c r="M364" s="743"/>
      <c r="N364" s="743"/>
      <c r="O364" s="743"/>
      <c r="P364" s="743"/>
      <c r="Q364" s="743"/>
      <c r="R364" s="743"/>
      <c r="S364" s="743"/>
      <c r="T364" s="743"/>
      <c r="U364" s="743"/>
      <c r="V364" s="743"/>
      <c r="W364" s="743"/>
      <c r="X364" s="743"/>
      <c r="Y364" s="743"/>
      <c r="Z364" s="743"/>
      <c r="AA364" s="743"/>
      <c r="AB364" s="743"/>
      <c r="AC364" s="743"/>
      <c r="AD364" s="743"/>
      <c r="AE364" s="743"/>
      <c r="AF364" s="743"/>
      <c r="AG364" s="743"/>
      <c r="AH364" s="743"/>
      <c r="AI364" s="743"/>
      <c r="AJ364" s="743"/>
      <c r="AK364" s="743"/>
      <c r="AL364" s="743"/>
      <c r="AM364" s="743"/>
    </row>
    <row r="365" spans="1:39" ht="17.25">
      <c r="A365" s="752"/>
      <c r="B365" s="752"/>
      <c r="C365" s="752"/>
      <c r="D365" s="752"/>
      <c r="E365" s="752"/>
      <c r="F365" s="752"/>
      <c r="G365" s="752"/>
      <c r="H365" s="752"/>
      <c r="I365" s="829"/>
      <c r="J365" s="752"/>
      <c r="K365" s="752"/>
      <c r="L365" s="743"/>
      <c r="M365" s="743"/>
      <c r="N365" s="743"/>
      <c r="O365" s="743"/>
      <c r="P365" s="743"/>
      <c r="Q365" s="743"/>
      <c r="R365" s="743"/>
      <c r="S365" s="743"/>
      <c r="T365" s="743"/>
      <c r="U365" s="743"/>
      <c r="V365" s="743"/>
      <c r="W365" s="743"/>
      <c r="X365" s="743"/>
      <c r="Y365" s="743"/>
      <c r="Z365" s="743"/>
      <c r="AA365" s="743"/>
      <c r="AB365" s="743"/>
      <c r="AC365" s="743"/>
      <c r="AD365" s="743"/>
      <c r="AE365" s="743"/>
      <c r="AF365" s="743"/>
      <c r="AG365" s="743"/>
      <c r="AH365" s="743"/>
      <c r="AI365" s="743"/>
      <c r="AJ365" s="743"/>
      <c r="AK365" s="743"/>
      <c r="AL365" s="743"/>
      <c r="AM365" s="743"/>
    </row>
    <row r="366" spans="1:39" ht="17.25">
      <c r="A366" s="752"/>
      <c r="B366" s="752"/>
      <c r="C366" s="752"/>
      <c r="D366" s="752"/>
      <c r="E366" s="752"/>
      <c r="F366" s="752"/>
      <c r="G366" s="752"/>
      <c r="H366" s="752"/>
      <c r="I366" s="829"/>
      <c r="J366" s="752"/>
      <c r="K366" s="752"/>
      <c r="L366" s="743"/>
      <c r="M366" s="743"/>
      <c r="N366" s="743"/>
      <c r="O366" s="743"/>
      <c r="P366" s="743"/>
      <c r="Q366" s="743"/>
      <c r="R366" s="743"/>
      <c r="S366" s="743"/>
      <c r="T366" s="743"/>
      <c r="U366" s="743"/>
      <c r="V366" s="743"/>
      <c r="W366" s="743"/>
      <c r="X366" s="743"/>
      <c r="Y366" s="743"/>
      <c r="Z366" s="743"/>
      <c r="AA366" s="743"/>
      <c r="AB366" s="743"/>
      <c r="AC366" s="743"/>
      <c r="AD366" s="743"/>
      <c r="AE366" s="743"/>
      <c r="AF366" s="743"/>
      <c r="AG366" s="743"/>
      <c r="AH366" s="743"/>
      <c r="AI366" s="743"/>
      <c r="AJ366" s="743"/>
      <c r="AK366" s="743"/>
      <c r="AL366" s="743"/>
      <c r="AM366" s="743"/>
    </row>
    <row r="367" spans="1:39" ht="17.25">
      <c r="A367" s="752"/>
      <c r="B367" s="752"/>
      <c r="C367" s="752"/>
      <c r="D367" s="752"/>
      <c r="E367" s="752"/>
      <c r="F367" s="752"/>
      <c r="G367" s="752"/>
      <c r="H367" s="752"/>
      <c r="I367" s="829"/>
      <c r="J367" s="752"/>
      <c r="K367" s="752"/>
      <c r="L367" s="743"/>
      <c r="M367" s="743"/>
      <c r="N367" s="743"/>
      <c r="O367" s="743"/>
      <c r="P367" s="743"/>
      <c r="Q367" s="743"/>
      <c r="R367" s="743"/>
      <c r="S367" s="743"/>
      <c r="T367" s="743"/>
      <c r="U367" s="743"/>
      <c r="V367" s="743"/>
      <c r="W367" s="743"/>
      <c r="X367" s="743"/>
      <c r="Y367" s="743"/>
      <c r="Z367" s="743"/>
      <c r="AA367" s="743"/>
      <c r="AB367" s="743"/>
      <c r="AC367" s="743"/>
      <c r="AD367" s="743"/>
      <c r="AE367" s="743"/>
      <c r="AF367" s="743"/>
      <c r="AG367" s="743"/>
      <c r="AH367" s="743"/>
      <c r="AI367" s="743"/>
      <c r="AJ367" s="743"/>
      <c r="AK367" s="743"/>
      <c r="AL367" s="743"/>
      <c r="AM367" s="743"/>
    </row>
    <row r="368" spans="1:39" ht="17.25">
      <c r="A368" s="752"/>
      <c r="B368" s="752"/>
      <c r="C368" s="752"/>
      <c r="D368" s="752"/>
      <c r="E368" s="752"/>
      <c r="F368" s="752"/>
      <c r="G368" s="752"/>
      <c r="H368" s="752"/>
      <c r="I368" s="829"/>
      <c r="J368" s="752"/>
      <c r="K368" s="752"/>
      <c r="L368" s="743"/>
      <c r="M368" s="743"/>
      <c r="N368" s="743"/>
      <c r="O368" s="743"/>
      <c r="P368" s="743"/>
      <c r="Q368" s="743"/>
      <c r="R368" s="743"/>
      <c r="S368" s="743"/>
      <c r="T368" s="743"/>
      <c r="U368" s="743"/>
      <c r="V368" s="743"/>
      <c r="W368" s="743"/>
      <c r="X368" s="743"/>
      <c r="Y368" s="743"/>
      <c r="Z368" s="743"/>
      <c r="AA368" s="743"/>
      <c r="AB368" s="743"/>
      <c r="AC368" s="743"/>
      <c r="AD368" s="743"/>
      <c r="AE368" s="743"/>
      <c r="AF368" s="743"/>
      <c r="AG368" s="743"/>
      <c r="AH368" s="743"/>
      <c r="AI368" s="743"/>
      <c r="AJ368" s="743"/>
      <c r="AK368" s="743"/>
      <c r="AL368" s="743"/>
      <c r="AM368" s="743"/>
    </row>
    <row r="369" spans="1:39" ht="17.25">
      <c r="A369" s="752"/>
      <c r="B369" s="752"/>
      <c r="C369" s="752"/>
      <c r="D369" s="752"/>
      <c r="E369" s="752"/>
      <c r="F369" s="752"/>
      <c r="G369" s="752"/>
      <c r="H369" s="752"/>
      <c r="I369" s="829"/>
      <c r="J369" s="752"/>
      <c r="K369" s="752"/>
      <c r="L369" s="743"/>
      <c r="M369" s="743"/>
      <c r="N369" s="743"/>
      <c r="O369" s="743"/>
      <c r="P369" s="743"/>
      <c r="Q369" s="743"/>
      <c r="R369" s="743"/>
      <c r="S369" s="743"/>
      <c r="T369" s="743"/>
      <c r="U369" s="743"/>
      <c r="V369" s="743"/>
      <c r="W369" s="743"/>
      <c r="X369" s="743"/>
      <c r="Y369" s="743"/>
      <c r="Z369" s="743"/>
      <c r="AA369" s="743"/>
      <c r="AB369" s="743"/>
      <c r="AC369" s="743"/>
      <c r="AD369" s="743"/>
      <c r="AE369" s="743"/>
      <c r="AF369" s="743"/>
      <c r="AG369" s="743"/>
      <c r="AH369" s="743"/>
      <c r="AI369" s="743"/>
      <c r="AJ369" s="743"/>
      <c r="AK369" s="743"/>
      <c r="AL369" s="743"/>
      <c r="AM369" s="743"/>
    </row>
    <row r="370" spans="1:39" ht="17.25">
      <c r="A370" s="752"/>
      <c r="B370" s="752"/>
      <c r="C370" s="752"/>
      <c r="D370" s="752"/>
      <c r="E370" s="752"/>
      <c r="F370" s="752"/>
      <c r="G370" s="752"/>
      <c r="H370" s="752"/>
      <c r="I370" s="829"/>
      <c r="J370" s="752"/>
      <c r="K370" s="752"/>
      <c r="L370" s="743"/>
      <c r="M370" s="743"/>
      <c r="N370" s="743"/>
      <c r="O370" s="743"/>
      <c r="P370" s="743"/>
      <c r="Q370" s="743"/>
      <c r="R370" s="743"/>
      <c r="S370" s="743"/>
      <c r="T370" s="743"/>
      <c r="U370" s="743"/>
      <c r="V370" s="743"/>
      <c r="W370" s="743"/>
      <c r="X370" s="743"/>
      <c r="Y370" s="743"/>
      <c r="Z370" s="743"/>
      <c r="AA370" s="743"/>
      <c r="AB370" s="743"/>
      <c r="AC370" s="743"/>
      <c r="AD370" s="743"/>
      <c r="AE370" s="743"/>
      <c r="AF370" s="743"/>
      <c r="AG370" s="743"/>
      <c r="AH370" s="743"/>
      <c r="AI370" s="743"/>
      <c r="AJ370" s="743"/>
      <c r="AK370" s="743"/>
      <c r="AL370" s="743"/>
      <c r="AM370" s="743"/>
    </row>
    <row r="371" spans="1:39" ht="17.25">
      <c r="A371" s="752"/>
      <c r="B371" s="752"/>
      <c r="C371" s="752"/>
      <c r="D371" s="752"/>
      <c r="E371" s="752"/>
      <c r="F371" s="752"/>
      <c r="G371" s="752"/>
      <c r="H371" s="752"/>
      <c r="I371" s="829"/>
      <c r="J371" s="752"/>
      <c r="K371" s="752"/>
      <c r="L371" s="743"/>
      <c r="M371" s="743"/>
      <c r="N371" s="743"/>
      <c r="O371" s="743"/>
      <c r="P371" s="743"/>
      <c r="Q371" s="743"/>
      <c r="R371" s="743"/>
      <c r="S371" s="743"/>
      <c r="T371" s="743"/>
      <c r="U371" s="743"/>
      <c r="V371" s="743"/>
      <c r="W371" s="743"/>
      <c r="X371" s="743"/>
      <c r="Y371" s="743"/>
      <c r="Z371" s="743"/>
      <c r="AA371" s="743"/>
      <c r="AB371" s="743"/>
      <c r="AC371" s="743"/>
      <c r="AD371" s="743"/>
      <c r="AE371" s="743"/>
      <c r="AF371" s="743"/>
      <c r="AG371" s="743"/>
      <c r="AH371" s="743"/>
      <c r="AI371" s="743"/>
      <c r="AJ371" s="743"/>
      <c r="AK371" s="743"/>
      <c r="AL371" s="743"/>
      <c r="AM371" s="743"/>
    </row>
    <row r="372" spans="1:39" ht="17.25">
      <c r="A372" s="752"/>
      <c r="B372" s="752"/>
      <c r="C372" s="752"/>
      <c r="D372" s="752"/>
      <c r="E372" s="752"/>
      <c r="F372" s="752"/>
      <c r="G372" s="752"/>
      <c r="H372" s="752"/>
      <c r="I372" s="829"/>
      <c r="J372" s="752"/>
      <c r="K372" s="752"/>
      <c r="L372" s="743"/>
      <c r="M372" s="743"/>
      <c r="N372" s="743"/>
      <c r="O372" s="743"/>
      <c r="P372" s="743"/>
      <c r="Q372" s="743"/>
      <c r="R372" s="743"/>
      <c r="S372" s="743"/>
      <c r="T372" s="743"/>
      <c r="U372" s="743"/>
      <c r="V372" s="743"/>
      <c r="W372" s="743"/>
      <c r="X372" s="743"/>
      <c r="Y372" s="743"/>
      <c r="Z372" s="743"/>
      <c r="AA372" s="743"/>
      <c r="AB372" s="743"/>
      <c r="AC372" s="743"/>
      <c r="AD372" s="743"/>
      <c r="AE372" s="743"/>
      <c r="AF372" s="743"/>
      <c r="AG372" s="743"/>
      <c r="AH372" s="743"/>
      <c r="AI372" s="743"/>
      <c r="AJ372" s="743"/>
      <c r="AK372" s="743"/>
      <c r="AL372" s="743"/>
      <c r="AM372" s="743"/>
    </row>
    <row r="373" spans="1:39" ht="17.25">
      <c r="A373" s="752"/>
      <c r="B373" s="752"/>
      <c r="C373" s="752"/>
      <c r="D373" s="752"/>
      <c r="E373" s="752"/>
      <c r="F373" s="752"/>
      <c r="G373" s="752"/>
      <c r="H373" s="752"/>
      <c r="I373" s="829"/>
      <c r="J373" s="752"/>
      <c r="K373" s="752"/>
      <c r="L373" s="743"/>
      <c r="M373" s="743"/>
      <c r="N373" s="743"/>
      <c r="O373" s="743"/>
      <c r="P373" s="743"/>
      <c r="Q373" s="743"/>
      <c r="R373" s="743"/>
      <c r="S373" s="743"/>
      <c r="T373" s="743"/>
      <c r="U373" s="743"/>
      <c r="V373" s="743"/>
      <c r="W373" s="743"/>
      <c r="X373" s="743"/>
      <c r="Y373" s="743"/>
      <c r="Z373" s="743"/>
      <c r="AA373" s="743"/>
      <c r="AB373" s="743"/>
      <c r="AC373" s="743"/>
      <c r="AD373" s="743"/>
      <c r="AE373" s="743"/>
      <c r="AF373" s="743"/>
      <c r="AG373" s="743"/>
      <c r="AH373" s="743"/>
      <c r="AI373" s="743"/>
      <c r="AJ373" s="743"/>
      <c r="AK373" s="743"/>
      <c r="AL373" s="743"/>
      <c r="AM373" s="743"/>
    </row>
    <row r="374" spans="1:39" ht="17.25">
      <c r="A374" s="752"/>
      <c r="B374" s="752"/>
      <c r="C374" s="752"/>
      <c r="D374" s="752"/>
      <c r="E374" s="752"/>
      <c r="F374" s="752"/>
      <c r="G374" s="752"/>
      <c r="H374" s="752"/>
      <c r="I374" s="829"/>
      <c r="J374" s="752"/>
      <c r="K374" s="752"/>
      <c r="L374" s="743"/>
      <c r="M374" s="743"/>
      <c r="N374" s="743"/>
      <c r="O374" s="743"/>
      <c r="P374" s="743"/>
      <c r="Q374" s="743"/>
      <c r="R374" s="743"/>
      <c r="S374" s="743"/>
      <c r="T374" s="743"/>
      <c r="U374" s="743"/>
      <c r="V374" s="743"/>
      <c r="W374" s="743"/>
      <c r="X374" s="743"/>
      <c r="Y374" s="743"/>
      <c r="Z374" s="743"/>
      <c r="AA374" s="743"/>
      <c r="AB374" s="743"/>
      <c r="AC374" s="743"/>
      <c r="AD374" s="743"/>
      <c r="AE374" s="743"/>
      <c r="AF374" s="743"/>
      <c r="AG374" s="743"/>
      <c r="AH374" s="743"/>
      <c r="AI374" s="743"/>
      <c r="AJ374" s="743"/>
      <c r="AK374" s="743"/>
      <c r="AL374" s="743"/>
      <c r="AM374" s="743"/>
    </row>
    <row r="375" spans="1:39" ht="17.25">
      <c r="A375" s="752"/>
      <c r="B375" s="752"/>
      <c r="C375" s="752"/>
      <c r="D375" s="752"/>
      <c r="E375" s="752"/>
      <c r="F375" s="752"/>
      <c r="G375" s="752"/>
      <c r="H375" s="752"/>
      <c r="I375" s="829"/>
      <c r="J375" s="752"/>
      <c r="K375" s="752"/>
      <c r="L375" s="743"/>
      <c r="M375" s="743"/>
      <c r="N375" s="743"/>
      <c r="O375" s="743"/>
      <c r="P375" s="743"/>
      <c r="Q375" s="743"/>
      <c r="R375" s="743"/>
      <c r="S375" s="743"/>
      <c r="T375" s="743"/>
      <c r="U375" s="743"/>
      <c r="V375" s="743"/>
      <c r="W375" s="743"/>
      <c r="X375" s="743"/>
      <c r="Y375" s="743"/>
      <c r="Z375" s="743"/>
      <c r="AA375" s="743"/>
      <c r="AB375" s="743"/>
      <c r="AC375" s="743"/>
      <c r="AD375" s="743"/>
      <c r="AE375" s="743"/>
      <c r="AF375" s="743"/>
      <c r="AG375" s="743"/>
      <c r="AH375" s="743"/>
      <c r="AI375" s="743"/>
      <c r="AJ375" s="743"/>
      <c r="AK375" s="743"/>
      <c r="AL375" s="743"/>
      <c r="AM375" s="743"/>
    </row>
    <row r="376" spans="1:39" ht="17.25">
      <c r="A376" s="752"/>
      <c r="B376" s="752"/>
      <c r="C376" s="752"/>
      <c r="D376" s="752"/>
      <c r="E376" s="752"/>
      <c r="F376" s="752"/>
      <c r="G376" s="752"/>
      <c r="H376" s="752"/>
      <c r="I376" s="829"/>
      <c r="J376" s="752"/>
      <c r="K376" s="752"/>
      <c r="L376" s="743"/>
      <c r="M376" s="743"/>
      <c r="N376" s="743"/>
      <c r="O376" s="743"/>
      <c r="P376" s="743"/>
      <c r="Q376" s="743"/>
      <c r="R376" s="743"/>
      <c r="S376" s="743"/>
      <c r="T376" s="743"/>
      <c r="U376" s="743"/>
      <c r="V376" s="743"/>
      <c r="W376" s="743"/>
      <c r="X376" s="743"/>
      <c r="Y376" s="743"/>
      <c r="Z376" s="743"/>
      <c r="AA376" s="743"/>
      <c r="AB376" s="743"/>
      <c r="AC376" s="743"/>
      <c r="AD376" s="743"/>
      <c r="AE376" s="743"/>
      <c r="AF376" s="743"/>
      <c r="AG376" s="743"/>
      <c r="AH376" s="743"/>
      <c r="AI376" s="743"/>
      <c r="AJ376" s="743"/>
      <c r="AK376" s="743"/>
      <c r="AL376" s="743"/>
      <c r="AM376" s="743"/>
    </row>
    <row r="377" spans="1:39" ht="17.25">
      <c r="A377" s="752"/>
      <c r="B377" s="752"/>
      <c r="C377" s="752"/>
      <c r="D377" s="752"/>
      <c r="E377" s="752"/>
      <c r="F377" s="752"/>
      <c r="G377" s="752"/>
      <c r="H377" s="752"/>
      <c r="I377" s="829"/>
      <c r="J377" s="752"/>
      <c r="K377" s="752"/>
      <c r="L377" s="743"/>
      <c r="M377" s="743"/>
      <c r="N377" s="743"/>
      <c r="O377" s="743"/>
      <c r="P377" s="743"/>
      <c r="Q377" s="743"/>
      <c r="R377" s="743"/>
      <c r="S377" s="743"/>
      <c r="T377" s="743"/>
      <c r="U377" s="743"/>
      <c r="V377" s="743"/>
      <c r="W377" s="743"/>
      <c r="X377" s="743"/>
      <c r="Y377" s="743"/>
      <c r="Z377" s="743"/>
      <c r="AA377" s="743"/>
      <c r="AB377" s="743"/>
      <c r="AC377" s="743"/>
      <c r="AD377" s="743"/>
      <c r="AE377" s="743"/>
      <c r="AF377" s="743"/>
      <c r="AG377" s="743"/>
      <c r="AH377" s="743"/>
      <c r="AI377" s="743"/>
      <c r="AJ377" s="743"/>
      <c r="AK377" s="743"/>
      <c r="AL377" s="743"/>
      <c r="AM377" s="743"/>
    </row>
    <row r="378" spans="1:39" ht="17.25">
      <c r="A378" s="752"/>
      <c r="B378" s="752"/>
      <c r="C378" s="752"/>
      <c r="D378" s="752"/>
      <c r="E378" s="752"/>
      <c r="F378" s="752"/>
      <c r="G378" s="752"/>
      <c r="H378" s="752"/>
      <c r="I378" s="829"/>
      <c r="J378" s="752"/>
      <c r="K378" s="752"/>
      <c r="L378" s="743"/>
      <c r="M378" s="743"/>
      <c r="N378" s="743"/>
      <c r="O378" s="743"/>
      <c r="P378" s="743"/>
      <c r="Q378" s="743"/>
      <c r="R378" s="743"/>
      <c r="S378" s="743"/>
      <c r="T378" s="743"/>
      <c r="U378" s="743"/>
      <c r="V378" s="743"/>
      <c r="W378" s="743"/>
      <c r="X378" s="743"/>
      <c r="Y378" s="743"/>
      <c r="Z378" s="743"/>
      <c r="AA378" s="743"/>
      <c r="AB378" s="743"/>
      <c r="AC378" s="743"/>
      <c r="AD378" s="743"/>
      <c r="AE378" s="743"/>
      <c r="AF378" s="743"/>
      <c r="AG378" s="743"/>
      <c r="AH378" s="743"/>
      <c r="AI378" s="743"/>
      <c r="AJ378" s="743"/>
      <c r="AK378" s="743"/>
      <c r="AL378" s="743"/>
      <c r="AM378" s="743"/>
    </row>
    <row r="379" spans="1:39" ht="17.25">
      <c r="A379" s="752"/>
      <c r="B379" s="752"/>
      <c r="C379" s="752"/>
      <c r="D379" s="752"/>
      <c r="E379" s="752"/>
      <c r="F379" s="752"/>
      <c r="G379" s="752"/>
      <c r="H379" s="752"/>
      <c r="I379" s="829"/>
      <c r="J379" s="752"/>
      <c r="K379" s="752"/>
      <c r="L379" s="743"/>
      <c r="M379" s="743"/>
      <c r="N379" s="743"/>
      <c r="O379" s="743"/>
      <c r="P379" s="743"/>
      <c r="Q379" s="743"/>
      <c r="R379" s="743"/>
      <c r="S379" s="743"/>
      <c r="T379" s="743"/>
      <c r="U379" s="743"/>
      <c r="V379" s="743"/>
      <c r="W379" s="743"/>
      <c r="X379" s="743"/>
      <c r="Y379" s="743"/>
      <c r="Z379" s="743"/>
      <c r="AA379" s="743"/>
      <c r="AB379" s="743"/>
      <c r="AC379" s="743"/>
      <c r="AD379" s="743"/>
      <c r="AE379" s="743"/>
      <c r="AF379" s="743"/>
      <c r="AG379" s="743"/>
      <c r="AH379" s="743"/>
      <c r="AI379" s="743"/>
      <c r="AJ379" s="743"/>
      <c r="AK379" s="743"/>
      <c r="AL379" s="743"/>
      <c r="AM379" s="743"/>
    </row>
    <row r="380" spans="1:39" ht="17.25">
      <c r="A380" s="752"/>
      <c r="B380" s="752"/>
      <c r="C380" s="752"/>
      <c r="D380" s="752"/>
      <c r="E380" s="752"/>
      <c r="F380" s="752"/>
      <c r="G380" s="752"/>
      <c r="H380" s="752"/>
      <c r="I380" s="829"/>
      <c r="J380" s="752"/>
      <c r="K380" s="752"/>
      <c r="L380" s="743"/>
      <c r="M380" s="743"/>
      <c r="N380" s="743"/>
      <c r="O380" s="743"/>
      <c r="P380" s="743"/>
      <c r="Q380" s="743"/>
      <c r="R380" s="743"/>
      <c r="S380" s="743"/>
      <c r="T380" s="743"/>
      <c r="U380" s="743"/>
      <c r="V380" s="743"/>
      <c r="W380" s="743"/>
      <c r="X380" s="743"/>
      <c r="Y380" s="743"/>
      <c r="Z380" s="743"/>
      <c r="AA380" s="743"/>
      <c r="AB380" s="743"/>
      <c r="AC380" s="743"/>
      <c r="AD380" s="743"/>
      <c r="AE380" s="743"/>
      <c r="AF380" s="743"/>
      <c r="AG380" s="743"/>
      <c r="AH380" s="743"/>
      <c r="AI380" s="743"/>
      <c r="AJ380" s="743"/>
      <c r="AK380" s="743"/>
      <c r="AL380" s="743"/>
      <c r="AM380" s="743"/>
    </row>
    <row r="381" spans="1:39" ht="17.25">
      <c r="A381" s="752"/>
      <c r="B381" s="752"/>
      <c r="C381" s="752"/>
      <c r="D381" s="752"/>
      <c r="E381" s="752"/>
      <c r="F381" s="752"/>
      <c r="G381" s="752"/>
      <c r="H381" s="752"/>
      <c r="I381" s="829"/>
      <c r="J381" s="752"/>
      <c r="K381" s="752"/>
      <c r="L381" s="743"/>
      <c r="M381" s="743"/>
      <c r="N381" s="743"/>
      <c r="O381" s="743"/>
      <c r="P381" s="743"/>
      <c r="Q381" s="743"/>
      <c r="R381" s="743"/>
      <c r="S381" s="743"/>
      <c r="T381" s="743"/>
      <c r="U381" s="743"/>
      <c r="V381" s="743"/>
      <c r="W381" s="743"/>
      <c r="X381" s="743"/>
      <c r="Y381" s="743"/>
      <c r="Z381" s="743"/>
      <c r="AA381" s="743"/>
      <c r="AB381" s="743"/>
      <c r="AC381" s="743"/>
      <c r="AD381" s="743"/>
      <c r="AE381" s="743"/>
      <c r="AF381" s="743"/>
      <c r="AG381" s="743"/>
      <c r="AH381" s="743"/>
      <c r="AI381" s="743"/>
      <c r="AJ381" s="743"/>
      <c r="AK381" s="743"/>
      <c r="AL381" s="743"/>
      <c r="AM381" s="743"/>
    </row>
    <row r="382" spans="1:39" ht="17.25">
      <c r="A382" s="752"/>
      <c r="B382" s="752"/>
      <c r="C382" s="752"/>
      <c r="D382" s="752"/>
      <c r="E382" s="752"/>
      <c r="F382" s="752"/>
      <c r="G382" s="752"/>
      <c r="H382" s="752"/>
      <c r="I382" s="829"/>
      <c r="J382" s="752"/>
      <c r="K382" s="752"/>
      <c r="L382" s="743"/>
      <c r="M382" s="743"/>
      <c r="N382" s="743"/>
      <c r="O382" s="743"/>
      <c r="P382" s="743"/>
      <c r="Q382" s="743"/>
      <c r="R382" s="743"/>
      <c r="S382" s="743"/>
      <c r="T382" s="743"/>
      <c r="U382" s="743"/>
      <c r="V382" s="743"/>
      <c r="W382" s="743"/>
      <c r="X382" s="743"/>
      <c r="Y382" s="743"/>
      <c r="Z382" s="743"/>
      <c r="AA382" s="743"/>
      <c r="AB382" s="743"/>
      <c r="AC382" s="743"/>
      <c r="AD382" s="743"/>
      <c r="AE382" s="743"/>
      <c r="AF382" s="743"/>
      <c r="AG382" s="743"/>
      <c r="AH382" s="743"/>
      <c r="AI382" s="743"/>
      <c r="AJ382" s="743"/>
      <c r="AK382" s="743"/>
      <c r="AL382" s="743"/>
      <c r="AM382" s="743"/>
    </row>
    <row r="383" spans="1:39" ht="17.25">
      <c r="A383" s="752"/>
      <c r="B383" s="752"/>
      <c r="C383" s="752"/>
      <c r="D383" s="752"/>
      <c r="E383" s="752"/>
      <c r="F383" s="752"/>
      <c r="G383" s="752"/>
      <c r="H383" s="752"/>
      <c r="I383" s="829"/>
      <c r="J383" s="752"/>
      <c r="K383" s="752"/>
      <c r="L383" s="743"/>
      <c r="M383" s="743"/>
      <c r="N383" s="743"/>
      <c r="O383" s="743"/>
      <c r="P383" s="743"/>
      <c r="Q383" s="743"/>
      <c r="R383" s="743"/>
      <c r="S383" s="743"/>
      <c r="T383" s="743"/>
      <c r="U383" s="743"/>
      <c r="V383" s="743"/>
      <c r="W383" s="743"/>
      <c r="X383" s="743"/>
      <c r="Y383" s="743"/>
      <c r="Z383" s="743"/>
      <c r="AA383" s="743"/>
      <c r="AB383" s="743"/>
      <c r="AC383" s="743"/>
      <c r="AD383" s="743"/>
      <c r="AE383" s="743"/>
      <c r="AF383" s="743"/>
      <c r="AG383" s="743"/>
      <c r="AH383" s="743"/>
      <c r="AI383" s="743"/>
      <c r="AJ383" s="743"/>
      <c r="AK383" s="743"/>
      <c r="AL383" s="743"/>
      <c r="AM383" s="743"/>
    </row>
    <row r="384" spans="1:39" ht="17.25">
      <c r="A384" s="752"/>
      <c r="B384" s="752"/>
      <c r="C384" s="752"/>
      <c r="D384" s="752"/>
      <c r="E384" s="752"/>
      <c r="F384" s="752"/>
      <c r="G384" s="752"/>
      <c r="H384" s="752"/>
      <c r="I384" s="829"/>
      <c r="J384" s="752"/>
      <c r="K384" s="752"/>
      <c r="L384" s="743"/>
      <c r="M384" s="743"/>
      <c r="N384" s="743"/>
      <c r="O384" s="743"/>
      <c r="P384" s="743"/>
      <c r="Q384" s="743"/>
      <c r="R384" s="743"/>
      <c r="S384" s="743"/>
      <c r="T384" s="743"/>
      <c r="U384" s="743"/>
      <c r="V384" s="743"/>
      <c r="W384" s="743"/>
      <c r="X384" s="743"/>
      <c r="Y384" s="743"/>
      <c r="Z384" s="743"/>
      <c r="AA384" s="743"/>
      <c r="AB384" s="743"/>
      <c r="AC384" s="743"/>
      <c r="AD384" s="743"/>
      <c r="AE384" s="743"/>
      <c r="AF384" s="743"/>
      <c r="AG384" s="743"/>
      <c r="AH384" s="743"/>
      <c r="AI384" s="743"/>
      <c r="AJ384" s="743"/>
      <c r="AK384" s="743"/>
      <c r="AL384" s="743"/>
      <c r="AM384" s="743"/>
    </row>
    <row r="385" spans="1:39" ht="17.25">
      <c r="A385" s="752"/>
      <c r="B385" s="752"/>
      <c r="C385" s="752"/>
      <c r="D385" s="752"/>
      <c r="E385" s="752"/>
      <c r="F385" s="752"/>
      <c r="G385" s="752"/>
      <c r="H385" s="752"/>
      <c r="I385" s="829"/>
      <c r="J385" s="752"/>
      <c r="K385" s="752"/>
      <c r="L385" s="743"/>
      <c r="M385" s="743"/>
      <c r="N385" s="743"/>
      <c r="O385" s="743"/>
      <c r="P385" s="743"/>
      <c r="Q385" s="743"/>
      <c r="R385" s="743"/>
      <c r="S385" s="743"/>
      <c r="T385" s="743"/>
      <c r="U385" s="743"/>
      <c r="V385" s="743"/>
      <c r="W385" s="743"/>
      <c r="X385" s="743"/>
      <c r="Y385" s="743"/>
      <c r="Z385" s="743"/>
      <c r="AA385" s="743"/>
      <c r="AB385" s="743"/>
      <c r="AC385" s="743"/>
      <c r="AD385" s="743"/>
      <c r="AE385" s="743"/>
      <c r="AF385" s="743"/>
      <c r="AG385" s="743"/>
      <c r="AH385" s="743"/>
      <c r="AI385" s="743"/>
      <c r="AJ385" s="743"/>
      <c r="AK385" s="743"/>
      <c r="AL385" s="743"/>
      <c r="AM385" s="743"/>
    </row>
    <row r="386" spans="1:39" ht="17.25">
      <c r="A386" s="752"/>
      <c r="B386" s="752"/>
      <c r="C386" s="752"/>
      <c r="D386" s="752"/>
      <c r="E386" s="752"/>
      <c r="F386" s="752"/>
      <c r="G386" s="752"/>
      <c r="H386" s="752"/>
      <c r="I386" s="829"/>
      <c r="J386" s="752"/>
      <c r="K386" s="752"/>
      <c r="L386" s="743"/>
      <c r="M386" s="743"/>
      <c r="N386" s="743"/>
      <c r="O386" s="743"/>
      <c r="P386" s="743"/>
      <c r="Q386" s="743"/>
      <c r="R386" s="743"/>
      <c r="S386" s="743"/>
      <c r="T386" s="743"/>
      <c r="U386" s="743"/>
      <c r="V386" s="743"/>
      <c r="W386" s="743"/>
      <c r="X386" s="743"/>
      <c r="Y386" s="743"/>
      <c r="Z386" s="743"/>
      <c r="AA386" s="743"/>
      <c r="AB386" s="743"/>
      <c r="AC386" s="743"/>
      <c r="AD386" s="743"/>
      <c r="AE386" s="743"/>
      <c r="AF386" s="743"/>
      <c r="AG386" s="743"/>
      <c r="AH386" s="743"/>
      <c r="AI386" s="743"/>
      <c r="AJ386" s="743"/>
      <c r="AK386" s="743"/>
      <c r="AL386" s="743"/>
      <c r="AM386" s="743"/>
    </row>
    <row r="387" spans="1:39" ht="17.25">
      <c r="A387" s="752"/>
      <c r="B387" s="752"/>
      <c r="C387" s="752"/>
      <c r="D387" s="752"/>
      <c r="E387" s="752"/>
      <c r="F387" s="752"/>
      <c r="G387" s="752"/>
      <c r="H387" s="752"/>
      <c r="I387" s="829"/>
      <c r="J387" s="752"/>
      <c r="K387" s="752"/>
      <c r="L387" s="743"/>
      <c r="M387" s="743"/>
      <c r="N387" s="743"/>
      <c r="O387" s="743"/>
      <c r="P387" s="743"/>
      <c r="Q387" s="743"/>
      <c r="R387" s="743"/>
      <c r="S387" s="743"/>
      <c r="T387" s="743"/>
      <c r="U387" s="743"/>
      <c r="V387" s="743"/>
      <c r="W387" s="743"/>
      <c r="X387" s="743"/>
      <c r="Y387" s="743"/>
      <c r="Z387" s="743"/>
      <c r="AA387" s="743"/>
      <c r="AB387" s="743"/>
      <c r="AC387" s="743"/>
      <c r="AD387" s="743"/>
      <c r="AE387" s="743"/>
      <c r="AF387" s="743"/>
      <c r="AG387" s="743"/>
      <c r="AH387" s="743"/>
      <c r="AI387" s="743"/>
      <c r="AJ387" s="743"/>
      <c r="AK387" s="743"/>
      <c r="AL387" s="743"/>
      <c r="AM387" s="743"/>
    </row>
    <row r="388" spans="1:39" ht="17.25">
      <c r="A388" s="752"/>
      <c r="B388" s="752"/>
      <c r="C388" s="752"/>
      <c r="D388" s="752"/>
      <c r="E388" s="752"/>
      <c r="F388" s="752"/>
      <c r="G388" s="752"/>
      <c r="H388" s="752"/>
      <c r="I388" s="829"/>
      <c r="J388" s="752"/>
      <c r="K388" s="752"/>
      <c r="L388" s="743"/>
      <c r="M388" s="743"/>
      <c r="N388" s="743"/>
      <c r="O388" s="743"/>
      <c r="P388" s="743"/>
      <c r="Q388" s="743"/>
      <c r="R388" s="743"/>
      <c r="S388" s="743"/>
      <c r="T388" s="743"/>
      <c r="U388" s="743"/>
      <c r="V388" s="743"/>
      <c r="W388" s="743"/>
      <c r="X388" s="743"/>
      <c r="Y388" s="743"/>
      <c r="Z388" s="743"/>
      <c r="AA388" s="743"/>
      <c r="AB388" s="743"/>
      <c r="AC388" s="743"/>
      <c r="AD388" s="743"/>
      <c r="AE388" s="743"/>
      <c r="AF388" s="743"/>
      <c r="AG388" s="743"/>
      <c r="AH388" s="743"/>
      <c r="AI388" s="743"/>
      <c r="AJ388" s="743"/>
      <c r="AK388" s="743"/>
      <c r="AL388" s="743"/>
      <c r="AM388" s="743"/>
    </row>
    <row r="389" spans="1:39" ht="17.25">
      <c r="A389" s="752"/>
      <c r="B389" s="752"/>
      <c r="C389" s="752"/>
      <c r="D389" s="752"/>
      <c r="E389" s="752"/>
      <c r="F389" s="752"/>
      <c r="G389" s="752"/>
      <c r="H389" s="752"/>
      <c r="I389" s="829"/>
      <c r="J389" s="752"/>
      <c r="K389" s="752"/>
      <c r="L389" s="743"/>
      <c r="M389" s="743"/>
      <c r="N389" s="743"/>
      <c r="O389" s="743"/>
      <c r="P389" s="743"/>
      <c r="Q389" s="743"/>
      <c r="R389" s="743"/>
      <c r="S389" s="743"/>
      <c r="T389" s="743"/>
      <c r="U389" s="743"/>
      <c r="V389" s="743"/>
      <c r="W389" s="743"/>
      <c r="X389" s="743"/>
      <c r="Y389" s="743"/>
      <c r="Z389" s="743"/>
      <c r="AA389" s="743"/>
      <c r="AB389" s="743"/>
      <c r="AC389" s="743"/>
      <c r="AD389" s="743"/>
      <c r="AE389" s="743"/>
      <c r="AF389" s="743"/>
      <c r="AG389" s="743"/>
      <c r="AH389" s="743"/>
      <c r="AI389" s="743"/>
      <c r="AJ389" s="743"/>
      <c r="AK389" s="743"/>
      <c r="AL389" s="743"/>
      <c r="AM389" s="743"/>
    </row>
    <row r="390" spans="1:39" ht="17.25">
      <c r="A390" s="752"/>
      <c r="B390" s="752"/>
      <c r="C390" s="752"/>
      <c r="D390" s="752"/>
      <c r="E390" s="752"/>
      <c r="F390" s="752"/>
      <c r="G390" s="752"/>
      <c r="H390" s="752"/>
      <c r="I390" s="829"/>
      <c r="J390" s="752"/>
      <c r="K390" s="752"/>
      <c r="L390" s="743"/>
      <c r="M390" s="743"/>
      <c r="N390" s="743"/>
      <c r="O390" s="743"/>
      <c r="P390" s="743"/>
      <c r="Q390" s="743"/>
      <c r="R390" s="743"/>
      <c r="S390" s="743"/>
      <c r="T390" s="743"/>
      <c r="U390" s="743"/>
      <c r="V390" s="743"/>
      <c r="W390" s="743"/>
      <c r="X390" s="743"/>
      <c r="Y390" s="743"/>
      <c r="Z390" s="743"/>
      <c r="AA390" s="743"/>
      <c r="AB390" s="743"/>
      <c r="AC390" s="743"/>
      <c r="AD390" s="743"/>
      <c r="AE390" s="743"/>
      <c r="AF390" s="743"/>
      <c r="AG390" s="743"/>
      <c r="AH390" s="743"/>
      <c r="AI390" s="743"/>
      <c r="AJ390" s="743"/>
      <c r="AK390" s="743"/>
      <c r="AL390" s="743"/>
      <c r="AM390" s="743"/>
    </row>
    <row r="391" spans="1:39" ht="17.25">
      <c r="A391" s="752"/>
      <c r="B391" s="752"/>
      <c r="C391" s="752"/>
      <c r="D391" s="752"/>
      <c r="E391" s="752"/>
      <c r="F391" s="752"/>
      <c r="G391" s="752"/>
      <c r="H391" s="752"/>
      <c r="I391" s="829"/>
      <c r="J391" s="752"/>
      <c r="K391" s="752"/>
      <c r="L391" s="743"/>
      <c r="M391" s="743"/>
      <c r="N391" s="743"/>
      <c r="O391" s="743"/>
      <c r="P391" s="743"/>
      <c r="Q391" s="743"/>
      <c r="R391" s="743"/>
      <c r="S391" s="743"/>
      <c r="T391" s="743"/>
      <c r="U391" s="743"/>
      <c r="V391" s="743"/>
      <c r="W391" s="743"/>
      <c r="X391" s="743"/>
      <c r="Y391" s="743"/>
      <c r="Z391" s="743"/>
      <c r="AA391" s="743"/>
      <c r="AB391" s="743"/>
      <c r="AC391" s="743"/>
      <c r="AD391" s="743"/>
      <c r="AE391" s="743"/>
      <c r="AF391" s="743"/>
      <c r="AG391" s="743"/>
      <c r="AH391" s="743"/>
      <c r="AI391" s="743"/>
      <c r="AJ391" s="743"/>
      <c r="AK391" s="743"/>
      <c r="AL391" s="743"/>
      <c r="AM391" s="743"/>
    </row>
    <row r="392" spans="1:39" ht="17.25">
      <c r="A392" s="752"/>
      <c r="B392" s="752"/>
      <c r="C392" s="752"/>
      <c r="D392" s="752"/>
      <c r="E392" s="752"/>
      <c r="F392" s="752"/>
      <c r="G392" s="752"/>
      <c r="H392" s="752"/>
      <c r="I392" s="829"/>
      <c r="J392" s="752"/>
      <c r="K392" s="752"/>
      <c r="L392" s="743"/>
      <c r="M392" s="743"/>
      <c r="N392" s="743"/>
      <c r="O392" s="743"/>
      <c r="P392" s="743"/>
      <c r="Q392" s="743"/>
      <c r="R392" s="743"/>
      <c r="S392" s="743"/>
      <c r="T392" s="743"/>
      <c r="U392" s="743"/>
      <c r="V392" s="743"/>
      <c r="W392" s="743"/>
      <c r="X392" s="743"/>
      <c r="Y392" s="743"/>
      <c r="Z392" s="743"/>
      <c r="AA392" s="743"/>
      <c r="AB392" s="743"/>
      <c r="AC392" s="743"/>
      <c r="AD392" s="743"/>
      <c r="AE392" s="743"/>
      <c r="AF392" s="743"/>
      <c r="AG392" s="743"/>
      <c r="AH392" s="743"/>
      <c r="AI392" s="743"/>
      <c r="AJ392" s="743"/>
      <c r="AK392" s="743"/>
      <c r="AL392" s="743"/>
      <c r="AM392" s="743"/>
    </row>
    <row r="393" spans="1:39" ht="17.25">
      <c r="A393" s="752"/>
      <c r="B393" s="752"/>
      <c r="C393" s="752"/>
      <c r="D393" s="752"/>
      <c r="E393" s="752"/>
      <c r="F393" s="752"/>
      <c r="G393" s="752"/>
      <c r="H393" s="752"/>
      <c r="I393" s="829"/>
      <c r="J393" s="752"/>
      <c r="K393" s="752"/>
      <c r="L393" s="743"/>
      <c r="M393" s="743"/>
      <c r="N393" s="743"/>
      <c r="O393" s="743"/>
      <c r="P393" s="743"/>
      <c r="Q393" s="743"/>
      <c r="R393" s="743"/>
      <c r="S393" s="743"/>
      <c r="T393" s="743"/>
      <c r="U393" s="743"/>
      <c r="V393" s="743"/>
      <c r="W393" s="743"/>
      <c r="X393" s="743"/>
      <c r="Y393" s="743"/>
      <c r="Z393" s="743"/>
      <c r="AA393" s="743"/>
      <c r="AB393" s="743"/>
      <c r="AC393" s="743"/>
      <c r="AD393" s="743"/>
      <c r="AE393" s="743"/>
      <c r="AF393" s="743"/>
      <c r="AG393" s="743"/>
      <c r="AH393" s="743"/>
      <c r="AI393" s="743"/>
      <c r="AJ393" s="743"/>
      <c r="AK393" s="743"/>
      <c r="AL393" s="743"/>
      <c r="AM393" s="743"/>
    </row>
    <row r="394" spans="1:39" ht="17.25">
      <c r="A394" s="752"/>
      <c r="B394" s="752"/>
      <c r="C394" s="752"/>
      <c r="D394" s="752"/>
      <c r="E394" s="752"/>
      <c r="F394" s="752"/>
      <c r="G394" s="752"/>
      <c r="H394" s="752"/>
      <c r="I394" s="829"/>
      <c r="J394" s="752"/>
      <c r="K394" s="752"/>
      <c r="L394" s="743"/>
      <c r="M394" s="743"/>
      <c r="N394" s="743"/>
      <c r="O394" s="743"/>
      <c r="P394" s="743"/>
      <c r="Q394" s="743"/>
      <c r="R394" s="743"/>
      <c r="S394" s="743"/>
      <c r="T394" s="743"/>
      <c r="U394" s="743"/>
      <c r="V394" s="743"/>
      <c r="W394" s="743"/>
      <c r="X394" s="743"/>
      <c r="Y394" s="743"/>
      <c r="Z394" s="743"/>
      <c r="AA394" s="743"/>
      <c r="AB394" s="743"/>
      <c r="AC394" s="743"/>
      <c r="AD394" s="743"/>
      <c r="AE394" s="743"/>
      <c r="AF394" s="743"/>
      <c r="AG394" s="743"/>
      <c r="AH394" s="743"/>
      <c r="AI394" s="743"/>
      <c r="AJ394" s="743"/>
      <c r="AK394" s="743"/>
      <c r="AL394" s="743"/>
      <c r="AM394" s="743"/>
    </row>
    <row r="395" spans="1:39" ht="17.25">
      <c r="A395" s="752"/>
      <c r="B395" s="752"/>
      <c r="C395" s="752"/>
      <c r="D395" s="752"/>
      <c r="E395" s="752"/>
      <c r="F395" s="752"/>
      <c r="G395" s="752"/>
      <c r="H395" s="752"/>
      <c r="I395" s="829"/>
      <c r="J395" s="752"/>
      <c r="K395" s="752"/>
      <c r="L395" s="743"/>
      <c r="M395" s="743"/>
      <c r="N395" s="743"/>
      <c r="O395" s="743"/>
      <c r="P395" s="743"/>
      <c r="Q395" s="743"/>
      <c r="R395" s="743"/>
      <c r="S395" s="743"/>
      <c r="T395" s="743"/>
      <c r="U395" s="743"/>
      <c r="V395" s="743"/>
      <c r="W395" s="743"/>
      <c r="X395" s="743"/>
      <c r="Y395" s="743"/>
      <c r="Z395" s="743"/>
      <c r="AA395" s="743"/>
      <c r="AB395" s="743"/>
      <c r="AC395" s="743"/>
      <c r="AD395" s="743"/>
      <c r="AE395" s="743"/>
      <c r="AF395" s="743"/>
      <c r="AG395" s="743"/>
      <c r="AH395" s="743"/>
      <c r="AI395" s="743"/>
      <c r="AJ395" s="743"/>
      <c r="AK395" s="743"/>
      <c r="AL395" s="743"/>
      <c r="AM395" s="743"/>
    </row>
    <row r="396" spans="1:39" ht="17.25">
      <c r="A396" s="752"/>
      <c r="B396" s="752"/>
      <c r="C396" s="752"/>
      <c r="D396" s="752"/>
      <c r="E396" s="752"/>
      <c r="F396" s="752"/>
      <c r="G396" s="752"/>
      <c r="H396" s="752"/>
      <c r="I396" s="829"/>
      <c r="J396" s="752"/>
      <c r="K396" s="752"/>
      <c r="L396" s="743"/>
      <c r="M396" s="743"/>
      <c r="N396" s="743"/>
      <c r="O396" s="743"/>
      <c r="P396" s="743"/>
      <c r="Q396" s="743"/>
      <c r="R396" s="743"/>
      <c r="S396" s="743"/>
      <c r="T396" s="743"/>
      <c r="U396" s="743"/>
      <c r="V396" s="743"/>
      <c r="W396" s="743"/>
      <c r="X396" s="743"/>
      <c r="Y396" s="743"/>
      <c r="Z396" s="743"/>
      <c r="AA396" s="743"/>
      <c r="AB396" s="743"/>
      <c r="AC396" s="743"/>
      <c r="AD396" s="743"/>
      <c r="AE396" s="743"/>
      <c r="AF396" s="743"/>
      <c r="AG396" s="743"/>
      <c r="AH396" s="743"/>
      <c r="AI396" s="743"/>
      <c r="AJ396" s="743"/>
      <c r="AK396" s="743"/>
      <c r="AL396" s="743"/>
      <c r="AM396" s="743"/>
    </row>
    <row r="397" spans="1:39" ht="17.25">
      <c r="A397" s="752"/>
      <c r="B397" s="752"/>
      <c r="C397" s="752"/>
      <c r="D397" s="752"/>
      <c r="E397" s="752"/>
      <c r="F397" s="752"/>
      <c r="G397" s="752"/>
      <c r="H397" s="752"/>
      <c r="I397" s="829"/>
      <c r="J397" s="752"/>
      <c r="K397" s="752"/>
      <c r="L397" s="743"/>
      <c r="M397" s="743"/>
      <c r="N397" s="743"/>
      <c r="O397" s="743"/>
      <c r="P397" s="743"/>
      <c r="Q397" s="743"/>
      <c r="R397" s="743"/>
      <c r="S397" s="743"/>
      <c r="T397" s="743"/>
      <c r="U397" s="743"/>
      <c r="V397" s="743"/>
      <c r="W397" s="743"/>
      <c r="X397" s="743"/>
      <c r="Y397" s="743"/>
      <c r="Z397" s="743"/>
      <c r="AA397" s="743"/>
      <c r="AB397" s="743"/>
      <c r="AC397" s="743"/>
      <c r="AD397" s="743"/>
      <c r="AE397" s="743"/>
      <c r="AF397" s="743"/>
      <c r="AG397" s="743"/>
      <c r="AH397" s="743"/>
      <c r="AI397" s="743"/>
      <c r="AJ397" s="743"/>
      <c r="AK397" s="743"/>
      <c r="AL397" s="743"/>
      <c r="AM397" s="743"/>
    </row>
    <row r="398" spans="1:39" ht="17.25">
      <c r="A398" s="752"/>
      <c r="B398" s="752"/>
      <c r="C398" s="752"/>
      <c r="D398" s="752"/>
      <c r="E398" s="752"/>
      <c r="F398" s="752"/>
      <c r="G398" s="752"/>
      <c r="H398" s="752"/>
      <c r="I398" s="829"/>
      <c r="J398" s="752"/>
      <c r="K398" s="752"/>
      <c r="L398" s="743"/>
      <c r="M398" s="743"/>
      <c r="N398" s="743"/>
      <c r="O398" s="743"/>
      <c r="P398" s="743"/>
      <c r="Q398" s="743"/>
      <c r="R398" s="743"/>
      <c r="S398" s="743"/>
      <c r="T398" s="743"/>
      <c r="U398" s="743"/>
      <c r="V398" s="743"/>
      <c r="W398" s="743"/>
      <c r="X398" s="743"/>
      <c r="Y398" s="743"/>
      <c r="Z398" s="743"/>
      <c r="AA398" s="743"/>
      <c r="AB398" s="743"/>
      <c r="AC398" s="743"/>
      <c r="AD398" s="743"/>
      <c r="AE398" s="743"/>
      <c r="AF398" s="743"/>
      <c r="AG398" s="743"/>
      <c r="AH398" s="743"/>
      <c r="AI398" s="743"/>
      <c r="AJ398" s="743"/>
      <c r="AK398" s="743"/>
      <c r="AL398" s="743"/>
      <c r="AM398" s="743"/>
    </row>
    <row r="399" spans="1:39" ht="17.25">
      <c r="A399" s="752"/>
      <c r="B399" s="752"/>
      <c r="C399" s="752"/>
      <c r="D399" s="752"/>
      <c r="E399" s="752"/>
      <c r="F399" s="752"/>
      <c r="G399" s="752"/>
      <c r="H399" s="752"/>
      <c r="I399" s="829"/>
      <c r="J399" s="752"/>
      <c r="K399" s="752"/>
      <c r="L399" s="743"/>
      <c r="M399" s="743"/>
      <c r="N399" s="743"/>
      <c r="O399" s="743"/>
      <c r="P399" s="743"/>
      <c r="Q399" s="743"/>
      <c r="R399" s="743"/>
      <c r="S399" s="743"/>
      <c r="T399" s="743"/>
      <c r="U399" s="743"/>
      <c r="V399" s="743"/>
      <c r="W399" s="743"/>
      <c r="X399" s="743"/>
      <c r="Y399" s="743"/>
      <c r="Z399" s="743"/>
      <c r="AA399" s="743"/>
      <c r="AB399" s="743"/>
      <c r="AC399" s="743"/>
      <c r="AD399" s="743"/>
      <c r="AE399" s="743"/>
      <c r="AF399" s="743"/>
      <c r="AG399" s="743"/>
      <c r="AH399" s="743"/>
      <c r="AI399" s="743"/>
      <c r="AJ399" s="743"/>
      <c r="AK399" s="743"/>
      <c r="AL399" s="743"/>
      <c r="AM399" s="743"/>
    </row>
    <row r="400" spans="1:39" ht="17.25">
      <c r="A400" s="752"/>
      <c r="B400" s="752"/>
      <c r="C400" s="752"/>
      <c r="D400" s="752"/>
      <c r="E400" s="752"/>
      <c r="F400" s="752"/>
      <c r="G400" s="752"/>
      <c r="H400" s="752"/>
      <c r="I400" s="829"/>
      <c r="J400" s="752"/>
      <c r="K400" s="752"/>
      <c r="L400" s="743"/>
      <c r="M400" s="743"/>
      <c r="N400" s="743"/>
      <c r="O400" s="743"/>
      <c r="P400" s="743"/>
      <c r="Q400" s="743"/>
      <c r="R400" s="743"/>
      <c r="S400" s="743"/>
      <c r="T400" s="743"/>
      <c r="U400" s="743"/>
      <c r="V400" s="743"/>
      <c r="W400" s="743"/>
      <c r="X400" s="743"/>
      <c r="Y400" s="743"/>
      <c r="Z400" s="743"/>
      <c r="AA400" s="743"/>
      <c r="AB400" s="743"/>
      <c r="AC400" s="743"/>
      <c r="AD400" s="743"/>
      <c r="AE400" s="743"/>
      <c r="AF400" s="743"/>
      <c r="AG400" s="743"/>
      <c r="AH400" s="743"/>
      <c r="AI400" s="743"/>
      <c r="AJ400" s="743"/>
      <c r="AK400" s="743"/>
      <c r="AL400" s="743"/>
      <c r="AM400" s="743"/>
    </row>
    <row r="401" spans="1:39" ht="17.25">
      <c r="A401" s="752"/>
      <c r="B401" s="752"/>
      <c r="C401" s="752"/>
      <c r="D401" s="752"/>
      <c r="E401" s="752"/>
      <c r="F401" s="752"/>
      <c r="G401" s="752"/>
      <c r="H401" s="752"/>
      <c r="I401" s="829"/>
      <c r="J401" s="752"/>
      <c r="K401" s="752"/>
      <c r="L401" s="743"/>
      <c r="M401" s="743"/>
      <c r="N401" s="743"/>
      <c r="O401" s="743"/>
      <c r="P401" s="743"/>
      <c r="Q401" s="743"/>
      <c r="R401" s="743"/>
      <c r="S401" s="743"/>
      <c r="T401" s="743"/>
      <c r="U401" s="743"/>
      <c r="V401" s="743"/>
      <c r="W401" s="743"/>
      <c r="X401" s="743"/>
      <c r="Y401" s="743"/>
      <c r="Z401" s="743"/>
      <c r="AA401" s="743"/>
      <c r="AB401" s="743"/>
      <c r="AC401" s="743"/>
      <c r="AD401" s="743"/>
      <c r="AE401" s="743"/>
      <c r="AF401" s="743"/>
      <c r="AG401" s="743"/>
      <c r="AH401" s="743"/>
      <c r="AI401" s="743"/>
      <c r="AJ401" s="743"/>
      <c r="AK401" s="743"/>
      <c r="AL401" s="743"/>
      <c r="AM401" s="743"/>
    </row>
    <row r="402" spans="1:39" ht="17.25">
      <c r="A402" s="752"/>
      <c r="B402" s="752"/>
      <c r="C402" s="752"/>
      <c r="D402" s="752"/>
      <c r="E402" s="752"/>
      <c r="F402" s="752"/>
      <c r="G402" s="752"/>
      <c r="H402" s="752"/>
      <c r="I402" s="829"/>
      <c r="J402" s="752"/>
      <c r="K402" s="752"/>
      <c r="L402" s="743"/>
      <c r="M402" s="743"/>
      <c r="N402" s="743"/>
      <c r="O402" s="743"/>
      <c r="P402" s="743"/>
      <c r="Q402" s="743"/>
      <c r="R402" s="743"/>
      <c r="S402" s="743"/>
      <c r="T402" s="743"/>
      <c r="U402" s="743"/>
      <c r="V402" s="743"/>
      <c r="W402" s="743"/>
      <c r="X402" s="743"/>
      <c r="Y402" s="743"/>
      <c r="Z402" s="743"/>
      <c r="AA402" s="743"/>
      <c r="AB402" s="743"/>
      <c r="AC402" s="743"/>
      <c r="AD402" s="743"/>
      <c r="AE402" s="743"/>
      <c r="AF402" s="743"/>
      <c r="AG402" s="743"/>
      <c r="AH402" s="743"/>
      <c r="AI402" s="743"/>
      <c r="AJ402" s="743"/>
      <c r="AK402" s="743"/>
      <c r="AL402" s="743"/>
      <c r="AM402" s="743"/>
    </row>
    <row r="403" spans="1:39" ht="17.25">
      <c r="A403" s="752"/>
      <c r="B403" s="752"/>
      <c r="C403" s="752"/>
      <c r="D403" s="752"/>
      <c r="E403" s="752"/>
      <c r="F403" s="752"/>
      <c r="G403" s="752"/>
      <c r="H403" s="752"/>
      <c r="I403" s="829"/>
      <c r="J403" s="752"/>
      <c r="K403" s="752"/>
      <c r="L403" s="743"/>
      <c r="M403" s="743"/>
      <c r="N403" s="743"/>
      <c r="O403" s="743"/>
      <c r="P403" s="743"/>
      <c r="Q403" s="743"/>
      <c r="R403" s="743"/>
      <c r="S403" s="743"/>
      <c r="T403" s="743"/>
      <c r="U403" s="743"/>
      <c r="V403" s="743"/>
      <c r="W403" s="743"/>
      <c r="X403" s="743"/>
      <c r="Y403" s="743"/>
      <c r="Z403" s="743"/>
      <c r="AA403" s="743"/>
      <c r="AB403" s="743"/>
      <c r="AC403" s="743"/>
      <c r="AD403" s="743"/>
      <c r="AE403" s="743"/>
      <c r="AF403" s="743"/>
      <c r="AG403" s="743"/>
      <c r="AH403" s="743"/>
      <c r="AI403" s="743"/>
      <c r="AJ403" s="743"/>
      <c r="AK403" s="743"/>
      <c r="AL403" s="743"/>
      <c r="AM403" s="743"/>
    </row>
    <row r="404" spans="1:39" ht="17.25">
      <c r="A404" s="752"/>
      <c r="B404" s="752"/>
      <c r="C404" s="752"/>
      <c r="D404" s="752"/>
      <c r="E404" s="752"/>
      <c r="F404" s="752"/>
      <c r="G404" s="752"/>
      <c r="H404" s="752"/>
      <c r="I404" s="829"/>
      <c r="J404" s="752"/>
      <c r="K404" s="752"/>
      <c r="L404" s="743"/>
      <c r="M404" s="743"/>
      <c r="N404" s="743"/>
      <c r="O404" s="743"/>
      <c r="P404" s="743"/>
      <c r="Q404" s="743"/>
      <c r="R404" s="743"/>
      <c r="S404" s="743"/>
      <c r="T404" s="743"/>
      <c r="U404" s="743"/>
      <c r="V404" s="743"/>
      <c r="W404" s="743"/>
      <c r="X404" s="743"/>
      <c r="Y404" s="743"/>
      <c r="Z404" s="743"/>
      <c r="AA404" s="743"/>
      <c r="AB404" s="743"/>
      <c r="AC404" s="743"/>
      <c r="AD404" s="743"/>
      <c r="AE404" s="743"/>
      <c r="AF404" s="743"/>
      <c r="AG404" s="743"/>
      <c r="AH404" s="743"/>
      <c r="AI404" s="743"/>
      <c r="AJ404" s="743"/>
      <c r="AK404" s="743"/>
      <c r="AL404" s="743"/>
      <c r="AM404" s="743"/>
    </row>
    <row r="405" spans="1:39" ht="17.25">
      <c r="A405" s="752"/>
      <c r="B405" s="752"/>
      <c r="C405" s="752"/>
      <c r="D405" s="752"/>
      <c r="E405" s="752"/>
      <c r="F405" s="752"/>
      <c r="G405" s="752"/>
      <c r="H405" s="752"/>
      <c r="I405" s="829"/>
      <c r="J405" s="752"/>
      <c r="K405" s="752"/>
      <c r="L405" s="743"/>
      <c r="M405" s="743"/>
      <c r="N405" s="743"/>
      <c r="O405" s="743"/>
      <c r="P405" s="743"/>
      <c r="Q405" s="743"/>
      <c r="R405" s="743"/>
      <c r="S405" s="743"/>
      <c r="T405" s="743"/>
      <c r="U405" s="743"/>
      <c r="V405" s="743"/>
      <c r="W405" s="743"/>
      <c r="X405" s="743"/>
      <c r="Y405" s="743"/>
      <c r="Z405" s="743"/>
      <c r="AA405" s="743"/>
      <c r="AB405" s="743"/>
      <c r="AC405" s="743"/>
      <c r="AD405" s="743"/>
      <c r="AE405" s="743"/>
      <c r="AF405" s="743"/>
      <c r="AG405" s="743"/>
      <c r="AH405" s="743"/>
      <c r="AI405" s="743"/>
      <c r="AJ405" s="743"/>
      <c r="AK405" s="743"/>
      <c r="AL405" s="743"/>
      <c r="AM405" s="743"/>
    </row>
    <row r="406" spans="1:39" ht="17.25">
      <c r="A406" s="752"/>
      <c r="B406" s="752"/>
      <c r="C406" s="752"/>
      <c r="D406" s="752"/>
      <c r="E406" s="752"/>
      <c r="F406" s="752"/>
      <c r="G406" s="752"/>
      <c r="H406" s="752"/>
      <c r="I406" s="829"/>
      <c r="J406" s="752"/>
      <c r="K406" s="752"/>
      <c r="L406" s="743"/>
      <c r="M406" s="743"/>
      <c r="N406" s="743"/>
      <c r="O406" s="743"/>
      <c r="P406" s="743"/>
      <c r="Q406" s="743"/>
      <c r="R406" s="743"/>
      <c r="S406" s="743"/>
      <c r="T406" s="743"/>
      <c r="U406" s="743"/>
      <c r="V406" s="743"/>
      <c r="W406" s="743"/>
      <c r="X406" s="743"/>
      <c r="Y406" s="743"/>
      <c r="Z406" s="743"/>
      <c r="AA406" s="743"/>
      <c r="AB406" s="743"/>
      <c r="AC406" s="743"/>
      <c r="AD406" s="743"/>
      <c r="AE406" s="743"/>
      <c r="AF406" s="743"/>
      <c r="AG406" s="743"/>
      <c r="AH406" s="743"/>
      <c r="AI406" s="743"/>
      <c r="AJ406" s="743"/>
      <c r="AK406" s="743"/>
      <c r="AL406" s="743"/>
      <c r="AM406" s="743"/>
    </row>
    <row r="407" spans="1:39" ht="17.25">
      <c r="A407" s="752"/>
      <c r="B407" s="752"/>
      <c r="C407" s="752"/>
      <c r="D407" s="752"/>
      <c r="E407" s="752"/>
      <c r="F407" s="752"/>
      <c r="G407" s="752"/>
      <c r="H407" s="752"/>
      <c r="I407" s="829"/>
      <c r="J407" s="752"/>
      <c r="K407" s="752"/>
      <c r="L407" s="743"/>
      <c r="M407" s="743"/>
      <c r="N407" s="743"/>
      <c r="O407" s="743"/>
      <c r="P407" s="743"/>
      <c r="Q407" s="743"/>
      <c r="R407" s="743"/>
      <c r="S407" s="743"/>
      <c r="T407" s="743"/>
      <c r="U407" s="743"/>
      <c r="V407" s="743"/>
      <c r="W407" s="743"/>
      <c r="X407" s="743"/>
      <c r="Y407" s="743"/>
      <c r="Z407" s="743"/>
      <c r="AA407" s="743"/>
      <c r="AB407" s="743"/>
      <c r="AC407" s="743"/>
      <c r="AD407" s="743"/>
      <c r="AE407" s="743"/>
      <c r="AF407" s="743"/>
      <c r="AG407" s="743"/>
      <c r="AH407" s="743"/>
      <c r="AI407" s="743"/>
      <c r="AJ407" s="743"/>
      <c r="AK407" s="743"/>
      <c r="AL407" s="743"/>
      <c r="AM407" s="743"/>
    </row>
    <row r="408" spans="1:39" ht="17.25">
      <c r="A408" s="752"/>
      <c r="B408" s="752"/>
      <c r="C408" s="752"/>
      <c r="D408" s="752"/>
      <c r="E408" s="752"/>
      <c r="F408" s="752"/>
      <c r="G408" s="752"/>
      <c r="H408" s="752"/>
      <c r="I408" s="829"/>
      <c r="J408" s="752"/>
      <c r="K408" s="752"/>
      <c r="L408" s="743"/>
      <c r="M408" s="743"/>
      <c r="N408" s="743"/>
      <c r="O408" s="743"/>
      <c r="P408" s="743"/>
      <c r="Q408" s="743"/>
      <c r="R408" s="743"/>
      <c r="S408" s="743"/>
      <c r="T408" s="743"/>
      <c r="U408" s="743"/>
      <c r="V408" s="743"/>
      <c r="W408" s="743"/>
      <c r="X408" s="743"/>
      <c r="Y408" s="743"/>
      <c r="Z408" s="743"/>
      <c r="AA408" s="743"/>
      <c r="AB408" s="743"/>
      <c r="AC408" s="743"/>
      <c r="AD408" s="743"/>
      <c r="AE408" s="743"/>
      <c r="AF408" s="743"/>
      <c r="AG408" s="743"/>
      <c r="AH408" s="743"/>
      <c r="AI408" s="743"/>
      <c r="AJ408" s="743"/>
      <c r="AK408" s="743"/>
      <c r="AL408" s="743"/>
      <c r="AM408" s="743"/>
    </row>
    <row r="409" spans="1:39" ht="17.25">
      <c r="A409" s="752"/>
      <c r="B409" s="752"/>
      <c r="C409" s="752"/>
      <c r="D409" s="752"/>
      <c r="E409" s="752"/>
      <c r="F409" s="752"/>
      <c r="G409" s="752"/>
      <c r="H409" s="752"/>
      <c r="I409" s="829"/>
      <c r="J409" s="752"/>
      <c r="K409" s="752"/>
      <c r="L409" s="743"/>
      <c r="M409" s="743"/>
      <c r="N409" s="743"/>
      <c r="O409" s="743"/>
      <c r="P409" s="743"/>
      <c r="Q409" s="743"/>
      <c r="R409" s="743"/>
      <c r="S409" s="743"/>
      <c r="T409" s="743"/>
      <c r="U409" s="743"/>
      <c r="V409" s="743"/>
      <c r="W409" s="743"/>
      <c r="X409" s="743"/>
      <c r="Y409" s="743"/>
      <c r="Z409" s="743"/>
      <c r="AA409" s="743"/>
      <c r="AB409" s="743"/>
      <c r="AC409" s="743"/>
      <c r="AD409" s="743"/>
      <c r="AE409" s="743"/>
      <c r="AF409" s="743"/>
      <c r="AG409" s="743"/>
      <c r="AH409" s="743"/>
      <c r="AI409" s="743"/>
      <c r="AJ409" s="743"/>
      <c r="AK409" s="743"/>
      <c r="AL409" s="743"/>
      <c r="AM409" s="743"/>
    </row>
    <row r="410" spans="1:39" ht="17.25">
      <c r="A410" s="752"/>
      <c r="B410" s="752"/>
      <c r="C410" s="752"/>
      <c r="D410" s="752"/>
      <c r="E410" s="752"/>
      <c r="F410" s="752"/>
      <c r="G410" s="752"/>
      <c r="H410" s="752"/>
      <c r="I410" s="829"/>
      <c r="J410" s="752"/>
      <c r="K410" s="752"/>
      <c r="L410" s="743"/>
      <c r="M410" s="743"/>
      <c r="N410" s="743"/>
      <c r="O410" s="743"/>
      <c r="P410" s="743"/>
      <c r="Q410" s="743"/>
      <c r="R410" s="743"/>
      <c r="S410" s="743"/>
      <c r="T410" s="743"/>
      <c r="U410" s="743"/>
      <c r="V410" s="743"/>
      <c r="W410" s="743"/>
      <c r="X410" s="743"/>
      <c r="Y410" s="743"/>
      <c r="Z410" s="743"/>
      <c r="AA410" s="743"/>
      <c r="AB410" s="743"/>
      <c r="AC410" s="743"/>
      <c r="AD410" s="743"/>
      <c r="AE410" s="743"/>
      <c r="AF410" s="743"/>
      <c r="AG410" s="743"/>
      <c r="AH410" s="743"/>
      <c r="AI410" s="743"/>
      <c r="AJ410" s="743"/>
      <c r="AK410" s="743"/>
      <c r="AL410" s="743"/>
      <c r="AM410" s="743"/>
    </row>
    <row r="411" spans="1:39" ht="17.25">
      <c r="A411" s="752"/>
      <c r="B411" s="752"/>
      <c r="C411" s="752"/>
      <c r="D411" s="752"/>
      <c r="E411" s="752"/>
      <c r="F411" s="752"/>
      <c r="G411" s="752"/>
      <c r="H411" s="752"/>
      <c r="I411" s="829"/>
      <c r="J411" s="752"/>
      <c r="K411" s="752"/>
      <c r="L411" s="743"/>
      <c r="M411" s="743"/>
      <c r="N411" s="743"/>
      <c r="O411" s="743"/>
      <c r="P411" s="743"/>
      <c r="Q411" s="743"/>
      <c r="R411" s="743"/>
      <c r="S411" s="743"/>
      <c r="T411" s="743"/>
      <c r="U411" s="743"/>
      <c r="V411" s="743"/>
      <c r="W411" s="743"/>
      <c r="X411" s="743"/>
      <c r="Y411" s="743"/>
      <c r="Z411" s="743"/>
      <c r="AA411" s="743"/>
      <c r="AB411" s="743"/>
      <c r="AC411" s="743"/>
      <c r="AD411" s="743"/>
      <c r="AE411" s="743"/>
      <c r="AF411" s="743"/>
      <c r="AG411" s="743"/>
      <c r="AH411" s="743"/>
      <c r="AI411" s="743"/>
      <c r="AJ411" s="743"/>
      <c r="AK411" s="743"/>
      <c r="AL411" s="743"/>
      <c r="AM411" s="743"/>
    </row>
    <row r="412" spans="1:39" ht="17.25">
      <c r="A412" s="752"/>
      <c r="B412" s="752"/>
      <c r="C412" s="752"/>
      <c r="D412" s="752"/>
      <c r="E412" s="752"/>
      <c r="F412" s="752"/>
      <c r="G412" s="752"/>
      <c r="H412" s="752"/>
      <c r="I412" s="829"/>
      <c r="J412" s="752"/>
      <c r="K412" s="752"/>
      <c r="L412" s="743"/>
      <c r="M412" s="743"/>
      <c r="N412" s="743"/>
      <c r="O412" s="743"/>
      <c r="P412" s="743"/>
      <c r="Q412" s="743"/>
      <c r="R412" s="743"/>
      <c r="S412" s="743"/>
      <c r="T412" s="743"/>
      <c r="U412" s="743"/>
      <c r="V412" s="743"/>
      <c r="W412" s="743"/>
      <c r="X412" s="743"/>
      <c r="Y412" s="743"/>
      <c r="Z412" s="743"/>
      <c r="AA412" s="743"/>
      <c r="AB412" s="743"/>
      <c r="AC412" s="743"/>
      <c r="AD412" s="743"/>
      <c r="AE412" s="743"/>
      <c r="AF412" s="743"/>
      <c r="AG412" s="743"/>
      <c r="AH412" s="743"/>
      <c r="AI412" s="743"/>
      <c r="AJ412" s="743"/>
      <c r="AK412" s="743"/>
      <c r="AL412" s="743"/>
      <c r="AM412" s="743"/>
    </row>
    <row r="413" spans="1:39" ht="17.25">
      <c r="A413" s="752"/>
      <c r="B413" s="752"/>
      <c r="C413" s="752"/>
      <c r="D413" s="752"/>
      <c r="E413" s="752"/>
      <c r="F413" s="752"/>
      <c r="G413" s="752"/>
      <c r="H413" s="752"/>
      <c r="I413" s="829"/>
      <c r="J413" s="752"/>
      <c r="K413" s="752"/>
      <c r="L413" s="743"/>
      <c r="M413" s="743"/>
      <c r="N413" s="743"/>
      <c r="O413" s="743"/>
      <c r="P413" s="743"/>
      <c r="Q413" s="743"/>
      <c r="R413" s="743"/>
      <c r="S413" s="743"/>
      <c r="T413" s="743"/>
      <c r="U413" s="743"/>
      <c r="V413" s="743"/>
      <c r="W413" s="743"/>
      <c r="X413" s="743"/>
      <c r="Y413" s="743"/>
      <c r="Z413" s="743"/>
      <c r="AA413" s="743"/>
      <c r="AB413" s="743"/>
      <c r="AC413" s="743"/>
      <c r="AD413" s="743"/>
      <c r="AE413" s="743"/>
      <c r="AF413" s="743"/>
      <c r="AG413" s="743"/>
      <c r="AH413" s="743"/>
      <c r="AI413" s="743"/>
      <c r="AJ413" s="743"/>
      <c r="AK413" s="743"/>
      <c r="AL413" s="743"/>
      <c r="AM413" s="743"/>
    </row>
    <row r="414" spans="1:39" ht="17.25">
      <c r="A414" s="752"/>
      <c r="B414" s="752"/>
      <c r="C414" s="752"/>
      <c r="D414" s="752"/>
      <c r="E414" s="752"/>
      <c r="F414" s="752"/>
      <c r="G414" s="752"/>
      <c r="H414" s="752"/>
      <c r="I414" s="829"/>
      <c r="J414" s="752"/>
      <c r="K414" s="752"/>
      <c r="L414" s="743"/>
      <c r="M414" s="743"/>
      <c r="N414" s="743"/>
      <c r="O414" s="743"/>
      <c r="P414" s="743"/>
      <c r="Q414" s="743"/>
      <c r="R414" s="743"/>
      <c r="S414" s="743"/>
      <c r="T414" s="743"/>
      <c r="U414" s="743"/>
      <c r="V414" s="743"/>
      <c r="W414" s="743"/>
      <c r="X414" s="743"/>
      <c r="Y414" s="743"/>
      <c r="Z414" s="743"/>
      <c r="AA414" s="743"/>
      <c r="AB414" s="743"/>
      <c r="AC414" s="743"/>
      <c r="AD414" s="743"/>
      <c r="AE414" s="743"/>
      <c r="AF414" s="743"/>
      <c r="AG414" s="743"/>
      <c r="AH414" s="743"/>
      <c r="AI414" s="743"/>
      <c r="AJ414" s="743"/>
      <c r="AK414" s="743"/>
      <c r="AL414" s="743"/>
      <c r="AM414" s="743"/>
    </row>
    <row r="415" spans="1:39" ht="17.25">
      <c r="A415" s="752"/>
      <c r="B415" s="752"/>
      <c r="C415" s="752"/>
      <c r="D415" s="752"/>
      <c r="E415" s="752"/>
      <c r="F415" s="752"/>
      <c r="G415" s="752"/>
      <c r="H415" s="752"/>
      <c r="I415" s="829"/>
      <c r="J415" s="752"/>
      <c r="K415" s="752"/>
      <c r="L415" s="743"/>
      <c r="M415" s="743"/>
      <c r="N415" s="743"/>
      <c r="O415" s="743"/>
      <c r="P415" s="743"/>
      <c r="Q415" s="743"/>
      <c r="R415" s="743"/>
      <c r="S415" s="743"/>
      <c r="T415" s="743"/>
      <c r="U415" s="743"/>
      <c r="V415" s="743"/>
      <c r="W415" s="743"/>
      <c r="X415" s="743"/>
      <c r="Y415" s="743"/>
      <c r="Z415" s="743"/>
      <c r="AA415" s="743"/>
      <c r="AB415" s="743"/>
      <c r="AC415" s="743"/>
      <c r="AD415" s="743"/>
      <c r="AE415" s="743"/>
      <c r="AF415" s="743"/>
      <c r="AG415" s="743"/>
      <c r="AH415" s="743"/>
      <c r="AI415" s="743"/>
      <c r="AJ415" s="743"/>
      <c r="AK415" s="743"/>
      <c r="AL415" s="743"/>
      <c r="AM415" s="743"/>
    </row>
    <row r="416" spans="1:39" ht="17.25">
      <c r="A416" s="752"/>
      <c r="B416" s="752"/>
      <c r="C416" s="752"/>
      <c r="D416" s="752"/>
      <c r="E416" s="752"/>
      <c r="F416" s="752"/>
      <c r="G416" s="752"/>
      <c r="H416" s="752"/>
      <c r="I416" s="829"/>
      <c r="J416" s="752"/>
      <c r="K416" s="752"/>
      <c r="L416" s="743"/>
      <c r="M416" s="743"/>
      <c r="N416" s="743"/>
      <c r="O416" s="743"/>
      <c r="P416" s="743"/>
      <c r="Q416" s="743"/>
      <c r="R416" s="743"/>
      <c r="S416" s="743"/>
      <c r="T416" s="743"/>
      <c r="U416" s="743"/>
      <c r="V416" s="743"/>
      <c r="W416" s="743"/>
      <c r="X416" s="743"/>
      <c r="Y416" s="743"/>
      <c r="Z416" s="743"/>
      <c r="AA416" s="743"/>
      <c r="AB416" s="743"/>
      <c r="AC416" s="743"/>
      <c r="AD416" s="743"/>
      <c r="AE416" s="743"/>
      <c r="AF416" s="743"/>
      <c r="AG416" s="743"/>
      <c r="AH416" s="743"/>
      <c r="AI416" s="743"/>
      <c r="AJ416" s="743"/>
      <c r="AK416" s="743"/>
      <c r="AL416" s="743"/>
      <c r="AM416" s="743"/>
    </row>
    <row r="417" spans="1:39" ht="17.25">
      <c r="A417" s="752"/>
      <c r="B417" s="752"/>
      <c r="C417" s="752"/>
      <c r="D417" s="752"/>
      <c r="E417" s="752"/>
      <c r="F417" s="752"/>
      <c r="G417" s="752"/>
      <c r="H417" s="752"/>
      <c r="I417" s="829"/>
      <c r="J417" s="752"/>
      <c r="K417" s="752"/>
      <c r="L417" s="743"/>
      <c r="M417" s="743"/>
      <c r="N417" s="743"/>
      <c r="O417" s="743"/>
      <c r="P417" s="743"/>
      <c r="Q417" s="743"/>
      <c r="R417" s="743"/>
      <c r="S417" s="743"/>
      <c r="T417" s="743"/>
      <c r="U417" s="743"/>
      <c r="V417" s="743"/>
      <c r="W417" s="743"/>
      <c r="X417" s="743"/>
      <c r="Y417" s="743"/>
      <c r="Z417" s="743"/>
      <c r="AA417" s="743"/>
      <c r="AB417" s="743"/>
      <c r="AC417" s="743"/>
      <c r="AD417" s="743"/>
      <c r="AE417" s="743"/>
      <c r="AF417" s="743"/>
      <c r="AG417" s="743"/>
      <c r="AH417" s="743"/>
      <c r="AI417" s="743"/>
      <c r="AJ417" s="743"/>
      <c r="AK417" s="743"/>
      <c r="AL417" s="743"/>
      <c r="AM417" s="743"/>
    </row>
    <row r="418" spans="1:39" ht="17.25">
      <c r="A418" s="752"/>
      <c r="B418" s="752"/>
      <c r="C418" s="752"/>
      <c r="D418" s="752"/>
      <c r="E418" s="752"/>
      <c r="F418" s="752"/>
      <c r="G418" s="752"/>
      <c r="H418" s="752"/>
      <c r="I418" s="829"/>
      <c r="J418" s="752"/>
      <c r="K418" s="752"/>
      <c r="L418" s="743"/>
      <c r="M418" s="743"/>
      <c r="N418" s="743"/>
      <c r="O418" s="743"/>
      <c r="P418" s="743"/>
      <c r="Q418" s="743"/>
      <c r="R418" s="743"/>
      <c r="S418" s="743"/>
      <c r="T418" s="743"/>
      <c r="U418" s="743"/>
      <c r="V418" s="743"/>
      <c r="W418" s="743"/>
      <c r="X418" s="743"/>
      <c r="Y418" s="743"/>
      <c r="Z418" s="743"/>
      <c r="AA418" s="743"/>
      <c r="AB418" s="743"/>
      <c r="AC418" s="743"/>
      <c r="AD418" s="743"/>
      <c r="AE418" s="743"/>
      <c r="AF418" s="743"/>
      <c r="AG418" s="743"/>
      <c r="AH418" s="743"/>
      <c r="AI418" s="743"/>
      <c r="AJ418" s="743"/>
      <c r="AK418" s="743"/>
      <c r="AL418" s="743"/>
      <c r="AM418" s="743"/>
    </row>
    <row r="419" spans="1:39" ht="17.25">
      <c r="A419" s="752"/>
      <c r="B419" s="752"/>
      <c r="C419" s="752"/>
      <c r="D419" s="752"/>
      <c r="E419" s="752"/>
      <c r="F419" s="752"/>
      <c r="G419" s="752"/>
      <c r="H419" s="752"/>
      <c r="I419" s="829"/>
      <c r="J419" s="752"/>
      <c r="K419" s="752"/>
      <c r="L419" s="743"/>
      <c r="M419" s="743"/>
      <c r="N419" s="743"/>
      <c r="O419" s="743"/>
      <c r="P419" s="743"/>
      <c r="Q419" s="743"/>
      <c r="R419" s="743"/>
      <c r="S419" s="743"/>
      <c r="T419" s="743"/>
      <c r="U419" s="743"/>
      <c r="V419" s="743"/>
      <c r="W419" s="743"/>
      <c r="X419" s="743"/>
      <c r="Y419" s="743"/>
      <c r="Z419" s="743"/>
      <c r="AA419" s="743"/>
      <c r="AB419" s="743"/>
      <c r="AC419" s="743"/>
      <c r="AD419" s="743"/>
      <c r="AE419" s="743"/>
      <c r="AF419" s="743"/>
      <c r="AG419" s="743"/>
      <c r="AH419" s="743"/>
      <c r="AI419" s="743"/>
      <c r="AJ419" s="743"/>
      <c r="AK419" s="743"/>
      <c r="AL419" s="743"/>
      <c r="AM419" s="743"/>
    </row>
    <row r="420" spans="1:39" ht="17.25">
      <c r="A420" s="752"/>
      <c r="B420" s="752"/>
      <c r="C420" s="752"/>
      <c r="D420" s="752"/>
      <c r="E420" s="752"/>
      <c r="F420" s="752"/>
      <c r="G420" s="752"/>
      <c r="H420" s="752"/>
      <c r="I420" s="829"/>
      <c r="J420" s="752"/>
      <c r="K420" s="752"/>
      <c r="L420" s="743"/>
      <c r="M420" s="743"/>
      <c r="N420" s="743"/>
      <c r="O420" s="743"/>
      <c r="P420" s="743"/>
      <c r="Q420" s="743"/>
      <c r="R420" s="743"/>
      <c r="S420" s="743"/>
      <c r="T420" s="743"/>
      <c r="U420" s="743"/>
      <c r="V420" s="743"/>
      <c r="W420" s="743"/>
      <c r="X420" s="743"/>
      <c r="Y420" s="743"/>
      <c r="Z420" s="743"/>
      <c r="AA420" s="743"/>
      <c r="AB420" s="743"/>
      <c r="AC420" s="743"/>
      <c r="AD420" s="743"/>
      <c r="AE420" s="743"/>
      <c r="AF420" s="743"/>
      <c r="AG420" s="743"/>
      <c r="AH420" s="743"/>
      <c r="AI420" s="743"/>
      <c r="AJ420" s="743"/>
      <c r="AK420" s="743"/>
      <c r="AL420" s="743"/>
      <c r="AM420" s="743"/>
    </row>
    <row r="421" spans="1:39" ht="17.25">
      <c r="A421" s="752"/>
      <c r="B421" s="752"/>
      <c r="C421" s="752"/>
      <c r="D421" s="752"/>
      <c r="E421" s="752"/>
      <c r="F421" s="752"/>
      <c r="G421" s="752"/>
      <c r="H421" s="752"/>
      <c r="I421" s="829"/>
      <c r="J421" s="752"/>
      <c r="K421" s="752"/>
      <c r="L421" s="743"/>
      <c r="M421" s="743"/>
      <c r="N421" s="743"/>
      <c r="O421" s="743"/>
      <c r="P421" s="743"/>
      <c r="Q421" s="743"/>
      <c r="R421" s="743"/>
      <c r="S421" s="743"/>
      <c r="T421" s="743"/>
      <c r="U421" s="743"/>
      <c r="V421" s="743"/>
      <c r="W421" s="743"/>
      <c r="X421" s="743"/>
      <c r="Y421" s="743"/>
      <c r="Z421" s="743"/>
      <c r="AA421" s="743"/>
      <c r="AB421" s="743"/>
      <c r="AC421" s="743"/>
      <c r="AD421" s="743"/>
      <c r="AE421" s="743"/>
      <c r="AF421" s="743"/>
      <c r="AG421" s="743"/>
      <c r="AH421" s="743"/>
      <c r="AI421" s="743"/>
      <c r="AJ421" s="743"/>
      <c r="AK421" s="743"/>
      <c r="AL421" s="743"/>
      <c r="AM421" s="743"/>
    </row>
    <row r="422" spans="1:39" ht="17.25">
      <c r="A422" s="752"/>
      <c r="B422" s="752"/>
      <c r="C422" s="752"/>
      <c r="D422" s="752"/>
      <c r="E422" s="752"/>
      <c r="F422" s="752"/>
      <c r="G422" s="752"/>
      <c r="H422" s="752"/>
      <c r="I422" s="829"/>
      <c r="J422" s="752"/>
      <c r="K422" s="752"/>
      <c r="L422" s="743"/>
      <c r="M422" s="743"/>
      <c r="N422" s="743"/>
      <c r="O422" s="743"/>
      <c r="P422" s="743"/>
      <c r="Q422" s="743"/>
      <c r="R422" s="743"/>
      <c r="S422" s="743"/>
      <c r="T422" s="743"/>
      <c r="U422" s="743"/>
      <c r="V422" s="743"/>
      <c r="W422" s="743"/>
      <c r="X422" s="743"/>
      <c r="Y422" s="743"/>
      <c r="Z422" s="743"/>
      <c r="AA422" s="743"/>
      <c r="AB422" s="743"/>
      <c r="AC422" s="743"/>
      <c r="AD422" s="743"/>
      <c r="AE422" s="743"/>
      <c r="AF422" s="743"/>
      <c r="AG422" s="743"/>
      <c r="AH422" s="743"/>
      <c r="AI422" s="743"/>
      <c r="AJ422" s="743"/>
      <c r="AK422" s="743"/>
      <c r="AL422" s="743"/>
      <c r="AM422" s="743"/>
    </row>
    <row r="423" spans="1:39" ht="17.25">
      <c r="A423" s="752"/>
      <c r="B423" s="752"/>
      <c r="C423" s="752"/>
      <c r="D423" s="752"/>
      <c r="E423" s="752"/>
      <c r="F423" s="752"/>
      <c r="G423" s="752"/>
      <c r="H423" s="752"/>
      <c r="I423" s="829"/>
      <c r="J423" s="752"/>
      <c r="K423" s="752"/>
      <c r="L423" s="743"/>
      <c r="M423" s="743"/>
      <c r="N423" s="743"/>
      <c r="O423" s="743"/>
      <c r="P423" s="743"/>
      <c r="Q423" s="743"/>
      <c r="R423" s="743"/>
      <c r="S423" s="743"/>
      <c r="T423" s="743"/>
      <c r="U423" s="743"/>
      <c r="V423" s="743"/>
      <c r="W423" s="743"/>
      <c r="X423" s="743"/>
      <c r="Y423" s="743"/>
      <c r="Z423" s="743"/>
      <c r="AA423" s="743"/>
      <c r="AB423" s="743"/>
      <c r="AC423" s="743"/>
      <c r="AD423" s="743"/>
      <c r="AE423" s="743"/>
      <c r="AF423" s="743"/>
      <c r="AG423" s="743"/>
      <c r="AH423" s="743"/>
      <c r="AI423" s="743"/>
      <c r="AJ423" s="743"/>
      <c r="AK423" s="743"/>
      <c r="AL423" s="743"/>
      <c r="AM423" s="743"/>
    </row>
    <row r="424" spans="1:39" ht="17.25">
      <c r="A424" s="752"/>
      <c r="B424" s="752"/>
      <c r="C424" s="752"/>
      <c r="D424" s="752"/>
      <c r="E424" s="752"/>
      <c r="F424" s="752"/>
      <c r="G424" s="752"/>
      <c r="H424" s="752"/>
      <c r="I424" s="829"/>
      <c r="J424" s="752"/>
      <c r="K424" s="752"/>
      <c r="L424" s="743"/>
      <c r="M424" s="743"/>
      <c r="N424" s="743"/>
      <c r="O424" s="743"/>
      <c r="P424" s="743"/>
      <c r="Q424" s="743"/>
      <c r="R424" s="743"/>
      <c r="S424" s="743"/>
      <c r="T424" s="743"/>
      <c r="U424" s="743"/>
      <c r="V424" s="743"/>
      <c r="W424" s="743"/>
      <c r="X424" s="743"/>
      <c r="Y424" s="743"/>
      <c r="Z424" s="743"/>
      <c r="AA424" s="743"/>
      <c r="AB424" s="743"/>
      <c r="AC424" s="743"/>
      <c r="AD424" s="743"/>
      <c r="AE424" s="743"/>
      <c r="AF424" s="743"/>
      <c r="AG424" s="743"/>
      <c r="AH424" s="743"/>
      <c r="AI424" s="743"/>
      <c r="AJ424" s="743"/>
      <c r="AK424" s="743"/>
      <c r="AL424" s="743"/>
      <c r="AM424" s="743"/>
    </row>
    <row r="425" spans="1:39" ht="17.25">
      <c r="A425" s="752"/>
      <c r="B425" s="752"/>
      <c r="C425" s="752"/>
      <c r="D425" s="752"/>
      <c r="E425" s="752"/>
      <c r="F425" s="752"/>
      <c r="G425" s="752"/>
      <c r="H425" s="752"/>
      <c r="I425" s="829"/>
      <c r="J425" s="752"/>
      <c r="K425" s="752"/>
      <c r="L425" s="743"/>
      <c r="M425" s="743"/>
      <c r="N425" s="743"/>
      <c r="O425" s="743"/>
      <c r="P425" s="743"/>
      <c r="Q425" s="743"/>
      <c r="R425" s="743"/>
      <c r="S425" s="743"/>
      <c r="T425" s="743"/>
      <c r="U425" s="743"/>
      <c r="V425" s="743"/>
      <c r="W425" s="743"/>
      <c r="X425" s="743"/>
      <c r="Y425" s="743"/>
      <c r="Z425" s="743"/>
      <c r="AA425" s="743"/>
      <c r="AB425" s="743"/>
      <c r="AC425" s="743"/>
      <c r="AD425" s="743"/>
      <c r="AE425" s="743"/>
      <c r="AF425" s="743"/>
      <c r="AG425" s="743"/>
      <c r="AH425" s="743"/>
      <c r="AI425" s="743"/>
      <c r="AJ425" s="743"/>
      <c r="AK425" s="743"/>
      <c r="AL425" s="743"/>
      <c r="AM425" s="743"/>
    </row>
    <row r="426" spans="1:39" ht="17.25">
      <c r="A426" s="752"/>
      <c r="B426" s="752"/>
      <c r="C426" s="752"/>
      <c r="D426" s="752"/>
      <c r="E426" s="752"/>
      <c r="F426" s="752"/>
      <c r="G426" s="752"/>
      <c r="H426" s="752"/>
      <c r="I426" s="829"/>
      <c r="J426" s="752"/>
      <c r="K426" s="752"/>
      <c r="L426" s="743"/>
      <c r="M426" s="743"/>
      <c r="N426" s="743"/>
      <c r="O426" s="743"/>
      <c r="P426" s="743"/>
      <c r="Q426" s="743"/>
      <c r="R426" s="743"/>
      <c r="S426" s="743"/>
      <c r="T426" s="743"/>
      <c r="U426" s="743"/>
      <c r="V426" s="743"/>
      <c r="W426" s="743"/>
      <c r="X426" s="743"/>
      <c r="Y426" s="743"/>
      <c r="Z426" s="743"/>
      <c r="AA426" s="743"/>
      <c r="AB426" s="743"/>
      <c r="AC426" s="743"/>
      <c r="AD426" s="743"/>
      <c r="AE426" s="743"/>
      <c r="AF426" s="743"/>
      <c r="AG426" s="743"/>
      <c r="AH426" s="743"/>
      <c r="AI426" s="743"/>
      <c r="AJ426" s="743"/>
      <c r="AK426" s="743"/>
      <c r="AL426" s="743"/>
      <c r="AM426" s="743"/>
    </row>
    <row r="427" spans="1:39" ht="17.25">
      <c r="A427" s="752"/>
      <c r="B427" s="752"/>
      <c r="C427" s="752"/>
      <c r="D427" s="752"/>
      <c r="E427" s="752"/>
      <c r="F427" s="752"/>
      <c r="G427" s="752"/>
      <c r="H427" s="752"/>
      <c r="I427" s="829"/>
      <c r="J427" s="752"/>
      <c r="K427" s="752"/>
      <c r="L427" s="743"/>
      <c r="M427" s="743"/>
      <c r="N427" s="743"/>
      <c r="O427" s="743"/>
      <c r="P427" s="743"/>
      <c r="Q427" s="743"/>
      <c r="R427" s="743"/>
      <c r="S427" s="743"/>
      <c r="T427" s="743"/>
      <c r="U427" s="743"/>
      <c r="V427" s="743"/>
      <c r="W427" s="743"/>
      <c r="X427" s="743"/>
      <c r="Y427" s="743"/>
      <c r="Z427" s="743"/>
      <c r="AA427" s="743"/>
      <c r="AB427" s="743"/>
      <c r="AC427" s="743"/>
      <c r="AD427" s="743"/>
      <c r="AE427" s="743"/>
      <c r="AF427" s="743"/>
      <c r="AG427" s="743"/>
      <c r="AH427" s="743"/>
      <c r="AI427" s="743"/>
      <c r="AJ427" s="743"/>
      <c r="AK427" s="743"/>
      <c r="AL427" s="743"/>
      <c r="AM427" s="743"/>
    </row>
    <row r="428" spans="1:39" ht="17.25">
      <c r="A428" s="752"/>
      <c r="B428" s="752"/>
      <c r="C428" s="752"/>
      <c r="D428" s="752"/>
      <c r="E428" s="752"/>
      <c r="F428" s="752"/>
      <c r="G428" s="752"/>
      <c r="H428" s="752"/>
      <c r="I428" s="829"/>
      <c r="J428" s="752"/>
      <c r="K428" s="752"/>
      <c r="L428" s="743"/>
      <c r="M428" s="743"/>
      <c r="N428" s="743"/>
      <c r="O428" s="743"/>
      <c r="P428" s="743"/>
      <c r="Q428" s="743"/>
      <c r="R428" s="743"/>
      <c r="S428" s="743"/>
      <c r="T428" s="743"/>
      <c r="U428" s="743"/>
      <c r="V428" s="743"/>
      <c r="W428" s="743"/>
      <c r="X428" s="743"/>
      <c r="Y428" s="743"/>
      <c r="Z428" s="743"/>
      <c r="AA428" s="743"/>
      <c r="AB428" s="743"/>
      <c r="AC428" s="743"/>
      <c r="AD428" s="743"/>
      <c r="AE428" s="743"/>
      <c r="AF428" s="743"/>
      <c r="AG428" s="743"/>
      <c r="AH428" s="743"/>
      <c r="AI428" s="743"/>
      <c r="AJ428" s="743"/>
      <c r="AK428" s="743"/>
      <c r="AL428" s="743"/>
      <c r="AM428" s="743"/>
    </row>
    <row r="429" spans="1:39" ht="17.25">
      <c r="A429" s="752"/>
      <c r="B429" s="752"/>
      <c r="C429" s="752"/>
      <c r="D429" s="752"/>
      <c r="E429" s="752"/>
      <c r="F429" s="752"/>
      <c r="G429" s="752"/>
      <c r="H429" s="752"/>
      <c r="I429" s="829"/>
      <c r="J429" s="752"/>
      <c r="K429" s="752"/>
      <c r="L429" s="743"/>
      <c r="M429" s="743"/>
      <c r="N429" s="743"/>
      <c r="O429" s="743"/>
      <c r="P429" s="743"/>
      <c r="Q429" s="743"/>
      <c r="R429" s="743"/>
      <c r="S429" s="743"/>
      <c r="T429" s="743"/>
      <c r="U429" s="743"/>
      <c r="V429" s="743"/>
      <c r="W429" s="743"/>
      <c r="X429" s="743"/>
      <c r="Y429" s="743"/>
      <c r="Z429" s="743"/>
      <c r="AA429" s="743"/>
      <c r="AB429" s="743"/>
      <c r="AC429" s="743"/>
      <c r="AD429" s="743"/>
      <c r="AE429" s="743"/>
      <c r="AF429" s="743"/>
      <c r="AG429" s="743"/>
      <c r="AH429" s="743"/>
      <c r="AI429" s="743"/>
      <c r="AJ429" s="743"/>
      <c r="AK429" s="743"/>
      <c r="AL429" s="743"/>
      <c r="AM429" s="743"/>
    </row>
    <row r="430" spans="1:39" ht="17.25">
      <c r="A430" s="752"/>
      <c r="B430" s="752"/>
      <c r="C430" s="752"/>
      <c r="D430" s="752"/>
      <c r="E430" s="752"/>
      <c r="F430" s="752"/>
      <c r="G430" s="752"/>
      <c r="H430" s="752"/>
      <c r="I430" s="829"/>
      <c r="J430" s="752"/>
      <c r="K430" s="752"/>
      <c r="L430" s="743"/>
      <c r="M430" s="743"/>
      <c r="N430" s="743"/>
      <c r="O430" s="743"/>
      <c r="P430" s="743"/>
      <c r="Q430" s="743"/>
      <c r="R430" s="743"/>
      <c r="S430" s="743"/>
      <c r="T430" s="743"/>
      <c r="U430" s="743"/>
      <c r="V430" s="743"/>
      <c r="W430" s="743"/>
      <c r="X430" s="743"/>
      <c r="Y430" s="743"/>
      <c r="Z430" s="743"/>
      <c r="AA430" s="743"/>
      <c r="AB430" s="743"/>
      <c r="AC430" s="743"/>
      <c r="AD430" s="743"/>
      <c r="AE430" s="743"/>
      <c r="AF430" s="743"/>
      <c r="AG430" s="743"/>
      <c r="AH430" s="743"/>
      <c r="AI430" s="743"/>
      <c r="AJ430" s="743"/>
      <c r="AK430" s="743"/>
      <c r="AL430" s="743"/>
      <c r="AM430" s="743"/>
    </row>
    <row r="431" spans="1:39" ht="17.25">
      <c r="A431" s="752"/>
      <c r="B431" s="752"/>
      <c r="C431" s="752"/>
      <c r="D431" s="752"/>
      <c r="E431" s="752"/>
      <c r="F431" s="752"/>
      <c r="G431" s="752"/>
      <c r="H431" s="752"/>
      <c r="I431" s="829"/>
      <c r="J431" s="752"/>
      <c r="K431" s="752"/>
      <c r="L431" s="743"/>
      <c r="M431" s="743"/>
      <c r="N431" s="743"/>
      <c r="O431" s="743"/>
      <c r="P431" s="743"/>
      <c r="Q431" s="743"/>
      <c r="R431" s="743"/>
      <c r="S431" s="743"/>
      <c r="T431" s="743"/>
      <c r="U431" s="743"/>
      <c r="V431" s="743"/>
      <c r="W431" s="743"/>
      <c r="X431" s="743"/>
      <c r="Y431" s="743"/>
      <c r="Z431" s="743"/>
      <c r="AA431" s="743"/>
      <c r="AB431" s="743"/>
      <c r="AC431" s="743"/>
      <c r="AD431" s="743"/>
      <c r="AE431" s="743"/>
      <c r="AF431" s="743"/>
      <c r="AG431" s="743"/>
      <c r="AH431" s="743"/>
      <c r="AI431" s="743"/>
      <c r="AJ431" s="743"/>
      <c r="AK431" s="743"/>
      <c r="AL431" s="743"/>
      <c r="AM431" s="743"/>
    </row>
    <row r="432" spans="1:39" ht="17.25">
      <c r="A432" s="752"/>
      <c r="B432" s="752"/>
      <c r="C432" s="752"/>
      <c r="D432" s="752"/>
      <c r="E432" s="752"/>
      <c r="F432" s="752"/>
      <c r="G432" s="752"/>
      <c r="H432" s="752"/>
      <c r="I432" s="829"/>
      <c r="J432" s="752"/>
      <c r="K432" s="752"/>
      <c r="L432" s="743"/>
      <c r="M432" s="743"/>
      <c r="N432" s="743"/>
      <c r="O432" s="743"/>
      <c r="P432" s="743"/>
      <c r="Q432" s="743"/>
      <c r="R432" s="743"/>
      <c r="S432" s="743"/>
      <c r="T432" s="743"/>
      <c r="U432" s="743"/>
      <c r="V432" s="743"/>
      <c r="W432" s="743"/>
      <c r="X432" s="743"/>
      <c r="Y432" s="743"/>
      <c r="Z432" s="743"/>
      <c r="AA432" s="743"/>
      <c r="AB432" s="743"/>
      <c r="AC432" s="743"/>
      <c r="AD432" s="743"/>
      <c r="AE432" s="743"/>
      <c r="AF432" s="743"/>
      <c r="AG432" s="743"/>
      <c r="AH432" s="743"/>
      <c r="AI432" s="743"/>
      <c r="AJ432" s="743"/>
      <c r="AK432" s="743"/>
      <c r="AL432" s="743"/>
      <c r="AM432" s="743"/>
    </row>
    <row r="433" spans="1:39" ht="17.25">
      <c r="A433" s="752"/>
      <c r="B433" s="752"/>
      <c r="C433" s="752"/>
      <c r="D433" s="752"/>
      <c r="E433" s="752"/>
      <c r="F433" s="752"/>
      <c r="G433" s="752"/>
      <c r="H433" s="752"/>
      <c r="I433" s="829"/>
      <c r="J433" s="752"/>
      <c r="K433" s="752"/>
      <c r="L433" s="743"/>
      <c r="M433" s="743"/>
      <c r="N433" s="743"/>
      <c r="O433" s="743"/>
      <c r="P433" s="743"/>
      <c r="Q433" s="743"/>
      <c r="R433" s="743"/>
      <c r="S433" s="743"/>
      <c r="T433" s="743"/>
      <c r="U433" s="743"/>
      <c r="V433" s="743"/>
      <c r="W433" s="743"/>
      <c r="X433" s="743"/>
      <c r="Y433" s="743"/>
      <c r="Z433" s="743"/>
      <c r="AA433" s="743"/>
      <c r="AB433" s="743"/>
      <c r="AC433" s="743"/>
      <c r="AD433" s="743"/>
      <c r="AE433" s="743"/>
      <c r="AF433" s="743"/>
      <c r="AG433" s="743"/>
      <c r="AH433" s="743"/>
      <c r="AI433" s="743"/>
      <c r="AJ433" s="743"/>
      <c r="AK433" s="743"/>
      <c r="AL433" s="743"/>
      <c r="AM433" s="743"/>
    </row>
    <row r="434" spans="1:39" ht="17.25">
      <c r="A434" s="752"/>
      <c r="B434" s="752"/>
      <c r="C434" s="752"/>
      <c r="D434" s="752"/>
      <c r="E434" s="752"/>
      <c r="F434" s="752"/>
      <c r="G434" s="752"/>
      <c r="H434" s="752"/>
      <c r="I434" s="829"/>
      <c r="J434" s="752"/>
      <c r="K434" s="752"/>
      <c r="L434" s="743"/>
      <c r="M434" s="743"/>
      <c r="N434" s="743"/>
      <c r="O434" s="743"/>
      <c r="P434" s="743"/>
      <c r="Q434" s="743"/>
      <c r="R434" s="743"/>
      <c r="S434" s="743"/>
      <c r="T434" s="743"/>
      <c r="U434" s="743"/>
      <c r="V434" s="743"/>
      <c r="W434" s="743"/>
      <c r="X434" s="743"/>
      <c r="Y434" s="743"/>
      <c r="Z434" s="743"/>
      <c r="AA434" s="743"/>
      <c r="AB434" s="743"/>
      <c r="AC434" s="743"/>
      <c r="AD434" s="743"/>
      <c r="AE434" s="743"/>
      <c r="AF434" s="743"/>
      <c r="AG434" s="743"/>
      <c r="AH434" s="743"/>
      <c r="AI434" s="743"/>
      <c r="AJ434" s="743"/>
      <c r="AK434" s="743"/>
      <c r="AL434" s="743"/>
      <c r="AM434" s="743"/>
    </row>
    <row r="435" spans="1:39" ht="17.25">
      <c r="A435" s="752"/>
      <c r="B435" s="752"/>
      <c r="C435" s="752"/>
      <c r="D435" s="752"/>
      <c r="E435" s="752"/>
      <c r="F435" s="752"/>
      <c r="G435" s="752"/>
      <c r="H435" s="752"/>
      <c r="I435" s="829"/>
      <c r="J435" s="752"/>
      <c r="K435" s="752"/>
      <c r="L435" s="743"/>
      <c r="M435" s="743"/>
      <c r="N435" s="743"/>
      <c r="O435" s="743"/>
      <c r="P435" s="743"/>
      <c r="Q435" s="743"/>
      <c r="R435" s="743"/>
      <c r="S435" s="743"/>
      <c r="T435" s="743"/>
      <c r="U435" s="743"/>
      <c r="V435" s="743"/>
      <c r="W435" s="743"/>
      <c r="X435" s="743"/>
      <c r="Y435" s="743"/>
      <c r="Z435" s="743"/>
      <c r="AA435" s="743"/>
      <c r="AB435" s="743"/>
      <c r="AC435" s="743"/>
      <c r="AD435" s="743"/>
      <c r="AE435" s="743"/>
      <c r="AF435" s="743"/>
      <c r="AG435" s="743"/>
      <c r="AH435" s="743"/>
      <c r="AI435" s="743"/>
      <c r="AJ435" s="743"/>
      <c r="AK435" s="743"/>
      <c r="AL435" s="743"/>
      <c r="AM435" s="743"/>
    </row>
    <row r="436" spans="1:39" ht="17.25">
      <c r="A436" s="752"/>
      <c r="B436" s="752"/>
      <c r="C436" s="752"/>
      <c r="D436" s="752"/>
      <c r="E436" s="752"/>
      <c r="F436" s="752"/>
      <c r="G436" s="752"/>
      <c r="H436" s="752"/>
      <c r="I436" s="829"/>
      <c r="J436" s="752"/>
      <c r="K436" s="752"/>
      <c r="L436" s="743"/>
      <c r="M436" s="743"/>
      <c r="N436" s="743"/>
      <c r="O436" s="743"/>
      <c r="P436" s="743"/>
      <c r="Q436" s="743"/>
      <c r="R436" s="743"/>
      <c r="S436" s="743"/>
      <c r="T436" s="743"/>
      <c r="U436" s="743"/>
      <c r="V436" s="743"/>
      <c r="W436" s="743"/>
      <c r="X436" s="743"/>
      <c r="Y436" s="743"/>
      <c r="Z436" s="743"/>
      <c r="AA436" s="743"/>
      <c r="AB436" s="743"/>
      <c r="AC436" s="743"/>
      <c r="AD436" s="743"/>
      <c r="AE436" s="743"/>
      <c r="AF436" s="743"/>
      <c r="AG436" s="743"/>
      <c r="AH436" s="743"/>
      <c r="AI436" s="743"/>
      <c r="AJ436" s="743"/>
      <c r="AK436" s="743"/>
      <c r="AL436" s="743"/>
      <c r="AM436" s="743"/>
    </row>
    <row r="437" spans="1:39" ht="17.25">
      <c r="A437" s="752"/>
      <c r="B437" s="752"/>
      <c r="C437" s="752"/>
      <c r="D437" s="752"/>
      <c r="E437" s="752"/>
      <c r="F437" s="752"/>
      <c r="G437" s="752"/>
      <c r="H437" s="752"/>
      <c r="I437" s="829"/>
      <c r="J437" s="752"/>
      <c r="K437" s="752"/>
      <c r="L437" s="743"/>
      <c r="M437" s="743"/>
      <c r="N437" s="743"/>
      <c r="O437" s="743"/>
      <c r="P437" s="743"/>
      <c r="Q437" s="743"/>
      <c r="R437" s="743"/>
      <c r="S437" s="743"/>
      <c r="T437" s="743"/>
      <c r="U437" s="743"/>
      <c r="V437" s="743"/>
      <c r="W437" s="743"/>
      <c r="X437" s="743"/>
      <c r="Y437" s="743"/>
      <c r="Z437" s="743"/>
      <c r="AA437" s="743"/>
      <c r="AB437" s="743"/>
      <c r="AC437" s="743"/>
      <c r="AD437" s="743"/>
      <c r="AE437" s="743"/>
      <c r="AF437" s="743"/>
      <c r="AG437" s="743"/>
      <c r="AH437" s="743"/>
      <c r="AI437" s="743"/>
      <c r="AJ437" s="743"/>
      <c r="AK437" s="743"/>
      <c r="AL437" s="743"/>
      <c r="AM437" s="743"/>
    </row>
    <row r="438" spans="1:39" ht="17.25">
      <c r="A438" s="752"/>
      <c r="B438" s="752"/>
      <c r="C438" s="752"/>
      <c r="D438" s="752"/>
      <c r="E438" s="752"/>
      <c r="F438" s="752"/>
      <c r="G438" s="752"/>
      <c r="H438" s="752"/>
      <c r="I438" s="829"/>
      <c r="J438" s="752"/>
      <c r="K438" s="752"/>
      <c r="L438" s="743"/>
      <c r="M438" s="743"/>
      <c r="N438" s="743"/>
      <c r="O438" s="743"/>
      <c r="P438" s="743"/>
      <c r="Q438" s="743"/>
      <c r="R438" s="743"/>
      <c r="S438" s="743"/>
      <c r="T438" s="743"/>
      <c r="U438" s="743"/>
      <c r="V438" s="743"/>
      <c r="W438" s="743"/>
      <c r="X438" s="743"/>
      <c r="Y438" s="743"/>
      <c r="Z438" s="743"/>
      <c r="AA438" s="743"/>
      <c r="AB438" s="743"/>
      <c r="AC438" s="743"/>
      <c r="AD438" s="743"/>
      <c r="AE438" s="743"/>
      <c r="AF438" s="743"/>
      <c r="AG438" s="743"/>
      <c r="AH438" s="743"/>
      <c r="AI438" s="743"/>
      <c r="AJ438" s="743"/>
      <c r="AK438" s="743"/>
      <c r="AL438" s="743"/>
      <c r="AM438" s="743"/>
    </row>
    <row r="439" spans="1:39" ht="17.25">
      <c r="A439" s="752"/>
      <c r="B439" s="752"/>
      <c r="C439" s="752"/>
      <c r="D439" s="752"/>
      <c r="E439" s="752"/>
      <c r="F439" s="752"/>
      <c r="G439" s="752"/>
      <c r="H439" s="752"/>
      <c r="I439" s="829"/>
      <c r="J439" s="752"/>
      <c r="K439" s="752"/>
      <c r="L439" s="743"/>
      <c r="M439" s="743"/>
      <c r="N439" s="743"/>
      <c r="O439" s="743"/>
      <c r="P439" s="743"/>
      <c r="Q439" s="743"/>
      <c r="R439" s="743"/>
      <c r="S439" s="743"/>
      <c r="T439" s="743"/>
      <c r="U439" s="743"/>
      <c r="V439" s="743"/>
      <c r="W439" s="743"/>
      <c r="X439" s="743"/>
      <c r="Y439" s="743"/>
      <c r="Z439" s="743"/>
      <c r="AA439" s="743"/>
      <c r="AB439" s="743"/>
      <c r="AC439" s="743"/>
      <c r="AD439" s="743"/>
      <c r="AE439" s="743"/>
      <c r="AF439" s="743"/>
      <c r="AG439" s="743"/>
      <c r="AH439" s="743"/>
      <c r="AI439" s="743"/>
      <c r="AJ439" s="743"/>
      <c r="AK439" s="743"/>
      <c r="AL439" s="743"/>
      <c r="AM439" s="743"/>
    </row>
    <row r="440" spans="1:39" ht="17.25">
      <c r="A440" s="752"/>
      <c r="B440" s="752"/>
      <c r="C440" s="752"/>
      <c r="D440" s="752"/>
      <c r="E440" s="752"/>
      <c r="F440" s="752"/>
      <c r="G440" s="752"/>
      <c r="H440" s="752"/>
      <c r="I440" s="829"/>
      <c r="J440" s="752"/>
      <c r="K440" s="752"/>
      <c r="L440" s="743"/>
      <c r="M440" s="743"/>
      <c r="N440" s="743"/>
      <c r="O440" s="743"/>
      <c r="P440" s="743"/>
      <c r="Q440" s="743"/>
      <c r="R440" s="743"/>
      <c r="S440" s="743"/>
      <c r="T440" s="743"/>
      <c r="U440" s="743"/>
      <c r="V440" s="743"/>
      <c r="W440" s="743"/>
      <c r="X440" s="743"/>
      <c r="Y440" s="743"/>
      <c r="Z440" s="743"/>
      <c r="AA440" s="743"/>
      <c r="AB440" s="743"/>
      <c r="AC440" s="743"/>
      <c r="AD440" s="743"/>
      <c r="AE440" s="743"/>
      <c r="AF440" s="743"/>
      <c r="AG440" s="743"/>
      <c r="AH440" s="743"/>
      <c r="AI440" s="743"/>
      <c r="AJ440" s="743"/>
      <c r="AK440" s="743"/>
      <c r="AL440" s="743"/>
      <c r="AM440" s="743"/>
    </row>
    <row r="441" spans="1:39" ht="17.25">
      <c r="A441" s="752"/>
      <c r="B441" s="752"/>
      <c r="C441" s="752"/>
      <c r="D441" s="752"/>
      <c r="E441" s="752"/>
      <c r="F441" s="752"/>
      <c r="G441" s="752"/>
      <c r="H441" s="752"/>
      <c r="I441" s="829"/>
      <c r="J441" s="752"/>
      <c r="K441" s="752"/>
      <c r="L441" s="743"/>
      <c r="M441" s="743"/>
      <c r="N441" s="743"/>
      <c r="O441" s="743"/>
      <c r="P441" s="743"/>
      <c r="Q441" s="743"/>
      <c r="R441" s="743"/>
      <c r="S441" s="743"/>
      <c r="T441" s="743"/>
      <c r="U441" s="743"/>
      <c r="V441" s="743"/>
      <c r="W441" s="743"/>
      <c r="X441" s="743"/>
      <c r="Y441" s="743"/>
      <c r="Z441" s="743"/>
      <c r="AA441" s="743"/>
      <c r="AB441" s="743"/>
      <c r="AC441" s="743"/>
      <c r="AD441" s="743"/>
      <c r="AE441" s="743"/>
      <c r="AF441" s="743"/>
      <c r="AG441" s="743"/>
      <c r="AH441" s="743"/>
      <c r="AI441" s="743"/>
      <c r="AJ441" s="743"/>
      <c r="AK441" s="743"/>
      <c r="AL441" s="743"/>
      <c r="AM441" s="743"/>
    </row>
    <row r="442" spans="1:39" ht="17.25">
      <c r="A442" s="752"/>
      <c r="B442" s="752"/>
      <c r="C442" s="752"/>
      <c r="D442" s="752"/>
      <c r="E442" s="752"/>
      <c r="F442" s="752"/>
      <c r="G442" s="752"/>
      <c r="H442" s="752"/>
      <c r="I442" s="829"/>
      <c r="J442" s="752"/>
      <c r="K442" s="752"/>
      <c r="L442" s="743"/>
      <c r="M442" s="743"/>
      <c r="N442" s="743"/>
      <c r="O442" s="743"/>
      <c r="P442" s="743"/>
      <c r="Q442" s="743"/>
      <c r="R442" s="743"/>
      <c r="S442" s="743"/>
      <c r="T442" s="743"/>
      <c r="U442" s="743"/>
      <c r="V442" s="743"/>
      <c r="W442" s="743"/>
      <c r="X442" s="743"/>
      <c r="Y442" s="743"/>
      <c r="Z442" s="743"/>
      <c r="AA442" s="743"/>
      <c r="AB442" s="743"/>
      <c r="AC442" s="743"/>
      <c r="AD442" s="743"/>
      <c r="AE442" s="743"/>
      <c r="AF442" s="743"/>
      <c r="AG442" s="743"/>
      <c r="AH442" s="743"/>
      <c r="AI442" s="743"/>
      <c r="AJ442" s="743"/>
      <c r="AK442" s="743"/>
      <c r="AL442" s="743"/>
      <c r="AM442" s="743"/>
    </row>
    <row r="443" spans="1:39" ht="17.25">
      <c r="A443" s="752"/>
      <c r="B443" s="752"/>
      <c r="C443" s="752"/>
      <c r="D443" s="752"/>
      <c r="E443" s="752"/>
      <c r="F443" s="752"/>
      <c r="G443" s="752"/>
      <c r="H443" s="752"/>
      <c r="I443" s="829"/>
      <c r="J443" s="752"/>
      <c r="K443" s="752"/>
      <c r="L443" s="743"/>
      <c r="M443" s="743"/>
      <c r="N443" s="743"/>
      <c r="O443" s="743"/>
      <c r="P443" s="743"/>
      <c r="Q443" s="743"/>
      <c r="R443" s="743"/>
      <c r="S443" s="743"/>
      <c r="T443" s="743"/>
      <c r="U443" s="743"/>
      <c r="V443" s="743"/>
      <c r="W443" s="743"/>
      <c r="X443" s="743"/>
      <c r="Y443" s="743"/>
      <c r="Z443" s="743"/>
      <c r="AA443" s="743"/>
      <c r="AB443" s="743"/>
      <c r="AC443" s="743"/>
      <c r="AD443" s="743"/>
      <c r="AE443" s="743"/>
      <c r="AF443" s="743"/>
      <c r="AG443" s="743"/>
      <c r="AH443" s="743"/>
      <c r="AI443" s="743"/>
      <c r="AJ443" s="743"/>
      <c r="AK443" s="743"/>
      <c r="AL443" s="743"/>
      <c r="AM443" s="743"/>
    </row>
    <row r="444" spans="1:39" ht="17.25">
      <c r="A444" s="752"/>
      <c r="B444" s="752"/>
      <c r="C444" s="752"/>
      <c r="D444" s="752"/>
      <c r="E444" s="752"/>
      <c r="F444" s="752"/>
      <c r="G444" s="752"/>
      <c r="H444" s="752"/>
      <c r="I444" s="829"/>
      <c r="J444" s="752"/>
      <c r="K444" s="752"/>
      <c r="L444" s="743"/>
      <c r="M444" s="743"/>
      <c r="N444" s="743"/>
      <c r="O444" s="743"/>
      <c r="P444" s="743"/>
      <c r="Q444" s="743"/>
      <c r="R444" s="743"/>
      <c r="S444" s="743"/>
      <c r="T444" s="743"/>
      <c r="U444" s="743"/>
      <c r="V444" s="743"/>
      <c r="W444" s="743"/>
      <c r="X444" s="743"/>
      <c r="Y444" s="743"/>
      <c r="Z444" s="743"/>
      <c r="AA444" s="743"/>
      <c r="AB444" s="743"/>
      <c r="AC444" s="743"/>
      <c r="AD444" s="743"/>
      <c r="AE444" s="743"/>
      <c r="AF444" s="743"/>
      <c r="AG444" s="743"/>
      <c r="AH444" s="743"/>
      <c r="AI444" s="743"/>
      <c r="AJ444" s="743"/>
      <c r="AK444" s="743"/>
      <c r="AL444" s="743"/>
      <c r="AM444" s="743"/>
    </row>
    <row r="445" spans="1:39" ht="17.25">
      <c r="A445" s="752"/>
      <c r="B445" s="752"/>
      <c r="C445" s="752"/>
      <c r="D445" s="752"/>
      <c r="E445" s="752"/>
      <c r="F445" s="752"/>
      <c r="G445" s="752"/>
      <c r="H445" s="752"/>
      <c r="I445" s="829"/>
      <c r="J445" s="752"/>
      <c r="K445" s="752"/>
      <c r="L445" s="743"/>
      <c r="M445" s="743"/>
      <c r="N445" s="743"/>
      <c r="O445" s="743"/>
      <c r="P445" s="743"/>
      <c r="Q445" s="743"/>
      <c r="R445" s="743"/>
      <c r="S445" s="743"/>
      <c r="T445" s="743"/>
      <c r="U445" s="743"/>
      <c r="V445" s="743"/>
      <c r="W445" s="743"/>
      <c r="X445" s="743"/>
      <c r="Y445" s="743"/>
      <c r="Z445" s="743"/>
      <c r="AA445" s="743"/>
      <c r="AB445" s="743"/>
      <c r="AC445" s="743"/>
      <c r="AD445" s="743"/>
      <c r="AE445" s="743"/>
      <c r="AF445" s="743"/>
      <c r="AG445" s="743"/>
      <c r="AH445" s="743"/>
      <c r="AI445" s="743"/>
      <c r="AJ445" s="743"/>
      <c r="AK445" s="743"/>
      <c r="AL445" s="743"/>
      <c r="AM445" s="743"/>
    </row>
    <row r="446" spans="1:39" ht="17.25">
      <c r="A446" s="752"/>
      <c r="B446" s="752"/>
      <c r="C446" s="752"/>
      <c r="D446" s="752"/>
      <c r="E446" s="752"/>
      <c r="F446" s="752"/>
      <c r="G446" s="752"/>
      <c r="H446" s="752"/>
      <c r="I446" s="829"/>
      <c r="J446" s="752"/>
      <c r="K446" s="752"/>
      <c r="L446" s="743"/>
      <c r="M446" s="743"/>
      <c r="N446" s="743"/>
      <c r="O446" s="743"/>
      <c r="P446" s="743"/>
      <c r="Q446" s="743"/>
      <c r="R446" s="743"/>
      <c r="S446" s="743"/>
      <c r="T446" s="743"/>
      <c r="U446" s="743"/>
      <c r="V446" s="743"/>
      <c r="W446" s="743"/>
      <c r="X446" s="743"/>
      <c r="Y446" s="743"/>
      <c r="Z446" s="743"/>
      <c r="AA446" s="743"/>
      <c r="AB446" s="743"/>
      <c r="AC446" s="743"/>
      <c r="AD446" s="743"/>
      <c r="AE446" s="743"/>
      <c r="AF446" s="743"/>
      <c r="AG446" s="743"/>
      <c r="AH446" s="743"/>
      <c r="AI446" s="743"/>
      <c r="AJ446" s="743"/>
      <c r="AK446" s="743"/>
      <c r="AL446" s="743"/>
      <c r="AM446" s="743"/>
    </row>
    <row r="447" spans="1:39" ht="17.25">
      <c r="A447" s="752"/>
      <c r="B447" s="752"/>
      <c r="C447" s="752"/>
      <c r="D447" s="752"/>
      <c r="E447" s="752"/>
      <c r="F447" s="752"/>
      <c r="G447" s="752"/>
      <c r="H447" s="752"/>
      <c r="I447" s="829"/>
      <c r="J447" s="752"/>
      <c r="K447" s="752"/>
      <c r="L447" s="743"/>
      <c r="M447" s="743"/>
      <c r="N447" s="743"/>
      <c r="O447" s="743"/>
      <c r="P447" s="743"/>
      <c r="Q447" s="743"/>
      <c r="R447" s="743"/>
      <c r="S447" s="743"/>
      <c r="T447" s="743"/>
      <c r="U447" s="743"/>
      <c r="V447" s="743"/>
      <c r="W447" s="743"/>
      <c r="X447" s="743"/>
      <c r="Y447" s="743"/>
      <c r="Z447" s="743"/>
      <c r="AA447" s="743"/>
      <c r="AB447" s="743"/>
      <c r="AC447" s="743"/>
      <c r="AD447" s="743"/>
      <c r="AE447" s="743"/>
      <c r="AF447" s="743"/>
      <c r="AG447" s="743"/>
      <c r="AH447" s="743"/>
      <c r="AI447" s="743"/>
      <c r="AJ447" s="743"/>
      <c r="AK447" s="743"/>
      <c r="AL447" s="743"/>
      <c r="AM447" s="743"/>
    </row>
    <row r="448" spans="1:39" ht="17.25">
      <c r="A448" s="752"/>
      <c r="B448" s="752"/>
      <c r="C448" s="752"/>
      <c r="D448" s="752"/>
      <c r="E448" s="752"/>
      <c r="F448" s="752"/>
      <c r="G448" s="752"/>
      <c r="H448" s="752"/>
      <c r="I448" s="829"/>
      <c r="J448" s="752"/>
      <c r="K448" s="752"/>
      <c r="L448" s="743"/>
      <c r="M448" s="743"/>
      <c r="N448" s="743"/>
      <c r="O448" s="743"/>
      <c r="P448" s="743"/>
      <c r="Q448" s="743"/>
      <c r="R448" s="743"/>
      <c r="S448" s="743"/>
      <c r="T448" s="743"/>
      <c r="U448" s="743"/>
      <c r="V448" s="743"/>
      <c r="W448" s="743"/>
      <c r="X448" s="743"/>
      <c r="Y448" s="743"/>
      <c r="Z448" s="743"/>
      <c r="AA448" s="743"/>
      <c r="AB448" s="743"/>
      <c r="AC448" s="743"/>
      <c r="AD448" s="743"/>
      <c r="AE448" s="743"/>
      <c r="AF448" s="743"/>
      <c r="AG448" s="743"/>
      <c r="AH448" s="743"/>
      <c r="AI448" s="743"/>
      <c r="AJ448" s="743"/>
      <c r="AK448" s="743"/>
      <c r="AL448" s="743"/>
      <c r="AM448" s="743"/>
    </row>
    <row r="449" spans="1:39" ht="17.25">
      <c r="A449" s="752"/>
      <c r="B449" s="752"/>
      <c r="C449" s="752"/>
      <c r="D449" s="752"/>
      <c r="E449" s="752"/>
      <c r="F449" s="752"/>
      <c r="G449" s="752"/>
      <c r="H449" s="752"/>
      <c r="I449" s="829"/>
      <c r="J449" s="752"/>
      <c r="K449" s="752"/>
      <c r="L449" s="743"/>
      <c r="M449" s="743"/>
      <c r="N449" s="743"/>
      <c r="O449" s="743"/>
      <c r="P449" s="743"/>
      <c r="Q449" s="743"/>
      <c r="R449" s="743"/>
      <c r="S449" s="743"/>
      <c r="T449" s="743"/>
      <c r="U449" s="743"/>
      <c r="V449" s="743"/>
      <c r="W449" s="743"/>
      <c r="X449" s="743"/>
      <c r="Y449" s="743"/>
      <c r="Z449" s="743"/>
      <c r="AA449" s="743"/>
      <c r="AB449" s="743"/>
      <c r="AC449" s="743"/>
      <c r="AD449" s="743"/>
      <c r="AE449" s="743"/>
      <c r="AF449" s="743"/>
      <c r="AG449" s="743"/>
      <c r="AH449" s="743"/>
      <c r="AI449" s="743"/>
      <c r="AJ449" s="743"/>
      <c r="AK449" s="743"/>
      <c r="AL449" s="743"/>
      <c r="AM449" s="743"/>
    </row>
    <row r="450" spans="1:39" ht="17.25">
      <c r="A450" s="752"/>
      <c r="B450" s="752"/>
      <c r="C450" s="752"/>
      <c r="D450" s="752"/>
      <c r="E450" s="752"/>
      <c r="F450" s="752"/>
      <c r="G450" s="752"/>
      <c r="H450" s="752"/>
      <c r="I450" s="829"/>
      <c r="J450" s="752"/>
      <c r="K450" s="752"/>
      <c r="L450" s="743"/>
      <c r="M450" s="743"/>
      <c r="N450" s="743"/>
      <c r="O450" s="743"/>
      <c r="P450" s="743"/>
      <c r="Q450" s="743"/>
      <c r="R450" s="743"/>
      <c r="S450" s="743"/>
      <c r="T450" s="743"/>
      <c r="U450" s="743"/>
      <c r="V450" s="743"/>
      <c r="W450" s="743"/>
      <c r="X450" s="743"/>
      <c r="Y450" s="743"/>
      <c r="Z450" s="743"/>
      <c r="AA450" s="743"/>
      <c r="AB450" s="743"/>
      <c r="AC450" s="743"/>
      <c r="AD450" s="743"/>
      <c r="AE450" s="743"/>
      <c r="AF450" s="743"/>
      <c r="AG450" s="743"/>
      <c r="AH450" s="743"/>
      <c r="AI450" s="743"/>
      <c r="AJ450" s="743"/>
      <c r="AK450" s="743"/>
      <c r="AL450" s="743"/>
      <c r="AM450" s="743"/>
    </row>
    <row r="451" spans="1:39" ht="17.25">
      <c r="A451" s="752"/>
      <c r="B451" s="752"/>
      <c r="C451" s="752"/>
      <c r="D451" s="752"/>
      <c r="E451" s="752"/>
      <c r="F451" s="752"/>
      <c r="G451" s="752"/>
      <c r="H451" s="752"/>
      <c r="I451" s="829"/>
      <c r="J451" s="752"/>
      <c r="K451" s="752"/>
      <c r="L451" s="743"/>
      <c r="M451" s="743"/>
      <c r="N451" s="743"/>
      <c r="O451" s="743"/>
      <c r="P451" s="743"/>
      <c r="Q451" s="743"/>
      <c r="R451" s="743"/>
      <c r="S451" s="743"/>
      <c r="T451" s="743"/>
      <c r="U451" s="743"/>
      <c r="V451" s="743"/>
      <c r="W451" s="743"/>
      <c r="X451" s="743"/>
      <c r="Y451" s="743"/>
      <c r="Z451" s="743"/>
      <c r="AA451" s="743"/>
      <c r="AB451" s="743"/>
      <c r="AC451" s="743"/>
      <c r="AD451" s="743"/>
      <c r="AE451" s="743"/>
      <c r="AF451" s="743"/>
      <c r="AG451" s="743"/>
      <c r="AH451" s="743"/>
      <c r="AI451" s="743"/>
      <c r="AJ451" s="743"/>
      <c r="AK451" s="743"/>
      <c r="AL451" s="743"/>
      <c r="AM451" s="743"/>
    </row>
    <row r="452" spans="1:39" ht="17.25">
      <c r="A452" s="752"/>
      <c r="B452" s="752"/>
      <c r="C452" s="752"/>
      <c r="D452" s="752"/>
      <c r="E452" s="752"/>
      <c r="F452" s="752"/>
      <c r="G452" s="752"/>
      <c r="H452" s="752"/>
      <c r="I452" s="829"/>
      <c r="J452" s="752"/>
      <c r="K452" s="752"/>
      <c r="L452" s="743"/>
      <c r="M452" s="743"/>
      <c r="N452" s="743"/>
      <c r="O452" s="743"/>
      <c r="P452" s="743"/>
      <c r="Q452" s="743"/>
      <c r="R452" s="743"/>
      <c r="S452" s="743"/>
      <c r="T452" s="743"/>
      <c r="U452" s="743"/>
      <c r="V452" s="743"/>
      <c r="W452" s="743"/>
      <c r="X452" s="743"/>
      <c r="Y452" s="743"/>
      <c r="Z452" s="743"/>
      <c r="AA452" s="743"/>
      <c r="AB452" s="743"/>
      <c r="AC452" s="743"/>
      <c r="AD452" s="743"/>
      <c r="AE452" s="743"/>
      <c r="AF452" s="743"/>
      <c r="AG452" s="743"/>
      <c r="AH452" s="743"/>
      <c r="AI452" s="743"/>
      <c r="AJ452" s="743"/>
      <c r="AK452" s="743"/>
      <c r="AL452" s="743"/>
      <c r="AM452" s="743"/>
    </row>
    <row r="453" spans="1:39" ht="17.25">
      <c r="A453" s="752"/>
      <c r="B453" s="752"/>
      <c r="C453" s="752"/>
      <c r="D453" s="752"/>
      <c r="E453" s="752"/>
      <c r="F453" s="752"/>
      <c r="G453" s="752"/>
      <c r="H453" s="752"/>
      <c r="I453" s="829"/>
      <c r="J453" s="752"/>
      <c r="K453" s="752"/>
      <c r="L453" s="743"/>
      <c r="M453" s="743"/>
      <c r="N453" s="743"/>
      <c r="O453" s="743"/>
      <c r="P453" s="743"/>
      <c r="Q453" s="743"/>
      <c r="R453" s="743"/>
      <c r="S453" s="743"/>
      <c r="T453" s="743"/>
      <c r="U453" s="743"/>
      <c r="V453" s="743"/>
      <c r="W453" s="743"/>
      <c r="X453" s="743"/>
      <c r="Y453" s="743"/>
      <c r="Z453" s="743"/>
      <c r="AA453" s="743"/>
      <c r="AB453" s="743"/>
      <c r="AC453" s="743"/>
      <c r="AD453" s="743"/>
      <c r="AE453" s="743"/>
      <c r="AF453" s="743"/>
      <c r="AG453" s="743"/>
      <c r="AH453" s="743"/>
      <c r="AI453" s="743"/>
      <c r="AJ453" s="743"/>
      <c r="AK453" s="743"/>
      <c r="AL453" s="743"/>
      <c r="AM453" s="743"/>
    </row>
    <row r="454" spans="1:39" ht="17.25">
      <c r="A454" s="752"/>
      <c r="B454" s="752"/>
      <c r="C454" s="752"/>
      <c r="D454" s="752"/>
      <c r="E454" s="752"/>
      <c r="F454" s="752"/>
      <c r="G454" s="752"/>
      <c r="H454" s="752"/>
      <c r="I454" s="829"/>
      <c r="J454" s="752"/>
      <c r="K454" s="752"/>
      <c r="L454" s="743"/>
      <c r="M454" s="743"/>
      <c r="N454" s="743"/>
      <c r="O454" s="743"/>
      <c r="P454" s="743"/>
      <c r="Q454" s="743"/>
      <c r="R454" s="743"/>
      <c r="S454" s="743"/>
      <c r="T454" s="743"/>
      <c r="U454" s="743"/>
      <c r="V454" s="743"/>
      <c r="W454" s="743"/>
      <c r="X454" s="743"/>
      <c r="Y454" s="743"/>
      <c r="Z454" s="743"/>
      <c r="AA454" s="743"/>
      <c r="AB454" s="743"/>
      <c r="AC454" s="743"/>
      <c r="AD454" s="743"/>
      <c r="AE454" s="743"/>
      <c r="AF454" s="743"/>
      <c r="AG454" s="743"/>
      <c r="AH454" s="743"/>
      <c r="AI454" s="743"/>
      <c r="AJ454" s="743"/>
      <c r="AK454" s="743"/>
      <c r="AL454" s="743"/>
      <c r="AM454" s="743"/>
    </row>
    <row r="455" spans="1:39" ht="17.25">
      <c r="A455" s="752"/>
      <c r="B455" s="752"/>
      <c r="C455" s="752"/>
      <c r="D455" s="752"/>
      <c r="E455" s="752"/>
      <c r="F455" s="752"/>
      <c r="G455" s="752"/>
      <c r="H455" s="752"/>
      <c r="I455" s="829"/>
      <c r="J455" s="752"/>
      <c r="K455" s="752"/>
      <c r="L455" s="743"/>
      <c r="M455" s="743"/>
      <c r="N455" s="743"/>
      <c r="O455" s="743"/>
      <c r="P455" s="743"/>
      <c r="Q455" s="743"/>
      <c r="R455" s="743"/>
      <c r="S455" s="743"/>
      <c r="T455" s="743"/>
      <c r="U455" s="743"/>
      <c r="V455" s="743"/>
      <c r="W455" s="743"/>
      <c r="X455" s="743"/>
      <c r="Y455" s="743"/>
      <c r="Z455" s="743"/>
      <c r="AA455" s="743"/>
      <c r="AB455" s="743"/>
      <c r="AC455" s="743"/>
      <c r="AD455" s="743"/>
      <c r="AE455" s="743"/>
      <c r="AF455" s="743"/>
      <c r="AG455" s="743"/>
      <c r="AH455" s="743"/>
      <c r="AI455" s="743"/>
      <c r="AJ455" s="743"/>
      <c r="AK455" s="743"/>
      <c r="AL455" s="743"/>
      <c r="AM455" s="743"/>
    </row>
    <row r="456" spans="1:39" ht="17.25">
      <c r="A456" s="752"/>
      <c r="B456" s="752"/>
      <c r="C456" s="752"/>
      <c r="D456" s="752"/>
      <c r="E456" s="752"/>
      <c r="F456" s="752"/>
      <c r="G456" s="752"/>
      <c r="H456" s="752"/>
      <c r="I456" s="829"/>
      <c r="J456" s="752"/>
      <c r="K456" s="752"/>
      <c r="L456" s="743"/>
      <c r="M456" s="743"/>
      <c r="N456" s="743"/>
      <c r="O456" s="743"/>
      <c r="P456" s="743"/>
      <c r="Q456" s="743"/>
      <c r="R456" s="743"/>
      <c r="S456" s="743"/>
      <c r="T456" s="743"/>
      <c r="U456" s="743"/>
      <c r="V456" s="743"/>
      <c r="W456" s="743"/>
      <c r="X456" s="743"/>
      <c r="Y456" s="743"/>
      <c r="Z456" s="743"/>
      <c r="AA456" s="743"/>
      <c r="AB456" s="743"/>
      <c r="AC456" s="743"/>
      <c r="AD456" s="743"/>
      <c r="AE456" s="743"/>
      <c r="AF456" s="743"/>
      <c r="AG456" s="743"/>
      <c r="AH456" s="743"/>
      <c r="AI456" s="743"/>
      <c r="AJ456" s="743"/>
      <c r="AK456" s="743"/>
      <c r="AL456" s="743"/>
      <c r="AM456" s="743"/>
    </row>
    <row r="457" spans="1:39" ht="17.25">
      <c r="A457" s="752"/>
      <c r="B457" s="752"/>
      <c r="C457" s="752"/>
      <c r="D457" s="752"/>
      <c r="E457" s="752"/>
      <c r="F457" s="752"/>
      <c r="G457" s="752"/>
      <c r="H457" s="752"/>
      <c r="I457" s="829"/>
      <c r="J457" s="752"/>
      <c r="K457" s="752"/>
      <c r="L457" s="743"/>
      <c r="M457" s="743"/>
      <c r="N457" s="743"/>
      <c r="O457" s="743"/>
      <c r="P457" s="743"/>
      <c r="Q457" s="743"/>
      <c r="R457" s="743"/>
      <c r="S457" s="743"/>
      <c r="T457" s="743"/>
      <c r="U457" s="743"/>
      <c r="V457" s="743"/>
      <c r="W457" s="743"/>
      <c r="X457" s="743"/>
      <c r="Y457" s="743"/>
      <c r="Z457" s="743"/>
      <c r="AA457" s="743"/>
      <c r="AB457" s="743"/>
      <c r="AC457" s="743"/>
      <c r="AD457" s="743"/>
      <c r="AE457" s="743"/>
      <c r="AF457" s="743"/>
      <c r="AG457" s="743"/>
      <c r="AH457" s="743"/>
      <c r="AI457" s="743"/>
      <c r="AJ457" s="743"/>
      <c r="AK457" s="743"/>
      <c r="AL457" s="743"/>
      <c r="AM457" s="743"/>
    </row>
    <row r="458" spans="1:39" ht="17.25">
      <c r="A458" s="752"/>
      <c r="B458" s="752"/>
      <c r="C458" s="752"/>
      <c r="D458" s="752"/>
      <c r="E458" s="752"/>
      <c r="F458" s="752"/>
      <c r="G458" s="752"/>
      <c r="H458" s="752"/>
      <c r="I458" s="829"/>
      <c r="J458" s="752"/>
      <c r="K458" s="752"/>
      <c r="L458" s="743"/>
      <c r="M458" s="743"/>
      <c r="N458" s="743"/>
      <c r="O458" s="743"/>
      <c r="P458" s="743"/>
      <c r="Q458" s="743"/>
      <c r="R458" s="743"/>
      <c r="S458" s="743"/>
      <c r="T458" s="743"/>
      <c r="U458" s="743"/>
      <c r="V458" s="743"/>
      <c r="W458" s="743"/>
      <c r="X458" s="743"/>
      <c r="Y458" s="743"/>
      <c r="Z458" s="743"/>
      <c r="AA458" s="743"/>
      <c r="AB458" s="743"/>
      <c r="AC458" s="743"/>
      <c r="AD458" s="743"/>
      <c r="AE458" s="743"/>
      <c r="AF458" s="743"/>
      <c r="AG458" s="743"/>
      <c r="AH458" s="743"/>
      <c r="AI458" s="743"/>
      <c r="AJ458" s="743"/>
      <c r="AK458" s="743"/>
      <c r="AL458" s="743"/>
      <c r="AM458" s="743"/>
    </row>
    <row r="459" spans="1:39" ht="17.25">
      <c r="A459" s="752"/>
      <c r="B459" s="752"/>
      <c r="C459" s="752"/>
      <c r="D459" s="752"/>
      <c r="E459" s="752"/>
      <c r="F459" s="752"/>
      <c r="G459" s="752"/>
      <c r="H459" s="752"/>
      <c r="I459" s="829"/>
      <c r="J459" s="752"/>
      <c r="K459" s="752"/>
      <c r="L459" s="743"/>
      <c r="M459" s="743"/>
      <c r="N459" s="743"/>
      <c r="O459" s="743"/>
      <c r="P459" s="743"/>
      <c r="Q459" s="743"/>
      <c r="R459" s="743"/>
      <c r="S459" s="743"/>
      <c r="T459" s="743"/>
      <c r="U459" s="743"/>
      <c r="V459" s="743"/>
      <c r="W459" s="743"/>
      <c r="X459" s="743"/>
      <c r="Y459" s="743"/>
      <c r="Z459" s="743"/>
      <c r="AA459" s="743"/>
      <c r="AB459" s="743"/>
      <c r="AC459" s="743"/>
      <c r="AD459" s="743"/>
      <c r="AE459" s="743"/>
      <c r="AF459" s="743"/>
      <c r="AG459" s="743"/>
      <c r="AH459" s="743"/>
      <c r="AI459" s="743"/>
      <c r="AJ459" s="743"/>
      <c r="AK459" s="743"/>
      <c r="AL459" s="743"/>
      <c r="AM459" s="743"/>
    </row>
    <row r="460" spans="1:39" ht="17.25">
      <c r="A460" s="752"/>
      <c r="B460" s="752"/>
      <c r="C460" s="752"/>
      <c r="D460" s="752"/>
      <c r="E460" s="752"/>
      <c r="F460" s="752"/>
      <c r="G460" s="752"/>
      <c r="H460" s="752"/>
      <c r="I460" s="829"/>
      <c r="J460" s="752"/>
      <c r="K460" s="752"/>
      <c r="L460" s="743"/>
      <c r="M460" s="743"/>
      <c r="N460" s="743"/>
      <c r="O460" s="743"/>
      <c r="P460" s="743"/>
      <c r="Q460" s="743"/>
      <c r="R460" s="743"/>
      <c r="S460" s="743"/>
      <c r="T460" s="743"/>
      <c r="U460" s="743"/>
      <c r="V460" s="743"/>
      <c r="W460" s="743"/>
      <c r="X460" s="743"/>
      <c r="Y460" s="743"/>
      <c r="Z460" s="743"/>
      <c r="AA460" s="743"/>
      <c r="AB460" s="743"/>
      <c r="AC460" s="743"/>
      <c r="AD460" s="743"/>
      <c r="AE460" s="743"/>
      <c r="AF460" s="743"/>
      <c r="AG460" s="743"/>
      <c r="AH460" s="743"/>
      <c r="AI460" s="743"/>
      <c r="AJ460" s="743"/>
      <c r="AK460" s="743"/>
      <c r="AL460" s="743"/>
      <c r="AM460" s="743"/>
    </row>
    <row r="461" spans="1:39" ht="17.25">
      <c r="A461" s="752"/>
      <c r="B461" s="752"/>
      <c r="C461" s="752"/>
      <c r="D461" s="752"/>
      <c r="E461" s="752"/>
      <c r="F461" s="752"/>
      <c r="G461" s="752"/>
      <c r="H461" s="752"/>
      <c r="I461" s="829"/>
      <c r="J461" s="752"/>
      <c r="K461" s="752"/>
      <c r="L461" s="743"/>
      <c r="M461" s="743"/>
      <c r="N461" s="743"/>
      <c r="O461" s="743"/>
      <c r="P461" s="743"/>
      <c r="Q461" s="743"/>
      <c r="R461" s="743"/>
      <c r="S461" s="743"/>
      <c r="T461" s="743"/>
      <c r="U461" s="743"/>
      <c r="V461" s="743"/>
      <c r="W461" s="743"/>
      <c r="X461" s="743"/>
      <c r="Y461" s="743"/>
      <c r="Z461" s="743"/>
      <c r="AA461" s="743"/>
      <c r="AB461" s="743"/>
      <c r="AC461" s="743"/>
      <c r="AD461" s="743"/>
      <c r="AE461" s="743"/>
      <c r="AF461" s="743"/>
      <c r="AG461" s="743"/>
      <c r="AH461" s="743"/>
      <c r="AI461" s="743"/>
      <c r="AJ461" s="743"/>
      <c r="AK461" s="743"/>
      <c r="AL461" s="743"/>
      <c r="AM461" s="743"/>
    </row>
    <row r="462" spans="1:39" ht="17.25">
      <c r="A462" s="752"/>
      <c r="B462" s="752"/>
      <c r="C462" s="752"/>
      <c r="D462" s="752"/>
      <c r="E462" s="752"/>
      <c r="F462" s="752"/>
      <c r="G462" s="752"/>
      <c r="H462" s="752"/>
      <c r="I462" s="829"/>
      <c r="J462" s="752"/>
      <c r="K462" s="752"/>
      <c r="L462" s="743"/>
      <c r="M462" s="743"/>
      <c r="N462" s="743"/>
      <c r="O462" s="743"/>
      <c r="P462" s="743"/>
      <c r="Q462" s="743"/>
      <c r="R462" s="743"/>
      <c r="S462" s="743"/>
      <c r="T462" s="743"/>
      <c r="U462" s="743"/>
      <c r="V462" s="743"/>
      <c r="W462" s="743"/>
      <c r="X462" s="743"/>
      <c r="Y462" s="743"/>
      <c r="Z462" s="743"/>
      <c r="AA462" s="743"/>
      <c r="AB462" s="743"/>
      <c r="AC462" s="743"/>
      <c r="AD462" s="743"/>
      <c r="AE462" s="743"/>
      <c r="AF462" s="743"/>
      <c r="AG462" s="743"/>
      <c r="AH462" s="743"/>
      <c r="AI462" s="743"/>
      <c r="AJ462" s="743"/>
      <c r="AK462" s="743"/>
      <c r="AL462" s="743"/>
      <c r="AM462" s="743"/>
    </row>
    <row r="463" spans="1:39" ht="17.25">
      <c r="A463" s="752"/>
      <c r="B463" s="752"/>
      <c r="C463" s="752"/>
      <c r="D463" s="752"/>
      <c r="E463" s="752"/>
      <c r="F463" s="752"/>
      <c r="G463" s="752"/>
      <c r="H463" s="752"/>
      <c r="I463" s="829"/>
      <c r="J463" s="752"/>
      <c r="K463" s="752"/>
      <c r="L463" s="743"/>
      <c r="M463" s="743"/>
      <c r="N463" s="743"/>
      <c r="O463" s="743"/>
      <c r="P463" s="743"/>
      <c r="Q463" s="743"/>
      <c r="R463" s="743"/>
      <c r="S463" s="743"/>
      <c r="T463" s="743"/>
      <c r="U463" s="743"/>
      <c r="V463" s="743"/>
      <c r="W463" s="743"/>
      <c r="X463" s="743"/>
      <c r="Y463" s="743"/>
      <c r="Z463" s="743"/>
      <c r="AA463" s="743"/>
      <c r="AB463" s="743"/>
      <c r="AC463" s="743"/>
      <c r="AD463" s="743"/>
      <c r="AE463" s="743"/>
      <c r="AF463" s="743"/>
      <c r="AG463" s="743"/>
      <c r="AH463" s="743"/>
      <c r="AI463" s="743"/>
      <c r="AJ463" s="743"/>
      <c r="AK463" s="743"/>
      <c r="AL463" s="743"/>
      <c r="AM463" s="743"/>
    </row>
    <row r="464" spans="1:39" ht="17.25">
      <c r="A464" s="752"/>
      <c r="B464" s="752"/>
      <c r="C464" s="752"/>
      <c r="D464" s="752"/>
      <c r="E464" s="752"/>
      <c r="F464" s="752"/>
      <c r="G464" s="752"/>
      <c r="H464" s="752"/>
      <c r="I464" s="829"/>
      <c r="J464" s="752"/>
      <c r="K464" s="752"/>
      <c r="L464" s="743"/>
      <c r="M464" s="743"/>
      <c r="N464" s="743"/>
      <c r="O464" s="743"/>
      <c r="P464" s="743"/>
      <c r="Q464" s="743"/>
      <c r="R464" s="743"/>
      <c r="S464" s="743"/>
      <c r="T464" s="743"/>
      <c r="U464" s="743"/>
      <c r="V464" s="743"/>
      <c r="W464" s="743"/>
      <c r="X464" s="743"/>
      <c r="Y464" s="743"/>
      <c r="Z464" s="743"/>
      <c r="AA464" s="743"/>
      <c r="AB464" s="743"/>
      <c r="AC464" s="743"/>
      <c r="AD464" s="743"/>
      <c r="AE464" s="743"/>
      <c r="AF464" s="743"/>
      <c r="AG464" s="743"/>
      <c r="AH464" s="743"/>
      <c r="AI464" s="743"/>
      <c r="AJ464" s="743"/>
      <c r="AK464" s="743"/>
      <c r="AL464" s="743"/>
      <c r="AM464" s="743"/>
    </row>
    <row r="465" spans="1:39" ht="17.25">
      <c r="A465" s="752"/>
      <c r="B465" s="752"/>
      <c r="C465" s="752"/>
      <c r="D465" s="752"/>
      <c r="E465" s="752"/>
      <c r="F465" s="752"/>
      <c r="G465" s="752"/>
      <c r="H465" s="752"/>
      <c r="I465" s="829"/>
      <c r="J465" s="752"/>
      <c r="K465" s="752"/>
      <c r="L465" s="743"/>
      <c r="M465" s="743"/>
      <c r="N465" s="743"/>
      <c r="O465" s="743"/>
      <c r="P465" s="743"/>
      <c r="Q465" s="743"/>
      <c r="R465" s="743"/>
      <c r="S465" s="743"/>
      <c r="T465" s="743"/>
      <c r="U465" s="743"/>
      <c r="V465" s="743"/>
      <c r="W465" s="743"/>
      <c r="X465" s="743"/>
      <c r="Y465" s="743"/>
      <c r="Z465" s="743"/>
      <c r="AA465" s="743"/>
      <c r="AB465" s="743"/>
      <c r="AC465" s="743"/>
      <c r="AD465" s="743"/>
      <c r="AE465" s="743"/>
      <c r="AF465" s="743"/>
      <c r="AG465" s="743"/>
      <c r="AH465" s="743"/>
      <c r="AI465" s="743"/>
      <c r="AJ465" s="743"/>
      <c r="AK465" s="743"/>
      <c r="AL465" s="743"/>
      <c r="AM465" s="743"/>
    </row>
    <row r="466" spans="1:39" ht="17.25">
      <c r="A466" s="752"/>
      <c r="B466" s="752"/>
      <c r="C466" s="752"/>
      <c r="D466" s="752"/>
      <c r="E466" s="752"/>
      <c r="F466" s="752"/>
      <c r="G466" s="752"/>
      <c r="H466" s="752"/>
      <c r="I466" s="829"/>
      <c r="J466" s="752"/>
      <c r="K466" s="752"/>
      <c r="L466" s="743"/>
      <c r="M466" s="743"/>
      <c r="N466" s="743"/>
      <c r="O466" s="743"/>
      <c r="P466" s="743"/>
      <c r="Q466" s="743"/>
      <c r="R466" s="743"/>
      <c r="S466" s="743"/>
      <c r="T466" s="743"/>
      <c r="U466" s="743"/>
      <c r="V466" s="743"/>
      <c r="W466" s="743"/>
      <c r="X466" s="743"/>
      <c r="Y466" s="743"/>
      <c r="Z466" s="743"/>
      <c r="AA466" s="743"/>
      <c r="AB466" s="743"/>
      <c r="AC466" s="743"/>
      <c r="AD466" s="743"/>
      <c r="AE466" s="743"/>
      <c r="AF466" s="743"/>
      <c r="AG466" s="743"/>
      <c r="AH466" s="743"/>
      <c r="AI466" s="743"/>
      <c r="AJ466" s="743"/>
      <c r="AK466" s="743"/>
      <c r="AL466" s="743"/>
      <c r="AM466" s="743"/>
    </row>
    <row r="467" spans="1:39" ht="17.25">
      <c r="A467" s="752"/>
      <c r="B467" s="752"/>
      <c r="C467" s="752"/>
      <c r="D467" s="752"/>
      <c r="E467" s="752"/>
      <c r="F467" s="752"/>
      <c r="G467" s="752"/>
      <c r="H467" s="752"/>
      <c r="I467" s="829"/>
      <c r="J467" s="752"/>
      <c r="K467" s="752"/>
      <c r="L467" s="743"/>
      <c r="M467" s="743"/>
      <c r="N467" s="743"/>
      <c r="O467" s="743"/>
      <c r="P467" s="743"/>
      <c r="Q467" s="743"/>
      <c r="R467" s="743"/>
      <c r="S467" s="743"/>
      <c r="T467" s="743"/>
      <c r="U467" s="743"/>
      <c r="V467" s="743"/>
      <c r="W467" s="743"/>
      <c r="X467" s="743"/>
      <c r="Y467" s="743"/>
      <c r="Z467" s="743"/>
      <c r="AA467" s="743"/>
      <c r="AB467" s="743"/>
      <c r="AC467" s="743"/>
      <c r="AD467" s="743"/>
      <c r="AE467" s="743"/>
      <c r="AF467" s="743"/>
      <c r="AG467" s="743"/>
      <c r="AH467" s="743"/>
      <c r="AI467" s="743"/>
      <c r="AJ467" s="743"/>
      <c r="AK467" s="743"/>
      <c r="AL467" s="743"/>
      <c r="AM467" s="743"/>
    </row>
    <row r="468" spans="1:39" ht="17.25">
      <c r="A468" s="752"/>
      <c r="B468" s="752"/>
      <c r="C468" s="752"/>
      <c r="D468" s="752"/>
      <c r="E468" s="752"/>
      <c r="F468" s="752"/>
      <c r="G468" s="752"/>
      <c r="H468" s="752"/>
      <c r="I468" s="829"/>
      <c r="J468" s="752"/>
      <c r="K468" s="752"/>
      <c r="L468" s="743"/>
      <c r="M468" s="743"/>
      <c r="N468" s="743"/>
      <c r="O468" s="743"/>
      <c r="P468" s="743"/>
      <c r="Q468" s="743"/>
      <c r="R468" s="743"/>
      <c r="S468" s="743"/>
      <c r="T468" s="743"/>
      <c r="U468" s="743"/>
      <c r="V468" s="743"/>
      <c r="W468" s="743"/>
      <c r="X468" s="743"/>
      <c r="Y468" s="743"/>
      <c r="Z468" s="743"/>
      <c r="AA468" s="743"/>
      <c r="AB468" s="743"/>
      <c r="AC468" s="743"/>
      <c r="AD468" s="743"/>
      <c r="AE468" s="743"/>
      <c r="AF468" s="743"/>
      <c r="AG468" s="743"/>
      <c r="AH468" s="743"/>
      <c r="AI468" s="743"/>
      <c r="AJ468" s="743"/>
      <c r="AK468" s="743"/>
      <c r="AL468" s="743"/>
      <c r="AM468" s="743"/>
    </row>
    <row r="469" spans="1:39" ht="17.25">
      <c r="A469" s="752"/>
      <c r="B469" s="752"/>
      <c r="C469" s="752"/>
      <c r="D469" s="752"/>
      <c r="E469" s="752"/>
      <c r="F469" s="752"/>
      <c r="G469" s="752"/>
      <c r="H469" s="752"/>
      <c r="I469" s="829"/>
      <c r="J469" s="752"/>
      <c r="K469" s="752"/>
      <c r="L469" s="743"/>
      <c r="M469" s="743"/>
      <c r="N469" s="743"/>
      <c r="O469" s="743"/>
      <c r="P469" s="743"/>
      <c r="Q469" s="743"/>
      <c r="R469" s="743"/>
      <c r="S469" s="743"/>
      <c r="T469" s="743"/>
      <c r="U469" s="743"/>
      <c r="V469" s="743"/>
      <c r="W469" s="743"/>
      <c r="X469" s="743"/>
      <c r="Y469" s="743"/>
      <c r="Z469" s="743"/>
      <c r="AA469" s="743"/>
      <c r="AB469" s="743"/>
      <c r="AC469" s="743"/>
      <c r="AD469" s="743"/>
      <c r="AE469" s="743"/>
      <c r="AF469" s="743"/>
      <c r="AG469" s="743"/>
      <c r="AH469" s="743"/>
      <c r="AI469" s="743"/>
      <c r="AJ469" s="743"/>
      <c r="AK469" s="743"/>
      <c r="AL469" s="743"/>
      <c r="AM469" s="743"/>
    </row>
    <row r="470" spans="1:39" ht="17.25">
      <c r="A470" s="752"/>
      <c r="B470" s="752"/>
      <c r="C470" s="752"/>
      <c r="D470" s="752"/>
      <c r="E470" s="752"/>
      <c r="F470" s="752"/>
      <c r="G470" s="752"/>
      <c r="H470" s="752"/>
      <c r="I470" s="829"/>
      <c r="J470" s="752"/>
      <c r="K470" s="752"/>
      <c r="L470" s="743"/>
      <c r="M470" s="743"/>
      <c r="N470" s="743"/>
      <c r="O470" s="743"/>
      <c r="P470" s="743"/>
      <c r="Q470" s="743"/>
      <c r="R470" s="743"/>
      <c r="S470" s="743"/>
      <c r="T470" s="743"/>
      <c r="U470" s="743"/>
      <c r="V470" s="743"/>
      <c r="W470" s="743"/>
      <c r="X470" s="743"/>
      <c r="Y470" s="743"/>
      <c r="Z470" s="743"/>
      <c r="AA470" s="743"/>
      <c r="AB470" s="743"/>
      <c r="AC470" s="743"/>
      <c r="AD470" s="743"/>
      <c r="AE470" s="743"/>
      <c r="AF470" s="743"/>
      <c r="AG470" s="743"/>
      <c r="AH470" s="743"/>
      <c r="AI470" s="743"/>
      <c r="AJ470" s="743"/>
      <c r="AK470" s="743"/>
      <c r="AL470" s="743"/>
      <c r="AM470" s="743"/>
    </row>
    <row r="471" spans="1:39" ht="17.25">
      <c r="A471" s="752"/>
      <c r="B471" s="752"/>
      <c r="C471" s="752"/>
      <c r="D471" s="752"/>
      <c r="E471" s="752"/>
      <c r="F471" s="752"/>
      <c r="G471" s="752"/>
      <c r="H471" s="752"/>
      <c r="I471" s="829"/>
      <c r="J471" s="752"/>
      <c r="K471" s="752"/>
      <c r="L471" s="743"/>
      <c r="M471" s="743"/>
      <c r="N471" s="743"/>
      <c r="O471" s="743"/>
      <c r="P471" s="743"/>
      <c r="Q471" s="743"/>
      <c r="R471" s="743"/>
      <c r="S471" s="743"/>
      <c r="T471" s="743"/>
      <c r="U471" s="743"/>
      <c r="V471" s="743"/>
      <c r="W471" s="743"/>
      <c r="X471" s="743"/>
      <c r="Y471" s="743"/>
      <c r="Z471" s="743"/>
      <c r="AA471" s="743"/>
      <c r="AB471" s="743"/>
      <c r="AC471" s="743"/>
      <c r="AD471" s="743"/>
      <c r="AE471" s="743"/>
      <c r="AF471" s="743"/>
      <c r="AG471" s="743"/>
      <c r="AH471" s="743"/>
      <c r="AI471" s="743"/>
      <c r="AJ471" s="743"/>
      <c r="AK471" s="743"/>
      <c r="AL471" s="743"/>
      <c r="AM471" s="743"/>
    </row>
    <row r="472" spans="1:39" ht="17.25">
      <c r="A472" s="752"/>
      <c r="B472" s="752"/>
      <c r="C472" s="752"/>
      <c r="D472" s="752"/>
      <c r="E472" s="752"/>
      <c r="F472" s="752"/>
      <c r="G472" s="752"/>
      <c r="H472" s="752"/>
      <c r="I472" s="829"/>
      <c r="J472" s="752"/>
      <c r="K472" s="752"/>
      <c r="L472" s="743"/>
      <c r="M472" s="743"/>
      <c r="N472" s="743"/>
      <c r="O472" s="743"/>
      <c r="P472" s="743"/>
      <c r="Q472" s="743"/>
      <c r="R472" s="743"/>
      <c r="S472" s="743"/>
      <c r="T472" s="743"/>
      <c r="U472" s="743"/>
      <c r="V472" s="743"/>
      <c r="W472" s="743"/>
      <c r="X472" s="743"/>
      <c r="Y472" s="743"/>
      <c r="Z472" s="743"/>
      <c r="AA472" s="743"/>
      <c r="AB472" s="743"/>
      <c r="AC472" s="743"/>
      <c r="AD472" s="743"/>
      <c r="AE472" s="743"/>
      <c r="AF472" s="743"/>
      <c r="AG472" s="743"/>
      <c r="AH472" s="743"/>
      <c r="AI472" s="743"/>
      <c r="AJ472" s="743"/>
      <c r="AK472" s="743"/>
      <c r="AL472" s="743"/>
      <c r="AM472" s="743"/>
    </row>
    <row r="473" spans="1:39" ht="17.25">
      <c r="A473" s="752"/>
      <c r="B473" s="752"/>
      <c r="C473" s="752"/>
      <c r="D473" s="752"/>
      <c r="E473" s="752"/>
      <c r="F473" s="752"/>
      <c r="G473" s="752"/>
      <c r="H473" s="752"/>
      <c r="I473" s="829"/>
      <c r="J473" s="752"/>
      <c r="K473" s="752"/>
      <c r="L473" s="743"/>
      <c r="M473" s="743"/>
      <c r="N473" s="743"/>
      <c r="O473" s="743"/>
      <c r="P473" s="743"/>
      <c r="Q473" s="743"/>
      <c r="R473" s="743"/>
      <c r="S473" s="743"/>
      <c r="T473" s="743"/>
      <c r="U473" s="743"/>
      <c r="V473" s="743"/>
      <c r="W473" s="743"/>
      <c r="X473" s="743"/>
      <c r="Y473" s="743"/>
      <c r="Z473" s="743"/>
      <c r="AA473" s="743"/>
      <c r="AB473" s="743"/>
      <c r="AC473" s="743"/>
      <c r="AD473" s="743"/>
      <c r="AE473" s="743"/>
      <c r="AF473" s="743"/>
      <c r="AG473" s="743"/>
      <c r="AH473" s="743"/>
      <c r="AI473" s="743"/>
      <c r="AJ473" s="743"/>
      <c r="AK473" s="743"/>
      <c r="AL473" s="743"/>
      <c r="AM473" s="743"/>
    </row>
    <row r="474" spans="1:39" ht="17.25">
      <c r="A474" s="752"/>
      <c r="B474" s="752"/>
      <c r="C474" s="752"/>
      <c r="D474" s="752"/>
      <c r="E474" s="752"/>
      <c r="F474" s="752"/>
      <c r="G474" s="752"/>
      <c r="H474" s="752"/>
      <c r="I474" s="829"/>
      <c r="J474" s="752"/>
      <c r="K474" s="752"/>
      <c r="L474" s="743"/>
      <c r="M474" s="743"/>
      <c r="N474" s="743"/>
      <c r="O474" s="743"/>
      <c r="P474" s="743"/>
      <c r="Q474" s="743"/>
      <c r="R474" s="743"/>
      <c r="S474" s="743"/>
      <c r="T474" s="743"/>
      <c r="U474" s="743"/>
      <c r="V474" s="743"/>
      <c r="W474" s="743"/>
      <c r="X474" s="743"/>
      <c r="Y474" s="743"/>
      <c r="Z474" s="743"/>
      <c r="AA474" s="743"/>
      <c r="AB474" s="743"/>
      <c r="AC474" s="743"/>
      <c r="AD474" s="743"/>
      <c r="AE474" s="743"/>
      <c r="AF474" s="743"/>
      <c r="AG474" s="743"/>
      <c r="AH474" s="743"/>
      <c r="AI474" s="743"/>
      <c r="AJ474" s="743"/>
      <c r="AK474" s="743"/>
      <c r="AL474" s="743"/>
      <c r="AM474" s="743"/>
    </row>
    <row r="475" spans="1:39" ht="17.25">
      <c r="A475" s="752"/>
      <c r="B475" s="752"/>
      <c r="C475" s="752"/>
      <c r="D475" s="752"/>
      <c r="E475" s="752"/>
      <c r="F475" s="752"/>
      <c r="G475" s="752"/>
      <c r="H475" s="752"/>
      <c r="I475" s="829"/>
      <c r="J475" s="752"/>
      <c r="K475" s="752"/>
      <c r="L475" s="743"/>
      <c r="M475" s="743"/>
      <c r="N475" s="743"/>
      <c r="O475" s="743"/>
      <c r="P475" s="743"/>
      <c r="Q475" s="743"/>
      <c r="R475" s="743"/>
      <c r="S475" s="743"/>
      <c r="T475" s="743"/>
      <c r="U475" s="743"/>
      <c r="V475" s="743"/>
      <c r="W475" s="743"/>
      <c r="X475" s="743"/>
      <c r="Y475" s="743"/>
      <c r="Z475" s="743"/>
      <c r="AA475" s="743"/>
      <c r="AB475" s="743"/>
      <c r="AC475" s="743"/>
      <c r="AD475" s="743"/>
      <c r="AE475" s="743"/>
      <c r="AF475" s="743"/>
      <c r="AG475" s="743"/>
      <c r="AH475" s="743"/>
      <c r="AI475" s="743"/>
      <c r="AJ475" s="743"/>
      <c r="AK475" s="743"/>
      <c r="AL475" s="743"/>
      <c r="AM475" s="743"/>
    </row>
    <row r="476" spans="1:39" ht="17.25">
      <c r="A476" s="752"/>
      <c r="B476" s="752"/>
      <c r="C476" s="752"/>
      <c r="D476" s="752"/>
      <c r="E476" s="752"/>
      <c r="F476" s="752"/>
      <c r="G476" s="752"/>
      <c r="H476" s="752"/>
      <c r="I476" s="829"/>
      <c r="J476" s="752"/>
      <c r="K476" s="752"/>
      <c r="L476" s="743"/>
      <c r="M476" s="743"/>
      <c r="N476" s="743"/>
      <c r="O476" s="743"/>
      <c r="P476" s="743"/>
      <c r="Q476" s="743"/>
      <c r="R476" s="743"/>
      <c r="S476" s="743"/>
      <c r="T476" s="743"/>
      <c r="U476" s="743"/>
      <c r="V476" s="743"/>
      <c r="W476" s="743"/>
      <c r="X476" s="743"/>
      <c r="Y476" s="743"/>
      <c r="Z476" s="743"/>
      <c r="AA476" s="743"/>
      <c r="AB476" s="743"/>
      <c r="AC476" s="743"/>
      <c r="AD476" s="743"/>
      <c r="AE476" s="743"/>
      <c r="AF476" s="743"/>
      <c r="AG476" s="743"/>
      <c r="AH476" s="743"/>
      <c r="AI476" s="743"/>
      <c r="AJ476" s="743"/>
      <c r="AK476" s="743"/>
      <c r="AL476" s="743"/>
      <c r="AM476" s="743"/>
    </row>
    <row r="477" spans="1:39" ht="17.25">
      <c r="A477" s="752"/>
      <c r="B477" s="752"/>
      <c r="C477" s="752"/>
      <c r="D477" s="752"/>
      <c r="E477" s="752"/>
      <c r="F477" s="752"/>
      <c r="G477" s="752"/>
      <c r="H477" s="752"/>
      <c r="I477" s="829"/>
      <c r="J477" s="752"/>
      <c r="K477" s="752"/>
      <c r="L477" s="743"/>
      <c r="M477" s="743"/>
      <c r="N477" s="743"/>
      <c r="O477" s="743"/>
      <c r="P477" s="743"/>
      <c r="Q477" s="743"/>
      <c r="R477" s="743"/>
      <c r="S477" s="743"/>
      <c r="T477" s="743"/>
      <c r="U477" s="743"/>
      <c r="V477" s="743"/>
      <c r="W477" s="743"/>
      <c r="X477" s="743"/>
      <c r="Y477" s="743"/>
      <c r="Z477" s="743"/>
      <c r="AA477" s="743"/>
      <c r="AB477" s="743"/>
      <c r="AC477" s="743"/>
      <c r="AD477" s="743"/>
      <c r="AE477" s="743"/>
      <c r="AF477" s="743"/>
      <c r="AG477" s="743"/>
      <c r="AH477" s="743"/>
      <c r="AI477" s="743"/>
      <c r="AJ477" s="743"/>
      <c r="AK477" s="743"/>
      <c r="AL477" s="743"/>
      <c r="AM477" s="743"/>
    </row>
    <row r="478" spans="1:39" ht="17.25">
      <c r="A478" s="752"/>
      <c r="B478" s="752"/>
      <c r="C478" s="752"/>
      <c r="D478" s="752"/>
      <c r="E478" s="752"/>
      <c r="F478" s="752"/>
      <c r="G478" s="752"/>
      <c r="H478" s="752"/>
      <c r="I478" s="829"/>
      <c r="J478" s="752"/>
      <c r="K478" s="752"/>
      <c r="L478" s="743"/>
      <c r="M478" s="743"/>
      <c r="N478" s="743"/>
      <c r="O478" s="743"/>
      <c r="P478" s="743"/>
      <c r="Q478" s="743"/>
      <c r="R478" s="743"/>
      <c r="S478" s="743"/>
      <c r="T478" s="743"/>
      <c r="U478" s="743"/>
      <c r="V478" s="743"/>
      <c r="W478" s="743"/>
      <c r="X478" s="743"/>
      <c r="Y478" s="743"/>
      <c r="Z478" s="743"/>
      <c r="AA478" s="743"/>
      <c r="AB478" s="743"/>
      <c r="AC478" s="743"/>
      <c r="AD478" s="743"/>
      <c r="AE478" s="743"/>
      <c r="AF478" s="743"/>
      <c r="AG478" s="743"/>
      <c r="AH478" s="743"/>
      <c r="AI478" s="743"/>
      <c r="AJ478" s="743"/>
      <c r="AK478" s="743"/>
      <c r="AL478" s="743"/>
      <c r="AM478" s="743"/>
    </row>
    <row r="479" spans="1:39" ht="17.25">
      <c r="A479" s="752"/>
      <c r="B479" s="752"/>
      <c r="C479" s="752"/>
      <c r="D479" s="752"/>
      <c r="E479" s="752"/>
      <c r="F479" s="752"/>
      <c r="G479" s="752"/>
      <c r="H479" s="752"/>
      <c r="I479" s="829"/>
      <c r="J479" s="752"/>
      <c r="K479" s="752"/>
      <c r="L479" s="743"/>
      <c r="M479" s="743"/>
      <c r="N479" s="743"/>
      <c r="O479" s="743"/>
      <c r="P479" s="743"/>
      <c r="Q479" s="743"/>
      <c r="R479" s="743"/>
      <c r="S479" s="743"/>
      <c r="T479" s="743"/>
      <c r="U479" s="743"/>
      <c r="V479" s="743"/>
      <c r="W479" s="743"/>
      <c r="X479" s="743"/>
      <c r="Y479" s="743"/>
      <c r="Z479" s="743"/>
      <c r="AA479" s="743"/>
      <c r="AB479" s="743"/>
      <c r="AC479" s="743"/>
      <c r="AD479" s="743"/>
      <c r="AE479" s="743"/>
      <c r="AF479" s="743"/>
      <c r="AG479" s="743"/>
      <c r="AH479" s="743"/>
      <c r="AI479" s="743"/>
      <c r="AJ479" s="743"/>
      <c r="AK479" s="743"/>
      <c r="AL479" s="743"/>
      <c r="AM479" s="743"/>
    </row>
    <row r="480" spans="1:39" ht="17.25">
      <c r="A480" s="752"/>
      <c r="B480" s="752"/>
      <c r="C480" s="752"/>
      <c r="D480" s="752"/>
      <c r="E480" s="752"/>
      <c r="F480" s="752"/>
      <c r="G480" s="752"/>
      <c r="H480" s="752"/>
      <c r="I480" s="829"/>
      <c r="J480" s="752"/>
      <c r="K480" s="752"/>
      <c r="L480" s="743"/>
      <c r="M480" s="743"/>
      <c r="N480" s="743"/>
      <c r="O480" s="743"/>
      <c r="P480" s="743"/>
      <c r="Q480" s="743"/>
      <c r="R480" s="743"/>
      <c r="S480" s="743"/>
      <c r="T480" s="743"/>
      <c r="U480" s="743"/>
      <c r="V480" s="743"/>
      <c r="W480" s="743"/>
      <c r="X480" s="743"/>
      <c r="Y480" s="743"/>
      <c r="Z480" s="743"/>
      <c r="AA480" s="743"/>
      <c r="AB480" s="743"/>
      <c r="AC480" s="743"/>
      <c r="AD480" s="743"/>
      <c r="AE480" s="743"/>
      <c r="AF480" s="743"/>
      <c r="AG480" s="743"/>
      <c r="AH480" s="743"/>
      <c r="AI480" s="743"/>
      <c r="AJ480" s="743"/>
      <c r="AK480" s="743"/>
      <c r="AL480" s="743"/>
      <c r="AM480" s="743"/>
    </row>
    <row r="481" spans="1:39" ht="17.25">
      <c r="A481" s="752"/>
      <c r="B481" s="752"/>
      <c r="C481" s="752"/>
      <c r="D481" s="752"/>
      <c r="E481" s="752"/>
      <c r="F481" s="752"/>
      <c r="G481" s="752"/>
      <c r="H481" s="752"/>
      <c r="I481" s="829"/>
      <c r="J481" s="752"/>
      <c r="K481" s="752"/>
      <c r="L481" s="743"/>
      <c r="M481" s="743"/>
      <c r="N481" s="743"/>
      <c r="O481" s="743"/>
      <c r="P481" s="743"/>
      <c r="Q481" s="743"/>
      <c r="R481" s="743"/>
      <c r="S481" s="743"/>
      <c r="T481" s="743"/>
      <c r="U481" s="743"/>
      <c r="V481" s="743"/>
      <c r="W481" s="743"/>
      <c r="X481" s="743"/>
      <c r="Y481" s="743"/>
      <c r="Z481" s="743"/>
      <c r="AA481" s="743"/>
      <c r="AB481" s="743"/>
      <c r="AC481" s="743"/>
      <c r="AD481" s="743"/>
      <c r="AE481" s="743"/>
      <c r="AF481" s="743"/>
      <c r="AG481" s="743"/>
      <c r="AH481" s="743"/>
      <c r="AI481" s="743"/>
      <c r="AJ481" s="743"/>
      <c r="AK481" s="743"/>
      <c r="AL481" s="743"/>
      <c r="AM481" s="743"/>
    </row>
    <row r="482" spans="1:39" ht="17.25">
      <c r="A482" s="752"/>
      <c r="B482" s="752"/>
      <c r="C482" s="752"/>
      <c r="D482" s="752"/>
      <c r="E482" s="752"/>
      <c r="F482" s="752"/>
      <c r="G482" s="752"/>
      <c r="H482" s="752"/>
      <c r="I482" s="829"/>
      <c r="J482" s="752"/>
      <c r="K482" s="752"/>
      <c r="L482" s="743"/>
      <c r="M482" s="743"/>
      <c r="N482" s="743"/>
      <c r="O482" s="743"/>
      <c r="P482" s="743"/>
      <c r="Q482" s="743"/>
      <c r="R482" s="743"/>
      <c r="S482" s="743"/>
      <c r="T482" s="743"/>
      <c r="U482" s="743"/>
      <c r="V482" s="743"/>
      <c r="W482" s="743"/>
      <c r="X482" s="743"/>
      <c r="Y482" s="743"/>
      <c r="Z482" s="743"/>
      <c r="AA482" s="743"/>
      <c r="AB482" s="743"/>
      <c r="AC482" s="743"/>
      <c r="AD482" s="743"/>
      <c r="AE482" s="743"/>
      <c r="AF482" s="743"/>
      <c r="AG482" s="743"/>
      <c r="AH482" s="743"/>
      <c r="AI482" s="743"/>
      <c r="AJ482" s="743"/>
      <c r="AK482" s="743"/>
      <c r="AL482" s="743"/>
      <c r="AM482" s="743"/>
    </row>
    <row r="483" spans="1:39" ht="17.25">
      <c r="A483" s="752"/>
      <c r="B483" s="752"/>
      <c r="C483" s="752"/>
      <c r="D483" s="752"/>
      <c r="E483" s="752"/>
      <c r="F483" s="752"/>
      <c r="G483" s="752"/>
      <c r="H483" s="752"/>
      <c r="I483" s="829"/>
      <c r="J483" s="752"/>
      <c r="K483" s="752"/>
      <c r="L483" s="743"/>
      <c r="M483" s="743"/>
      <c r="N483" s="743"/>
      <c r="O483" s="743"/>
      <c r="P483" s="743"/>
      <c r="Q483" s="743"/>
      <c r="R483" s="743"/>
      <c r="S483" s="743"/>
      <c r="T483" s="743"/>
      <c r="U483" s="743"/>
      <c r="V483" s="743"/>
      <c r="W483" s="743"/>
      <c r="X483" s="743"/>
      <c r="Y483" s="743"/>
      <c r="Z483" s="743"/>
      <c r="AA483" s="743"/>
      <c r="AB483" s="743"/>
      <c r="AC483" s="743"/>
      <c r="AD483" s="743"/>
      <c r="AE483" s="743"/>
      <c r="AF483" s="743"/>
      <c r="AG483" s="743"/>
      <c r="AH483" s="743"/>
      <c r="AI483" s="743"/>
      <c r="AJ483" s="743"/>
      <c r="AK483" s="743"/>
      <c r="AL483" s="743"/>
      <c r="AM483" s="743"/>
    </row>
    <row r="484" spans="1:39" ht="17.25">
      <c r="A484" s="752"/>
      <c r="B484" s="752"/>
      <c r="C484" s="752"/>
      <c r="D484" s="752"/>
      <c r="E484" s="752"/>
      <c r="F484" s="752"/>
      <c r="G484" s="752"/>
      <c r="H484" s="752"/>
      <c r="I484" s="829"/>
      <c r="J484" s="752"/>
      <c r="K484" s="752"/>
      <c r="L484" s="743"/>
      <c r="M484" s="743"/>
      <c r="N484" s="743"/>
      <c r="O484" s="743"/>
      <c r="P484" s="743"/>
      <c r="Q484" s="743"/>
      <c r="R484" s="743"/>
      <c r="S484" s="743"/>
      <c r="T484" s="743"/>
      <c r="U484" s="743"/>
      <c r="V484" s="743"/>
      <c r="W484" s="743"/>
      <c r="X484" s="743"/>
      <c r="Y484" s="743"/>
      <c r="Z484" s="743"/>
      <c r="AA484" s="743"/>
      <c r="AB484" s="743"/>
      <c r="AC484" s="743"/>
      <c r="AD484" s="743"/>
      <c r="AE484" s="743"/>
      <c r="AF484" s="743"/>
      <c r="AG484" s="743"/>
      <c r="AH484" s="743"/>
      <c r="AI484" s="743"/>
      <c r="AJ484" s="743"/>
      <c r="AK484" s="743"/>
      <c r="AL484" s="743"/>
      <c r="AM484" s="743"/>
    </row>
    <row r="485" spans="1:39" ht="17.25">
      <c r="A485" s="752"/>
      <c r="B485" s="752"/>
      <c r="C485" s="752"/>
      <c r="D485" s="752"/>
      <c r="E485" s="752"/>
      <c r="F485" s="752"/>
      <c r="G485" s="752"/>
      <c r="H485" s="752"/>
      <c r="I485" s="829"/>
      <c r="J485" s="752"/>
      <c r="K485" s="752"/>
      <c r="L485" s="743"/>
      <c r="M485" s="743"/>
      <c r="N485" s="743"/>
      <c r="O485" s="743"/>
      <c r="P485" s="743"/>
      <c r="Q485" s="743"/>
      <c r="R485" s="743"/>
      <c r="S485" s="743"/>
      <c r="T485" s="743"/>
      <c r="U485" s="743"/>
      <c r="V485" s="743"/>
      <c r="W485" s="743"/>
      <c r="X485" s="743"/>
      <c r="Y485" s="743"/>
      <c r="Z485" s="743"/>
      <c r="AA485" s="743"/>
      <c r="AB485" s="743"/>
      <c r="AC485" s="743"/>
      <c r="AD485" s="743"/>
      <c r="AE485" s="743"/>
      <c r="AF485" s="743"/>
      <c r="AG485" s="743"/>
      <c r="AH485" s="743"/>
      <c r="AI485" s="743"/>
      <c r="AJ485" s="743"/>
      <c r="AK485" s="743"/>
      <c r="AL485" s="743"/>
      <c r="AM485" s="743"/>
    </row>
    <row r="486" spans="1:39" ht="17.25">
      <c r="A486" s="752"/>
      <c r="B486" s="752"/>
      <c r="C486" s="752"/>
      <c r="D486" s="752"/>
      <c r="E486" s="752"/>
      <c r="F486" s="752"/>
      <c r="G486" s="752"/>
      <c r="H486" s="752"/>
      <c r="I486" s="829"/>
      <c r="J486" s="752"/>
      <c r="K486" s="752"/>
      <c r="L486" s="743"/>
      <c r="M486" s="743"/>
      <c r="N486" s="743"/>
      <c r="O486" s="743"/>
      <c r="P486" s="743"/>
      <c r="Q486" s="743"/>
      <c r="R486" s="743"/>
      <c r="S486" s="743"/>
      <c r="T486" s="743"/>
      <c r="U486" s="743"/>
      <c r="V486" s="743"/>
      <c r="W486" s="743"/>
      <c r="X486" s="743"/>
      <c r="Y486" s="743"/>
      <c r="Z486" s="743"/>
      <c r="AA486" s="743"/>
      <c r="AB486" s="743"/>
      <c r="AC486" s="743"/>
      <c r="AD486" s="743"/>
      <c r="AE486" s="743"/>
      <c r="AF486" s="743"/>
      <c r="AG486" s="743"/>
      <c r="AH486" s="743"/>
      <c r="AI486" s="743"/>
      <c r="AJ486" s="743"/>
      <c r="AK486" s="743"/>
      <c r="AL486" s="743"/>
      <c r="AM486" s="743"/>
    </row>
    <row r="487" spans="1:39" ht="17.25">
      <c r="A487" s="752"/>
      <c r="B487" s="752"/>
      <c r="C487" s="752"/>
      <c r="D487" s="752"/>
      <c r="E487" s="752"/>
      <c r="F487" s="752"/>
      <c r="G487" s="752"/>
      <c r="H487" s="752"/>
      <c r="I487" s="829"/>
      <c r="J487" s="752"/>
      <c r="K487" s="752"/>
      <c r="L487" s="743"/>
      <c r="M487" s="743"/>
      <c r="N487" s="743"/>
      <c r="O487" s="743"/>
      <c r="P487" s="743"/>
      <c r="Q487" s="743"/>
      <c r="R487" s="743"/>
      <c r="S487" s="743"/>
      <c r="T487" s="743"/>
      <c r="U487" s="743"/>
      <c r="V487" s="743"/>
      <c r="W487" s="743"/>
      <c r="X487" s="743"/>
      <c r="Y487" s="743"/>
      <c r="Z487" s="743"/>
      <c r="AA487" s="743"/>
      <c r="AB487" s="743"/>
      <c r="AC487" s="743"/>
      <c r="AD487" s="743"/>
      <c r="AE487" s="743"/>
      <c r="AF487" s="743"/>
      <c r="AG487" s="743"/>
      <c r="AH487" s="743"/>
      <c r="AI487" s="743"/>
      <c r="AJ487" s="743"/>
      <c r="AK487" s="743"/>
      <c r="AL487" s="743"/>
      <c r="AM487" s="743"/>
    </row>
    <row r="488" spans="1:39" ht="17.25">
      <c r="A488" s="752"/>
      <c r="B488" s="752"/>
      <c r="C488" s="752"/>
      <c r="D488" s="752"/>
      <c r="E488" s="752"/>
      <c r="F488" s="752"/>
      <c r="G488" s="752"/>
      <c r="H488" s="752"/>
      <c r="I488" s="829"/>
      <c r="J488" s="752"/>
      <c r="K488" s="752"/>
      <c r="L488" s="743"/>
      <c r="M488" s="743"/>
      <c r="N488" s="743"/>
      <c r="O488" s="743"/>
      <c r="P488" s="743"/>
      <c r="Q488" s="743"/>
      <c r="R488" s="743"/>
      <c r="S488" s="743"/>
      <c r="T488" s="743"/>
      <c r="U488" s="743"/>
      <c r="V488" s="743"/>
      <c r="W488" s="743"/>
      <c r="X488" s="743"/>
      <c r="Y488" s="743"/>
      <c r="Z488" s="743"/>
      <c r="AA488" s="743"/>
      <c r="AB488" s="743"/>
      <c r="AC488" s="743"/>
      <c r="AD488" s="743"/>
      <c r="AE488" s="743"/>
      <c r="AF488" s="743"/>
      <c r="AG488" s="743"/>
      <c r="AH488" s="743"/>
      <c r="AI488" s="743"/>
      <c r="AJ488" s="743"/>
      <c r="AK488" s="743"/>
      <c r="AL488" s="743"/>
      <c r="AM488" s="743"/>
    </row>
    <row r="489" spans="1:39" ht="17.25">
      <c r="A489" s="752"/>
      <c r="B489" s="752"/>
      <c r="C489" s="752"/>
      <c r="D489" s="752"/>
      <c r="E489" s="752"/>
      <c r="F489" s="752"/>
      <c r="G489" s="752"/>
      <c r="H489" s="752"/>
      <c r="I489" s="829"/>
      <c r="J489" s="752"/>
      <c r="K489" s="752"/>
      <c r="L489" s="743"/>
      <c r="M489" s="743"/>
      <c r="N489" s="743"/>
      <c r="O489" s="743"/>
      <c r="P489" s="743"/>
      <c r="Q489" s="743"/>
      <c r="R489" s="743"/>
      <c r="S489" s="743"/>
      <c r="T489" s="743"/>
      <c r="U489" s="743"/>
      <c r="V489" s="743"/>
      <c r="W489" s="743"/>
      <c r="X489" s="743"/>
      <c r="Y489" s="743"/>
      <c r="Z489" s="743"/>
      <c r="AA489" s="743"/>
      <c r="AB489" s="743"/>
      <c r="AC489" s="743"/>
      <c r="AD489" s="743"/>
      <c r="AE489" s="743"/>
      <c r="AF489" s="743"/>
      <c r="AG489" s="743"/>
      <c r="AH489" s="743"/>
      <c r="AI489" s="743"/>
      <c r="AJ489" s="743"/>
      <c r="AK489" s="743"/>
      <c r="AL489" s="743"/>
      <c r="AM489" s="743"/>
    </row>
    <row r="490" spans="1:39" ht="17.25">
      <c r="A490" s="752"/>
      <c r="B490" s="752"/>
      <c r="C490" s="752"/>
      <c r="D490" s="752"/>
      <c r="E490" s="752"/>
      <c r="F490" s="752"/>
      <c r="G490" s="752"/>
      <c r="H490" s="752"/>
      <c r="I490" s="829"/>
      <c r="J490" s="752"/>
      <c r="K490" s="752"/>
      <c r="L490" s="743"/>
      <c r="M490" s="743"/>
      <c r="N490" s="743"/>
      <c r="O490" s="743"/>
      <c r="P490" s="743"/>
      <c r="Q490" s="743"/>
      <c r="R490" s="743"/>
      <c r="S490" s="743"/>
      <c r="T490" s="743"/>
      <c r="U490" s="743"/>
      <c r="V490" s="743"/>
      <c r="W490" s="743"/>
      <c r="X490" s="743"/>
      <c r="Y490" s="743"/>
      <c r="Z490" s="743"/>
      <c r="AA490" s="743"/>
      <c r="AB490" s="743"/>
      <c r="AC490" s="743"/>
      <c r="AD490" s="743"/>
      <c r="AE490" s="743"/>
      <c r="AF490" s="743"/>
      <c r="AG490" s="743"/>
      <c r="AH490" s="743"/>
      <c r="AI490" s="743"/>
      <c r="AJ490" s="743"/>
      <c r="AK490" s="743"/>
      <c r="AL490" s="743"/>
      <c r="AM490" s="743"/>
    </row>
    <row r="491" spans="1:39" ht="17.25">
      <c r="A491" s="752"/>
      <c r="B491" s="752"/>
      <c r="C491" s="752"/>
      <c r="D491" s="752"/>
      <c r="E491" s="752"/>
      <c r="F491" s="752"/>
      <c r="G491" s="752"/>
      <c r="H491" s="752"/>
      <c r="I491" s="829"/>
      <c r="J491" s="752"/>
      <c r="K491" s="752"/>
      <c r="L491" s="743"/>
      <c r="M491" s="743"/>
      <c r="N491" s="743"/>
      <c r="O491" s="743"/>
      <c r="P491" s="743"/>
      <c r="Q491" s="743"/>
      <c r="R491" s="743"/>
      <c r="S491" s="743"/>
      <c r="T491" s="743"/>
      <c r="U491" s="743"/>
      <c r="V491" s="743"/>
      <c r="W491" s="743"/>
      <c r="X491" s="743"/>
      <c r="Y491" s="743"/>
      <c r="Z491" s="743"/>
      <c r="AA491" s="743"/>
      <c r="AB491" s="743"/>
      <c r="AC491" s="743"/>
      <c r="AD491" s="743"/>
      <c r="AE491" s="743"/>
      <c r="AF491" s="743"/>
      <c r="AG491" s="743"/>
      <c r="AH491" s="743"/>
      <c r="AI491" s="743"/>
      <c r="AJ491" s="743"/>
      <c r="AK491" s="743"/>
      <c r="AL491" s="743"/>
      <c r="AM491" s="743"/>
    </row>
    <row r="492" spans="1:39" ht="17.25">
      <c r="A492" s="752"/>
      <c r="B492" s="752"/>
      <c r="C492" s="752"/>
      <c r="D492" s="752"/>
      <c r="E492" s="752"/>
      <c r="F492" s="752"/>
      <c r="G492" s="752"/>
      <c r="H492" s="752"/>
      <c r="I492" s="829"/>
      <c r="J492" s="752"/>
      <c r="K492" s="752"/>
      <c r="L492" s="743"/>
      <c r="M492" s="743"/>
      <c r="N492" s="743"/>
      <c r="O492" s="743"/>
      <c r="P492" s="743"/>
      <c r="Q492" s="743"/>
      <c r="R492" s="743"/>
      <c r="S492" s="743"/>
      <c r="T492" s="743"/>
      <c r="U492" s="743"/>
      <c r="V492" s="743"/>
      <c r="W492" s="743"/>
      <c r="X492" s="743"/>
      <c r="Y492" s="743"/>
      <c r="Z492" s="743"/>
      <c r="AA492" s="743"/>
      <c r="AB492" s="743"/>
      <c r="AC492" s="743"/>
      <c r="AD492" s="743"/>
      <c r="AE492" s="743"/>
      <c r="AF492" s="743"/>
      <c r="AG492" s="743"/>
      <c r="AH492" s="743"/>
      <c r="AI492" s="743"/>
      <c r="AJ492" s="743"/>
      <c r="AK492" s="743"/>
      <c r="AL492" s="743"/>
      <c r="AM492" s="743"/>
    </row>
    <row r="493" spans="1:39" ht="17.25">
      <c r="A493" s="752"/>
      <c r="B493" s="752"/>
      <c r="C493" s="752"/>
      <c r="D493" s="752"/>
      <c r="E493" s="752"/>
      <c r="F493" s="752"/>
      <c r="G493" s="752"/>
      <c r="H493" s="752"/>
      <c r="I493" s="829"/>
      <c r="J493" s="752"/>
      <c r="K493" s="752"/>
      <c r="L493" s="743"/>
      <c r="M493" s="743"/>
      <c r="N493" s="743"/>
      <c r="O493" s="743"/>
      <c r="P493" s="743"/>
      <c r="Q493" s="743"/>
      <c r="R493" s="743"/>
      <c r="S493" s="743"/>
      <c r="T493" s="743"/>
      <c r="U493" s="743"/>
      <c r="V493" s="743"/>
      <c r="W493" s="743"/>
      <c r="X493" s="743"/>
      <c r="Y493" s="743"/>
      <c r="Z493" s="743"/>
      <c r="AA493" s="743"/>
      <c r="AB493" s="743"/>
      <c r="AC493" s="743"/>
      <c r="AD493" s="743"/>
      <c r="AE493" s="743"/>
      <c r="AF493" s="743"/>
      <c r="AG493" s="743"/>
      <c r="AH493" s="743"/>
      <c r="AI493" s="743"/>
      <c r="AJ493" s="743"/>
      <c r="AK493" s="743"/>
      <c r="AL493" s="743"/>
      <c r="AM493" s="743"/>
    </row>
    <row r="494" spans="1:39" ht="17.25">
      <c r="A494" s="752"/>
      <c r="B494" s="752"/>
      <c r="C494" s="752"/>
      <c r="D494" s="752"/>
      <c r="E494" s="752"/>
      <c r="F494" s="752"/>
      <c r="G494" s="752"/>
      <c r="H494" s="752"/>
      <c r="I494" s="829"/>
      <c r="J494" s="752"/>
      <c r="K494" s="752"/>
      <c r="L494" s="743"/>
      <c r="M494" s="743"/>
      <c r="N494" s="743"/>
      <c r="O494" s="743"/>
      <c r="P494" s="743"/>
      <c r="Q494" s="743"/>
      <c r="R494" s="743"/>
      <c r="S494" s="743"/>
      <c r="T494" s="743"/>
      <c r="U494" s="743"/>
      <c r="V494" s="743"/>
      <c r="W494" s="743"/>
      <c r="X494" s="743"/>
      <c r="Y494" s="743"/>
      <c r="Z494" s="743"/>
      <c r="AA494" s="743"/>
      <c r="AB494" s="743"/>
      <c r="AC494" s="743"/>
      <c r="AD494" s="743"/>
      <c r="AE494" s="743"/>
      <c r="AF494" s="743"/>
      <c r="AG494" s="743"/>
      <c r="AH494" s="743"/>
      <c r="AI494" s="743"/>
      <c r="AJ494" s="743"/>
      <c r="AK494" s="743"/>
      <c r="AL494" s="743"/>
      <c r="AM494" s="743"/>
    </row>
    <row r="495" spans="1:39" ht="17.25">
      <c r="A495" s="752"/>
      <c r="B495" s="752"/>
      <c r="C495" s="752"/>
      <c r="D495" s="752"/>
      <c r="E495" s="752"/>
      <c r="F495" s="752"/>
      <c r="G495" s="752"/>
      <c r="H495" s="752"/>
      <c r="I495" s="829"/>
      <c r="J495" s="752"/>
      <c r="K495" s="752"/>
      <c r="L495" s="743"/>
      <c r="M495" s="743"/>
      <c r="N495" s="743"/>
      <c r="O495" s="743"/>
      <c r="P495" s="743"/>
      <c r="Q495" s="743"/>
      <c r="R495" s="743"/>
      <c r="S495" s="743"/>
      <c r="T495" s="743"/>
      <c r="U495" s="743"/>
      <c r="V495" s="743"/>
      <c r="W495" s="743"/>
      <c r="X495" s="743"/>
      <c r="Y495" s="743"/>
      <c r="Z495" s="743"/>
      <c r="AA495" s="743"/>
      <c r="AB495" s="743"/>
      <c r="AC495" s="743"/>
      <c r="AD495" s="743"/>
      <c r="AE495" s="743"/>
      <c r="AF495" s="743"/>
      <c r="AG495" s="743"/>
      <c r="AH495" s="743"/>
      <c r="AI495" s="743"/>
      <c r="AJ495" s="743"/>
      <c r="AK495" s="743"/>
      <c r="AL495" s="743"/>
      <c r="AM495" s="743"/>
    </row>
    <row r="496" spans="1:39" ht="17.25">
      <c r="A496" s="752"/>
      <c r="B496" s="752"/>
      <c r="C496" s="752"/>
      <c r="D496" s="752"/>
      <c r="E496" s="752"/>
      <c r="F496" s="752"/>
      <c r="G496" s="752"/>
      <c r="H496" s="752"/>
      <c r="I496" s="829"/>
      <c r="J496" s="752"/>
      <c r="K496" s="752"/>
      <c r="L496" s="743"/>
      <c r="M496" s="743"/>
      <c r="N496" s="743"/>
      <c r="O496" s="743"/>
      <c r="P496" s="743"/>
      <c r="Q496" s="743"/>
      <c r="R496" s="743"/>
      <c r="S496" s="743"/>
      <c r="T496" s="743"/>
      <c r="U496" s="743"/>
      <c r="V496" s="743"/>
      <c r="W496" s="743"/>
      <c r="X496" s="743"/>
      <c r="Y496" s="743"/>
      <c r="Z496" s="743"/>
      <c r="AA496" s="743"/>
      <c r="AB496" s="743"/>
      <c r="AC496" s="743"/>
      <c r="AD496" s="743"/>
      <c r="AE496" s="743"/>
      <c r="AF496" s="743"/>
      <c r="AG496" s="743"/>
      <c r="AH496" s="743"/>
      <c r="AI496" s="743"/>
      <c r="AJ496" s="743"/>
      <c r="AK496" s="743"/>
      <c r="AL496" s="743"/>
      <c r="AM496" s="743"/>
    </row>
    <row r="497" spans="1:39" ht="17.25">
      <c r="A497" s="752"/>
      <c r="B497" s="752"/>
      <c r="C497" s="752"/>
      <c r="D497" s="752"/>
      <c r="E497" s="752"/>
      <c r="F497" s="752"/>
      <c r="G497" s="752"/>
      <c r="H497" s="752"/>
      <c r="I497" s="829"/>
      <c r="J497" s="752"/>
      <c r="K497" s="752"/>
      <c r="L497" s="743"/>
      <c r="M497" s="743"/>
      <c r="N497" s="743"/>
      <c r="O497" s="743"/>
      <c r="P497" s="743"/>
      <c r="Q497" s="743"/>
      <c r="R497" s="743"/>
      <c r="S497" s="743"/>
      <c r="T497" s="743"/>
      <c r="U497" s="743"/>
      <c r="V497" s="743"/>
      <c r="W497" s="743"/>
      <c r="X497" s="743"/>
      <c r="Y497" s="743"/>
      <c r="Z497" s="743"/>
      <c r="AA497" s="743"/>
      <c r="AB497" s="743"/>
      <c r="AC497" s="743"/>
      <c r="AD497" s="743"/>
      <c r="AE497" s="743"/>
      <c r="AF497" s="743"/>
      <c r="AG497" s="743"/>
      <c r="AH497" s="743"/>
      <c r="AI497" s="743"/>
      <c r="AJ497" s="743"/>
      <c r="AK497" s="743"/>
      <c r="AL497" s="743"/>
      <c r="AM497" s="743"/>
    </row>
    <row r="498" spans="1:39" ht="17.25">
      <c r="A498" s="752"/>
      <c r="B498" s="752"/>
      <c r="C498" s="752"/>
      <c r="D498" s="752"/>
      <c r="E498" s="752"/>
      <c r="F498" s="752"/>
      <c r="G498" s="752"/>
      <c r="H498" s="752"/>
      <c r="I498" s="829"/>
      <c r="J498" s="752"/>
      <c r="K498" s="752"/>
      <c r="L498" s="743"/>
      <c r="M498" s="743"/>
      <c r="N498" s="743"/>
      <c r="O498" s="743"/>
      <c r="P498" s="743"/>
      <c r="Q498" s="743"/>
      <c r="R498" s="743"/>
      <c r="S498" s="743"/>
      <c r="T498" s="743"/>
      <c r="U498" s="743"/>
      <c r="V498" s="743"/>
      <c r="W498" s="743"/>
      <c r="X498" s="743"/>
      <c r="Y498" s="743"/>
      <c r="Z498" s="743"/>
      <c r="AA498" s="743"/>
      <c r="AB498" s="743"/>
      <c r="AC498" s="743"/>
      <c r="AD498" s="743"/>
      <c r="AE498" s="743"/>
      <c r="AF498" s="743"/>
      <c r="AG498" s="743"/>
      <c r="AH498" s="743"/>
      <c r="AI498" s="743"/>
      <c r="AJ498" s="743"/>
      <c r="AK498" s="743"/>
      <c r="AL498" s="743"/>
      <c r="AM498" s="743"/>
    </row>
    <row r="499" spans="1:39" ht="17.25">
      <c r="A499" s="752"/>
      <c r="B499" s="752"/>
      <c r="C499" s="752"/>
      <c r="D499" s="752"/>
      <c r="E499" s="752"/>
      <c r="F499" s="752"/>
      <c r="G499" s="752"/>
      <c r="H499" s="752"/>
      <c r="I499" s="829"/>
      <c r="J499" s="752"/>
      <c r="K499" s="752"/>
      <c r="L499" s="743"/>
      <c r="M499" s="743"/>
      <c r="N499" s="743"/>
      <c r="O499" s="743"/>
      <c r="P499" s="743"/>
      <c r="Q499" s="743"/>
      <c r="R499" s="743"/>
      <c r="S499" s="743"/>
      <c r="T499" s="743"/>
      <c r="U499" s="743"/>
      <c r="V499" s="743"/>
      <c r="W499" s="743"/>
      <c r="X499" s="743"/>
      <c r="Y499" s="743"/>
      <c r="Z499" s="743"/>
      <c r="AA499" s="743"/>
      <c r="AB499" s="743"/>
      <c r="AC499" s="743"/>
      <c r="AD499" s="743"/>
      <c r="AE499" s="743"/>
      <c r="AF499" s="743"/>
      <c r="AG499" s="743"/>
      <c r="AH499" s="743"/>
      <c r="AI499" s="743"/>
      <c r="AJ499" s="743"/>
      <c r="AK499" s="743"/>
      <c r="AL499" s="743"/>
      <c r="AM499" s="743"/>
    </row>
    <row r="500" spans="1:39" ht="17.25">
      <c r="A500" s="752"/>
      <c r="B500" s="752"/>
      <c r="C500" s="752"/>
      <c r="D500" s="752"/>
      <c r="E500" s="752"/>
      <c r="F500" s="752"/>
      <c r="G500" s="752"/>
      <c r="H500" s="752"/>
      <c r="I500" s="829"/>
      <c r="J500" s="752"/>
      <c r="K500" s="752"/>
      <c r="L500" s="743"/>
      <c r="M500" s="743"/>
      <c r="N500" s="743"/>
      <c r="O500" s="743"/>
      <c r="P500" s="743"/>
      <c r="Q500" s="743"/>
      <c r="R500" s="743"/>
      <c r="S500" s="743"/>
      <c r="T500" s="743"/>
      <c r="U500" s="743"/>
      <c r="V500" s="743"/>
      <c r="W500" s="743"/>
      <c r="X500" s="743"/>
      <c r="Y500" s="743"/>
      <c r="Z500" s="743"/>
      <c r="AA500" s="743"/>
      <c r="AB500" s="743"/>
      <c r="AC500" s="743"/>
      <c r="AD500" s="743"/>
      <c r="AE500" s="743"/>
      <c r="AF500" s="743"/>
      <c r="AG500" s="743"/>
      <c r="AH500" s="743"/>
      <c r="AI500" s="743"/>
      <c r="AJ500" s="743"/>
      <c r="AK500" s="743"/>
      <c r="AL500" s="743"/>
      <c r="AM500" s="743"/>
    </row>
    <row r="501" spans="1:39" ht="17.25">
      <c r="A501" s="752"/>
      <c r="B501" s="752"/>
      <c r="C501" s="752"/>
      <c r="D501" s="752"/>
      <c r="E501" s="752"/>
      <c r="F501" s="752"/>
      <c r="G501" s="752"/>
      <c r="H501" s="752"/>
      <c r="I501" s="829"/>
      <c r="J501" s="752"/>
      <c r="K501" s="752"/>
      <c r="L501" s="743"/>
      <c r="M501" s="743"/>
      <c r="N501" s="743"/>
      <c r="O501" s="743"/>
      <c r="P501" s="743"/>
      <c r="Q501" s="743"/>
      <c r="R501" s="743"/>
      <c r="S501" s="743"/>
      <c r="T501" s="743"/>
      <c r="U501" s="743"/>
      <c r="V501" s="743"/>
      <c r="W501" s="743"/>
      <c r="X501" s="743"/>
      <c r="Y501" s="743"/>
      <c r="Z501" s="743"/>
      <c r="AA501" s="743"/>
      <c r="AB501" s="743"/>
      <c r="AC501" s="743"/>
      <c r="AD501" s="743"/>
      <c r="AE501" s="743"/>
      <c r="AF501" s="743"/>
      <c r="AG501" s="743"/>
      <c r="AH501" s="743"/>
      <c r="AI501" s="743"/>
      <c r="AJ501" s="743"/>
      <c r="AK501" s="743"/>
      <c r="AL501" s="743"/>
      <c r="AM501" s="743"/>
    </row>
    <row r="502" spans="1:39" ht="17.25">
      <c r="A502" s="752"/>
      <c r="B502" s="752"/>
      <c r="C502" s="752"/>
      <c r="D502" s="752"/>
      <c r="E502" s="752"/>
      <c r="F502" s="752"/>
      <c r="G502" s="752"/>
      <c r="H502" s="752"/>
      <c r="I502" s="829"/>
      <c r="J502" s="752"/>
      <c r="K502" s="752"/>
      <c r="L502" s="743"/>
      <c r="M502" s="743"/>
      <c r="N502" s="743"/>
      <c r="O502" s="743"/>
      <c r="P502" s="743"/>
      <c r="Q502" s="743"/>
      <c r="R502" s="743"/>
      <c r="S502" s="743"/>
      <c r="T502" s="743"/>
      <c r="U502" s="743"/>
      <c r="V502" s="743"/>
      <c r="W502" s="743"/>
      <c r="X502" s="743"/>
      <c r="Y502" s="743"/>
      <c r="Z502" s="743"/>
      <c r="AA502" s="743"/>
      <c r="AB502" s="743"/>
      <c r="AC502" s="743"/>
      <c r="AD502" s="743"/>
      <c r="AE502" s="743"/>
      <c r="AF502" s="743"/>
      <c r="AG502" s="743"/>
      <c r="AH502" s="743"/>
      <c r="AI502" s="743"/>
      <c r="AJ502" s="743"/>
      <c r="AK502" s="743"/>
      <c r="AL502" s="743"/>
      <c r="AM502" s="743"/>
    </row>
    <row r="503" spans="1:39" ht="17.25">
      <c r="A503" s="752"/>
      <c r="B503" s="752"/>
      <c r="C503" s="752"/>
      <c r="D503" s="752"/>
      <c r="E503" s="752"/>
      <c r="F503" s="752"/>
      <c r="G503" s="752"/>
      <c r="H503" s="752"/>
      <c r="I503" s="829"/>
      <c r="J503" s="752"/>
      <c r="K503" s="752"/>
      <c r="L503" s="743"/>
      <c r="M503" s="743"/>
      <c r="N503" s="743"/>
      <c r="O503" s="743"/>
      <c r="P503" s="743"/>
      <c r="Q503" s="743"/>
      <c r="R503" s="743"/>
      <c r="S503" s="743"/>
      <c r="T503" s="743"/>
      <c r="U503" s="743"/>
      <c r="V503" s="743"/>
      <c r="W503" s="743"/>
      <c r="X503" s="743"/>
      <c r="Y503" s="743"/>
      <c r="Z503" s="743"/>
      <c r="AA503" s="743"/>
      <c r="AB503" s="743"/>
      <c r="AC503" s="743"/>
      <c r="AD503" s="743"/>
      <c r="AE503" s="743"/>
      <c r="AF503" s="743"/>
      <c r="AG503" s="743"/>
      <c r="AH503" s="743"/>
      <c r="AI503" s="743"/>
      <c r="AJ503" s="743"/>
      <c r="AK503" s="743"/>
      <c r="AL503" s="743"/>
      <c r="AM503" s="743"/>
    </row>
    <row r="504" spans="1:39" ht="17.25">
      <c r="A504" s="752"/>
      <c r="B504" s="752"/>
      <c r="C504" s="752"/>
      <c r="D504" s="752"/>
      <c r="E504" s="752"/>
      <c r="F504" s="752"/>
      <c r="G504" s="752"/>
      <c r="H504" s="752"/>
      <c r="I504" s="829"/>
      <c r="J504" s="752"/>
      <c r="K504" s="752"/>
      <c r="L504" s="743"/>
      <c r="M504" s="743"/>
      <c r="N504" s="743"/>
      <c r="O504" s="743"/>
      <c r="P504" s="743"/>
      <c r="Q504" s="743"/>
      <c r="R504" s="743"/>
      <c r="S504" s="743"/>
      <c r="T504" s="743"/>
      <c r="U504" s="743"/>
      <c r="V504" s="743"/>
      <c r="W504" s="743"/>
      <c r="X504" s="743"/>
      <c r="Y504" s="743"/>
      <c r="Z504" s="743"/>
      <c r="AA504" s="743"/>
      <c r="AB504" s="743"/>
      <c r="AC504" s="743"/>
      <c r="AD504" s="743"/>
      <c r="AE504" s="743"/>
      <c r="AF504" s="743"/>
      <c r="AG504" s="743"/>
      <c r="AH504" s="743"/>
      <c r="AI504" s="743"/>
      <c r="AJ504" s="743"/>
      <c r="AK504" s="743"/>
      <c r="AL504" s="743"/>
      <c r="AM504" s="743"/>
    </row>
    <row r="505" spans="1:39" ht="17.25">
      <c r="A505" s="752"/>
      <c r="B505" s="752"/>
      <c r="C505" s="752"/>
      <c r="D505" s="752"/>
      <c r="E505" s="752"/>
      <c r="F505" s="752"/>
      <c r="G505" s="752"/>
      <c r="H505" s="752"/>
      <c r="I505" s="829"/>
      <c r="J505" s="752"/>
      <c r="K505" s="752"/>
      <c r="L505" s="743"/>
      <c r="M505" s="743"/>
      <c r="N505" s="743"/>
      <c r="O505" s="743"/>
      <c r="P505" s="743"/>
      <c r="Q505" s="743"/>
      <c r="R505" s="743"/>
      <c r="S505" s="743"/>
      <c r="T505" s="743"/>
      <c r="U505" s="743"/>
      <c r="V505" s="743"/>
      <c r="W505" s="743"/>
      <c r="X505" s="743"/>
      <c r="Y505" s="743"/>
      <c r="Z505" s="743"/>
      <c r="AA505" s="743"/>
      <c r="AB505" s="743"/>
      <c r="AC505" s="743"/>
      <c r="AD505" s="743"/>
      <c r="AE505" s="743"/>
      <c r="AF505" s="743"/>
      <c r="AG505" s="743"/>
      <c r="AH505" s="743"/>
      <c r="AI505" s="743"/>
      <c r="AJ505" s="743"/>
      <c r="AK505" s="743"/>
      <c r="AL505" s="743"/>
      <c r="AM505" s="743"/>
    </row>
    <row r="506" spans="1:39" ht="17.25">
      <c r="A506" s="752"/>
      <c r="B506" s="752"/>
      <c r="C506" s="752"/>
      <c r="D506" s="752"/>
      <c r="E506" s="752"/>
      <c r="F506" s="752"/>
      <c r="G506" s="752"/>
      <c r="H506" s="752"/>
      <c r="I506" s="829"/>
      <c r="J506" s="752"/>
      <c r="K506" s="752"/>
      <c r="L506" s="743"/>
      <c r="M506" s="743"/>
      <c r="N506" s="743"/>
      <c r="O506" s="743"/>
      <c r="P506" s="743"/>
      <c r="Q506" s="743"/>
      <c r="R506" s="743"/>
      <c r="S506" s="743"/>
      <c r="T506" s="743"/>
      <c r="U506" s="743"/>
      <c r="V506" s="743"/>
      <c r="W506" s="743"/>
      <c r="X506" s="743"/>
      <c r="Y506" s="743"/>
      <c r="Z506" s="743"/>
      <c r="AA506" s="743"/>
      <c r="AB506" s="743"/>
      <c r="AC506" s="743"/>
      <c r="AD506" s="743"/>
      <c r="AE506" s="743"/>
      <c r="AF506" s="743"/>
      <c r="AG506" s="743"/>
      <c r="AH506" s="743"/>
      <c r="AI506" s="743"/>
      <c r="AJ506" s="743"/>
      <c r="AK506" s="743"/>
      <c r="AL506" s="743"/>
      <c r="AM506" s="743"/>
    </row>
    <row r="507" spans="1:39" ht="17.25">
      <c r="A507" s="752"/>
      <c r="B507" s="752"/>
      <c r="C507" s="752"/>
      <c r="D507" s="752"/>
      <c r="E507" s="752"/>
      <c r="F507" s="752"/>
      <c r="G507" s="752"/>
      <c r="H507" s="752"/>
      <c r="I507" s="829"/>
      <c r="J507" s="752"/>
      <c r="K507" s="752"/>
      <c r="L507" s="743"/>
      <c r="M507" s="743"/>
      <c r="N507" s="743"/>
      <c r="O507" s="743"/>
      <c r="P507" s="743"/>
      <c r="Q507" s="743"/>
      <c r="R507" s="743"/>
      <c r="S507" s="743"/>
      <c r="T507" s="743"/>
      <c r="U507" s="743"/>
      <c r="V507" s="743"/>
      <c r="W507" s="743"/>
      <c r="X507" s="743"/>
      <c r="Y507" s="743"/>
      <c r="Z507" s="743"/>
      <c r="AA507" s="743"/>
      <c r="AB507" s="743"/>
      <c r="AC507" s="743"/>
      <c r="AD507" s="743"/>
      <c r="AE507" s="743"/>
      <c r="AF507" s="743"/>
      <c r="AG507" s="743"/>
      <c r="AH507" s="743"/>
      <c r="AI507" s="743"/>
      <c r="AJ507" s="743"/>
      <c r="AK507" s="743"/>
      <c r="AL507" s="743"/>
      <c r="AM507" s="743"/>
    </row>
    <row r="508" spans="1:39" ht="17.25">
      <c r="A508" s="752"/>
      <c r="B508" s="752"/>
      <c r="C508" s="752"/>
      <c r="D508" s="752"/>
      <c r="E508" s="752"/>
      <c r="F508" s="752"/>
      <c r="G508" s="752"/>
      <c r="H508" s="752"/>
      <c r="I508" s="829"/>
      <c r="J508" s="752"/>
      <c r="K508" s="752"/>
      <c r="L508" s="743"/>
      <c r="M508" s="743"/>
      <c r="N508" s="743"/>
      <c r="O508" s="743"/>
      <c r="P508" s="743"/>
      <c r="Q508" s="743"/>
      <c r="R508" s="743"/>
      <c r="S508" s="743"/>
      <c r="T508" s="743"/>
      <c r="U508" s="743"/>
      <c r="V508" s="743"/>
      <c r="W508" s="743"/>
      <c r="X508" s="743"/>
      <c r="Y508" s="743"/>
      <c r="Z508" s="743"/>
      <c r="AA508" s="743"/>
      <c r="AB508" s="743"/>
      <c r="AC508" s="743"/>
      <c r="AD508" s="743"/>
      <c r="AE508" s="743"/>
      <c r="AF508" s="743"/>
      <c r="AG508" s="743"/>
      <c r="AH508" s="743"/>
      <c r="AI508" s="743"/>
      <c r="AJ508" s="743"/>
      <c r="AK508" s="743"/>
      <c r="AL508" s="743"/>
      <c r="AM508" s="743"/>
    </row>
    <row r="509" spans="1:39" ht="17.25">
      <c r="A509" s="752"/>
      <c r="B509" s="752"/>
      <c r="C509" s="752"/>
      <c r="D509" s="752"/>
      <c r="E509" s="752"/>
      <c r="F509" s="752"/>
      <c r="G509" s="752"/>
      <c r="H509" s="752"/>
      <c r="I509" s="829"/>
      <c r="J509" s="752"/>
      <c r="K509" s="752"/>
      <c r="L509" s="743"/>
      <c r="M509" s="743"/>
      <c r="N509" s="743"/>
      <c r="O509" s="743"/>
      <c r="P509" s="743"/>
      <c r="Q509" s="743"/>
      <c r="R509" s="743"/>
      <c r="S509" s="743"/>
      <c r="T509" s="743"/>
      <c r="U509" s="743"/>
      <c r="V509" s="743"/>
      <c r="W509" s="743"/>
      <c r="X509" s="743"/>
      <c r="Y509" s="743"/>
      <c r="Z509" s="743"/>
      <c r="AA509" s="743"/>
      <c r="AB509" s="743"/>
      <c r="AC509" s="743"/>
      <c r="AD509" s="743"/>
      <c r="AE509" s="743"/>
      <c r="AF509" s="743"/>
      <c r="AG509" s="743"/>
      <c r="AH509" s="743"/>
      <c r="AI509" s="743"/>
      <c r="AJ509" s="743"/>
      <c r="AK509" s="743"/>
      <c r="AL509" s="743"/>
      <c r="AM509" s="743"/>
    </row>
    <row r="510" spans="1:39" ht="17.25">
      <c r="A510" s="752"/>
      <c r="B510" s="752"/>
      <c r="C510" s="752"/>
      <c r="D510" s="752"/>
      <c r="E510" s="752"/>
      <c r="F510" s="752"/>
      <c r="G510" s="752"/>
      <c r="H510" s="752"/>
      <c r="I510" s="829"/>
      <c r="J510" s="752"/>
      <c r="K510" s="752"/>
      <c r="L510" s="743"/>
      <c r="M510" s="743"/>
      <c r="N510" s="743"/>
      <c r="O510" s="743"/>
      <c r="P510" s="743"/>
      <c r="Q510" s="743"/>
      <c r="R510" s="743"/>
      <c r="S510" s="743"/>
      <c r="T510" s="743"/>
      <c r="U510" s="743"/>
      <c r="V510" s="743"/>
      <c r="W510" s="743"/>
      <c r="X510" s="743"/>
      <c r="Y510" s="743"/>
      <c r="Z510" s="743"/>
      <c r="AA510" s="743"/>
      <c r="AB510" s="743"/>
      <c r="AC510" s="743"/>
      <c r="AD510" s="743"/>
      <c r="AE510" s="743"/>
      <c r="AF510" s="743"/>
      <c r="AG510" s="743"/>
      <c r="AH510" s="743"/>
      <c r="AI510" s="743"/>
      <c r="AJ510" s="743"/>
      <c r="AK510" s="743"/>
      <c r="AL510" s="743"/>
      <c r="AM510" s="743"/>
    </row>
    <row r="511" spans="1:39" ht="17.25">
      <c r="A511" s="752"/>
      <c r="B511" s="752"/>
      <c r="C511" s="752"/>
      <c r="D511" s="752"/>
      <c r="E511" s="752"/>
      <c r="F511" s="752"/>
      <c r="G511" s="752"/>
      <c r="H511" s="752"/>
      <c r="I511" s="829"/>
      <c r="J511" s="752"/>
      <c r="K511" s="752"/>
      <c r="L511" s="743"/>
      <c r="M511" s="743"/>
      <c r="N511" s="743"/>
      <c r="O511" s="743"/>
      <c r="P511" s="743"/>
      <c r="Q511" s="743"/>
      <c r="R511" s="743"/>
      <c r="S511" s="743"/>
      <c r="T511" s="743"/>
      <c r="U511" s="743"/>
      <c r="V511" s="743"/>
      <c r="W511" s="743"/>
      <c r="X511" s="743"/>
      <c r="Y511" s="743"/>
      <c r="Z511" s="743"/>
      <c r="AA511" s="743"/>
      <c r="AB511" s="743"/>
      <c r="AC511" s="743"/>
      <c r="AD511" s="743"/>
      <c r="AE511" s="743"/>
      <c r="AF511" s="743"/>
      <c r="AG511" s="743"/>
      <c r="AH511" s="743"/>
      <c r="AI511" s="743"/>
      <c r="AJ511" s="743"/>
      <c r="AK511" s="743"/>
      <c r="AL511" s="743"/>
      <c r="AM511" s="743"/>
    </row>
    <row r="512" spans="1:39" ht="17.25">
      <c r="A512" s="752"/>
      <c r="B512" s="752"/>
      <c r="C512" s="752"/>
      <c r="D512" s="752"/>
      <c r="E512" s="752"/>
      <c r="F512" s="752"/>
      <c r="G512" s="752"/>
      <c r="H512" s="752"/>
      <c r="I512" s="829"/>
      <c r="J512" s="752"/>
      <c r="K512" s="752"/>
      <c r="L512" s="743"/>
      <c r="M512" s="743"/>
      <c r="N512" s="743"/>
      <c r="O512" s="743"/>
      <c r="P512" s="743"/>
      <c r="Q512" s="743"/>
      <c r="R512" s="743"/>
      <c r="S512" s="743"/>
      <c r="T512" s="743"/>
      <c r="U512" s="743"/>
      <c r="V512" s="743"/>
      <c r="W512" s="743"/>
      <c r="X512" s="743"/>
      <c r="Y512" s="743"/>
      <c r="Z512" s="743"/>
      <c r="AA512" s="743"/>
      <c r="AB512" s="743"/>
      <c r="AC512" s="743"/>
      <c r="AD512" s="743"/>
      <c r="AE512" s="743"/>
      <c r="AF512" s="743"/>
      <c r="AG512" s="743"/>
      <c r="AH512" s="743"/>
      <c r="AI512" s="743"/>
      <c r="AJ512" s="743"/>
      <c r="AK512" s="743"/>
      <c r="AL512" s="743"/>
      <c r="AM512" s="743"/>
    </row>
    <row r="513" spans="1:39" ht="17.25">
      <c r="A513" s="752"/>
      <c r="B513" s="752"/>
      <c r="C513" s="752"/>
      <c r="D513" s="752"/>
      <c r="E513" s="752"/>
      <c r="F513" s="752"/>
      <c r="G513" s="752"/>
      <c r="H513" s="752"/>
      <c r="I513" s="829"/>
      <c r="J513" s="752"/>
      <c r="K513" s="752"/>
      <c r="L513" s="743"/>
      <c r="M513" s="743"/>
      <c r="N513" s="743"/>
      <c r="O513" s="743"/>
      <c r="P513" s="743"/>
      <c r="Q513" s="743"/>
      <c r="R513" s="743"/>
      <c r="S513" s="743"/>
      <c r="T513" s="743"/>
      <c r="U513" s="743"/>
      <c r="V513" s="743"/>
      <c r="W513" s="743"/>
      <c r="X513" s="743"/>
      <c r="Y513" s="743"/>
      <c r="Z513" s="743"/>
      <c r="AA513" s="743"/>
      <c r="AB513" s="743"/>
      <c r="AC513" s="743"/>
      <c r="AD513" s="743"/>
      <c r="AE513" s="743"/>
      <c r="AF513" s="743"/>
      <c r="AG513" s="743"/>
      <c r="AH513" s="743"/>
      <c r="AI513" s="743"/>
      <c r="AJ513" s="743"/>
      <c r="AK513" s="743"/>
      <c r="AL513" s="743"/>
      <c r="AM513" s="743"/>
    </row>
    <row r="514" spans="1:39" ht="17.25">
      <c r="A514" s="752"/>
      <c r="B514" s="752"/>
      <c r="C514" s="752"/>
      <c r="D514" s="752"/>
      <c r="E514" s="752"/>
      <c r="F514" s="752"/>
      <c r="G514" s="752"/>
      <c r="H514" s="752"/>
      <c r="I514" s="829"/>
      <c r="J514" s="752"/>
      <c r="K514" s="752"/>
      <c r="L514" s="743"/>
      <c r="M514" s="743"/>
      <c r="N514" s="743"/>
      <c r="O514" s="743"/>
      <c r="P514" s="743"/>
      <c r="Q514" s="743"/>
      <c r="R514" s="743"/>
      <c r="S514" s="743"/>
      <c r="T514" s="743"/>
      <c r="U514" s="743"/>
      <c r="V514" s="743"/>
      <c r="W514" s="743"/>
      <c r="X514" s="743"/>
      <c r="Y514" s="743"/>
      <c r="Z514" s="743"/>
      <c r="AA514" s="743"/>
      <c r="AB514" s="743"/>
      <c r="AC514" s="743"/>
      <c r="AD514" s="743"/>
      <c r="AE514" s="743"/>
      <c r="AF514" s="743"/>
      <c r="AG514" s="743"/>
      <c r="AH514" s="743"/>
      <c r="AI514" s="743"/>
      <c r="AJ514" s="743"/>
      <c r="AK514" s="743"/>
      <c r="AL514" s="743"/>
      <c r="AM514" s="743"/>
    </row>
    <row r="515" spans="1:39" ht="17.25">
      <c r="A515" s="752"/>
      <c r="B515" s="752"/>
      <c r="C515" s="752"/>
      <c r="D515" s="752"/>
      <c r="E515" s="752"/>
      <c r="F515" s="752"/>
      <c r="G515" s="752"/>
      <c r="H515" s="752"/>
      <c r="I515" s="829"/>
      <c r="J515" s="752"/>
      <c r="K515" s="752"/>
      <c r="L515" s="743"/>
      <c r="M515" s="743"/>
      <c r="N515" s="743"/>
      <c r="O515" s="743"/>
      <c r="P515" s="743"/>
      <c r="Q515" s="743"/>
      <c r="R515" s="743"/>
      <c r="S515" s="743"/>
      <c r="T515" s="743"/>
      <c r="U515" s="743"/>
      <c r="V515" s="743"/>
      <c r="W515" s="743"/>
      <c r="X515" s="743"/>
      <c r="Y515" s="743"/>
      <c r="Z515" s="743"/>
      <c r="AA515" s="743"/>
      <c r="AB515" s="743"/>
      <c r="AC515" s="743"/>
      <c r="AD515" s="743"/>
      <c r="AE515" s="743"/>
      <c r="AF515" s="743"/>
      <c r="AG515" s="743"/>
      <c r="AH515" s="743"/>
      <c r="AI515" s="743"/>
      <c r="AJ515" s="743"/>
      <c r="AK515" s="743"/>
      <c r="AL515" s="743"/>
      <c r="AM515" s="743"/>
    </row>
    <row r="516" spans="1:39" ht="17.25">
      <c r="A516" s="752"/>
      <c r="B516" s="752"/>
      <c r="C516" s="752"/>
      <c r="D516" s="752"/>
      <c r="E516" s="752"/>
      <c r="F516" s="752"/>
      <c r="G516" s="752"/>
      <c r="H516" s="752"/>
      <c r="I516" s="829"/>
      <c r="J516" s="752"/>
      <c r="K516" s="752"/>
      <c r="L516" s="743"/>
      <c r="M516" s="743"/>
      <c r="N516" s="743"/>
      <c r="O516" s="743"/>
      <c r="P516" s="743"/>
      <c r="Q516" s="743"/>
      <c r="R516" s="743"/>
      <c r="S516" s="743"/>
      <c r="T516" s="743"/>
      <c r="U516" s="743"/>
      <c r="V516" s="743"/>
      <c r="W516" s="743"/>
      <c r="X516" s="743"/>
      <c r="Y516" s="743"/>
      <c r="Z516" s="743"/>
      <c r="AA516" s="743"/>
      <c r="AB516" s="743"/>
      <c r="AC516" s="743"/>
      <c r="AD516" s="743"/>
      <c r="AE516" s="743"/>
      <c r="AF516" s="743"/>
      <c r="AG516" s="743"/>
      <c r="AH516" s="743"/>
      <c r="AI516" s="743"/>
      <c r="AJ516" s="743"/>
      <c r="AK516" s="743"/>
      <c r="AL516" s="743"/>
      <c r="AM516" s="743"/>
    </row>
    <row r="517" spans="1:39" ht="17.25">
      <c r="A517" s="752"/>
      <c r="B517" s="752"/>
      <c r="C517" s="752"/>
      <c r="D517" s="752"/>
      <c r="E517" s="752"/>
      <c r="F517" s="752"/>
      <c r="G517" s="752"/>
      <c r="H517" s="752"/>
      <c r="I517" s="829"/>
      <c r="J517" s="752"/>
      <c r="K517" s="752"/>
      <c r="L517" s="743"/>
      <c r="M517" s="743"/>
      <c r="N517" s="743"/>
      <c r="O517" s="743"/>
      <c r="P517" s="743"/>
      <c r="Q517" s="743"/>
      <c r="R517" s="743"/>
      <c r="S517" s="743"/>
      <c r="T517" s="743"/>
      <c r="U517" s="743"/>
      <c r="V517" s="743"/>
      <c r="W517" s="743"/>
      <c r="X517" s="743"/>
      <c r="Y517" s="743"/>
      <c r="Z517" s="743"/>
      <c r="AA517" s="743"/>
      <c r="AB517" s="743"/>
      <c r="AC517" s="743"/>
      <c r="AD517" s="743"/>
      <c r="AE517" s="743"/>
      <c r="AF517" s="743"/>
      <c r="AG517" s="743"/>
      <c r="AH517" s="743"/>
      <c r="AI517" s="743"/>
      <c r="AJ517" s="743"/>
      <c r="AK517" s="743"/>
      <c r="AL517" s="743"/>
      <c r="AM517" s="743"/>
    </row>
    <row r="518" spans="1:39" ht="17.25">
      <c r="A518" s="752"/>
      <c r="B518" s="752"/>
      <c r="C518" s="752"/>
      <c r="D518" s="752"/>
      <c r="E518" s="752"/>
      <c r="F518" s="752"/>
      <c r="G518" s="752"/>
      <c r="H518" s="752"/>
      <c r="I518" s="829"/>
      <c r="J518" s="752"/>
      <c r="K518" s="752"/>
      <c r="L518" s="743"/>
      <c r="M518" s="743"/>
      <c r="N518" s="743"/>
      <c r="O518" s="743"/>
      <c r="P518" s="743"/>
      <c r="Q518" s="743"/>
      <c r="R518" s="743"/>
      <c r="S518" s="743"/>
      <c r="T518" s="743"/>
      <c r="U518" s="743"/>
      <c r="V518" s="743"/>
      <c r="W518" s="743"/>
      <c r="X518" s="743"/>
      <c r="Y518" s="743"/>
      <c r="Z518" s="743"/>
      <c r="AA518" s="743"/>
      <c r="AB518" s="743"/>
      <c r="AC518" s="743"/>
      <c r="AD518" s="743"/>
      <c r="AE518" s="743"/>
      <c r="AF518" s="743"/>
      <c r="AG518" s="743"/>
      <c r="AH518" s="743"/>
      <c r="AI518" s="743"/>
      <c r="AJ518" s="743"/>
      <c r="AK518" s="743"/>
      <c r="AL518" s="743"/>
      <c r="AM518" s="743"/>
    </row>
    <row r="519" spans="1:39" ht="17.25">
      <c r="A519" s="752"/>
      <c r="B519" s="752"/>
      <c r="C519" s="752"/>
      <c r="D519" s="752"/>
      <c r="E519" s="752"/>
      <c r="F519" s="752"/>
      <c r="G519" s="752"/>
      <c r="H519" s="752"/>
      <c r="I519" s="829"/>
      <c r="J519" s="752"/>
      <c r="K519" s="752"/>
      <c r="L519" s="743"/>
      <c r="M519" s="743"/>
      <c r="N519" s="743"/>
      <c r="O519" s="743"/>
      <c r="P519" s="743"/>
      <c r="Q519" s="743"/>
      <c r="R519" s="743"/>
      <c r="S519" s="743"/>
      <c r="T519" s="743"/>
      <c r="U519" s="743"/>
      <c r="V519" s="743"/>
      <c r="W519" s="743"/>
      <c r="X519" s="743"/>
      <c r="Y519" s="743"/>
      <c r="Z519" s="743"/>
      <c r="AA519" s="743"/>
      <c r="AB519" s="743"/>
      <c r="AC519" s="743"/>
      <c r="AD519" s="743"/>
      <c r="AE519" s="743"/>
      <c r="AF519" s="743"/>
      <c r="AG519" s="743"/>
      <c r="AH519" s="743"/>
      <c r="AI519" s="743"/>
      <c r="AJ519" s="743"/>
      <c r="AK519" s="743"/>
      <c r="AL519" s="743"/>
      <c r="AM519" s="743"/>
    </row>
    <row r="520" spans="1:39" ht="17.25">
      <c r="A520" s="752"/>
      <c r="B520" s="752"/>
      <c r="C520" s="752"/>
      <c r="D520" s="752"/>
      <c r="E520" s="752"/>
      <c r="F520" s="752"/>
      <c r="G520" s="752"/>
      <c r="H520" s="752"/>
      <c r="I520" s="829"/>
      <c r="J520" s="752"/>
      <c r="K520" s="752"/>
      <c r="L520" s="743"/>
      <c r="M520" s="743"/>
      <c r="N520" s="743"/>
      <c r="O520" s="743"/>
      <c r="P520" s="743"/>
      <c r="Q520" s="743"/>
      <c r="R520" s="743"/>
      <c r="S520" s="743"/>
      <c r="T520" s="743"/>
      <c r="U520" s="743"/>
      <c r="V520" s="743"/>
      <c r="W520" s="743"/>
      <c r="X520" s="743"/>
      <c r="Y520" s="743"/>
      <c r="Z520" s="743"/>
      <c r="AA520" s="743"/>
      <c r="AB520" s="743"/>
      <c r="AC520" s="743"/>
      <c r="AD520" s="743"/>
      <c r="AE520" s="743"/>
      <c r="AF520" s="743"/>
      <c r="AG520" s="743"/>
      <c r="AH520" s="743"/>
      <c r="AI520" s="743"/>
      <c r="AJ520" s="743"/>
      <c r="AK520" s="743"/>
      <c r="AL520" s="743"/>
      <c r="AM520" s="743"/>
    </row>
    <row r="521" spans="1:39" ht="17.25">
      <c r="A521" s="752"/>
      <c r="B521" s="752"/>
      <c r="C521" s="752"/>
      <c r="D521" s="752"/>
      <c r="E521" s="752"/>
      <c r="F521" s="752"/>
      <c r="G521" s="752"/>
      <c r="H521" s="752"/>
      <c r="I521" s="829"/>
      <c r="J521" s="752"/>
      <c r="K521" s="752"/>
      <c r="L521" s="743"/>
      <c r="M521" s="743"/>
      <c r="N521" s="743"/>
      <c r="O521" s="743"/>
      <c r="P521" s="743"/>
      <c r="Q521" s="743"/>
      <c r="R521" s="743"/>
      <c r="S521" s="743"/>
      <c r="T521" s="743"/>
      <c r="U521" s="743"/>
      <c r="V521" s="743"/>
      <c r="W521" s="743"/>
      <c r="X521" s="743"/>
      <c r="Y521" s="743"/>
      <c r="Z521" s="743"/>
      <c r="AA521" s="743"/>
      <c r="AB521" s="743"/>
      <c r="AC521" s="743"/>
      <c r="AD521" s="743"/>
      <c r="AE521" s="743"/>
      <c r="AF521" s="743"/>
      <c r="AG521" s="743"/>
      <c r="AH521" s="743"/>
      <c r="AI521" s="743"/>
      <c r="AJ521" s="743"/>
      <c r="AK521" s="743"/>
      <c r="AL521" s="743"/>
      <c r="AM521" s="743"/>
    </row>
    <row r="522" spans="1:39" ht="17.25">
      <c r="A522" s="752"/>
      <c r="B522" s="752"/>
      <c r="C522" s="752"/>
      <c r="D522" s="752"/>
      <c r="E522" s="752"/>
      <c r="F522" s="752"/>
      <c r="G522" s="752"/>
      <c r="H522" s="752"/>
      <c r="I522" s="829"/>
      <c r="J522" s="752"/>
      <c r="K522" s="752"/>
      <c r="L522" s="743"/>
      <c r="M522" s="743"/>
      <c r="N522" s="743"/>
      <c r="O522" s="743"/>
      <c r="P522" s="743"/>
      <c r="Q522" s="743"/>
      <c r="R522" s="743"/>
      <c r="S522" s="743"/>
      <c r="T522" s="743"/>
      <c r="U522" s="743"/>
      <c r="V522" s="743"/>
      <c r="W522" s="743"/>
      <c r="X522" s="743"/>
      <c r="Y522" s="743"/>
      <c r="Z522" s="743"/>
      <c r="AA522" s="743"/>
      <c r="AB522" s="743"/>
      <c r="AC522" s="743"/>
      <c r="AD522" s="743"/>
      <c r="AE522" s="743"/>
      <c r="AF522" s="743"/>
      <c r="AG522" s="743"/>
      <c r="AH522" s="743"/>
      <c r="AI522" s="743"/>
      <c r="AJ522" s="743"/>
      <c r="AK522" s="743"/>
      <c r="AL522" s="743"/>
      <c r="AM522" s="743"/>
    </row>
    <row r="523" spans="1:39" ht="17.25">
      <c r="A523" s="752"/>
      <c r="B523" s="752"/>
      <c r="C523" s="752"/>
      <c r="D523" s="752"/>
      <c r="E523" s="752"/>
      <c r="F523" s="752"/>
      <c r="G523" s="752"/>
      <c r="H523" s="752"/>
      <c r="I523" s="829"/>
      <c r="J523" s="752"/>
      <c r="K523" s="752"/>
      <c r="L523" s="743"/>
      <c r="M523" s="743"/>
      <c r="N523" s="743"/>
      <c r="O523" s="743"/>
      <c r="P523" s="743"/>
      <c r="Q523" s="743"/>
      <c r="R523" s="743"/>
      <c r="S523" s="743"/>
      <c r="T523" s="743"/>
      <c r="U523" s="743"/>
      <c r="V523" s="743"/>
      <c r="W523" s="743"/>
      <c r="X523" s="743"/>
      <c r="Y523" s="743"/>
      <c r="Z523" s="743"/>
      <c r="AA523" s="743"/>
      <c r="AB523" s="743"/>
      <c r="AC523" s="743"/>
      <c r="AD523" s="743"/>
      <c r="AE523" s="743"/>
      <c r="AF523" s="743"/>
      <c r="AG523" s="743"/>
      <c r="AH523" s="743"/>
      <c r="AI523" s="743"/>
      <c r="AJ523" s="743"/>
      <c r="AK523" s="743"/>
      <c r="AL523" s="743"/>
      <c r="AM523" s="743"/>
    </row>
    <row r="524" spans="1:39" ht="17.25">
      <c r="A524" s="752"/>
      <c r="B524" s="752"/>
      <c r="C524" s="752"/>
      <c r="D524" s="752"/>
      <c r="E524" s="752"/>
      <c r="F524" s="752"/>
      <c r="G524" s="752"/>
      <c r="H524" s="752"/>
      <c r="I524" s="829"/>
      <c r="J524" s="752"/>
      <c r="K524" s="752"/>
      <c r="L524" s="743"/>
      <c r="M524" s="743"/>
      <c r="N524" s="743"/>
      <c r="O524" s="743"/>
      <c r="P524" s="743"/>
      <c r="Q524" s="743"/>
      <c r="R524" s="743"/>
      <c r="S524" s="743"/>
      <c r="T524" s="743"/>
      <c r="U524" s="743"/>
      <c r="V524" s="743"/>
      <c r="W524" s="743"/>
      <c r="X524" s="743"/>
      <c r="Y524" s="743"/>
      <c r="Z524" s="743"/>
      <c r="AA524" s="743"/>
      <c r="AB524" s="743"/>
      <c r="AC524" s="743"/>
      <c r="AD524" s="743"/>
      <c r="AE524" s="743"/>
      <c r="AF524" s="743"/>
      <c r="AG524" s="743"/>
      <c r="AH524" s="743"/>
      <c r="AI524" s="743"/>
      <c r="AJ524" s="743"/>
      <c r="AK524" s="743"/>
      <c r="AL524" s="743"/>
      <c r="AM524" s="743"/>
    </row>
    <row r="525" spans="1:39" ht="17.25">
      <c r="A525" s="752"/>
      <c r="B525" s="752"/>
      <c r="C525" s="752"/>
      <c r="D525" s="752"/>
      <c r="E525" s="752"/>
      <c r="F525" s="752"/>
      <c r="G525" s="752"/>
      <c r="H525" s="752"/>
      <c r="I525" s="829"/>
      <c r="J525" s="752"/>
      <c r="K525" s="752"/>
      <c r="L525" s="743"/>
      <c r="M525" s="743"/>
      <c r="N525" s="743"/>
      <c r="O525" s="743"/>
      <c r="P525" s="743"/>
      <c r="Q525" s="743"/>
      <c r="R525" s="743"/>
      <c r="S525" s="743"/>
      <c r="T525" s="743"/>
      <c r="U525" s="743"/>
      <c r="V525" s="743"/>
      <c r="W525" s="743"/>
      <c r="X525" s="743"/>
      <c r="Y525" s="743"/>
      <c r="Z525" s="743"/>
      <c r="AA525" s="743"/>
      <c r="AB525" s="743"/>
      <c r="AC525" s="743"/>
      <c r="AD525" s="743"/>
      <c r="AE525" s="743"/>
      <c r="AF525" s="743"/>
      <c r="AG525" s="743"/>
      <c r="AH525" s="743"/>
      <c r="AI525" s="743"/>
      <c r="AJ525" s="743"/>
      <c r="AK525" s="743"/>
      <c r="AL525" s="743"/>
      <c r="AM525" s="743"/>
    </row>
    <row r="526" spans="1:39" ht="17.25">
      <c r="A526" s="752"/>
      <c r="B526" s="752"/>
      <c r="C526" s="752"/>
      <c r="D526" s="752"/>
      <c r="E526" s="752"/>
      <c r="F526" s="752"/>
      <c r="G526" s="752"/>
      <c r="H526" s="752"/>
      <c r="I526" s="829"/>
      <c r="J526" s="752"/>
      <c r="K526" s="752"/>
      <c r="L526" s="743"/>
      <c r="M526" s="743"/>
      <c r="N526" s="743"/>
      <c r="O526" s="743"/>
      <c r="P526" s="743"/>
      <c r="Q526" s="743"/>
      <c r="R526" s="743"/>
      <c r="S526" s="743"/>
      <c r="T526" s="743"/>
      <c r="U526" s="743"/>
      <c r="V526" s="743"/>
      <c r="W526" s="743"/>
      <c r="X526" s="743"/>
      <c r="Y526" s="743"/>
      <c r="Z526" s="743"/>
      <c r="AA526" s="743"/>
      <c r="AB526" s="743"/>
      <c r="AC526" s="743"/>
      <c r="AD526" s="743"/>
      <c r="AE526" s="743"/>
      <c r="AF526" s="743"/>
      <c r="AG526" s="743"/>
      <c r="AH526" s="743"/>
      <c r="AI526" s="743"/>
      <c r="AJ526" s="743"/>
      <c r="AK526" s="743"/>
      <c r="AL526" s="743"/>
      <c r="AM526" s="743"/>
    </row>
    <row r="527" spans="1:39" ht="17.25">
      <c r="A527" s="752"/>
      <c r="B527" s="752"/>
      <c r="C527" s="752"/>
      <c r="D527" s="752"/>
      <c r="E527" s="752"/>
      <c r="F527" s="752"/>
      <c r="G527" s="752"/>
      <c r="H527" s="752"/>
      <c r="I527" s="829"/>
      <c r="J527" s="752"/>
      <c r="K527" s="752"/>
      <c r="L527" s="743"/>
      <c r="M527" s="743"/>
      <c r="N527" s="743"/>
      <c r="O527" s="743"/>
      <c r="P527" s="743"/>
      <c r="Q527" s="743"/>
      <c r="R527" s="743"/>
      <c r="S527" s="743"/>
      <c r="T527" s="743"/>
      <c r="U527" s="743"/>
      <c r="V527" s="743"/>
      <c r="W527" s="743"/>
      <c r="X527" s="743"/>
      <c r="Y527" s="743"/>
      <c r="Z527" s="743"/>
      <c r="AA527" s="743"/>
      <c r="AB527" s="743"/>
      <c r="AC527" s="743"/>
      <c r="AD527" s="743"/>
      <c r="AE527" s="743"/>
      <c r="AF527" s="743"/>
      <c r="AG527" s="743"/>
      <c r="AH527" s="743"/>
      <c r="AI527" s="743"/>
      <c r="AJ527" s="743"/>
      <c r="AK527" s="743"/>
      <c r="AL527" s="743"/>
      <c r="AM527" s="743"/>
    </row>
    <row r="528" spans="1:39" ht="17.25">
      <c r="A528" s="752"/>
      <c r="B528" s="752"/>
      <c r="C528" s="752"/>
      <c r="D528" s="752"/>
      <c r="E528" s="752"/>
      <c r="F528" s="752"/>
      <c r="G528" s="752"/>
      <c r="H528" s="752"/>
      <c r="I528" s="829"/>
      <c r="J528" s="752"/>
      <c r="K528" s="752"/>
      <c r="L528" s="743"/>
      <c r="M528" s="743"/>
      <c r="N528" s="743"/>
      <c r="O528" s="743"/>
      <c r="P528" s="743"/>
      <c r="Q528" s="743"/>
      <c r="R528" s="743"/>
      <c r="S528" s="743"/>
      <c r="T528" s="743"/>
      <c r="U528" s="743"/>
      <c r="V528" s="743"/>
      <c r="W528" s="743"/>
      <c r="X528" s="743"/>
      <c r="Y528" s="743"/>
      <c r="Z528" s="743"/>
      <c r="AA528" s="743"/>
      <c r="AB528" s="743"/>
      <c r="AC528" s="743"/>
      <c r="AD528" s="743"/>
      <c r="AE528" s="743"/>
      <c r="AF528" s="743"/>
      <c r="AG528" s="743"/>
      <c r="AH528" s="743"/>
      <c r="AI528" s="743"/>
      <c r="AJ528" s="743"/>
      <c r="AK528" s="743"/>
      <c r="AL528" s="743"/>
      <c r="AM528" s="743"/>
    </row>
    <row r="529" spans="1:39" ht="17.25">
      <c r="A529" s="752"/>
      <c r="B529" s="752"/>
      <c r="C529" s="752"/>
      <c r="D529" s="752"/>
      <c r="E529" s="752"/>
      <c r="F529" s="752"/>
      <c r="G529" s="752"/>
      <c r="H529" s="752"/>
      <c r="I529" s="829"/>
      <c r="J529" s="752"/>
      <c r="K529" s="752"/>
      <c r="L529" s="743"/>
      <c r="M529" s="743"/>
      <c r="N529" s="743"/>
      <c r="O529" s="743"/>
      <c r="P529" s="743"/>
      <c r="Q529" s="743"/>
      <c r="R529" s="743"/>
      <c r="S529" s="743"/>
      <c r="T529" s="743"/>
      <c r="U529" s="743"/>
      <c r="V529" s="743"/>
      <c r="W529" s="743"/>
      <c r="X529" s="743"/>
      <c r="Y529" s="743"/>
      <c r="Z529" s="743"/>
      <c r="AA529" s="743"/>
      <c r="AB529" s="743"/>
      <c r="AC529" s="743"/>
      <c r="AD529" s="743"/>
      <c r="AE529" s="743"/>
      <c r="AF529" s="743"/>
      <c r="AG529" s="743"/>
      <c r="AH529" s="743"/>
      <c r="AI529" s="743"/>
      <c r="AJ529" s="743"/>
      <c r="AK529" s="743"/>
      <c r="AL529" s="743"/>
      <c r="AM529" s="743"/>
    </row>
    <row r="530" spans="1:39" ht="17.25">
      <c r="A530" s="752"/>
      <c r="B530" s="752"/>
      <c r="C530" s="752"/>
      <c r="D530" s="752"/>
      <c r="E530" s="752"/>
      <c r="F530" s="752"/>
      <c r="G530" s="752"/>
      <c r="H530" s="752"/>
      <c r="I530" s="829"/>
      <c r="J530" s="752"/>
      <c r="K530" s="752"/>
      <c r="L530" s="743"/>
      <c r="M530" s="743"/>
      <c r="N530" s="743"/>
      <c r="O530" s="743"/>
      <c r="P530" s="743"/>
      <c r="Q530" s="743"/>
      <c r="R530" s="743"/>
      <c r="S530" s="743"/>
      <c r="T530" s="743"/>
      <c r="U530" s="743"/>
      <c r="V530" s="743"/>
      <c r="W530" s="743"/>
      <c r="X530" s="743"/>
      <c r="Y530" s="743"/>
      <c r="Z530" s="743"/>
      <c r="AA530" s="743"/>
      <c r="AB530" s="743"/>
      <c r="AC530" s="743"/>
      <c r="AD530" s="743"/>
      <c r="AE530" s="743"/>
      <c r="AF530" s="743"/>
      <c r="AG530" s="743"/>
      <c r="AH530" s="743"/>
      <c r="AI530" s="743"/>
      <c r="AJ530" s="743"/>
      <c r="AK530" s="743"/>
      <c r="AL530" s="743"/>
      <c r="AM530" s="743"/>
    </row>
    <row r="531" spans="1:39" ht="17.25">
      <c r="A531" s="752"/>
      <c r="B531" s="752"/>
      <c r="C531" s="752"/>
      <c r="D531" s="752"/>
      <c r="E531" s="752"/>
      <c r="F531" s="752"/>
      <c r="G531" s="752"/>
      <c r="H531" s="752"/>
      <c r="I531" s="829"/>
      <c r="J531" s="752"/>
      <c r="K531" s="752"/>
      <c r="L531" s="743"/>
      <c r="M531" s="743"/>
      <c r="N531" s="743"/>
      <c r="O531" s="743"/>
      <c r="P531" s="743"/>
      <c r="Q531" s="743"/>
      <c r="R531" s="743"/>
      <c r="S531" s="743"/>
      <c r="T531" s="743"/>
      <c r="U531" s="743"/>
      <c r="V531" s="743"/>
      <c r="W531" s="743"/>
      <c r="X531" s="743"/>
      <c r="Y531" s="743"/>
      <c r="Z531" s="743"/>
      <c r="AA531" s="743"/>
      <c r="AB531" s="743"/>
      <c r="AC531" s="743"/>
      <c r="AD531" s="743"/>
      <c r="AE531" s="743"/>
      <c r="AF531" s="743"/>
      <c r="AG531" s="743"/>
      <c r="AH531" s="743"/>
      <c r="AI531" s="743"/>
      <c r="AJ531" s="743"/>
      <c r="AK531" s="743"/>
      <c r="AL531" s="743"/>
      <c r="AM531" s="743"/>
    </row>
    <row r="532" spans="1:39" ht="17.25">
      <c r="A532" s="752"/>
      <c r="B532" s="752"/>
      <c r="C532" s="752"/>
      <c r="D532" s="752"/>
      <c r="E532" s="752"/>
      <c r="F532" s="752"/>
      <c r="G532" s="752"/>
      <c r="H532" s="752"/>
      <c r="I532" s="829"/>
      <c r="J532" s="752"/>
      <c r="K532" s="752"/>
      <c r="L532" s="743"/>
      <c r="M532" s="743"/>
      <c r="N532" s="743"/>
      <c r="O532" s="743"/>
      <c r="P532" s="743"/>
      <c r="Q532" s="743"/>
      <c r="R532" s="743"/>
      <c r="S532" s="743"/>
      <c r="T532" s="743"/>
      <c r="U532" s="743"/>
      <c r="V532" s="743"/>
      <c r="W532" s="743"/>
      <c r="X532" s="743"/>
      <c r="Y532" s="743"/>
      <c r="Z532" s="743"/>
      <c r="AA532" s="743"/>
      <c r="AB532" s="743"/>
      <c r="AC532" s="743"/>
      <c r="AD532" s="743"/>
      <c r="AE532" s="743"/>
      <c r="AF532" s="743"/>
      <c r="AG532" s="743"/>
      <c r="AH532" s="743"/>
      <c r="AI532" s="743"/>
      <c r="AJ532" s="743"/>
      <c r="AK532" s="743"/>
      <c r="AL532" s="743"/>
      <c r="AM532" s="743"/>
    </row>
    <row r="533" spans="1:39" ht="17.25">
      <c r="A533" s="752"/>
      <c r="B533" s="752"/>
      <c r="C533" s="752"/>
      <c r="D533" s="752"/>
      <c r="E533" s="752"/>
      <c r="F533" s="752"/>
      <c r="G533" s="752"/>
      <c r="H533" s="752"/>
      <c r="I533" s="829"/>
      <c r="J533" s="752"/>
      <c r="K533" s="752"/>
      <c r="L533" s="743"/>
      <c r="M533" s="743"/>
      <c r="N533" s="743"/>
      <c r="O533" s="743"/>
      <c r="P533" s="743"/>
      <c r="Q533" s="743"/>
      <c r="R533" s="743"/>
      <c r="S533" s="743"/>
      <c r="T533" s="743"/>
      <c r="U533" s="743"/>
      <c r="V533" s="743"/>
      <c r="W533" s="743"/>
      <c r="X533" s="743"/>
      <c r="Y533" s="743"/>
      <c r="Z533" s="743"/>
      <c r="AA533" s="743"/>
      <c r="AB533" s="743"/>
      <c r="AC533" s="743"/>
      <c r="AD533" s="743"/>
      <c r="AE533" s="743"/>
      <c r="AF533" s="743"/>
      <c r="AG533" s="743"/>
      <c r="AH533" s="743"/>
      <c r="AI533" s="743"/>
      <c r="AJ533" s="743"/>
      <c r="AK533" s="743"/>
      <c r="AL533" s="743"/>
      <c r="AM533" s="743"/>
    </row>
    <row r="534" spans="1:39" ht="17.25">
      <c r="A534" s="752"/>
      <c r="B534" s="752"/>
      <c r="C534" s="752"/>
      <c r="D534" s="752"/>
      <c r="E534" s="752"/>
      <c r="F534" s="752"/>
      <c r="G534" s="752"/>
      <c r="H534" s="752"/>
      <c r="I534" s="829"/>
      <c r="J534" s="752"/>
      <c r="K534" s="752"/>
      <c r="L534" s="743"/>
      <c r="M534" s="743"/>
      <c r="N534" s="743"/>
      <c r="O534" s="743"/>
      <c r="P534" s="743"/>
      <c r="Q534" s="743"/>
      <c r="R534" s="743"/>
      <c r="S534" s="743"/>
      <c r="T534" s="743"/>
      <c r="U534" s="743"/>
      <c r="V534" s="743"/>
      <c r="W534" s="743"/>
      <c r="X534" s="743"/>
      <c r="Y534" s="743"/>
      <c r="Z534" s="743"/>
      <c r="AA534" s="743"/>
      <c r="AB534" s="743"/>
      <c r="AC534" s="743"/>
      <c r="AD534" s="743"/>
      <c r="AE534" s="743"/>
      <c r="AF534" s="743"/>
      <c r="AG534" s="743"/>
      <c r="AH534" s="743"/>
      <c r="AI534" s="743"/>
      <c r="AJ534" s="743"/>
      <c r="AK534" s="743"/>
      <c r="AL534" s="743"/>
      <c r="AM534" s="743"/>
    </row>
    <row r="535" spans="1:39" ht="17.25">
      <c r="A535" s="752"/>
      <c r="B535" s="752"/>
      <c r="C535" s="752"/>
      <c r="D535" s="752"/>
      <c r="E535" s="752"/>
      <c r="F535" s="752"/>
      <c r="G535" s="752"/>
      <c r="H535" s="752"/>
      <c r="I535" s="829"/>
      <c r="J535" s="752"/>
      <c r="K535" s="752"/>
      <c r="L535" s="743"/>
      <c r="M535" s="743"/>
      <c r="N535" s="743"/>
      <c r="O535" s="743"/>
      <c r="P535" s="743"/>
      <c r="Q535" s="743"/>
      <c r="R535" s="743"/>
      <c r="S535" s="743"/>
      <c r="T535" s="743"/>
      <c r="U535" s="743"/>
      <c r="V535" s="743"/>
      <c r="W535" s="743"/>
      <c r="X535" s="743"/>
      <c r="Y535" s="743"/>
      <c r="Z535" s="743"/>
      <c r="AA535" s="743"/>
      <c r="AB535" s="743"/>
      <c r="AC535" s="743"/>
      <c r="AD535" s="743"/>
      <c r="AE535" s="743"/>
      <c r="AF535" s="743"/>
      <c r="AG535" s="743"/>
      <c r="AH535" s="743"/>
      <c r="AI535" s="743"/>
      <c r="AJ535" s="743"/>
      <c r="AK535" s="743"/>
      <c r="AL535" s="743"/>
      <c r="AM535" s="743"/>
    </row>
    <row r="536" spans="1:39" ht="17.25">
      <c r="A536" s="752"/>
      <c r="B536" s="752"/>
      <c r="C536" s="752"/>
      <c r="D536" s="752"/>
      <c r="E536" s="752"/>
      <c r="F536" s="752"/>
      <c r="G536" s="752"/>
      <c r="H536" s="752"/>
      <c r="I536" s="829"/>
      <c r="J536" s="752"/>
      <c r="K536" s="752"/>
      <c r="L536" s="743"/>
      <c r="M536" s="743"/>
      <c r="N536" s="743"/>
      <c r="O536" s="743"/>
      <c r="P536" s="743"/>
      <c r="Q536" s="743"/>
      <c r="R536" s="743"/>
      <c r="S536" s="743"/>
      <c r="T536" s="743"/>
      <c r="U536" s="743"/>
      <c r="V536" s="743"/>
      <c r="W536" s="743"/>
      <c r="X536" s="743"/>
      <c r="Y536" s="743"/>
      <c r="Z536" s="743"/>
      <c r="AA536" s="743"/>
      <c r="AB536" s="743"/>
      <c r="AC536" s="743"/>
      <c r="AD536" s="743"/>
      <c r="AE536" s="743"/>
      <c r="AF536" s="743"/>
      <c r="AG536" s="743"/>
      <c r="AH536" s="743"/>
      <c r="AI536" s="743"/>
      <c r="AJ536" s="743"/>
      <c r="AK536" s="743"/>
      <c r="AL536" s="743"/>
      <c r="AM536" s="743"/>
    </row>
    <row r="537" spans="1:39" ht="17.25">
      <c r="A537" s="752"/>
      <c r="B537" s="752"/>
      <c r="C537" s="752"/>
      <c r="D537" s="752"/>
      <c r="E537" s="752"/>
      <c r="F537" s="752"/>
      <c r="G537" s="752"/>
      <c r="H537" s="752"/>
      <c r="I537" s="829"/>
      <c r="J537" s="752"/>
      <c r="K537" s="752"/>
      <c r="L537" s="743"/>
      <c r="M537" s="743"/>
      <c r="N537" s="743"/>
      <c r="O537" s="743"/>
      <c r="P537" s="743"/>
      <c r="Q537" s="743"/>
      <c r="R537" s="743"/>
      <c r="S537" s="743"/>
      <c r="T537" s="743"/>
      <c r="U537" s="743"/>
      <c r="V537" s="743"/>
      <c r="W537" s="743"/>
      <c r="X537" s="743"/>
      <c r="Y537" s="743"/>
      <c r="Z537" s="743"/>
      <c r="AA537" s="743"/>
      <c r="AB537" s="743"/>
      <c r="AC537" s="743"/>
      <c r="AD537" s="743"/>
      <c r="AE537" s="743"/>
      <c r="AF537" s="743"/>
      <c r="AG537" s="743"/>
      <c r="AH537" s="743"/>
      <c r="AI537" s="743"/>
      <c r="AJ537" s="743"/>
      <c r="AK537" s="743"/>
      <c r="AL537" s="743"/>
      <c r="AM537" s="743"/>
    </row>
    <row r="538" spans="1:39" ht="17.25">
      <c r="A538" s="752"/>
      <c r="B538" s="752"/>
      <c r="C538" s="752"/>
      <c r="D538" s="752"/>
      <c r="E538" s="752"/>
      <c r="F538" s="752"/>
      <c r="G538" s="752"/>
      <c r="H538" s="752"/>
      <c r="I538" s="829"/>
      <c r="J538" s="752"/>
      <c r="K538" s="752"/>
      <c r="L538" s="743"/>
      <c r="M538" s="743"/>
      <c r="N538" s="743"/>
      <c r="O538" s="743"/>
      <c r="P538" s="743"/>
      <c r="Q538" s="743"/>
      <c r="R538" s="743"/>
      <c r="S538" s="743"/>
      <c r="T538" s="743"/>
      <c r="U538" s="743"/>
      <c r="V538" s="743"/>
      <c r="W538" s="743"/>
      <c r="X538" s="743"/>
      <c r="Y538" s="743"/>
      <c r="Z538" s="743"/>
      <c r="AA538" s="743"/>
      <c r="AB538" s="743"/>
      <c r="AC538" s="743"/>
      <c r="AD538" s="743"/>
      <c r="AE538" s="743"/>
      <c r="AF538" s="743"/>
      <c r="AG538" s="743"/>
      <c r="AH538" s="743"/>
      <c r="AI538" s="743"/>
      <c r="AJ538" s="743"/>
      <c r="AK538" s="743"/>
      <c r="AL538" s="743"/>
      <c r="AM538" s="743"/>
    </row>
    <row r="539" spans="1:39" ht="17.25">
      <c r="A539" s="752"/>
      <c r="B539" s="752"/>
      <c r="C539" s="752"/>
      <c r="D539" s="752"/>
      <c r="E539" s="752"/>
      <c r="F539" s="752"/>
      <c r="G539" s="752"/>
      <c r="H539" s="752"/>
      <c r="I539" s="829"/>
      <c r="J539" s="752"/>
      <c r="K539" s="752"/>
      <c r="L539" s="743"/>
      <c r="M539" s="743"/>
      <c r="N539" s="743"/>
      <c r="O539" s="743"/>
      <c r="P539" s="743"/>
      <c r="Q539" s="743"/>
      <c r="R539" s="743"/>
      <c r="S539" s="743"/>
      <c r="T539" s="743"/>
      <c r="U539" s="743"/>
      <c r="V539" s="743"/>
      <c r="W539" s="743"/>
      <c r="X539" s="743"/>
      <c r="Y539" s="743"/>
      <c r="Z539" s="743"/>
      <c r="AA539" s="743"/>
      <c r="AB539" s="743"/>
      <c r="AC539" s="743"/>
      <c r="AD539" s="743"/>
      <c r="AE539" s="743"/>
      <c r="AF539" s="743"/>
      <c r="AG539" s="743"/>
      <c r="AH539" s="743"/>
      <c r="AI539" s="743"/>
      <c r="AJ539" s="743"/>
      <c r="AK539" s="743"/>
      <c r="AL539" s="743"/>
      <c r="AM539" s="743"/>
    </row>
    <row r="540" spans="1:39" ht="17.25">
      <c r="A540" s="752"/>
      <c r="B540" s="752"/>
      <c r="C540" s="752"/>
      <c r="D540" s="752"/>
      <c r="E540" s="752"/>
      <c r="F540" s="752"/>
      <c r="G540" s="752"/>
      <c r="H540" s="752"/>
      <c r="I540" s="829"/>
      <c r="J540" s="752"/>
      <c r="K540" s="752"/>
      <c r="L540" s="743"/>
      <c r="M540" s="743"/>
      <c r="N540" s="743"/>
      <c r="O540" s="743"/>
      <c r="P540" s="743"/>
      <c r="Q540" s="743"/>
      <c r="R540" s="743"/>
      <c r="S540" s="743"/>
      <c r="T540" s="743"/>
      <c r="U540" s="743"/>
      <c r="V540" s="743"/>
      <c r="W540" s="743"/>
      <c r="X540" s="743"/>
      <c r="Y540" s="743"/>
      <c r="Z540" s="743"/>
      <c r="AA540" s="743"/>
      <c r="AB540" s="743"/>
      <c r="AC540" s="743"/>
      <c r="AD540" s="743"/>
      <c r="AE540" s="743"/>
      <c r="AF540" s="743"/>
      <c r="AG540" s="743"/>
      <c r="AH540" s="743"/>
      <c r="AI540" s="743"/>
      <c r="AJ540" s="743"/>
      <c r="AK540" s="743"/>
      <c r="AL540" s="743"/>
      <c r="AM540" s="743"/>
    </row>
    <row r="541" spans="1:39" ht="17.25">
      <c r="A541" s="752"/>
      <c r="B541" s="752"/>
      <c r="C541" s="752"/>
      <c r="D541" s="752"/>
      <c r="E541" s="752"/>
      <c r="F541" s="752"/>
      <c r="G541" s="752"/>
      <c r="H541" s="752"/>
      <c r="I541" s="829"/>
      <c r="J541" s="752"/>
      <c r="K541" s="752"/>
      <c r="L541" s="743"/>
      <c r="M541" s="743"/>
      <c r="N541" s="743"/>
      <c r="O541" s="743"/>
      <c r="P541" s="743"/>
      <c r="Q541" s="743"/>
      <c r="R541" s="743"/>
      <c r="S541" s="743"/>
      <c r="T541" s="743"/>
      <c r="U541" s="743"/>
      <c r="V541" s="743"/>
      <c r="W541" s="743"/>
      <c r="X541" s="743"/>
      <c r="Y541" s="743"/>
      <c r="Z541" s="743"/>
      <c r="AA541" s="743"/>
      <c r="AB541" s="743"/>
      <c r="AC541" s="743"/>
      <c r="AD541" s="743"/>
      <c r="AE541" s="743"/>
      <c r="AF541" s="743"/>
      <c r="AG541" s="743"/>
      <c r="AH541" s="743"/>
      <c r="AI541" s="743"/>
      <c r="AJ541" s="743"/>
      <c r="AK541" s="743"/>
      <c r="AL541" s="743"/>
      <c r="AM541" s="743"/>
    </row>
    <row r="542" spans="1:39" ht="17.25">
      <c r="A542" s="752"/>
      <c r="B542" s="752"/>
      <c r="C542" s="752"/>
      <c r="D542" s="752"/>
      <c r="E542" s="752"/>
      <c r="F542" s="752"/>
      <c r="G542" s="752"/>
      <c r="H542" s="752"/>
      <c r="I542" s="829"/>
      <c r="J542" s="752"/>
      <c r="K542" s="752"/>
      <c r="L542" s="743"/>
      <c r="M542" s="743"/>
      <c r="N542" s="743"/>
      <c r="O542" s="743"/>
      <c r="P542" s="743"/>
      <c r="Q542" s="743"/>
      <c r="R542" s="743"/>
      <c r="S542" s="743"/>
      <c r="T542" s="743"/>
      <c r="U542" s="743"/>
      <c r="V542" s="743"/>
      <c r="W542" s="743"/>
      <c r="X542" s="743"/>
      <c r="Y542" s="743"/>
      <c r="Z542" s="743"/>
      <c r="AA542" s="743"/>
      <c r="AB542" s="743"/>
      <c r="AC542" s="743"/>
      <c r="AD542" s="743"/>
      <c r="AE542" s="743"/>
      <c r="AF542" s="743"/>
      <c r="AG542" s="743"/>
      <c r="AH542" s="743"/>
      <c r="AI542" s="743"/>
      <c r="AJ542" s="743"/>
      <c r="AK542" s="743"/>
      <c r="AL542" s="743"/>
      <c r="AM542" s="743"/>
    </row>
    <row r="543" spans="1:39" ht="17.25">
      <c r="A543" s="752"/>
      <c r="B543" s="752"/>
      <c r="C543" s="752"/>
      <c r="D543" s="752"/>
      <c r="E543" s="752"/>
      <c r="F543" s="752"/>
      <c r="G543" s="752"/>
      <c r="H543" s="752"/>
      <c r="I543" s="829"/>
      <c r="J543" s="752"/>
      <c r="K543" s="752"/>
      <c r="L543" s="743"/>
      <c r="M543" s="743"/>
      <c r="N543" s="743"/>
      <c r="O543" s="743"/>
      <c r="P543" s="743"/>
      <c r="Q543" s="743"/>
      <c r="R543" s="743"/>
      <c r="S543" s="743"/>
      <c r="T543" s="743"/>
      <c r="U543" s="743"/>
      <c r="V543" s="743"/>
      <c r="W543" s="743"/>
      <c r="X543" s="743"/>
      <c r="Y543" s="743"/>
      <c r="Z543" s="743"/>
      <c r="AA543" s="743"/>
      <c r="AB543" s="743"/>
      <c r="AC543" s="743"/>
      <c r="AD543" s="743"/>
      <c r="AE543" s="743"/>
      <c r="AF543" s="743"/>
      <c r="AG543" s="743"/>
      <c r="AH543" s="743"/>
      <c r="AI543" s="743"/>
      <c r="AJ543" s="743"/>
      <c r="AK543" s="743"/>
      <c r="AL543" s="743"/>
      <c r="AM543" s="743"/>
    </row>
    <row r="544" spans="1:39" ht="17.25">
      <c r="A544" s="752"/>
      <c r="B544" s="752"/>
      <c r="C544" s="752"/>
      <c r="D544" s="752"/>
      <c r="E544" s="752"/>
      <c r="F544" s="752"/>
      <c r="G544" s="752"/>
      <c r="H544" s="752"/>
      <c r="I544" s="829"/>
      <c r="J544" s="752"/>
      <c r="K544" s="752"/>
      <c r="L544" s="743"/>
      <c r="M544" s="743"/>
      <c r="N544" s="743"/>
      <c r="O544" s="743"/>
      <c r="P544" s="743"/>
      <c r="Q544" s="743"/>
      <c r="R544" s="743"/>
      <c r="S544" s="743"/>
      <c r="T544" s="743"/>
      <c r="U544" s="743"/>
      <c r="V544" s="743"/>
      <c r="W544" s="743"/>
      <c r="X544" s="743"/>
      <c r="Y544" s="743"/>
      <c r="Z544" s="743"/>
      <c r="AA544" s="743"/>
      <c r="AB544" s="743"/>
      <c r="AC544" s="743"/>
      <c r="AD544" s="743"/>
      <c r="AE544" s="743"/>
      <c r="AF544" s="743"/>
      <c r="AG544" s="743"/>
      <c r="AH544" s="743"/>
      <c r="AI544" s="743"/>
      <c r="AJ544" s="743"/>
      <c r="AK544" s="743"/>
      <c r="AL544" s="743"/>
      <c r="AM544" s="743"/>
    </row>
    <row r="545" spans="1:39" ht="17.25">
      <c r="A545" s="752"/>
      <c r="B545" s="752"/>
      <c r="C545" s="752"/>
      <c r="D545" s="752"/>
      <c r="E545" s="752"/>
      <c r="F545" s="752"/>
      <c r="G545" s="752"/>
      <c r="H545" s="752"/>
      <c r="I545" s="829"/>
      <c r="J545" s="752"/>
      <c r="K545" s="752"/>
      <c r="L545" s="743"/>
      <c r="M545" s="743"/>
      <c r="N545" s="743"/>
      <c r="O545" s="743"/>
      <c r="P545" s="743"/>
      <c r="Q545" s="743"/>
      <c r="R545" s="743"/>
      <c r="S545" s="743"/>
      <c r="T545" s="743"/>
      <c r="U545" s="743"/>
      <c r="V545" s="743"/>
      <c r="W545" s="743"/>
      <c r="X545" s="743"/>
      <c r="Y545" s="743"/>
      <c r="Z545" s="743"/>
      <c r="AA545" s="743"/>
      <c r="AB545" s="743"/>
      <c r="AC545" s="743"/>
      <c r="AD545" s="743"/>
      <c r="AE545" s="743"/>
      <c r="AF545" s="743"/>
      <c r="AG545" s="743"/>
      <c r="AH545" s="743"/>
      <c r="AI545" s="743"/>
      <c r="AJ545" s="743"/>
      <c r="AK545" s="743"/>
      <c r="AL545" s="743"/>
      <c r="AM545" s="743"/>
    </row>
    <row r="546" spans="1:39" ht="17.25">
      <c r="A546" s="752"/>
      <c r="B546" s="752"/>
      <c r="C546" s="752"/>
      <c r="D546" s="752"/>
      <c r="E546" s="752"/>
      <c r="F546" s="752"/>
      <c r="G546" s="752"/>
      <c r="H546" s="752"/>
      <c r="I546" s="829"/>
      <c r="J546" s="752"/>
      <c r="K546" s="752"/>
      <c r="L546" s="743"/>
      <c r="M546" s="743"/>
      <c r="N546" s="743"/>
      <c r="O546" s="743"/>
      <c r="P546" s="743"/>
      <c r="Q546" s="743"/>
      <c r="R546" s="743"/>
      <c r="S546" s="743"/>
      <c r="T546" s="743"/>
      <c r="U546" s="743"/>
      <c r="V546" s="743"/>
      <c r="W546" s="743"/>
      <c r="X546" s="743"/>
      <c r="Y546" s="743"/>
      <c r="Z546" s="743"/>
      <c r="AA546" s="743"/>
      <c r="AB546" s="743"/>
      <c r="AC546" s="743"/>
      <c r="AD546" s="743"/>
      <c r="AE546" s="743"/>
      <c r="AF546" s="743"/>
      <c r="AG546" s="743"/>
      <c r="AH546" s="743"/>
      <c r="AI546" s="743"/>
      <c r="AJ546" s="743"/>
      <c r="AK546" s="743"/>
      <c r="AL546" s="743"/>
      <c r="AM546" s="743"/>
    </row>
    <row r="547" spans="1:39" ht="17.25">
      <c r="A547" s="752"/>
      <c r="B547" s="752"/>
      <c r="C547" s="752"/>
      <c r="D547" s="752"/>
      <c r="E547" s="752"/>
      <c r="F547" s="752"/>
      <c r="G547" s="752"/>
      <c r="H547" s="752"/>
      <c r="I547" s="829"/>
      <c r="J547" s="752"/>
      <c r="K547" s="752"/>
      <c r="L547" s="743"/>
      <c r="M547" s="743"/>
      <c r="N547" s="743"/>
      <c r="O547" s="743"/>
      <c r="P547" s="743"/>
      <c r="Q547" s="743"/>
      <c r="R547" s="743"/>
      <c r="S547" s="743"/>
      <c r="T547" s="743"/>
      <c r="U547" s="743"/>
      <c r="V547" s="743"/>
      <c r="W547" s="743"/>
      <c r="X547" s="743"/>
      <c r="Y547" s="743"/>
      <c r="Z547" s="743"/>
      <c r="AA547" s="743"/>
      <c r="AB547" s="743"/>
      <c r="AC547" s="743"/>
      <c r="AD547" s="743"/>
      <c r="AE547" s="743"/>
      <c r="AF547" s="743"/>
      <c r="AG547" s="743"/>
      <c r="AH547" s="743"/>
      <c r="AI547" s="743"/>
      <c r="AJ547" s="743"/>
      <c r="AK547" s="743"/>
      <c r="AL547" s="743"/>
      <c r="AM547" s="743"/>
    </row>
    <row r="548" spans="1:39" ht="17.25">
      <c r="A548" s="752"/>
      <c r="B548" s="752"/>
      <c r="C548" s="752"/>
      <c r="D548" s="752"/>
      <c r="E548" s="752"/>
      <c r="F548" s="752"/>
      <c r="G548" s="752"/>
      <c r="H548" s="752"/>
      <c r="I548" s="829"/>
      <c r="J548" s="752"/>
      <c r="K548" s="752"/>
      <c r="L548" s="743"/>
      <c r="M548" s="743"/>
      <c r="N548" s="743"/>
      <c r="O548" s="743"/>
      <c r="P548" s="743"/>
      <c r="Q548" s="743"/>
      <c r="R548" s="743"/>
      <c r="S548" s="743"/>
      <c r="T548" s="743"/>
      <c r="U548" s="743"/>
      <c r="V548" s="743"/>
      <c r="W548" s="743"/>
      <c r="X548" s="743"/>
      <c r="Y548" s="743"/>
      <c r="Z548" s="743"/>
      <c r="AA548" s="743"/>
      <c r="AB548" s="743"/>
      <c r="AC548" s="743"/>
      <c r="AD548" s="743"/>
      <c r="AE548" s="743"/>
      <c r="AF548" s="743"/>
      <c r="AG548" s="743"/>
      <c r="AH548" s="743"/>
      <c r="AI548" s="743"/>
      <c r="AJ548" s="743"/>
      <c r="AK548" s="743"/>
      <c r="AL548" s="743"/>
      <c r="AM548" s="743"/>
    </row>
    <row r="549" spans="1:39" ht="17.25">
      <c r="A549" s="752"/>
      <c r="B549" s="752"/>
      <c r="C549" s="752"/>
      <c r="D549" s="752"/>
      <c r="E549" s="752"/>
      <c r="F549" s="752"/>
      <c r="G549" s="752"/>
      <c r="H549" s="752"/>
      <c r="I549" s="829"/>
      <c r="J549" s="752"/>
      <c r="K549" s="752"/>
      <c r="L549" s="743"/>
      <c r="M549" s="743"/>
      <c r="N549" s="743"/>
      <c r="O549" s="743"/>
      <c r="P549" s="743"/>
      <c r="Q549" s="743"/>
      <c r="R549" s="743"/>
      <c r="S549" s="743"/>
      <c r="T549" s="743"/>
      <c r="U549" s="743"/>
      <c r="V549" s="743"/>
      <c r="W549" s="743"/>
      <c r="X549" s="743"/>
      <c r="Y549" s="743"/>
      <c r="Z549" s="743"/>
      <c r="AA549" s="743"/>
      <c r="AB549" s="743"/>
      <c r="AC549" s="743"/>
      <c r="AD549" s="743"/>
      <c r="AE549" s="743"/>
      <c r="AF549" s="743"/>
      <c r="AG549" s="743"/>
      <c r="AH549" s="743"/>
      <c r="AI549" s="743"/>
      <c r="AJ549" s="743"/>
      <c r="AK549" s="743"/>
      <c r="AL549" s="743"/>
      <c r="AM549" s="743"/>
    </row>
    <row r="550" spans="1:39" ht="17.25">
      <c r="A550" s="752"/>
      <c r="B550" s="752"/>
      <c r="C550" s="752"/>
      <c r="D550" s="752"/>
      <c r="E550" s="752"/>
      <c r="F550" s="752"/>
      <c r="G550" s="752"/>
      <c r="H550" s="752"/>
      <c r="I550" s="829"/>
      <c r="J550" s="752"/>
      <c r="K550" s="752"/>
      <c r="L550" s="743"/>
      <c r="M550" s="743"/>
      <c r="N550" s="743"/>
      <c r="O550" s="743"/>
      <c r="P550" s="743"/>
      <c r="Q550" s="743"/>
      <c r="R550" s="743"/>
      <c r="S550" s="743"/>
      <c r="T550" s="743"/>
      <c r="U550" s="743"/>
      <c r="V550" s="743"/>
      <c r="W550" s="743"/>
      <c r="X550" s="743"/>
      <c r="Y550" s="743"/>
      <c r="Z550" s="743"/>
      <c r="AA550" s="743"/>
      <c r="AB550" s="743"/>
      <c r="AC550" s="743"/>
      <c r="AD550" s="743"/>
      <c r="AE550" s="743"/>
      <c r="AF550" s="743"/>
      <c r="AG550" s="743"/>
      <c r="AH550" s="743"/>
      <c r="AI550" s="743"/>
      <c r="AJ550" s="743"/>
      <c r="AK550" s="743"/>
      <c r="AL550" s="743"/>
      <c r="AM550" s="743"/>
    </row>
    <row r="551" spans="1:39" ht="17.25">
      <c r="A551" s="752"/>
      <c r="B551" s="752"/>
      <c r="C551" s="752"/>
      <c r="D551" s="752"/>
      <c r="E551" s="752"/>
      <c r="F551" s="752"/>
      <c r="G551" s="752"/>
      <c r="H551" s="752"/>
      <c r="I551" s="829"/>
      <c r="J551" s="752"/>
      <c r="K551" s="752"/>
      <c r="L551" s="743"/>
      <c r="M551" s="743"/>
      <c r="N551" s="743"/>
      <c r="O551" s="743"/>
      <c r="P551" s="743"/>
      <c r="Q551" s="743"/>
      <c r="R551" s="743"/>
      <c r="S551" s="743"/>
      <c r="T551" s="743"/>
      <c r="U551" s="743"/>
      <c r="V551" s="743"/>
      <c r="W551" s="743"/>
      <c r="X551" s="743"/>
      <c r="Y551" s="743"/>
      <c r="Z551" s="743"/>
      <c r="AA551" s="743"/>
      <c r="AB551" s="743"/>
      <c r="AC551" s="743"/>
      <c r="AD551" s="743"/>
      <c r="AE551" s="743"/>
      <c r="AF551" s="743"/>
      <c r="AG551" s="743"/>
      <c r="AH551" s="743"/>
      <c r="AI551" s="743"/>
      <c r="AJ551" s="743"/>
      <c r="AK551" s="743"/>
      <c r="AL551" s="743"/>
      <c r="AM551" s="743"/>
    </row>
    <row r="552" spans="1:39" ht="17.25">
      <c r="A552" s="752"/>
      <c r="B552" s="752"/>
      <c r="C552" s="752"/>
      <c r="D552" s="752"/>
      <c r="E552" s="752"/>
      <c r="F552" s="752"/>
      <c r="G552" s="752"/>
      <c r="H552" s="752"/>
      <c r="I552" s="829"/>
      <c r="J552" s="752"/>
      <c r="K552" s="752"/>
      <c r="L552" s="743"/>
      <c r="M552" s="743"/>
      <c r="N552" s="743"/>
      <c r="O552" s="743"/>
      <c r="P552" s="743"/>
      <c r="Q552" s="743"/>
      <c r="R552" s="743"/>
      <c r="S552" s="743"/>
      <c r="T552" s="743"/>
      <c r="U552" s="743"/>
      <c r="V552" s="743"/>
      <c r="W552" s="743"/>
      <c r="X552" s="743"/>
      <c r="Y552" s="743"/>
      <c r="Z552" s="743"/>
      <c r="AA552" s="743"/>
      <c r="AB552" s="743"/>
      <c r="AC552" s="743"/>
      <c r="AD552" s="743"/>
      <c r="AE552" s="743"/>
      <c r="AF552" s="743"/>
      <c r="AG552" s="743"/>
      <c r="AH552" s="743"/>
      <c r="AI552" s="743"/>
      <c r="AJ552" s="743"/>
      <c r="AK552" s="743"/>
      <c r="AL552" s="743"/>
      <c r="AM552" s="743"/>
    </row>
    <row r="553" spans="1:39" ht="17.25">
      <c r="A553" s="752"/>
      <c r="B553" s="752"/>
      <c r="C553" s="752"/>
      <c r="D553" s="752"/>
      <c r="E553" s="752"/>
      <c r="F553" s="752"/>
      <c r="G553" s="752"/>
      <c r="H553" s="752"/>
      <c r="I553" s="829"/>
      <c r="J553" s="752"/>
      <c r="K553" s="752"/>
      <c r="L553" s="743"/>
      <c r="M553" s="743"/>
      <c r="N553" s="743"/>
      <c r="O553" s="743"/>
      <c r="P553" s="743"/>
      <c r="Q553" s="743"/>
      <c r="R553" s="743"/>
      <c r="S553" s="743"/>
      <c r="T553" s="743"/>
      <c r="U553" s="743"/>
      <c r="V553" s="743"/>
      <c r="W553" s="743"/>
      <c r="X553" s="743"/>
      <c r="Y553" s="743"/>
      <c r="Z553" s="743"/>
      <c r="AA553" s="743"/>
      <c r="AB553" s="743"/>
      <c r="AC553" s="743"/>
      <c r="AD553" s="743"/>
      <c r="AE553" s="743"/>
      <c r="AF553" s="743"/>
      <c r="AG553" s="743"/>
      <c r="AH553" s="743"/>
      <c r="AI553" s="743"/>
      <c r="AJ553" s="743"/>
      <c r="AK553" s="743"/>
      <c r="AL553" s="743"/>
      <c r="AM553" s="743"/>
    </row>
    <row r="554" spans="1:39" ht="17.25">
      <c r="A554" s="752"/>
      <c r="B554" s="752"/>
      <c r="C554" s="752"/>
      <c r="D554" s="752"/>
      <c r="E554" s="752"/>
      <c r="F554" s="752"/>
      <c r="G554" s="752"/>
      <c r="H554" s="752"/>
      <c r="I554" s="829"/>
      <c r="J554" s="752"/>
      <c r="K554" s="752"/>
      <c r="L554" s="743"/>
      <c r="M554" s="743"/>
      <c r="N554" s="743"/>
      <c r="O554" s="743"/>
      <c r="P554" s="743"/>
      <c r="Q554" s="743"/>
      <c r="R554" s="743"/>
      <c r="S554" s="743"/>
      <c r="T554" s="743"/>
      <c r="U554" s="743"/>
      <c r="V554" s="743"/>
      <c r="W554" s="743"/>
      <c r="X554" s="743"/>
      <c r="Y554" s="743"/>
      <c r="Z554" s="743"/>
      <c r="AA554" s="743"/>
      <c r="AB554" s="743"/>
      <c r="AC554" s="743"/>
      <c r="AD554" s="743"/>
      <c r="AE554" s="743"/>
      <c r="AF554" s="743"/>
      <c r="AG554" s="743"/>
      <c r="AH554" s="743"/>
      <c r="AI554" s="743"/>
      <c r="AJ554" s="743"/>
      <c r="AK554" s="743"/>
      <c r="AL554" s="743"/>
      <c r="AM554" s="743"/>
    </row>
    <row r="555" spans="1:39" ht="17.25">
      <c r="A555" s="752"/>
      <c r="B555" s="752"/>
      <c r="C555" s="752"/>
      <c r="D555" s="752"/>
      <c r="E555" s="752"/>
      <c r="F555" s="752"/>
      <c r="G555" s="752"/>
      <c r="H555" s="752"/>
      <c r="I555" s="829"/>
      <c r="J555" s="752"/>
      <c r="K555" s="752"/>
      <c r="L555" s="743"/>
      <c r="M555" s="743"/>
      <c r="N555" s="743"/>
      <c r="O555" s="743"/>
      <c r="P555" s="743"/>
      <c r="Q555" s="743"/>
      <c r="R555" s="743"/>
      <c r="S555" s="743"/>
      <c r="T555" s="743"/>
      <c r="U555" s="743"/>
      <c r="V555" s="743"/>
      <c r="W555" s="743"/>
      <c r="X555" s="743"/>
      <c r="Y555" s="743"/>
      <c r="Z555" s="743"/>
      <c r="AA555" s="743"/>
      <c r="AB555" s="743"/>
      <c r="AC555" s="743"/>
      <c r="AD555" s="743"/>
      <c r="AE555" s="743"/>
      <c r="AF555" s="743"/>
      <c r="AG555" s="743"/>
      <c r="AH555" s="743"/>
      <c r="AI555" s="743"/>
      <c r="AJ555" s="743"/>
      <c r="AK555" s="743"/>
      <c r="AL555" s="743"/>
      <c r="AM555" s="743"/>
    </row>
    <row r="556" spans="1:39" ht="17.25">
      <c r="A556" s="752"/>
      <c r="B556" s="752"/>
      <c r="C556" s="752"/>
      <c r="D556" s="752"/>
      <c r="E556" s="752"/>
      <c r="F556" s="752"/>
      <c r="G556" s="752"/>
      <c r="H556" s="752"/>
      <c r="I556" s="829"/>
      <c r="J556" s="752"/>
      <c r="K556" s="752"/>
      <c r="L556" s="743"/>
      <c r="M556" s="743"/>
      <c r="N556" s="743"/>
      <c r="O556" s="743"/>
      <c r="P556" s="743"/>
      <c r="Q556" s="743"/>
      <c r="R556" s="743"/>
      <c r="S556" s="743"/>
      <c r="T556" s="743"/>
      <c r="U556" s="743"/>
      <c r="V556" s="743"/>
      <c r="W556" s="743"/>
      <c r="X556" s="743"/>
      <c r="Y556" s="743"/>
      <c r="Z556" s="743"/>
      <c r="AA556" s="743"/>
      <c r="AB556" s="743"/>
      <c r="AC556" s="743"/>
      <c r="AD556" s="743"/>
      <c r="AE556" s="743"/>
      <c r="AF556" s="743"/>
      <c r="AG556" s="743"/>
      <c r="AH556" s="743"/>
      <c r="AI556" s="743"/>
      <c r="AJ556" s="743"/>
      <c r="AK556" s="743"/>
      <c r="AL556" s="743"/>
      <c r="AM556" s="743"/>
    </row>
    <row r="557" spans="1:39" ht="17.25">
      <c r="A557" s="752"/>
      <c r="B557" s="752"/>
      <c r="C557" s="752"/>
      <c r="D557" s="752"/>
      <c r="E557" s="752"/>
      <c r="F557" s="752"/>
      <c r="G557" s="752"/>
      <c r="H557" s="752"/>
      <c r="I557" s="829"/>
      <c r="J557" s="752"/>
      <c r="K557" s="752"/>
      <c r="L557" s="743"/>
      <c r="M557" s="743"/>
      <c r="N557" s="743"/>
      <c r="O557" s="743"/>
      <c r="P557" s="743"/>
      <c r="Q557" s="743"/>
      <c r="R557" s="743"/>
      <c r="S557" s="743"/>
      <c r="T557" s="743"/>
      <c r="U557" s="743"/>
      <c r="V557" s="743"/>
      <c r="W557" s="743"/>
      <c r="X557" s="743"/>
      <c r="Y557" s="743"/>
      <c r="Z557" s="743"/>
      <c r="AA557" s="743"/>
      <c r="AB557" s="743"/>
      <c r="AC557" s="743"/>
      <c r="AD557" s="743"/>
      <c r="AE557" s="743"/>
      <c r="AF557" s="743"/>
      <c r="AG557" s="743"/>
      <c r="AH557" s="743"/>
      <c r="AI557" s="743"/>
      <c r="AJ557" s="743"/>
      <c r="AK557" s="743"/>
      <c r="AL557" s="743"/>
      <c r="AM557" s="743"/>
    </row>
    <row r="558" spans="1:39" ht="17.25">
      <c r="A558" s="752"/>
      <c r="B558" s="752"/>
      <c r="C558" s="752"/>
      <c r="D558" s="752"/>
      <c r="E558" s="752"/>
      <c r="F558" s="752"/>
      <c r="G558" s="752"/>
      <c r="H558" s="752"/>
      <c r="I558" s="829"/>
      <c r="J558" s="752"/>
      <c r="K558" s="752"/>
      <c r="L558" s="743"/>
      <c r="M558" s="743"/>
      <c r="N558" s="743"/>
      <c r="O558" s="743"/>
      <c r="P558" s="743"/>
      <c r="Q558" s="743"/>
      <c r="R558" s="743"/>
      <c r="S558" s="743"/>
      <c r="T558" s="743"/>
      <c r="U558" s="743"/>
      <c r="V558" s="743"/>
      <c r="W558" s="743"/>
      <c r="X558" s="743"/>
      <c r="Y558" s="743"/>
      <c r="Z558" s="743"/>
      <c r="AA558" s="743"/>
      <c r="AB558" s="743"/>
      <c r="AC558" s="743"/>
      <c r="AD558" s="743"/>
      <c r="AE558" s="743"/>
      <c r="AF558" s="743"/>
      <c r="AG558" s="743"/>
      <c r="AH558" s="743"/>
      <c r="AI558" s="743"/>
      <c r="AJ558" s="743"/>
      <c r="AK558" s="743"/>
      <c r="AL558" s="743"/>
      <c r="AM558" s="743"/>
    </row>
    <row r="559" spans="1:39" ht="17.25">
      <c r="A559" s="752"/>
      <c r="B559" s="752"/>
      <c r="C559" s="752"/>
      <c r="D559" s="752"/>
      <c r="E559" s="752"/>
      <c r="F559" s="752"/>
      <c r="G559" s="752"/>
      <c r="H559" s="752"/>
      <c r="I559" s="829"/>
      <c r="J559" s="752"/>
      <c r="K559" s="752"/>
      <c r="L559" s="743"/>
      <c r="M559" s="743"/>
      <c r="N559" s="743"/>
      <c r="O559" s="743"/>
      <c r="P559" s="743"/>
      <c r="Q559" s="743"/>
      <c r="R559" s="743"/>
      <c r="S559" s="743"/>
      <c r="T559" s="743"/>
      <c r="U559" s="743"/>
      <c r="V559" s="743"/>
      <c r="W559" s="743"/>
      <c r="X559" s="743"/>
      <c r="Y559" s="743"/>
      <c r="Z559" s="743"/>
      <c r="AA559" s="743"/>
      <c r="AB559" s="743"/>
      <c r="AC559" s="743"/>
      <c r="AD559" s="743"/>
      <c r="AE559" s="743"/>
      <c r="AF559" s="743"/>
      <c r="AG559" s="743"/>
      <c r="AH559" s="743"/>
      <c r="AI559" s="743"/>
      <c r="AJ559" s="743"/>
      <c r="AK559" s="743"/>
      <c r="AL559" s="743"/>
      <c r="AM559" s="743"/>
    </row>
    <row r="560" spans="1:39" ht="17.25">
      <c r="A560" s="752"/>
      <c r="B560" s="752"/>
      <c r="C560" s="752"/>
      <c r="D560" s="752"/>
      <c r="E560" s="752"/>
      <c r="F560" s="752"/>
      <c r="G560" s="752"/>
      <c r="H560" s="752"/>
      <c r="I560" s="829"/>
      <c r="J560" s="752"/>
      <c r="K560" s="752"/>
      <c r="L560" s="743"/>
      <c r="M560" s="743"/>
      <c r="N560" s="743"/>
      <c r="O560" s="743"/>
      <c r="P560" s="743"/>
      <c r="Q560" s="743"/>
      <c r="R560" s="743"/>
      <c r="S560" s="743"/>
      <c r="T560" s="743"/>
      <c r="U560" s="743"/>
      <c r="V560" s="743"/>
      <c r="W560" s="743"/>
      <c r="X560" s="743"/>
      <c r="Y560" s="743"/>
      <c r="Z560" s="743"/>
      <c r="AA560" s="743"/>
      <c r="AB560" s="743"/>
      <c r="AC560" s="743"/>
      <c r="AD560" s="743"/>
      <c r="AE560" s="743"/>
      <c r="AF560" s="743"/>
      <c r="AG560" s="743"/>
      <c r="AH560" s="743"/>
      <c r="AI560" s="743"/>
      <c r="AJ560" s="743"/>
      <c r="AK560" s="743"/>
      <c r="AL560" s="743"/>
      <c r="AM560" s="743"/>
    </row>
    <row r="561" spans="1:39" ht="17.25">
      <c r="A561" s="752"/>
      <c r="B561" s="752"/>
      <c r="C561" s="752"/>
      <c r="D561" s="752"/>
      <c r="E561" s="752"/>
      <c r="F561" s="752"/>
      <c r="G561" s="752"/>
      <c r="H561" s="752"/>
      <c r="I561" s="829"/>
      <c r="J561" s="752"/>
      <c r="K561" s="752"/>
      <c r="L561" s="743"/>
      <c r="M561" s="743"/>
      <c r="N561" s="743"/>
      <c r="O561" s="743"/>
      <c r="P561" s="743"/>
      <c r="Q561" s="743"/>
      <c r="R561" s="743"/>
      <c r="S561" s="743"/>
      <c r="T561" s="743"/>
      <c r="U561" s="743"/>
      <c r="V561" s="743"/>
      <c r="W561" s="743"/>
      <c r="X561" s="743"/>
      <c r="Y561" s="743"/>
      <c r="Z561" s="743"/>
      <c r="AA561" s="743"/>
      <c r="AB561" s="743"/>
      <c r="AC561" s="743"/>
      <c r="AD561" s="743"/>
      <c r="AE561" s="743"/>
      <c r="AF561" s="743"/>
      <c r="AG561" s="743"/>
      <c r="AH561" s="743"/>
      <c r="AI561" s="743"/>
      <c r="AJ561" s="743"/>
      <c r="AK561" s="743"/>
      <c r="AL561" s="743"/>
      <c r="AM561" s="743"/>
    </row>
    <row r="562" spans="1:39" ht="17.25">
      <c r="A562" s="752"/>
      <c r="B562" s="752"/>
      <c r="C562" s="752"/>
      <c r="D562" s="752"/>
      <c r="E562" s="752"/>
      <c r="F562" s="752"/>
      <c r="G562" s="752"/>
      <c r="H562" s="752"/>
      <c r="I562" s="829"/>
      <c r="J562" s="752"/>
      <c r="K562" s="752"/>
      <c r="L562" s="743"/>
      <c r="M562" s="743"/>
      <c r="N562" s="743"/>
      <c r="O562" s="743"/>
      <c r="P562" s="743"/>
      <c r="Q562" s="743"/>
      <c r="R562" s="743"/>
      <c r="S562" s="743"/>
      <c r="T562" s="743"/>
      <c r="U562" s="743"/>
      <c r="V562" s="743"/>
      <c r="W562" s="743"/>
      <c r="X562" s="743"/>
      <c r="Y562" s="743"/>
      <c r="Z562" s="743"/>
      <c r="AA562" s="743"/>
      <c r="AB562" s="743"/>
      <c r="AC562" s="743"/>
      <c r="AD562" s="743"/>
      <c r="AE562" s="743"/>
      <c r="AF562" s="743"/>
      <c r="AG562" s="743"/>
      <c r="AH562" s="743"/>
      <c r="AI562" s="743"/>
      <c r="AJ562" s="743"/>
      <c r="AK562" s="743"/>
      <c r="AL562" s="743"/>
      <c r="AM562" s="743"/>
    </row>
    <row r="563" spans="1:39" ht="17.25">
      <c r="A563" s="752"/>
      <c r="B563" s="752"/>
      <c r="C563" s="752"/>
      <c r="D563" s="752"/>
      <c r="E563" s="752"/>
      <c r="F563" s="752"/>
      <c r="G563" s="752"/>
      <c r="H563" s="752"/>
      <c r="I563" s="829"/>
      <c r="J563" s="752"/>
      <c r="K563" s="752"/>
      <c r="L563" s="743"/>
      <c r="M563" s="743"/>
      <c r="N563" s="743"/>
      <c r="O563" s="743"/>
      <c r="P563" s="743"/>
      <c r="Q563" s="743"/>
      <c r="R563" s="743"/>
      <c r="S563" s="743"/>
      <c r="T563" s="743"/>
      <c r="U563" s="743"/>
      <c r="V563" s="743"/>
      <c r="W563" s="743"/>
      <c r="X563" s="743"/>
      <c r="Y563" s="743"/>
      <c r="Z563" s="743"/>
      <c r="AA563" s="743"/>
      <c r="AB563" s="743"/>
      <c r="AC563" s="743"/>
      <c r="AD563" s="743"/>
      <c r="AE563" s="743"/>
      <c r="AF563" s="743"/>
      <c r="AG563" s="743"/>
      <c r="AH563" s="743"/>
      <c r="AI563" s="743"/>
      <c r="AJ563" s="743"/>
      <c r="AK563" s="743"/>
      <c r="AL563" s="743"/>
      <c r="AM563" s="743"/>
    </row>
    <row r="564" spans="1:39" ht="17.25">
      <c r="A564" s="752"/>
      <c r="B564" s="752"/>
      <c r="C564" s="752"/>
      <c r="D564" s="752"/>
      <c r="E564" s="752"/>
      <c r="F564" s="752"/>
      <c r="G564" s="752"/>
      <c r="H564" s="752"/>
      <c r="I564" s="829"/>
      <c r="J564" s="752"/>
      <c r="K564" s="752"/>
      <c r="L564" s="743"/>
      <c r="M564" s="743"/>
      <c r="N564" s="743"/>
      <c r="O564" s="743"/>
      <c r="P564" s="743"/>
      <c r="Q564" s="743"/>
      <c r="R564" s="743"/>
      <c r="S564" s="743"/>
      <c r="T564" s="743"/>
      <c r="U564" s="743"/>
      <c r="V564" s="743"/>
      <c r="W564" s="743"/>
      <c r="X564" s="743"/>
      <c r="Y564" s="743"/>
      <c r="Z564" s="743"/>
      <c r="AA564" s="743"/>
      <c r="AB564" s="743"/>
      <c r="AC564" s="743"/>
      <c r="AD564" s="743"/>
      <c r="AE564" s="743"/>
      <c r="AF564" s="743"/>
      <c r="AG564" s="743"/>
      <c r="AH564" s="743"/>
      <c r="AI564" s="743"/>
      <c r="AJ564" s="743"/>
      <c r="AK564" s="743"/>
      <c r="AL564" s="743"/>
      <c r="AM564" s="743"/>
    </row>
    <row r="565" spans="1:39" ht="17.25">
      <c r="A565" s="752"/>
      <c r="B565" s="752"/>
      <c r="C565" s="752"/>
      <c r="D565" s="752"/>
      <c r="E565" s="752"/>
      <c r="F565" s="752"/>
      <c r="G565" s="752"/>
      <c r="H565" s="752"/>
      <c r="I565" s="829"/>
      <c r="J565" s="752"/>
      <c r="K565" s="752"/>
      <c r="L565" s="743"/>
      <c r="M565" s="743"/>
      <c r="N565" s="743"/>
      <c r="O565" s="743"/>
      <c r="P565" s="743"/>
      <c r="Q565" s="743"/>
      <c r="R565" s="743"/>
      <c r="S565" s="743"/>
      <c r="T565" s="743"/>
      <c r="U565" s="743"/>
      <c r="V565" s="743"/>
      <c r="W565" s="743"/>
      <c r="X565" s="743"/>
      <c r="Y565" s="743"/>
      <c r="Z565" s="743"/>
      <c r="AA565" s="743"/>
      <c r="AB565" s="743"/>
      <c r="AC565" s="743"/>
      <c r="AD565" s="743"/>
      <c r="AE565" s="743"/>
      <c r="AF565" s="743"/>
      <c r="AG565" s="743"/>
      <c r="AH565" s="743"/>
      <c r="AI565" s="743"/>
      <c r="AJ565" s="743"/>
      <c r="AK565" s="743"/>
      <c r="AL565" s="743"/>
      <c r="AM565" s="743"/>
    </row>
    <row r="566" spans="1:39" ht="17.25">
      <c r="A566" s="752"/>
      <c r="B566" s="752"/>
      <c r="C566" s="752"/>
      <c r="D566" s="752"/>
      <c r="E566" s="752"/>
      <c r="F566" s="752"/>
      <c r="G566" s="752"/>
      <c r="H566" s="752"/>
      <c r="I566" s="829"/>
      <c r="J566" s="752"/>
      <c r="K566" s="752"/>
      <c r="L566" s="743"/>
      <c r="M566" s="743"/>
      <c r="N566" s="743"/>
      <c r="O566" s="743"/>
      <c r="P566" s="743"/>
      <c r="Q566" s="743"/>
      <c r="R566" s="743"/>
      <c r="S566" s="743"/>
      <c r="T566" s="743"/>
      <c r="U566" s="743"/>
      <c r="V566" s="743"/>
      <c r="W566" s="743"/>
      <c r="X566" s="743"/>
      <c r="Y566" s="743"/>
      <c r="Z566" s="743"/>
      <c r="AA566" s="743"/>
      <c r="AB566" s="743"/>
      <c r="AC566" s="743"/>
      <c r="AD566" s="743"/>
      <c r="AE566" s="743"/>
      <c r="AF566" s="743"/>
      <c r="AG566" s="743"/>
      <c r="AH566" s="743"/>
      <c r="AI566" s="743"/>
      <c r="AJ566" s="743"/>
      <c r="AK566" s="743"/>
      <c r="AL566" s="743"/>
      <c r="AM566" s="743"/>
    </row>
    <row r="567" spans="1:39" ht="17.25">
      <c r="A567" s="752"/>
      <c r="B567" s="752"/>
      <c r="C567" s="752"/>
      <c r="D567" s="752"/>
      <c r="E567" s="752"/>
      <c r="F567" s="752"/>
      <c r="G567" s="752"/>
      <c r="H567" s="752"/>
      <c r="I567" s="829"/>
      <c r="J567" s="752"/>
      <c r="K567" s="752"/>
      <c r="L567" s="743"/>
      <c r="M567" s="743"/>
      <c r="N567" s="743"/>
      <c r="O567" s="743"/>
      <c r="P567" s="743"/>
      <c r="Q567" s="743"/>
      <c r="R567" s="743"/>
      <c r="S567" s="743"/>
      <c r="T567" s="743"/>
      <c r="U567" s="743"/>
      <c r="V567" s="743"/>
      <c r="W567" s="743"/>
      <c r="X567" s="743"/>
      <c r="Y567" s="743"/>
      <c r="Z567" s="743"/>
      <c r="AA567" s="743"/>
      <c r="AB567" s="743"/>
      <c r="AC567" s="743"/>
      <c r="AD567" s="743"/>
      <c r="AE567" s="743"/>
      <c r="AF567" s="743"/>
      <c r="AG567" s="743"/>
      <c r="AH567" s="743"/>
      <c r="AI567" s="743"/>
      <c r="AJ567" s="743"/>
      <c r="AK567" s="743"/>
      <c r="AL567" s="743"/>
      <c r="AM567" s="743"/>
    </row>
    <row r="568" spans="1:39" ht="17.25">
      <c r="A568" s="752"/>
      <c r="B568" s="752"/>
      <c r="C568" s="752"/>
      <c r="D568" s="752"/>
      <c r="E568" s="752"/>
      <c r="F568" s="752"/>
      <c r="G568" s="752"/>
      <c r="H568" s="752"/>
      <c r="I568" s="829"/>
      <c r="J568" s="752"/>
      <c r="K568" s="752"/>
      <c r="L568" s="743"/>
      <c r="M568" s="743"/>
      <c r="N568" s="743"/>
      <c r="O568" s="743"/>
      <c r="P568" s="743"/>
      <c r="Q568" s="743"/>
      <c r="R568" s="743"/>
      <c r="S568" s="743"/>
      <c r="T568" s="743"/>
      <c r="U568" s="743"/>
      <c r="V568" s="743"/>
      <c r="W568" s="743"/>
      <c r="X568" s="743"/>
      <c r="Y568" s="743"/>
      <c r="Z568" s="743"/>
      <c r="AA568" s="743"/>
      <c r="AB568" s="743"/>
      <c r="AC568" s="743"/>
      <c r="AD568" s="743"/>
      <c r="AE568" s="743"/>
      <c r="AF568" s="743"/>
      <c r="AG568" s="743"/>
      <c r="AH568" s="743"/>
      <c r="AI568" s="743"/>
      <c r="AJ568" s="743"/>
      <c r="AK568" s="743"/>
      <c r="AL568" s="743"/>
      <c r="AM568" s="743"/>
    </row>
    <row r="569" spans="1:39" ht="17.25">
      <c r="A569" s="752"/>
      <c r="B569" s="752"/>
      <c r="C569" s="752"/>
      <c r="D569" s="752"/>
      <c r="E569" s="752"/>
      <c r="F569" s="752"/>
      <c r="G569" s="752"/>
      <c r="H569" s="752"/>
      <c r="I569" s="829"/>
      <c r="J569" s="752"/>
      <c r="K569" s="752"/>
      <c r="L569" s="743"/>
      <c r="M569" s="743"/>
      <c r="N569" s="743"/>
      <c r="O569" s="743"/>
      <c r="P569" s="743"/>
      <c r="Q569" s="743"/>
      <c r="R569" s="743"/>
      <c r="S569" s="743"/>
      <c r="T569" s="743"/>
      <c r="U569" s="743"/>
      <c r="V569" s="743"/>
      <c r="W569" s="743"/>
      <c r="X569" s="743"/>
      <c r="Y569" s="743"/>
      <c r="Z569" s="743"/>
      <c r="AA569" s="743"/>
      <c r="AB569" s="743"/>
      <c r="AC569" s="743"/>
      <c r="AD569" s="743"/>
      <c r="AE569" s="743"/>
      <c r="AF569" s="743"/>
      <c r="AG569" s="743"/>
      <c r="AH569" s="743"/>
      <c r="AI569" s="743"/>
      <c r="AJ569" s="743"/>
      <c r="AK569" s="743"/>
      <c r="AL569" s="743"/>
      <c r="AM569" s="743"/>
    </row>
    <row r="570" spans="1:39" ht="17.25">
      <c r="A570" s="752"/>
      <c r="B570" s="752"/>
      <c r="C570" s="752"/>
      <c r="D570" s="752"/>
      <c r="E570" s="752"/>
      <c r="F570" s="752"/>
      <c r="G570" s="752"/>
      <c r="H570" s="752"/>
      <c r="I570" s="829"/>
      <c r="J570" s="752"/>
      <c r="K570" s="752"/>
      <c r="L570" s="743"/>
      <c r="M570" s="743"/>
      <c r="N570" s="743"/>
      <c r="O570" s="743"/>
      <c r="P570" s="743"/>
      <c r="Q570" s="743"/>
      <c r="R570" s="743"/>
      <c r="S570" s="743"/>
      <c r="T570" s="743"/>
      <c r="U570" s="743"/>
      <c r="V570" s="743"/>
      <c r="W570" s="743"/>
      <c r="X570" s="743"/>
      <c r="Y570" s="743"/>
      <c r="Z570" s="743"/>
      <c r="AA570" s="743"/>
      <c r="AB570" s="743"/>
      <c r="AC570" s="743"/>
      <c r="AD570" s="743"/>
      <c r="AE570" s="743"/>
      <c r="AF570" s="743"/>
      <c r="AG570" s="743"/>
      <c r="AH570" s="743"/>
      <c r="AI570" s="743"/>
      <c r="AJ570" s="743"/>
      <c r="AK570" s="743"/>
      <c r="AL570" s="743"/>
      <c r="AM570" s="743"/>
    </row>
    <row r="571" spans="1:39" ht="17.25">
      <c r="A571" s="752"/>
      <c r="B571" s="752"/>
      <c r="C571" s="752"/>
      <c r="D571" s="752"/>
      <c r="E571" s="752"/>
      <c r="F571" s="752"/>
      <c r="G571" s="752"/>
      <c r="H571" s="752"/>
      <c r="I571" s="829"/>
      <c r="J571" s="752"/>
      <c r="K571" s="752"/>
      <c r="L571" s="743"/>
      <c r="M571" s="743"/>
      <c r="N571" s="743"/>
      <c r="O571" s="743"/>
      <c r="P571" s="743"/>
      <c r="Q571" s="743"/>
      <c r="R571" s="743"/>
      <c r="S571" s="743"/>
      <c r="T571" s="743"/>
      <c r="U571" s="743"/>
      <c r="V571" s="743"/>
      <c r="W571" s="743"/>
      <c r="X571" s="743"/>
      <c r="Y571" s="743"/>
      <c r="Z571" s="743"/>
      <c r="AA571" s="743"/>
      <c r="AB571" s="743"/>
      <c r="AC571" s="743"/>
      <c r="AD571" s="743"/>
      <c r="AE571" s="743"/>
      <c r="AF571" s="743"/>
      <c r="AG571" s="743"/>
      <c r="AH571" s="743"/>
      <c r="AI571" s="743"/>
      <c r="AJ571" s="743"/>
      <c r="AK571" s="743"/>
      <c r="AL571" s="743"/>
      <c r="AM571" s="743"/>
    </row>
    <row r="572" spans="1:39" ht="17.25">
      <c r="A572" s="752"/>
      <c r="B572" s="752"/>
      <c r="C572" s="752"/>
      <c r="D572" s="752"/>
      <c r="E572" s="752"/>
      <c r="F572" s="752"/>
      <c r="G572" s="752"/>
      <c r="H572" s="752"/>
      <c r="I572" s="829"/>
      <c r="J572" s="752"/>
      <c r="K572" s="752"/>
      <c r="L572" s="743"/>
      <c r="M572" s="743"/>
      <c r="N572" s="743"/>
      <c r="O572" s="743"/>
      <c r="P572" s="743"/>
      <c r="Q572" s="743"/>
      <c r="R572" s="743"/>
      <c r="S572" s="743"/>
      <c r="T572" s="743"/>
      <c r="U572" s="743"/>
      <c r="V572" s="743"/>
      <c r="W572" s="743"/>
      <c r="X572" s="743"/>
      <c r="Y572" s="743"/>
      <c r="Z572" s="743"/>
      <c r="AA572" s="743"/>
      <c r="AB572" s="743"/>
      <c r="AC572" s="743"/>
      <c r="AD572" s="743"/>
      <c r="AE572" s="743"/>
      <c r="AF572" s="743"/>
      <c r="AG572" s="743"/>
      <c r="AH572" s="743"/>
      <c r="AI572" s="743"/>
      <c r="AJ572" s="743"/>
      <c r="AK572" s="743"/>
      <c r="AL572" s="743"/>
      <c r="AM572" s="743"/>
    </row>
    <row r="573" spans="1:39" ht="17.25">
      <c r="A573" s="752"/>
      <c r="B573" s="752"/>
      <c r="C573" s="752"/>
      <c r="D573" s="752"/>
      <c r="E573" s="752"/>
      <c r="F573" s="752"/>
      <c r="G573" s="752"/>
      <c r="H573" s="752"/>
      <c r="I573" s="829"/>
      <c r="J573" s="752"/>
      <c r="K573" s="752"/>
      <c r="L573" s="743"/>
      <c r="M573" s="743"/>
      <c r="N573" s="743"/>
      <c r="O573" s="743"/>
      <c r="P573" s="743"/>
      <c r="Q573" s="743"/>
      <c r="R573" s="743"/>
      <c r="S573" s="743"/>
      <c r="T573" s="743"/>
      <c r="U573" s="743"/>
      <c r="V573" s="743"/>
      <c r="W573" s="743"/>
      <c r="X573" s="743"/>
      <c r="Y573" s="743"/>
      <c r="Z573" s="743"/>
      <c r="AA573" s="743"/>
      <c r="AB573" s="743"/>
      <c r="AC573" s="743"/>
      <c r="AD573" s="743"/>
      <c r="AE573" s="743"/>
      <c r="AF573" s="743"/>
      <c r="AG573" s="743"/>
      <c r="AH573" s="743"/>
      <c r="AI573" s="743"/>
      <c r="AJ573" s="743"/>
      <c r="AK573" s="743"/>
      <c r="AL573" s="743"/>
      <c r="AM573" s="743"/>
    </row>
    <row r="574" spans="1:39" ht="17.25">
      <c r="A574" s="752"/>
      <c r="B574" s="752"/>
      <c r="C574" s="752"/>
      <c r="D574" s="752"/>
      <c r="E574" s="752"/>
      <c r="F574" s="752"/>
      <c r="G574" s="752"/>
      <c r="H574" s="752"/>
      <c r="I574" s="829"/>
      <c r="J574" s="752"/>
      <c r="K574" s="752"/>
      <c r="L574" s="743"/>
      <c r="M574" s="743"/>
      <c r="N574" s="743"/>
      <c r="O574" s="743"/>
      <c r="P574" s="743"/>
      <c r="Q574" s="743"/>
      <c r="R574" s="743"/>
      <c r="S574" s="743"/>
      <c r="T574" s="743"/>
      <c r="U574" s="743"/>
      <c r="V574" s="743"/>
      <c r="W574" s="743"/>
      <c r="X574" s="743"/>
      <c r="Y574" s="743"/>
      <c r="Z574" s="743"/>
      <c r="AA574" s="743"/>
      <c r="AB574" s="743"/>
      <c r="AC574" s="743"/>
      <c r="AD574" s="743"/>
      <c r="AE574" s="743"/>
      <c r="AF574" s="743"/>
      <c r="AG574" s="743"/>
      <c r="AH574" s="743"/>
      <c r="AI574" s="743"/>
      <c r="AJ574" s="743"/>
      <c r="AK574" s="743"/>
      <c r="AL574" s="743"/>
      <c r="AM574" s="743"/>
    </row>
    <row r="575" spans="1:39" ht="17.25">
      <c r="A575" s="752"/>
      <c r="B575" s="752"/>
      <c r="C575" s="752"/>
      <c r="D575" s="752"/>
      <c r="E575" s="752"/>
      <c r="F575" s="752"/>
      <c r="G575" s="752"/>
      <c r="H575" s="752"/>
      <c r="I575" s="829"/>
      <c r="J575" s="752"/>
      <c r="K575" s="752"/>
      <c r="L575" s="743"/>
      <c r="M575" s="743"/>
      <c r="N575" s="743"/>
      <c r="O575" s="743"/>
      <c r="P575" s="743"/>
      <c r="Q575" s="743"/>
      <c r="R575" s="743"/>
      <c r="S575" s="743"/>
      <c r="T575" s="743"/>
      <c r="U575" s="743"/>
      <c r="V575" s="743"/>
      <c r="W575" s="743"/>
      <c r="X575" s="743"/>
      <c r="Y575" s="743"/>
      <c r="Z575" s="743"/>
      <c r="AA575" s="743"/>
      <c r="AB575" s="743"/>
      <c r="AC575" s="743"/>
      <c r="AD575" s="743"/>
      <c r="AE575" s="743"/>
      <c r="AF575" s="743"/>
      <c r="AG575" s="743"/>
      <c r="AH575" s="743"/>
      <c r="AI575" s="743"/>
      <c r="AJ575" s="743"/>
      <c r="AK575" s="743"/>
      <c r="AL575" s="743"/>
      <c r="AM575" s="743"/>
    </row>
    <row r="576" spans="1:39" ht="17.25">
      <c r="A576" s="752"/>
      <c r="B576" s="752"/>
      <c r="C576" s="752"/>
      <c r="D576" s="752"/>
      <c r="E576" s="752"/>
      <c r="F576" s="752"/>
      <c r="G576" s="752"/>
      <c r="H576" s="752"/>
      <c r="I576" s="829"/>
      <c r="J576" s="752"/>
      <c r="K576" s="752"/>
      <c r="L576" s="743"/>
      <c r="M576" s="743"/>
      <c r="N576" s="743"/>
      <c r="O576" s="743"/>
      <c r="P576" s="743"/>
      <c r="Q576" s="743"/>
      <c r="R576" s="743"/>
      <c r="S576" s="743"/>
      <c r="T576" s="743"/>
      <c r="U576" s="743"/>
      <c r="V576" s="743"/>
      <c r="W576" s="743"/>
      <c r="X576" s="743"/>
      <c r="Y576" s="743"/>
      <c r="Z576" s="743"/>
      <c r="AA576" s="743"/>
      <c r="AB576" s="743"/>
      <c r="AC576" s="743"/>
      <c r="AD576" s="743"/>
      <c r="AE576" s="743"/>
      <c r="AF576" s="743"/>
      <c r="AG576" s="743"/>
      <c r="AH576" s="743"/>
      <c r="AI576" s="743"/>
      <c r="AJ576" s="743"/>
      <c r="AK576" s="743"/>
      <c r="AL576" s="743"/>
      <c r="AM576" s="743"/>
    </row>
    <row r="577" spans="1:39" ht="17.25">
      <c r="A577" s="752"/>
      <c r="B577" s="752"/>
      <c r="C577" s="752"/>
      <c r="D577" s="752"/>
      <c r="E577" s="752"/>
      <c r="F577" s="752"/>
      <c r="G577" s="752"/>
      <c r="H577" s="752"/>
      <c r="I577" s="829"/>
      <c r="J577" s="752"/>
      <c r="K577" s="752"/>
      <c r="L577" s="743"/>
      <c r="M577" s="743"/>
      <c r="N577" s="743"/>
      <c r="O577" s="743"/>
      <c r="P577" s="743"/>
      <c r="Q577" s="743"/>
      <c r="R577" s="743"/>
      <c r="S577" s="743"/>
      <c r="T577" s="743"/>
      <c r="U577" s="743"/>
      <c r="V577" s="743"/>
      <c r="W577" s="743"/>
      <c r="X577" s="743"/>
      <c r="Y577" s="743"/>
      <c r="Z577" s="743"/>
      <c r="AA577" s="743"/>
      <c r="AB577" s="743"/>
      <c r="AC577" s="743"/>
      <c r="AD577" s="743"/>
      <c r="AE577" s="743"/>
      <c r="AF577" s="743"/>
      <c r="AG577" s="743"/>
      <c r="AH577" s="743"/>
      <c r="AI577" s="743"/>
      <c r="AJ577" s="743"/>
      <c r="AK577" s="743"/>
      <c r="AL577" s="743"/>
      <c r="AM577" s="743"/>
    </row>
    <row r="578" spans="1:39" ht="17.25">
      <c r="A578" s="752"/>
      <c r="B578" s="752"/>
      <c r="C578" s="752"/>
      <c r="D578" s="752"/>
      <c r="E578" s="752"/>
      <c r="F578" s="752"/>
      <c r="G578" s="752"/>
      <c r="H578" s="752"/>
      <c r="I578" s="829"/>
      <c r="J578" s="752"/>
      <c r="K578" s="752"/>
      <c r="L578" s="743"/>
      <c r="M578" s="743"/>
      <c r="N578" s="743"/>
      <c r="O578" s="743"/>
      <c r="P578" s="743"/>
      <c r="Q578" s="743"/>
      <c r="R578" s="743"/>
      <c r="S578" s="743"/>
      <c r="T578" s="743"/>
      <c r="U578" s="743"/>
      <c r="V578" s="743"/>
      <c r="W578" s="743"/>
      <c r="X578" s="743"/>
      <c r="Y578" s="743"/>
      <c r="Z578" s="743"/>
      <c r="AA578" s="743"/>
      <c r="AB578" s="743"/>
      <c r="AC578" s="743"/>
      <c r="AD578" s="743"/>
      <c r="AE578" s="743"/>
      <c r="AF578" s="743"/>
      <c r="AG578" s="743"/>
      <c r="AH578" s="743"/>
      <c r="AI578" s="743"/>
      <c r="AJ578" s="743"/>
      <c r="AK578" s="743"/>
      <c r="AL578" s="743"/>
      <c r="AM578" s="743"/>
    </row>
    <row r="579" spans="1:39" ht="17.25">
      <c r="A579" s="752"/>
      <c r="B579" s="752"/>
      <c r="C579" s="752"/>
      <c r="D579" s="752"/>
      <c r="E579" s="752"/>
      <c r="F579" s="752"/>
      <c r="G579" s="752"/>
      <c r="H579" s="752"/>
      <c r="I579" s="829"/>
      <c r="J579" s="752"/>
      <c r="K579" s="752"/>
      <c r="L579" s="743"/>
      <c r="M579" s="743"/>
      <c r="N579" s="743"/>
      <c r="O579" s="743"/>
      <c r="P579" s="743"/>
      <c r="Q579" s="743"/>
      <c r="R579" s="743"/>
      <c r="S579" s="743"/>
      <c r="T579" s="743"/>
      <c r="U579" s="743"/>
      <c r="V579" s="743"/>
      <c r="W579" s="743"/>
      <c r="X579" s="743"/>
      <c r="Y579" s="743"/>
      <c r="Z579" s="743"/>
      <c r="AA579" s="743"/>
      <c r="AB579" s="743"/>
      <c r="AC579" s="743"/>
      <c r="AD579" s="743"/>
      <c r="AE579" s="743"/>
      <c r="AF579" s="743"/>
      <c r="AG579" s="743"/>
      <c r="AH579" s="743"/>
      <c r="AI579" s="743"/>
      <c r="AJ579" s="743"/>
      <c r="AK579" s="743"/>
      <c r="AL579" s="743"/>
      <c r="AM579" s="743"/>
    </row>
    <row r="580" spans="1:39" ht="17.25">
      <c r="A580" s="752"/>
      <c r="B580" s="752"/>
      <c r="C580" s="752"/>
      <c r="D580" s="752"/>
      <c r="E580" s="752"/>
      <c r="F580" s="752"/>
      <c r="G580" s="752"/>
      <c r="H580" s="752"/>
      <c r="I580" s="829"/>
      <c r="J580" s="752"/>
      <c r="K580" s="752"/>
      <c r="L580" s="743"/>
      <c r="M580" s="743"/>
      <c r="N580" s="743"/>
      <c r="O580" s="743"/>
      <c r="P580" s="743"/>
      <c r="Q580" s="743"/>
      <c r="R580" s="743"/>
      <c r="S580" s="743"/>
      <c r="T580" s="743"/>
      <c r="U580" s="743"/>
      <c r="V580" s="743"/>
      <c r="W580" s="743"/>
      <c r="X580" s="743"/>
      <c r="Y580" s="743"/>
      <c r="Z580" s="743"/>
      <c r="AA580" s="743"/>
      <c r="AB580" s="743"/>
      <c r="AC580" s="743"/>
      <c r="AD580" s="743"/>
      <c r="AE580" s="743"/>
      <c r="AF580" s="743"/>
      <c r="AG580" s="743"/>
      <c r="AH580" s="743"/>
      <c r="AI580" s="743"/>
      <c r="AJ580" s="743"/>
      <c r="AK580" s="743"/>
      <c r="AL580" s="743"/>
      <c r="AM580" s="743"/>
    </row>
    <row r="581" spans="1:39" ht="17.25">
      <c r="A581" s="752"/>
      <c r="B581" s="752"/>
      <c r="C581" s="752"/>
      <c r="D581" s="752"/>
      <c r="E581" s="752"/>
      <c r="F581" s="752"/>
      <c r="G581" s="752"/>
      <c r="H581" s="752"/>
      <c r="I581" s="829"/>
      <c r="J581" s="752"/>
      <c r="K581" s="752"/>
      <c r="L581" s="743"/>
      <c r="M581" s="743"/>
      <c r="N581" s="743"/>
      <c r="O581" s="743"/>
      <c r="P581" s="743"/>
      <c r="Q581" s="743"/>
      <c r="R581" s="743"/>
      <c r="S581" s="743"/>
      <c r="T581" s="743"/>
      <c r="U581" s="743"/>
      <c r="V581" s="743"/>
      <c r="W581" s="743"/>
      <c r="X581" s="743"/>
      <c r="Y581" s="743"/>
      <c r="Z581" s="743"/>
      <c r="AA581" s="743"/>
      <c r="AB581" s="743"/>
      <c r="AC581" s="743"/>
      <c r="AD581" s="743"/>
      <c r="AE581" s="743"/>
      <c r="AF581" s="743"/>
      <c r="AG581" s="743"/>
      <c r="AH581" s="743"/>
      <c r="AI581" s="743"/>
      <c r="AJ581" s="743"/>
      <c r="AK581" s="743"/>
      <c r="AL581" s="743"/>
      <c r="AM581" s="743"/>
    </row>
    <row r="582" spans="1:39" ht="17.25">
      <c r="A582" s="752"/>
      <c r="B582" s="752"/>
      <c r="C582" s="752"/>
      <c r="D582" s="752"/>
      <c r="E582" s="752"/>
      <c r="F582" s="752"/>
      <c r="G582" s="752"/>
      <c r="H582" s="752"/>
      <c r="I582" s="829"/>
      <c r="J582" s="752"/>
      <c r="K582" s="752"/>
      <c r="L582" s="743"/>
      <c r="M582" s="743"/>
      <c r="N582" s="743"/>
      <c r="O582" s="743"/>
      <c r="P582" s="743"/>
      <c r="Q582" s="743"/>
      <c r="R582" s="743"/>
      <c r="S582" s="743"/>
      <c r="T582" s="743"/>
      <c r="U582" s="743"/>
      <c r="V582" s="743"/>
      <c r="W582" s="743"/>
      <c r="X582" s="743"/>
      <c r="Y582" s="743"/>
      <c r="Z582" s="743"/>
      <c r="AA582" s="743"/>
      <c r="AB582" s="743"/>
      <c r="AC582" s="743"/>
      <c r="AD582" s="743"/>
      <c r="AE582" s="743"/>
      <c r="AF582" s="743"/>
      <c r="AG582" s="743"/>
      <c r="AH582" s="743"/>
      <c r="AI582" s="743"/>
      <c r="AJ582" s="743"/>
      <c r="AK582" s="743"/>
      <c r="AL582" s="743"/>
      <c r="AM582" s="743"/>
    </row>
    <row r="583" spans="1:39" ht="17.25">
      <c r="A583" s="752"/>
      <c r="B583" s="752"/>
      <c r="C583" s="752"/>
      <c r="D583" s="752"/>
      <c r="E583" s="752"/>
      <c r="F583" s="752"/>
      <c r="G583" s="752"/>
      <c r="H583" s="752"/>
      <c r="I583" s="829"/>
      <c r="J583" s="752"/>
      <c r="K583" s="752"/>
      <c r="L583" s="743"/>
      <c r="M583" s="743"/>
      <c r="N583" s="743"/>
      <c r="O583" s="743"/>
      <c r="P583" s="743"/>
      <c r="Q583" s="743"/>
      <c r="R583" s="743"/>
      <c r="S583" s="743"/>
      <c r="T583" s="743"/>
      <c r="U583" s="743"/>
      <c r="V583" s="743"/>
      <c r="W583" s="743"/>
      <c r="X583" s="743"/>
      <c r="Y583" s="743"/>
      <c r="Z583" s="743"/>
      <c r="AA583" s="743"/>
      <c r="AB583" s="743"/>
      <c r="AC583" s="743"/>
      <c r="AD583" s="743"/>
      <c r="AE583" s="743"/>
      <c r="AF583" s="743"/>
      <c r="AG583" s="743"/>
      <c r="AH583" s="743"/>
      <c r="AI583" s="743"/>
      <c r="AJ583" s="743"/>
      <c r="AK583" s="743"/>
      <c r="AL583" s="743"/>
      <c r="AM583" s="743"/>
    </row>
    <row r="584" spans="1:39" ht="17.25">
      <c r="A584" s="752"/>
      <c r="B584" s="752"/>
      <c r="C584" s="752"/>
      <c r="D584" s="752"/>
      <c r="E584" s="752"/>
      <c r="F584" s="752"/>
      <c r="G584" s="752"/>
      <c r="H584" s="752"/>
      <c r="I584" s="829"/>
      <c r="J584" s="752"/>
      <c r="K584" s="752"/>
      <c r="L584" s="743"/>
      <c r="M584" s="743"/>
      <c r="N584" s="743"/>
      <c r="O584" s="743"/>
      <c r="P584" s="743"/>
      <c r="Q584" s="743"/>
      <c r="R584" s="743"/>
      <c r="S584" s="743"/>
      <c r="T584" s="743"/>
      <c r="U584" s="743"/>
      <c r="V584" s="743"/>
      <c r="W584" s="743"/>
      <c r="X584" s="743"/>
      <c r="Y584" s="743"/>
      <c r="Z584" s="743"/>
      <c r="AA584" s="743"/>
      <c r="AB584" s="743"/>
      <c r="AC584" s="743"/>
      <c r="AD584" s="743"/>
      <c r="AE584" s="743"/>
      <c r="AF584" s="743"/>
      <c r="AG584" s="743"/>
      <c r="AH584" s="743"/>
      <c r="AI584" s="743"/>
      <c r="AJ584" s="743"/>
      <c r="AK584" s="743"/>
      <c r="AL584" s="743"/>
      <c r="AM584" s="743"/>
    </row>
    <row r="585" spans="1:39" ht="17.25">
      <c r="A585" s="752"/>
      <c r="B585" s="752"/>
      <c r="C585" s="752"/>
      <c r="D585" s="752"/>
      <c r="E585" s="752"/>
      <c r="F585" s="752"/>
      <c r="G585" s="752"/>
      <c r="H585" s="752"/>
      <c r="I585" s="829"/>
      <c r="J585" s="752"/>
      <c r="K585" s="752"/>
      <c r="L585" s="743"/>
      <c r="M585" s="743"/>
      <c r="N585" s="743"/>
      <c r="O585" s="743"/>
      <c r="P585" s="743"/>
      <c r="Q585" s="743"/>
      <c r="R585" s="743"/>
      <c r="S585" s="743"/>
      <c r="T585" s="743"/>
      <c r="U585" s="743"/>
      <c r="V585" s="743"/>
      <c r="W585" s="743"/>
      <c r="X585" s="743"/>
      <c r="Y585" s="743"/>
      <c r="Z585" s="743"/>
      <c r="AA585" s="743"/>
      <c r="AB585" s="743"/>
      <c r="AC585" s="743"/>
      <c r="AD585" s="743"/>
      <c r="AE585" s="743"/>
      <c r="AF585" s="743"/>
      <c r="AG585" s="743"/>
      <c r="AH585" s="743"/>
      <c r="AI585" s="743"/>
      <c r="AJ585" s="743"/>
      <c r="AK585" s="743"/>
      <c r="AL585" s="743"/>
      <c r="AM585" s="743"/>
    </row>
    <row r="586" spans="1:39" ht="17.25">
      <c r="A586" s="752"/>
      <c r="B586" s="752"/>
      <c r="C586" s="752"/>
      <c r="D586" s="752"/>
      <c r="E586" s="752"/>
      <c r="F586" s="752"/>
      <c r="G586" s="752"/>
      <c r="H586" s="752"/>
      <c r="I586" s="829"/>
      <c r="J586" s="752"/>
      <c r="K586" s="752"/>
      <c r="L586" s="743"/>
      <c r="M586" s="743"/>
      <c r="N586" s="743"/>
      <c r="O586" s="743"/>
      <c r="P586" s="743"/>
      <c r="Q586" s="743"/>
      <c r="R586" s="743"/>
      <c r="S586" s="743"/>
      <c r="T586" s="743"/>
      <c r="U586" s="743"/>
      <c r="V586" s="743"/>
      <c r="W586" s="743"/>
      <c r="X586" s="743"/>
      <c r="Y586" s="743"/>
      <c r="Z586" s="743"/>
      <c r="AA586" s="743"/>
      <c r="AB586" s="743"/>
      <c r="AC586" s="743"/>
      <c r="AD586" s="743"/>
      <c r="AE586" s="743"/>
      <c r="AF586" s="743"/>
      <c r="AG586" s="743"/>
      <c r="AH586" s="743"/>
      <c r="AI586" s="743"/>
      <c r="AJ586" s="743"/>
      <c r="AK586" s="743"/>
      <c r="AL586" s="743"/>
      <c r="AM586" s="743"/>
    </row>
    <row r="587" spans="1:39" ht="17.25">
      <c r="A587" s="752"/>
      <c r="B587" s="752"/>
      <c r="C587" s="752"/>
      <c r="D587" s="752"/>
      <c r="E587" s="752"/>
      <c r="F587" s="752"/>
      <c r="G587" s="752"/>
      <c r="H587" s="752"/>
      <c r="I587" s="829"/>
      <c r="J587" s="752"/>
      <c r="K587" s="752"/>
      <c r="L587" s="743"/>
      <c r="M587" s="743"/>
      <c r="N587" s="743"/>
      <c r="O587" s="743"/>
      <c r="P587" s="743"/>
      <c r="Q587" s="743"/>
      <c r="R587" s="743"/>
      <c r="S587" s="743"/>
      <c r="T587" s="743"/>
      <c r="U587" s="743"/>
      <c r="V587" s="743"/>
      <c r="W587" s="743"/>
      <c r="X587" s="743"/>
      <c r="Y587" s="743"/>
      <c r="Z587" s="743"/>
      <c r="AA587" s="743"/>
      <c r="AB587" s="743"/>
      <c r="AC587" s="743"/>
      <c r="AD587" s="743"/>
      <c r="AE587" s="743"/>
      <c r="AF587" s="743"/>
      <c r="AG587" s="743"/>
      <c r="AH587" s="743"/>
      <c r="AI587" s="743"/>
      <c r="AJ587" s="743"/>
      <c r="AK587" s="743"/>
      <c r="AL587" s="743"/>
      <c r="AM587" s="743"/>
    </row>
    <row r="588" spans="1:39" ht="17.25">
      <c r="A588" s="752"/>
      <c r="B588" s="752"/>
      <c r="C588" s="752"/>
      <c r="D588" s="752"/>
      <c r="E588" s="752"/>
      <c r="F588" s="752"/>
      <c r="G588" s="752"/>
      <c r="H588" s="752"/>
      <c r="I588" s="829"/>
      <c r="J588" s="752"/>
      <c r="K588" s="752"/>
      <c r="L588" s="743"/>
      <c r="M588" s="743"/>
      <c r="N588" s="743"/>
      <c r="O588" s="743"/>
      <c r="P588" s="743"/>
      <c r="Q588" s="743"/>
      <c r="R588" s="743"/>
      <c r="S588" s="743"/>
      <c r="T588" s="743"/>
      <c r="U588" s="743"/>
      <c r="V588" s="743"/>
      <c r="W588" s="743"/>
      <c r="X588" s="743"/>
      <c r="Y588" s="743"/>
      <c r="Z588" s="743"/>
      <c r="AA588" s="743"/>
      <c r="AB588" s="743"/>
      <c r="AC588" s="743"/>
      <c r="AD588" s="743"/>
      <c r="AE588" s="743"/>
      <c r="AF588" s="743"/>
      <c r="AG588" s="743"/>
      <c r="AH588" s="743"/>
      <c r="AI588" s="743"/>
      <c r="AJ588" s="743"/>
      <c r="AK588" s="743"/>
      <c r="AL588" s="743"/>
      <c r="AM588" s="743"/>
    </row>
    <row r="589" spans="1:39" ht="17.25">
      <c r="A589" s="752"/>
      <c r="B589" s="752"/>
      <c r="C589" s="752"/>
      <c r="D589" s="752"/>
      <c r="E589" s="752"/>
      <c r="F589" s="752"/>
      <c r="G589" s="752"/>
      <c r="H589" s="752"/>
      <c r="I589" s="829"/>
      <c r="J589" s="752"/>
      <c r="K589" s="752"/>
      <c r="L589" s="743"/>
      <c r="M589" s="743"/>
      <c r="N589" s="743"/>
      <c r="O589" s="743"/>
      <c r="P589" s="743"/>
      <c r="Q589" s="743"/>
      <c r="R589" s="743"/>
      <c r="S589" s="743"/>
      <c r="T589" s="743"/>
      <c r="U589" s="743"/>
      <c r="V589" s="743"/>
      <c r="W589" s="743"/>
      <c r="X589" s="743"/>
      <c r="Y589" s="743"/>
      <c r="Z589" s="743"/>
      <c r="AA589" s="743"/>
      <c r="AB589" s="743"/>
      <c r="AC589" s="743"/>
      <c r="AD589" s="743"/>
      <c r="AE589" s="743"/>
      <c r="AF589" s="743"/>
      <c r="AG589" s="743"/>
      <c r="AH589" s="743"/>
      <c r="AI589" s="743"/>
      <c r="AJ589" s="743"/>
      <c r="AK589" s="743"/>
      <c r="AL589" s="743"/>
      <c r="AM589" s="743"/>
    </row>
    <row r="590" spans="1:39" ht="17.25">
      <c r="A590" s="752"/>
      <c r="B590" s="752"/>
      <c r="C590" s="752"/>
      <c r="D590" s="752"/>
      <c r="E590" s="752"/>
      <c r="F590" s="752"/>
      <c r="G590" s="752"/>
      <c r="H590" s="752"/>
      <c r="I590" s="829"/>
      <c r="J590" s="752"/>
      <c r="K590" s="752"/>
      <c r="L590" s="743"/>
      <c r="M590" s="743"/>
      <c r="N590" s="743"/>
      <c r="O590" s="743"/>
      <c r="P590" s="743"/>
      <c r="Q590" s="743"/>
      <c r="R590" s="743"/>
      <c r="S590" s="743"/>
      <c r="T590" s="743"/>
      <c r="U590" s="743"/>
      <c r="V590" s="743"/>
      <c r="W590" s="743"/>
      <c r="X590" s="743"/>
      <c r="Y590" s="743"/>
      <c r="Z590" s="743"/>
      <c r="AA590" s="743"/>
      <c r="AB590" s="743"/>
      <c r="AC590" s="743"/>
      <c r="AD590" s="743"/>
      <c r="AE590" s="743"/>
      <c r="AF590" s="743"/>
      <c r="AG590" s="743"/>
      <c r="AH590" s="743"/>
      <c r="AI590" s="743"/>
      <c r="AJ590" s="743"/>
      <c r="AK590" s="743"/>
      <c r="AL590" s="743"/>
      <c r="AM590" s="743"/>
    </row>
    <row r="591" spans="1:39" ht="17.25">
      <c r="A591" s="752"/>
      <c r="B591" s="752"/>
      <c r="C591" s="752"/>
      <c r="D591" s="752"/>
      <c r="E591" s="752"/>
      <c r="F591" s="752"/>
      <c r="G591" s="752"/>
      <c r="H591" s="752"/>
      <c r="I591" s="829"/>
      <c r="J591" s="752"/>
      <c r="K591" s="752"/>
      <c r="L591" s="743"/>
      <c r="M591" s="743"/>
      <c r="N591" s="743"/>
      <c r="O591" s="743"/>
      <c r="P591" s="743"/>
      <c r="Q591" s="743"/>
      <c r="R591" s="743"/>
      <c r="S591" s="743"/>
      <c r="T591" s="743"/>
      <c r="U591" s="743"/>
      <c r="V591" s="743"/>
      <c r="W591" s="743"/>
      <c r="X591" s="743"/>
      <c r="Y591" s="743"/>
      <c r="Z591" s="743"/>
      <c r="AA591" s="743"/>
      <c r="AB591" s="743"/>
      <c r="AC591" s="743"/>
      <c r="AD591" s="743"/>
      <c r="AE591" s="743"/>
      <c r="AF591" s="743"/>
      <c r="AG591" s="743"/>
      <c r="AH591" s="743"/>
      <c r="AI591" s="743"/>
      <c r="AJ591" s="743"/>
      <c r="AK591" s="743"/>
      <c r="AL591" s="743"/>
      <c r="AM591" s="743"/>
    </row>
    <row r="592" spans="1:39" ht="17.25">
      <c r="A592" s="752"/>
      <c r="B592" s="752"/>
      <c r="C592" s="752"/>
      <c r="D592" s="752"/>
      <c r="E592" s="752"/>
      <c r="F592" s="752"/>
      <c r="G592" s="752"/>
      <c r="H592" s="752"/>
      <c r="I592" s="829"/>
      <c r="J592" s="752"/>
      <c r="K592" s="752"/>
      <c r="L592" s="743"/>
      <c r="M592" s="743"/>
      <c r="N592" s="743"/>
      <c r="O592" s="743"/>
      <c r="P592" s="743"/>
      <c r="Q592" s="743"/>
      <c r="R592" s="743"/>
      <c r="S592" s="743"/>
      <c r="T592" s="743"/>
      <c r="U592" s="743"/>
      <c r="V592" s="743"/>
      <c r="W592" s="743"/>
      <c r="X592" s="743"/>
      <c r="Y592" s="743"/>
      <c r="Z592" s="743"/>
      <c r="AA592" s="743"/>
      <c r="AB592" s="743"/>
      <c r="AC592" s="743"/>
      <c r="AD592" s="743"/>
      <c r="AE592" s="743"/>
      <c r="AF592" s="743"/>
      <c r="AG592" s="743"/>
      <c r="AH592" s="743"/>
      <c r="AI592" s="743"/>
      <c r="AJ592" s="743"/>
      <c r="AK592" s="743"/>
      <c r="AL592" s="743"/>
      <c r="AM592" s="743"/>
    </row>
    <row r="593" spans="1:39" ht="17.25">
      <c r="A593" s="752"/>
      <c r="B593" s="752"/>
      <c r="C593" s="752"/>
      <c r="D593" s="752"/>
      <c r="E593" s="752"/>
      <c r="F593" s="752"/>
      <c r="G593" s="752"/>
      <c r="H593" s="752"/>
      <c r="I593" s="829"/>
      <c r="J593" s="752"/>
      <c r="K593" s="752"/>
      <c r="L593" s="743"/>
      <c r="M593" s="743"/>
      <c r="N593" s="743"/>
      <c r="O593" s="743"/>
      <c r="P593" s="743"/>
      <c r="Q593" s="743"/>
      <c r="R593" s="743"/>
      <c r="S593" s="743"/>
      <c r="T593" s="743"/>
      <c r="U593" s="743"/>
      <c r="V593" s="743"/>
      <c r="W593" s="743"/>
      <c r="X593" s="743"/>
      <c r="Y593" s="743"/>
      <c r="Z593" s="743"/>
      <c r="AA593" s="743"/>
      <c r="AB593" s="743"/>
      <c r="AC593" s="743"/>
      <c r="AD593" s="743"/>
      <c r="AE593" s="743"/>
      <c r="AF593" s="743"/>
      <c r="AG593" s="743"/>
      <c r="AH593" s="743"/>
      <c r="AI593" s="743"/>
      <c r="AJ593" s="743"/>
      <c r="AK593" s="743"/>
      <c r="AL593" s="743"/>
      <c r="AM593" s="743"/>
    </row>
    <row r="594" spans="1:39" ht="17.25">
      <c r="A594" s="752"/>
      <c r="B594" s="752"/>
      <c r="C594" s="752"/>
      <c r="D594" s="752"/>
      <c r="E594" s="752"/>
      <c r="F594" s="752"/>
      <c r="G594" s="752"/>
      <c r="H594" s="752"/>
      <c r="I594" s="829"/>
      <c r="J594" s="752"/>
      <c r="K594" s="752"/>
      <c r="L594" s="743"/>
      <c r="M594" s="743"/>
      <c r="N594" s="743"/>
      <c r="O594" s="743"/>
      <c r="P594" s="743"/>
      <c r="Q594" s="743"/>
      <c r="R594" s="743"/>
      <c r="S594" s="743"/>
      <c r="T594" s="743"/>
      <c r="U594" s="743"/>
      <c r="V594" s="743"/>
      <c r="W594" s="743"/>
      <c r="X594" s="743"/>
      <c r="Y594" s="743"/>
      <c r="Z594" s="743"/>
      <c r="AA594" s="743"/>
      <c r="AB594" s="743"/>
      <c r="AC594" s="743"/>
      <c r="AD594" s="743"/>
      <c r="AE594" s="743"/>
      <c r="AF594" s="743"/>
      <c r="AG594" s="743"/>
      <c r="AH594" s="743"/>
      <c r="AI594" s="743"/>
      <c r="AJ594" s="743"/>
      <c r="AK594" s="743"/>
      <c r="AL594" s="743"/>
      <c r="AM594" s="743"/>
    </row>
    <row r="595" spans="1:39" ht="17.25">
      <c r="A595" s="752"/>
      <c r="B595" s="752"/>
      <c r="C595" s="752"/>
      <c r="D595" s="752"/>
      <c r="E595" s="752"/>
      <c r="F595" s="752"/>
      <c r="G595" s="752"/>
      <c r="H595" s="752"/>
      <c r="I595" s="829"/>
      <c r="J595" s="752"/>
      <c r="K595" s="752"/>
      <c r="L595" s="743"/>
      <c r="M595" s="743"/>
      <c r="N595" s="743"/>
      <c r="O595" s="743"/>
      <c r="P595" s="743"/>
      <c r="Q595" s="743"/>
      <c r="R595" s="743"/>
      <c r="S595" s="743"/>
      <c r="T595" s="743"/>
      <c r="U595" s="743"/>
      <c r="V595" s="743"/>
      <c r="W595" s="743"/>
      <c r="X595" s="743"/>
      <c r="Y595" s="743"/>
      <c r="Z595" s="743"/>
      <c r="AA595" s="743"/>
      <c r="AB595" s="743"/>
      <c r="AC595" s="743"/>
      <c r="AD595" s="743"/>
      <c r="AE595" s="743"/>
      <c r="AF595" s="743"/>
      <c r="AG595" s="743"/>
      <c r="AH595" s="743"/>
      <c r="AI595" s="743"/>
      <c r="AJ595" s="743"/>
      <c r="AK595" s="743"/>
      <c r="AL595" s="743"/>
      <c r="AM595" s="743"/>
    </row>
    <row r="596" spans="1:39" ht="17.25">
      <c r="A596" s="752"/>
      <c r="B596" s="752"/>
      <c r="C596" s="752"/>
      <c r="D596" s="752"/>
      <c r="E596" s="752"/>
      <c r="F596" s="752"/>
      <c r="G596" s="752"/>
      <c r="H596" s="752"/>
      <c r="I596" s="829"/>
      <c r="J596" s="752"/>
      <c r="K596" s="752"/>
      <c r="L596" s="743"/>
      <c r="M596" s="743"/>
      <c r="N596" s="743"/>
      <c r="O596" s="743"/>
      <c r="P596" s="743"/>
      <c r="Q596" s="743"/>
      <c r="R596" s="743"/>
      <c r="S596" s="743"/>
      <c r="T596" s="743"/>
      <c r="U596" s="743"/>
      <c r="V596" s="743"/>
      <c r="W596" s="743"/>
      <c r="X596" s="743"/>
      <c r="Y596" s="743"/>
      <c r="Z596" s="743"/>
      <c r="AA596" s="743"/>
      <c r="AB596" s="743"/>
      <c r="AC596" s="743"/>
      <c r="AD596" s="743"/>
      <c r="AE596" s="743"/>
      <c r="AF596" s="743"/>
      <c r="AG596" s="743"/>
      <c r="AH596" s="743"/>
      <c r="AI596" s="743"/>
      <c r="AJ596" s="743"/>
      <c r="AK596" s="743"/>
      <c r="AL596" s="743"/>
      <c r="AM596" s="743"/>
    </row>
    <row r="597" spans="1:39" ht="17.25">
      <c r="A597" s="752"/>
      <c r="B597" s="752"/>
      <c r="C597" s="752"/>
      <c r="D597" s="752"/>
      <c r="E597" s="752"/>
      <c r="F597" s="752"/>
      <c r="G597" s="752"/>
      <c r="H597" s="752"/>
      <c r="I597" s="829"/>
      <c r="J597" s="752"/>
      <c r="K597" s="752"/>
      <c r="L597" s="743"/>
      <c r="M597" s="743"/>
      <c r="N597" s="743"/>
      <c r="O597" s="743"/>
      <c r="P597" s="743"/>
      <c r="Q597" s="743"/>
      <c r="R597" s="743"/>
      <c r="S597" s="743"/>
      <c r="T597" s="743"/>
      <c r="U597" s="743"/>
      <c r="V597" s="743"/>
      <c r="W597" s="743"/>
      <c r="X597" s="743"/>
      <c r="Y597" s="743"/>
      <c r="Z597" s="743"/>
      <c r="AA597" s="743"/>
      <c r="AB597" s="743"/>
      <c r="AC597" s="743"/>
      <c r="AD597" s="743"/>
      <c r="AE597" s="743"/>
      <c r="AF597" s="743"/>
      <c r="AG597" s="743"/>
      <c r="AH597" s="743"/>
      <c r="AI597" s="743"/>
      <c r="AJ597" s="743"/>
      <c r="AK597" s="743"/>
      <c r="AL597" s="743"/>
      <c r="AM597" s="743"/>
    </row>
    <row r="598" spans="1:39" ht="17.25">
      <c r="A598" s="752"/>
      <c r="B598" s="752"/>
      <c r="C598" s="752"/>
      <c r="D598" s="752"/>
      <c r="E598" s="752"/>
      <c r="F598" s="752"/>
      <c r="G598" s="752"/>
      <c r="H598" s="752"/>
      <c r="I598" s="829"/>
      <c r="J598" s="752"/>
      <c r="K598" s="752"/>
      <c r="L598" s="743"/>
      <c r="M598" s="743"/>
      <c r="N598" s="743"/>
      <c r="O598" s="743"/>
      <c r="P598" s="743"/>
      <c r="Q598" s="743"/>
      <c r="R598" s="743"/>
      <c r="S598" s="743"/>
      <c r="T598" s="743"/>
      <c r="U598" s="743"/>
      <c r="V598" s="743"/>
      <c r="W598" s="743"/>
      <c r="X598" s="743"/>
      <c r="Y598" s="743"/>
      <c r="Z598" s="743"/>
      <c r="AA598" s="743"/>
      <c r="AB598" s="743"/>
      <c r="AC598" s="743"/>
      <c r="AD598" s="743"/>
      <c r="AE598" s="743"/>
      <c r="AF598" s="743"/>
      <c r="AG598" s="743"/>
      <c r="AH598" s="743"/>
      <c r="AI598" s="743"/>
      <c r="AJ598" s="743"/>
      <c r="AK598" s="743"/>
      <c r="AL598" s="743"/>
      <c r="AM598" s="743"/>
    </row>
    <row r="599" spans="1:39" ht="17.25">
      <c r="A599" s="752"/>
      <c r="B599" s="752"/>
      <c r="C599" s="752"/>
      <c r="D599" s="752"/>
      <c r="E599" s="752"/>
      <c r="F599" s="752"/>
      <c r="G599" s="752"/>
      <c r="H599" s="752"/>
      <c r="I599" s="829"/>
      <c r="J599" s="752"/>
      <c r="K599" s="752"/>
      <c r="L599" s="743"/>
      <c r="M599" s="743"/>
      <c r="N599" s="743"/>
      <c r="O599" s="743"/>
      <c r="P599" s="743"/>
      <c r="Q599" s="743"/>
      <c r="R599" s="743"/>
      <c r="S599" s="743"/>
      <c r="T599" s="743"/>
      <c r="U599" s="743"/>
      <c r="V599" s="743"/>
      <c r="W599" s="743"/>
      <c r="X599" s="743"/>
      <c r="Y599" s="743"/>
      <c r="Z599" s="743"/>
      <c r="AA599" s="743"/>
      <c r="AB599" s="743"/>
      <c r="AC599" s="743"/>
      <c r="AD599" s="743"/>
      <c r="AE599" s="743"/>
      <c r="AF599" s="743"/>
      <c r="AG599" s="743"/>
      <c r="AH599" s="743"/>
      <c r="AI599" s="743"/>
      <c r="AJ599" s="743"/>
      <c r="AK599" s="743"/>
      <c r="AL599" s="743"/>
      <c r="AM599" s="743"/>
    </row>
    <row r="600" spans="1:39" ht="17.25">
      <c r="A600" s="752"/>
      <c r="B600" s="752"/>
      <c r="C600" s="752"/>
      <c r="D600" s="752"/>
      <c r="E600" s="752"/>
      <c r="F600" s="752"/>
      <c r="G600" s="752"/>
      <c r="H600" s="752"/>
      <c r="I600" s="829"/>
      <c r="J600" s="752"/>
      <c r="K600" s="752"/>
      <c r="L600" s="743"/>
      <c r="M600" s="743"/>
      <c r="N600" s="743"/>
      <c r="O600" s="743"/>
      <c r="P600" s="743"/>
      <c r="Q600" s="743"/>
      <c r="R600" s="743"/>
      <c r="S600" s="743"/>
      <c r="T600" s="743"/>
      <c r="U600" s="743"/>
      <c r="V600" s="743"/>
      <c r="W600" s="743"/>
      <c r="X600" s="743"/>
      <c r="Y600" s="743"/>
      <c r="Z600" s="743"/>
      <c r="AA600" s="743"/>
      <c r="AB600" s="743"/>
      <c r="AC600" s="743"/>
      <c r="AD600" s="743"/>
      <c r="AE600" s="743"/>
      <c r="AF600" s="743"/>
      <c r="AG600" s="743"/>
      <c r="AH600" s="743"/>
      <c r="AI600" s="743"/>
      <c r="AJ600" s="743"/>
      <c r="AK600" s="743"/>
      <c r="AL600" s="743"/>
      <c r="AM600" s="743"/>
    </row>
    <row r="601" spans="1:39" ht="17.25">
      <c r="A601" s="752"/>
      <c r="B601" s="752"/>
      <c r="C601" s="752"/>
      <c r="D601" s="752"/>
      <c r="E601" s="752"/>
      <c r="F601" s="752"/>
      <c r="G601" s="752"/>
      <c r="H601" s="752"/>
      <c r="I601" s="829"/>
      <c r="J601" s="752"/>
      <c r="K601" s="752"/>
      <c r="L601" s="743"/>
      <c r="M601" s="743"/>
      <c r="N601" s="743"/>
      <c r="O601" s="743"/>
      <c r="P601" s="743"/>
      <c r="Q601" s="743"/>
      <c r="R601" s="743"/>
      <c r="S601" s="743"/>
      <c r="T601" s="743"/>
      <c r="U601" s="743"/>
      <c r="V601" s="743"/>
      <c r="W601" s="743"/>
      <c r="X601" s="743"/>
      <c r="Y601" s="743"/>
      <c r="Z601" s="743"/>
      <c r="AA601" s="743"/>
      <c r="AB601" s="743"/>
      <c r="AC601" s="743"/>
      <c r="AD601" s="743"/>
      <c r="AE601" s="743"/>
      <c r="AF601" s="743"/>
      <c r="AG601" s="743"/>
      <c r="AH601" s="743"/>
      <c r="AI601" s="743"/>
      <c r="AJ601" s="743"/>
      <c r="AK601" s="743"/>
      <c r="AL601" s="743"/>
      <c r="AM601" s="743"/>
    </row>
    <row r="602" spans="1:39" ht="17.25">
      <c r="A602" s="752"/>
      <c r="B602" s="752"/>
      <c r="C602" s="752"/>
      <c r="D602" s="752"/>
      <c r="E602" s="752"/>
      <c r="F602" s="752"/>
      <c r="G602" s="752"/>
      <c r="H602" s="752"/>
      <c r="I602" s="829"/>
      <c r="J602" s="752"/>
      <c r="K602" s="752"/>
      <c r="L602" s="743"/>
      <c r="M602" s="743"/>
      <c r="N602" s="743"/>
      <c r="O602" s="743"/>
      <c r="P602" s="743"/>
      <c r="Q602" s="743"/>
      <c r="R602" s="743"/>
      <c r="S602" s="743"/>
      <c r="T602" s="743"/>
      <c r="U602" s="743"/>
      <c r="V602" s="743"/>
      <c r="W602" s="743"/>
      <c r="X602" s="743"/>
      <c r="Y602" s="743"/>
      <c r="Z602" s="743"/>
      <c r="AA602" s="743"/>
      <c r="AB602" s="743"/>
      <c r="AC602" s="743"/>
      <c r="AD602" s="743"/>
      <c r="AE602" s="743"/>
      <c r="AF602" s="743"/>
      <c r="AG602" s="743"/>
      <c r="AH602" s="743"/>
      <c r="AI602" s="743"/>
      <c r="AJ602" s="743"/>
      <c r="AK602" s="743"/>
      <c r="AL602" s="743"/>
      <c r="AM602" s="743"/>
    </row>
    <row r="603" spans="1:39" ht="17.25">
      <c r="A603" s="752"/>
      <c r="B603" s="752"/>
      <c r="C603" s="752"/>
      <c r="D603" s="752"/>
      <c r="E603" s="752"/>
      <c r="F603" s="752"/>
      <c r="G603" s="752"/>
      <c r="H603" s="752"/>
      <c r="I603" s="829"/>
      <c r="J603" s="752"/>
      <c r="K603" s="752"/>
      <c r="L603" s="743"/>
      <c r="M603" s="743"/>
      <c r="N603" s="743"/>
      <c r="O603" s="743"/>
      <c r="P603" s="743"/>
      <c r="Q603" s="743"/>
      <c r="R603" s="743"/>
      <c r="S603" s="743"/>
      <c r="T603" s="743"/>
      <c r="U603" s="743"/>
      <c r="V603" s="743"/>
      <c r="W603" s="743"/>
      <c r="X603" s="743"/>
      <c r="Y603" s="743"/>
      <c r="Z603" s="743"/>
      <c r="AA603" s="743"/>
      <c r="AB603" s="743"/>
      <c r="AC603" s="743"/>
      <c r="AD603" s="743"/>
      <c r="AE603" s="743"/>
      <c r="AF603" s="743"/>
      <c r="AG603" s="743"/>
      <c r="AH603" s="743"/>
      <c r="AI603" s="743"/>
      <c r="AJ603" s="743"/>
      <c r="AK603" s="743"/>
      <c r="AL603" s="743"/>
      <c r="AM603" s="743"/>
    </row>
    <row r="604" spans="1:39" ht="17.25">
      <c r="A604" s="752"/>
      <c r="B604" s="752"/>
      <c r="C604" s="752"/>
      <c r="D604" s="752"/>
      <c r="E604" s="752"/>
      <c r="F604" s="752"/>
      <c r="G604" s="752"/>
      <c r="H604" s="752"/>
      <c r="I604" s="829"/>
      <c r="J604" s="752"/>
      <c r="K604" s="752"/>
      <c r="L604" s="743"/>
      <c r="M604" s="743"/>
      <c r="N604" s="743"/>
      <c r="O604" s="743"/>
      <c r="P604" s="743"/>
      <c r="Q604" s="743"/>
      <c r="R604" s="743"/>
      <c r="S604" s="743"/>
      <c r="T604" s="743"/>
      <c r="U604" s="743"/>
      <c r="V604" s="743"/>
      <c r="W604" s="743"/>
      <c r="X604" s="743"/>
      <c r="Y604" s="743"/>
      <c r="Z604" s="743"/>
      <c r="AA604" s="743"/>
      <c r="AB604" s="743"/>
      <c r="AC604" s="743"/>
      <c r="AD604" s="743"/>
      <c r="AE604" s="743"/>
      <c r="AF604" s="743"/>
      <c r="AG604" s="743"/>
      <c r="AH604" s="743"/>
      <c r="AI604" s="743"/>
      <c r="AJ604" s="743"/>
      <c r="AK604" s="743"/>
      <c r="AL604" s="743"/>
      <c r="AM604" s="743"/>
    </row>
    <row r="605" spans="1:39" ht="17.25">
      <c r="A605" s="752"/>
      <c r="B605" s="752"/>
      <c r="C605" s="752"/>
      <c r="D605" s="752"/>
      <c r="E605" s="752"/>
      <c r="F605" s="752"/>
      <c r="G605" s="752"/>
      <c r="H605" s="752"/>
      <c r="I605" s="829"/>
      <c r="J605" s="752"/>
      <c r="K605" s="752"/>
      <c r="L605" s="743"/>
      <c r="M605" s="743"/>
      <c r="N605" s="743"/>
      <c r="O605" s="743"/>
      <c r="P605" s="743"/>
      <c r="Q605" s="743"/>
      <c r="R605" s="743"/>
      <c r="S605" s="743"/>
      <c r="T605" s="743"/>
      <c r="U605" s="743"/>
      <c r="V605" s="743"/>
      <c r="W605" s="743"/>
      <c r="X605" s="743"/>
      <c r="Y605" s="743"/>
      <c r="Z605" s="743"/>
      <c r="AA605" s="743"/>
      <c r="AB605" s="743"/>
      <c r="AC605" s="743"/>
      <c r="AD605" s="743"/>
      <c r="AE605" s="743"/>
      <c r="AF605" s="743"/>
      <c r="AG605" s="743"/>
      <c r="AH605" s="743"/>
      <c r="AI605" s="743"/>
      <c r="AJ605" s="743"/>
      <c r="AK605" s="743"/>
      <c r="AL605" s="743"/>
      <c r="AM605" s="743"/>
    </row>
    <row r="606" spans="1:39" ht="17.25">
      <c r="A606" s="752"/>
      <c r="B606" s="752"/>
      <c r="C606" s="752"/>
      <c r="D606" s="752"/>
      <c r="E606" s="752"/>
      <c r="F606" s="752"/>
      <c r="G606" s="752"/>
      <c r="H606" s="752"/>
      <c r="I606" s="829"/>
      <c r="J606" s="752"/>
      <c r="K606" s="752"/>
      <c r="L606" s="743"/>
      <c r="M606" s="743"/>
      <c r="N606" s="743"/>
      <c r="O606" s="743"/>
      <c r="P606" s="743"/>
      <c r="Q606" s="743"/>
      <c r="R606" s="743"/>
      <c r="S606" s="743"/>
      <c r="T606" s="743"/>
      <c r="U606" s="743"/>
      <c r="V606" s="743"/>
      <c r="W606" s="743"/>
      <c r="X606" s="743"/>
      <c r="Y606" s="743"/>
      <c r="Z606" s="743"/>
      <c r="AA606" s="743"/>
      <c r="AB606" s="743"/>
      <c r="AC606" s="743"/>
      <c r="AD606" s="743"/>
      <c r="AE606" s="743"/>
      <c r="AF606" s="743"/>
      <c r="AG606" s="743"/>
      <c r="AH606" s="743"/>
      <c r="AI606" s="743"/>
      <c r="AJ606" s="743"/>
      <c r="AK606" s="743"/>
      <c r="AL606" s="743"/>
      <c r="AM606" s="743"/>
    </row>
    <row r="607" spans="1:39" ht="17.25">
      <c r="A607" s="752"/>
      <c r="B607" s="752"/>
      <c r="C607" s="752"/>
      <c r="D607" s="752"/>
      <c r="E607" s="752"/>
      <c r="F607" s="752"/>
      <c r="G607" s="752"/>
      <c r="H607" s="752"/>
      <c r="I607" s="829"/>
      <c r="J607" s="752"/>
      <c r="K607" s="752"/>
      <c r="L607" s="743"/>
      <c r="M607" s="743"/>
      <c r="N607" s="743"/>
      <c r="O607" s="743"/>
      <c r="P607" s="743"/>
      <c r="Q607" s="743"/>
      <c r="R607" s="743"/>
      <c r="S607" s="743"/>
      <c r="T607" s="743"/>
      <c r="U607" s="743"/>
      <c r="V607" s="743"/>
      <c r="W607" s="743"/>
      <c r="X607" s="743"/>
      <c r="Y607" s="743"/>
      <c r="Z607" s="743"/>
      <c r="AA607" s="743"/>
      <c r="AB607" s="743"/>
      <c r="AC607" s="743"/>
      <c r="AD607" s="743"/>
      <c r="AE607" s="743"/>
      <c r="AF607" s="743"/>
      <c r="AG607" s="743"/>
      <c r="AH607" s="743"/>
      <c r="AI607" s="743"/>
      <c r="AJ607" s="743"/>
      <c r="AK607" s="743"/>
      <c r="AL607" s="743"/>
      <c r="AM607" s="743"/>
    </row>
    <row r="608" spans="1:39" ht="17.25">
      <c r="A608" s="752"/>
      <c r="B608" s="752"/>
      <c r="C608" s="752"/>
      <c r="D608" s="752"/>
      <c r="E608" s="752"/>
      <c r="F608" s="752"/>
      <c r="G608" s="752"/>
      <c r="H608" s="752"/>
      <c r="I608" s="829"/>
      <c r="J608" s="752"/>
      <c r="K608" s="752"/>
      <c r="L608" s="743"/>
      <c r="M608" s="743"/>
      <c r="N608" s="743"/>
      <c r="O608" s="743"/>
      <c r="P608" s="743"/>
      <c r="Q608" s="743"/>
      <c r="R608" s="743"/>
      <c r="S608" s="743"/>
      <c r="T608" s="743"/>
      <c r="U608" s="743"/>
      <c r="V608" s="743"/>
      <c r="W608" s="743"/>
      <c r="X608" s="743"/>
      <c r="Y608" s="743"/>
      <c r="Z608" s="743"/>
      <c r="AA608" s="743"/>
      <c r="AB608" s="743"/>
      <c r="AC608" s="743"/>
      <c r="AD608" s="743"/>
      <c r="AE608" s="743"/>
      <c r="AF608" s="743"/>
      <c r="AG608" s="743"/>
      <c r="AH608" s="743"/>
      <c r="AI608" s="743"/>
      <c r="AJ608" s="743"/>
      <c r="AK608" s="743"/>
      <c r="AL608" s="743"/>
      <c r="AM608" s="743"/>
    </row>
    <row r="609" spans="1:39" ht="17.25">
      <c r="A609" s="752"/>
      <c r="B609" s="752"/>
      <c r="C609" s="752"/>
      <c r="D609" s="752"/>
      <c r="E609" s="752"/>
      <c r="F609" s="752"/>
      <c r="G609" s="752"/>
      <c r="H609" s="752"/>
      <c r="I609" s="829"/>
      <c r="J609" s="752"/>
      <c r="K609" s="752"/>
      <c r="L609" s="743"/>
      <c r="M609" s="743"/>
      <c r="N609" s="743"/>
      <c r="O609" s="743"/>
      <c r="P609" s="743"/>
      <c r="Q609" s="743"/>
      <c r="R609" s="743"/>
      <c r="S609" s="743"/>
      <c r="T609" s="743"/>
      <c r="U609" s="743"/>
      <c r="V609" s="743"/>
      <c r="W609" s="743"/>
      <c r="X609" s="743"/>
      <c r="Y609" s="743"/>
      <c r="Z609" s="743"/>
      <c r="AA609" s="743"/>
      <c r="AB609" s="743"/>
      <c r="AC609" s="743"/>
      <c r="AD609" s="743"/>
      <c r="AE609" s="743"/>
      <c r="AF609" s="743"/>
      <c r="AG609" s="743"/>
      <c r="AH609" s="743"/>
      <c r="AI609" s="743"/>
      <c r="AJ609" s="743"/>
      <c r="AK609" s="743"/>
      <c r="AL609" s="743"/>
      <c r="AM609" s="743"/>
    </row>
    <row r="610" spans="1:39" ht="17.25">
      <c r="A610" s="752"/>
      <c r="B610" s="752"/>
      <c r="C610" s="752"/>
      <c r="D610" s="752"/>
      <c r="E610" s="752"/>
      <c r="F610" s="752"/>
      <c r="G610" s="752"/>
      <c r="H610" s="752"/>
      <c r="I610" s="829"/>
      <c r="J610" s="752"/>
      <c r="K610" s="752"/>
      <c r="L610" s="743"/>
      <c r="M610" s="743"/>
      <c r="N610" s="743"/>
      <c r="O610" s="743"/>
      <c r="P610" s="743"/>
      <c r="Q610" s="743"/>
      <c r="R610" s="743"/>
      <c r="S610" s="743"/>
      <c r="T610" s="743"/>
      <c r="U610" s="743"/>
      <c r="V610" s="743"/>
      <c r="W610" s="743"/>
      <c r="X610" s="743"/>
      <c r="Y610" s="743"/>
      <c r="Z610" s="743"/>
      <c r="AA610" s="743"/>
      <c r="AB610" s="743"/>
      <c r="AC610" s="743"/>
      <c r="AD610" s="743"/>
      <c r="AE610" s="743"/>
      <c r="AF610" s="743"/>
      <c r="AG610" s="743"/>
      <c r="AH610" s="743"/>
      <c r="AI610" s="743"/>
      <c r="AJ610" s="743"/>
      <c r="AK610" s="743"/>
      <c r="AL610" s="743"/>
      <c r="AM610" s="743"/>
    </row>
    <row r="611" spans="1:39" ht="17.25">
      <c r="A611" s="752"/>
      <c r="B611" s="752"/>
      <c r="C611" s="752"/>
      <c r="D611" s="752"/>
      <c r="E611" s="752"/>
      <c r="F611" s="752"/>
      <c r="G611" s="752"/>
      <c r="H611" s="752"/>
      <c r="I611" s="829"/>
      <c r="J611" s="752"/>
      <c r="K611" s="752"/>
      <c r="L611" s="743"/>
      <c r="M611" s="743"/>
      <c r="N611" s="743"/>
      <c r="O611" s="743"/>
      <c r="P611" s="743"/>
      <c r="Q611" s="743"/>
      <c r="R611" s="743"/>
      <c r="S611" s="743"/>
      <c r="T611" s="743"/>
      <c r="U611" s="743"/>
      <c r="V611" s="743"/>
      <c r="W611" s="743"/>
      <c r="X611" s="743"/>
      <c r="Y611" s="743"/>
      <c r="Z611" s="743"/>
      <c r="AA611" s="743"/>
      <c r="AB611" s="743"/>
      <c r="AC611" s="743"/>
      <c r="AD611" s="743"/>
      <c r="AE611" s="743"/>
      <c r="AF611" s="743"/>
      <c r="AG611" s="743"/>
      <c r="AH611" s="743"/>
      <c r="AI611" s="743"/>
      <c r="AJ611" s="743"/>
      <c r="AK611" s="743"/>
      <c r="AL611" s="743"/>
      <c r="AM611" s="743"/>
    </row>
    <row r="612" spans="1:39" ht="17.25">
      <c r="A612" s="752"/>
      <c r="B612" s="752"/>
      <c r="C612" s="752"/>
      <c r="D612" s="752"/>
      <c r="E612" s="752"/>
      <c r="F612" s="752"/>
      <c r="G612" s="752"/>
      <c r="H612" s="752"/>
      <c r="I612" s="829"/>
      <c r="J612" s="752"/>
      <c r="K612" s="752"/>
      <c r="L612" s="743"/>
      <c r="M612" s="743"/>
      <c r="N612" s="743"/>
      <c r="O612" s="743"/>
      <c r="P612" s="743"/>
      <c r="Q612" s="743"/>
      <c r="R612" s="743"/>
      <c r="S612" s="743"/>
      <c r="T612" s="743"/>
      <c r="U612" s="743"/>
      <c r="V612" s="743"/>
      <c r="W612" s="743"/>
      <c r="X612" s="743"/>
      <c r="Y612" s="743"/>
      <c r="Z612" s="743"/>
      <c r="AA612" s="743"/>
      <c r="AB612" s="743"/>
      <c r="AC612" s="743"/>
      <c r="AD612" s="743"/>
      <c r="AE612" s="743"/>
      <c r="AF612" s="743"/>
      <c r="AG612" s="743"/>
      <c r="AH612" s="743"/>
      <c r="AI612" s="743"/>
      <c r="AJ612" s="743"/>
      <c r="AK612" s="743"/>
      <c r="AL612" s="743"/>
      <c r="AM612" s="743"/>
    </row>
    <row r="613" spans="1:39" ht="17.25">
      <c r="A613" s="752"/>
      <c r="B613" s="752"/>
      <c r="C613" s="752"/>
      <c r="D613" s="752"/>
      <c r="E613" s="752"/>
      <c r="F613" s="752"/>
      <c r="G613" s="752"/>
      <c r="H613" s="752"/>
      <c r="I613" s="829"/>
      <c r="J613" s="752"/>
      <c r="K613" s="752"/>
      <c r="L613" s="743"/>
      <c r="M613" s="743"/>
      <c r="N613" s="743"/>
      <c r="O613" s="743"/>
      <c r="P613" s="743"/>
      <c r="Q613" s="743"/>
      <c r="R613" s="743"/>
      <c r="S613" s="743"/>
      <c r="T613" s="743"/>
      <c r="U613" s="743"/>
      <c r="V613" s="743"/>
      <c r="W613" s="743"/>
      <c r="X613" s="743"/>
      <c r="Y613" s="743"/>
      <c r="Z613" s="743"/>
      <c r="AA613" s="743"/>
      <c r="AB613" s="743"/>
      <c r="AC613" s="743"/>
      <c r="AD613" s="743"/>
      <c r="AE613" s="743"/>
      <c r="AF613" s="743"/>
      <c r="AG613" s="743"/>
      <c r="AH613" s="743"/>
      <c r="AI613" s="743"/>
      <c r="AJ613" s="743"/>
      <c r="AK613" s="743"/>
      <c r="AL613" s="743"/>
      <c r="AM613" s="743"/>
    </row>
    <row r="614" spans="1:39" ht="17.25">
      <c r="A614" s="752"/>
      <c r="B614" s="752"/>
      <c r="C614" s="752"/>
      <c r="D614" s="752"/>
      <c r="E614" s="752"/>
      <c r="F614" s="752"/>
      <c r="G614" s="752"/>
      <c r="H614" s="752"/>
      <c r="I614" s="829"/>
      <c r="J614" s="752"/>
      <c r="K614" s="752"/>
      <c r="L614" s="743"/>
      <c r="M614" s="743"/>
      <c r="N614" s="743"/>
      <c r="O614" s="743"/>
      <c r="P614" s="743"/>
      <c r="Q614" s="743"/>
      <c r="R614" s="743"/>
      <c r="S614" s="743"/>
      <c r="T614" s="743"/>
      <c r="U614" s="743"/>
      <c r="V614" s="743"/>
      <c r="W614" s="743"/>
      <c r="X614" s="743"/>
      <c r="Y614" s="743"/>
      <c r="Z614" s="743"/>
      <c r="AA614" s="743"/>
      <c r="AB614" s="743"/>
      <c r="AC614" s="743"/>
      <c r="AD614" s="743"/>
      <c r="AE614" s="743"/>
      <c r="AF614" s="743"/>
      <c r="AG614" s="743"/>
      <c r="AH614" s="743"/>
      <c r="AI614" s="743"/>
      <c r="AJ614" s="743"/>
      <c r="AK614" s="743"/>
      <c r="AL614" s="743"/>
      <c r="AM614" s="743"/>
    </row>
    <row r="615" spans="1:39" ht="17.25">
      <c r="A615" s="752"/>
      <c r="B615" s="752"/>
      <c r="C615" s="752"/>
      <c r="D615" s="752"/>
      <c r="E615" s="752"/>
      <c r="F615" s="752"/>
      <c r="G615" s="752"/>
      <c r="H615" s="752"/>
      <c r="I615" s="829"/>
      <c r="J615" s="752"/>
      <c r="K615" s="752"/>
      <c r="L615" s="743"/>
      <c r="M615" s="743"/>
      <c r="N615" s="743"/>
      <c r="O615" s="743"/>
      <c r="P615" s="743"/>
      <c r="Q615" s="743"/>
      <c r="R615" s="743"/>
      <c r="S615" s="743"/>
      <c r="T615" s="743"/>
      <c r="U615" s="743"/>
      <c r="V615" s="743"/>
      <c r="W615" s="743"/>
      <c r="X615" s="743"/>
      <c r="Y615" s="743"/>
      <c r="Z615" s="743"/>
      <c r="AA615" s="743"/>
      <c r="AB615" s="743"/>
      <c r="AC615" s="743"/>
      <c r="AD615" s="743"/>
      <c r="AE615" s="743"/>
      <c r="AF615" s="743"/>
      <c r="AG615" s="743"/>
      <c r="AH615" s="743"/>
      <c r="AI615" s="743"/>
      <c r="AJ615" s="743"/>
      <c r="AK615" s="743"/>
      <c r="AL615" s="743"/>
      <c r="AM615" s="743"/>
    </row>
    <row r="616" spans="1:39" ht="17.25">
      <c r="A616" s="752"/>
      <c r="B616" s="752"/>
      <c r="C616" s="752"/>
      <c r="D616" s="752"/>
      <c r="E616" s="752"/>
      <c r="F616" s="752"/>
      <c r="G616" s="752"/>
      <c r="H616" s="752"/>
      <c r="I616" s="829"/>
      <c r="J616" s="752"/>
      <c r="K616" s="752"/>
      <c r="L616" s="743"/>
      <c r="M616" s="743"/>
      <c r="N616" s="743"/>
      <c r="O616" s="743"/>
      <c r="P616" s="743"/>
      <c r="Q616" s="743"/>
      <c r="R616" s="743"/>
      <c r="S616" s="743"/>
      <c r="T616" s="743"/>
      <c r="U616" s="743"/>
      <c r="V616" s="743"/>
      <c r="W616" s="743"/>
      <c r="X616" s="743"/>
      <c r="Y616" s="743"/>
      <c r="Z616" s="743"/>
      <c r="AA616" s="743"/>
      <c r="AB616" s="743"/>
      <c r="AC616" s="743"/>
      <c r="AD616" s="743"/>
      <c r="AE616" s="743"/>
      <c r="AF616" s="743"/>
      <c r="AG616" s="743"/>
      <c r="AH616" s="743"/>
      <c r="AI616" s="743"/>
      <c r="AJ616" s="743"/>
      <c r="AK616" s="743"/>
      <c r="AL616" s="743"/>
      <c r="AM616" s="743"/>
    </row>
    <row r="617" spans="1:39" ht="17.25">
      <c r="A617" s="752"/>
      <c r="B617" s="752"/>
      <c r="C617" s="752"/>
      <c r="D617" s="752"/>
      <c r="E617" s="752"/>
      <c r="F617" s="752"/>
      <c r="G617" s="752"/>
      <c r="H617" s="752"/>
      <c r="I617" s="829"/>
      <c r="J617" s="752"/>
      <c r="K617" s="752"/>
      <c r="L617" s="743"/>
      <c r="M617" s="743"/>
      <c r="N617" s="743"/>
      <c r="O617" s="743"/>
      <c r="P617" s="743"/>
      <c r="Q617" s="743"/>
      <c r="R617" s="743"/>
      <c r="S617" s="743"/>
      <c r="T617" s="743"/>
      <c r="U617" s="743"/>
      <c r="V617" s="743"/>
      <c r="W617" s="743"/>
      <c r="X617" s="743"/>
      <c r="Y617" s="743"/>
      <c r="Z617" s="743"/>
      <c r="AA617" s="743"/>
      <c r="AB617" s="743"/>
      <c r="AC617" s="743"/>
      <c r="AD617" s="743"/>
      <c r="AE617" s="743"/>
      <c r="AF617" s="743"/>
      <c r="AG617" s="743"/>
      <c r="AH617" s="743"/>
      <c r="AI617" s="743"/>
      <c r="AJ617" s="743"/>
      <c r="AK617" s="743"/>
      <c r="AL617" s="743"/>
      <c r="AM617" s="743"/>
    </row>
    <row r="618" spans="1:39" ht="17.25">
      <c r="A618" s="752"/>
      <c r="B618" s="752"/>
      <c r="C618" s="752"/>
      <c r="D618" s="752"/>
      <c r="E618" s="752"/>
      <c r="F618" s="752"/>
      <c r="G618" s="752"/>
      <c r="H618" s="752"/>
      <c r="I618" s="829"/>
      <c r="J618" s="752"/>
      <c r="K618" s="752"/>
      <c r="L618" s="743"/>
      <c r="M618" s="743"/>
      <c r="N618" s="743"/>
      <c r="O618" s="743"/>
      <c r="P618" s="743"/>
      <c r="Q618" s="743"/>
      <c r="R618" s="743"/>
      <c r="S618" s="743"/>
      <c r="T618" s="743"/>
      <c r="U618" s="743"/>
      <c r="V618" s="743"/>
      <c r="W618" s="743"/>
      <c r="X618" s="743"/>
      <c r="Y618" s="743"/>
      <c r="Z618" s="743"/>
      <c r="AA618" s="743"/>
      <c r="AB618" s="743"/>
      <c r="AC618" s="743"/>
      <c r="AD618" s="743"/>
      <c r="AE618" s="743"/>
      <c r="AF618" s="743"/>
      <c r="AG618" s="743"/>
      <c r="AH618" s="743"/>
      <c r="AI618" s="743"/>
      <c r="AJ618" s="743"/>
      <c r="AK618" s="743"/>
      <c r="AL618" s="743"/>
      <c r="AM618" s="743"/>
    </row>
    <row r="619" spans="1:39" ht="17.25">
      <c r="A619" s="752"/>
      <c r="B619" s="752"/>
      <c r="C619" s="752"/>
      <c r="D619" s="752"/>
      <c r="E619" s="752"/>
      <c r="F619" s="752"/>
      <c r="G619" s="752"/>
      <c r="H619" s="752"/>
      <c r="I619" s="829"/>
      <c r="J619" s="752"/>
      <c r="K619" s="752"/>
      <c r="L619" s="743"/>
      <c r="M619" s="743"/>
      <c r="N619" s="743"/>
      <c r="O619" s="743"/>
      <c r="P619" s="743"/>
      <c r="Q619" s="743"/>
      <c r="R619" s="743"/>
      <c r="S619" s="743"/>
      <c r="T619" s="743"/>
      <c r="U619" s="743"/>
      <c r="V619" s="743"/>
      <c r="W619" s="743"/>
      <c r="X619" s="743"/>
      <c r="Y619" s="743"/>
      <c r="Z619" s="743"/>
      <c r="AA619" s="743"/>
      <c r="AB619" s="743"/>
      <c r="AC619" s="743"/>
      <c r="AD619" s="743"/>
      <c r="AE619" s="743"/>
      <c r="AF619" s="743"/>
      <c r="AG619" s="743"/>
      <c r="AH619" s="743"/>
      <c r="AI619" s="743"/>
      <c r="AJ619" s="743"/>
      <c r="AK619" s="743"/>
      <c r="AL619" s="743"/>
      <c r="AM619" s="743"/>
    </row>
    <row r="620" spans="1:39" ht="17.25">
      <c r="A620" s="752"/>
      <c r="B620" s="752"/>
      <c r="C620" s="752"/>
      <c r="D620" s="752"/>
      <c r="E620" s="752"/>
      <c r="F620" s="752"/>
      <c r="G620" s="752"/>
      <c r="H620" s="752"/>
      <c r="I620" s="829"/>
      <c r="J620" s="752"/>
      <c r="K620" s="752"/>
      <c r="L620" s="743"/>
      <c r="M620" s="743"/>
      <c r="N620" s="743"/>
      <c r="O620" s="743"/>
      <c r="P620" s="743"/>
      <c r="Q620" s="743"/>
      <c r="R620" s="743"/>
      <c r="S620" s="743"/>
      <c r="T620" s="743"/>
      <c r="U620" s="743"/>
      <c r="V620" s="743"/>
      <c r="W620" s="743"/>
      <c r="X620" s="743"/>
      <c r="Y620" s="743"/>
      <c r="Z620" s="743"/>
      <c r="AA620" s="743"/>
      <c r="AB620" s="743"/>
      <c r="AC620" s="743"/>
      <c r="AD620" s="743"/>
      <c r="AE620" s="743"/>
      <c r="AF620" s="743"/>
      <c r="AG620" s="743"/>
      <c r="AH620" s="743"/>
      <c r="AI620" s="743"/>
      <c r="AJ620" s="743"/>
      <c r="AK620" s="743"/>
      <c r="AL620" s="743"/>
      <c r="AM620" s="743"/>
    </row>
    <row r="621" spans="1:39" ht="17.25">
      <c r="A621" s="752"/>
      <c r="B621" s="752"/>
      <c r="C621" s="752"/>
      <c r="D621" s="752"/>
      <c r="E621" s="752"/>
      <c r="F621" s="752"/>
      <c r="G621" s="752"/>
      <c r="H621" s="752"/>
      <c r="I621" s="829"/>
      <c r="J621" s="752"/>
      <c r="K621" s="752"/>
      <c r="L621" s="743"/>
      <c r="M621" s="743"/>
      <c r="N621" s="743"/>
      <c r="O621" s="743"/>
      <c r="P621" s="743"/>
      <c r="Q621" s="743"/>
      <c r="R621" s="743"/>
      <c r="S621" s="743"/>
      <c r="T621" s="743"/>
      <c r="U621" s="743"/>
      <c r="V621" s="743"/>
      <c r="W621" s="743"/>
      <c r="X621" s="743"/>
      <c r="Y621" s="743"/>
      <c r="Z621" s="743"/>
      <c r="AA621" s="743"/>
      <c r="AB621" s="743"/>
      <c r="AC621" s="743"/>
      <c r="AD621" s="743"/>
      <c r="AE621" s="743"/>
      <c r="AF621" s="743"/>
      <c r="AG621" s="743"/>
      <c r="AH621" s="743"/>
      <c r="AI621" s="743"/>
      <c r="AJ621" s="743"/>
      <c r="AK621" s="743"/>
      <c r="AL621" s="743"/>
      <c r="AM621" s="743"/>
    </row>
    <row r="622" spans="1:39" ht="17.25">
      <c r="A622" s="752"/>
      <c r="B622" s="752"/>
      <c r="C622" s="752"/>
      <c r="D622" s="752"/>
      <c r="E622" s="752"/>
      <c r="F622" s="752"/>
      <c r="G622" s="752"/>
      <c r="H622" s="752"/>
      <c r="I622" s="829"/>
      <c r="J622" s="752"/>
      <c r="K622" s="752"/>
      <c r="L622" s="743"/>
      <c r="M622" s="743"/>
      <c r="N622" s="743"/>
      <c r="O622" s="743"/>
      <c r="P622" s="743"/>
      <c r="Q622" s="743"/>
      <c r="R622" s="743"/>
      <c r="S622" s="743"/>
      <c r="T622" s="743"/>
      <c r="U622" s="743"/>
      <c r="V622" s="743"/>
      <c r="W622" s="743"/>
      <c r="X622" s="743"/>
      <c r="Y622" s="743"/>
      <c r="Z622" s="743"/>
      <c r="AA622" s="743"/>
      <c r="AB622" s="743"/>
      <c r="AC622" s="743"/>
      <c r="AD622" s="743"/>
      <c r="AE622" s="743"/>
      <c r="AF622" s="743"/>
      <c r="AG622" s="743"/>
      <c r="AH622" s="743"/>
      <c r="AI622" s="743"/>
      <c r="AJ622" s="743"/>
      <c r="AK622" s="743"/>
      <c r="AL622" s="743"/>
      <c r="AM622" s="743"/>
    </row>
    <row r="623" spans="1:39" ht="17.25">
      <c r="A623" s="752"/>
      <c r="B623" s="752"/>
      <c r="C623" s="752"/>
      <c r="D623" s="752"/>
      <c r="E623" s="752"/>
      <c r="F623" s="752"/>
      <c r="G623" s="752"/>
      <c r="H623" s="752"/>
      <c r="I623" s="829"/>
      <c r="J623" s="752"/>
      <c r="K623" s="752"/>
      <c r="L623" s="743"/>
      <c r="M623" s="743"/>
      <c r="N623" s="743"/>
      <c r="O623" s="743"/>
      <c r="P623" s="743"/>
      <c r="Q623" s="743"/>
      <c r="R623" s="743"/>
      <c r="S623" s="743"/>
      <c r="T623" s="743"/>
      <c r="U623" s="743"/>
      <c r="V623" s="743"/>
      <c r="W623" s="743"/>
      <c r="X623" s="743"/>
      <c r="Y623" s="743"/>
      <c r="Z623" s="743"/>
      <c r="AA623" s="743"/>
      <c r="AB623" s="743"/>
      <c r="AC623" s="743"/>
      <c r="AD623" s="743"/>
      <c r="AE623" s="743"/>
      <c r="AF623" s="743"/>
      <c r="AG623" s="743"/>
      <c r="AH623" s="743"/>
      <c r="AI623" s="743"/>
      <c r="AJ623" s="743"/>
      <c r="AK623" s="743"/>
      <c r="AL623" s="743"/>
      <c r="AM623" s="743"/>
    </row>
    <row r="624" spans="1:39" ht="17.25">
      <c r="A624" s="752"/>
      <c r="B624" s="752"/>
      <c r="C624" s="752"/>
      <c r="D624" s="752"/>
      <c r="E624" s="752"/>
      <c r="F624" s="752"/>
      <c r="G624" s="752"/>
      <c r="H624" s="752"/>
      <c r="I624" s="829"/>
      <c r="J624" s="752"/>
      <c r="K624" s="752"/>
      <c r="L624" s="743"/>
      <c r="M624" s="743"/>
      <c r="N624" s="743"/>
      <c r="O624" s="743"/>
      <c r="P624" s="743"/>
      <c r="Q624" s="743"/>
      <c r="R624" s="743"/>
      <c r="S624" s="743"/>
      <c r="T624" s="743"/>
      <c r="U624" s="743"/>
      <c r="V624" s="743"/>
      <c r="W624" s="743"/>
      <c r="X624" s="743"/>
      <c r="Y624" s="743"/>
      <c r="Z624" s="743"/>
      <c r="AA624" s="743"/>
      <c r="AB624" s="743"/>
      <c r="AC624" s="743"/>
      <c r="AD624" s="743"/>
      <c r="AE624" s="743"/>
      <c r="AF624" s="743"/>
      <c r="AG624" s="743"/>
      <c r="AH624" s="743"/>
      <c r="AI624" s="743"/>
      <c r="AJ624" s="743"/>
      <c r="AK624" s="743"/>
      <c r="AL624" s="743"/>
      <c r="AM624" s="743"/>
    </row>
    <row r="625" spans="1:39" ht="17.25">
      <c r="A625" s="752"/>
      <c r="B625" s="752"/>
      <c r="C625" s="752"/>
      <c r="D625" s="752"/>
      <c r="E625" s="752"/>
      <c r="F625" s="752"/>
      <c r="G625" s="752"/>
      <c r="H625" s="752"/>
      <c r="I625" s="829"/>
      <c r="J625" s="752"/>
      <c r="K625" s="752"/>
      <c r="L625" s="743"/>
      <c r="M625" s="743"/>
      <c r="N625" s="743"/>
      <c r="O625" s="743"/>
      <c r="P625" s="743"/>
      <c r="Q625" s="743"/>
      <c r="R625" s="743"/>
      <c r="S625" s="743"/>
      <c r="T625" s="743"/>
      <c r="U625" s="743"/>
      <c r="V625" s="743"/>
      <c r="W625" s="743"/>
      <c r="X625" s="743"/>
      <c r="Y625" s="743"/>
      <c r="Z625" s="743"/>
      <c r="AA625" s="743"/>
      <c r="AB625" s="743"/>
      <c r="AC625" s="743"/>
      <c r="AD625" s="743"/>
      <c r="AE625" s="743"/>
      <c r="AF625" s="743"/>
      <c r="AG625" s="743"/>
      <c r="AH625" s="743"/>
      <c r="AI625" s="743"/>
      <c r="AJ625" s="743"/>
      <c r="AK625" s="743"/>
      <c r="AL625" s="743"/>
      <c r="AM625" s="743"/>
    </row>
    <row r="626" spans="1:39" ht="17.25">
      <c r="A626" s="752"/>
      <c r="B626" s="752"/>
      <c r="C626" s="752"/>
      <c r="D626" s="752"/>
      <c r="E626" s="752"/>
      <c r="F626" s="752"/>
      <c r="G626" s="752"/>
      <c r="H626" s="752"/>
      <c r="I626" s="829"/>
      <c r="J626" s="752"/>
      <c r="K626" s="752"/>
      <c r="L626" s="743"/>
      <c r="M626" s="743"/>
      <c r="N626" s="743"/>
      <c r="O626" s="743"/>
      <c r="P626" s="743"/>
      <c r="Q626" s="743"/>
      <c r="R626" s="743"/>
      <c r="S626" s="743"/>
      <c r="T626" s="743"/>
      <c r="U626" s="743"/>
      <c r="V626" s="743"/>
      <c r="W626" s="743"/>
      <c r="X626" s="743"/>
      <c r="Y626" s="743"/>
      <c r="Z626" s="743"/>
      <c r="AA626" s="743"/>
      <c r="AB626" s="743"/>
      <c r="AC626" s="743"/>
      <c r="AD626" s="743"/>
      <c r="AE626" s="743"/>
      <c r="AF626" s="743"/>
      <c r="AG626" s="743"/>
      <c r="AH626" s="743"/>
      <c r="AI626" s="743"/>
      <c r="AJ626" s="743"/>
      <c r="AK626" s="743"/>
      <c r="AL626" s="743"/>
      <c r="AM626" s="743"/>
    </row>
    <row r="627" spans="1:39" ht="17.25">
      <c r="A627" s="752"/>
      <c r="B627" s="752"/>
      <c r="C627" s="752"/>
      <c r="D627" s="752"/>
      <c r="E627" s="752"/>
      <c r="F627" s="752"/>
      <c r="G627" s="752"/>
      <c r="H627" s="752"/>
      <c r="I627" s="829"/>
      <c r="J627" s="752"/>
      <c r="K627" s="752"/>
      <c r="L627" s="743"/>
      <c r="M627" s="743"/>
      <c r="N627" s="743"/>
      <c r="O627" s="743"/>
      <c r="P627" s="743"/>
      <c r="Q627" s="743"/>
      <c r="R627" s="743"/>
      <c r="S627" s="743"/>
      <c r="T627" s="743"/>
      <c r="U627" s="743"/>
      <c r="V627" s="743"/>
      <c r="W627" s="743"/>
      <c r="X627" s="743"/>
      <c r="Y627" s="743"/>
      <c r="Z627" s="743"/>
      <c r="AA627" s="743"/>
      <c r="AB627" s="743"/>
      <c r="AC627" s="743"/>
      <c r="AD627" s="743"/>
      <c r="AE627" s="743"/>
      <c r="AF627" s="743"/>
      <c r="AG627" s="743"/>
      <c r="AH627" s="743"/>
      <c r="AI627" s="743"/>
      <c r="AJ627" s="743"/>
      <c r="AK627" s="743"/>
      <c r="AL627" s="743"/>
      <c r="AM627" s="743"/>
    </row>
    <row r="628" spans="1:39" ht="17.25">
      <c r="A628" s="752"/>
      <c r="B628" s="752"/>
      <c r="C628" s="752"/>
      <c r="D628" s="752"/>
      <c r="E628" s="752"/>
      <c r="F628" s="752"/>
      <c r="G628" s="752"/>
      <c r="H628" s="752"/>
      <c r="I628" s="829"/>
      <c r="J628" s="752"/>
      <c r="K628" s="752"/>
      <c r="L628" s="743"/>
      <c r="M628" s="743"/>
      <c r="N628" s="743"/>
      <c r="O628" s="743"/>
      <c r="P628" s="743"/>
      <c r="Q628" s="743"/>
      <c r="R628" s="743"/>
      <c r="S628" s="743"/>
      <c r="T628" s="743"/>
      <c r="U628" s="743"/>
      <c r="V628" s="743"/>
      <c r="W628" s="743"/>
      <c r="X628" s="743"/>
      <c r="Y628" s="743"/>
      <c r="Z628" s="743"/>
      <c r="AA628" s="743"/>
      <c r="AB628" s="743"/>
      <c r="AC628" s="743"/>
      <c r="AD628" s="743"/>
      <c r="AE628" s="743"/>
      <c r="AF628" s="743"/>
      <c r="AG628" s="743"/>
      <c r="AH628" s="743"/>
      <c r="AI628" s="743"/>
      <c r="AJ628" s="743"/>
      <c r="AK628" s="743"/>
      <c r="AL628" s="743"/>
      <c r="AM628" s="743"/>
    </row>
    <row r="629" spans="1:39" ht="17.25">
      <c r="A629" s="752"/>
      <c r="B629" s="752"/>
      <c r="C629" s="752"/>
      <c r="D629" s="752"/>
      <c r="E629" s="752"/>
      <c r="F629" s="752"/>
      <c r="G629" s="752"/>
      <c r="H629" s="752"/>
      <c r="I629" s="829"/>
      <c r="J629" s="752"/>
      <c r="K629" s="752"/>
      <c r="L629" s="743"/>
      <c r="M629" s="743"/>
      <c r="N629" s="743"/>
      <c r="O629" s="743"/>
      <c r="P629" s="743"/>
      <c r="Q629" s="743"/>
      <c r="R629" s="743"/>
      <c r="S629" s="743"/>
      <c r="T629" s="743"/>
      <c r="U629" s="743"/>
      <c r="V629" s="743"/>
      <c r="W629" s="743"/>
      <c r="X629" s="743"/>
      <c r="Y629" s="743"/>
      <c r="Z629" s="743"/>
      <c r="AA629" s="743"/>
      <c r="AB629" s="743"/>
      <c r="AC629" s="743"/>
      <c r="AD629" s="743"/>
      <c r="AE629" s="743"/>
      <c r="AF629" s="743"/>
      <c r="AG629" s="743"/>
      <c r="AH629" s="743"/>
      <c r="AI629" s="743"/>
      <c r="AJ629" s="743"/>
      <c r="AK629" s="743"/>
      <c r="AL629" s="743"/>
      <c r="AM629" s="743"/>
    </row>
    <row r="630" spans="1:39" ht="17.25">
      <c r="A630" s="752"/>
      <c r="B630" s="752"/>
      <c r="C630" s="752"/>
      <c r="D630" s="752"/>
      <c r="E630" s="752"/>
      <c r="F630" s="752"/>
      <c r="G630" s="752"/>
      <c r="H630" s="752"/>
      <c r="I630" s="829"/>
      <c r="J630" s="752"/>
      <c r="K630" s="752"/>
      <c r="L630" s="743"/>
      <c r="M630" s="743"/>
      <c r="N630" s="743"/>
      <c r="O630" s="743"/>
      <c r="P630" s="743"/>
      <c r="Q630" s="743"/>
      <c r="R630" s="743"/>
      <c r="S630" s="743"/>
      <c r="T630" s="743"/>
      <c r="U630" s="743"/>
      <c r="V630" s="743"/>
      <c r="W630" s="743"/>
      <c r="X630" s="743"/>
      <c r="Y630" s="743"/>
      <c r="Z630" s="743"/>
      <c r="AA630" s="743"/>
      <c r="AB630" s="743"/>
      <c r="AC630" s="743"/>
      <c r="AD630" s="743"/>
      <c r="AE630" s="743"/>
      <c r="AF630" s="743"/>
      <c r="AG630" s="743"/>
      <c r="AH630" s="743"/>
      <c r="AI630" s="743"/>
      <c r="AJ630" s="743"/>
      <c r="AK630" s="743"/>
      <c r="AL630" s="743"/>
      <c r="AM630" s="743"/>
    </row>
    <row r="631" spans="1:39" ht="17.25">
      <c r="A631" s="752"/>
      <c r="B631" s="752"/>
      <c r="C631" s="752"/>
      <c r="D631" s="752"/>
      <c r="E631" s="752"/>
      <c r="F631" s="752"/>
      <c r="G631" s="752"/>
      <c r="H631" s="752"/>
      <c r="I631" s="829"/>
      <c r="J631" s="752"/>
      <c r="K631" s="752"/>
      <c r="L631" s="743"/>
      <c r="M631" s="743"/>
      <c r="N631" s="743"/>
      <c r="O631" s="743"/>
      <c r="P631" s="743"/>
      <c r="Q631" s="743"/>
      <c r="R631" s="743"/>
      <c r="S631" s="743"/>
      <c r="T631" s="743"/>
      <c r="U631" s="743"/>
      <c r="V631" s="743"/>
      <c r="W631" s="743"/>
      <c r="X631" s="743"/>
      <c r="Y631" s="743"/>
      <c r="Z631" s="743"/>
      <c r="AA631" s="743"/>
      <c r="AB631" s="743"/>
      <c r="AC631" s="743"/>
      <c r="AD631" s="743"/>
      <c r="AE631" s="743"/>
      <c r="AF631" s="743"/>
      <c r="AG631" s="743"/>
      <c r="AH631" s="743"/>
      <c r="AI631" s="743"/>
      <c r="AJ631" s="743"/>
      <c r="AK631" s="743"/>
      <c r="AL631" s="743"/>
      <c r="AM631" s="743"/>
    </row>
    <row r="632" spans="1:39" ht="17.25">
      <c r="A632" s="752"/>
      <c r="B632" s="752"/>
      <c r="C632" s="752"/>
      <c r="D632" s="752"/>
      <c r="E632" s="752"/>
      <c r="F632" s="752"/>
      <c r="G632" s="752"/>
      <c r="H632" s="752"/>
      <c r="I632" s="829"/>
      <c r="J632" s="752"/>
      <c r="K632" s="752"/>
      <c r="L632" s="743"/>
      <c r="M632" s="743"/>
      <c r="N632" s="743"/>
      <c r="O632" s="743"/>
      <c r="P632" s="743"/>
      <c r="Q632" s="743"/>
      <c r="R632" s="743"/>
      <c r="S632" s="743"/>
      <c r="T632" s="743"/>
      <c r="U632" s="743"/>
      <c r="V632" s="743"/>
      <c r="W632" s="743"/>
      <c r="X632" s="743"/>
      <c r="Y632" s="743"/>
      <c r="Z632" s="743"/>
      <c r="AA632" s="743"/>
      <c r="AB632" s="743"/>
      <c r="AC632" s="743"/>
      <c r="AD632" s="743"/>
      <c r="AE632" s="743"/>
      <c r="AF632" s="743"/>
      <c r="AG632" s="743"/>
      <c r="AH632" s="743"/>
      <c r="AI632" s="743"/>
      <c r="AJ632" s="743"/>
      <c r="AK632" s="743"/>
      <c r="AL632" s="743"/>
      <c r="AM632" s="743"/>
    </row>
    <row r="633" spans="1:39" ht="17.25">
      <c r="A633" s="752"/>
      <c r="B633" s="752"/>
      <c r="C633" s="752"/>
      <c r="D633" s="752"/>
      <c r="E633" s="752"/>
      <c r="F633" s="752"/>
      <c r="G633" s="752"/>
      <c r="H633" s="752"/>
      <c r="I633" s="829"/>
      <c r="J633" s="752"/>
      <c r="K633" s="752"/>
      <c r="L633" s="743"/>
      <c r="M633" s="743"/>
      <c r="N633" s="743"/>
      <c r="O633" s="743"/>
      <c r="P633" s="743"/>
      <c r="Q633" s="743"/>
      <c r="R633" s="743"/>
      <c r="S633" s="743"/>
      <c r="T633" s="743"/>
      <c r="U633" s="743"/>
      <c r="V633" s="743"/>
      <c r="W633" s="743"/>
      <c r="X633" s="743"/>
      <c r="Y633" s="743"/>
      <c r="Z633" s="743"/>
      <c r="AA633" s="743"/>
      <c r="AB633" s="743"/>
      <c r="AC633" s="743"/>
      <c r="AD633" s="743"/>
      <c r="AE633" s="743"/>
      <c r="AF633" s="743"/>
      <c r="AG633" s="743"/>
      <c r="AH633" s="743"/>
      <c r="AI633" s="743"/>
      <c r="AJ633" s="743"/>
      <c r="AK633" s="743"/>
      <c r="AL633" s="743"/>
      <c r="AM633" s="743"/>
    </row>
    <row r="634" spans="1:39" ht="17.25">
      <c r="A634" s="752"/>
      <c r="B634" s="752"/>
      <c r="C634" s="752"/>
      <c r="D634" s="752"/>
      <c r="E634" s="752"/>
      <c r="F634" s="752"/>
      <c r="G634" s="752"/>
      <c r="H634" s="752"/>
      <c r="I634" s="829"/>
      <c r="J634" s="752"/>
      <c r="K634" s="752"/>
      <c r="L634" s="743"/>
      <c r="M634" s="743"/>
      <c r="N634" s="743"/>
      <c r="O634" s="743"/>
      <c r="P634" s="743"/>
      <c r="Q634" s="743"/>
      <c r="R634" s="743"/>
      <c r="S634" s="743"/>
      <c r="T634" s="743"/>
      <c r="U634" s="743"/>
      <c r="V634" s="743"/>
      <c r="W634" s="743"/>
      <c r="X634" s="743"/>
      <c r="Y634" s="743"/>
      <c r="Z634" s="743"/>
      <c r="AA634" s="743"/>
      <c r="AB634" s="743"/>
      <c r="AC634" s="743"/>
      <c r="AD634" s="743"/>
      <c r="AE634" s="743"/>
      <c r="AF634" s="743"/>
      <c r="AG634" s="743"/>
      <c r="AH634" s="743"/>
      <c r="AI634" s="743"/>
      <c r="AJ634" s="743"/>
      <c r="AK634" s="743"/>
      <c r="AL634" s="743"/>
      <c r="AM634" s="743"/>
    </row>
    <row r="635" spans="1:39" ht="17.25">
      <c r="A635" s="752"/>
      <c r="B635" s="752"/>
      <c r="C635" s="752"/>
      <c r="D635" s="752"/>
      <c r="E635" s="752"/>
      <c r="F635" s="752"/>
      <c r="G635" s="752"/>
      <c r="H635" s="752"/>
      <c r="I635" s="829"/>
      <c r="J635" s="752"/>
      <c r="K635" s="752"/>
      <c r="L635" s="743"/>
      <c r="M635" s="743"/>
      <c r="N635" s="743"/>
      <c r="O635" s="743"/>
      <c r="P635" s="743"/>
      <c r="Q635" s="743"/>
      <c r="R635" s="743"/>
      <c r="S635" s="743"/>
      <c r="T635" s="743"/>
      <c r="U635" s="743"/>
      <c r="V635" s="743"/>
      <c r="W635" s="743"/>
      <c r="X635" s="743"/>
      <c r="Y635" s="743"/>
      <c r="Z635" s="743"/>
      <c r="AA635" s="743"/>
      <c r="AB635" s="743"/>
      <c r="AC635" s="743"/>
      <c r="AD635" s="743"/>
      <c r="AE635" s="743"/>
      <c r="AF635" s="743"/>
      <c r="AG635" s="743"/>
      <c r="AH635" s="743"/>
      <c r="AI635" s="743"/>
      <c r="AJ635" s="743"/>
      <c r="AK635" s="743"/>
      <c r="AL635" s="743"/>
      <c r="AM635" s="743"/>
    </row>
    <row r="636" spans="1:39" ht="17.25">
      <c r="A636" s="752"/>
      <c r="B636" s="752"/>
      <c r="C636" s="752"/>
      <c r="D636" s="752"/>
      <c r="E636" s="752"/>
      <c r="F636" s="752"/>
      <c r="G636" s="752"/>
      <c r="H636" s="752"/>
      <c r="I636" s="829"/>
      <c r="J636" s="752"/>
      <c r="K636" s="752"/>
      <c r="L636" s="743"/>
      <c r="M636" s="743"/>
      <c r="N636" s="743"/>
      <c r="O636" s="743"/>
      <c r="P636" s="743"/>
      <c r="Q636" s="743"/>
      <c r="R636" s="743"/>
      <c r="S636" s="743"/>
      <c r="T636" s="743"/>
      <c r="U636" s="743"/>
      <c r="V636" s="743"/>
      <c r="W636" s="743"/>
      <c r="X636" s="743"/>
      <c r="Y636" s="743"/>
      <c r="Z636" s="743"/>
      <c r="AA636" s="743"/>
      <c r="AB636" s="743"/>
      <c r="AC636" s="743"/>
      <c r="AD636" s="743"/>
      <c r="AE636" s="743"/>
      <c r="AF636" s="743"/>
      <c r="AG636" s="743"/>
      <c r="AH636" s="743"/>
      <c r="AI636" s="743"/>
      <c r="AJ636" s="743"/>
      <c r="AK636" s="743"/>
      <c r="AL636" s="743"/>
      <c r="AM636" s="743"/>
    </row>
    <row r="637" spans="1:39" ht="17.25">
      <c r="A637" s="752"/>
      <c r="B637" s="752"/>
      <c r="C637" s="752"/>
      <c r="D637" s="752"/>
      <c r="E637" s="752"/>
      <c r="F637" s="752"/>
      <c r="G637" s="752"/>
      <c r="H637" s="752"/>
      <c r="I637" s="829"/>
      <c r="J637" s="752"/>
      <c r="K637" s="752"/>
      <c r="L637" s="743"/>
      <c r="M637" s="743"/>
      <c r="N637" s="743"/>
      <c r="O637" s="743"/>
      <c r="P637" s="743"/>
      <c r="Q637" s="743"/>
      <c r="R637" s="743"/>
      <c r="S637" s="743"/>
      <c r="T637" s="743"/>
      <c r="U637" s="743"/>
      <c r="V637" s="743"/>
      <c r="W637" s="743"/>
      <c r="X637" s="743"/>
      <c r="Y637" s="743"/>
      <c r="Z637" s="743"/>
      <c r="AA637" s="743"/>
      <c r="AB637" s="743"/>
      <c r="AC637" s="743"/>
      <c r="AD637" s="743"/>
      <c r="AE637" s="743"/>
      <c r="AF637" s="743"/>
      <c r="AG637" s="743"/>
      <c r="AH637" s="743"/>
      <c r="AI637" s="743"/>
      <c r="AJ637" s="743"/>
      <c r="AK637" s="743"/>
      <c r="AL637" s="743"/>
      <c r="AM637" s="743"/>
    </row>
    <row r="638" spans="1:39" ht="17.25">
      <c r="A638" s="752"/>
      <c r="B638" s="752"/>
      <c r="C638" s="752"/>
      <c r="D638" s="752"/>
      <c r="E638" s="752"/>
      <c r="F638" s="752"/>
      <c r="G638" s="752"/>
      <c r="H638" s="752"/>
      <c r="I638" s="829"/>
      <c r="J638" s="752"/>
      <c r="K638" s="752"/>
      <c r="L638" s="743"/>
      <c r="M638" s="743"/>
      <c r="N638" s="743"/>
      <c r="O638" s="743"/>
      <c r="P638" s="743"/>
      <c r="Q638" s="743"/>
      <c r="R638" s="743"/>
      <c r="S638" s="743"/>
      <c r="T638" s="743"/>
      <c r="U638" s="743"/>
      <c r="V638" s="743"/>
      <c r="W638" s="743"/>
      <c r="X638" s="743"/>
      <c r="Y638" s="743"/>
      <c r="Z638" s="743"/>
      <c r="AA638" s="743"/>
      <c r="AB638" s="743"/>
      <c r="AC638" s="743"/>
      <c r="AD638" s="743"/>
      <c r="AE638" s="743"/>
      <c r="AF638" s="743"/>
      <c r="AG638" s="743"/>
      <c r="AH638" s="743"/>
      <c r="AI638" s="743"/>
      <c r="AJ638" s="743"/>
      <c r="AK638" s="743"/>
      <c r="AL638" s="743"/>
      <c r="AM638" s="743"/>
    </row>
    <row r="639" spans="1:39" ht="17.25">
      <c r="A639" s="752"/>
      <c r="B639" s="752"/>
      <c r="C639" s="752"/>
      <c r="D639" s="752"/>
      <c r="E639" s="752"/>
      <c r="F639" s="752"/>
      <c r="G639" s="752"/>
      <c r="H639" s="752"/>
      <c r="I639" s="829"/>
      <c r="J639" s="752"/>
      <c r="K639" s="752"/>
      <c r="L639" s="743"/>
      <c r="M639" s="743"/>
      <c r="N639" s="743"/>
      <c r="O639" s="743"/>
      <c r="P639" s="743"/>
      <c r="Q639" s="743"/>
      <c r="R639" s="743"/>
      <c r="S639" s="743"/>
      <c r="T639" s="743"/>
      <c r="U639" s="743"/>
      <c r="V639" s="743"/>
      <c r="W639" s="743"/>
      <c r="X639" s="743"/>
      <c r="Y639" s="743"/>
      <c r="Z639" s="743"/>
      <c r="AA639" s="743"/>
      <c r="AB639" s="743"/>
      <c r="AC639" s="743"/>
      <c r="AD639" s="743"/>
      <c r="AE639" s="743"/>
      <c r="AF639" s="743"/>
      <c r="AG639" s="743"/>
      <c r="AH639" s="743"/>
      <c r="AI639" s="743"/>
      <c r="AJ639" s="743"/>
      <c r="AK639" s="743"/>
      <c r="AL639" s="743"/>
      <c r="AM639" s="743"/>
    </row>
    <row r="640" spans="1:39" ht="17.25">
      <c r="A640" s="752"/>
      <c r="B640" s="752"/>
      <c r="C640" s="752"/>
      <c r="D640" s="752"/>
      <c r="E640" s="752"/>
      <c r="F640" s="752"/>
      <c r="G640" s="752"/>
      <c r="H640" s="752"/>
      <c r="I640" s="829"/>
      <c r="J640" s="752"/>
      <c r="K640" s="752"/>
      <c r="L640" s="743"/>
      <c r="M640" s="743"/>
      <c r="N640" s="743"/>
      <c r="O640" s="743"/>
      <c r="P640" s="743"/>
      <c r="Q640" s="743"/>
      <c r="R640" s="743"/>
      <c r="S640" s="743"/>
      <c r="T640" s="743"/>
      <c r="U640" s="743"/>
      <c r="V640" s="743"/>
      <c r="W640" s="743"/>
      <c r="X640" s="743"/>
      <c r="Y640" s="743"/>
      <c r="Z640" s="743"/>
      <c r="AA640" s="743"/>
      <c r="AB640" s="743"/>
      <c r="AC640" s="743"/>
      <c r="AD640" s="743"/>
      <c r="AE640" s="743"/>
      <c r="AF640" s="743"/>
      <c r="AG640" s="743"/>
      <c r="AH640" s="743"/>
      <c r="AI640" s="743"/>
      <c r="AJ640" s="743"/>
      <c r="AK640" s="743"/>
      <c r="AL640" s="743"/>
      <c r="AM640" s="743"/>
    </row>
    <row r="641" spans="1:39" ht="17.25">
      <c r="A641" s="752"/>
      <c r="B641" s="752"/>
      <c r="C641" s="752"/>
      <c r="D641" s="752"/>
      <c r="E641" s="752"/>
      <c r="F641" s="752"/>
      <c r="G641" s="752"/>
      <c r="H641" s="752"/>
      <c r="I641" s="829"/>
      <c r="J641" s="752"/>
      <c r="K641" s="752"/>
      <c r="L641" s="743"/>
      <c r="M641" s="743"/>
      <c r="N641" s="743"/>
      <c r="O641" s="743"/>
      <c r="P641" s="743"/>
      <c r="Q641" s="743"/>
      <c r="R641" s="743"/>
      <c r="S641" s="743"/>
      <c r="T641" s="743"/>
      <c r="U641" s="743"/>
      <c r="V641" s="743"/>
      <c r="W641" s="743"/>
      <c r="X641" s="743"/>
      <c r="Y641" s="743"/>
      <c r="Z641" s="743"/>
      <c r="AA641" s="743"/>
      <c r="AB641" s="743"/>
      <c r="AC641" s="743"/>
      <c r="AD641" s="743"/>
      <c r="AE641" s="743"/>
      <c r="AF641" s="743"/>
      <c r="AG641" s="743"/>
      <c r="AH641" s="743"/>
      <c r="AI641" s="743"/>
      <c r="AJ641" s="743"/>
      <c r="AK641" s="743"/>
      <c r="AL641" s="743"/>
      <c r="AM641" s="743"/>
    </row>
    <row r="642" spans="1:39" ht="17.25">
      <c r="A642" s="752"/>
      <c r="B642" s="752"/>
      <c r="C642" s="752"/>
      <c r="D642" s="752"/>
      <c r="E642" s="752"/>
      <c r="F642" s="752"/>
      <c r="G642" s="752"/>
      <c r="H642" s="752"/>
      <c r="I642" s="829"/>
      <c r="J642" s="752"/>
      <c r="K642" s="752"/>
      <c r="L642" s="743"/>
      <c r="M642" s="743"/>
      <c r="N642" s="743"/>
      <c r="O642" s="743"/>
      <c r="P642" s="743"/>
      <c r="Q642" s="743"/>
      <c r="R642" s="743"/>
      <c r="S642" s="743"/>
      <c r="T642" s="743"/>
      <c r="U642" s="743"/>
      <c r="V642" s="743"/>
      <c r="W642" s="743"/>
      <c r="X642" s="743"/>
      <c r="Y642" s="743"/>
      <c r="Z642" s="743"/>
      <c r="AA642" s="743"/>
      <c r="AB642" s="743"/>
      <c r="AC642" s="743"/>
      <c r="AD642" s="743"/>
      <c r="AE642" s="743"/>
      <c r="AF642" s="743"/>
      <c r="AG642" s="743"/>
      <c r="AH642" s="743"/>
      <c r="AI642" s="743"/>
      <c r="AJ642" s="743"/>
      <c r="AK642" s="743"/>
      <c r="AL642" s="743"/>
      <c r="AM642" s="743"/>
    </row>
    <row r="643" spans="1:39" ht="17.25">
      <c r="A643" s="752"/>
      <c r="B643" s="752"/>
      <c r="C643" s="752"/>
      <c r="D643" s="752"/>
      <c r="E643" s="752"/>
      <c r="F643" s="752"/>
      <c r="G643" s="752"/>
      <c r="H643" s="752"/>
      <c r="I643" s="829"/>
      <c r="J643" s="752"/>
      <c r="K643" s="752"/>
      <c r="L643" s="743"/>
      <c r="M643" s="743"/>
      <c r="N643" s="743"/>
      <c r="O643" s="743"/>
      <c r="P643" s="743"/>
      <c r="Q643" s="743"/>
      <c r="R643" s="743"/>
      <c r="S643" s="743"/>
      <c r="T643" s="743"/>
      <c r="U643" s="743"/>
      <c r="V643" s="743"/>
      <c r="W643" s="743"/>
      <c r="X643" s="743"/>
      <c r="Y643" s="743"/>
      <c r="Z643" s="743"/>
      <c r="AA643" s="743"/>
      <c r="AB643" s="743"/>
      <c r="AC643" s="743"/>
      <c r="AD643" s="743"/>
      <c r="AE643" s="743"/>
      <c r="AF643" s="743"/>
      <c r="AG643" s="743"/>
      <c r="AH643" s="743"/>
      <c r="AI643" s="743"/>
      <c r="AJ643" s="743"/>
      <c r="AK643" s="743"/>
      <c r="AL643" s="743"/>
      <c r="AM643" s="743"/>
    </row>
    <row r="644" spans="1:39" ht="17.25">
      <c r="A644" s="752"/>
      <c r="B644" s="752"/>
      <c r="C644" s="752"/>
      <c r="D644" s="752"/>
      <c r="E644" s="752"/>
      <c r="F644" s="752"/>
      <c r="G644" s="752"/>
      <c r="H644" s="752"/>
      <c r="I644" s="829"/>
      <c r="J644" s="752"/>
      <c r="K644" s="752"/>
      <c r="L644" s="743"/>
      <c r="M644" s="743"/>
      <c r="N644" s="743"/>
      <c r="O644" s="743"/>
      <c r="P644" s="743"/>
      <c r="Q644" s="743"/>
      <c r="R644" s="743"/>
      <c r="S644" s="743"/>
      <c r="T644" s="743"/>
      <c r="U644" s="743"/>
      <c r="V644" s="743"/>
      <c r="W644" s="743"/>
      <c r="X644" s="743"/>
      <c r="Y644" s="743"/>
      <c r="Z644" s="743"/>
      <c r="AA644" s="743"/>
      <c r="AB644" s="743"/>
      <c r="AC644" s="743"/>
      <c r="AD644" s="743"/>
      <c r="AE644" s="743"/>
      <c r="AF644" s="743"/>
      <c r="AG644" s="743"/>
      <c r="AH644" s="743"/>
      <c r="AI644" s="743"/>
      <c r="AJ644" s="743"/>
      <c r="AK644" s="743"/>
      <c r="AL644" s="743"/>
      <c r="AM644" s="743"/>
    </row>
    <row r="645" spans="1:39" ht="17.25">
      <c r="A645" s="752"/>
      <c r="B645" s="752"/>
      <c r="C645" s="752"/>
      <c r="D645" s="752"/>
      <c r="E645" s="752"/>
      <c r="F645" s="752"/>
      <c r="G645" s="752"/>
      <c r="H645" s="752"/>
      <c r="I645" s="829"/>
      <c r="J645" s="752"/>
      <c r="K645" s="752"/>
      <c r="L645" s="743"/>
      <c r="M645" s="743"/>
      <c r="N645" s="743"/>
      <c r="O645" s="743"/>
      <c r="P645" s="743"/>
      <c r="Q645" s="743"/>
      <c r="R645" s="743"/>
      <c r="S645" s="743"/>
      <c r="T645" s="743"/>
      <c r="U645" s="743"/>
      <c r="V645" s="743"/>
      <c r="W645" s="743"/>
      <c r="X645" s="743"/>
      <c r="Y645" s="743"/>
      <c r="Z645" s="743"/>
      <c r="AA645" s="743"/>
      <c r="AB645" s="743"/>
      <c r="AC645" s="743"/>
      <c r="AD645" s="743"/>
      <c r="AE645" s="743"/>
      <c r="AF645" s="743"/>
      <c r="AG645" s="743"/>
      <c r="AH645" s="743"/>
      <c r="AI645" s="743"/>
      <c r="AJ645" s="743"/>
      <c r="AK645" s="743"/>
      <c r="AL645" s="743"/>
      <c r="AM645" s="743"/>
    </row>
    <row r="646" spans="1:39" ht="17.25">
      <c r="A646" s="752"/>
      <c r="B646" s="752"/>
      <c r="C646" s="752"/>
      <c r="D646" s="752"/>
      <c r="E646" s="752"/>
      <c r="F646" s="752"/>
      <c r="G646" s="752"/>
      <c r="H646" s="752"/>
      <c r="I646" s="829"/>
      <c r="J646" s="752"/>
      <c r="K646" s="752"/>
      <c r="L646" s="743"/>
      <c r="M646" s="743"/>
      <c r="N646" s="743"/>
      <c r="O646" s="743"/>
      <c r="P646" s="743"/>
      <c r="Q646" s="743"/>
      <c r="R646" s="743"/>
      <c r="S646" s="743"/>
      <c r="T646" s="743"/>
      <c r="U646" s="743"/>
      <c r="V646" s="743"/>
      <c r="W646" s="743"/>
      <c r="X646" s="743"/>
      <c r="Y646" s="743"/>
      <c r="Z646" s="743"/>
      <c r="AA646" s="743"/>
      <c r="AB646" s="743"/>
      <c r="AC646" s="743"/>
      <c r="AD646" s="743"/>
      <c r="AE646" s="743"/>
      <c r="AF646" s="743"/>
      <c r="AG646" s="743"/>
      <c r="AH646" s="743"/>
      <c r="AI646" s="743"/>
      <c r="AJ646" s="743"/>
      <c r="AK646" s="743"/>
      <c r="AL646" s="743"/>
      <c r="AM646" s="743"/>
    </row>
    <row r="647" spans="1:39" ht="17.25">
      <c r="A647" s="752"/>
      <c r="B647" s="752"/>
      <c r="C647" s="752"/>
      <c r="D647" s="752"/>
      <c r="E647" s="752"/>
      <c r="F647" s="752"/>
      <c r="G647" s="752"/>
      <c r="H647" s="752"/>
      <c r="I647" s="829"/>
      <c r="J647" s="752"/>
      <c r="K647" s="752"/>
      <c r="L647" s="743"/>
      <c r="M647" s="743"/>
      <c r="N647" s="743"/>
      <c r="O647" s="743"/>
      <c r="P647" s="743"/>
      <c r="Q647" s="743"/>
      <c r="R647" s="743"/>
      <c r="S647" s="743"/>
      <c r="T647" s="743"/>
      <c r="U647" s="743"/>
      <c r="V647" s="743"/>
      <c r="W647" s="743"/>
      <c r="X647" s="743"/>
      <c r="Y647" s="743"/>
      <c r="Z647" s="743"/>
      <c r="AA647" s="743"/>
      <c r="AB647" s="743"/>
      <c r="AC647" s="743"/>
      <c r="AD647" s="743"/>
      <c r="AE647" s="743"/>
      <c r="AF647" s="743"/>
      <c r="AG647" s="743"/>
      <c r="AH647" s="743"/>
      <c r="AI647" s="743"/>
      <c r="AJ647" s="743"/>
      <c r="AK647" s="743"/>
      <c r="AL647" s="743"/>
      <c r="AM647" s="743"/>
    </row>
    <row r="648" spans="1:39" ht="17.25">
      <c r="A648" s="752"/>
      <c r="B648" s="752"/>
      <c r="C648" s="752"/>
      <c r="D648" s="752"/>
      <c r="E648" s="752"/>
      <c r="F648" s="752"/>
      <c r="G648" s="752"/>
      <c r="H648" s="752"/>
      <c r="I648" s="829"/>
      <c r="J648" s="752"/>
      <c r="K648" s="752"/>
      <c r="L648" s="743"/>
      <c r="M648" s="743"/>
      <c r="N648" s="743"/>
      <c r="O648" s="743"/>
      <c r="P648" s="743"/>
      <c r="Q648" s="743"/>
      <c r="R648" s="743"/>
      <c r="S648" s="743"/>
      <c r="T648" s="743"/>
      <c r="U648" s="743"/>
      <c r="V648" s="743"/>
      <c r="W648" s="743"/>
      <c r="X648" s="743"/>
      <c r="Y648" s="743"/>
      <c r="Z648" s="743"/>
      <c r="AA648" s="743"/>
      <c r="AB648" s="743"/>
      <c r="AC648" s="743"/>
      <c r="AD648" s="743"/>
      <c r="AE648" s="743"/>
      <c r="AF648" s="743"/>
      <c r="AG648" s="743"/>
      <c r="AH648" s="743"/>
      <c r="AI648" s="743"/>
      <c r="AJ648" s="743"/>
      <c r="AK648" s="743"/>
      <c r="AL648" s="743"/>
      <c r="AM648" s="743"/>
    </row>
    <row r="649" spans="1:39" ht="17.25">
      <c r="A649" s="752"/>
      <c r="B649" s="752"/>
      <c r="C649" s="752"/>
      <c r="D649" s="752"/>
      <c r="E649" s="752"/>
      <c r="F649" s="752"/>
      <c r="G649" s="752"/>
      <c r="H649" s="752"/>
      <c r="I649" s="829"/>
      <c r="J649" s="752"/>
      <c r="K649" s="752"/>
      <c r="L649" s="743"/>
      <c r="M649" s="743"/>
      <c r="N649" s="743"/>
      <c r="O649" s="743"/>
      <c r="P649" s="743"/>
      <c r="Q649" s="743"/>
      <c r="R649" s="743"/>
      <c r="S649" s="743"/>
      <c r="T649" s="743"/>
      <c r="U649" s="743"/>
      <c r="V649" s="743"/>
      <c r="W649" s="743"/>
      <c r="X649" s="743"/>
      <c r="Y649" s="743"/>
      <c r="Z649" s="743"/>
      <c r="AA649" s="743"/>
      <c r="AB649" s="743"/>
      <c r="AC649" s="743"/>
      <c r="AD649" s="743"/>
      <c r="AE649" s="743"/>
      <c r="AF649" s="743"/>
      <c r="AG649" s="743"/>
      <c r="AH649" s="743"/>
      <c r="AI649" s="743"/>
      <c r="AJ649" s="743"/>
      <c r="AK649" s="743"/>
      <c r="AL649" s="743"/>
      <c r="AM649" s="743"/>
    </row>
    <row r="650" spans="1:39" ht="17.25">
      <c r="A650" s="752"/>
      <c r="B650" s="752"/>
      <c r="C650" s="752"/>
      <c r="D650" s="752"/>
      <c r="E650" s="752"/>
      <c r="F650" s="752"/>
      <c r="G650" s="752"/>
      <c r="H650" s="752"/>
      <c r="I650" s="829"/>
      <c r="J650" s="752"/>
      <c r="K650" s="752"/>
      <c r="L650" s="743"/>
      <c r="M650" s="743"/>
      <c r="N650" s="743"/>
      <c r="O650" s="743"/>
      <c r="P650" s="743"/>
      <c r="Q650" s="743"/>
      <c r="R650" s="743"/>
      <c r="S650" s="743"/>
      <c r="T650" s="743"/>
      <c r="U650" s="743"/>
      <c r="V650" s="743"/>
      <c r="W650" s="743"/>
      <c r="X650" s="743"/>
      <c r="Y650" s="743"/>
      <c r="Z650" s="743"/>
      <c r="AA650" s="743"/>
      <c r="AB650" s="743"/>
      <c r="AC650" s="743"/>
      <c r="AD650" s="743"/>
      <c r="AE650" s="743"/>
      <c r="AF650" s="743"/>
      <c r="AG650" s="743"/>
      <c r="AH650" s="743"/>
      <c r="AI650" s="743"/>
      <c r="AJ650" s="743"/>
      <c r="AK650" s="743"/>
      <c r="AL650" s="743"/>
      <c r="AM650" s="743"/>
    </row>
    <row r="651" spans="1:39" ht="17.25">
      <c r="A651" s="752"/>
      <c r="B651" s="752"/>
      <c r="C651" s="752"/>
      <c r="D651" s="752"/>
      <c r="E651" s="752"/>
      <c r="F651" s="752"/>
      <c r="G651" s="752"/>
      <c r="H651" s="752"/>
      <c r="I651" s="829"/>
      <c r="J651" s="752"/>
      <c r="K651" s="752"/>
      <c r="L651" s="743"/>
      <c r="M651" s="743"/>
      <c r="N651" s="743"/>
      <c r="O651" s="743"/>
      <c r="P651" s="743"/>
      <c r="Q651" s="743"/>
      <c r="R651" s="743"/>
      <c r="S651" s="743"/>
      <c r="T651" s="743"/>
      <c r="U651" s="743"/>
      <c r="V651" s="743"/>
      <c r="W651" s="743"/>
      <c r="X651" s="743"/>
      <c r="Y651" s="743"/>
      <c r="Z651" s="743"/>
      <c r="AA651" s="743"/>
      <c r="AB651" s="743"/>
      <c r="AC651" s="743"/>
      <c r="AD651" s="743"/>
      <c r="AE651" s="743"/>
      <c r="AF651" s="743"/>
      <c r="AG651" s="743"/>
      <c r="AH651" s="743"/>
      <c r="AI651" s="743"/>
      <c r="AJ651" s="743"/>
      <c r="AK651" s="743"/>
      <c r="AL651" s="743"/>
      <c r="AM651" s="743"/>
    </row>
    <row r="652" spans="1:39" ht="17.25">
      <c r="A652" s="752"/>
      <c r="B652" s="752"/>
      <c r="C652" s="752"/>
      <c r="D652" s="752"/>
      <c r="E652" s="752"/>
      <c r="F652" s="752"/>
      <c r="G652" s="752"/>
      <c r="H652" s="752"/>
      <c r="I652" s="829"/>
      <c r="J652" s="752"/>
      <c r="K652" s="752"/>
      <c r="L652" s="743"/>
      <c r="M652" s="743"/>
      <c r="N652" s="743"/>
      <c r="O652" s="743"/>
      <c r="P652" s="743"/>
      <c r="Q652" s="743"/>
      <c r="R652" s="743"/>
      <c r="S652" s="743"/>
      <c r="T652" s="743"/>
      <c r="U652" s="743"/>
      <c r="V652" s="743"/>
      <c r="W652" s="743"/>
      <c r="X652" s="743"/>
      <c r="Y652" s="743"/>
      <c r="Z652" s="743"/>
      <c r="AA652" s="743"/>
      <c r="AB652" s="743"/>
      <c r="AC652" s="743"/>
      <c r="AD652" s="743"/>
      <c r="AE652" s="743"/>
      <c r="AF652" s="743"/>
      <c r="AG652" s="743"/>
      <c r="AH652" s="743"/>
      <c r="AI652" s="743"/>
      <c r="AJ652" s="743"/>
      <c r="AK652" s="743"/>
      <c r="AL652" s="743"/>
      <c r="AM652" s="743"/>
    </row>
    <row r="653" spans="1:39" ht="17.25">
      <c r="A653" s="752"/>
      <c r="B653" s="752"/>
      <c r="C653" s="752"/>
      <c r="D653" s="752"/>
      <c r="E653" s="752"/>
      <c r="F653" s="752"/>
      <c r="G653" s="752"/>
      <c r="H653" s="752"/>
      <c r="I653" s="829"/>
      <c r="J653" s="752"/>
      <c r="K653" s="752"/>
      <c r="L653" s="743"/>
      <c r="M653" s="743"/>
      <c r="N653" s="743"/>
      <c r="O653" s="743"/>
      <c r="P653" s="743"/>
      <c r="Q653" s="743"/>
      <c r="R653" s="743"/>
      <c r="S653" s="743"/>
      <c r="T653" s="743"/>
      <c r="U653" s="743"/>
      <c r="V653" s="743"/>
      <c r="W653" s="743"/>
      <c r="X653" s="743"/>
      <c r="Y653" s="743"/>
      <c r="Z653" s="743"/>
      <c r="AA653" s="743"/>
      <c r="AB653" s="743"/>
      <c r="AC653" s="743"/>
      <c r="AD653" s="743"/>
      <c r="AE653" s="743"/>
      <c r="AF653" s="743"/>
      <c r="AG653" s="743"/>
      <c r="AH653" s="743"/>
      <c r="AI653" s="743"/>
      <c r="AJ653" s="743"/>
      <c r="AK653" s="743"/>
      <c r="AL653" s="743"/>
      <c r="AM653" s="743"/>
    </row>
    <row r="654" spans="1:39" ht="17.25">
      <c r="A654" s="752"/>
      <c r="B654" s="752"/>
      <c r="C654" s="752"/>
      <c r="D654" s="752"/>
      <c r="E654" s="752"/>
      <c r="F654" s="752"/>
      <c r="G654" s="752"/>
      <c r="H654" s="752"/>
      <c r="I654" s="829"/>
      <c r="J654" s="752"/>
      <c r="K654" s="752"/>
      <c r="L654" s="743"/>
      <c r="M654" s="743"/>
      <c r="N654" s="743"/>
      <c r="O654" s="743"/>
      <c r="P654" s="743"/>
      <c r="Q654" s="743"/>
      <c r="R654" s="743"/>
      <c r="S654" s="743"/>
      <c r="T654" s="743"/>
      <c r="U654" s="743"/>
      <c r="V654" s="743"/>
      <c r="W654" s="743"/>
      <c r="X654" s="743"/>
      <c r="Y654" s="743"/>
      <c r="Z654" s="743"/>
      <c r="AA654" s="743"/>
      <c r="AB654" s="743"/>
      <c r="AC654" s="743"/>
      <c r="AD654" s="743"/>
      <c r="AE654" s="743"/>
      <c r="AF654" s="743"/>
      <c r="AG654" s="743"/>
      <c r="AH654" s="743"/>
      <c r="AI654" s="743"/>
      <c r="AJ654" s="743"/>
      <c r="AK654" s="743"/>
      <c r="AL654" s="743"/>
      <c r="AM654" s="743"/>
    </row>
    <row r="655" spans="1:39" ht="17.25">
      <c r="A655" s="752"/>
      <c r="B655" s="752"/>
      <c r="C655" s="752"/>
      <c r="D655" s="752"/>
      <c r="E655" s="752"/>
      <c r="F655" s="752"/>
      <c r="G655" s="752"/>
      <c r="H655" s="752"/>
      <c r="I655" s="829"/>
      <c r="J655" s="752"/>
      <c r="K655" s="752"/>
      <c r="L655" s="743"/>
      <c r="M655" s="743"/>
      <c r="N655" s="743"/>
      <c r="O655" s="743"/>
      <c r="P655" s="743"/>
      <c r="Q655" s="743"/>
      <c r="R655" s="743"/>
      <c r="S655" s="743"/>
      <c r="T655" s="743"/>
      <c r="U655" s="743"/>
      <c r="V655" s="743"/>
      <c r="W655" s="743"/>
      <c r="X655" s="743"/>
      <c r="Y655" s="743"/>
      <c r="Z655" s="743"/>
      <c r="AA655" s="743"/>
      <c r="AB655" s="743"/>
      <c r="AC655" s="743"/>
      <c r="AD655" s="743"/>
      <c r="AE655" s="743"/>
      <c r="AF655" s="743"/>
      <c r="AG655" s="743"/>
      <c r="AH655" s="743"/>
      <c r="AI655" s="743"/>
      <c r="AJ655" s="743"/>
      <c r="AK655" s="743"/>
      <c r="AL655" s="743"/>
      <c r="AM655" s="743"/>
    </row>
    <row r="656" spans="1:39" ht="17.25">
      <c r="A656" s="752"/>
      <c r="B656" s="752"/>
      <c r="C656" s="752"/>
      <c r="D656" s="752"/>
      <c r="E656" s="752"/>
      <c r="F656" s="752"/>
      <c r="G656" s="752"/>
      <c r="H656" s="752"/>
      <c r="I656" s="829"/>
      <c r="J656" s="752"/>
      <c r="K656" s="752"/>
      <c r="L656" s="743"/>
      <c r="M656" s="743"/>
      <c r="N656" s="743"/>
      <c r="O656" s="743"/>
      <c r="P656" s="743"/>
      <c r="Q656" s="743"/>
      <c r="R656" s="743"/>
      <c r="S656" s="743"/>
      <c r="T656" s="743"/>
      <c r="U656" s="743"/>
      <c r="V656" s="743"/>
      <c r="W656" s="743"/>
      <c r="X656" s="743"/>
      <c r="Y656" s="743"/>
      <c r="Z656" s="743"/>
      <c r="AA656" s="743"/>
      <c r="AB656" s="743"/>
      <c r="AC656" s="743"/>
      <c r="AD656" s="743"/>
      <c r="AE656" s="743"/>
      <c r="AF656" s="743"/>
      <c r="AG656" s="743"/>
      <c r="AH656" s="743"/>
      <c r="AI656" s="743"/>
      <c r="AJ656" s="743"/>
      <c r="AK656" s="743"/>
      <c r="AL656" s="743"/>
      <c r="AM656" s="743"/>
    </row>
    <row r="657" spans="1:39" ht="17.25">
      <c r="A657" s="752"/>
      <c r="B657" s="752"/>
      <c r="C657" s="752"/>
      <c r="D657" s="752"/>
      <c r="E657" s="752"/>
      <c r="F657" s="752"/>
      <c r="G657" s="752"/>
      <c r="H657" s="752"/>
      <c r="I657" s="829"/>
      <c r="J657" s="752"/>
      <c r="K657" s="752"/>
      <c r="L657" s="743"/>
      <c r="M657" s="743"/>
      <c r="N657" s="743"/>
      <c r="O657" s="743"/>
      <c r="P657" s="743"/>
      <c r="Q657" s="743"/>
      <c r="R657" s="743"/>
      <c r="S657" s="743"/>
      <c r="T657" s="743"/>
      <c r="U657" s="743"/>
      <c r="V657" s="743"/>
      <c r="W657" s="743"/>
      <c r="X657" s="743"/>
      <c r="Y657" s="743"/>
      <c r="Z657" s="743"/>
      <c r="AA657" s="743"/>
      <c r="AB657" s="743"/>
      <c r="AC657" s="743"/>
      <c r="AD657" s="743"/>
      <c r="AE657" s="743"/>
      <c r="AF657" s="743"/>
      <c r="AG657" s="743"/>
      <c r="AH657" s="743"/>
      <c r="AI657" s="743"/>
      <c r="AJ657" s="743"/>
      <c r="AK657" s="743"/>
      <c r="AL657" s="743"/>
      <c r="AM657" s="743"/>
    </row>
    <row r="658" spans="1:39" ht="17.25">
      <c r="A658" s="752"/>
      <c r="B658" s="752"/>
      <c r="C658" s="752"/>
      <c r="D658" s="752"/>
      <c r="E658" s="752"/>
      <c r="F658" s="752"/>
      <c r="G658" s="752"/>
      <c r="H658" s="752"/>
      <c r="I658" s="829"/>
      <c r="J658" s="752"/>
      <c r="K658" s="752"/>
      <c r="L658" s="743"/>
      <c r="M658" s="743"/>
      <c r="N658" s="743"/>
      <c r="O658" s="743"/>
      <c r="P658" s="743"/>
      <c r="Q658" s="743"/>
      <c r="R658" s="743"/>
      <c r="S658" s="743"/>
      <c r="T658" s="743"/>
      <c r="U658" s="743"/>
      <c r="V658" s="743"/>
      <c r="W658" s="743"/>
      <c r="X658" s="743"/>
      <c r="Y658" s="743"/>
      <c r="Z658" s="743"/>
      <c r="AA658" s="743"/>
      <c r="AB658" s="743"/>
      <c r="AC658" s="743"/>
      <c r="AD658" s="743"/>
      <c r="AE658" s="743"/>
      <c r="AF658" s="743"/>
      <c r="AG658" s="743"/>
      <c r="AH658" s="743"/>
      <c r="AI658" s="743"/>
      <c r="AJ658" s="743"/>
      <c r="AK658" s="743"/>
      <c r="AL658" s="743"/>
      <c r="AM658" s="743"/>
    </row>
    <row r="659" spans="1:39" ht="17.25">
      <c r="A659" s="752"/>
      <c r="B659" s="752"/>
      <c r="C659" s="752"/>
      <c r="D659" s="752"/>
      <c r="E659" s="752"/>
      <c r="F659" s="752"/>
      <c r="G659" s="752"/>
      <c r="H659" s="752"/>
      <c r="I659" s="829"/>
      <c r="J659" s="752"/>
      <c r="K659" s="752"/>
      <c r="L659" s="743"/>
      <c r="M659" s="743"/>
      <c r="N659" s="743"/>
      <c r="O659" s="743"/>
      <c r="P659" s="743"/>
      <c r="Q659" s="743"/>
      <c r="R659" s="743"/>
      <c r="S659" s="743"/>
      <c r="T659" s="743"/>
      <c r="U659" s="743"/>
      <c r="V659" s="743"/>
      <c r="W659" s="743"/>
      <c r="X659" s="743"/>
      <c r="Y659" s="743"/>
      <c r="Z659" s="743"/>
      <c r="AA659" s="743"/>
      <c r="AB659" s="743"/>
      <c r="AC659" s="743"/>
      <c r="AD659" s="743"/>
      <c r="AE659" s="743"/>
      <c r="AF659" s="743"/>
      <c r="AG659" s="743"/>
      <c r="AH659" s="743"/>
      <c r="AI659" s="743"/>
      <c r="AJ659" s="743"/>
      <c r="AK659" s="743"/>
      <c r="AL659" s="743"/>
      <c r="AM659" s="743"/>
    </row>
    <row r="660" spans="1:39" ht="17.25">
      <c r="A660" s="752"/>
      <c r="B660" s="752"/>
      <c r="C660" s="752"/>
      <c r="D660" s="752"/>
      <c r="E660" s="752"/>
      <c r="F660" s="752"/>
      <c r="G660" s="752"/>
      <c r="H660" s="752"/>
      <c r="I660" s="829"/>
      <c r="J660" s="752"/>
      <c r="K660" s="752"/>
      <c r="L660" s="743"/>
      <c r="M660" s="743"/>
      <c r="N660" s="743"/>
      <c r="O660" s="743"/>
      <c r="P660" s="743"/>
      <c r="Q660" s="743"/>
      <c r="R660" s="743"/>
      <c r="S660" s="743"/>
      <c r="T660" s="743"/>
      <c r="U660" s="743"/>
      <c r="V660" s="743"/>
      <c r="W660" s="743"/>
      <c r="X660" s="743"/>
      <c r="Y660" s="743"/>
      <c r="Z660" s="743"/>
      <c r="AA660" s="743"/>
      <c r="AB660" s="743"/>
      <c r="AC660" s="743"/>
      <c r="AD660" s="743"/>
      <c r="AE660" s="743"/>
      <c r="AF660" s="743"/>
      <c r="AG660" s="743"/>
      <c r="AH660" s="743"/>
      <c r="AI660" s="743"/>
      <c r="AJ660" s="743"/>
      <c r="AK660" s="743"/>
      <c r="AL660" s="743"/>
      <c r="AM660" s="743"/>
    </row>
    <row r="661" spans="1:39" ht="17.25">
      <c r="A661" s="752"/>
      <c r="B661" s="752"/>
      <c r="C661" s="752"/>
      <c r="D661" s="752"/>
      <c r="E661" s="752"/>
      <c r="F661" s="752"/>
      <c r="G661" s="752"/>
      <c r="H661" s="752"/>
      <c r="I661" s="829"/>
      <c r="J661" s="752"/>
      <c r="K661" s="752"/>
      <c r="L661" s="743"/>
      <c r="M661" s="743"/>
      <c r="N661" s="743"/>
      <c r="O661" s="743"/>
      <c r="P661" s="743"/>
      <c r="Q661" s="743"/>
      <c r="R661" s="743"/>
      <c r="S661" s="743"/>
      <c r="T661" s="743"/>
      <c r="U661" s="743"/>
      <c r="V661" s="743"/>
      <c r="W661" s="743"/>
      <c r="X661" s="743"/>
      <c r="Y661" s="743"/>
      <c r="Z661" s="743"/>
      <c r="AA661" s="743"/>
      <c r="AB661" s="743"/>
      <c r="AC661" s="743"/>
      <c r="AD661" s="743"/>
      <c r="AE661" s="743"/>
      <c r="AF661" s="743"/>
      <c r="AG661" s="743"/>
      <c r="AH661" s="743"/>
      <c r="AI661" s="743"/>
      <c r="AJ661" s="743"/>
      <c r="AK661" s="743"/>
      <c r="AL661" s="743"/>
      <c r="AM661" s="743"/>
    </row>
    <row r="662" spans="1:39" ht="17.25">
      <c r="A662" s="752"/>
      <c r="B662" s="752"/>
      <c r="C662" s="752"/>
      <c r="D662" s="752"/>
      <c r="E662" s="752"/>
      <c r="F662" s="752"/>
      <c r="G662" s="752"/>
      <c r="H662" s="752"/>
      <c r="I662" s="829"/>
      <c r="J662" s="752"/>
      <c r="K662" s="752"/>
      <c r="L662" s="743"/>
      <c r="M662" s="743"/>
      <c r="N662" s="743"/>
      <c r="O662" s="743"/>
      <c r="P662" s="743"/>
      <c r="Q662" s="743"/>
      <c r="R662" s="743"/>
      <c r="S662" s="743"/>
      <c r="T662" s="743"/>
      <c r="U662" s="743"/>
      <c r="V662" s="743"/>
      <c r="W662" s="743"/>
      <c r="X662" s="743"/>
      <c r="Y662" s="743"/>
      <c r="Z662" s="743"/>
      <c r="AA662" s="743"/>
      <c r="AB662" s="743"/>
      <c r="AC662" s="743"/>
      <c r="AD662" s="743"/>
      <c r="AE662" s="743"/>
      <c r="AF662" s="743"/>
      <c r="AG662" s="743"/>
      <c r="AH662" s="743"/>
      <c r="AI662" s="743"/>
      <c r="AJ662" s="743"/>
      <c r="AK662" s="743"/>
      <c r="AL662" s="743"/>
      <c r="AM662" s="743"/>
    </row>
    <row r="663" spans="1:39" ht="17.25">
      <c r="A663" s="752"/>
      <c r="B663" s="752"/>
      <c r="C663" s="752"/>
      <c r="D663" s="752"/>
      <c r="E663" s="752"/>
      <c r="F663" s="752"/>
      <c r="G663" s="752"/>
      <c r="H663" s="752"/>
      <c r="I663" s="829"/>
      <c r="J663" s="752"/>
      <c r="K663" s="752"/>
      <c r="L663" s="743"/>
      <c r="M663" s="743"/>
      <c r="N663" s="743"/>
      <c r="O663" s="743"/>
      <c r="P663" s="743"/>
      <c r="Q663" s="743"/>
      <c r="R663" s="743"/>
      <c r="S663" s="743"/>
      <c r="T663" s="743"/>
      <c r="U663" s="743"/>
      <c r="V663" s="743"/>
      <c r="W663" s="743"/>
      <c r="X663" s="743"/>
      <c r="Y663" s="743"/>
      <c r="Z663" s="743"/>
      <c r="AA663" s="743"/>
      <c r="AB663" s="743"/>
      <c r="AC663" s="743"/>
      <c r="AD663" s="743"/>
      <c r="AE663" s="743"/>
      <c r="AF663" s="743"/>
      <c r="AG663" s="743"/>
      <c r="AH663" s="743"/>
      <c r="AI663" s="743"/>
      <c r="AJ663" s="743"/>
      <c r="AK663" s="743"/>
      <c r="AL663" s="743"/>
      <c r="AM663" s="743"/>
    </row>
    <row r="664" spans="1:39" ht="17.25">
      <c r="A664" s="752"/>
      <c r="B664" s="752"/>
      <c r="C664" s="752"/>
      <c r="D664" s="752"/>
      <c r="E664" s="752"/>
      <c r="F664" s="752"/>
      <c r="G664" s="752"/>
      <c r="H664" s="752"/>
      <c r="I664" s="829"/>
      <c r="J664" s="752"/>
      <c r="K664" s="752"/>
      <c r="L664" s="743"/>
      <c r="M664" s="743"/>
      <c r="N664" s="743"/>
      <c r="O664" s="743"/>
      <c r="P664" s="743"/>
      <c r="Q664" s="743"/>
      <c r="R664" s="743"/>
      <c r="S664" s="743"/>
      <c r="T664" s="743"/>
      <c r="U664" s="743"/>
      <c r="V664" s="743"/>
      <c r="W664" s="743"/>
      <c r="X664" s="743"/>
      <c r="Y664" s="743"/>
      <c r="Z664" s="743"/>
      <c r="AA664" s="743"/>
      <c r="AB664" s="743"/>
      <c r="AC664" s="743"/>
      <c r="AD664" s="743"/>
      <c r="AE664" s="743"/>
      <c r="AF664" s="743"/>
      <c r="AG664" s="743"/>
      <c r="AH664" s="743"/>
      <c r="AI664" s="743"/>
      <c r="AJ664" s="743"/>
      <c r="AK664" s="743"/>
      <c r="AL664" s="743"/>
      <c r="AM664" s="743"/>
    </row>
    <row r="665" spans="1:39" ht="17.25">
      <c r="A665" s="752"/>
      <c r="B665" s="752"/>
      <c r="C665" s="752"/>
      <c r="D665" s="752"/>
      <c r="E665" s="752"/>
      <c r="F665" s="752"/>
      <c r="G665" s="752"/>
      <c r="H665" s="752"/>
      <c r="I665" s="829"/>
      <c r="J665" s="752"/>
      <c r="K665" s="752"/>
      <c r="L665" s="743"/>
      <c r="M665" s="743"/>
      <c r="N665" s="743"/>
      <c r="O665" s="743"/>
      <c r="P665" s="743"/>
      <c r="Q665" s="743"/>
      <c r="R665" s="743"/>
      <c r="S665" s="743"/>
      <c r="T665" s="743"/>
      <c r="U665" s="743"/>
      <c r="V665" s="743"/>
      <c r="W665" s="743"/>
      <c r="X665" s="743"/>
      <c r="Y665" s="743"/>
      <c r="Z665" s="743"/>
      <c r="AA665" s="743"/>
      <c r="AB665" s="743"/>
      <c r="AC665" s="743"/>
      <c r="AD665" s="743"/>
      <c r="AE665" s="743"/>
      <c r="AF665" s="743"/>
      <c r="AG665" s="743"/>
      <c r="AH665" s="743"/>
      <c r="AI665" s="743"/>
      <c r="AJ665" s="743"/>
      <c r="AK665" s="743"/>
      <c r="AL665" s="743"/>
      <c r="AM665" s="743"/>
    </row>
    <row r="666" spans="1:39" ht="17.25">
      <c r="A666" s="752"/>
      <c r="B666" s="752"/>
      <c r="C666" s="752"/>
      <c r="D666" s="752"/>
      <c r="E666" s="752"/>
      <c r="F666" s="752"/>
      <c r="G666" s="752"/>
      <c r="H666" s="752"/>
      <c r="I666" s="829"/>
      <c r="J666" s="752"/>
      <c r="K666" s="752"/>
      <c r="L666" s="743"/>
      <c r="M666" s="743"/>
      <c r="N666" s="743"/>
      <c r="O666" s="743"/>
      <c r="P666" s="743"/>
      <c r="Q666" s="743"/>
      <c r="R666" s="743"/>
      <c r="S666" s="743"/>
      <c r="T666" s="743"/>
      <c r="U666" s="743"/>
      <c r="V666" s="743"/>
      <c r="W666" s="743"/>
      <c r="X666" s="743"/>
      <c r="Y666" s="743"/>
      <c r="Z666" s="743"/>
      <c r="AA666" s="743"/>
      <c r="AB666" s="743"/>
      <c r="AC666" s="743"/>
      <c r="AD666" s="743"/>
      <c r="AE666" s="743"/>
      <c r="AF666" s="743"/>
      <c r="AG666" s="743"/>
      <c r="AH666" s="743"/>
      <c r="AI666" s="743"/>
      <c r="AJ666" s="743"/>
      <c r="AK666" s="743"/>
      <c r="AL666" s="743"/>
      <c r="AM666" s="743"/>
    </row>
    <row r="667" spans="1:39" ht="17.25">
      <c r="A667" s="752"/>
      <c r="B667" s="752"/>
      <c r="C667" s="752"/>
      <c r="D667" s="752"/>
      <c r="E667" s="752"/>
      <c r="F667" s="752"/>
      <c r="G667" s="752"/>
      <c r="H667" s="752"/>
      <c r="I667" s="829"/>
      <c r="J667" s="752"/>
      <c r="K667" s="752"/>
      <c r="L667" s="743"/>
      <c r="M667" s="743"/>
      <c r="N667" s="743"/>
      <c r="O667" s="743"/>
      <c r="P667" s="743"/>
      <c r="Q667" s="743"/>
      <c r="R667" s="743"/>
      <c r="S667" s="743"/>
      <c r="T667" s="743"/>
      <c r="U667" s="743"/>
      <c r="V667" s="743"/>
      <c r="W667" s="743"/>
      <c r="X667" s="743"/>
      <c r="Y667" s="743"/>
      <c r="Z667" s="743"/>
      <c r="AA667" s="743"/>
      <c r="AB667" s="743"/>
      <c r="AC667" s="743"/>
      <c r="AD667" s="743"/>
      <c r="AE667" s="743"/>
      <c r="AF667" s="743"/>
      <c r="AG667" s="743"/>
      <c r="AH667" s="743"/>
      <c r="AI667" s="743"/>
      <c r="AJ667" s="743"/>
      <c r="AK667" s="743"/>
      <c r="AL667" s="743"/>
      <c r="AM667" s="743"/>
    </row>
    <row r="668" spans="1:39" ht="17.25">
      <c r="A668" s="752"/>
      <c r="B668" s="752"/>
      <c r="C668" s="752"/>
      <c r="D668" s="752"/>
      <c r="E668" s="752"/>
      <c r="F668" s="752"/>
      <c r="G668" s="752"/>
      <c r="H668" s="752"/>
      <c r="I668" s="829"/>
      <c r="J668" s="752"/>
      <c r="K668" s="752"/>
      <c r="L668" s="743"/>
      <c r="M668" s="743"/>
      <c r="N668" s="743"/>
      <c r="O668" s="743"/>
      <c r="P668" s="743"/>
      <c r="Q668" s="743"/>
      <c r="R668" s="743"/>
      <c r="S668" s="743"/>
      <c r="T668" s="743"/>
      <c r="U668" s="743"/>
      <c r="V668" s="743"/>
      <c r="W668" s="743"/>
      <c r="X668" s="743"/>
      <c r="Y668" s="743"/>
      <c r="Z668" s="743"/>
      <c r="AA668" s="743"/>
      <c r="AB668" s="743"/>
      <c r="AC668" s="743"/>
      <c r="AD668" s="743"/>
      <c r="AE668" s="743"/>
      <c r="AF668" s="743"/>
      <c r="AG668" s="743"/>
      <c r="AH668" s="743"/>
      <c r="AI668" s="743"/>
      <c r="AJ668" s="743"/>
      <c r="AK668" s="743"/>
      <c r="AL668" s="743"/>
      <c r="AM668" s="743"/>
    </row>
    <row r="669" spans="1:39" ht="17.25">
      <c r="A669" s="752"/>
      <c r="B669" s="752"/>
      <c r="C669" s="752"/>
      <c r="D669" s="752"/>
      <c r="E669" s="752"/>
      <c r="F669" s="752"/>
      <c r="G669" s="752"/>
      <c r="H669" s="752"/>
      <c r="I669" s="829"/>
      <c r="J669" s="752"/>
      <c r="K669" s="752"/>
      <c r="L669" s="743"/>
      <c r="M669" s="743"/>
      <c r="N669" s="743"/>
      <c r="O669" s="743"/>
      <c r="P669" s="743"/>
      <c r="Q669" s="743"/>
      <c r="R669" s="743"/>
      <c r="S669" s="743"/>
      <c r="T669" s="743"/>
      <c r="U669" s="743"/>
      <c r="V669" s="743"/>
      <c r="W669" s="743"/>
      <c r="X669" s="743"/>
      <c r="Y669" s="743"/>
      <c r="Z669" s="743"/>
      <c r="AA669" s="743"/>
      <c r="AB669" s="743"/>
      <c r="AC669" s="743"/>
      <c r="AD669" s="743"/>
      <c r="AE669" s="743"/>
      <c r="AF669" s="743"/>
      <c r="AG669" s="743"/>
      <c r="AH669" s="743"/>
      <c r="AI669" s="743"/>
      <c r="AJ669" s="743"/>
      <c r="AK669" s="743"/>
      <c r="AL669" s="743"/>
      <c r="AM669" s="743"/>
    </row>
    <row r="670" spans="1:39" ht="17.25">
      <c r="A670" s="752"/>
      <c r="B670" s="752"/>
      <c r="C670" s="752"/>
      <c r="D670" s="752"/>
      <c r="E670" s="752"/>
      <c r="F670" s="752"/>
      <c r="G670" s="752"/>
      <c r="H670" s="752"/>
      <c r="I670" s="829"/>
      <c r="J670" s="752"/>
      <c r="K670" s="752"/>
      <c r="L670" s="743"/>
      <c r="M670" s="743"/>
      <c r="N670" s="743"/>
      <c r="O670" s="743"/>
      <c r="P670" s="743"/>
      <c r="Q670" s="743"/>
      <c r="R670" s="743"/>
      <c r="S670" s="743"/>
      <c r="T670" s="743"/>
      <c r="U670" s="743"/>
      <c r="V670" s="743"/>
      <c r="W670" s="743"/>
      <c r="X670" s="743"/>
      <c r="Y670" s="743"/>
      <c r="Z670" s="743"/>
      <c r="AA670" s="743"/>
      <c r="AB670" s="743"/>
      <c r="AC670" s="743"/>
      <c r="AD670" s="743"/>
      <c r="AE670" s="743"/>
      <c r="AF670" s="743"/>
      <c r="AG670" s="743"/>
      <c r="AH670" s="743"/>
      <c r="AI670" s="743"/>
      <c r="AJ670" s="743"/>
      <c r="AK670" s="743"/>
      <c r="AL670" s="743"/>
      <c r="AM670" s="743"/>
    </row>
    <row r="671" spans="1:39" ht="17.25">
      <c r="A671" s="752"/>
      <c r="B671" s="752"/>
      <c r="C671" s="752"/>
      <c r="D671" s="752"/>
      <c r="E671" s="752"/>
      <c r="F671" s="752"/>
      <c r="G671" s="752"/>
      <c r="H671" s="752"/>
      <c r="I671" s="829"/>
      <c r="J671" s="752"/>
      <c r="K671" s="752"/>
      <c r="L671" s="743"/>
      <c r="M671" s="743"/>
      <c r="N671" s="743"/>
      <c r="O671" s="743"/>
      <c r="P671" s="743"/>
      <c r="Q671" s="743"/>
      <c r="R671" s="743"/>
      <c r="S671" s="743"/>
      <c r="T671" s="743"/>
      <c r="U671" s="743"/>
      <c r="V671" s="743"/>
      <c r="W671" s="743"/>
      <c r="X671" s="743"/>
      <c r="Y671" s="743"/>
      <c r="Z671" s="743"/>
      <c r="AA671" s="743"/>
      <c r="AB671" s="743"/>
      <c r="AC671" s="743"/>
      <c r="AD671" s="743"/>
      <c r="AE671" s="743"/>
      <c r="AF671" s="743"/>
      <c r="AG671" s="743"/>
      <c r="AH671" s="743"/>
      <c r="AI671" s="743"/>
      <c r="AJ671" s="743"/>
      <c r="AK671" s="743"/>
      <c r="AL671" s="743"/>
      <c r="AM671" s="743"/>
    </row>
    <row r="672" spans="1:39" ht="17.25">
      <c r="A672" s="752"/>
      <c r="B672" s="752"/>
      <c r="C672" s="752"/>
      <c r="D672" s="752"/>
      <c r="E672" s="752"/>
      <c r="F672" s="752"/>
      <c r="G672" s="752"/>
      <c r="H672" s="752"/>
      <c r="I672" s="829"/>
      <c r="J672" s="752"/>
      <c r="K672" s="752"/>
      <c r="L672" s="743"/>
      <c r="M672" s="743"/>
      <c r="N672" s="743"/>
      <c r="O672" s="743"/>
      <c r="P672" s="743"/>
      <c r="Q672" s="743"/>
      <c r="R672" s="743"/>
      <c r="S672" s="743"/>
      <c r="T672" s="743"/>
      <c r="U672" s="743"/>
      <c r="V672" s="743"/>
      <c r="W672" s="743"/>
      <c r="X672" s="743"/>
      <c r="Y672" s="743"/>
      <c r="Z672" s="743"/>
      <c r="AA672" s="743"/>
      <c r="AB672" s="743"/>
      <c r="AC672" s="743"/>
      <c r="AD672" s="743"/>
      <c r="AE672" s="743"/>
      <c r="AF672" s="743"/>
      <c r="AG672" s="743"/>
      <c r="AH672" s="743"/>
      <c r="AI672" s="743"/>
      <c r="AJ672" s="743"/>
      <c r="AK672" s="743"/>
      <c r="AL672" s="743"/>
      <c r="AM672" s="743"/>
    </row>
    <row r="673" spans="1:39" ht="17.25">
      <c r="A673" s="752"/>
      <c r="B673" s="752"/>
      <c r="C673" s="752"/>
      <c r="D673" s="752"/>
      <c r="E673" s="752"/>
      <c r="F673" s="752"/>
      <c r="G673" s="752"/>
      <c r="H673" s="752"/>
      <c r="I673" s="829"/>
      <c r="J673" s="752"/>
      <c r="K673" s="752"/>
      <c r="L673" s="743"/>
      <c r="M673" s="743"/>
      <c r="N673" s="743"/>
      <c r="O673" s="743"/>
      <c r="P673" s="743"/>
      <c r="Q673" s="743"/>
      <c r="R673" s="743"/>
      <c r="S673" s="743"/>
      <c r="T673" s="743"/>
      <c r="U673" s="743"/>
      <c r="V673" s="743"/>
      <c r="W673" s="743"/>
      <c r="X673" s="743"/>
      <c r="Y673" s="743"/>
      <c r="Z673" s="743"/>
      <c r="AA673" s="743"/>
      <c r="AB673" s="743"/>
      <c r="AC673" s="743"/>
      <c r="AD673" s="743"/>
      <c r="AE673" s="743"/>
      <c r="AF673" s="743"/>
      <c r="AG673" s="743"/>
      <c r="AH673" s="743"/>
      <c r="AI673" s="743"/>
      <c r="AJ673" s="743"/>
      <c r="AK673" s="743"/>
      <c r="AL673" s="743"/>
      <c r="AM673" s="743"/>
    </row>
    <row r="674" spans="1:39" ht="17.25">
      <c r="A674" s="752"/>
      <c r="B674" s="752"/>
      <c r="C674" s="752"/>
      <c r="D674" s="752"/>
      <c r="E674" s="752"/>
      <c r="F674" s="752"/>
      <c r="G674" s="752"/>
      <c r="H674" s="752"/>
      <c r="I674" s="829"/>
      <c r="J674" s="752"/>
      <c r="K674" s="752"/>
      <c r="L674" s="743"/>
      <c r="M674" s="743"/>
      <c r="N674" s="743"/>
      <c r="O674" s="743"/>
      <c r="P674" s="743"/>
      <c r="Q674" s="743"/>
      <c r="R674" s="743"/>
      <c r="S674" s="743"/>
      <c r="T674" s="743"/>
      <c r="U674" s="743"/>
      <c r="V674" s="743"/>
      <c r="W674" s="743"/>
      <c r="X674" s="743"/>
      <c r="Y674" s="743"/>
      <c r="Z674" s="743"/>
      <c r="AA674" s="743"/>
      <c r="AB674" s="743"/>
      <c r="AC674" s="743"/>
      <c r="AD674" s="743"/>
      <c r="AE674" s="743"/>
      <c r="AF674" s="743"/>
      <c r="AG674" s="743"/>
      <c r="AH674" s="743"/>
      <c r="AI674" s="743"/>
      <c r="AJ674" s="743"/>
      <c r="AK674" s="743"/>
      <c r="AL674" s="743"/>
      <c r="AM674" s="743"/>
    </row>
    <row r="675" spans="1:39" ht="17.25">
      <c r="A675" s="752"/>
      <c r="B675" s="752"/>
      <c r="C675" s="752"/>
      <c r="D675" s="752"/>
      <c r="E675" s="752"/>
      <c r="F675" s="752"/>
      <c r="G675" s="752"/>
      <c r="H675" s="752"/>
      <c r="I675" s="829"/>
      <c r="J675" s="752"/>
      <c r="K675" s="752"/>
      <c r="L675" s="743"/>
      <c r="M675" s="743"/>
      <c r="N675" s="743"/>
      <c r="O675" s="743"/>
      <c r="P675" s="743"/>
      <c r="Q675" s="743"/>
      <c r="R675" s="743"/>
      <c r="S675" s="743"/>
      <c r="T675" s="743"/>
      <c r="U675" s="743"/>
      <c r="V675" s="743"/>
      <c r="W675" s="743"/>
      <c r="X675" s="743"/>
      <c r="Y675" s="743"/>
      <c r="Z675" s="743"/>
      <c r="AA675" s="743"/>
      <c r="AB675" s="743"/>
      <c r="AC675" s="743"/>
      <c r="AD675" s="743"/>
      <c r="AE675" s="743"/>
      <c r="AF675" s="743"/>
      <c r="AG675" s="743"/>
      <c r="AH675" s="743"/>
      <c r="AI675" s="743"/>
      <c r="AJ675" s="743"/>
      <c r="AK675" s="743"/>
      <c r="AL675" s="743"/>
      <c r="AM675" s="743"/>
    </row>
    <row r="676" spans="1:39" ht="17.25">
      <c r="A676" s="752"/>
      <c r="B676" s="752"/>
      <c r="C676" s="752"/>
      <c r="D676" s="752"/>
      <c r="E676" s="752"/>
      <c r="F676" s="752"/>
      <c r="G676" s="752"/>
      <c r="H676" s="752"/>
      <c r="I676" s="829"/>
      <c r="J676" s="752"/>
      <c r="K676" s="752"/>
      <c r="L676" s="743"/>
      <c r="M676" s="743"/>
      <c r="N676" s="743"/>
      <c r="O676" s="743"/>
      <c r="P676" s="743"/>
      <c r="Q676" s="743"/>
      <c r="R676" s="743"/>
      <c r="S676" s="743"/>
      <c r="T676" s="743"/>
      <c r="U676" s="743"/>
      <c r="V676" s="743"/>
      <c r="W676" s="743"/>
      <c r="X676" s="743"/>
      <c r="Y676" s="743"/>
      <c r="Z676" s="743"/>
      <c r="AA676" s="743"/>
      <c r="AB676" s="743"/>
      <c r="AC676" s="743"/>
      <c r="AD676" s="743"/>
      <c r="AE676" s="743"/>
      <c r="AF676" s="743"/>
      <c r="AG676" s="743"/>
      <c r="AH676" s="743"/>
      <c r="AI676" s="743"/>
      <c r="AJ676" s="743"/>
      <c r="AK676" s="743"/>
      <c r="AL676" s="743"/>
      <c r="AM676" s="743"/>
    </row>
    <row r="677" spans="1:39" ht="17.25">
      <c r="A677" s="752"/>
      <c r="B677" s="752"/>
      <c r="C677" s="752"/>
      <c r="D677" s="752"/>
      <c r="E677" s="752"/>
      <c r="F677" s="752"/>
      <c r="G677" s="752"/>
      <c r="H677" s="752"/>
      <c r="I677" s="829"/>
      <c r="J677" s="752"/>
      <c r="K677" s="752"/>
      <c r="L677" s="743"/>
      <c r="M677" s="743"/>
      <c r="N677" s="743"/>
      <c r="O677" s="743"/>
      <c r="P677" s="743"/>
      <c r="Q677" s="743"/>
      <c r="R677" s="743"/>
      <c r="S677" s="743"/>
      <c r="T677" s="743"/>
      <c r="U677" s="743"/>
      <c r="V677" s="743"/>
      <c r="W677" s="743"/>
      <c r="X677" s="743"/>
      <c r="Y677" s="743"/>
      <c r="Z677" s="743"/>
      <c r="AA677" s="743"/>
      <c r="AB677" s="743"/>
      <c r="AC677" s="743"/>
      <c r="AD677" s="743"/>
      <c r="AE677" s="743"/>
      <c r="AF677" s="743"/>
      <c r="AG677" s="743"/>
      <c r="AH677" s="743"/>
      <c r="AI677" s="743"/>
      <c r="AJ677" s="743"/>
      <c r="AK677" s="743"/>
      <c r="AL677" s="743"/>
      <c r="AM677" s="743"/>
    </row>
    <row r="678" spans="1:39" ht="17.25">
      <c r="A678" s="752"/>
      <c r="B678" s="752"/>
      <c r="C678" s="752"/>
      <c r="D678" s="752"/>
      <c r="E678" s="752"/>
      <c r="F678" s="752"/>
      <c r="G678" s="752"/>
      <c r="H678" s="752"/>
      <c r="I678" s="829"/>
      <c r="J678" s="752"/>
      <c r="K678" s="752"/>
      <c r="L678" s="743"/>
      <c r="M678" s="743"/>
      <c r="N678" s="743"/>
      <c r="O678" s="743"/>
      <c r="P678" s="743"/>
      <c r="Q678" s="743"/>
      <c r="R678" s="743"/>
      <c r="S678" s="743"/>
      <c r="T678" s="743"/>
      <c r="U678" s="743"/>
      <c r="V678" s="743"/>
      <c r="W678" s="743"/>
      <c r="X678" s="743"/>
      <c r="Y678" s="743"/>
      <c r="Z678" s="743"/>
      <c r="AA678" s="743"/>
      <c r="AB678" s="743"/>
      <c r="AC678" s="743"/>
      <c r="AD678" s="743"/>
      <c r="AE678" s="743"/>
      <c r="AF678" s="743"/>
      <c r="AG678" s="743"/>
      <c r="AH678" s="743"/>
      <c r="AI678" s="743"/>
      <c r="AJ678" s="743"/>
      <c r="AK678" s="743"/>
      <c r="AL678" s="743"/>
      <c r="AM678" s="743"/>
    </row>
    <row r="679" spans="1:39" ht="17.25">
      <c r="A679" s="752"/>
      <c r="B679" s="752"/>
      <c r="C679" s="752"/>
      <c r="D679" s="752"/>
      <c r="E679" s="752"/>
      <c r="F679" s="752"/>
      <c r="G679" s="752"/>
      <c r="H679" s="752"/>
      <c r="I679" s="829"/>
      <c r="J679" s="752"/>
      <c r="K679" s="752"/>
      <c r="L679" s="743"/>
      <c r="M679" s="743"/>
      <c r="N679" s="743"/>
      <c r="O679" s="743"/>
      <c r="P679" s="743"/>
      <c r="Q679" s="743"/>
      <c r="R679" s="743"/>
      <c r="S679" s="743"/>
      <c r="T679" s="743"/>
      <c r="U679" s="743"/>
      <c r="V679" s="743"/>
      <c r="W679" s="743"/>
      <c r="X679" s="743"/>
      <c r="Y679" s="743"/>
      <c r="Z679" s="743"/>
      <c r="AA679" s="743"/>
      <c r="AB679" s="743"/>
      <c r="AC679" s="743"/>
      <c r="AD679" s="743"/>
      <c r="AE679" s="743"/>
      <c r="AF679" s="743"/>
      <c r="AG679" s="743"/>
      <c r="AH679" s="743"/>
      <c r="AI679" s="743"/>
      <c r="AJ679" s="743"/>
      <c r="AK679" s="743"/>
      <c r="AL679" s="743"/>
      <c r="AM679" s="743"/>
    </row>
    <row r="680" spans="1:39" ht="17.25">
      <c r="A680" s="752"/>
      <c r="B680" s="752"/>
      <c r="C680" s="752"/>
      <c r="D680" s="752"/>
      <c r="E680" s="752"/>
      <c r="F680" s="752"/>
      <c r="G680" s="752"/>
      <c r="H680" s="752"/>
      <c r="I680" s="829"/>
      <c r="J680" s="752"/>
      <c r="K680" s="752"/>
      <c r="L680" s="743"/>
      <c r="M680" s="743"/>
      <c r="N680" s="743"/>
      <c r="O680" s="743"/>
      <c r="P680" s="743"/>
      <c r="Q680" s="743"/>
      <c r="R680" s="743"/>
      <c r="S680" s="743"/>
      <c r="T680" s="743"/>
      <c r="U680" s="743"/>
      <c r="V680" s="743"/>
      <c r="W680" s="743"/>
      <c r="X680" s="743"/>
      <c r="Y680" s="743"/>
      <c r="Z680" s="743"/>
      <c r="AA680" s="743"/>
      <c r="AB680" s="743"/>
      <c r="AC680" s="743"/>
      <c r="AD680" s="743"/>
      <c r="AE680" s="743"/>
      <c r="AF680" s="743"/>
      <c r="AG680" s="743"/>
      <c r="AH680" s="743"/>
      <c r="AI680" s="743"/>
      <c r="AJ680" s="743"/>
      <c r="AK680" s="743"/>
      <c r="AL680" s="743"/>
      <c r="AM680" s="743"/>
    </row>
    <row r="681" spans="1:39" ht="17.25">
      <c r="A681" s="752"/>
      <c r="B681" s="752"/>
      <c r="C681" s="752"/>
      <c r="D681" s="752"/>
      <c r="E681" s="752"/>
      <c r="F681" s="752"/>
      <c r="G681" s="752"/>
      <c r="H681" s="752"/>
      <c r="I681" s="829"/>
      <c r="J681" s="752"/>
      <c r="K681" s="752"/>
      <c r="L681" s="743"/>
      <c r="M681" s="743"/>
      <c r="N681" s="743"/>
      <c r="O681" s="743"/>
      <c r="P681" s="743"/>
      <c r="Q681" s="743"/>
      <c r="R681" s="743"/>
      <c r="S681" s="743"/>
      <c r="T681" s="743"/>
      <c r="U681" s="743"/>
      <c r="V681" s="743"/>
      <c r="W681" s="743"/>
      <c r="X681" s="743"/>
      <c r="Y681" s="743"/>
      <c r="Z681" s="743"/>
      <c r="AA681" s="743"/>
      <c r="AB681" s="743"/>
      <c r="AC681" s="743"/>
      <c r="AD681" s="743"/>
      <c r="AE681" s="743"/>
      <c r="AF681" s="743"/>
      <c r="AG681" s="743"/>
      <c r="AH681" s="743"/>
      <c r="AI681" s="743"/>
      <c r="AJ681" s="743"/>
      <c r="AK681" s="743"/>
      <c r="AL681" s="743"/>
      <c r="AM681" s="743"/>
    </row>
    <row r="682" spans="1:39" ht="17.25">
      <c r="A682" s="752"/>
      <c r="B682" s="752"/>
      <c r="C682" s="752"/>
      <c r="D682" s="752"/>
      <c r="E682" s="752"/>
      <c r="F682" s="752"/>
      <c r="G682" s="752"/>
      <c r="H682" s="752"/>
      <c r="I682" s="829"/>
      <c r="J682" s="752"/>
      <c r="K682" s="752"/>
      <c r="L682" s="743"/>
      <c r="M682" s="743"/>
      <c r="N682" s="743"/>
      <c r="O682" s="743"/>
      <c r="P682" s="743"/>
      <c r="Q682" s="743"/>
      <c r="R682" s="743"/>
      <c r="S682" s="743"/>
      <c r="T682" s="743"/>
      <c r="U682" s="743"/>
      <c r="V682" s="743"/>
      <c r="W682" s="743"/>
      <c r="X682" s="743"/>
      <c r="Y682" s="743"/>
      <c r="Z682" s="743"/>
      <c r="AA682" s="743"/>
      <c r="AB682" s="743"/>
      <c r="AC682" s="743"/>
      <c r="AD682" s="743"/>
      <c r="AE682" s="743"/>
      <c r="AF682" s="743"/>
      <c r="AG682" s="743"/>
      <c r="AH682" s="743"/>
      <c r="AI682" s="743"/>
      <c r="AJ682" s="743"/>
      <c r="AK682" s="743"/>
      <c r="AL682" s="743"/>
      <c r="AM682" s="743"/>
    </row>
    <row r="683" spans="1:39" ht="17.25">
      <c r="A683" s="752"/>
      <c r="B683" s="752"/>
      <c r="C683" s="752"/>
      <c r="D683" s="752"/>
      <c r="E683" s="752"/>
      <c r="F683" s="752"/>
      <c r="G683" s="752"/>
      <c r="H683" s="752"/>
      <c r="I683" s="829"/>
      <c r="J683" s="752"/>
      <c r="K683" s="752"/>
      <c r="L683" s="743"/>
      <c r="M683" s="743"/>
      <c r="N683" s="743"/>
      <c r="O683" s="743"/>
      <c r="P683" s="743"/>
      <c r="Q683" s="743"/>
      <c r="R683" s="743"/>
      <c r="S683" s="743"/>
      <c r="T683" s="743"/>
      <c r="U683" s="743"/>
      <c r="V683" s="743"/>
      <c r="W683" s="743"/>
      <c r="X683" s="743"/>
      <c r="Y683" s="743"/>
      <c r="Z683" s="743"/>
      <c r="AA683" s="743"/>
      <c r="AB683" s="743"/>
      <c r="AC683" s="743"/>
      <c r="AD683" s="743"/>
      <c r="AE683" s="743"/>
      <c r="AF683" s="743"/>
      <c r="AG683" s="743"/>
      <c r="AH683" s="743"/>
      <c r="AI683" s="743"/>
      <c r="AJ683" s="743"/>
      <c r="AK683" s="743"/>
      <c r="AL683" s="743"/>
      <c r="AM683" s="743"/>
    </row>
    <row r="684" spans="1:39" ht="17.25">
      <c r="A684" s="752"/>
      <c r="B684" s="752"/>
      <c r="C684" s="752"/>
      <c r="D684" s="752"/>
      <c r="E684" s="752"/>
      <c r="F684" s="752"/>
      <c r="G684" s="752"/>
      <c r="H684" s="752"/>
      <c r="I684" s="829"/>
      <c r="J684" s="752"/>
      <c r="K684" s="752"/>
      <c r="L684" s="743"/>
      <c r="M684" s="743"/>
      <c r="N684" s="743"/>
      <c r="O684" s="743"/>
      <c r="P684" s="743"/>
      <c r="Q684" s="743"/>
      <c r="R684" s="743"/>
      <c r="S684" s="743"/>
      <c r="T684" s="743"/>
      <c r="U684" s="743"/>
      <c r="V684" s="743"/>
      <c r="W684" s="743"/>
      <c r="X684" s="743"/>
      <c r="Y684" s="743"/>
      <c r="Z684" s="743"/>
      <c r="AA684" s="743"/>
      <c r="AB684" s="743"/>
      <c r="AC684" s="743"/>
      <c r="AD684" s="743"/>
      <c r="AE684" s="743"/>
      <c r="AF684" s="743"/>
      <c r="AG684" s="743"/>
      <c r="AH684" s="743"/>
      <c r="AI684" s="743"/>
      <c r="AJ684" s="743"/>
      <c r="AK684" s="743"/>
      <c r="AL684" s="743"/>
      <c r="AM684" s="743"/>
    </row>
    <row r="685" spans="1:39" ht="17.25">
      <c r="A685" s="752"/>
      <c r="B685" s="752"/>
      <c r="C685" s="752"/>
      <c r="D685" s="752"/>
      <c r="E685" s="752"/>
      <c r="F685" s="752"/>
      <c r="G685" s="752"/>
      <c r="H685" s="752"/>
      <c r="I685" s="829"/>
      <c r="J685" s="752"/>
      <c r="K685" s="752"/>
      <c r="L685" s="743"/>
      <c r="M685" s="743"/>
      <c r="N685" s="743"/>
      <c r="O685" s="743"/>
      <c r="P685" s="743"/>
      <c r="Q685" s="743"/>
      <c r="R685" s="743"/>
      <c r="S685" s="743"/>
      <c r="T685" s="743"/>
      <c r="U685" s="743"/>
      <c r="V685" s="743"/>
      <c r="W685" s="743"/>
      <c r="X685" s="743"/>
      <c r="Y685" s="743"/>
      <c r="Z685" s="743"/>
      <c r="AA685" s="743"/>
      <c r="AB685" s="743"/>
      <c r="AC685" s="743"/>
      <c r="AD685" s="743"/>
      <c r="AE685" s="743"/>
      <c r="AF685" s="743"/>
      <c r="AG685" s="743"/>
      <c r="AH685" s="743"/>
      <c r="AI685" s="743"/>
      <c r="AJ685" s="743"/>
      <c r="AK685" s="743"/>
      <c r="AL685" s="743"/>
      <c r="AM685" s="743"/>
    </row>
    <row r="686" spans="1:39" ht="17.25">
      <c r="A686" s="752"/>
      <c r="B686" s="752"/>
      <c r="C686" s="752"/>
      <c r="D686" s="752"/>
      <c r="E686" s="752"/>
      <c r="F686" s="752"/>
      <c r="G686" s="752"/>
      <c r="H686" s="752"/>
      <c r="I686" s="829"/>
      <c r="J686" s="752"/>
      <c r="K686" s="752"/>
      <c r="L686" s="743"/>
      <c r="M686" s="743"/>
      <c r="N686" s="743"/>
      <c r="O686" s="743"/>
      <c r="P686" s="743"/>
      <c r="Q686" s="743"/>
      <c r="R686" s="743"/>
      <c r="S686" s="743"/>
      <c r="T686" s="743"/>
      <c r="U686" s="743"/>
      <c r="V686" s="743"/>
      <c r="W686" s="743"/>
      <c r="X686" s="743"/>
      <c r="Y686" s="743"/>
      <c r="Z686" s="743"/>
      <c r="AA686" s="743"/>
      <c r="AB686" s="743"/>
      <c r="AC686" s="743"/>
      <c r="AD686" s="743"/>
      <c r="AE686" s="743"/>
      <c r="AF686" s="743"/>
      <c r="AG686" s="743"/>
      <c r="AH686" s="743"/>
      <c r="AI686" s="743"/>
      <c r="AJ686" s="743"/>
      <c r="AK686" s="743"/>
      <c r="AL686" s="743"/>
      <c r="AM686" s="743"/>
    </row>
    <row r="687" spans="1:39" ht="17.25">
      <c r="A687" s="752"/>
      <c r="B687" s="752"/>
      <c r="C687" s="752"/>
      <c r="D687" s="752"/>
      <c r="E687" s="752"/>
      <c r="F687" s="752"/>
      <c r="G687" s="752"/>
      <c r="H687" s="752"/>
      <c r="I687" s="829"/>
      <c r="J687" s="752"/>
      <c r="K687" s="752"/>
      <c r="L687" s="743"/>
      <c r="M687" s="743"/>
      <c r="N687" s="743"/>
      <c r="O687" s="743"/>
      <c r="P687" s="743"/>
      <c r="Q687" s="743"/>
      <c r="R687" s="743"/>
      <c r="S687" s="743"/>
      <c r="T687" s="743"/>
      <c r="U687" s="743"/>
      <c r="V687" s="743"/>
      <c r="W687" s="743"/>
      <c r="X687" s="743"/>
      <c r="Y687" s="743"/>
      <c r="Z687" s="743"/>
      <c r="AA687" s="743"/>
      <c r="AB687" s="743"/>
      <c r="AC687" s="743"/>
      <c r="AD687" s="743"/>
      <c r="AE687" s="743"/>
      <c r="AF687" s="743"/>
      <c r="AG687" s="743"/>
      <c r="AH687" s="743"/>
      <c r="AI687" s="743"/>
      <c r="AJ687" s="743"/>
      <c r="AK687" s="743"/>
      <c r="AL687" s="743"/>
      <c r="AM687" s="743"/>
    </row>
    <row r="688" spans="1:39" ht="17.25">
      <c r="A688" s="752"/>
      <c r="B688" s="752"/>
      <c r="C688" s="752"/>
      <c r="D688" s="752"/>
      <c r="E688" s="752"/>
      <c r="F688" s="752"/>
      <c r="G688" s="752"/>
      <c r="H688" s="752"/>
      <c r="I688" s="829"/>
      <c r="J688" s="752"/>
      <c r="K688" s="752"/>
      <c r="L688" s="743"/>
      <c r="M688" s="743"/>
      <c r="N688" s="743"/>
      <c r="O688" s="743"/>
      <c r="P688" s="743"/>
      <c r="Q688" s="743"/>
      <c r="R688" s="743"/>
      <c r="S688" s="743"/>
      <c r="T688" s="743"/>
      <c r="U688" s="743"/>
      <c r="V688" s="743"/>
      <c r="W688" s="743"/>
      <c r="X688" s="743"/>
      <c r="Y688" s="743"/>
      <c r="Z688" s="743"/>
      <c r="AA688" s="743"/>
      <c r="AB688" s="743"/>
      <c r="AC688" s="743"/>
      <c r="AD688" s="743"/>
      <c r="AE688" s="743"/>
      <c r="AF688" s="743"/>
      <c r="AG688" s="743"/>
      <c r="AH688" s="743"/>
      <c r="AI688" s="743"/>
      <c r="AJ688" s="743"/>
      <c r="AK688" s="743"/>
      <c r="AL688" s="743"/>
      <c r="AM688" s="743"/>
    </row>
    <row r="689" spans="1:39" ht="17.25">
      <c r="A689" s="752"/>
      <c r="B689" s="752"/>
      <c r="C689" s="752"/>
      <c r="D689" s="752"/>
      <c r="E689" s="752"/>
      <c r="F689" s="752"/>
      <c r="G689" s="752"/>
      <c r="H689" s="752"/>
      <c r="I689" s="829"/>
      <c r="J689" s="752"/>
      <c r="K689" s="752"/>
      <c r="L689" s="743"/>
      <c r="M689" s="743"/>
      <c r="N689" s="743"/>
      <c r="O689" s="743"/>
      <c r="P689" s="743"/>
      <c r="Q689" s="743"/>
      <c r="R689" s="743"/>
      <c r="S689" s="743"/>
      <c r="T689" s="743"/>
      <c r="U689" s="743"/>
      <c r="V689" s="743"/>
      <c r="W689" s="743"/>
      <c r="X689" s="743"/>
      <c r="Y689" s="743"/>
      <c r="Z689" s="743"/>
      <c r="AA689" s="743"/>
      <c r="AB689" s="743"/>
      <c r="AC689" s="743"/>
      <c r="AD689" s="743"/>
      <c r="AE689" s="743"/>
      <c r="AF689" s="743"/>
      <c r="AG689" s="743"/>
      <c r="AH689" s="743"/>
      <c r="AI689" s="743"/>
      <c r="AJ689" s="743"/>
      <c r="AK689" s="743"/>
      <c r="AL689" s="743"/>
      <c r="AM689" s="743"/>
    </row>
    <row r="690" spans="1:39" ht="17.25">
      <c r="A690" s="752"/>
      <c r="B690" s="752"/>
      <c r="C690" s="752"/>
      <c r="D690" s="752"/>
      <c r="E690" s="752"/>
      <c r="F690" s="752"/>
      <c r="G690" s="752"/>
      <c r="H690" s="752"/>
      <c r="I690" s="829"/>
      <c r="J690" s="752"/>
      <c r="K690" s="752"/>
      <c r="L690" s="743"/>
      <c r="M690" s="743"/>
      <c r="N690" s="743"/>
      <c r="O690" s="743"/>
      <c r="P690" s="743"/>
      <c r="Q690" s="743"/>
      <c r="R690" s="743"/>
      <c r="S690" s="743"/>
      <c r="T690" s="743"/>
      <c r="U690" s="743"/>
      <c r="V690" s="743"/>
      <c r="W690" s="743"/>
      <c r="X690" s="743"/>
      <c r="Y690" s="743"/>
      <c r="Z690" s="743"/>
      <c r="AA690" s="743"/>
      <c r="AB690" s="743"/>
      <c r="AC690" s="743"/>
      <c r="AD690" s="743"/>
      <c r="AE690" s="743"/>
      <c r="AF690" s="743"/>
      <c r="AG690" s="743"/>
      <c r="AH690" s="743"/>
      <c r="AI690" s="743"/>
      <c r="AJ690" s="743"/>
      <c r="AK690" s="743"/>
      <c r="AL690" s="743"/>
      <c r="AM690" s="743"/>
    </row>
    <row r="691" spans="1:39" ht="17.25">
      <c r="A691" s="752"/>
      <c r="B691" s="752"/>
      <c r="C691" s="752"/>
      <c r="D691" s="752"/>
      <c r="E691" s="752"/>
      <c r="F691" s="752"/>
      <c r="G691" s="752"/>
      <c r="H691" s="752"/>
      <c r="I691" s="829"/>
      <c r="J691" s="752"/>
      <c r="K691" s="752"/>
      <c r="L691" s="743"/>
      <c r="M691" s="743"/>
      <c r="N691" s="743"/>
      <c r="O691" s="743"/>
      <c r="P691" s="743"/>
      <c r="Q691" s="743"/>
      <c r="R691" s="743"/>
      <c r="S691" s="743"/>
      <c r="T691" s="743"/>
      <c r="U691" s="743"/>
      <c r="V691" s="743"/>
      <c r="W691" s="743"/>
      <c r="X691" s="743"/>
      <c r="Y691" s="743"/>
      <c r="Z691" s="743"/>
      <c r="AA691" s="743"/>
      <c r="AB691" s="743"/>
      <c r="AC691" s="743"/>
      <c r="AD691" s="743"/>
      <c r="AE691" s="743"/>
      <c r="AF691" s="743"/>
      <c r="AG691" s="743"/>
      <c r="AH691" s="743"/>
      <c r="AI691" s="743"/>
      <c r="AJ691" s="743"/>
      <c r="AK691" s="743"/>
      <c r="AL691" s="743"/>
      <c r="AM691" s="743"/>
    </row>
    <row r="692" spans="1:39" ht="17.25">
      <c r="A692" s="752"/>
      <c r="B692" s="752"/>
      <c r="C692" s="752"/>
      <c r="D692" s="752"/>
      <c r="E692" s="752"/>
      <c r="F692" s="752"/>
      <c r="G692" s="752"/>
      <c r="H692" s="752"/>
      <c r="I692" s="829"/>
      <c r="J692" s="752"/>
      <c r="K692" s="752"/>
      <c r="L692" s="743"/>
      <c r="M692" s="743"/>
      <c r="N692" s="743"/>
      <c r="O692" s="743"/>
      <c r="P692" s="743"/>
      <c r="Q692" s="743"/>
      <c r="R692" s="743"/>
      <c r="S692" s="743"/>
      <c r="T692" s="743"/>
      <c r="U692" s="743"/>
      <c r="V692" s="743"/>
      <c r="W692" s="743"/>
      <c r="X692" s="743"/>
      <c r="Y692" s="743"/>
      <c r="Z692" s="743"/>
      <c r="AA692" s="743"/>
      <c r="AB692" s="743"/>
      <c r="AC692" s="743"/>
      <c r="AD692" s="743"/>
      <c r="AE692" s="743"/>
      <c r="AF692" s="743"/>
      <c r="AG692" s="743"/>
      <c r="AH692" s="743"/>
      <c r="AI692" s="743"/>
      <c r="AJ692" s="743"/>
      <c r="AK692" s="743"/>
      <c r="AL692" s="743"/>
      <c r="AM692" s="743"/>
    </row>
    <row r="693" spans="1:39" ht="17.25">
      <c r="A693" s="752"/>
      <c r="B693" s="752"/>
      <c r="C693" s="752"/>
      <c r="D693" s="752"/>
      <c r="E693" s="752"/>
      <c r="F693" s="752"/>
      <c r="G693" s="752"/>
      <c r="H693" s="752"/>
      <c r="I693" s="829"/>
      <c r="J693" s="752"/>
      <c r="K693" s="752"/>
      <c r="L693" s="743"/>
      <c r="M693" s="743"/>
      <c r="N693" s="743"/>
      <c r="O693" s="743"/>
      <c r="P693" s="743"/>
      <c r="Q693" s="743"/>
      <c r="R693" s="743"/>
      <c r="S693" s="743"/>
      <c r="T693" s="743"/>
      <c r="U693" s="743"/>
      <c r="V693" s="743"/>
      <c r="W693" s="743"/>
      <c r="X693" s="743"/>
      <c r="Y693" s="743"/>
      <c r="Z693" s="743"/>
      <c r="AA693" s="743"/>
      <c r="AB693" s="743"/>
      <c r="AC693" s="743"/>
      <c r="AD693" s="743"/>
      <c r="AE693" s="743"/>
      <c r="AF693" s="743"/>
      <c r="AG693" s="743"/>
      <c r="AH693" s="743"/>
      <c r="AI693" s="743"/>
      <c r="AJ693" s="743"/>
      <c r="AK693" s="743"/>
      <c r="AL693" s="743"/>
      <c r="AM693" s="743"/>
    </row>
    <row r="694" spans="1:39" ht="17.25">
      <c r="A694" s="752"/>
      <c r="B694" s="752"/>
      <c r="C694" s="752"/>
      <c r="D694" s="752"/>
      <c r="E694" s="752"/>
      <c r="F694" s="752"/>
      <c r="G694" s="752"/>
      <c r="H694" s="752"/>
      <c r="I694" s="829"/>
      <c r="J694" s="752"/>
      <c r="K694" s="752"/>
      <c r="L694" s="743"/>
      <c r="M694" s="743"/>
      <c r="N694" s="743"/>
      <c r="O694" s="743"/>
      <c r="P694" s="743"/>
      <c r="Q694" s="743"/>
      <c r="R694" s="743"/>
      <c r="S694" s="743"/>
      <c r="T694" s="743"/>
      <c r="U694" s="743"/>
      <c r="V694" s="743"/>
      <c r="W694" s="743"/>
      <c r="X694" s="743"/>
      <c r="Y694" s="743"/>
      <c r="Z694" s="743"/>
      <c r="AA694" s="743"/>
      <c r="AB694" s="743"/>
      <c r="AC694" s="743"/>
      <c r="AD694" s="743"/>
      <c r="AE694" s="743"/>
      <c r="AF694" s="743"/>
      <c r="AG694" s="743"/>
      <c r="AH694" s="743"/>
      <c r="AI694" s="743"/>
      <c r="AJ694" s="743"/>
      <c r="AK694" s="743"/>
      <c r="AL694" s="743"/>
      <c r="AM694" s="743"/>
    </row>
    <row r="695" spans="1:39" ht="17.25">
      <c r="A695" s="752"/>
      <c r="B695" s="752"/>
      <c r="C695" s="752"/>
      <c r="D695" s="752"/>
      <c r="E695" s="752"/>
      <c r="F695" s="752"/>
      <c r="G695" s="752"/>
      <c r="H695" s="752"/>
      <c r="I695" s="829"/>
      <c r="J695" s="752"/>
      <c r="K695" s="752"/>
      <c r="L695" s="743"/>
      <c r="M695" s="743"/>
      <c r="N695" s="743"/>
      <c r="O695" s="743"/>
      <c r="P695" s="743"/>
      <c r="Q695" s="743"/>
      <c r="R695" s="743"/>
      <c r="S695" s="743"/>
      <c r="T695" s="743"/>
      <c r="U695" s="743"/>
      <c r="V695" s="743"/>
      <c r="W695" s="743"/>
      <c r="X695" s="743"/>
      <c r="Y695" s="743"/>
      <c r="Z695" s="743"/>
      <c r="AA695" s="743"/>
      <c r="AB695" s="743"/>
      <c r="AC695" s="743"/>
      <c r="AD695" s="743"/>
      <c r="AE695" s="743"/>
      <c r="AF695" s="743"/>
      <c r="AG695" s="743"/>
      <c r="AH695" s="743"/>
      <c r="AI695" s="743"/>
      <c r="AJ695" s="743"/>
      <c r="AK695" s="743"/>
      <c r="AL695" s="743"/>
      <c r="AM695" s="743"/>
    </row>
    <row r="696" spans="1:39" ht="17.25">
      <c r="A696" s="752"/>
      <c r="B696" s="752"/>
      <c r="C696" s="752"/>
      <c r="D696" s="752"/>
      <c r="E696" s="752"/>
      <c r="F696" s="752"/>
      <c r="G696" s="752"/>
      <c r="H696" s="752"/>
      <c r="I696" s="829"/>
      <c r="J696" s="752"/>
      <c r="K696" s="752"/>
      <c r="L696" s="743"/>
      <c r="M696" s="743"/>
      <c r="N696" s="743"/>
      <c r="O696" s="743"/>
      <c r="P696" s="743"/>
      <c r="Q696" s="743"/>
      <c r="R696" s="743"/>
      <c r="S696" s="743"/>
      <c r="T696" s="743"/>
      <c r="U696" s="743"/>
      <c r="V696" s="743"/>
      <c r="W696" s="743"/>
      <c r="X696" s="743"/>
      <c r="Y696" s="743"/>
      <c r="Z696" s="743"/>
      <c r="AA696" s="743"/>
      <c r="AB696" s="743"/>
      <c r="AC696" s="743"/>
      <c r="AD696" s="743"/>
      <c r="AE696" s="743"/>
      <c r="AF696" s="743"/>
      <c r="AG696" s="743"/>
      <c r="AH696" s="743"/>
      <c r="AI696" s="743"/>
      <c r="AJ696" s="743"/>
      <c r="AK696" s="743"/>
      <c r="AL696" s="743"/>
      <c r="AM696" s="743"/>
    </row>
    <row r="697" spans="1:39" ht="17.25">
      <c r="A697" s="752"/>
      <c r="B697" s="752"/>
      <c r="C697" s="752"/>
      <c r="D697" s="752"/>
      <c r="E697" s="752"/>
      <c r="F697" s="752"/>
      <c r="G697" s="752"/>
      <c r="H697" s="752"/>
      <c r="I697" s="829"/>
      <c r="J697" s="752"/>
      <c r="K697" s="752"/>
      <c r="L697" s="743"/>
      <c r="M697" s="743"/>
      <c r="N697" s="743"/>
      <c r="O697" s="743"/>
      <c r="P697" s="743"/>
      <c r="Q697" s="743"/>
      <c r="R697" s="743"/>
      <c r="S697" s="743"/>
      <c r="T697" s="743"/>
      <c r="U697" s="743"/>
      <c r="V697" s="743"/>
      <c r="W697" s="743"/>
      <c r="X697" s="743"/>
      <c r="Y697" s="743"/>
      <c r="Z697" s="743"/>
      <c r="AA697" s="743"/>
      <c r="AB697" s="743"/>
      <c r="AC697" s="743"/>
      <c r="AD697" s="743"/>
      <c r="AE697" s="743"/>
      <c r="AF697" s="743"/>
      <c r="AG697" s="743"/>
      <c r="AH697" s="743"/>
      <c r="AI697" s="743"/>
      <c r="AJ697" s="743"/>
      <c r="AK697" s="743"/>
      <c r="AL697" s="743"/>
      <c r="AM697" s="743"/>
    </row>
    <row r="698" spans="1:39" ht="17.25">
      <c r="A698" s="752"/>
      <c r="B698" s="752"/>
      <c r="C698" s="752"/>
      <c r="D698" s="752"/>
      <c r="E698" s="752"/>
      <c r="F698" s="752"/>
      <c r="G698" s="752"/>
      <c r="H698" s="752"/>
      <c r="I698" s="829"/>
      <c r="J698" s="752"/>
      <c r="K698" s="752"/>
      <c r="L698" s="743"/>
      <c r="M698" s="743"/>
      <c r="N698" s="743"/>
      <c r="O698" s="743"/>
      <c r="P698" s="743"/>
      <c r="Q698" s="743"/>
      <c r="R698" s="743"/>
      <c r="S698" s="743"/>
      <c r="T698" s="743"/>
      <c r="U698" s="743"/>
      <c r="V698" s="743"/>
      <c r="W698" s="743"/>
      <c r="X698" s="743"/>
      <c r="Y698" s="743"/>
      <c r="Z698" s="743"/>
      <c r="AA698" s="743"/>
      <c r="AB698" s="743"/>
      <c r="AC698" s="743"/>
      <c r="AD698" s="743"/>
      <c r="AE698" s="743"/>
      <c r="AF698" s="743"/>
      <c r="AG698" s="743"/>
      <c r="AH698" s="743"/>
      <c r="AI698" s="743"/>
      <c r="AJ698" s="743"/>
      <c r="AK698" s="743"/>
      <c r="AL698" s="743"/>
      <c r="AM698" s="743"/>
    </row>
    <row r="699" spans="1:39" ht="17.25">
      <c r="A699" s="752"/>
      <c r="B699" s="752"/>
      <c r="C699" s="752"/>
      <c r="D699" s="752"/>
      <c r="E699" s="752"/>
      <c r="F699" s="752"/>
      <c r="G699" s="752"/>
      <c r="H699" s="752"/>
      <c r="I699" s="829"/>
      <c r="J699" s="752"/>
      <c r="K699" s="752"/>
      <c r="L699" s="743"/>
      <c r="M699" s="743"/>
      <c r="N699" s="743"/>
      <c r="O699" s="743"/>
      <c r="P699" s="743"/>
      <c r="Q699" s="743"/>
      <c r="R699" s="743"/>
      <c r="S699" s="743"/>
      <c r="T699" s="743"/>
      <c r="U699" s="743"/>
      <c r="V699" s="743"/>
      <c r="W699" s="743"/>
      <c r="X699" s="743"/>
      <c r="Y699" s="743"/>
      <c r="Z699" s="743"/>
      <c r="AA699" s="743"/>
      <c r="AB699" s="743"/>
      <c r="AC699" s="743"/>
      <c r="AD699" s="743"/>
      <c r="AE699" s="743"/>
      <c r="AF699" s="743"/>
      <c r="AG699" s="743"/>
      <c r="AH699" s="743"/>
      <c r="AI699" s="743"/>
      <c r="AJ699" s="743"/>
      <c r="AK699" s="743"/>
      <c r="AL699" s="743"/>
      <c r="AM699" s="743"/>
    </row>
    <row r="700" spans="1:39" ht="17.25">
      <c r="A700" s="752"/>
      <c r="B700" s="752"/>
      <c r="C700" s="752"/>
      <c r="D700" s="752"/>
      <c r="E700" s="752"/>
      <c r="F700" s="752"/>
      <c r="G700" s="752"/>
      <c r="H700" s="752"/>
      <c r="I700" s="829"/>
      <c r="J700" s="752"/>
      <c r="K700" s="752"/>
      <c r="L700" s="743"/>
      <c r="M700" s="743"/>
      <c r="N700" s="743"/>
      <c r="O700" s="743"/>
      <c r="P700" s="743"/>
      <c r="Q700" s="743"/>
      <c r="R700" s="743"/>
      <c r="S700" s="743"/>
      <c r="T700" s="743"/>
      <c r="U700" s="743"/>
      <c r="V700" s="743"/>
      <c r="W700" s="743"/>
      <c r="X700" s="743"/>
      <c r="Y700" s="743"/>
      <c r="Z700" s="743"/>
      <c r="AA700" s="743"/>
      <c r="AB700" s="743"/>
      <c r="AC700" s="743"/>
      <c r="AD700" s="743"/>
      <c r="AE700" s="743"/>
      <c r="AF700" s="743"/>
      <c r="AG700" s="743"/>
      <c r="AH700" s="743"/>
      <c r="AI700" s="743"/>
      <c r="AJ700" s="743"/>
      <c r="AK700" s="743"/>
      <c r="AL700" s="743"/>
      <c r="AM700" s="743"/>
    </row>
    <row r="701" spans="1:39" ht="17.25">
      <c r="A701" s="752"/>
      <c r="B701" s="752"/>
      <c r="C701" s="752"/>
      <c r="D701" s="752"/>
      <c r="E701" s="752"/>
      <c r="F701" s="752"/>
      <c r="G701" s="752"/>
      <c r="H701" s="752"/>
      <c r="I701" s="829"/>
      <c r="J701" s="752"/>
      <c r="K701" s="752"/>
      <c r="L701" s="743"/>
      <c r="M701" s="743"/>
      <c r="N701" s="743"/>
      <c r="O701" s="743"/>
      <c r="P701" s="743"/>
      <c r="Q701" s="743"/>
      <c r="R701" s="743"/>
      <c r="S701" s="743"/>
      <c r="T701" s="743"/>
      <c r="U701" s="743"/>
      <c r="V701" s="743"/>
      <c r="W701" s="743"/>
      <c r="X701" s="743"/>
      <c r="Y701" s="743"/>
      <c r="Z701" s="743"/>
      <c r="AA701" s="743"/>
      <c r="AB701" s="743"/>
      <c r="AC701" s="743"/>
      <c r="AD701" s="743"/>
      <c r="AE701" s="743"/>
      <c r="AF701" s="743"/>
      <c r="AG701" s="743"/>
      <c r="AH701" s="743"/>
      <c r="AI701" s="743"/>
      <c r="AJ701" s="743"/>
      <c r="AK701" s="743"/>
      <c r="AL701" s="743"/>
      <c r="AM701" s="743"/>
    </row>
    <row r="702" spans="1:39" ht="17.25">
      <c r="A702" s="752"/>
      <c r="B702" s="752"/>
      <c r="C702" s="752"/>
      <c r="D702" s="752"/>
      <c r="E702" s="752"/>
      <c r="F702" s="752"/>
      <c r="G702" s="752"/>
      <c r="H702" s="752"/>
      <c r="I702" s="829"/>
      <c r="J702" s="752"/>
      <c r="K702" s="752"/>
      <c r="L702" s="743"/>
      <c r="M702" s="743"/>
      <c r="N702" s="743"/>
      <c r="O702" s="743"/>
      <c r="P702" s="743"/>
      <c r="Q702" s="743"/>
      <c r="R702" s="743"/>
      <c r="S702" s="743"/>
      <c r="T702" s="743"/>
      <c r="U702" s="743"/>
      <c r="V702" s="743"/>
      <c r="W702" s="743"/>
      <c r="X702" s="743"/>
      <c r="Y702" s="743"/>
      <c r="Z702" s="743"/>
      <c r="AA702" s="743"/>
      <c r="AB702" s="743"/>
      <c r="AC702" s="743"/>
      <c r="AD702" s="743"/>
      <c r="AE702" s="743"/>
      <c r="AF702" s="743"/>
      <c r="AG702" s="743"/>
      <c r="AH702" s="743"/>
      <c r="AI702" s="743"/>
      <c r="AJ702" s="743"/>
      <c r="AK702" s="743"/>
      <c r="AL702" s="743"/>
      <c r="AM702" s="743"/>
    </row>
    <row r="703" spans="1:39" ht="17.25">
      <c r="A703" s="752"/>
      <c r="B703" s="752"/>
      <c r="C703" s="752"/>
      <c r="D703" s="752"/>
      <c r="E703" s="752"/>
      <c r="F703" s="752"/>
      <c r="G703" s="752"/>
      <c r="H703" s="752"/>
      <c r="I703" s="829"/>
      <c r="J703" s="752"/>
      <c r="K703" s="752"/>
      <c r="L703" s="743"/>
      <c r="M703" s="743"/>
      <c r="N703" s="743"/>
      <c r="O703" s="743"/>
      <c r="P703" s="743"/>
      <c r="Q703" s="743"/>
      <c r="R703" s="743"/>
      <c r="S703" s="743"/>
      <c r="T703" s="743"/>
      <c r="U703" s="743"/>
      <c r="V703" s="743"/>
      <c r="W703" s="743"/>
      <c r="X703" s="743"/>
      <c r="Y703" s="743"/>
      <c r="Z703" s="743"/>
      <c r="AA703" s="743"/>
      <c r="AB703" s="743"/>
      <c r="AC703" s="743"/>
      <c r="AD703" s="743"/>
      <c r="AE703" s="743"/>
      <c r="AF703" s="743"/>
      <c r="AG703" s="743"/>
      <c r="AH703" s="743"/>
      <c r="AI703" s="743"/>
      <c r="AJ703" s="743"/>
      <c r="AK703" s="743"/>
      <c r="AL703" s="743"/>
      <c r="AM703" s="743"/>
    </row>
    <row r="704" spans="1:39" ht="17.25">
      <c r="A704" s="752"/>
      <c r="B704" s="752"/>
      <c r="C704" s="752"/>
      <c r="D704" s="752"/>
      <c r="E704" s="752"/>
      <c r="F704" s="752"/>
      <c r="G704" s="752"/>
      <c r="H704" s="752"/>
      <c r="I704" s="829"/>
      <c r="J704" s="752"/>
      <c r="K704" s="752"/>
      <c r="L704" s="743"/>
      <c r="M704" s="743"/>
      <c r="N704" s="743"/>
      <c r="O704" s="743"/>
      <c r="P704" s="743"/>
      <c r="Q704" s="743"/>
      <c r="R704" s="743"/>
      <c r="S704" s="743"/>
      <c r="T704" s="743"/>
      <c r="U704" s="743"/>
      <c r="V704" s="743"/>
      <c r="W704" s="743"/>
      <c r="X704" s="743"/>
      <c r="Y704" s="743"/>
      <c r="Z704" s="743"/>
      <c r="AA704" s="743"/>
      <c r="AB704" s="743"/>
      <c r="AC704" s="743"/>
      <c r="AD704" s="743"/>
      <c r="AE704" s="743"/>
      <c r="AF704" s="743"/>
      <c r="AG704" s="743"/>
      <c r="AH704" s="743"/>
      <c r="AI704" s="743"/>
      <c r="AJ704" s="743"/>
      <c r="AK704" s="743"/>
      <c r="AL704" s="743"/>
      <c r="AM704" s="743"/>
    </row>
    <row r="705" spans="1:39" ht="17.25">
      <c r="A705" s="752"/>
      <c r="B705" s="752"/>
      <c r="C705" s="752"/>
      <c r="D705" s="752"/>
      <c r="E705" s="752"/>
      <c r="F705" s="752"/>
      <c r="G705" s="752"/>
      <c r="H705" s="752"/>
      <c r="I705" s="829"/>
      <c r="J705" s="752"/>
      <c r="K705" s="752"/>
      <c r="L705" s="743"/>
      <c r="M705" s="743"/>
      <c r="N705" s="743"/>
      <c r="O705" s="743"/>
      <c r="P705" s="743"/>
      <c r="Q705" s="743"/>
      <c r="R705" s="743"/>
      <c r="S705" s="743"/>
      <c r="T705" s="743"/>
      <c r="U705" s="743"/>
      <c r="V705" s="743"/>
      <c r="W705" s="743"/>
      <c r="X705" s="743"/>
      <c r="Y705" s="743"/>
      <c r="Z705" s="743"/>
      <c r="AA705" s="743"/>
      <c r="AB705" s="743"/>
      <c r="AC705" s="743"/>
      <c r="AD705" s="743"/>
      <c r="AE705" s="743"/>
      <c r="AF705" s="743"/>
      <c r="AG705" s="743"/>
      <c r="AH705" s="743"/>
      <c r="AI705" s="743"/>
      <c r="AJ705" s="743"/>
      <c r="AK705" s="743"/>
      <c r="AL705" s="743"/>
      <c r="AM705" s="743"/>
    </row>
    <row r="706" spans="1:39" ht="17.25">
      <c r="A706" s="752"/>
      <c r="B706" s="752"/>
      <c r="C706" s="752"/>
      <c r="D706" s="752"/>
      <c r="E706" s="752"/>
      <c r="F706" s="752"/>
      <c r="G706" s="752"/>
      <c r="H706" s="752"/>
      <c r="I706" s="829"/>
      <c r="J706" s="752"/>
      <c r="K706" s="752"/>
      <c r="L706" s="743"/>
      <c r="M706" s="743"/>
      <c r="N706" s="743"/>
      <c r="O706" s="743"/>
      <c r="P706" s="743"/>
      <c r="Q706" s="743"/>
      <c r="R706" s="743"/>
      <c r="S706" s="743"/>
      <c r="T706" s="743"/>
      <c r="U706" s="743"/>
      <c r="V706" s="743"/>
      <c r="W706" s="743"/>
      <c r="X706" s="743"/>
      <c r="Y706" s="743"/>
      <c r="Z706" s="743"/>
      <c r="AA706" s="743"/>
      <c r="AB706" s="743"/>
      <c r="AC706" s="743"/>
      <c r="AD706" s="743"/>
      <c r="AE706" s="743"/>
      <c r="AF706" s="743"/>
      <c r="AG706" s="743"/>
      <c r="AH706" s="743"/>
      <c r="AI706" s="743"/>
      <c r="AJ706" s="743"/>
      <c r="AK706" s="743"/>
      <c r="AL706" s="743"/>
      <c r="AM706" s="743"/>
    </row>
    <row r="707" spans="1:39" ht="17.25">
      <c r="A707" s="752"/>
      <c r="B707" s="752"/>
      <c r="C707" s="752"/>
      <c r="D707" s="752"/>
      <c r="E707" s="752"/>
      <c r="F707" s="752"/>
      <c r="G707" s="752"/>
      <c r="H707" s="752"/>
      <c r="I707" s="829"/>
      <c r="J707" s="752"/>
      <c r="K707" s="752"/>
      <c r="L707" s="743"/>
      <c r="M707" s="743"/>
      <c r="N707" s="743"/>
      <c r="O707" s="743"/>
      <c r="P707" s="743"/>
      <c r="Q707" s="743"/>
      <c r="R707" s="743"/>
      <c r="S707" s="743"/>
      <c r="T707" s="743"/>
      <c r="U707" s="743"/>
      <c r="V707" s="743"/>
      <c r="W707" s="743"/>
      <c r="X707" s="743"/>
      <c r="Y707" s="743"/>
      <c r="Z707" s="743"/>
      <c r="AA707" s="743"/>
      <c r="AB707" s="743"/>
      <c r="AC707" s="743"/>
      <c r="AD707" s="743"/>
      <c r="AE707" s="743"/>
      <c r="AF707" s="743"/>
      <c r="AG707" s="743"/>
      <c r="AH707" s="743"/>
      <c r="AI707" s="743"/>
      <c r="AJ707" s="743"/>
      <c r="AK707" s="743"/>
      <c r="AL707" s="743"/>
      <c r="AM707" s="743"/>
    </row>
    <row r="708" spans="1:39" ht="17.25">
      <c r="A708" s="752"/>
      <c r="B708" s="752"/>
      <c r="C708" s="752"/>
      <c r="D708" s="752"/>
      <c r="E708" s="752"/>
      <c r="F708" s="752"/>
      <c r="G708" s="752"/>
      <c r="H708" s="752"/>
      <c r="I708" s="829"/>
      <c r="J708" s="752"/>
      <c r="K708" s="752"/>
      <c r="L708" s="743"/>
      <c r="M708" s="743"/>
      <c r="N708" s="743"/>
      <c r="O708" s="743"/>
      <c r="P708" s="743"/>
      <c r="Q708" s="743"/>
      <c r="R708" s="743"/>
      <c r="S708" s="743"/>
      <c r="T708" s="743"/>
      <c r="U708" s="743"/>
      <c r="V708" s="743"/>
      <c r="W708" s="743"/>
      <c r="X708" s="743"/>
      <c r="Y708" s="743"/>
      <c r="Z708" s="743"/>
      <c r="AA708" s="743"/>
      <c r="AB708" s="743"/>
      <c r="AC708" s="743"/>
      <c r="AD708" s="743"/>
      <c r="AE708" s="743"/>
      <c r="AF708" s="743"/>
      <c r="AG708" s="743"/>
      <c r="AH708" s="743"/>
      <c r="AI708" s="743"/>
      <c r="AJ708" s="743"/>
      <c r="AK708" s="743"/>
      <c r="AL708" s="743"/>
      <c r="AM708" s="743"/>
    </row>
    <row r="709" spans="1:39" ht="17.25">
      <c r="A709" s="752"/>
      <c r="B709" s="752"/>
      <c r="C709" s="752"/>
      <c r="D709" s="752"/>
      <c r="E709" s="752"/>
      <c r="F709" s="752"/>
      <c r="G709" s="752"/>
      <c r="H709" s="752"/>
      <c r="I709" s="829"/>
      <c r="J709" s="752"/>
      <c r="K709" s="752"/>
      <c r="L709" s="743"/>
      <c r="M709" s="743"/>
      <c r="N709" s="743"/>
      <c r="O709" s="743"/>
      <c r="P709" s="743"/>
      <c r="Q709" s="743"/>
      <c r="R709" s="743"/>
      <c r="S709" s="743"/>
      <c r="T709" s="743"/>
      <c r="U709" s="743"/>
      <c r="V709" s="743"/>
      <c r="W709" s="743"/>
      <c r="X709" s="743"/>
      <c r="Y709" s="743"/>
      <c r="Z709" s="743"/>
      <c r="AA709" s="743"/>
      <c r="AB709" s="743"/>
      <c r="AC709" s="743"/>
      <c r="AD709" s="743"/>
      <c r="AE709" s="743"/>
      <c r="AF709" s="743"/>
      <c r="AG709" s="743"/>
      <c r="AH709" s="743"/>
      <c r="AI709" s="743"/>
      <c r="AJ709" s="743"/>
      <c r="AK709" s="743"/>
      <c r="AL709" s="743"/>
      <c r="AM709" s="743"/>
    </row>
    <row r="710" spans="1:39" ht="17.25">
      <c r="A710" s="752"/>
      <c r="B710" s="752"/>
      <c r="C710" s="752"/>
      <c r="D710" s="752"/>
      <c r="E710" s="752"/>
      <c r="F710" s="752"/>
      <c r="G710" s="752"/>
      <c r="H710" s="752"/>
      <c r="I710" s="829"/>
      <c r="J710" s="752"/>
      <c r="K710" s="752"/>
      <c r="L710" s="743"/>
      <c r="M710" s="743"/>
      <c r="N710" s="743"/>
      <c r="O710" s="743"/>
      <c r="P710" s="743"/>
      <c r="Q710" s="743"/>
      <c r="R710" s="743"/>
      <c r="S710" s="743"/>
      <c r="T710" s="743"/>
      <c r="U710" s="743"/>
      <c r="V710" s="743"/>
      <c r="W710" s="743"/>
      <c r="X710" s="743"/>
      <c r="Y710" s="743"/>
      <c r="Z710" s="743"/>
      <c r="AA710" s="743"/>
      <c r="AB710" s="743"/>
      <c r="AC710" s="743"/>
      <c r="AD710" s="743"/>
      <c r="AE710" s="743"/>
      <c r="AF710" s="743"/>
      <c r="AG710" s="743"/>
      <c r="AH710" s="743"/>
      <c r="AI710" s="743"/>
      <c r="AJ710" s="743"/>
      <c r="AK710" s="743"/>
      <c r="AL710" s="743"/>
      <c r="AM710" s="743"/>
    </row>
    <row r="711" spans="1:39" ht="17.25">
      <c r="A711" s="752"/>
      <c r="B711" s="752"/>
      <c r="C711" s="752"/>
      <c r="D711" s="752"/>
      <c r="E711" s="752"/>
      <c r="F711" s="752"/>
      <c r="G711" s="752"/>
      <c r="H711" s="752"/>
      <c r="I711" s="829"/>
      <c r="J711" s="752"/>
      <c r="K711" s="752"/>
      <c r="L711" s="743"/>
      <c r="M711" s="743"/>
      <c r="N711" s="743"/>
      <c r="O711" s="743"/>
      <c r="P711" s="743"/>
      <c r="Q711" s="743"/>
      <c r="R711" s="743"/>
      <c r="S711" s="743"/>
      <c r="T711" s="743"/>
      <c r="U711" s="743"/>
      <c r="V711" s="743"/>
      <c r="W711" s="743"/>
      <c r="X711" s="743"/>
      <c r="Y711" s="743"/>
      <c r="Z711" s="743"/>
      <c r="AA711" s="743"/>
      <c r="AB711" s="743"/>
      <c r="AC711" s="743"/>
      <c r="AD711" s="743"/>
      <c r="AE711" s="743"/>
      <c r="AF711" s="743"/>
      <c r="AG711" s="743"/>
      <c r="AH711" s="743"/>
      <c r="AI711" s="743"/>
      <c r="AJ711" s="743"/>
      <c r="AK711" s="743"/>
      <c r="AL711" s="743"/>
      <c r="AM711" s="743"/>
    </row>
    <row r="712" spans="1:39" ht="17.25">
      <c r="A712" s="752"/>
      <c r="B712" s="752"/>
      <c r="C712" s="752"/>
      <c r="D712" s="752"/>
      <c r="E712" s="752"/>
      <c r="F712" s="752"/>
      <c r="G712" s="752"/>
      <c r="H712" s="752"/>
      <c r="I712" s="829"/>
      <c r="J712" s="752"/>
      <c r="K712" s="752"/>
      <c r="L712" s="743"/>
      <c r="M712" s="743"/>
      <c r="N712" s="743"/>
      <c r="O712" s="743"/>
      <c r="P712" s="743"/>
      <c r="Q712" s="743"/>
      <c r="R712" s="743"/>
      <c r="S712" s="743"/>
      <c r="T712" s="743"/>
      <c r="U712" s="743"/>
      <c r="V712" s="743"/>
      <c r="W712" s="743"/>
      <c r="X712" s="743"/>
      <c r="Y712" s="743"/>
      <c r="Z712" s="743"/>
      <c r="AA712" s="743"/>
      <c r="AB712" s="743"/>
      <c r="AC712" s="743"/>
      <c r="AD712" s="743"/>
      <c r="AE712" s="743"/>
      <c r="AF712" s="743"/>
      <c r="AG712" s="743"/>
      <c r="AH712" s="743"/>
      <c r="AI712" s="743"/>
      <c r="AJ712" s="743"/>
      <c r="AK712" s="743"/>
      <c r="AL712" s="743"/>
      <c r="AM712" s="743"/>
    </row>
    <row r="713" spans="1:39" ht="17.25">
      <c r="A713" s="752"/>
      <c r="B713" s="752"/>
      <c r="C713" s="752"/>
      <c r="D713" s="752"/>
      <c r="E713" s="752"/>
      <c r="F713" s="752"/>
      <c r="G713" s="752"/>
      <c r="H713" s="752"/>
      <c r="I713" s="829"/>
      <c r="J713" s="752"/>
      <c r="K713" s="752"/>
      <c r="L713" s="743"/>
      <c r="M713" s="743"/>
      <c r="N713" s="743"/>
      <c r="O713" s="743"/>
      <c r="P713" s="743"/>
      <c r="Q713" s="743"/>
      <c r="R713" s="743"/>
      <c r="S713" s="743"/>
      <c r="T713" s="743"/>
      <c r="U713" s="743"/>
      <c r="V713" s="743"/>
      <c r="W713" s="743"/>
      <c r="X713" s="743"/>
      <c r="Y713" s="743"/>
      <c r="Z713" s="743"/>
      <c r="AA713" s="743"/>
      <c r="AB713" s="743"/>
      <c r="AC713" s="743"/>
      <c r="AD713" s="743"/>
      <c r="AE713" s="743"/>
      <c r="AF713" s="743"/>
      <c r="AG713" s="743"/>
      <c r="AH713" s="743"/>
      <c r="AI713" s="743"/>
      <c r="AJ713" s="743"/>
      <c r="AK713" s="743"/>
      <c r="AL713" s="743"/>
      <c r="AM713" s="743"/>
    </row>
    <row r="714" spans="1:39" ht="17.25">
      <c r="A714" s="752"/>
      <c r="B714" s="752"/>
      <c r="C714" s="752"/>
      <c r="D714" s="752"/>
      <c r="E714" s="752"/>
      <c r="F714" s="752"/>
      <c r="G714" s="752"/>
      <c r="H714" s="752"/>
      <c r="I714" s="829"/>
      <c r="J714" s="752"/>
      <c r="K714" s="752"/>
      <c r="L714" s="743"/>
      <c r="M714" s="743"/>
      <c r="N714" s="743"/>
      <c r="O714" s="743"/>
      <c r="P714" s="743"/>
      <c r="Q714" s="743"/>
      <c r="R714" s="743"/>
      <c r="S714" s="743"/>
      <c r="T714" s="743"/>
      <c r="U714" s="743"/>
      <c r="V714" s="743"/>
      <c r="W714" s="743"/>
      <c r="X714" s="743"/>
      <c r="Y714" s="743"/>
      <c r="Z714" s="743"/>
      <c r="AA714" s="743"/>
      <c r="AB714" s="743"/>
      <c r="AC714" s="743"/>
      <c r="AD714" s="743"/>
      <c r="AE714" s="743"/>
      <c r="AF714" s="743"/>
      <c r="AG714" s="743"/>
      <c r="AH714" s="743"/>
      <c r="AI714" s="743"/>
      <c r="AJ714" s="743"/>
      <c r="AK714" s="743"/>
      <c r="AL714" s="743"/>
      <c r="AM714" s="743"/>
    </row>
    <row r="715" spans="1:39" ht="17.25">
      <c r="A715" s="752"/>
      <c r="B715" s="752"/>
      <c r="C715" s="752"/>
      <c r="D715" s="752"/>
      <c r="E715" s="752"/>
      <c r="F715" s="752"/>
      <c r="G715" s="752"/>
      <c r="H715" s="752"/>
      <c r="I715" s="829"/>
      <c r="J715" s="752"/>
      <c r="K715" s="752"/>
      <c r="L715" s="743"/>
      <c r="M715" s="743"/>
      <c r="N715" s="743"/>
      <c r="O715" s="743"/>
      <c r="P715" s="743"/>
      <c r="Q715" s="743"/>
      <c r="R715" s="743"/>
      <c r="S715" s="743"/>
      <c r="T715" s="743"/>
      <c r="U715" s="743"/>
      <c r="V715" s="743"/>
      <c r="W715" s="743"/>
      <c r="X715" s="743"/>
      <c r="Y715" s="743"/>
      <c r="Z715" s="743"/>
      <c r="AA715" s="743"/>
      <c r="AB715" s="743"/>
      <c r="AC715" s="743"/>
      <c r="AD715" s="743"/>
      <c r="AE715" s="743"/>
      <c r="AF715" s="743"/>
      <c r="AG715" s="743"/>
      <c r="AH715" s="743"/>
      <c r="AI715" s="743"/>
      <c r="AJ715" s="743"/>
      <c r="AK715" s="743"/>
      <c r="AL715" s="743"/>
      <c r="AM715" s="743"/>
    </row>
    <row r="716" spans="1:39" ht="17.25">
      <c r="A716" s="752"/>
      <c r="B716" s="752"/>
      <c r="C716" s="752"/>
      <c r="D716" s="752"/>
      <c r="E716" s="752"/>
      <c r="F716" s="752"/>
      <c r="G716" s="752"/>
      <c r="H716" s="752"/>
      <c r="I716" s="829"/>
      <c r="J716" s="752"/>
      <c r="K716" s="752"/>
      <c r="L716" s="743"/>
      <c r="M716" s="743"/>
      <c r="N716" s="743"/>
      <c r="O716" s="743"/>
      <c r="P716" s="743"/>
      <c r="Q716" s="743"/>
      <c r="R716" s="743"/>
      <c r="S716" s="743"/>
      <c r="T716" s="743"/>
      <c r="U716" s="743"/>
      <c r="V716" s="743"/>
      <c r="W716" s="743"/>
      <c r="X716" s="743"/>
      <c r="Y716" s="743"/>
      <c r="Z716" s="743"/>
      <c r="AA716" s="743"/>
      <c r="AB716" s="743"/>
      <c r="AC716" s="743"/>
      <c r="AD716" s="743"/>
      <c r="AE716" s="743"/>
      <c r="AF716" s="743"/>
      <c r="AG716" s="743"/>
      <c r="AH716" s="743"/>
      <c r="AI716" s="743"/>
      <c r="AJ716" s="743"/>
      <c r="AK716" s="743"/>
      <c r="AL716" s="743"/>
      <c r="AM716" s="743"/>
    </row>
    <row r="717" spans="1:39" ht="17.25">
      <c r="A717" s="752"/>
      <c r="B717" s="752"/>
      <c r="C717" s="752"/>
      <c r="D717" s="752"/>
      <c r="E717" s="752"/>
      <c r="F717" s="752"/>
      <c r="G717" s="752"/>
      <c r="H717" s="752"/>
      <c r="I717" s="829"/>
      <c r="J717" s="752"/>
      <c r="K717" s="752"/>
      <c r="L717" s="743"/>
      <c r="M717" s="743"/>
      <c r="N717" s="743"/>
      <c r="O717" s="743"/>
      <c r="P717" s="743"/>
      <c r="Q717" s="743"/>
      <c r="R717" s="743"/>
      <c r="S717" s="743"/>
      <c r="T717" s="743"/>
      <c r="U717" s="743"/>
      <c r="V717" s="743"/>
      <c r="W717" s="743"/>
      <c r="X717" s="743"/>
      <c r="Y717" s="743"/>
      <c r="Z717" s="743"/>
      <c r="AA717" s="743"/>
      <c r="AB717" s="743"/>
      <c r="AC717" s="743"/>
      <c r="AD717" s="743"/>
      <c r="AE717" s="743"/>
      <c r="AF717" s="743"/>
      <c r="AG717" s="743"/>
      <c r="AH717" s="743"/>
      <c r="AI717" s="743"/>
      <c r="AJ717" s="743"/>
      <c r="AK717" s="743"/>
      <c r="AL717" s="743"/>
      <c r="AM717" s="743"/>
    </row>
    <row r="718" spans="1:39" ht="17.25">
      <c r="A718" s="752"/>
      <c r="B718" s="752"/>
      <c r="C718" s="752"/>
      <c r="D718" s="752"/>
      <c r="E718" s="752"/>
      <c r="F718" s="752"/>
      <c r="G718" s="752"/>
      <c r="H718" s="752"/>
      <c r="I718" s="829"/>
      <c r="J718" s="752"/>
      <c r="K718" s="752"/>
      <c r="L718" s="743"/>
      <c r="M718" s="743"/>
      <c r="N718" s="743"/>
      <c r="O718" s="743"/>
      <c r="P718" s="743"/>
      <c r="Q718" s="743"/>
      <c r="R718" s="743"/>
      <c r="S718" s="743"/>
      <c r="T718" s="743"/>
      <c r="U718" s="743"/>
      <c r="V718" s="743"/>
      <c r="W718" s="743"/>
      <c r="X718" s="743"/>
      <c r="Y718" s="743"/>
      <c r="Z718" s="743"/>
      <c r="AA718" s="743"/>
      <c r="AB718" s="743"/>
      <c r="AC718" s="743"/>
      <c r="AD718" s="743"/>
      <c r="AE718" s="743"/>
      <c r="AF718" s="743"/>
      <c r="AG718" s="743"/>
      <c r="AH718" s="743"/>
      <c r="AI718" s="743"/>
      <c r="AJ718" s="743"/>
      <c r="AK718" s="743"/>
      <c r="AL718" s="743"/>
      <c r="AM718" s="743"/>
    </row>
    <row r="719" spans="1:39" ht="17.25">
      <c r="A719" s="752"/>
      <c r="B719" s="752"/>
      <c r="C719" s="752"/>
      <c r="D719" s="752"/>
      <c r="E719" s="752"/>
      <c r="F719" s="752"/>
      <c r="G719" s="752"/>
      <c r="H719" s="752"/>
      <c r="I719" s="829"/>
      <c r="J719" s="752"/>
      <c r="K719" s="752"/>
      <c r="L719" s="743"/>
      <c r="M719" s="743"/>
      <c r="N719" s="743"/>
      <c r="O719" s="743"/>
      <c r="P719" s="743"/>
      <c r="Q719" s="743"/>
      <c r="R719" s="743"/>
      <c r="S719" s="743"/>
      <c r="T719" s="743"/>
      <c r="U719" s="743"/>
      <c r="V719" s="743"/>
      <c r="W719" s="743"/>
      <c r="X719" s="743"/>
      <c r="Y719" s="743"/>
      <c r="Z719" s="743"/>
      <c r="AA719" s="743"/>
      <c r="AB719" s="743"/>
      <c r="AC719" s="743"/>
      <c r="AD719" s="743"/>
      <c r="AE719" s="743"/>
      <c r="AF719" s="743"/>
      <c r="AG719" s="743"/>
      <c r="AH719" s="743"/>
      <c r="AI719" s="743"/>
      <c r="AJ719" s="743"/>
      <c r="AK719" s="743"/>
      <c r="AL719" s="743"/>
      <c r="AM719" s="743"/>
    </row>
    <row r="720" spans="1:39" ht="17.25">
      <c r="A720" s="752"/>
      <c r="B720" s="752"/>
      <c r="C720" s="752"/>
      <c r="D720" s="752"/>
      <c r="E720" s="752"/>
      <c r="F720" s="752"/>
      <c r="G720" s="752"/>
      <c r="H720" s="752"/>
      <c r="I720" s="829"/>
      <c r="J720" s="752"/>
      <c r="K720" s="752"/>
      <c r="L720" s="743"/>
      <c r="M720" s="743"/>
      <c r="N720" s="743"/>
      <c r="O720" s="743"/>
      <c r="P720" s="743"/>
      <c r="Q720" s="743"/>
      <c r="R720" s="743"/>
      <c r="S720" s="743"/>
      <c r="T720" s="743"/>
      <c r="U720" s="743"/>
      <c r="V720" s="743"/>
      <c r="W720" s="743"/>
      <c r="X720" s="743"/>
      <c r="Y720" s="743"/>
      <c r="Z720" s="743"/>
      <c r="AA720" s="743"/>
      <c r="AB720" s="743"/>
      <c r="AC720" s="743"/>
      <c r="AD720" s="743"/>
      <c r="AE720" s="743"/>
      <c r="AF720" s="743"/>
      <c r="AG720" s="743"/>
      <c r="AH720" s="743"/>
      <c r="AI720" s="743"/>
      <c r="AJ720" s="743"/>
      <c r="AK720" s="743"/>
      <c r="AL720" s="743"/>
      <c r="AM720" s="743"/>
    </row>
    <row r="721" spans="1:39" ht="17.25">
      <c r="A721" s="752"/>
      <c r="B721" s="752"/>
      <c r="C721" s="752"/>
      <c r="D721" s="752"/>
      <c r="E721" s="752"/>
      <c r="F721" s="752"/>
      <c r="G721" s="752"/>
      <c r="H721" s="752"/>
      <c r="I721" s="829"/>
      <c r="J721" s="752"/>
      <c r="K721" s="752"/>
      <c r="L721" s="743"/>
      <c r="M721" s="743"/>
      <c r="N721" s="743"/>
      <c r="O721" s="743"/>
      <c r="P721" s="743"/>
      <c r="Q721" s="743"/>
      <c r="R721" s="743"/>
      <c r="S721" s="743"/>
      <c r="T721" s="743"/>
      <c r="U721" s="743"/>
      <c r="V721" s="743"/>
      <c r="W721" s="743"/>
      <c r="X721" s="743"/>
      <c r="Y721" s="743"/>
      <c r="Z721" s="743"/>
      <c r="AA721" s="743"/>
      <c r="AB721" s="743"/>
      <c r="AC721" s="743"/>
      <c r="AD721" s="743"/>
      <c r="AE721" s="743"/>
      <c r="AF721" s="743"/>
      <c r="AG721" s="743"/>
      <c r="AH721" s="743"/>
      <c r="AI721" s="743"/>
      <c r="AJ721" s="743"/>
      <c r="AK721" s="743"/>
      <c r="AL721" s="743"/>
      <c r="AM721" s="743"/>
    </row>
    <row r="722" spans="1:39" ht="17.25">
      <c r="A722" s="752"/>
      <c r="B722" s="752"/>
      <c r="C722" s="752"/>
      <c r="D722" s="752"/>
      <c r="E722" s="752"/>
      <c r="F722" s="752"/>
      <c r="G722" s="752"/>
      <c r="H722" s="752"/>
      <c r="I722" s="829"/>
      <c r="J722" s="752"/>
      <c r="K722" s="752"/>
      <c r="L722" s="743"/>
      <c r="M722" s="743"/>
      <c r="N722" s="743"/>
      <c r="O722" s="743"/>
      <c r="P722" s="743"/>
      <c r="Q722" s="743"/>
      <c r="R722" s="743"/>
      <c r="S722" s="743"/>
      <c r="T722" s="743"/>
      <c r="U722" s="743"/>
      <c r="V722" s="743"/>
      <c r="W722" s="743"/>
      <c r="X722" s="743"/>
      <c r="Y722" s="743"/>
      <c r="Z722" s="743"/>
      <c r="AA722" s="743"/>
      <c r="AB722" s="743"/>
      <c r="AC722" s="743"/>
      <c r="AD722" s="743"/>
      <c r="AE722" s="743"/>
      <c r="AF722" s="743"/>
      <c r="AG722" s="743"/>
      <c r="AH722" s="743"/>
      <c r="AI722" s="743"/>
      <c r="AJ722" s="743"/>
      <c r="AK722" s="743"/>
      <c r="AL722" s="743"/>
      <c r="AM722" s="743"/>
    </row>
    <row r="723" spans="1:39" ht="17.25">
      <c r="A723" s="752"/>
      <c r="B723" s="752"/>
      <c r="C723" s="752"/>
      <c r="D723" s="752"/>
      <c r="E723" s="752"/>
      <c r="F723" s="752"/>
      <c r="G723" s="752"/>
      <c r="H723" s="752"/>
      <c r="I723" s="829"/>
      <c r="J723" s="752"/>
      <c r="K723" s="752"/>
      <c r="L723" s="743"/>
      <c r="M723" s="743"/>
      <c r="N723" s="743"/>
      <c r="O723" s="743"/>
      <c r="P723" s="743"/>
      <c r="Q723" s="743"/>
      <c r="R723" s="743"/>
      <c r="S723" s="743"/>
      <c r="T723" s="743"/>
      <c r="U723" s="743"/>
      <c r="V723" s="743"/>
      <c r="W723" s="743"/>
      <c r="X723" s="743"/>
      <c r="Y723" s="743"/>
      <c r="Z723" s="743"/>
      <c r="AA723" s="743"/>
      <c r="AB723" s="743"/>
      <c r="AC723" s="743"/>
      <c r="AD723" s="743"/>
      <c r="AE723" s="743"/>
      <c r="AF723" s="743"/>
      <c r="AG723" s="743"/>
      <c r="AH723" s="743"/>
      <c r="AI723" s="743"/>
      <c r="AJ723" s="743"/>
      <c r="AK723" s="743"/>
      <c r="AL723" s="743"/>
      <c r="AM723" s="743"/>
    </row>
    <row r="724" spans="1:39" ht="17.25">
      <c r="A724" s="752"/>
      <c r="B724" s="752"/>
      <c r="C724" s="752"/>
      <c r="D724" s="752"/>
      <c r="E724" s="752"/>
      <c r="F724" s="752"/>
      <c r="G724" s="752"/>
      <c r="H724" s="752"/>
      <c r="I724" s="829"/>
      <c r="J724" s="752"/>
      <c r="K724" s="752"/>
      <c r="L724" s="743"/>
      <c r="M724" s="743"/>
      <c r="N724" s="743"/>
      <c r="O724" s="743"/>
      <c r="P724" s="743"/>
      <c r="Q724" s="743"/>
      <c r="R724" s="743"/>
      <c r="S724" s="743"/>
      <c r="T724" s="743"/>
      <c r="U724" s="743"/>
      <c r="V724" s="743"/>
      <c r="W724" s="743"/>
      <c r="X724" s="743"/>
      <c r="Y724" s="743"/>
      <c r="Z724" s="743"/>
      <c r="AA724" s="743"/>
      <c r="AB724" s="743"/>
      <c r="AC724" s="743"/>
      <c r="AD724" s="743"/>
      <c r="AE724" s="743"/>
      <c r="AF724" s="743"/>
      <c r="AG724" s="743"/>
      <c r="AH724" s="743"/>
      <c r="AI724" s="743"/>
      <c r="AJ724" s="743"/>
      <c r="AK724" s="743"/>
      <c r="AL724" s="743"/>
      <c r="AM724" s="743"/>
    </row>
    <row r="725" spans="1:39" ht="17.25">
      <c r="A725" s="752"/>
      <c r="B725" s="752"/>
      <c r="C725" s="752"/>
      <c r="D725" s="752"/>
      <c r="E725" s="752"/>
      <c r="F725" s="752"/>
      <c r="G725" s="752"/>
      <c r="H725" s="752"/>
      <c r="I725" s="829"/>
      <c r="J725" s="752"/>
      <c r="K725" s="752"/>
      <c r="L725" s="743"/>
      <c r="M725" s="743"/>
      <c r="N725" s="743"/>
      <c r="O725" s="743"/>
      <c r="P725" s="743"/>
      <c r="Q725" s="743"/>
      <c r="R725" s="743"/>
      <c r="S725" s="743"/>
      <c r="T725" s="743"/>
      <c r="U725" s="743"/>
      <c r="V725" s="743"/>
      <c r="W725" s="743"/>
      <c r="X725" s="743"/>
      <c r="Y725" s="743"/>
      <c r="Z725" s="743"/>
      <c r="AA725" s="743"/>
      <c r="AB725" s="743"/>
      <c r="AC725" s="743"/>
      <c r="AD725" s="743"/>
      <c r="AE725" s="743"/>
      <c r="AF725" s="743"/>
      <c r="AG725" s="743"/>
      <c r="AH725" s="743"/>
      <c r="AI725" s="743"/>
      <c r="AJ725" s="743"/>
      <c r="AK725" s="743"/>
      <c r="AL725" s="743"/>
      <c r="AM725" s="743"/>
    </row>
    <row r="726" spans="1:39" ht="17.25">
      <c r="A726" s="752"/>
      <c r="B726" s="752"/>
      <c r="C726" s="752"/>
      <c r="D726" s="752"/>
      <c r="E726" s="752"/>
      <c r="F726" s="752"/>
      <c r="G726" s="752"/>
      <c r="H726" s="752"/>
      <c r="I726" s="829"/>
      <c r="J726" s="752"/>
      <c r="K726" s="752"/>
      <c r="L726" s="743"/>
      <c r="M726" s="743"/>
      <c r="N726" s="743"/>
      <c r="O726" s="743"/>
      <c r="P726" s="743"/>
      <c r="Q726" s="743"/>
      <c r="R726" s="743"/>
      <c r="S726" s="743"/>
      <c r="T726" s="743"/>
      <c r="U726" s="743"/>
      <c r="V726" s="743"/>
      <c r="W726" s="743"/>
      <c r="X726" s="743"/>
      <c r="Y726" s="743"/>
      <c r="Z726" s="743"/>
      <c r="AA726" s="743"/>
      <c r="AB726" s="743"/>
      <c r="AC726" s="743"/>
      <c r="AD726" s="743"/>
      <c r="AE726" s="743"/>
      <c r="AF726" s="743"/>
      <c r="AG726" s="743"/>
      <c r="AH726" s="743"/>
      <c r="AI726" s="743"/>
      <c r="AJ726" s="743"/>
      <c r="AK726" s="743"/>
      <c r="AL726" s="743"/>
      <c r="AM726" s="743"/>
    </row>
    <row r="727" spans="1:39" ht="17.25">
      <c r="A727" s="752"/>
      <c r="B727" s="752"/>
      <c r="C727" s="752"/>
      <c r="D727" s="752"/>
      <c r="E727" s="752"/>
      <c r="F727" s="752"/>
      <c r="G727" s="752"/>
      <c r="H727" s="752"/>
      <c r="I727" s="829"/>
      <c r="J727" s="752"/>
      <c r="K727" s="752"/>
      <c r="L727" s="743"/>
      <c r="M727" s="743"/>
      <c r="N727" s="743"/>
      <c r="O727" s="743"/>
      <c r="P727" s="743"/>
      <c r="Q727" s="743"/>
      <c r="R727" s="743"/>
      <c r="S727" s="743"/>
      <c r="T727" s="743"/>
      <c r="U727" s="743"/>
      <c r="V727" s="743"/>
      <c r="W727" s="743"/>
      <c r="X727" s="743"/>
      <c r="Y727" s="743"/>
      <c r="Z727" s="743"/>
      <c r="AA727" s="743"/>
      <c r="AB727" s="743"/>
      <c r="AC727" s="743"/>
      <c r="AD727" s="743"/>
      <c r="AE727" s="743"/>
      <c r="AF727" s="743"/>
      <c r="AG727" s="743"/>
      <c r="AH727" s="743"/>
      <c r="AI727" s="743"/>
      <c r="AJ727" s="743"/>
      <c r="AK727" s="743"/>
      <c r="AL727" s="743"/>
      <c r="AM727" s="743"/>
    </row>
    <row r="728" spans="1:39" ht="17.25">
      <c r="A728" s="752"/>
      <c r="B728" s="752"/>
      <c r="C728" s="752"/>
      <c r="D728" s="752"/>
      <c r="E728" s="752"/>
      <c r="F728" s="752"/>
      <c r="G728" s="752"/>
      <c r="H728" s="752"/>
      <c r="I728" s="829"/>
      <c r="J728" s="752"/>
      <c r="K728" s="752"/>
      <c r="L728" s="743"/>
      <c r="M728" s="743"/>
      <c r="N728" s="743"/>
      <c r="O728" s="743"/>
      <c r="P728" s="743"/>
      <c r="Q728" s="743"/>
      <c r="R728" s="743"/>
      <c r="S728" s="743"/>
      <c r="T728" s="743"/>
      <c r="U728" s="743"/>
      <c r="V728" s="743"/>
      <c r="W728" s="743"/>
      <c r="X728" s="743"/>
      <c r="Y728" s="743"/>
      <c r="Z728" s="743"/>
      <c r="AA728" s="743"/>
      <c r="AB728" s="743"/>
      <c r="AC728" s="743"/>
      <c r="AD728" s="743"/>
      <c r="AE728" s="743"/>
      <c r="AF728" s="743"/>
      <c r="AG728" s="743"/>
      <c r="AH728" s="743"/>
      <c r="AI728" s="743"/>
      <c r="AJ728" s="743"/>
      <c r="AK728" s="743"/>
      <c r="AL728" s="743"/>
      <c r="AM728" s="743"/>
    </row>
    <row r="729" spans="1:39" ht="17.25">
      <c r="A729" s="752"/>
      <c r="B729" s="752"/>
      <c r="C729" s="752"/>
      <c r="D729" s="752"/>
      <c r="E729" s="752"/>
      <c r="F729" s="752"/>
      <c r="G729" s="752"/>
      <c r="H729" s="752"/>
      <c r="I729" s="829"/>
      <c r="J729" s="752"/>
      <c r="K729" s="752"/>
      <c r="L729" s="743"/>
      <c r="M729" s="743"/>
      <c r="N729" s="743"/>
      <c r="O729" s="743"/>
      <c r="P729" s="743"/>
      <c r="Q729" s="743"/>
      <c r="R729" s="743"/>
      <c r="S729" s="743"/>
      <c r="T729" s="743"/>
      <c r="U729" s="743"/>
      <c r="V729" s="743"/>
      <c r="W729" s="743"/>
      <c r="X729" s="743"/>
      <c r="Y729" s="743"/>
      <c r="Z729" s="743"/>
      <c r="AA729" s="743"/>
      <c r="AB729" s="743"/>
      <c r="AC729" s="743"/>
      <c r="AD729" s="743"/>
      <c r="AE729" s="743"/>
      <c r="AF729" s="743"/>
      <c r="AG729" s="743"/>
      <c r="AH729" s="743"/>
      <c r="AI729" s="743"/>
      <c r="AJ729" s="743"/>
      <c r="AK729" s="743"/>
      <c r="AL729" s="743"/>
      <c r="AM729" s="743"/>
    </row>
    <row r="730" spans="1:39" ht="17.25">
      <c r="A730" s="752"/>
      <c r="B730" s="752"/>
      <c r="C730" s="752"/>
      <c r="D730" s="752"/>
      <c r="E730" s="752"/>
      <c r="F730" s="752"/>
      <c r="G730" s="752"/>
      <c r="H730" s="752"/>
      <c r="I730" s="829"/>
      <c r="J730" s="752"/>
      <c r="K730" s="752"/>
      <c r="L730" s="743"/>
      <c r="M730" s="743"/>
      <c r="N730" s="743"/>
      <c r="O730" s="743"/>
      <c r="P730" s="743"/>
      <c r="Q730" s="743"/>
      <c r="R730" s="743"/>
      <c r="S730" s="743"/>
      <c r="T730" s="743"/>
      <c r="U730" s="743"/>
      <c r="V730" s="743"/>
      <c r="W730" s="743"/>
      <c r="X730" s="743"/>
      <c r="Y730" s="743"/>
      <c r="Z730" s="743"/>
      <c r="AA730" s="743"/>
      <c r="AB730" s="743"/>
      <c r="AC730" s="743"/>
      <c r="AD730" s="743"/>
      <c r="AE730" s="743"/>
      <c r="AF730" s="743"/>
      <c r="AG730" s="743"/>
      <c r="AH730" s="743"/>
      <c r="AI730" s="743"/>
      <c r="AJ730" s="743"/>
      <c r="AK730" s="743"/>
      <c r="AL730" s="743"/>
      <c r="AM730" s="743"/>
    </row>
    <row r="731" spans="1:39" ht="17.25">
      <c r="A731" s="752"/>
      <c r="B731" s="752"/>
      <c r="C731" s="752"/>
      <c r="D731" s="752"/>
      <c r="E731" s="752"/>
      <c r="F731" s="752"/>
      <c r="G731" s="752"/>
      <c r="H731" s="752"/>
      <c r="I731" s="829"/>
      <c r="J731" s="752"/>
      <c r="K731" s="752"/>
      <c r="L731" s="743"/>
      <c r="M731" s="743"/>
      <c r="N731" s="743"/>
      <c r="O731" s="743"/>
      <c r="P731" s="743"/>
      <c r="Q731" s="743"/>
      <c r="R731" s="743"/>
      <c r="S731" s="743"/>
      <c r="T731" s="743"/>
      <c r="U731" s="743"/>
      <c r="V731" s="743"/>
      <c r="W731" s="743"/>
      <c r="X731" s="743"/>
      <c r="Y731" s="743"/>
      <c r="Z731" s="743"/>
      <c r="AA731" s="743"/>
      <c r="AB731" s="743"/>
      <c r="AC731" s="743"/>
      <c r="AD731" s="743"/>
      <c r="AE731" s="743"/>
      <c r="AF731" s="743"/>
      <c r="AG731" s="743"/>
      <c r="AH731" s="743"/>
      <c r="AI731" s="743"/>
      <c r="AJ731" s="743"/>
      <c r="AK731" s="743"/>
      <c r="AL731" s="743"/>
      <c r="AM731" s="743"/>
    </row>
    <row r="732" spans="1:39" ht="17.25">
      <c r="A732" s="752"/>
      <c r="B732" s="752"/>
      <c r="C732" s="752"/>
      <c r="D732" s="752"/>
      <c r="E732" s="752"/>
      <c r="F732" s="752"/>
      <c r="G732" s="752"/>
      <c r="H732" s="752"/>
      <c r="I732" s="829"/>
      <c r="J732" s="752"/>
      <c r="K732" s="752"/>
      <c r="L732" s="743"/>
      <c r="M732" s="743"/>
      <c r="N732" s="743"/>
      <c r="O732" s="743"/>
      <c r="P732" s="743"/>
      <c r="Q732" s="743"/>
      <c r="R732" s="743"/>
      <c r="S732" s="743"/>
      <c r="T732" s="743"/>
      <c r="U732" s="743"/>
      <c r="V732" s="743"/>
      <c r="W732" s="743"/>
      <c r="X732" s="743"/>
      <c r="Y732" s="743"/>
      <c r="Z732" s="743"/>
      <c r="AA732" s="743"/>
      <c r="AB732" s="743"/>
      <c r="AC732" s="743"/>
      <c r="AD732" s="743"/>
      <c r="AE732" s="743"/>
      <c r="AF732" s="743"/>
      <c r="AG732" s="743"/>
      <c r="AH732" s="743"/>
      <c r="AI732" s="743"/>
      <c r="AJ732" s="743"/>
      <c r="AK732" s="743"/>
      <c r="AL732" s="743"/>
      <c r="AM732" s="743"/>
    </row>
    <row r="733" spans="1:39" ht="17.25">
      <c r="A733" s="752"/>
      <c r="B733" s="752"/>
      <c r="C733" s="752"/>
      <c r="D733" s="752"/>
      <c r="E733" s="752"/>
      <c r="F733" s="752"/>
      <c r="G733" s="752"/>
      <c r="H733" s="752"/>
      <c r="I733" s="829"/>
      <c r="J733" s="752"/>
      <c r="K733" s="752"/>
      <c r="L733" s="743"/>
      <c r="M733" s="743"/>
      <c r="N733" s="743"/>
      <c r="O733" s="743"/>
      <c r="P733" s="743"/>
      <c r="Q733" s="743"/>
      <c r="R733" s="743"/>
      <c r="S733" s="743"/>
      <c r="T733" s="743"/>
      <c r="U733" s="743"/>
      <c r="V733" s="743"/>
      <c r="W733" s="743"/>
      <c r="X733" s="743"/>
      <c r="Y733" s="743"/>
      <c r="Z733" s="743"/>
      <c r="AA733" s="743"/>
      <c r="AB733" s="743"/>
      <c r="AC733" s="743"/>
      <c r="AD733" s="743"/>
      <c r="AE733" s="743"/>
      <c r="AF733" s="743"/>
      <c r="AG733" s="743"/>
      <c r="AH733" s="743"/>
      <c r="AI733" s="743"/>
      <c r="AJ733" s="743"/>
      <c r="AK733" s="743"/>
      <c r="AL733" s="743"/>
      <c r="AM733" s="743"/>
    </row>
    <row r="734" spans="1:39" ht="17.25">
      <c r="A734" s="752"/>
      <c r="B734" s="752"/>
      <c r="C734" s="752"/>
      <c r="D734" s="752"/>
      <c r="E734" s="752"/>
      <c r="F734" s="752"/>
      <c r="G734" s="752"/>
      <c r="H734" s="752"/>
      <c r="I734" s="829"/>
      <c r="J734" s="752"/>
      <c r="K734" s="752"/>
      <c r="L734" s="743"/>
      <c r="M734" s="743"/>
      <c r="N734" s="743"/>
      <c r="O734" s="743"/>
      <c r="P734" s="743"/>
      <c r="Q734" s="743"/>
      <c r="R734" s="743"/>
      <c r="S734" s="743"/>
      <c r="T734" s="743"/>
      <c r="U734" s="743"/>
      <c r="V734" s="743"/>
      <c r="W734" s="743"/>
      <c r="X734" s="743"/>
      <c r="Y734" s="743"/>
      <c r="Z734" s="743"/>
      <c r="AA734" s="743"/>
      <c r="AB734" s="743"/>
      <c r="AC734" s="743"/>
      <c r="AD734" s="743"/>
      <c r="AE734" s="743"/>
      <c r="AF734" s="743"/>
      <c r="AG734" s="743"/>
      <c r="AH734" s="743"/>
      <c r="AI734" s="743"/>
      <c r="AJ734" s="743"/>
      <c r="AK734" s="743"/>
      <c r="AL734" s="743"/>
      <c r="AM734" s="743"/>
    </row>
    <row r="735" spans="1:39" ht="17.25">
      <c r="A735" s="752"/>
      <c r="B735" s="752"/>
      <c r="C735" s="752"/>
      <c r="D735" s="752"/>
      <c r="E735" s="752"/>
      <c r="F735" s="752"/>
      <c r="G735" s="752"/>
      <c r="H735" s="752"/>
      <c r="I735" s="829"/>
      <c r="J735" s="752"/>
      <c r="K735" s="752"/>
      <c r="L735" s="743"/>
      <c r="M735" s="743"/>
      <c r="N735" s="743"/>
      <c r="O735" s="743"/>
      <c r="P735" s="743"/>
      <c r="Q735" s="743"/>
      <c r="R735" s="743"/>
      <c r="S735" s="743"/>
      <c r="T735" s="743"/>
      <c r="U735" s="743"/>
      <c r="V735" s="743"/>
      <c r="W735" s="743"/>
      <c r="X735" s="743"/>
      <c r="Y735" s="743"/>
      <c r="Z735" s="743"/>
      <c r="AA735" s="743"/>
      <c r="AB735" s="743"/>
      <c r="AC735" s="743"/>
      <c r="AD735" s="743"/>
      <c r="AE735" s="743"/>
      <c r="AF735" s="743"/>
      <c r="AG735" s="743"/>
      <c r="AH735" s="743"/>
      <c r="AI735" s="743"/>
      <c r="AJ735" s="743"/>
      <c r="AK735" s="743"/>
      <c r="AL735" s="743"/>
      <c r="AM735" s="743"/>
    </row>
    <row r="736" spans="1:39" ht="17.25">
      <c r="A736" s="752"/>
      <c r="B736" s="752"/>
      <c r="C736" s="752"/>
      <c r="D736" s="752"/>
      <c r="E736" s="752"/>
      <c r="F736" s="752"/>
      <c r="G736" s="752"/>
      <c r="H736" s="752"/>
      <c r="I736" s="829"/>
      <c r="J736" s="752"/>
      <c r="K736" s="752"/>
      <c r="L736" s="743"/>
      <c r="M736" s="743"/>
      <c r="N736" s="743"/>
      <c r="O736" s="743"/>
      <c r="P736" s="743"/>
      <c r="Q736" s="743"/>
      <c r="R736" s="743"/>
      <c r="S736" s="743"/>
      <c r="T736" s="743"/>
      <c r="U736" s="743"/>
      <c r="V736" s="743"/>
      <c r="W736" s="743"/>
      <c r="X736" s="743"/>
      <c r="Y736" s="743"/>
      <c r="Z736" s="743"/>
      <c r="AA736" s="743"/>
      <c r="AB736" s="743"/>
      <c r="AC736" s="743"/>
      <c r="AD736" s="743"/>
      <c r="AE736" s="743"/>
      <c r="AF736" s="743"/>
      <c r="AG736" s="743"/>
      <c r="AH736" s="743"/>
      <c r="AI736" s="743"/>
      <c r="AJ736" s="743"/>
      <c r="AK736" s="743"/>
      <c r="AL736" s="743"/>
      <c r="AM736" s="743"/>
    </row>
    <row r="737" spans="1:39" ht="17.25">
      <c r="A737" s="752"/>
      <c r="B737" s="752"/>
      <c r="C737" s="752"/>
      <c r="D737" s="752"/>
      <c r="E737" s="752"/>
      <c r="F737" s="752"/>
      <c r="G737" s="752"/>
      <c r="H737" s="752"/>
      <c r="I737" s="829"/>
      <c r="J737" s="752"/>
      <c r="K737" s="752"/>
      <c r="L737" s="743"/>
      <c r="M737" s="743"/>
      <c r="N737" s="743"/>
      <c r="O737" s="743"/>
      <c r="P737" s="743"/>
      <c r="Q737" s="743"/>
      <c r="R737" s="743"/>
      <c r="S737" s="743"/>
      <c r="T737" s="743"/>
      <c r="U737" s="743"/>
      <c r="V737" s="743"/>
      <c r="W737" s="743"/>
      <c r="X737" s="743"/>
      <c r="Y737" s="743"/>
      <c r="Z737" s="743"/>
      <c r="AA737" s="743"/>
      <c r="AB737" s="743"/>
      <c r="AC737" s="743"/>
      <c r="AD737" s="743"/>
      <c r="AE737" s="743"/>
      <c r="AF737" s="743"/>
      <c r="AG737" s="743"/>
      <c r="AH737" s="743"/>
      <c r="AI737" s="743"/>
      <c r="AJ737" s="743"/>
      <c r="AK737" s="743"/>
      <c r="AL737" s="743"/>
      <c r="AM737" s="743"/>
    </row>
    <row r="738" spans="1:39" ht="17.25">
      <c r="A738" s="752"/>
      <c r="B738" s="752"/>
      <c r="C738" s="752"/>
      <c r="D738" s="752"/>
      <c r="E738" s="752"/>
      <c r="F738" s="752"/>
      <c r="G738" s="752"/>
      <c r="H738" s="752"/>
      <c r="I738" s="829"/>
      <c r="J738" s="752"/>
      <c r="K738" s="752"/>
      <c r="L738" s="743"/>
      <c r="M738" s="743"/>
      <c r="N738" s="743"/>
      <c r="O738" s="743"/>
      <c r="P738" s="743"/>
      <c r="Q738" s="743"/>
      <c r="R738" s="743"/>
      <c r="S738" s="743"/>
      <c r="T738" s="743"/>
      <c r="U738" s="743"/>
      <c r="V738" s="743"/>
      <c r="W738" s="743"/>
      <c r="X738" s="743"/>
      <c r="Y738" s="743"/>
      <c r="Z738" s="743"/>
      <c r="AA738" s="743"/>
      <c r="AB738" s="743"/>
      <c r="AC738" s="743"/>
      <c r="AD738" s="743"/>
      <c r="AE738" s="743"/>
      <c r="AF738" s="743"/>
      <c r="AG738" s="743"/>
      <c r="AH738" s="743"/>
      <c r="AI738" s="743"/>
      <c r="AJ738" s="743"/>
      <c r="AK738" s="743"/>
      <c r="AL738" s="743"/>
      <c r="AM738" s="743"/>
    </row>
    <row r="739" spans="1:39" ht="17.25">
      <c r="A739" s="752"/>
      <c r="B739" s="752"/>
      <c r="C739" s="752"/>
      <c r="D739" s="752"/>
      <c r="E739" s="752"/>
      <c r="F739" s="752"/>
      <c r="G739" s="752"/>
      <c r="H739" s="752"/>
      <c r="I739" s="829"/>
      <c r="J739" s="752"/>
      <c r="K739" s="752"/>
      <c r="L739" s="743"/>
      <c r="M739" s="743"/>
      <c r="N739" s="743"/>
      <c r="O739" s="743"/>
      <c r="P739" s="743"/>
      <c r="Q739" s="743"/>
      <c r="R739" s="743"/>
      <c r="S739" s="743"/>
      <c r="T739" s="743"/>
      <c r="U739" s="743"/>
      <c r="V739" s="743"/>
      <c r="W739" s="743"/>
      <c r="X739" s="743"/>
      <c r="Y739" s="743"/>
      <c r="Z739" s="743"/>
      <c r="AA739" s="743"/>
      <c r="AB739" s="743"/>
      <c r="AC739" s="743"/>
      <c r="AD739" s="743"/>
      <c r="AE739" s="743"/>
      <c r="AF739" s="743"/>
      <c r="AG739" s="743"/>
      <c r="AH739" s="743"/>
      <c r="AI739" s="743"/>
      <c r="AJ739" s="743"/>
      <c r="AK739" s="743"/>
      <c r="AL739" s="743"/>
      <c r="AM739" s="743"/>
    </row>
    <row r="740" spans="1:39" ht="17.25">
      <c r="A740" s="752"/>
      <c r="B740" s="752"/>
      <c r="C740" s="752"/>
      <c r="D740" s="752"/>
      <c r="E740" s="752"/>
      <c r="F740" s="752"/>
      <c r="G740" s="752"/>
      <c r="H740" s="752"/>
      <c r="I740" s="829"/>
      <c r="J740" s="752"/>
      <c r="K740" s="752"/>
      <c r="L740" s="743"/>
      <c r="M740" s="743"/>
      <c r="N740" s="743"/>
      <c r="O740" s="743"/>
      <c r="P740" s="743"/>
      <c r="Q740" s="743"/>
      <c r="R740" s="743"/>
      <c r="S740" s="743"/>
      <c r="T740" s="743"/>
      <c r="U740" s="743"/>
      <c r="V740" s="743"/>
      <c r="W740" s="743"/>
      <c r="X740" s="743"/>
      <c r="Y740" s="743"/>
      <c r="Z740" s="743"/>
      <c r="AA740" s="743"/>
      <c r="AB740" s="743"/>
      <c r="AC740" s="743"/>
      <c r="AD740" s="743"/>
      <c r="AE740" s="743"/>
      <c r="AF740" s="743"/>
      <c r="AG740" s="743"/>
      <c r="AH740" s="743"/>
      <c r="AI740" s="743"/>
      <c r="AJ740" s="743"/>
      <c r="AK740" s="743"/>
      <c r="AL740" s="743"/>
      <c r="AM740" s="743"/>
    </row>
    <row r="741" spans="1:39" ht="17.25">
      <c r="A741" s="752"/>
      <c r="B741" s="752"/>
      <c r="C741" s="752"/>
      <c r="D741" s="752"/>
      <c r="E741" s="752"/>
      <c r="F741" s="752"/>
      <c r="G741" s="752"/>
      <c r="H741" s="752"/>
      <c r="I741" s="829"/>
      <c r="J741" s="752"/>
      <c r="K741" s="752"/>
      <c r="L741" s="743"/>
      <c r="M741" s="743"/>
      <c r="N741" s="743"/>
      <c r="O741" s="743"/>
      <c r="P741" s="743"/>
      <c r="Q741" s="743"/>
      <c r="R741" s="743"/>
      <c r="S741" s="743"/>
      <c r="T741" s="743"/>
      <c r="U741" s="743"/>
      <c r="V741" s="743"/>
      <c r="W741" s="743"/>
      <c r="X741" s="743"/>
      <c r="Y741" s="743"/>
      <c r="Z741" s="743"/>
      <c r="AA741" s="743"/>
      <c r="AB741" s="743"/>
      <c r="AC741" s="743"/>
      <c r="AD741" s="743"/>
      <c r="AE741" s="743"/>
      <c r="AF741" s="743"/>
      <c r="AG741" s="743"/>
      <c r="AH741" s="743"/>
      <c r="AI741" s="743"/>
      <c r="AJ741" s="743"/>
      <c r="AK741" s="743"/>
      <c r="AL741" s="743"/>
      <c r="AM741" s="743"/>
    </row>
    <row r="742" spans="1:39" ht="17.25">
      <c r="A742" s="752"/>
      <c r="B742" s="752"/>
      <c r="C742" s="752"/>
      <c r="D742" s="752"/>
      <c r="E742" s="752"/>
      <c r="F742" s="752"/>
      <c r="G742" s="752"/>
      <c r="H742" s="752"/>
      <c r="I742" s="829"/>
      <c r="J742" s="752"/>
      <c r="K742" s="752"/>
      <c r="L742" s="743"/>
      <c r="M742" s="743"/>
      <c r="N742" s="743"/>
      <c r="O742" s="743"/>
      <c r="P742" s="743"/>
      <c r="Q742" s="743"/>
      <c r="R742" s="743"/>
      <c r="S742" s="743"/>
      <c r="T742" s="743"/>
      <c r="U742" s="743"/>
      <c r="V742" s="743"/>
      <c r="W742" s="743"/>
      <c r="X742" s="743"/>
      <c r="Y742" s="743"/>
      <c r="Z742" s="743"/>
      <c r="AA742" s="743"/>
      <c r="AB742" s="743"/>
      <c r="AC742" s="743"/>
      <c r="AD742" s="743"/>
      <c r="AE742" s="743"/>
      <c r="AF742" s="743"/>
      <c r="AG742" s="743"/>
      <c r="AH742" s="743"/>
      <c r="AI742" s="743"/>
      <c r="AJ742" s="743"/>
      <c r="AK742" s="743"/>
      <c r="AL742" s="743"/>
      <c r="AM742" s="743"/>
    </row>
    <row r="743" spans="1:39" ht="17.25">
      <c r="A743" s="752"/>
      <c r="B743" s="752"/>
      <c r="C743" s="752"/>
      <c r="D743" s="752"/>
      <c r="E743" s="752"/>
      <c r="F743" s="752"/>
      <c r="G743" s="752"/>
      <c r="H743" s="752"/>
      <c r="I743" s="829"/>
      <c r="J743" s="752"/>
      <c r="K743" s="752"/>
      <c r="L743" s="743"/>
      <c r="M743" s="743"/>
      <c r="N743" s="743"/>
      <c r="O743" s="743"/>
      <c r="P743" s="743"/>
      <c r="Q743" s="743"/>
      <c r="R743" s="743"/>
      <c r="S743" s="743"/>
      <c r="T743" s="743"/>
      <c r="U743" s="743"/>
      <c r="V743" s="743"/>
      <c r="W743" s="743"/>
      <c r="X743" s="743"/>
      <c r="Y743" s="743"/>
      <c r="Z743" s="743"/>
      <c r="AA743" s="743"/>
      <c r="AB743" s="743"/>
      <c r="AC743" s="743"/>
      <c r="AD743" s="743"/>
      <c r="AE743" s="743"/>
      <c r="AF743" s="743"/>
      <c r="AG743" s="743"/>
      <c r="AH743" s="743"/>
      <c r="AI743" s="743"/>
      <c r="AJ743" s="743"/>
      <c r="AK743" s="743"/>
      <c r="AL743" s="743"/>
      <c r="AM743" s="743"/>
    </row>
    <row r="744" spans="1:39" ht="17.25">
      <c r="A744" s="752"/>
      <c r="B744" s="752"/>
      <c r="C744" s="752"/>
      <c r="D744" s="752"/>
      <c r="E744" s="752"/>
      <c r="F744" s="752"/>
      <c r="G744" s="752"/>
      <c r="H744" s="752"/>
      <c r="I744" s="829"/>
      <c r="J744" s="752"/>
      <c r="K744" s="752"/>
      <c r="L744" s="743"/>
      <c r="M744" s="743"/>
      <c r="N744" s="743"/>
      <c r="O744" s="743"/>
      <c r="P744" s="743"/>
      <c r="Q744" s="743"/>
      <c r="R744" s="743"/>
      <c r="S744" s="743"/>
      <c r="T744" s="743"/>
      <c r="U744" s="743"/>
      <c r="V744" s="743"/>
      <c r="W744" s="743"/>
      <c r="X744" s="743"/>
      <c r="Y744" s="743"/>
      <c r="Z744" s="743"/>
      <c r="AA744" s="743"/>
      <c r="AB744" s="743"/>
      <c r="AC744" s="743"/>
      <c r="AD744" s="743"/>
      <c r="AE744" s="743"/>
      <c r="AF744" s="743"/>
      <c r="AG744" s="743"/>
      <c r="AH744" s="743"/>
      <c r="AI744" s="743"/>
      <c r="AJ744" s="743"/>
      <c r="AK744" s="743"/>
      <c r="AL744" s="743"/>
      <c r="AM744" s="743"/>
    </row>
    <row r="745" spans="1:39" ht="17.25">
      <c r="A745" s="752"/>
      <c r="B745" s="752"/>
      <c r="C745" s="752"/>
      <c r="D745" s="752"/>
      <c r="E745" s="752"/>
      <c r="F745" s="752"/>
      <c r="G745" s="752"/>
      <c r="H745" s="752"/>
      <c r="I745" s="829"/>
      <c r="J745" s="752"/>
      <c r="K745" s="752"/>
      <c r="L745" s="743"/>
      <c r="M745" s="743"/>
      <c r="N745" s="743"/>
      <c r="O745" s="743"/>
      <c r="P745" s="743"/>
      <c r="Q745" s="743"/>
      <c r="R745" s="743"/>
      <c r="S745" s="743"/>
      <c r="T745" s="743"/>
      <c r="U745" s="743"/>
      <c r="V745" s="743"/>
      <c r="W745" s="743"/>
      <c r="X745" s="743"/>
      <c r="Y745" s="743"/>
      <c r="Z745" s="743"/>
      <c r="AA745" s="743"/>
      <c r="AB745" s="743"/>
      <c r="AC745" s="743"/>
      <c r="AD745" s="743"/>
      <c r="AE745" s="743"/>
      <c r="AF745" s="743"/>
      <c r="AG745" s="743"/>
      <c r="AH745" s="743"/>
      <c r="AI745" s="743"/>
      <c r="AJ745" s="743"/>
      <c r="AK745" s="743"/>
      <c r="AL745" s="743"/>
      <c r="AM745" s="743"/>
    </row>
    <row r="746" spans="1:39" ht="17.25">
      <c r="A746" s="752"/>
      <c r="B746" s="752"/>
      <c r="C746" s="752"/>
      <c r="D746" s="752"/>
      <c r="E746" s="752"/>
      <c r="F746" s="752"/>
      <c r="G746" s="752"/>
      <c r="H746" s="752"/>
      <c r="I746" s="829"/>
      <c r="J746" s="752"/>
      <c r="K746" s="752"/>
      <c r="L746" s="743"/>
      <c r="M746" s="743"/>
      <c r="N746" s="743"/>
      <c r="O746" s="743"/>
      <c r="P746" s="743"/>
      <c r="Q746" s="743"/>
      <c r="R746" s="743"/>
      <c r="S746" s="743"/>
      <c r="T746" s="743"/>
      <c r="U746" s="743"/>
      <c r="V746" s="743"/>
      <c r="W746" s="743"/>
      <c r="X746" s="743"/>
      <c r="Y746" s="743"/>
      <c r="Z746" s="743"/>
      <c r="AA746" s="743"/>
      <c r="AB746" s="743"/>
      <c r="AC746" s="743"/>
      <c r="AD746" s="743"/>
      <c r="AE746" s="743"/>
      <c r="AF746" s="743"/>
      <c r="AG746" s="743"/>
      <c r="AH746" s="743"/>
      <c r="AI746" s="743"/>
      <c r="AJ746" s="743"/>
      <c r="AK746" s="743"/>
      <c r="AL746" s="743"/>
      <c r="AM746" s="743"/>
    </row>
    <row r="747" spans="1:39" ht="17.25">
      <c r="A747" s="752"/>
      <c r="B747" s="752"/>
      <c r="C747" s="752"/>
      <c r="D747" s="752"/>
      <c r="E747" s="752"/>
      <c r="F747" s="752"/>
      <c r="G747" s="752"/>
      <c r="H747" s="752"/>
      <c r="I747" s="829"/>
      <c r="J747" s="752"/>
      <c r="K747" s="752"/>
      <c r="L747" s="743"/>
      <c r="M747" s="743"/>
      <c r="N747" s="743"/>
      <c r="O747" s="743"/>
      <c r="P747" s="743"/>
      <c r="Q747" s="743"/>
      <c r="R747" s="743"/>
      <c r="S747" s="743"/>
      <c r="T747" s="743"/>
      <c r="U747" s="743"/>
      <c r="V747" s="743"/>
      <c r="W747" s="743"/>
      <c r="X747" s="743"/>
      <c r="Y747" s="743"/>
      <c r="Z747" s="743"/>
      <c r="AA747" s="743"/>
      <c r="AB747" s="743"/>
      <c r="AC747" s="743"/>
      <c r="AD747" s="743"/>
      <c r="AE747" s="743"/>
      <c r="AF747" s="743"/>
      <c r="AG747" s="743"/>
      <c r="AH747" s="743"/>
      <c r="AI747" s="743"/>
      <c r="AJ747" s="743"/>
      <c r="AK747" s="743"/>
      <c r="AL747" s="743"/>
      <c r="AM747" s="743"/>
    </row>
    <row r="748" spans="1:39" ht="17.25">
      <c r="A748" s="752"/>
      <c r="B748" s="752"/>
      <c r="C748" s="752"/>
      <c r="D748" s="752"/>
      <c r="E748" s="752"/>
      <c r="F748" s="752"/>
      <c r="G748" s="752"/>
      <c r="H748" s="752"/>
      <c r="I748" s="829"/>
      <c r="J748" s="752"/>
      <c r="K748" s="752"/>
      <c r="L748" s="743"/>
      <c r="M748" s="743"/>
      <c r="N748" s="743"/>
      <c r="O748" s="743"/>
      <c r="P748" s="743"/>
      <c r="Q748" s="743"/>
      <c r="R748" s="743"/>
      <c r="S748" s="743"/>
      <c r="T748" s="743"/>
      <c r="U748" s="743"/>
      <c r="V748" s="743"/>
      <c r="W748" s="743"/>
      <c r="X748" s="743"/>
      <c r="Y748" s="743"/>
      <c r="Z748" s="743"/>
      <c r="AA748" s="743"/>
      <c r="AB748" s="743"/>
      <c r="AC748" s="743"/>
      <c r="AD748" s="743"/>
      <c r="AE748" s="743"/>
      <c r="AF748" s="743"/>
      <c r="AG748" s="743"/>
      <c r="AH748" s="743"/>
      <c r="AI748" s="743"/>
      <c r="AJ748" s="743"/>
      <c r="AK748" s="743"/>
      <c r="AL748" s="743"/>
      <c r="AM748" s="743"/>
    </row>
    <row r="749" spans="1:39" ht="17.25">
      <c r="A749" s="752"/>
      <c r="B749" s="752"/>
      <c r="C749" s="752"/>
      <c r="D749" s="752"/>
      <c r="E749" s="752"/>
      <c r="F749" s="752"/>
      <c r="G749" s="752"/>
      <c r="H749" s="752"/>
      <c r="I749" s="829"/>
      <c r="J749" s="752"/>
      <c r="K749" s="752"/>
      <c r="L749" s="743"/>
      <c r="M749" s="743"/>
      <c r="N749" s="743"/>
      <c r="O749" s="743"/>
      <c r="P749" s="743"/>
      <c r="Q749" s="743"/>
      <c r="R749" s="743"/>
      <c r="S749" s="743"/>
      <c r="T749" s="743"/>
      <c r="U749" s="743"/>
      <c r="V749" s="743"/>
      <c r="W749" s="743"/>
      <c r="X749" s="743"/>
      <c r="Y749" s="743"/>
      <c r="Z749" s="743"/>
      <c r="AA749" s="743"/>
      <c r="AB749" s="743"/>
      <c r="AC749" s="743"/>
      <c r="AD749" s="743"/>
      <c r="AE749" s="743"/>
      <c r="AF749" s="743"/>
      <c r="AG749" s="743"/>
      <c r="AH749" s="743"/>
      <c r="AI749" s="743"/>
      <c r="AJ749" s="743"/>
      <c r="AK749" s="743"/>
      <c r="AL749" s="743"/>
      <c r="AM749" s="743"/>
    </row>
    <row r="750" spans="1:39" ht="17.25">
      <c r="A750" s="752"/>
      <c r="B750" s="752"/>
      <c r="C750" s="752"/>
      <c r="D750" s="752"/>
      <c r="E750" s="752"/>
      <c r="F750" s="752"/>
      <c r="G750" s="752"/>
      <c r="H750" s="752"/>
      <c r="I750" s="829"/>
      <c r="J750" s="752"/>
      <c r="K750" s="752"/>
      <c r="L750" s="743"/>
      <c r="M750" s="743"/>
      <c r="N750" s="743"/>
      <c r="O750" s="743"/>
      <c r="P750" s="743"/>
      <c r="Q750" s="743"/>
      <c r="R750" s="743"/>
      <c r="S750" s="743"/>
      <c r="T750" s="743"/>
      <c r="U750" s="743"/>
      <c r="V750" s="743"/>
      <c r="W750" s="743"/>
      <c r="X750" s="743"/>
      <c r="Y750" s="743"/>
      <c r="Z750" s="743"/>
      <c r="AA750" s="743"/>
      <c r="AB750" s="743"/>
      <c r="AC750" s="743"/>
      <c r="AD750" s="743"/>
      <c r="AE750" s="743"/>
      <c r="AF750" s="743"/>
      <c r="AG750" s="743"/>
      <c r="AH750" s="743"/>
      <c r="AI750" s="743"/>
      <c r="AJ750" s="743"/>
      <c r="AK750" s="743"/>
      <c r="AL750" s="743"/>
      <c r="AM750" s="743"/>
    </row>
    <row r="751" spans="1:39" ht="17.25">
      <c r="A751" s="752"/>
      <c r="B751" s="752"/>
      <c r="C751" s="752"/>
      <c r="D751" s="752"/>
      <c r="E751" s="752"/>
      <c r="F751" s="752"/>
      <c r="G751" s="752"/>
      <c r="H751" s="752"/>
      <c r="I751" s="829"/>
      <c r="J751" s="752"/>
      <c r="K751" s="752"/>
      <c r="L751" s="743"/>
      <c r="M751" s="743"/>
      <c r="N751" s="743"/>
      <c r="O751" s="743"/>
      <c r="P751" s="743"/>
      <c r="Q751" s="743"/>
      <c r="R751" s="743"/>
      <c r="S751" s="743"/>
      <c r="T751" s="743"/>
      <c r="U751" s="743"/>
      <c r="V751" s="743"/>
      <c r="W751" s="743"/>
      <c r="X751" s="743"/>
      <c r="Y751" s="743"/>
      <c r="Z751" s="743"/>
      <c r="AA751" s="743"/>
      <c r="AB751" s="743"/>
      <c r="AC751" s="743"/>
      <c r="AD751" s="743"/>
      <c r="AE751" s="743"/>
      <c r="AF751" s="743"/>
      <c r="AG751" s="743"/>
      <c r="AH751" s="743"/>
      <c r="AI751" s="743"/>
      <c r="AJ751" s="743"/>
      <c r="AK751" s="743"/>
      <c r="AL751" s="743"/>
      <c r="AM751" s="743"/>
    </row>
    <row r="752" spans="1:39" ht="17.25">
      <c r="A752" s="752"/>
      <c r="B752" s="752"/>
      <c r="C752" s="752"/>
      <c r="D752" s="752"/>
      <c r="E752" s="752"/>
      <c r="F752" s="752"/>
      <c r="G752" s="752"/>
      <c r="H752" s="752"/>
      <c r="I752" s="829"/>
      <c r="J752" s="752"/>
      <c r="K752" s="752"/>
      <c r="L752" s="743"/>
      <c r="M752" s="743"/>
      <c r="N752" s="743"/>
      <c r="O752" s="743"/>
      <c r="P752" s="743"/>
      <c r="Q752" s="743"/>
      <c r="R752" s="743"/>
      <c r="S752" s="743"/>
      <c r="T752" s="743"/>
      <c r="U752" s="743"/>
      <c r="V752" s="743"/>
      <c r="W752" s="743"/>
      <c r="X752" s="743"/>
      <c r="Y752" s="743"/>
      <c r="Z752" s="743"/>
      <c r="AA752" s="743"/>
      <c r="AB752" s="743"/>
      <c r="AC752" s="743"/>
      <c r="AD752" s="743"/>
      <c r="AE752" s="743"/>
      <c r="AF752" s="743"/>
      <c r="AG752" s="743"/>
      <c r="AH752" s="743"/>
      <c r="AI752" s="743"/>
      <c r="AJ752" s="743"/>
      <c r="AK752" s="743"/>
      <c r="AL752" s="743"/>
      <c r="AM752" s="743"/>
    </row>
    <row r="753" spans="1:39" ht="17.25">
      <c r="A753" s="752"/>
      <c r="B753" s="752"/>
      <c r="C753" s="752"/>
      <c r="D753" s="752"/>
      <c r="E753" s="752"/>
      <c r="F753" s="752"/>
      <c r="G753" s="752"/>
      <c r="H753" s="752"/>
      <c r="I753" s="829"/>
      <c r="J753" s="752"/>
      <c r="K753" s="752"/>
      <c r="L753" s="743"/>
      <c r="M753" s="743"/>
      <c r="N753" s="743"/>
      <c r="O753" s="743"/>
      <c r="P753" s="743"/>
      <c r="Q753" s="743"/>
      <c r="R753" s="743"/>
      <c r="S753" s="743"/>
      <c r="T753" s="743"/>
      <c r="U753" s="743"/>
      <c r="V753" s="743"/>
      <c r="W753" s="743"/>
      <c r="X753" s="743"/>
      <c r="Y753" s="743"/>
      <c r="Z753" s="743"/>
      <c r="AA753" s="743"/>
      <c r="AB753" s="743"/>
      <c r="AC753" s="743"/>
      <c r="AD753" s="743"/>
      <c r="AE753" s="743"/>
      <c r="AF753" s="743"/>
      <c r="AG753" s="743"/>
      <c r="AH753" s="743"/>
      <c r="AI753" s="743"/>
      <c r="AJ753" s="743"/>
      <c r="AK753" s="743"/>
      <c r="AL753" s="743"/>
      <c r="AM753" s="743"/>
    </row>
    <row r="754" spans="1:39" ht="17.25">
      <c r="A754" s="752"/>
      <c r="B754" s="752"/>
      <c r="C754" s="752"/>
      <c r="D754" s="752"/>
      <c r="E754" s="752"/>
      <c r="F754" s="752"/>
      <c r="G754" s="752"/>
      <c r="H754" s="752"/>
      <c r="I754" s="829"/>
      <c r="J754" s="752"/>
      <c r="K754" s="752"/>
      <c r="L754" s="743"/>
      <c r="M754" s="743"/>
      <c r="N754" s="743"/>
      <c r="O754" s="743"/>
      <c r="P754" s="743"/>
      <c r="Q754" s="743"/>
      <c r="R754" s="743"/>
      <c r="S754" s="743"/>
      <c r="T754" s="743"/>
      <c r="U754" s="743"/>
      <c r="V754" s="743"/>
      <c r="W754" s="743"/>
      <c r="X754" s="743"/>
      <c r="Y754" s="743"/>
      <c r="Z754" s="743"/>
      <c r="AA754" s="743"/>
      <c r="AB754" s="743"/>
      <c r="AC754" s="743"/>
      <c r="AD754" s="743"/>
      <c r="AE754" s="743"/>
      <c r="AF754" s="743"/>
      <c r="AG754" s="743"/>
      <c r="AH754" s="743"/>
      <c r="AI754" s="743"/>
      <c r="AJ754" s="743"/>
      <c r="AK754" s="743"/>
      <c r="AL754" s="743"/>
      <c r="AM754" s="743"/>
    </row>
    <row r="755" spans="1:39" ht="17.25">
      <c r="A755" s="752"/>
      <c r="B755" s="752"/>
      <c r="C755" s="752"/>
      <c r="D755" s="752"/>
      <c r="E755" s="752"/>
      <c r="F755" s="752"/>
      <c r="G755" s="752"/>
      <c r="H755" s="752"/>
      <c r="I755" s="829"/>
      <c r="J755" s="752"/>
      <c r="K755" s="752"/>
      <c r="L755" s="743"/>
      <c r="M755" s="743"/>
      <c r="N755" s="743"/>
      <c r="O755" s="743"/>
      <c r="P755" s="743"/>
      <c r="Q755" s="743"/>
      <c r="R755" s="743"/>
      <c r="S755" s="743"/>
      <c r="T755" s="743"/>
      <c r="U755" s="743"/>
      <c r="V755" s="743"/>
      <c r="W755" s="743"/>
      <c r="X755" s="743"/>
      <c r="Y755" s="743"/>
      <c r="Z755" s="743"/>
      <c r="AA755" s="743"/>
      <c r="AB755" s="743"/>
      <c r="AC755" s="743"/>
      <c r="AD755" s="743"/>
      <c r="AE755" s="743"/>
      <c r="AF755" s="743"/>
      <c r="AG755" s="743"/>
      <c r="AH755" s="743"/>
      <c r="AI755" s="743"/>
      <c r="AJ755" s="743"/>
      <c r="AK755" s="743"/>
      <c r="AL755" s="743"/>
      <c r="AM755" s="743"/>
    </row>
    <row r="756" spans="1:39" ht="17.25">
      <c r="A756" s="752"/>
      <c r="B756" s="752"/>
      <c r="C756" s="752"/>
      <c r="D756" s="752"/>
      <c r="E756" s="752"/>
      <c r="F756" s="752"/>
      <c r="G756" s="752"/>
      <c r="H756" s="752"/>
      <c r="I756" s="829"/>
      <c r="J756" s="752"/>
      <c r="K756" s="752"/>
      <c r="L756" s="743"/>
      <c r="M756" s="743"/>
      <c r="N756" s="743"/>
      <c r="O756" s="743"/>
      <c r="P756" s="743"/>
      <c r="Q756" s="743"/>
      <c r="R756" s="743"/>
      <c r="S756" s="743"/>
      <c r="T756" s="743"/>
      <c r="U756" s="743"/>
      <c r="V756" s="743"/>
      <c r="W756" s="743"/>
      <c r="X756" s="743"/>
      <c r="Y756" s="743"/>
      <c r="Z756" s="743"/>
      <c r="AA756" s="743"/>
      <c r="AB756" s="743"/>
      <c r="AC756" s="743"/>
      <c r="AD756" s="743"/>
      <c r="AE756" s="743"/>
      <c r="AF756" s="743"/>
      <c r="AG756" s="743"/>
      <c r="AH756" s="743"/>
      <c r="AI756" s="743"/>
      <c r="AJ756" s="743"/>
      <c r="AK756" s="743"/>
      <c r="AL756" s="743"/>
      <c r="AM756" s="743"/>
    </row>
    <row r="757" spans="1:39" ht="17.25">
      <c r="A757" s="752"/>
      <c r="B757" s="752"/>
      <c r="C757" s="752"/>
      <c r="D757" s="752"/>
      <c r="E757" s="752"/>
      <c r="F757" s="752"/>
      <c r="G757" s="752"/>
      <c r="H757" s="752"/>
      <c r="I757" s="829"/>
      <c r="J757" s="752"/>
      <c r="K757" s="752"/>
      <c r="L757" s="743"/>
      <c r="M757" s="743"/>
      <c r="N757" s="743"/>
      <c r="O757" s="743"/>
      <c r="P757" s="743"/>
      <c r="Q757" s="743"/>
      <c r="R757" s="743"/>
      <c r="S757" s="743"/>
      <c r="T757" s="743"/>
      <c r="U757" s="743"/>
      <c r="V757" s="743"/>
      <c r="W757" s="743"/>
      <c r="X757" s="743"/>
      <c r="Y757" s="743"/>
      <c r="Z757" s="743"/>
      <c r="AA757" s="743"/>
      <c r="AB757" s="743"/>
      <c r="AC757" s="743"/>
      <c r="AD757" s="743"/>
      <c r="AE757" s="743"/>
      <c r="AF757" s="743"/>
      <c r="AG757" s="743"/>
      <c r="AH757" s="743"/>
      <c r="AI757" s="743"/>
      <c r="AJ757" s="743"/>
      <c r="AK757" s="743"/>
      <c r="AL757" s="743"/>
      <c r="AM757" s="743"/>
    </row>
    <row r="758" spans="1:39" ht="17.25">
      <c r="A758" s="752"/>
      <c r="B758" s="752"/>
      <c r="C758" s="752"/>
      <c r="D758" s="752"/>
      <c r="E758" s="752"/>
      <c r="F758" s="752"/>
      <c r="G758" s="752"/>
      <c r="H758" s="752"/>
      <c r="I758" s="829"/>
      <c r="J758" s="752"/>
      <c r="K758" s="752"/>
      <c r="L758" s="743"/>
      <c r="M758" s="743"/>
      <c r="N758" s="743"/>
      <c r="O758" s="743"/>
      <c r="P758" s="743"/>
      <c r="Q758" s="743"/>
      <c r="R758" s="743"/>
      <c r="S758" s="743"/>
      <c r="T758" s="743"/>
      <c r="U758" s="743"/>
      <c r="V758" s="743"/>
      <c r="W758" s="743"/>
      <c r="X758" s="743"/>
      <c r="Y758" s="743"/>
      <c r="Z758" s="743"/>
      <c r="AA758" s="743"/>
      <c r="AB758" s="743"/>
      <c r="AC758" s="743"/>
      <c r="AD758" s="743"/>
      <c r="AE758" s="743"/>
      <c r="AF758" s="743"/>
      <c r="AG758" s="743"/>
      <c r="AH758" s="743"/>
      <c r="AI758" s="743"/>
      <c r="AJ758" s="743"/>
      <c r="AK758" s="743"/>
      <c r="AL758" s="743"/>
      <c r="AM758" s="743"/>
    </row>
    <row r="759" spans="1:39" ht="17.25">
      <c r="A759" s="752"/>
      <c r="B759" s="752"/>
      <c r="C759" s="752"/>
      <c r="D759" s="752"/>
      <c r="E759" s="752"/>
      <c r="F759" s="752"/>
      <c r="G759" s="752"/>
      <c r="H759" s="752"/>
      <c r="I759" s="829"/>
      <c r="J759" s="752"/>
      <c r="K759" s="752"/>
      <c r="L759" s="743"/>
      <c r="M759" s="743"/>
      <c r="N759" s="743"/>
      <c r="O759" s="743"/>
      <c r="P759" s="743"/>
      <c r="Q759" s="743"/>
      <c r="R759" s="743"/>
      <c r="S759" s="743"/>
      <c r="T759" s="743"/>
      <c r="U759" s="743"/>
      <c r="V759" s="743"/>
      <c r="W759" s="743"/>
      <c r="X759" s="743"/>
      <c r="Y759" s="743"/>
      <c r="Z759" s="743"/>
      <c r="AA759" s="743"/>
      <c r="AB759" s="743"/>
      <c r="AC759" s="743"/>
      <c r="AD759" s="743"/>
      <c r="AE759" s="743"/>
      <c r="AF759" s="743"/>
      <c r="AG759" s="743"/>
      <c r="AH759" s="743"/>
      <c r="AI759" s="743"/>
      <c r="AJ759" s="743"/>
      <c r="AK759" s="743"/>
      <c r="AL759" s="743"/>
      <c r="AM759" s="743"/>
    </row>
    <row r="760" spans="1:39" ht="17.25">
      <c r="A760" s="752"/>
      <c r="B760" s="752"/>
      <c r="C760" s="752"/>
      <c r="D760" s="752"/>
      <c r="E760" s="752"/>
      <c r="F760" s="752"/>
      <c r="G760" s="752"/>
      <c r="H760" s="752"/>
      <c r="I760" s="829"/>
      <c r="J760" s="752"/>
      <c r="K760" s="752"/>
      <c r="L760" s="743"/>
      <c r="M760" s="743"/>
      <c r="N760" s="743"/>
      <c r="O760" s="743"/>
      <c r="P760" s="743"/>
      <c r="Q760" s="743"/>
      <c r="R760" s="743"/>
      <c r="S760" s="743"/>
      <c r="T760" s="743"/>
      <c r="U760" s="743"/>
      <c r="V760" s="743"/>
      <c r="W760" s="743"/>
      <c r="X760" s="743"/>
      <c r="Y760" s="743"/>
      <c r="Z760" s="743"/>
      <c r="AA760" s="743"/>
      <c r="AB760" s="743"/>
      <c r="AC760" s="743"/>
      <c r="AD760" s="743"/>
      <c r="AE760" s="743"/>
      <c r="AF760" s="743"/>
      <c r="AG760" s="743"/>
      <c r="AH760" s="743"/>
      <c r="AI760" s="743"/>
      <c r="AJ760" s="743"/>
      <c r="AK760" s="743"/>
      <c r="AL760" s="743"/>
      <c r="AM760" s="743"/>
    </row>
    <row r="761" spans="1:39" ht="17.25">
      <c r="A761" s="752"/>
      <c r="B761" s="752"/>
      <c r="C761" s="752"/>
      <c r="D761" s="752"/>
      <c r="E761" s="752"/>
      <c r="F761" s="752"/>
      <c r="G761" s="752"/>
      <c r="H761" s="752"/>
      <c r="I761" s="829"/>
      <c r="J761" s="752"/>
      <c r="K761" s="752"/>
      <c r="L761" s="743"/>
      <c r="M761" s="743"/>
      <c r="N761" s="743"/>
      <c r="O761" s="743"/>
      <c r="P761" s="743"/>
      <c r="Q761" s="743"/>
      <c r="R761" s="743"/>
      <c r="S761" s="743"/>
      <c r="T761" s="743"/>
      <c r="U761" s="743"/>
      <c r="V761" s="743"/>
      <c r="W761" s="743"/>
      <c r="X761" s="743"/>
      <c r="Y761" s="743"/>
      <c r="Z761" s="743"/>
      <c r="AA761" s="743"/>
      <c r="AB761" s="743"/>
      <c r="AC761" s="743"/>
      <c r="AD761" s="743"/>
      <c r="AE761" s="743"/>
      <c r="AF761" s="743"/>
      <c r="AG761" s="743"/>
      <c r="AH761" s="743"/>
      <c r="AI761" s="743"/>
      <c r="AJ761" s="743"/>
      <c r="AK761" s="743"/>
      <c r="AL761" s="743"/>
      <c r="AM761" s="743"/>
    </row>
    <row r="762" spans="1:39" ht="17.25">
      <c r="A762" s="752"/>
      <c r="B762" s="752"/>
      <c r="C762" s="752"/>
      <c r="D762" s="752"/>
      <c r="E762" s="752"/>
      <c r="F762" s="752"/>
      <c r="G762" s="752"/>
      <c r="H762" s="752"/>
      <c r="I762" s="829"/>
      <c r="J762" s="752"/>
      <c r="K762" s="752"/>
      <c r="L762" s="743"/>
      <c r="M762" s="743"/>
      <c r="N762" s="743"/>
      <c r="O762" s="743"/>
      <c r="P762" s="743"/>
      <c r="Q762" s="743"/>
      <c r="R762" s="743"/>
      <c r="S762" s="743"/>
      <c r="T762" s="743"/>
      <c r="U762" s="743"/>
      <c r="V762" s="743"/>
      <c r="W762" s="743"/>
      <c r="X762" s="743"/>
      <c r="Y762" s="743"/>
      <c r="Z762" s="743"/>
      <c r="AA762" s="743"/>
      <c r="AB762" s="743"/>
      <c r="AC762" s="743"/>
      <c r="AD762" s="743"/>
      <c r="AE762" s="743"/>
      <c r="AF762" s="743"/>
      <c r="AG762" s="743"/>
      <c r="AH762" s="743"/>
      <c r="AI762" s="743"/>
      <c r="AJ762" s="743"/>
      <c r="AK762" s="743"/>
      <c r="AL762" s="743"/>
      <c r="AM762" s="743"/>
    </row>
    <row r="763" spans="1:39" ht="17.25">
      <c r="A763" s="752"/>
      <c r="B763" s="752"/>
      <c r="C763" s="752"/>
      <c r="D763" s="752"/>
      <c r="E763" s="752"/>
      <c r="F763" s="752"/>
      <c r="G763" s="752"/>
      <c r="H763" s="752"/>
      <c r="I763" s="829"/>
      <c r="J763" s="752"/>
      <c r="K763" s="752"/>
      <c r="L763" s="743"/>
      <c r="M763" s="743"/>
      <c r="N763" s="743"/>
      <c r="O763" s="743"/>
      <c r="P763" s="743"/>
      <c r="Q763" s="743"/>
      <c r="R763" s="743"/>
      <c r="S763" s="743"/>
      <c r="T763" s="743"/>
      <c r="U763" s="743"/>
      <c r="V763" s="743"/>
      <c r="W763" s="743"/>
      <c r="X763" s="743"/>
      <c r="Y763" s="743"/>
      <c r="Z763" s="743"/>
      <c r="AA763" s="743"/>
      <c r="AB763" s="743"/>
      <c r="AC763" s="743"/>
      <c r="AD763" s="743"/>
      <c r="AE763" s="743"/>
      <c r="AF763" s="743"/>
      <c r="AG763" s="743"/>
      <c r="AH763" s="743"/>
      <c r="AI763" s="743"/>
      <c r="AJ763" s="743"/>
      <c r="AK763" s="743"/>
      <c r="AL763" s="743"/>
      <c r="AM763" s="743"/>
    </row>
    <row r="764" spans="1:39" ht="17.25">
      <c r="A764" s="752"/>
      <c r="B764" s="752"/>
      <c r="C764" s="752"/>
      <c r="D764" s="752"/>
      <c r="E764" s="752"/>
      <c r="F764" s="752"/>
      <c r="G764" s="752"/>
      <c r="H764" s="752"/>
      <c r="I764" s="829"/>
      <c r="J764" s="752"/>
      <c r="K764" s="752"/>
      <c r="L764" s="743"/>
      <c r="M764" s="743"/>
      <c r="N764" s="743"/>
      <c r="O764" s="743"/>
      <c r="P764" s="743"/>
      <c r="Q764" s="743"/>
      <c r="R764" s="743"/>
      <c r="S764" s="743"/>
      <c r="T764" s="743"/>
      <c r="U764" s="743"/>
      <c r="V764" s="743"/>
      <c r="W764" s="743"/>
      <c r="X764" s="743"/>
      <c r="Y764" s="743"/>
      <c r="Z764" s="743"/>
      <c r="AA764" s="743"/>
      <c r="AB764" s="743"/>
      <c r="AC764" s="743"/>
      <c r="AD764" s="743"/>
      <c r="AE764" s="743"/>
      <c r="AF764" s="743"/>
      <c r="AG764" s="743"/>
      <c r="AH764" s="743"/>
      <c r="AI764" s="743"/>
      <c r="AJ764" s="743"/>
      <c r="AK764" s="743"/>
      <c r="AL764" s="743"/>
      <c r="AM764" s="743"/>
    </row>
    <row r="765" spans="1:39" ht="17.25">
      <c r="A765" s="752"/>
      <c r="B765" s="752"/>
      <c r="C765" s="752"/>
      <c r="D765" s="752"/>
      <c r="E765" s="752"/>
      <c r="F765" s="752"/>
      <c r="G765" s="752"/>
      <c r="H765" s="752"/>
      <c r="I765" s="829"/>
      <c r="J765" s="752"/>
      <c r="K765" s="752"/>
      <c r="L765" s="743"/>
      <c r="M765" s="743"/>
      <c r="N765" s="743"/>
      <c r="O765" s="743"/>
      <c r="P765" s="743"/>
      <c r="Q765" s="743"/>
      <c r="R765" s="743"/>
      <c r="S765" s="743"/>
      <c r="T765" s="743"/>
      <c r="U765" s="743"/>
      <c r="V765" s="743"/>
      <c r="W765" s="743"/>
      <c r="X765" s="743"/>
      <c r="Y765" s="743"/>
      <c r="Z765" s="743"/>
      <c r="AA765" s="743"/>
      <c r="AB765" s="743"/>
      <c r="AC765" s="743"/>
      <c r="AD765" s="743"/>
      <c r="AE765" s="743"/>
      <c r="AF765" s="743"/>
      <c r="AG765" s="743"/>
      <c r="AH765" s="743"/>
      <c r="AI765" s="743"/>
      <c r="AJ765" s="743"/>
      <c r="AK765" s="743"/>
      <c r="AL765" s="743"/>
      <c r="AM765" s="743"/>
    </row>
    <row r="766" spans="1:39" ht="17.25">
      <c r="A766" s="752"/>
      <c r="B766" s="752"/>
      <c r="C766" s="752"/>
      <c r="D766" s="752"/>
      <c r="E766" s="752"/>
      <c r="F766" s="752"/>
      <c r="G766" s="752"/>
      <c r="H766" s="752"/>
      <c r="I766" s="829"/>
      <c r="J766" s="752"/>
      <c r="K766" s="752"/>
      <c r="L766" s="743"/>
      <c r="M766" s="743"/>
      <c r="N766" s="743"/>
      <c r="O766" s="743"/>
      <c r="P766" s="743"/>
      <c r="Q766" s="743"/>
      <c r="R766" s="743"/>
      <c r="S766" s="743"/>
      <c r="T766" s="743"/>
      <c r="U766" s="743"/>
      <c r="V766" s="743"/>
      <c r="W766" s="743"/>
      <c r="X766" s="743"/>
      <c r="Y766" s="743"/>
      <c r="Z766" s="743"/>
      <c r="AA766" s="743"/>
      <c r="AB766" s="743"/>
      <c r="AC766" s="743"/>
      <c r="AD766" s="743"/>
      <c r="AE766" s="743"/>
      <c r="AF766" s="743"/>
      <c r="AG766" s="743"/>
      <c r="AH766" s="743"/>
      <c r="AI766" s="743"/>
      <c r="AJ766" s="743"/>
      <c r="AK766" s="743"/>
      <c r="AL766" s="743"/>
      <c r="AM766" s="743"/>
    </row>
    <row r="767" spans="1:39" ht="17.25">
      <c r="A767" s="752"/>
      <c r="B767" s="752"/>
      <c r="C767" s="752"/>
      <c r="D767" s="752"/>
      <c r="E767" s="752"/>
      <c r="F767" s="752"/>
      <c r="G767" s="752"/>
      <c r="H767" s="752"/>
      <c r="I767" s="829"/>
      <c r="J767" s="752"/>
      <c r="K767" s="752"/>
      <c r="L767" s="743"/>
      <c r="M767" s="743"/>
      <c r="N767" s="743"/>
      <c r="O767" s="743"/>
      <c r="P767" s="743"/>
      <c r="Q767" s="743"/>
      <c r="R767" s="743"/>
      <c r="S767" s="743"/>
      <c r="T767" s="743"/>
      <c r="U767" s="743"/>
      <c r="V767" s="743"/>
      <c r="W767" s="743"/>
      <c r="X767" s="743"/>
      <c r="Y767" s="743"/>
      <c r="Z767" s="743"/>
      <c r="AA767" s="743"/>
      <c r="AB767" s="743"/>
      <c r="AC767" s="743"/>
      <c r="AD767" s="743"/>
      <c r="AE767" s="743"/>
      <c r="AF767" s="743"/>
      <c r="AG767" s="743"/>
      <c r="AH767" s="743"/>
      <c r="AI767" s="743"/>
      <c r="AJ767" s="743"/>
      <c r="AK767" s="743"/>
      <c r="AL767" s="743"/>
      <c r="AM767" s="743"/>
    </row>
    <row r="768" spans="1:39" ht="17.25">
      <c r="A768" s="752"/>
      <c r="B768" s="752"/>
      <c r="C768" s="752"/>
      <c r="D768" s="752"/>
      <c r="E768" s="752"/>
      <c r="F768" s="752"/>
      <c r="G768" s="752"/>
      <c r="H768" s="752"/>
      <c r="I768" s="829"/>
      <c r="J768" s="752"/>
      <c r="K768" s="752"/>
      <c r="L768" s="743"/>
      <c r="M768" s="743"/>
      <c r="N768" s="743"/>
      <c r="O768" s="743"/>
      <c r="P768" s="743"/>
      <c r="Q768" s="743"/>
      <c r="R768" s="743"/>
      <c r="S768" s="743"/>
      <c r="T768" s="743"/>
      <c r="U768" s="743"/>
      <c r="V768" s="743"/>
      <c r="W768" s="743"/>
      <c r="X768" s="743"/>
      <c r="Y768" s="743"/>
      <c r="Z768" s="743"/>
      <c r="AA768" s="743"/>
      <c r="AB768" s="743"/>
      <c r="AC768" s="743"/>
      <c r="AD768" s="743"/>
      <c r="AE768" s="743"/>
      <c r="AF768" s="743"/>
      <c r="AG768" s="743"/>
      <c r="AH768" s="743"/>
      <c r="AI768" s="743"/>
      <c r="AJ768" s="743"/>
      <c r="AK768" s="743"/>
      <c r="AL768" s="743"/>
      <c r="AM768" s="743"/>
    </row>
    <row r="769" spans="1:39" ht="17.25">
      <c r="A769" s="752"/>
      <c r="B769" s="752"/>
      <c r="C769" s="752"/>
      <c r="D769" s="752"/>
      <c r="E769" s="752"/>
      <c r="F769" s="752"/>
      <c r="G769" s="752"/>
      <c r="H769" s="752"/>
      <c r="I769" s="829"/>
      <c r="J769" s="752"/>
      <c r="K769" s="752"/>
      <c r="L769" s="743"/>
      <c r="M769" s="743"/>
      <c r="N769" s="743"/>
      <c r="O769" s="743"/>
      <c r="P769" s="743"/>
      <c r="Q769" s="743"/>
      <c r="R769" s="743"/>
      <c r="S769" s="743"/>
      <c r="T769" s="743"/>
      <c r="U769" s="743"/>
      <c r="V769" s="743"/>
      <c r="W769" s="743"/>
      <c r="X769" s="743"/>
      <c r="Y769" s="743"/>
      <c r="Z769" s="743"/>
      <c r="AA769" s="743"/>
      <c r="AB769" s="743"/>
      <c r="AC769" s="743"/>
      <c r="AD769" s="743"/>
      <c r="AE769" s="743"/>
      <c r="AF769" s="743"/>
      <c r="AG769" s="743"/>
      <c r="AH769" s="743"/>
      <c r="AI769" s="743"/>
      <c r="AJ769" s="743"/>
      <c r="AK769" s="743"/>
      <c r="AL769" s="743"/>
      <c r="AM769" s="743"/>
    </row>
    <row r="770" spans="1:39" ht="17.25">
      <c r="A770" s="752"/>
      <c r="B770" s="752"/>
      <c r="C770" s="752"/>
      <c r="D770" s="752"/>
      <c r="E770" s="752"/>
      <c r="F770" s="752"/>
      <c r="G770" s="752"/>
      <c r="H770" s="752"/>
      <c r="I770" s="829"/>
      <c r="J770" s="752"/>
      <c r="K770" s="752"/>
      <c r="L770" s="743"/>
      <c r="M770" s="743"/>
      <c r="N770" s="743"/>
      <c r="O770" s="743"/>
      <c r="P770" s="743"/>
      <c r="Q770" s="743"/>
      <c r="R770" s="743"/>
      <c r="S770" s="743"/>
      <c r="T770" s="743"/>
      <c r="U770" s="743"/>
      <c r="V770" s="743"/>
      <c r="W770" s="743"/>
      <c r="X770" s="743"/>
      <c r="Y770" s="743"/>
      <c r="Z770" s="743"/>
      <c r="AA770" s="743"/>
      <c r="AB770" s="743"/>
      <c r="AC770" s="743"/>
      <c r="AD770" s="743"/>
      <c r="AE770" s="743"/>
      <c r="AF770" s="743"/>
      <c r="AG770" s="743"/>
      <c r="AH770" s="743"/>
      <c r="AI770" s="743"/>
      <c r="AJ770" s="743"/>
      <c r="AK770" s="743"/>
      <c r="AL770" s="743"/>
      <c r="AM770" s="743"/>
    </row>
    <row r="771" spans="1:39" ht="17.25">
      <c r="A771" s="752"/>
      <c r="B771" s="752"/>
      <c r="C771" s="752"/>
      <c r="D771" s="752"/>
      <c r="E771" s="752"/>
      <c r="F771" s="752"/>
      <c r="G771" s="752"/>
      <c r="H771" s="752"/>
      <c r="I771" s="829"/>
      <c r="J771" s="752"/>
      <c r="K771" s="752"/>
      <c r="L771" s="743"/>
      <c r="M771" s="743"/>
      <c r="N771" s="743"/>
      <c r="O771" s="743"/>
      <c r="P771" s="743"/>
      <c r="Q771" s="743"/>
      <c r="R771" s="743"/>
      <c r="S771" s="743"/>
      <c r="T771" s="743"/>
      <c r="U771" s="743"/>
      <c r="V771" s="743"/>
      <c r="W771" s="743"/>
      <c r="X771" s="743"/>
      <c r="Y771" s="743"/>
      <c r="Z771" s="743"/>
      <c r="AA771" s="743"/>
      <c r="AB771" s="743"/>
      <c r="AC771" s="743"/>
      <c r="AD771" s="743"/>
      <c r="AE771" s="743"/>
      <c r="AF771" s="743"/>
      <c r="AG771" s="743"/>
      <c r="AH771" s="743"/>
      <c r="AI771" s="743"/>
      <c r="AJ771" s="743"/>
      <c r="AK771" s="743"/>
      <c r="AL771" s="743"/>
      <c r="AM771" s="743"/>
    </row>
    <row r="772" spans="1:39" ht="17.25">
      <c r="A772" s="752"/>
      <c r="B772" s="752"/>
      <c r="C772" s="752"/>
      <c r="D772" s="752"/>
      <c r="E772" s="752"/>
      <c r="F772" s="752"/>
      <c r="G772" s="752"/>
      <c r="H772" s="752"/>
      <c r="I772" s="829"/>
      <c r="J772" s="752"/>
      <c r="K772" s="752"/>
      <c r="L772" s="743"/>
      <c r="M772" s="743"/>
      <c r="N772" s="743"/>
      <c r="O772" s="743"/>
      <c r="P772" s="743"/>
      <c r="Q772" s="743"/>
      <c r="R772" s="743"/>
      <c r="S772" s="743"/>
      <c r="T772" s="743"/>
      <c r="U772" s="743"/>
      <c r="V772" s="743"/>
      <c r="W772" s="743"/>
      <c r="X772" s="743"/>
      <c r="Y772" s="743"/>
      <c r="Z772" s="743"/>
      <c r="AA772" s="743"/>
      <c r="AB772" s="743"/>
      <c r="AC772" s="743"/>
      <c r="AD772" s="743"/>
      <c r="AE772" s="743"/>
      <c r="AF772" s="743"/>
      <c r="AG772" s="743"/>
      <c r="AH772" s="743"/>
      <c r="AI772" s="743"/>
      <c r="AJ772" s="743"/>
      <c r="AK772" s="743"/>
      <c r="AL772" s="743"/>
      <c r="AM772" s="743"/>
    </row>
    <row r="773" spans="1:39" ht="17.25">
      <c r="A773" s="752"/>
      <c r="B773" s="752"/>
      <c r="C773" s="752"/>
      <c r="D773" s="752"/>
      <c r="E773" s="752"/>
      <c r="F773" s="752"/>
      <c r="G773" s="752"/>
      <c r="H773" s="752"/>
      <c r="I773" s="829"/>
      <c r="J773" s="752"/>
      <c r="K773" s="752"/>
      <c r="L773" s="743"/>
      <c r="M773" s="743"/>
      <c r="N773" s="743"/>
      <c r="O773" s="743"/>
      <c r="P773" s="743"/>
      <c r="Q773" s="743"/>
      <c r="R773" s="743"/>
      <c r="S773" s="743"/>
      <c r="T773" s="743"/>
      <c r="U773" s="743"/>
      <c r="V773" s="743"/>
      <c r="W773" s="743"/>
      <c r="X773" s="743"/>
      <c r="Y773" s="743"/>
      <c r="Z773" s="743"/>
      <c r="AA773" s="743"/>
      <c r="AB773" s="743"/>
      <c r="AC773" s="743"/>
      <c r="AD773" s="743"/>
      <c r="AE773" s="743"/>
      <c r="AF773" s="743"/>
      <c r="AG773" s="743"/>
      <c r="AH773" s="743"/>
      <c r="AI773" s="743"/>
      <c r="AJ773" s="743"/>
      <c r="AK773" s="743"/>
      <c r="AL773" s="743"/>
      <c r="AM773" s="743"/>
    </row>
    <row r="774" spans="1:39" ht="17.25">
      <c r="A774" s="752"/>
      <c r="B774" s="752"/>
      <c r="C774" s="752"/>
      <c r="D774" s="752"/>
      <c r="E774" s="752"/>
      <c r="F774" s="752"/>
      <c r="G774" s="752"/>
      <c r="H774" s="752"/>
      <c r="I774" s="829"/>
      <c r="J774" s="752"/>
      <c r="K774" s="752"/>
      <c r="L774" s="743"/>
      <c r="M774" s="743"/>
      <c r="N774" s="743"/>
      <c r="O774" s="743"/>
      <c r="P774" s="743"/>
      <c r="Q774" s="743"/>
      <c r="R774" s="743"/>
      <c r="S774" s="743"/>
      <c r="T774" s="743"/>
      <c r="U774" s="743"/>
      <c r="V774" s="743"/>
      <c r="W774" s="743"/>
      <c r="X774" s="743"/>
      <c r="Y774" s="743"/>
      <c r="Z774" s="743"/>
      <c r="AA774" s="743"/>
      <c r="AB774" s="743"/>
      <c r="AC774" s="743"/>
      <c r="AD774" s="743"/>
      <c r="AE774" s="743"/>
      <c r="AF774" s="743"/>
      <c r="AG774" s="743"/>
      <c r="AH774" s="743"/>
      <c r="AI774" s="743"/>
      <c r="AJ774" s="743"/>
      <c r="AK774" s="743"/>
      <c r="AL774" s="743"/>
      <c r="AM774" s="743"/>
    </row>
    <row r="775" spans="1:39" ht="17.25">
      <c r="A775" s="752"/>
      <c r="B775" s="752"/>
      <c r="C775" s="752"/>
      <c r="D775" s="752"/>
      <c r="E775" s="752"/>
      <c r="F775" s="752"/>
      <c r="G775" s="752"/>
      <c r="H775" s="752"/>
      <c r="I775" s="829"/>
      <c r="J775" s="752"/>
      <c r="K775" s="752"/>
      <c r="L775" s="743"/>
      <c r="M775" s="743"/>
      <c r="N775" s="743"/>
      <c r="O775" s="743"/>
      <c r="P775" s="743"/>
      <c r="Q775" s="743"/>
      <c r="R775" s="743"/>
      <c r="S775" s="743"/>
      <c r="T775" s="743"/>
      <c r="U775" s="743"/>
      <c r="V775" s="743"/>
      <c r="W775" s="743"/>
      <c r="X775" s="743"/>
      <c r="Y775" s="743"/>
      <c r="Z775" s="743"/>
      <c r="AA775" s="743"/>
      <c r="AB775" s="743"/>
      <c r="AC775" s="743"/>
      <c r="AD775" s="743"/>
      <c r="AE775" s="743"/>
      <c r="AF775" s="743"/>
      <c r="AG775" s="743"/>
      <c r="AH775" s="743"/>
      <c r="AI775" s="743"/>
      <c r="AJ775" s="743"/>
      <c r="AK775" s="743"/>
      <c r="AL775" s="743"/>
      <c r="AM775" s="743"/>
    </row>
    <row r="776" spans="1:39" ht="17.25">
      <c r="A776" s="752"/>
      <c r="B776" s="752"/>
      <c r="C776" s="752"/>
      <c r="D776" s="752"/>
      <c r="E776" s="752"/>
      <c r="F776" s="752"/>
      <c r="G776" s="752"/>
      <c r="H776" s="752"/>
      <c r="I776" s="829"/>
      <c r="J776" s="752"/>
      <c r="K776" s="752"/>
      <c r="L776" s="743"/>
      <c r="M776" s="743"/>
      <c r="N776" s="743"/>
      <c r="O776" s="743"/>
      <c r="P776" s="743"/>
      <c r="Q776" s="743"/>
      <c r="R776" s="743"/>
      <c r="S776" s="743"/>
      <c r="T776" s="743"/>
      <c r="U776" s="743"/>
      <c r="V776" s="743"/>
      <c r="W776" s="743"/>
      <c r="X776" s="743"/>
      <c r="Y776" s="743"/>
      <c r="Z776" s="743"/>
      <c r="AA776" s="743"/>
      <c r="AB776" s="743"/>
      <c r="AC776" s="743"/>
      <c r="AD776" s="743"/>
      <c r="AE776" s="743"/>
      <c r="AF776" s="743"/>
      <c r="AG776" s="743"/>
      <c r="AH776" s="743"/>
      <c r="AI776" s="743"/>
      <c r="AJ776" s="743"/>
      <c r="AK776" s="743"/>
      <c r="AL776" s="743"/>
      <c r="AM776" s="743"/>
    </row>
    <row r="777" spans="1:39" ht="17.25">
      <c r="A777" s="752"/>
      <c r="B777" s="752"/>
      <c r="C777" s="752"/>
      <c r="D777" s="752"/>
      <c r="E777" s="752"/>
      <c r="F777" s="752"/>
      <c r="G777" s="752"/>
      <c r="H777" s="752"/>
      <c r="I777" s="829"/>
      <c r="J777" s="752"/>
      <c r="K777" s="752"/>
      <c r="L777" s="743"/>
      <c r="M777" s="743"/>
      <c r="N777" s="743"/>
      <c r="O777" s="743"/>
      <c r="P777" s="743"/>
      <c r="Q777" s="743"/>
      <c r="R777" s="743"/>
      <c r="S777" s="743"/>
      <c r="T777" s="743"/>
      <c r="U777" s="743"/>
      <c r="V777" s="743"/>
      <c r="W777" s="743"/>
      <c r="X777" s="743"/>
      <c r="Y777" s="743"/>
      <c r="Z777" s="743"/>
      <c r="AA777" s="743"/>
      <c r="AB777" s="743"/>
      <c r="AC777" s="743"/>
      <c r="AD777" s="743"/>
      <c r="AE777" s="743"/>
      <c r="AF777" s="743"/>
      <c r="AG777" s="743"/>
      <c r="AH777" s="743"/>
      <c r="AI777" s="743"/>
      <c r="AJ777" s="743"/>
      <c r="AK777" s="743"/>
      <c r="AL777" s="743"/>
      <c r="AM777" s="743"/>
    </row>
    <row r="778" spans="1:39" ht="17.25">
      <c r="A778" s="752"/>
      <c r="B778" s="752"/>
      <c r="C778" s="752"/>
      <c r="D778" s="752"/>
      <c r="E778" s="752"/>
      <c r="F778" s="752"/>
      <c r="G778" s="752"/>
      <c r="H778" s="752"/>
      <c r="I778" s="829"/>
      <c r="J778" s="752"/>
      <c r="K778" s="752"/>
      <c r="L778" s="743"/>
      <c r="M778" s="743"/>
      <c r="N778" s="743"/>
      <c r="O778" s="743"/>
      <c r="P778" s="743"/>
      <c r="Q778" s="743"/>
      <c r="R778" s="743"/>
      <c r="S778" s="743"/>
      <c r="T778" s="743"/>
      <c r="U778" s="743"/>
      <c r="V778" s="743"/>
      <c r="W778" s="743"/>
      <c r="X778" s="743"/>
      <c r="Y778" s="743"/>
      <c r="Z778" s="743"/>
      <c r="AA778" s="743"/>
      <c r="AB778" s="743"/>
      <c r="AC778" s="743"/>
      <c r="AD778" s="743"/>
      <c r="AE778" s="743"/>
      <c r="AF778" s="743"/>
      <c r="AG778" s="743"/>
      <c r="AH778" s="743"/>
      <c r="AI778" s="743"/>
      <c r="AJ778" s="743"/>
      <c r="AK778" s="743"/>
      <c r="AL778" s="743"/>
      <c r="AM778" s="743"/>
    </row>
    <row r="779" spans="1:39" ht="17.25">
      <c r="A779" s="752"/>
      <c r="B779" s="752"/>
      <c r="C779" s="752"/>
      <c r="D779" s="752"/>
      <c r="E779" s="752"/>
      <c r="F779" s="752"/>
      <c r="G779" s="752"/>
      <c r="H779" s="752"/>
      <c r="I779" s="829"/>
      <c r="J779" s="752"/>
      <c r="K779" s="752"/>
      <c r="L779" s="743"/>
      <c r="M779" s="743"/>
      <c r="N779" s="743"/>
      <c r="O779" s="743"/>
      <c r="P779" s="743"/>
      <c r="Q779" s="743"/>
      <c r="R779" s="743"/>
      <c r="S779" s="743"/>
      <c r="T779" s="743"/>
      <c r="U779" s="743"/>
      <c r="V779" s="743"/>
      <c r="W779" s="743"/>
      <c r="X779" s="743"/>
      <c r="Y779" s="743"/>
      <c r="Z779" s="743"/>
      <c r="AA779" s="743"/>
      <c r="AB779" s="743"/>
      <c r="AC779" s="743"/>
      <c r="AD779" s="743"/>
      <c r="AE779" s="743"/>
      <c r="AF779" s="743"/>
      <c r="AG779" s="743"/>
      <c r="AH779" s="743"/>
      <c r="AI779" s="743"/>
      <c r="AJ779" s="743"/>
      <c r="AK779" s="743"/>
      <c r="AL779" s="743"/>
      <c r="AM779" s="743"/>
    </row>
    <row r="780" spans="1:39" ht="17.25">
      <c r="A780" s="752"/>
      <c r="B780" s="752"/>
      <c r="C780" s="752"/>
      <c r="D780" s="752"/>
      <c r="E780" s="752"/>
      <c r="F780" s="752"/>
      <c r="G780" s="752"/>
      <c r="H780" s="752"/>
      <c r="I780" s="829"/>
      <c r="J780" s="752"/>
      <c r="K780" s="752"/>
      <c r="L780" s="743"/>
      <c r="M780" s="743"/>
      <c r="N780" s="743"/>
      <c r="O780" s="743"/>
      <c r="P780" s="743"/>
      <c r="Q780" s="743"/>
      <c r="R780" s="743"/>
      <c r="S780" s="743"/>
      <c r="T780" s="743"/>
      <c r="U780" s="743"/>
      <c r="V780" s="743"/>
      <c r="W780" s="743"/>
      <c r="X780" s="743"/>
      <c r="Y780" s="743"/>
      <c r="Z780" s="743"/>
      <c r="AA780" s="743"/>
      <c r="AB780" s="743"/>
      <c r="AC780" s="743"/>
      <c r="AD780" s="743"/>
      <c r="AE780" s="743"/>
      <c r="AF780" s="743"/>
      <c r="AG780" s="743"/>
      <c r="AH780" s="743"/>
      <c r="AI780" s="743"/>
      <c r="AJ780" s="743"/>
      <c r="AK780" s="743"/>
      <c r="AL780" s="743"/>
      <c r="AM780" s="743"/>
    </row>
    <row r="781" spans="1:39" ht="17.25">
      <c r="A781" s="752"/>
      <c r="B781" s="752"/>
      <c r="C781" s="752"/>
      <c r="D781" s="752"/>
      <c r="E781" s="752"/>
      <c r="F781" s="752"/>
      <c r="G781" s="752"/>
      <c r="H781" s="752"/>
      <c r="I781" s="829"/>
      <c r="J781" s="752"/>
      <c r="K781" s="752"/>
      <c r="L781" s="743"/>
      <c r="M781" s="743"/>
      <c r="N781" s="743"/>
      <c r="O781" s="743"/>
      <c r="P781" s="743"/>
      <c r="Q781" s="743"/>
      <c r="R781" s="743"/>
      <c r="S781" s="743"/>
      <c r="T781" s="743"/>
      <c r="U781" s="743"/>
      <c r="V781" s="743"/>
      <c r="W781" s="743"/>
      <c r="X781" s="743"/>
      <c r="Y781" s="743"/>
      <c r="Z781" s="743"/>
      <c r="AA781" s="743"/>
      <c r="AB781" s="743"/>
      <c r="AC781" s="743"/>
      <c r="AD781" s="743"/>
      <c r="AE781" s="743"/>
      <c r="AF781" s="743"/>
      <c r="AG781" s="743"/>
      <c r="AH781" s="743"/>
      <c r="AI781" s="743"/>
      <c r="AJ781" s="743"/>
      <c r="AK781" s="743"/>
      <c r="AL781" s="743"/>
      <c r="AM781" s="743"/>
    </row>
    <row r="782" spans="1:39" ht="17.25">
      <c r="A782" s="752"/>
      <c r="B782" s="752"/>
      <c r="C782" s="752"/>
      <c r="D782" s="752"/>
      <c r="E782" s="752"/>
      <c r="F782" s="752"/>
      <c r="G782" s="752"/>
      <c r="H782" s="752"/>
      <c r="I782" s="829"/>
      <c r="J782" s="752"/>
      <c r="K782" s="752"/>
      <c r="L782" s="743"/>
      <c r="M782" s="743"/>
      <c r="N782" s="743"/>
      <c r="O782" s="743"/>
      <c r="P782" s="743"/>
      <c r="Q782" s="743"/>
      <c r="R782" s="743"/>
      <c r="S782" s="743"/>
      <c r="T782" s="743"/>
      <c r="U782" s="743"/>
      <c r="V782" s="743"/>
      <c r="W782" s="743"/>
      <c r="X782" s="743"/>
      <c r="Y782" s="743"/>
      <c r="Z782" s="743"/>
      <c r="AA782" s="743"/>
      <c r="AB782" s="743"/>
      <c r="AC782" s="743"/>
      <c r="AD782" s="743"/>
      <c r="AE782" s="743"/>
      <c r="AF782" s="743"/>
      <c r="AG782" s="743"/>
      <c r="AH782" s="743"/>
      <c r="AI782" s="743"/>
      <c r="AJ782" s="743"/>
      <c r="AK782" s="743"/>
      <c r="AL782" s="743"/>
      <c r="AM782" s="743"/>
    </row>
    <row r="783" spans="1:39" ht="17.25">
      <c r="A783" s="752"/>
      <c r="B783" s="752"/>
      <c r="C783" s="752"/>
      <c r="D783" s="752"/>
      <c r="E783" s="752"/>
      <c r="F783" s="752"/>
      <c r="G783" s="752"/>
      <c r="H783" s="752"/>
      <c r="I783" s="829"/>
      <c r="J783" s="752"/>
      <c r="K783" s="752"/>
      <c r="L783" s="743"/>
      <c r="M783" s="743"/>
      <c r="N783" s="743"/>
      <c r="O783" s="743"/>
      <c r="P783" s="743"/>
      <c r="Q783" s="743"/>
      <c r="R783" s="743"/>
      <c r="S783" s="743"/>
      <c r="T783" s="743"/>
      <c r="U783" s="743"/>
      <c r="V783" s="743"/>
      <c r="W783" s="743"/>
      <c r="X783" s="743"/>
      <c r="Y783" s="743"/>
      <c r="Z783" s="743"/>
      <c r="AA783" s="743"/>
      <c r="AB783" s="743"/>
      <c r="AC783" s="743"/>
      <c r="AD783" s="743"/>
      <c r="AE783" s="743"/>
      <c r="AF783" s="743"/>
      <c r="AG783" s="743"/>
      <c r="AH783" s="743"/>
      <c r="AI783" s="743"/>
      <c r="AJ783" s="743"/>
      <c r="AK783" s="743"/>
      <c r="AL783" s="743"/>
      <c r="AM783" s="743"/>
    </row>
    <row r="784" spans="1:39" ht="17.25">
      <c r="A784" s="752"/>
      <c r="B784" s="752"/>
      <c r="C784" s="752"/>
      <c r="D784" s="752"/>
      <c r="E784" s="752"/>
      <c r="F784" s="752"/>
      <c r="G784" s="752"/>
      <c r="H784" s="752"/>
      <c r="I784" s="829"/>
      <c r="J784" s="752"/>
      <c r="K784" s="752"/>
      <c r="L784" s="743"/>
      <c r="M784" s="743"/>
      <c r="N784" s="743"/>
      <c r="O784" s="743"/>
      <c r="P784" s="743"/>
      <c r="Q784" s="743"/>
      <c r="R784" s="743"/>
      <c r="S784" s="743"/>
      <c r="T784" s="743"/>
      <c r="U784" s="743"/>
      <c r="V784" s="743"/>
      <c r="W784" s="743"/>
      <c r="X784" s="743"/>
      <c r="Y784" s="743"/>
      <c r="Z784" s="743"/>
      <c r="AA784" s="743"/>
      <c r="AB784" s="743"/>
      <c r="AC784" s="743"/>
      <c r="AD784" s="743"/>
      <c r="AE784" s="743"/>
      <c r="AF784" s="743"/>
      <c r="AG784" s="743"/>
      <c r="AH784" s="743"/>
      <c r="AI784" s="743"/>
      <c r="AJ784" s="743"/>
      <c r="AK784" s="743"/>
      <c r="AL784" s="743"/>
      <c r="AM784" s="743"/>
    </row>
    <row r="785" spans="1:39" ht="17.25">
      <c r="A785" s="752"/>
      <c r="B785" s="752"/>
      <c r="C785" s="752"/>
      <c r="D785" s="752"/>
      <c r="E785" s="752"/>
      <c r="F785" s="752"/>
      <c r="G785" s="752"/>
      <c r="H785" s="752"/>
      <c r="I785" s="829"/>
      <c r="J785" s="752"/>
      <c r="K785" s="752"/>
      <c r="L785" s="743"/>
      <c r="M785" s="743"/>
      <c r="N785" s="743"/>
      <c r="O785" s="743"/>
      <c r="P785" s="743"/>
      <c r="Q785" s="743"/>
      <c r="R785" s="743"/>
      <c r="S785" s="743"/>
      <c r="T785" s="743"/>
      <c r="U785" s="743"/>
      <c r="V785" s="743"/>
      <c r="W785" s="743"/>
      <c r="X785" s="743"/>
      <c r="Y785" s="743"/>
      <c r="Z785" s="743"/>
      <c r="AA785" s="743"/>
      <c r="AB785" s="743"/>
      <c r="AC785" s="743"/>
      <c r="AD785" s="743"/>
      <c r="AE785" s="743"/>
      <c r="AF785" s="743"/>
      <c r="AG785" s="743"/>
      <c r="AH785" s="743"/>
      <c r="AI785" s="743"/>
      <c r="AJ785" s="743"/>
      <c r="AK785" s="743"/>
      <c r="AL785" s="743"/>
      <c r="AM785" s="743"/>
    </row>
    <row r="786" spans="1:39" ht="17.25">
      <c r="A786" s="752"/>
      <c r="B786" s="752"/>
      <c r="C786" s="752"/>
      <c r="D786" s="752"/>
      <c r="E786" s="752"/>
      <c r="F786" s="752"/>
      <c r="G786" s="752"/>
      <c r="H786" s="752"/>
      <c r="I786" s="829"/>
      <c r="J786" s="752"/>
      <c r="K786" s="752"/>
      <c r="L786" s="743"/>
      <c r="M786" s="743"/>
      <c r="N786" s="743"/>
      <c r="O786" s="743"/>
      <c r="P786" s="743"/>
      <c r="Q786" s="743"/>
      <c r="R786" s="743"/>
      <c r="S786" s="743"/>
      <c r="T786" s="743"/>
      <c r="U786" s="743"/>
      <c r="V786" s="743"/>
      <c r="W786" s="743"/>
      <c r="X786" s="743"/>
      <c r="Y786" s="743"/>
      <c r="Z786" s="743"/>
      <c r="AA786" s="743"/>
      <c r="AB786" s="743"/>
      <c r="AC786" s="743"/>
      <c r="AD786" s="743"/>
      <c r="AE786" s="743"/>
      <c r="AF786" s="743"/>
      <c r="AG786" s="743"/>
      <c r="AH786" s="743"/>
      <c r="AI786" s="743"/>
      <c r="AJ786" s="743"/>
      <c r="AK786" s="743"/>
      <c r="AL786" s="743"/>
      <c r="AM786" s="743"/>
    </row>
    <row r="787" spans="1:39" ht="17.25">
      <c r="A787" s="752"/>
      <c r="B787" s="752"/>
      <c r="C787" s="752"/>
      <c r="D787" s="752"/>
      <c r="E787" s="752"/>
      <c r="F787" s="752"/>
      <c r="G787" s="752"/>
      <c r="H787" s="752"/>
      <c r="I787" s="829"/>
      <c r="J787" s="752"/>
      <c r="K787" s="752"/>
      <c r="L787" s="743"/>
      <c r="M787" s="743"/>
      <c r="N787" s="743"/>
      <c r="O787" s="743"/>
      <c r="P787" s="743"/>
      <c r="Q787" s="743"/>
      <c r="R787" s="743"/>
      <c r="S787" s="743"/>
      <c r="T787" s="743"/>
      <c r="U787" s="743"/>
      <c r="V787" s="743"/>
      <c r="W787" s="743"/>
      <c r="X787" s="743"/>
      <c r="Y787" s="743"/>
      <c r="Z787" s="743"/>
      <c r="AA787" s="743"/>
      <c r="AB787" s="743"/>
      <c r="AC787" s="743"/>
      <c r="AD787" s="743"/>
      <c r="AE787" s="743"/>
      <c r="AF787" s="743"/>
      <c r="AG787" s="743"/>
      <c r="AH787" s="743"/>
      <c r="AI787" s="743"/>
      <c r="AJ787" s="743"/>
      <c r="AK787" s="743"/>
      <c r="AL787" s="743"/>
      <c r="AM787" s="743"/>
    </row>
    <row r="788" spans="1:39" ht="17.25">
      <c r="A788" s="752"/>
      <c r="B788" s="752"/>
      <c r="C788" s="752"/>
      <c r="D788" s="752"/>
      <c r="E788" s="752"/>
      <c r="F788" s="752"/>
      <c r="G788" s="752"/>
      <c r="H788" s="752"/>
      <c r="I788" s="829"/>
      <c r="J788" s="752"/>
      <c r="K788" s="752"/>
      <c r="L788" s="743"/>
      <c r="M788" s="743"/>
      <c r="N788" s="743"/>
      <c r="O788" s="743"/>
      <c r="P788" s="743"/>
      <c r="Q788" s="743"/>
      <c r="R788" s="743"/>
      <c r="S788" s="743"/>
      <c r="T788" s="743"/>
      <c r="U788" s="743"/>
      <c r="V788" s="743"/>
      <c r="W788" s="743"/>
      <c r="X788" s="743"/>
      <c r="Y788" s="743"/>
      <c r="Z788" s="743"/>
      <c r="AA788" s="743"/>
      <c r="AB788" s="743"/>
      <c r="AC788" s="743"/>
      <c r="AD788" s="743"/>
      <c r="AE788" s="743"/>
      <c r="AF788" s="743"/>
      <c r="AG788" s="743"/>
      <c r="AH788" s="743"/>
      <c r="AI788" s="743"/>
      <c r="AJ788" s="743"/>
      <c r="AK788" s="743"/>
      <c r="AL788" s="743"/>
      <c r="AM788" s="743"/>
    </row>
    <row r="789" spans="1:39" ht="17.25">
      <c r="A789" s="752"/>
      <c r="B789" s="752"/>
      <c r="C789" s="752"/>
      <c r="D789" s="752"/>
      <c r="E789" s="752"/>
      <c r="F789" s="752"/>
      <c r="G789" s="752"/>
      <c r="H789" s="752"/>
      <c r="I789" s="829"/>
      <c r="J789" s="752"/>
      <c r="K789" s="752"/>
      <c r="L789" s="743"/>
      <c r="M789" s="743"/>
      <c r="N789" s="743"/>
      <c r="O789" s="743"/>
      <c r="P789" s="743"/>
      <c r="Q789" s="743"/>
      <c r="R789" s="743"/>
      <c r="S789" s="743"/>
      <c r="T789" s="743"/>
      <c r="U789" s="743"/>
      <c r="V789" s="743"/>
      <c r="W789" s="743"/>
      <c r="X789" s="743"/>
      <c r="Y789" s="743"/>
      <c r="Z789" s="743"/>
      <c r="AA789" s="743"/>
      <c r="AB789" s="743"/>
      <c r="AC789" s="743"/>
      <c r="AD789" s="743"/>
      <c r="AE789" s="743"/>
      <c r="AF789" s="743"/>
      <c r="AG789" s="743"/>
      <c r="AH789" s="743"/>
      <c r="AI789" s="743"/>
      <c r="AJ789" s="743"/>
      <c r="AK789" s="743"/>
      <c r="AL789" s="743"/>
      <c r="AM789" s="743"/>
    </row>
    <row r="790" spans="1:39" ht="17.25">
      <c r="A790" s="752"/>
      <c r="B790" s="752"/>
      <c r="C790" s="752"/>
      <c r="D790" s="752"/>
      <c r="E790" s="752"/>
      <c r="F790" s="752"/>
      <c r="G790" s="752"/>
      <c r="H790" s="752"/>
      <c r="I790" s="829"/>
      <c r="J790" s="752"/>
      <c r="K790" s="752"/>
      <c r="L790" s="743"/>
      <c r="M790" s="743"/>
      <c r="N790" s="743"/>
      <c r="O790" s="743"/>
      <c r="P790" s="743"/>
      <c r="Q790" s="743"/>
      <c r="R790" s="743"/>
      <c r="S790" s="743"/>
      <c r="T790" s="743"/>
      <c r="U790" s="743"/>
      <c r="V790" s="743"/>
      <c r="W790" s="743"/>
      <c r="X790" s="743"/>
      <c r="Y790" s="743"/>
      <c r="Z790" s="743"/>
      <c r="AA790" s="743"/>
      <c r="AB790" s="743"/>
      <c r="AC790" s="743"/>
      <c r="AD790" s="743"/>
      <c r="AE790" s="743"/>
      <c r="AF790" s="743"/>
      <c r="AG790" s="743"/>
      <c r="AH790" s="743"/>
      <c r="AI790" s="743"/>
      <c r="AJ790" s="743"/>
      <c r="AK790" s="743"/>
      <c r="AL790" s="743"/>
      <c r="AM790" s="743"/>
    </row>
    <row r="791" spans="1:39" ht="17.25">
      <c r="A791" s="752"/>
      <c r="B791" s="752"/>
      <c r="C791" s="752"/>
      <c r="D791" s="752"/>
      <c r="E791" s="752"/>
      <c r="F791" s="752"/>
      <c r="G791" s="752"/>
      <c r="H791" s="752"/>
      <c r="I791" s="829"/>
      <c r="J791" s="752"/>
      <c r="K791" s="752"/>
      <c r="L791" s="743"/>
      <c r="M791" s="743"/>
      <c r="N791" s="743"/>
      <c r="O791" s="743"/>
      <c r="P791" s="743"/>
      <c r="Q791" s="743"/>
      <c r="R791" s="743"/>
      <c r="S791" s="743"/>
      <c r="T791" s="743"/>
      <c r="U791" s="743"/>
      <c r="V791" s="743"/>
      <c r="W791" s="743"/>
      <c r="X791" s="743"/>
      <c r="Y791" s="743"/>
      <c r="Z791" s="743"/>
      <c r="AA791" s="743"/>
      <c r="AB791" s="743"/>
      <c r="AC791" s="743"/>
      <c r="AD791" s="743"/>
      <c r="AE791" s="743"/>
      <c r="AF791" s="743"/>
      <c r="AG791" s="743"/>
      <c r="AH791" s="743"/>
      <c r="AI791" s="743"/>
      <c r="AJ791" s="743"/>
      <c r="AK791" s="743"/>
      <c r="AL791" s="743"/>
      <c r="AM791" s="743"/>
    </row>
    <row r="792" spans="1:39" ht="17.25">
      <c r="A792" s="752"/>
      <c r="B792" s="752"/>
      <c r="C792" s="752"/>
      <c r="D792" s="752"/>
      <c r="E792" s="752"/>
      <c r="F792" s="752"/>
      <c r="G792" s="752"/>
      <c r="H792" s="752"/>
      <c r="I792" s="829"/>
      <c r="J792" s="752"/>
      <c r="K792" s="752"/>
      <c r="L792" s="743"/>
      <c r="M792" s="743"/>
      <c r="N792" s="743"/>
      <c r="O792" s="743"/>
      <c r="P792" s="743"/>
      <c r="Q792" s="743"/>
      <c r="R792" s="743"/>
      <c r="S792" s="743"/>
      <c r="T792" s="743"/>
      <c r="U792" s="743"/>
      <c r="V792" s="743"/>
      <c r="W792" s="743"/>
      <c r="X792" s="743"/>
      <c r="Y792" s="743"/>
      <c r="Z792" s="743"/>
      <c r="AA792" s="743"/>
      <c r="AB792" s="743"/>
      <c r="AC792" s="743"/>
      <c r="AD792" s="743"/>
      <c r="AE792" s="743"/>
      <c r="AF792" s="743"/>
      <c r="AG792" s="743"/>
      <c r="AH792" s="743"/>
      <c r="AI792" s="743"/>
      <c r="AJ792" s="743"/>
      <c r="AK792" s="743"/>
      <c r="AL792" s="743"/>
      <c r="AM792" s="743"/>
    </row>
    <row r="793" spans="1:39" ht="17.25">
      <c r="A793" s="752"/>
      <c r="B793" s="752"/>
      <c r="C793" s="752"/>
      <c r="D793" s="752"/>
      <c r="E793" s="752"/>
      <c r="F793" s="752"/>
      <c r="G793" s="752"/>
      <c r="H793" s="752"/>
      <c r="I793" s="829"/>
      <c r="J793" s="752"/>
      <c r="K793" s="752"/>
      <c r="L793" s="743"/>
      <c r="M793" s="743"/>
      <c r="N793" s="743"/>
      <c r="O793" s="743"/>
      <c r="P793" s="743"/>
      <c r="Q793" s="743"/>
      <c r="R793" s="743"/>
      <c r="S793" s="743"/>
      <c r="T793" s="743"/>
      <c r="U793" s="743"/>
      <c r="V793" s="743"/>
      <c r="W793" s="743"/>
      <c r="X793" s="743"/>
      <c r="Y793" s="743"/>
      <c r="Z793" s="743"/>
      <c r="AA793" s="743"/>
      <c r="AB793" s="743"/>
      <c r="AC793" s="743"/>
      <c r="AD793" s="743"/>
      <c r="AE793" s="743"/>
      <c r="AF793" s="743"/>
      <c r="AG793" s="743"/>
      <c r="AH793" s="743"/>
      <c r="AI793" s="743"/>
      <c r="AJ793" s="743"/>
      <c r="AK793" s="743"/>
      <c r="AL793" s="743"/>
      <c r="AM793" s="743"/>
    </row>
    <row r="794" spans="1:39" ht="17.25">
      <c r="A794" s="752"/>
      <c r="B794" s="752"/>
      <c r="C794" s="752"/>
      <c r="D794" s="752"/>
      <c r="E794" s="752"/>
      <c r="F794" s="752"/>
      <c r="G794" s="752"/>
      <c r="H794" s="752"/>
      <c r="I794" s="829"/>
      <c r="J794" s="752"/>
      <c r="K794" s="752"/>
      <c r="L794" s="743"/>
      <c r="M794" s="743"/>
      <c r="N794" s="743"/>
      <c r="O794" s="743"/>
      <c r="P794" s="743"/>
      <c r="Q794" s="743"/>
      <c r="R794" s="743"/>
      <c r="S794" s="743"/>
      <c r="T794" s="743"/>
      <c r="U794" s="743"/>
      <c r="V794" s="743"/>
      <c r="W794" s="743"/>
      <c r="X794" s="743"/>
      <c r="Y794" s="743"/>
      <c r="Z794" s="743"/>
      <c r="AA794" s="743"/>
      <c r="AB794" s="743"/>
      <c r="AC794" s="743"/>
      <c r="AD794" s="743"/>
      <c r="AE794" s="743"/>
      <c r="AF794" s="743"/>
      <c r="AG794" s="743"/>
      <c r="AH794" s="743"/>
      <c r="AI794" s="743"/>
      <c r="AJ794" s="743"/>
      <c r="AK794" s="743"/>
      <c r="AL794" s="743"/>
      <c r="AM794" s="743"/>
    </row>
    <row r="795" spans="1:39" ht="17.25">
      <c r="A795" s="752"/>
      <c r="B795" s="752"/>
      <c r="C795" s="752"/>
      <c r="D795" s="752"/>
      <c r="E795" s="752"/>
      <c r="F795" s="752"/>
      <c r="G795" s="752"/>
      <c r="H795" s="752"/>
      <c r="I795" s="829"/>
      <c r="J795" s="752"/>
      <c r="K795" s="752"/>
      <c r="L795" s="743"/>
      <c r="M795" s="743"/>
      <c r="N795" s="743"/>
      <c r="O795" s="743"/>
      <c r="P795" s="743"/>
      <c r="Q795" s="743"/>
      <c r="R795" s="743"/>
      <c r="S795" s="743"/>
      <c r="T795" s="743"/>
      <c r="U795" s="743"/>
      <c r="V795" s="743"/>
      <c r="W795" s="743"/>
      <c r="X795" s="743"/>
      <c r="Y795" s="743"/>
      <c r="Z795" s="743"/>
      <c r="AA795" s="743"/>
      <c r="AB795" s="743"/>
      <c r="AC795" s="743"/>
      <c r="AD795" s="743"/>
      <c r="AE795" s="743"/>
      <c r="AF795" s="743"/>
      <c r="AG795" s="743"/>
      <c r="AH795" s="743"/>
      <c r="AI795" s="743"/>
      <c r="AJ795" s="743"/>
      <c r="AK795" s="743"/>
      <c r="AL795" s="743"/>
      <c r="AM795" s="743"/>
    </row>
    <row r="796" spans="1:39" ht="17.25">
      <c r="A796" s="752"/>
      <c r="B796" s="752"/>
      <c r="C796" s="752"/>
      <c r="D796" s="752"/>
      <c r="E796" s="752"/>
      <c r="F796" s="752"/>
      <c r="G796" s="752"/>
      <c r="H796" s="752"/>
      <c r="I796" s="829"/>
      <c r="J796" s="752"/>
      <c r="K796" s="752"/>
      <c r="L796" s="743"/>
      <c r="M796" s="743"/>
      <c r="N796" s="743"/>
      <c r="O796" s="743"/>
      <c r="P796" s="743"/>
      <c r="Q796" s="743"/>
      <c r="R796" s="743"/>
      <c r="S796" s="743"/>
      <c r="T796" s="743"/>
      <c r="U796" s="743"/>
      <c r="V796" s="743"/>
      <c r="W796" s="743"/>
      <c r="X796" s="743"/>
      <c r="Y796" s="743"/>
      <c r="Z796" s="743"/>
      <c r="AA796" s="743"/>
      <c r="AB796" s="743"/>
      <c r="AC796" s="743"/>
      <c r="AD796" s="743"/>
      <c r="AE796" s="743"/>
      <c r="AF796" s="743"/>
      <c r="AG796" s="743"/>
      <c r="AH796" s="743"/>
      <c r="AI796" s="743"/>
      <c r="AJ796" s="743"/>
      <c r="AK796" s="743"/>
      <c r="AL796" s="743"/>
      <c r="AM796" s="743"/>
    </row>
    <row r="797" spans="1:39" ht="17.25">
      <c r="A797" s="752"/>
      <c r="B797" s="752"/>
      <c r="C797" s="752"/>
      <c r="D797" s="752"/>
      <c r="E797" s="752"/>
      <c r="F797" s="752"/>
      <c r="G797" s="752"/>
      <c r="H797" s="752"/>
      <c r="I797" s="829"/>
      <c r="J797" s="752"/>
      <c r="K797" s="752"/>
      <c r="L797" s="743"/>
      <c r="M797" s="743"/>
      <c r="N797" s="743"/>
      <c r="O797" s="743"/>
      <c r="P797" s="743"/>
      <c r="Q797" s="743"/>
      <c r="R797" s="743"/>
      <c r="S797" s="743"/>
      <c r="T797" s="743"/>
      <c r="U797" s="743"/>
      <c r="V797" s="743"/>
      <c r="W797" s="743"/>
      <c r="X797" s="743"/>
      <c r="Y797" s="743"/>
      <c r="Z797" s="743"/>
      <c r="AA797" s="743"/>
      <c r="AB797" s="743"/>
      <c r="AC797" s="743"/>
      <c r="AD797" s="743"/>
      <c r="AE797" s="743"/>
      <c r="AF797" s="743"/>
      <c r="AG797" s="743"/>
      <c r="AH797" s="743"/>
      <c r="AI797" s="743"/>
      <c r="AJ797" s="743"/>
      <c r="AK797" s="743"/>
      <c r="AL797" s="743"/>
      <c r="AM797" s="743"/>
    </row>
    <row r="798" spans="1:39" ht="17.25">
      <c r="A798" s="752"/>
      <c r="B798" s="752"/>
      <c r="C798" s="752"/>
      <c r="D798" s="752"/>
      <c r="E798" s="752"/>
      <c r="F798" s="752"/>
      <c r="G798" s="752"/>
      <c r="H798" s="752"/>
      <c r="I798" s="829"/>
      <c r="J798" s="752"/>
      <c r="K798" s="752"/>
      <c r="L798" s="743"/>
      <c r="M798" s="743"/>
      <c r="N798" s="743"/>
      <c r="O798" s="743"/>
      <c r="P798" s="743"/>
      <c r="Q798" s="743"/>
      <c r="R798" s="743"/>
      <c r="S798" s="743"/>
      <c r="T798" s="743"/>
      <c r="U798" s="743"/>
      <c r="V798" s="743"/>
      <c r="W798" s="743"/>
      <c r="X798" s="743"/>
      <c r="Y798" s="743"/>
      <c r="Z798" s="743"/>
      <c r="AA798" s="743"/>
      <c r="AB798" s="743"/>
      <c r="AC798" s="743"/>
      <c r="AD798" s="743"/>
      <c r="AE798" s="743"/>
      <c r="AF798" s="743"/>
      <c r="AG798" s="743"/>
      <c r="AH798" s="743"/>
      <c r="AI798" s="743"/>
      <c r="AJ798" s="743"/>
      <c r="AK798" s="743"/>
      <c r="AL798" s="743"/>
      <c r="AM798" s="743"/>
    </row>
    <row r="799" spans="1:39" ht="17.25">
      <c r="A799" s="752"/>
      <c r="B799" s="752"/>
      <c r="C799" s="752"/>
      <c r="D799" s="752"/>
      <c r="E799" s="752"/>
      <c r="F799" s="752"/>
      <c r="G799" s="752"/>
      <c r="H799" s="752"/>
      <c r="I799" s="829"/>
      <c r="J799" s="752"/>
      <c r="K799" s="752"/>
      <c r="L799" s="743"/>
      <c r="M799" s="743"/>
      <c r="N799" s="743"/>
      <c r="O799" s="743"/>
      <c r="P799" s="743"/>
      <c r="Q799" s="743"/>
      <c r="R799" s="743"/>
      <c r="S799" s="743"/>
      <c r="T799" s="743"/>
      <c r="U799" s="743"/>
      <c r="V799" s="743"/>
      <c r="W799" s="743"/>
      <c r="X799" s="743"/>
      <c r="Y799" s="743"/>
      <c r="Z799" s="743"/>
      <c r="AA799" s="743"/>
      <c r="AB799" s="743"/>
      <c r="AC799" s="743"/>
      <c r="AD799" s="743"/>
      <c r="AE799" s="743"/>
      <c r="AF799" s="743"/>
      <c r="AG799" s="743"/>
      <c r="AH799" s="743"/>
      <c r="AI799" s="743"/>
      <c r="AJ799" s="743"/>
      <c r="AK799" s="743"/>
      <c r="AL799" s="743"/>
      <c r="AM799" s="743"/>
    </row>
    <row r="800" spans="1:39" ht="17.25">
      <c r="A800" s="752"/>
      <c r="B800" s="752"/>
      <c r="C800" s="752"/>
      <c r="D800" s="752"/>
      <c r="E800" s="752"/>
      <c r="F800" s="752"/>
      <c r="G800" s="752"/>
      <c r="H800" s="752"/>
      <c r="I800" s="829"/>
      <c r="J800" s="752"/>
      <c r="K800" s="752"/>
      <c r="L800" s="743"/>
      <c r="M800" s="743"/>
      <c r="N800" s="743"/>
      <c r="O800" s="743"/>
      <c r="P800" s="743"/>
      <c r="Q800" s="743"/>
      <c r="R800" s="743"/>
      <c r="S800" s="743"/>
      <c r="T800" s="743"/>
      <c r="U800" s="743"/>
      <c r="V800" s="743"/>
      <c r="W800" s="743"/>
      <c r="X800" s="743"/>
      <c r="Y800" s="743"/>
      <c r="Z800" s="743"/>
      <c r="AA800" s="743"/>
      <c r="AB800" s="743"/>
      <c r="AC800" s="743"/>
      <c r="AD800" s="743"/>
      <c r="AE800" s="743"/>
      <c r="AF800" s="743"/>
      <c r="AG800" s="743"/>
      <c r="AH800" s="743"/>
      <c r="AI800" s="743"/>
      <c r="AJ800" s="743"/>
      <c r="AK800" s="743"/>
      <c r="AL800" s="743"/>
      <c r="AM800" s="743"/>
    </row>
    <row r="801" spans="1:39" ht="17.25">
      <c r="A801" s="752"/>
      <c r="B801" s="752"/>
      <c r="C801" s="752"/>
      <c r="D801" s="752"/>
      <c r="E801" s="752"/>
      <c r="F801" s="752"/>
      <c r="G801" s="752"/>
      <c r="H801" s="752"/>
      <c r="I801" s="829"/>
      <c r="J801" s="752"/>
      <c r="K801" s="752"/>
      <c r="L801" s="743"/>
      <c r="M801" s="743"/>
      <c r="N801" s="743"/>
      <c r="O801" s="743"/>
      <c r="P801" s="743"/>
      <c r="Q801" s="743"/>
      <c r="R801" s="743"/>
      <c r="S801" s="743"/>
      <c r="T801" s="743"/>
      <c r="U801" s="743"/>
      <c r="V801" s="743"/>
      <c r="W801" s="743"/>
      <c r="X801" s="743"/>
      <c r="Y801" s="743"/>
      <c r="Z801" s="743"/>
      <c r="AA801" s="743"/>
      <c r="AB801" s="743"/>
      <c r="AC801" s="743"/>
      <c r="AD801" s="743"/>
      <c r="AE801" s="743"/>
      <c r="AF801" s="743"/>
      <c r="AG801" s="743"/>
      <c r="AH801" s="743"/>
      <c r="AI801" s="743"/>
      <c r="AJ801" s="743"/>
      <c r="AK801" s="743"/>
      <c r="AL801" s="743"/>
      <c r="AM801" s="743"/>
    </row>
    <row r="802" spans="1:39" ht="17.25">
      <c r="A802" s="752"/>
      <c r="B802" s="752"/>
      <c r="C802" s="752"/>
      <c r="D802" s="752"/>
      <c r="E802" s="752"/>
      <c r="F802" s="752"/>
      <c r="G802" s="752"/>
      <c r="H802" s="752"/>
      <c r="I802" s="829"/>
      <c r="J802" s="752"/>
      <c r="K802" s="752"/>
      <c r="L802" s="743"/>
      <c r="M802" s="743"/>
      <c r="N802" s="743"/>
      <c r="O802" s="743"/>
      <c r="P802" s="743"/>
      <c r="Q802" s="743"/>
      <c r="R802" s="743"/>
      <c r="S802" s="743"/>
      <c r="T802" s="743"/>
      <c r="U802" s="743"/>
      <c r="V802" s="743"/>
      <c r="W802" s="743"/>
      <c r="X802" s="743"/>
      <c r="Y802" s="743"/>
      <c r="Z802" s="743"/>
      <c r="AA802" s="743"/>
      <c r="AB802" s="743"/>
      <c r="AC802" s="743"/>
      <c r="AD802" s="743"/>
      <c r="AE802" s="743"/>
      <c r="AF802" s="743"/>
      <c r="AG802" s="743"/>
      <c r="AH802" s="743"/>
      <c r="AI802" s="743"/>
      <c r="AJ802" s="743"/>
      <c r="AK802" s="743"/>
      <c r="AL802" s="743"/>
      <c r="AM802" s="743"/>
    </row>
    <row r="803" spans="1:39" ht="17.25">
      <c r="A803" s="752"/>
      <c r="B803" s="752"/>
      <c r="C803" s="752"/>
      <c r="D803" s="752"/>
      <c r="E803" s="752"/>
      <c r="F803" s="752"/>
      <c r="G803" s="752"/>
      <c r="H803" s="752"/>
      <c r="I803" s="829"/>
      <c r="J803" s="752"/>
      <c r="K803" s="752"/>
      <c r="L803" s="743"/>
      <c r="M803" s="743"/>
      <c r="N803" s="743"/>
      <c r="O803" s="743"/>
      <c r="P803" s="743"/>
      <c r="Q803" s="743"/>
      <c r="R803" s="743"/>
      <c r="S803" s="743"/>
      <c r="T803" s="743"/>
      <c r="U803" s="743"/>
      <c r="V803" s="743"/>
      <c r="W803" s="743"/>
      <c r="X803" s="743"/>
      <c r="Y803" s="743"/>
      <c r="Z803" s="743"/>
      <c r="AA803" s="743"/>
      <c r="AB803" s="743"/>
      <c r="AC803" s="743"/>
      <c r="AD803" s="743"/>
      <c r="AE803" s="743"/>
      <c r="AF803" s="743"/>
      <c r="AG803" s="743"/>
      <c r="AH803" s="743"/>
      <c r="AI803" s="743"/>
      <c r="AJ803" s="743"/>
      <c r="AK803" s="743"/>
      <c r="AL803" s="743"/>
      <c r="AM803" s="743"/>
    </row>
    <row r="804" spans="1:39" ht="17.25">
      <c r="A804" s="752"/>
      <c r="B804" s="752"/>
      <c r="C804" s="752"/>
      <c r="D804" s="752"/>
      <c r="E804" s="752"/>
      <c r="F804" s="752"/>
      <c r="G804" s="752"/>
      <c r="H804" s="752"/>
      <c r="I804" s="829"/>
      <c r="J804" s="752"/>
      <c r="K804" s="752"/>
      <c r="L804" s="743"/>
      <c r="M804" s="743"/>
      <c r="N804" s="743"/>
      <c r="O804" s="743"/>
      <c r="P804" s="743"/>
      <c r="Q804" s="743"/>
      <c r="R804" s="743"/>
      <c r="S804" s="743"/>
      <c r="T804" s="743"/>
      <c r="U804" s="743"/>
      <c r="V804" s="743"/>
      <c r="W804" s="743"/>
      <c r="X804" s="743"/>
      <c r="Y804" s="743"/>
      <c r="Z804" s="743"/>
      <c r="AA804" s="743"/>
      <c r="AB804" s="743"/>
      <c r="AC804" s="743"/>
      <c r="AD804" s="743"/>
      <c r="AE804" s="743"/>
      <c r="AF804" s="743"/>
      <c r="AG804" s="743"/>
      <c r="AH804" s="743"/>
      <c r="AI804" s="743"/>
      <c r="AJ804" s="743"/>
      <c r="AK804" s="743"/>
      <c r="AL804" s="743"/>
      <c r="AM804" s="743"/>
    </row>
    <row r="805" spans="1:39" ht="17.25">
      <c r="A805" s="752"/>
      <c r="B805" s="752"/>
      <c r="C805" s="752"/>
      <c r="D805" s="752"/>
      <c r="E805" s="752"/>
      <c r="F805" s="752"/>
      <c r="G805" s="752"/>
      <c r="H805" s="752"/>
      <c r="I805" s="829"/>
      <c r="J805" s="752"/>
      <c r="K805" s="752"/>
      <c r="L805" s="743"/>
      <c r="M805" s="743"/>
      <c r="N805" s="743"/>
      <c r="O805" s="743"/>
      <c r="P805" s="743"/>
      <c r="Q805" s="743"/>
      <c r="R805" s="743"/>
      <c r="S805" s="743"/>
      <c r="T805" s="743"/>
      <c r="U805" s="743"/>
      <c r="V805" s="743"/>
      <c r="W805" s="743"/>
      <c r="X805" s="743"/>
      <c r="Y805" s="743"/>
      <c r="Z805" s="743"/>
      <c r="AA805" s="743"/>
      <c r="AB805" s="743"/>
      <c r="AC805" s="743"/>
      <c r="AD805" s="743"/>
      <c r="AE805" s="743"/>
      <c r="AF805" s="743"/>
      <c r="AG805" s="743"/>
      <c r="AH805" s="743"/>
      <c r="AI805" s="743"/>
      <c r="AJ805" s="743"/>
      <c r="AK805" s="743"/>
      <c r="AL805" s="743"/>
      <c r="AM805" s="743"/>
    </row>
    <row r="806" spans="1:39" ht="17.25">
      <c r="A806" s="752"/>
      <c r="B806" s="752"/>
      <c r="C806" s="752"/>
      <c r="D806" s="752"/>
      <c r="E806" s="752"/>
      <c r="F806" s="752"/>
      <c r="G806" s="752"/>
      <c r="H806" s="752"/>
      <c r="I806" s="829"/>
      <c r="J806" s="752"/>
      <c r="K806" s="752"/>
      <c r="L806" s="743"/>
      <c r="M806" s="743"/>
      <c r="N806" s="743"/>
      <c r="O806" s="743"/>
      <c r="P806" s="743"/>
      <c r="Q806" s="743"/>
      <c r="R806" s="743"/>
      <c r="S806" s="743"/>
      <c r="T806" s="743"/>
      <c r="U806" s="743"/>
      <c r="V806" s="743"/>
      <c r="W806" s="743"/>
      <c r="X806" s="743"/>
      <c r="Y806" s="743"/>
      <c r="Z806" s="743"/>
      <c r="AA806" s="743"/>
      <c r="AB806" s="743"/>
      <c r="AC806" s="743"/>
      <c r="AD806" s="743"/>
      <c r="AE806" s="743"/>
      <c r="AF806" s="743"/>
      <c r="AG806" s="743"/>
      <c r="AH806" s="743"/>
      <c r="AI806" s="743"/>
      <c r="AJ806" s="743"/>
      <c r="AK806" s="743"/>
      <c r="AL806" s="743"/>
      <c r="AM806" s="743"/>
    </row>
    <row r="807" spans="1:39" ht="17.25">
      <c r="A807" s="752"/>
      <c r="B807" s="752"/>
      <c r="C807" s="752"/>
      <c r="D807" s="752"/>
      <c r="E807" s="752"/>
      <c r="F807" s="752"/>
      <c r="G807" s="752"/>
      <c r="H807" s="752"/>
      <c r="I807" s="829"/>
      <c r="J807" s="752"/>
      <c r="K807" s="752"/>
      <c r="L807" s="743"/>
      <c r="M807" s="743"/>
      <c r="N807" s="743"/>
      <c r="O807" s="743"/>
      <c r="P807" s="743"/>
      <c r="Q807" s="743"/>
      <c r="R807" s="743"/>
      <c r="S807" s="743"/>
      <c r="T807" s="743"/>
      <c r="U807" s="743"/>
      <c r="V807" s="743"/>
      <c r="W807" s="743"/>
      <c r="X807" s="743"/>
      <c r="Y807" s="743"/>
      <c r="Z807" s="743"/>
      <c r="AA807" s="743"/>
      <c r="AB807" s="743"/>
      <c r="AC807" s="743"/>
      <c r="AD807" s="743"/>
      <c r="AE807" s="743"/>
      <c r="AF807" s="743"/>
      <c r="AG807" s="743"/>
      <c r="AH807" s="743"/>
      <c r="AI807" s="743"/>
      <c r="AJ807" s="743"/>
      <c r="AK807" s="743"/>
      <c r="AL807" s="743"/>
      <c r="AM807" s="743"/>
    </row>
    <row r="808" spans="1:39" ht="17.25">
      <c r="A808" s="752"/>
      <c r="B808" s="752"/>
      <c r="C808" s="752"/>
      <c r="D808" s="752"/>
      <c r="E808" s="752"/>
      <c r="F808" s="752"/>
      <c r="G808" s="752"/>
      <c r="H808" s="752"/>
      <c r="I808" s="829"/>
      <c r="J808" s="752"/>
      <c r="K808" s="752"/>
      <c r="L808" s="743"/>
      <c r="M808" s="743"/>
      <c r="N808" s="743"/>
      <c r="O808" s="743"/>
      <c r="P808" s="743"/>
      <c r="Q808" s="743"/>
      <c r="R808" s="743"/>
      <c r="S808" s="743"/>
      <c r="T808" s="743"/>
      <c r="U808" s="743"/>
      <c r="V808" s="743"/>
      <c r="W808" s="743"/>
      <c r="X808" s="743"/>
      <c r="Y808" s="743"/>
      <c r="Z808" s="743"/>
      <c r="AA808" s="743"/>
      <c r="AB808" s="743"/>
      <c r="AC808" s="743"/>
      <c r="AD808" s="743"/>
      <c r="AE808" s="743"/>
      <c r="AF808" s="743"/>
      <c r="AG808" s="743"/>
      <c r="AH808" s="743"/>
      <c r="AI808" s="743"/>
      <c r="AJ808" s="743"/>
      <c r="AK808" s="743"/>
      <c r="AL808" s="743"/>
      <c r="AM808" s="743"/>
    </row>
    <row r="809" spans="1:39" ht="17.25">
      <c r="A809" s="752"/>
      <c r="B809" s="752"/>
      <c r="C809" s="752"/>
      <c r="D809" s="752"/>
      <c r="E809" s="752"/>
      <c r="F809" s="752"/>
      <c r="G809" s="752"/>
      <c r="H809" s="752"/>
      <c r="I809" s="829"/>
      <c r="J809" s="752"/>
      <c r="K809" s="752"/>
      <c r="L809" s="743"/>
      <c r="M809" s="743"/>
      <c r="N809" s="743"/>
      <c r="O809" s="743"/>
      <c r="P809" s="743"/>
      <c r="Q809" s="743"/>
      <c r="R809" s="743"/>
      <c r="S809" s="743"/>
      <c r="T809" s="743"/>
      <c r="U809" s="743"/>
      <c r="V809" s="743"/>
      <c r="W809" s="743"/>
      <c r="X809" s="743"/>
      <c r="Y809" s="743"/>
      <c r="Z809" s="743"/>
      <c r="AA809" s="743"/>
      <c r="AB809" s="743"/>
      <c r="AC809" s="743"/>
      <c r="AD809" s="743"/>
      <c r="AE809" s="743"/>
      <c r="AF809" s="743"/>
      <c r="AG809" s="743"/>
      <c r="AH809" s="743"/>
      <c r="AI809" s="743"/>
      <c r="AJ809" s="743"/>
      <c r="AK809" s="743"/>
      <c r="AL809" s="743"/>
      <c r="AM809" s="743"/>
    </row>
    <row r="810" spans="1:39" ht="17.25">
      <c r="A810" s="752"/>
      <c r="B810" s="752"/>
      <c r="C810" s="752"/>
      <c r="D810" s="752"/>
      <c r="E810" s="752"/>
      <c r="F810" s="752"/>
      <c r="G810" s="752"/>
      <c r="H810" s="752"/>
      <c r="I810" s="829"/>
      <c r="J810" s="752"/>
      <c r="K810" s="752"/>
      <c r="L810" s="743"/>
      <c r="M810" s="743"/>
      <c r="N810" s="743"/>
      <c r="O810" s="743"/>
      <c r="P810" s="743"/>
      <c r="Q810" s="743"/>
      <c r="R810" s="743"/>
      <c r="S810" s="743"/>
      <c r="T810" s="743"/>
      <c r="U810" s="743"/>
      <c r="V810" s="743"/>
      <c r="W810" s="743"/>
      <c r="X810" s="743"/>
      <c r="Y810" s="743"/>
      <c r="Z810" s="743"/>
      <c r="AA810" s="743"/>
      <c r="AB810" s="743"/>
      <c r="AC810" s="743"/>
      <c r="AD810" s="743"/>
      <c r="AE810" s="743"/>
      <c r="AF810" s="743"/>
      <c r="AG810" s="743"/>
      <c r="AH810" s="743"/>
      <c r="AI810" s="743"/>
      <c r="AJ810" s="743"/>
      <c r="AK810" s="743"/>
      <c r="AL810" s="743"/>
      <c r="AM810" s="743"/>
    </row>
    <row r="811" spans="1:39" ht="17.25">
      <c r="A811" s="752"/>
      <c r="B811" s="752"/>
      <c r="C811" s="752"/>
      <c r="D811" s="752"/>
      <c r="E811" s="752"/>
      <c r="F811" s="752"/>
      <c r="G811" s="752"/>
      <c r="H811" s="752"/>
      <c r="I811" s="829"/>
      <c r="J811" s="752"/>
      <c r="K811" s="752"/>
      <c r="L811" s="743"/>
      <c r="M811" s="743"/>
      <c r="N811" s="743"/>
      <c r="O811" s="743"/>
      <c r="P811" s="743"/>
      <c r="Q811" s="743"/>
      <c r="R811" s="743"/>
      <c r="S811" s="743"/>
      <c r="T811" s="743"/>
      <c r="U811" s="743"/>
      <c r="V811" s="743"/>
      <c r="W811" s="743"/>
      <c r="X811" s="743"/>
      <c r="Y811" s="743"/>
      <c r="Z811" s="743"/>
      <c r="AA811" s="743"/>
      <c r="AB811" s="743"/>
      <c r="AC811" s="743"/>
      <c r="AD811" s="743"/>
      <c r="AE811" s="743"/>
      <c r="AF811" s="743"/>
      <c r="AG811" s="743"/>
      <c r="AH811" s="743"/>
      <c r="AI811" s="743"/>
      <c r="AJ811" s="743"/>
      <c r="AK811" s="743"/>
      <c r="AL811" s="743"/>
      <c r="AM811" s="743"/>
    </row>
    <row r="812" spans="1:39" ht="17.25">
      <c r="A812" s="752"/>
      <c r="B812" s="752"/>
      <c r="C812" s="752"/>
      <c r="D812" s="752"/>
      <c r="E812" s="752"/>
      <c r="F812" s="752"/>
      <c r="G812" s="752"/>
      <c r="H812" s="752"/>
      <c r="I812" s="829"/>
      <c r="J812" s="752"/>
      <c r="K812" s="752"/>
      <c r="L812" s="743"/>
      <c r="M812" s="743"/>
      <c r="N812" s="743"/>
      <c r="O812" s="743"/>
      <c r="P812" s="743"/>
      <c r="Q812" s="743"/>
      <c r="R812" s="743"/>
      <c r="S812" s="743"/>
      <c r="T812" s="743"/>
      <c r="U812" s="743"/>
      <c r="V812" s="743"/>
      <c r="W812" s="743"/>
      <c r="X812" s="743"/>
      <c r="Y812" s="743"/>
      <c r="Z812" s="743"/>
      <c r="AA812" s="743"/>
      <c r="AB812" s="743"/>
      <c r="AC812" s="743"/>
      <c r="AD812" s="743"/>
      <c r="AE812" s="743"/>
      <c r="AF812" s="743"/>
      <c r="AG812" s="743"/>
      <c r="AH812" s="743"/>
      <c r="AI812" s="743"/>
      <c r="AJ812" s="743"/>
      <c r="AK812" s="743"/>
      <c r="AL812" s="743"/>
      <c r="AM812" s="743"/>
    </row>
    <row r="813" spans="1:39" ht="17.25">
      <c r="A813" s="752"/>
      <c r="B813" s="752"/>
      <c r="C813" s="752"/>
      <c r="D813" s="752"/>
      <c r="E813" s="752"/>
      <c r="F813" s="752"/>
      <c r="G813" s="752"/>
      <c r="H813" s="752"/>
      <c r="I813" s="829"/>
      <c r="J813" s="752"/>
      <c r="K813" s="752"/>
      <c r="L813" s="743"/>
      <c r="M813" s="743"/>
      <c r="N813" s="743"/>
      <c r="O813" s="743"/>
      <c r="P813" s="743"/>
      <c r="Q813" s="743"/>
      <c r="R813" s="743"/>
      <c r="S813" s="743"/>
      <c r="T813" s="743"/>
      <c r="U813" s="743"/>
      <c r="V813" s="743"/>
      <c r="W813" s="743"/>
      <c r="X813" s="743"/>
      <c r="Y813" s="743"/>
      <c r="Z813" s="743"/>
      <c r="AA813" s="743"/>
      <c r="AB813" s="743"/>
      <c r="AC813" s="743"/>
      <c r="AD813" s="743"/>
      <c r="AE813" s="743"/>
      <c r="AF813" s="743"/>
      <c r="AG813" s="743"/>
      <c r="AH813" s="743"/>
      <c r="AI813" s="743"/>
      <c r="AJ813" s="743"/>
      <c r="AK813" s="743"/>
      <c r="AL813" s="743"/>
      <c r="AM813" s="743"/>
    </row>
    <row r="814" spans="1:39" ht="17.25">
      <c r="A814" s="752"/>
      <c r="B814" s="752"/>
      <c r="C814" s="752"/>
      <c r="D814" s="752"/>
      <c r="E814" s="752"/>
      <c r="F814" s="752"/>
      <c r="G814" s="752"/>
      <c r="H814" s="752"/>
      <c r="I814" s="829"/>
      <c r="J814" s="752"/>
      <c r="K814" s="752"/>
      <c r="L814" s="743"/>
      <c r="M814" s="743"/>
      <c r="N814" s="743"/>
      <c r="O814" s="743"/>
      <c r="P814" s="743"/>
      <c r="Q814" s="743"/>
      <c r="R814" s="743"/>
      <c r="S814" s="743"/>
      <c r="T814" s="743"/>
      <c r="U814" s="743"/>
      <c r="V814" s="743"/>
      <c r="W814" s="743"/>
      <c r="X814" s="743"/>
      <c r="Y814" s="743"/>
      <c r="Z814" s="743"/>
      <c r="AA814" s="743"/>
      <c r="AB814" s="743"/>
      <c r="AC814" s="743"/>
      <c r="AD814" s="743"/>
      <c r="AE814" s="743"/>
      <c r="AF814" s="743"/>
      <c r="AG814" s="743"/>
      <c r="AH814" s="743"/>
      <c r="AI814" s="743"/>
      <c r="AJ814" s="743"/>
      <c r="AK814" s="743"/>
      <c r="AL814" s="743"/>
      <c r="AM814" s="743"/>
    </row>
    <row r="815" spans="1:39" ht="17.25">
      <c r="A815" s="752"/>
      <c r="B815" s="752"/>
      <c r="C815" s="752"/>
      <c r="D815" s="752"/>
      <c r="E815" s="752"/>
      <c r="F815" s="752"/>
      <c r="G815" s="752"/>
      <c r="H815" s="752"/>
      <c r="I815" s="829"/>
      <c r="J815" s="752"/>
      <c r="K815" s="752"/>
      <c r="L815" s="743"/>
      <c r="M815" s="743"/>
      <c r="N815" s="743"/>
      <c r="O815" s="743"/>
      <c r="P815" s="743"/>
      <c r="Q815" s="743"/>
      <c r="R815" s="743"/>
      <c r="S815" s="743"/>
      <c r="T815" s="743"/>
      <c r="U815" s="743"/>
      <c r="V815" s="743"/>
      <c r="W815" s="743"/>
      <c r="X815" s="743"/>
      <c r="Y815" s="743"/>
      <c r="Z815" s="743"/>
      <c r="AA815" s="743"/>
      <c r="AB815" s="743"/>
      <c r="AC815" s="743"/>
      <c r="AD815" s="743"/>
      <c r="AE815" s="743"/>
      <c r="AF815" s="743"/>
      <c r="AG815" s="743"/>
      <c r="AH815" s="743"/>
      <c r="AI815" s="743"/>
      <c r="AJ815" s="743"/>
      <c r="AK815" s="743"/>
      <c r="AL815" s="743"/>
      <c r="AM815" s="743"/>
    </row>
    <row r="816" spans="1:39" ht="17.25">
      <c r="A816" s="752"/>
      <c r="B816" s="752"/>
      <c r="C816" s="752"/>
      <c r="D816" s="752"/>
      <c r="E816" s="752"/>
      <c r="F816" s="752"/>
      <c r="G816" s="752"/>
      <c r="H816" s="752"/>
      <c r="I816" s="829"/>
      <c r="J816" s="752"/>
      <c r="K816" s="752"/>
      <c r="L816" s="743"/>
      <c r="M816" s="743"/>
      <c r="N816" s="743"/>
      <c r="O816" s="743"/>
      <c r="P816" s="743"/>
      <c r="Q816" s="743"/>
      <c r="R816" s="743"/>
      <c r="S816" s="743"/>
      <c r="T816" s="743"/>
      <c r="U816" s="743"/>
      <c r="V816" s="743"/>
      <c r="W816" s="743"/>
      <c r="X816" s="743"/>
      <c r="Y816" s="743"/>
      <c r="Z816" s="743"/>
      <c r="AA816" s="743"/>
      <c r="AB816" s="743"/>
      <c r="AC816" s="743"/>
      <c r="AD816" s="743"/>
      <c r="AE816" s="743"/>
      <c r="AF816" s="743"/>
      <c r="AG816" s="743"/>
      <c r="AH816" s="743"/>
      <c r="AI816" s="743"/>
      <c r="AJ816" s="743"/>
      <c r="AK816" s="743"/>
      <c r="AL816" s="743"/>
      <c r="AM816" s="743"/>
    </row>
    <row r="817" spans="1:39" ht="17.25">
      <c r="A817" s="752"/>
      <c r="B817" s="752"/>
      <c r="C817" s="752"/>
      <c r="D817" s="752"/>
      <c r="E817" s="752"/>
      <c r="F817" s="752"/>
      <c r="G817" s="752"/>
      <c r="H817" s="752"/>
      <c r="I817" s="829"/>
      <c r="J817" s="752"/>
      <c r="K817" s="752"/>
      <c r="L817" s="743"/>
      <c r="M817" s="743"/>
      <c r="N817" s="743"/>
      <c r="O817" s="743"/>
      <c r="P817" s="743"/>
      <c r="Q817" s="743"/>
      <c r="R817" s="743"/>
      <c r="S817" s="743"/>
      <c r="T817" s="743"/>
      <c r="U817" s="743"/>
      <c r="V817" s="743"/>
      <c r="W817" s="743"/>
      <c r="X817" s="743"/>
      <c r="Y817" s="743"/>
      <c r="Z817" s="743"/>
      <c r="AA817" s="743"/>
      <c r="AB817" s="743"/>
      <c r="AC817" s="743"/>
      <c r="AD817" s="743"/>
      <c r="AE817" s="743"/>
      <c r="AF817" s="743"/>
      <c r="AG817" s="743"/>
      <c r="AH817" s="743"/>
      <c r="AI817" s="743"/>
      <c r="AJ817" s="743"/>
      <c r="AK817" s="743"/>
      <c r="AL817" s="743"/>
      <c r="AM817" s="743"/>
    </row>
    <row r="818" spans="1:39" ht="17.25">
      <c r="A818" s="752"/>
      <c r="B818" s="752"/>
      <c r="C818" s="752"/>
      <c r="D818" s="752"/>
      <c r="E818" s="752"/>
      <c r="F818" s="752"/>
      <c r="G818" s="752"/>
      <c r="H818" s="752"/>
      <c r="I818" s="829"/>
      <c r="J818" s="752"/>
      <c r="K818" s="752"/>
      <c r="L818" s="743"/>
      <c r="M818" s="743"/>
      <c r="N818" s="743"/>
      <c r="O818" s="743"/>
      <c r="P818" s="743"/>
      <c r="Q818" s="743"/>
      <c r="R818" s="743"/>
      <c r="S818" s="743"/>
      <c r="T818" s="743"/>
      <c r="U818" s="743"/>
      <c r="V818" s="743"/>
      <c r="W818" s="743"/>
      <c r="X818" s="743"/>
      <c r="Y818" s="743"/>
      <c r="Z818" s="743"/>
      <c r="AA818" s="743"/>
      <c r="AB818" s="743"/>
      <c r="AC818" s="743"/>
      <c r="AD818" s="743"/>
      <c r="AE818" s="743"/>
      <c r="AF818" s="743"/>
      <c r="AG818" s="743"/>
      <c r="AH818" s="743"/>
      <c r="AI818" s="743"/>
      <c r="AJ818" s="743"/>
      <c r="AK818" s="743"/>
      <c r="AL818" s="743"/>
      <c r="AM818" s="743"/>
    </row>
    <row r="819" spans="1:39" ht="17.25">
      <c r="A819" s="752"/>
      <c r="B819" s="752"/>
      <c r="C819" s="752"/>
      <c r="D819" s="752"/>
      <c r="E819" s="752"/>
      <c r="F819" s="752"/>
      <c r="G819" s="752"/>
      <c r="H819" s="752"/>
      <c r="I819" s="829"/>
      <c r="J819" s="752"/>
      <c r="K819" s="752"/>
      <c r="L819" s="743"/>
      <c r="M819" s="743"/>
      <c r="N819" s="743"/>
      <c r="O819" s="743"/>
      <c r="P819" s="743"/>
      <c r="Q819" s="743"/>
      <c r="R819" s="743"/>
      <c r="S819" s="743"/>
      <c r="T819" s="743"/>
      <c r="U819" s="743"/>
      <c r="V819" s="743"/>
      <c r="W819" s="743"/>
      <c r="X819" s="743"/>
      <c r="Y819" s="743"/>
      <c r="Z819" s="743"/>
      <c r="AA819" s="743"/>
      <c r="AB819" s="743"/>
      <c r="AC819" s="743"/>
      <c r="AD819" s="743"/>
      <c r="AE819" s="743"/>
      <c r="AF819" s="743"/>
      <c r="AG819" s="743"/>
      <c r="AH819" s="743"/>
      <c r="AI819" s="743"/>
      <c r="AJ819" s="743"/>
      <c r="AK819" s="743"/>
      <c r="AL819" s="743"/>
      <c r="AM819" s="743"/>
    </row>
    <row r="820" spans="1:39" ht="17.25">
      <c r="A820" s="752"/>
      <c r="B820" s="752"/>
      <c r="C820" s="752"/>
      <c r="D820" s="752"/>
      <c r="E820" s="752"/>
      <c r="F820" s="752"/>
      <c r="G820" s="752"/>
      <c r="H820" s="752"/>
      <c r="I820" s="829"/>
      <c r="J820" s="752"/>
      <c r="K820" s="752"/>
      <c r="L820" s="743"/>
      <c r="M820" s="743"/>
      <c r="N820" s="743"/>
      <c r="O820" s="743"/>
      <c r="P820" s="743"/>
      <c r="Q820" s="743"/>
      <c r="R820" s="743"/>
      <c r="S820" s="743"/>
      <c r="T820" s="743"/>
      <c r="U820" s="743"/>
      <c r="V820" s="743"/>
      <c r="W820" s="743"/>
      <c r="X820" s="743"/>
      <c r="Y820" s="743"/>
      <c r="Z820" s="743"/>
      <c r="AA820" s="743"/>
      <c r="AB820" s="743"/>
      <c r="AC820" s="743"/>
      <c r="AD820" s="743"/>
      <c r="AE820" s="743"/>
      <c r="AF820" s="743"/>
      <c r="AG820" s="743"/>
      <c r="AH820" s="743"/>
      <c r="AI820" s="743"/>
      <c r="AJ820" s="743"/>
      <c r="AK820" s="743"/>
      <c r="AL820" s="743"/>
      <c r="AM820" s="743"/>
    </row>
    <row r="821" spans="1:39" ht="17.25">
      <c r="A821" s="752"/>
      <c r="B821" s="752"/>
      <c r="C821" s="752"/>
      <c r="D821" s="752"/>
      <c r="E821" s="752"/>
      <c r="F821" s="752"/>
      <c r="G821" s="752"/>
      <c r="H821" s="752"/>
      <c r="I821" s="829"/>
      <c r="J821" s="752"/>
      <c r="K821" s="752"/>
      <c r="L821" s="743"/>
      <c r="M821" s="743"/>
      <c r="N821" s="743"/>
      <c r="O821" s="743"/>
      <c r="P821" s="743"/>
      <c r="Q821" s="743"/>
      <c r="R821" s="743"/>
      <c r="S821" s="743"/>
      <c r="T821" s="743"/>
      <c r="U821" s="743"/>
      <c r="V821" s="743"/>
      <c r="W821" s="743"/>
      <c r="X821" s="743"/>
      <c r="Y821" s="743"/>
      <c r="Z821" s="743"/>
      <c r="AA821" s="743"/>
      <c r="AB821" s="743"/>
      <c r="AC821" s="743"/>
      <c r="AD821" s="743"/>
      <c r="AE821" s="743"/>
      <c r="AF821" s="743"/>
      <c r="AG821" s="743"/>
      <c r="AH821" s="743"/>
      <c r="AI821" s="743"/>
      <c r="AJ821" s="743"/>
      <c r="AK821" s="743"/>
      <c r="AL821" s="743"/>
      <c r="AM821" s="743"/>
    </row>
    <row r="822" spans="1:39" ht="17.25">
      <c r="A822" s="752"/>
      <c r="B822" s="752"/>
      <c r="C822" s="752"/>
      <c r="D822" s="752"/>
      <c r="E822" s="752"/>
      <c r="F822" s="752"/>
      <c r="G822" s="752"/>
      <c r="H822" s="752"/>
      <c r="I822" s="829"/>
      <c r="J822" s="752"/>
      <c r="K822" s="752"/>
      <c r="L822" s="743"/>
      <c r="M822" s="743"/>
      <c r="N822" s="743"/>
      <c r="O822" s="743"/>
      <c r="P822" s="743"/>
      <c r="Q822" s="743"/>
      <c r="R822" s="743"/>
      <c r="S822" s="743"/>
      <c r="T822" s="743"/>
      <c r="U822" s="743"/>
      <c r="V822" s="743"/>
      <c r="W822" s="743"/>
      <c r="X822" s="743"/>
      <c r="Y822" s="743"/>
      <c r="Z822" s="743"/>
      <c r="AA822" s="743"/>
      <c r="AB822" s="743"/>
      <c r="AC822" s="743"/>
      <c r="AD822" s="743"/>
      <c r="AE822" s="743"/>
      <c r="AF822" s="743"/>
      <c r="AG822" s="743"/>
      <c r="AH822" s="743"/>
      <c r="AI822" s="743"/>
      <c r="AJ822" s="743"/>
      <c r="AK822" s="743"/>
      <c r="AL822" s="743"/>
      <c r="AM822" s="743"/>
    </row>
    <row r="823" spans="1:39" ht="17.25">
      <c r="A823" s="752"/>
      <c r="B823" s="752"/>
      <c r="C823" s="752"/>
      <c r="D823" s="752"/>
      <c r="E823" s="752"/>
      <c r="F823" s="752"/>
      <c r="G823" s="752"/>
      <c r="H823" s="752"/>
      <c r="I823" s="829"/>
      <c r="J823" s="752"/>
      <c r="K823" s="752"/>
      <c r="L823" s="743"/>
      <c r="M823" s="743"/>
      <c r="N823" s="743"/>
      <c r="O823" s="743"/>
      <c r="P823" s="743"/>
      <c r="Q823" s="743"/>
      <c r="R823" s="743"/>
      <c r="S823" s="743"/>
      <c r="T823" s="743"/>
      <c r="U823" s="743"/>
      <c r="V823" s="743"/>
      <c r="W823" s="743"/>
      <c r="X823" s="743"/>
      <c r="Y823" s="743"/>
      <c r="Z823" s="743"/>
      <c r="AA823" s="743"/>
      <c r="AB823" s="743"/>
      <c r="AC823" s="743"/>
      <c r="AD823" s="743"/>
      <c r="AE823" s="743"/>
      <c r="AF823" s="743"/>
      <c r="AG823" s="743"/>
      <c r="AH823" s="743"/>
      <c r="AI823" s="743"/>
      <c r="AJ823" s="743"/>
      <c r="AK823" s="743"/>
      <c r="AL823" s="743"/>
      <c r="AM823" s="743"/>
    </row>
    <row r="824" spans="1:39" ht="17.25">
      <c r="A824" s="752"/>
      <c r="B824" s="752"/>
      <c r="C824" s="752"/>
      <c r="D824" s="752"/>
      <c r="E824" s="752"/>
      <c r="F824" s="752"/>
      <c r="G824" s="752"/>
      <c r="H824" s="752"/>
      <c r="I824" s="829"/>
      <c r="J824" s="752"/>
      <c r="K824" s="752"/>
      <c r="L824" s="743"/>
      <c r="M824" s="743"/>
      <c r="N824" s="743"/>
      <c r="O824" s="743"/>
      <c r="P824" s="743"/>
      <c r="Q824" s="743"/>
      <c r="R824" s="743"/>
      <c r="S824" s="743"/>
      <c r="T824" s="743"/>
      <c r="U824" s="743"/>
      <c r="V824" s="743"/>
      <c r="W824" s="743"/>
      <c r="X824" s="743"/>
      <c r="Y824" s="743"/>
      <c r="Z824" s="743"/>
      <c r="AA824" s="743"/>
      <c r="AB824" s="743"/>
      <c r="AC824" s="743"/>
      <c r="AD824" s="743"/>
      <c r="AE824" s="743"/>
      <c r="AF824" s="743"/>
      <c r="AG824" s="743"/>
      <c r="AH824" s="743"/>
      <c r="AI824" s="743"/>
      <c r="AJ824" s="743"/>
      <c r="AK824" s="743"/>
      <c r="AL824" s="743"/>
      <c r="AM824" s="743"/>
    </row>
    <row r="825" spans="1:39" ht="17.25">
      <c r="A825" s="752"/>
      <c r="B825" s="752"/>
      <c r="C825" s="752"/>
      <c r="D825" s="752"/>
      <c r="E825" s="752"/>
      <c r="F825" s="752"/>
      <c r="G825" s="752"/>
      <c r="H825" s="752"/>
      <c r="I825" s="829"/>
      <c r="J825" s="752"/>
      <c r="K825" s="752"/>
      <c r="L825" s="743"/>
      <c r="M825" s="743"/>
      <c r="N825" s="743"/>
      <c r="O825" s="743"/>
      <c r="P825" s="743"/>
      <c r="Q825" s="743"/>
      <c r="R825" s="743"/>
      <c r="S825" s="743"/>
      <c r="T825" s="743"/>
      <c r="U825" s="743"/>
      <c r="V825" s="743"/>
      <c r="W825" s="743"/>
      <c r="X825" s="743"/>
      <c r="Y825" s="743"/>
      <c r="Z825" s="743"/>
      <c r="AA825" s="743"/>
      <c r="AB825" s="743"/>
      <c r="AC825" s="743"/>
      <c r="AD825" s="743"/>
      <c r="AE825" s="743"/>
      <c r="AF825" s="743"/>
      <c r="AG825" s="743"/>
      <c r="AH825" s="743"/>
      <c r="AI825" s="743"/>
      <c r="AJ825" s="743"/>
      <c r="AK825" s="743"/>
      <c r="AL825" s="743"/>
      <c r="AM825" s="743"/>
    </row>
    <row r="826" spans="1:39" ht="17.25">
      <c r="A826" s="752"/>
      <c r="B826" s="752"/>
      <c r="C826" s="752"/>
      <c r="D826" s="752"/>
      <c r="E826" s="752"/>
      <c r="F826" s="752"/>
      <c r="G826" s="752"/>
      <c r="H826" s="752"/>
      <c r="I826" s="829"/>
      <c r="J826" s="752"/>
      <c r="K826" s="752"/>
      <c r="L826" s="743"/>
      <c r="M826" s="743"/>
      <c r="N826" s="743"/>
      <c r="O826" s="743"/>
      <c r="P826" s="743"/>
      <c r="Q826" s="743"/>
      <c r="R826" s="743"/>
      <c r="S826" s="743"/>
      <c r="T826" s="743"/>
      <c r="U826" s="743"/>
      <c r="V826" s="743"/>
      <c r="W826" s="743"/>
      <c r="X826" s="743"/>
      <c r="Y826" s="743"/>
      <c r="Z826" s="743"/>
      <c r="AA826" s="743"/>
      <c r="AB826" s="743"/>
      <c r="AC826" s="743"/>
      <c r="AD826" s="743"/>
      <c r="AE826" s="743"/>
      <c r="AF826" s="743"/>
      <c r="AG826" s="743"/>
      <c r="AH826" s="743"/>
      <c r="AI826" s="743"/>
      <c r="AJ826" s="743"/>
      <c r="AK826" s="743"/>
      <c r="AL826" s="743"/>
      <c r="AM826" s="743"/>
    </row>
    <row r="827" spans="1:39" ht="17.25">
      <c r="A827" s="752"/>
      <c r="B827" s="752"/>
      <c r="C827" s="752"/>
      <c r="D827" s="752"/>
      <c r="E827" s="752"/>
      <c r="F827" s="752"/>
      <c r="G827" s="752"/>
      <c r="H827" s="752"/>
      <c r="I827" s="829"/>
      <c r="J827" s="752"/>
      <c r="K827" s="752"/>
      <c r="L827" s="743"/>
      <c r="M827" s="743"/>
      <c r="N827" s="743"/>
      <c r="O827" s="743"/>
      <c r="P827" s="743"/>
      <c r="Q827" s="743"/>
      <c r="R827" s="743"/>
      <c r="S827" s="743"/>
      <c r="T827" s="743"/>
      <c r="U827" s="743"/>
      <c r="V827" s="743"/>
      <c r="W827" s="743"/>
      <c r="X827" s="743"/>
      <c r="Y827" s="743"/>
      <c r="Z827" s="743"/>
      <c r="AA827" s="743"/>
      <c r="AB827" s="743"/>
      <c r="AC827" s="743"/>
      <c r="AD827" s="743"/>
      <c r="AE827" s="743"/>
      <c r="AF827" s="743"/>
      <c r="AG827" s="743"/>
      <c r="AH827" s="743"/>
      <c r="AI827" s="743"/>
      <c r="AJ827" s="743"/>
      <c r="AK827" s="743"/>
      <c r="AL827" s="743"/>
      <c r="AM827" s="743"/>
    </row>
    <row r="828" spans="1:39" ht="17.25">
      <c r="A828" s="752"/>
      <c r="B828" s="752"/>
      <c r="C828" s="752"/>
      <c r="D828" s="752"/>
      <c r="E828" s="752"/>
      <c r="F828" s="752"/>
      <c r="G828" s="752"/>
      <c r="H828" s="752"/>
      <c r="I828" s="829"/>
      <c r="J828" s="752"/>
      <c r="K828" s="752"/>
      <c r="L828" s="743"/>
      <c r="M828" s="743"/>
      <c r="N828" s="743"/>
      <c r="O828" s="743"/>
      <c r="P828" s="743"/>
      <c r="Q828" s="743"/>
      <c r="R828" s="743"/>
      <c r="S828" s="743"/>
      <c r="T828" s="743"/>
      <c r="U828" s="743"/>
      <c r="V828" s="743"/>
      <c r="W828" s="743"/>
      <c r="X828" s="743"/>
      <c r="Y828" s="743"/>
      <c r="Z828" s="743"/>
      <c r="AA828" s="743"/>
      <c r="AB828" s="743"/>
      <c r="AC828" s="743"/>
      <c r="AD828" s="743"/>
      <c r="AE828" s="743"/>
      <c r="AF828" s="743"/>
      <c r="AG828" s="743"/>
      <c r="AH828" s="743"/>
      <c r="AI828" s="743"/>
      <c r="AJ828" s="743"/>
      <c r="AK828" s="743"/>
      <c r="AL828" s="743"/>
      <c r="AM828" s="743"/>
    </row>
    <row r="829" spans="1:39" ht="17.25">
      <c r="A829" s="752"/>
      <c r="B829" s="752"/>
      <c r="C829" s="752"/>
      <c r="D829" s="752"/>
      <c r="E829" s="752"/>
      <c r="F829" s="752"/>
      <c r="G829" s="752"/>
      <c r="H829" s="752"/>
      <c r="I829" s="829"/>
      <c r="J829" s="752"/>
      <c r="K829" s="752"/>
      <c r="L829" s="743"/>
      <c r="M829" s="743"/>
      <c r="N829" s="743"/>
      <c r="O829" s="743"/>
      <c r="P829" s="743"/>
      <c r="Q829" s="743"/>
      <c r="R829" s="743"/>
      <c r="S829" s="743"/>
      <c r="T829" s="743"/>
      <c r="U829" s="743"/>
      <c r="V829" s="743"/>
      <c r="W829" s="743"/>
      <c r="X829" s="743"/>
      <c r="Y829" s="743"/>
      <c r="Z829" s="743"/>
      <c r="AA829" s="743"/>
      <c r="AB829" s="743"/>
      <c r="AC829" s="743"/>
      <c r="AD829" s="743"/>
      <c r="AE829" s="743"/>
      <c r="AF829" s="743"/>
      <c r="AG829" s="743"/>
      <c r="AH829" s="743"/>
      <c r="AI829" s="743"/>
      <c r="AJ829" s="743"/>
      <c r="AK829" s="743"/>
      <c r="AL829" s="743"/>
      <c r="AM829" s="743"/>
    </row>
    <row r="830" spans="1:39" ht="17.25">
      <c r="A830" s="752"/>
      <c r="B830" s="752"/>
      <c r="C830" s="752"/>
      <c r="D830" s="752"/>
      <c r="E830" s="752"/>
      <c r="F830" s="752"/>
      <c r="G830" s="752"/>
      <c r="H830" s="752"/>
      <c r="I830" s="829"/>
      <c r="J830" s="752"/>
      <c r="K830" s="752"/>
      <c r="L830" s="743"/>
      <c r="M830" s="743"/>
      <c r="N830" s="743"/>
      <c r="O830" s="743"/>
      <c r="P830" s="743"/>
      <c r="Q830" s="743"/>
      <c r="R830" s="743"/>
      <c r="S830" s="743"/>
      <c r="T830" s="743"/>
      <c r="U830" s="743"/>
      <c r="V830" s="743"/>
      <c r="W830" s="743"/>
      <c r="X830" s="743"/>
      <c r="Y830" s="743"/>
      <c r="Z830" s="743"/>
      <c r="AA830" s="743"/>
      <c r="AB830" s="743"/>
      <c r="AC830" s="743"/>
      <c r="AD830" s="743"/>
      <c r="AE830" s="743"/>
      <c r="AF830" s="743"/>
      <c r="AG830" s="743"/>
      <c r="AH830" s="743"/>
      <c r="AI830" s="743"/>
      <c r="AJ830" s="743"/>
      <c r="AK830" s="743"/>
      <c r="AL830" s="743"/>
      <c r="AM830" s="743"/>
    </row>
    <row r="831" spans="1:39" ht="17.25">
      <c r="A831" s="752"/>
      <c r="B831" s="752"/>
      <c r="C831" s="752"/>
      <c r="D831" s="752"/>
      <c r="E831" s="752"/>
      <c r="F831" s="752"/>
      <c r="G831" s="752"/>
      <c r="H831" s="752"/>
      <c r="I831" s="829"/>
      <c r="J831" s="752"/>
      <c r="K831" s="752"/>
      <c r="L831" s="743"/>
      <c r="M831" s="743"/>
      <c r="N831" s="743"/>
      <c r="O831" s="743"/>
      <c r="P831" s="743"/>
      <c r="Q831" s="743"/>
      <c r="R831" s="743"/>
      <c r="S831" s="743"/>
      <c r="T831" s="743"/>
      <c r="U831" s="743"/>
      <c r="V831" s="743"/>
      <c r="W831" s="743"/>
      <c r="X831" s="743"/>
      <c r="Y831" s="743"/>
      <c r="Z831" s="743"/>
      <c r="AA831" s="743"/>
      <c r="AB831" s="743"/>
      <c r="AC831" s="743"/>
      <c r="AD831" s="743"/>
      <c r="AE831" s="743"/>
      <c r="AF831" s="743"/>
      <c r="AG831" s="743"/>
      <c r="AH831" s="743"/>
      <c r="AI831" s="743"/>
      <c r="AJ831" s="743"/>
      <c r="AK831" s="743"/>
      <c r="AL831" s="743"/>
      <c r="AM831" s="743"/>
    </row>
    <row r="832" spans="1:39" ht="17.25">
      <c r="A832" s="752"/>
      <c r="B832" s="752"/>
      <c r="C832" s="752"/>
      <c r="D832" s="752"/>
      <c r="E832" s="752"/>
      <c r="F832" s="752"/>
      <c r="G832" s="752"/>
      <c r="H832" s="752"/>
      <c r="I832" s="829"/>
      <c r="J832" s="752"/>
      <c r="K832" s="752"/>
      <c r="L832" s="743"/>
      <c r="M832" s="743"/>
      <c r="N832" s="743"/>
      <c r="O832" s="743"/>
      <c r="P832" s="743"/>
      <c r="Q832" s="743"/>
      <c r="R832" s="743"/>
      <c r="S832" s="743"/>
      <c r="T832" s="743"/>
      <c r="U832" s="743"/>
      <c r="V832" s="743"/>
      <c r="W832" s="743"/>
      <c r="X832" s="743"/>
      <c r="Y832" s="743"/>
      <c r="Z832" s="743"/>
      <c r="AA832" s="743"/>
      <c r="AB832" s="743"/>
      <c r="AC832" s="743"/>
      <c r="AD832" s="743"/>
      <c r="AE832" s="743"/>
      <c r="AF832" s="743"/>
      <c r="AG832" s="743"/>
      <c r="AH832" s="743"/>
      <c r="AI832" s="743"/>
      <c r="AJ832" s="743"/>
      <c r="AK832" s="743"/>
      <c r="AL832" s="743"/>
      <c r="AM832" s="743"/>
    </row>
    <row r="833" spans="1:39" ht="17.25">
      <c r="A833" s="752"/>
      <c r="B833" s="752"/>
      <c r="C833" s="752"/>
      <c r="D833" s="752"/>
      <c r="E833" s="752"/>
      <c r="F833" s="752"/>
      <c r="G833" s="752"/>
      <c r="H833" s="752"/>
      <c r="I833" s="829"/>
      <c r="J833" s="752"/>
      <c r="K833" s="752"/>
      <c r="L833" s="743"/>
      <c r="M833" s="743"/>
      <c r="N833" s="743"/>
      <c r="O833" s="743"/>
      <c r="P833" s="743"/>
      <c r="Q833" s="743"/>
      <c r="R833" s="743"/>
      <c r="S833" s="743"/>
      <c r="T833" s="743"/>
      <c r="U833" s="743"/>
      <c r="V833" s="743"/>
      <c r="W833" s="743"/>
      <c r="X833" s="743"/>
      <c r="Y833" s="743"/>
      <c r="Z833" s="743"/>
      <c r="AA833" s="743"/>
      <c r="AB833" s="743"/>
      <c r="AC833" s="743"/>
      <c r="AD833" s="743"/>
      <c r="AE833" s="743"/>
      <c r="AF833" s="743"/>
      <c r="AG833" s="743"/>
      <c r="AH833" s="743"/>
      <c r="AI833" s="743"/>
      <c r="AJ833" s="743"/>
      <c r="AK833" s="743"/>
      <c r="AL833" s="743"/>
      <c r="AM833" s="743"/>
    </row>
    <row r="834" spans="1:39" ht="17.25">
      <c r="A834" s="752"/>
      <c r="B834" s="752"/>
      <c r="C834" s="752"/>
      <c r="D834" s="752"/>
      <c r="E834" s="752"/>
      <c r="F834" s="752"/>
      <c r="G834" s="752"/>
      <c r="H834" s="752"/>
      <c r="I834" s="829"/>
      <c r="J834" s="752"/>
      <c r="K834" s="752"/>
      <c r="L834" s="743"/>
      <c r="M834" s="743"/>
      <c r="N834" s="743"/>
      <c r="O834" s="743"/>
      <c r="P834" s="743"/>
      <c r="Q834" s="743"/>
      <c r="R834" s="743"/>
      <c r="S834" s="743"/>
      <c r="T834" s="743"/>
      <c r="U834" s="743"/>
      <c r="V834" s="743"/>
      <c r="W834" s="743"/>
      <c r="X834" s="743"/>
      <c r="Y834" s="743"/>
      <c r="Z834" s="743"/>
      <c r="AA834" s="743"/>
      <c r="AB834" s="743"/>
      <c r="AC834" s="743"/>
      <c r="AD834" s="743"/>
      <c r="AE834" s="743"/>
      <c r="AF834" s="743"/>
      <c r="AG834" s="743"/>
      <c r="AH834" s="743"/>
      <c r="AI834" s="743"/>
      <c r="AJ834" s="743"/>
      <c r="AK834" s="743"/>
      <c r="AL834" s="743"/>
      <c r="AM834" s="743"/>
    </row>
    <row r="835" spans="1:39" ht="17.25">
      <c r="A835" s="752"/>
      <c r="B835" s="752"/>
      <c r="C835" s="752"/>
      <c r="D835" s="752"/>
      <c r="E835" s="752"/>
      <c r="F835" s="752"/>
      <c r="G835" s="752"/>
      <c r="H835" s="752"/>
      <c r="I835" s="829"/>
      <c r="J835" s="752"/>
      <c r="K835" s="752"/>
      <c r="L835" s="743"/>
      <c r="M835" s="743"/>
      <c r="N835" s="743"/>
      <c r="O835" s="743"/>
      <c r="P835" s="743"/>
      <c r="Q835" s="743"/>
      <c r="R835" s="743"/>
      <c r="S835" s="743"/>
      <c r="T835" s="743"/>
      <c r="U835" s="743"/>
      <c r="V835" s="743"/>
      <c r="W835" s="743"/>
      <c r="X835" s="743"/>
      <c r="Y835" s="743"/>
      <c r="Z835" s="743"/>
      <c r="AA835" s="743"/>
      <c r="AB835" s="743"/>
      <c r="AC835" s="743"/>
      <c r="AD835" s="743"/>
      <c r="AE835" s="743"/>
      <c r="AF835" s="743"/>
      <c r="AG835" s="743"/>
      <c r="AH835" s="743"/>
      <c r="AI835" s="743"/>
      <c r="AJ835" s="743"/>
      <c r="AK835" s="743"/>
      <c r="AL835" s="743"/>
      <c r="AM835" s="743"/>
    </row>
    <row r="836" spans="1:39" ht="17.25">
      <c r="A836" s="752"/>
      <c r="B836" s="752"/>
      <c r="C836" s="752"/>
      <c r="D836" s="752"/>
      <c r="E836" s="752"/>
      <c r="F836" s="752"/>
      <c r="G836" s="752"/>
      <c r="H836" s="752"/>
      <c r="I836" s="829"/>
      <c r="J836" s="752"/>
      <c r="K836" s="752"/>
      <c r="L836" s="743"/>
      <c r="M836" s="743"/>
      <c r="N836" s="743"/>
      <c r="O836" s="743"/>
      <c r="P836" s="743"/>
      <c r="Q836" s="743"/>
      <c r="R836" s="743"/>
      <c r="S836" s="743"/>
      <c r="T836" s="743"/>
      <c r="U836" s="743"/>
      <c r="V836" s="743"/>
      <c r="W836" s="743"/>
      <c r="X836" s="743"/>
      <c r="Y836" s="743"/>
      <c r="Z836" s="743"/>
      <c r="AA836" s="743"/>
      <c r="AB836" s="743"/>
      <c r="AC836" s="743"/>
      <c r="AD836" s="743"/>
      <c r="AE836" s="743"/>
      <c r="AF836" s="743"/>
      <c r="AG836" s="743"/>
      <c r="AH836" s="743"/>
      <c r="AI836" s="743"/>
      <c r="AJ836" s="743"/>
      <c r="AK836" s="743"/>
      <c r="AL836" s="743"/>
      <c r="AM836" s="743"/>
    </row>
    <row r="837" spans="1:39" ht="17.25">
      <c r="A837" s="752"/>
      <c r="B837" s="752"/>
      <c r="C837" s="752"/>
      <c r="D837" s="752"/>
      <c r="E837" s="752"/>
      <c r="F837" s="752"/>
      <c r="G837" s="752"/>
      <c r="H837" s="752"/>
      <c r="I837" s="829"/>
      <c r="J837" s="752"/>
      <c r="K837" s="752"/>
      <c r="L837" s="743"/>
      <c r="M837" s="743"/>
      <c r="N837" s="743"/>
      <c r="O837" s="743"/>
      <c r="P837" s="743"/>
      <c r="Q837" s="743"/>
      <c r="R837" s="743"/>
      <c r="S837" s="743"/>
      <c r="T837" s="743"/>
      <c r="U837" s="743"/>
      <c r="V837" s="743"/>
      <c r="W837" s="743"/>
      <c r="X837" s="743"/>
      <c r="Y837" s="743"/>
      <c r="Z837" s="743"/>
      <c r="AA837" s="743"/>
      <c r="AB837" s="743"/>
      <c r="AC837" s="743"/>
      <c r="AD837" s="743"/>
      <c r="AE837" s="743"/>
      <c r="AF837" s="743"/>
      <c r="AG837" s="743"/>
      <c r="AH837" s="743"/>
      <c r="AI837" s="743"/>
      <c r="AJ837" s="743"/>
      <c r="AK837" s="743"/>
      <c r="AL837" s="743"/>
      <c r="AM837" s="743"/>
    </row>
    <row r="838" spans="1:39" ht="17.25">
      <c r="A838" s="752"/>
      <c r="B838" s="752"/>
      <c r="C838" s="752"/>
      <c r="D838" s="752"/>
      <c r="E838" s="752"/>
      <c r="F838" s="752"/>
      <c r="G838" s="752"/>
      <c r="H838" s="752"/>
      <c r="I838" s="829"/>
      <c r="J838" s="752"/>
      <c r="K838" s="752"/>
      <c r="L838" s="743"/>
      <c r="M838" s="743"/>
      <c r="N838" s="743"/>
      <c r="O838" s="743"/>
      <c r="P838" s="743"/>
      <c r="Q838" s="743"/>
      <c r="R838" s="743"/>
      <c r="S838" s="743"/>
      <c r="T838" s="743"/>
      <c r="U838" s="743"/>
      <c r="V838" s="743"/>
      <c r="W838" s="743"/>
      <c r="X838" s="743"/>
      <c r="Y838" s="743"/>
      <c r="Z838" s="743"/>
      <c r="AA838" s="743"/>
      <c r="AB838" s="743"/>
      <c r="AC838" s="743"/>
      <c r="AD838" s="743"/>
      <c r="AE838" s="743"/>
      <c r="AF838" s="743"/>
      <c r="AG838" s="743"/>
      <c r="AH838" s="743"/>
      <c r="AI838" s="743"/>
      <c r="AJ838" s="743"/>
      <c r="AK838" s="743"/>
      <c r="AL838" s="743"/>
      <c r="AM838" s="743"/>
    </row>
    <row r="839" spans="1:39" ht="17.25">
      <c r="A839" s="752"/>
      <c r="B839" s="752"/>
      <c r="C839" s="752"/>
      <c r="D839" s="752"/>
      <c r="E839" s="752"/>
      <c r="F839" s="752"/>
      <c r="G839" s="752"/>
      <c r="H839" s="752"/>
      <c r="I839" s="829"/>
      <c r="J839" s="752"/>
      <c r="K839" s="752"/>
      <c r="L839" s="743"/>
      <c r="M839" s="743"/>
      <c r="N839" s="743"/>
      <c r="O839" s="743"/>
      <c r="P839" s="743"/>
      <c r="Q839" s="743"/>
      <c r="R839" s="743"/>
      <c r="S839" s="743"/>
      <c r="T839" s="743"/>
      <c r="U839" s="743"/>
      <c r="V839" s="743"/>
      <c r="W839" s="743"/>
      <c r="X839" s="743"/>
      <c r="Y839" s="743"/>
      <c r="Z839" s="743"/>
      <c r="AA839" s="743"/>
      <c r="AB839" s="743"/>
      <c r="AC839" s="743"/>
      <c r="AD839" s="743"/>
      <c r="AE839" s="743"/>
      <c r="AF839" s="743"/>
      <c r="AG839" s="743"/>
      <c r="AH839" s="743"/>
      <c r="AI839" s="743"/>
      <c r="AJ839" s="743"/>
      <c r="AK839" s="743"/>
      <c r="AL839" s="743"/>
      <c r="AM839" s="743"/>
    </row>
    <row r="840" spans="1:39" ht="17.25">
      <c r="A840" s="752"/>
      <c r="B840" s="752"/>
      <c r="C840" s="752"/>
      <c r="D840" s="752"/>
      <c r="E840" s="752"/>
      <c r="F840" s="752"/>
      <c r="G840" s="752"/>
      <c r="H840" s="752"/>
      <c r="I840" s="829"/>
      <c r="J840" s="752"/>
      <c r="K840" s="752"/>
      <c r="L840" s="743"/>
      <c r="M840" s="743"/>
      <c r="N840" s="743"/>
      <c r="O840" s="743"/>
      <c r="P840" s="743"/>
      <c r="Q840" s="743"/>
      <c r="R840" s="743"/>
      <c r="S840" s="743"/>
      <c r="T840" s="743"/>
      <c r="U840" s="743"/>
      <c r="V840" s="743"/>
      <c r="W840" s="743"/>
      <c r="X840" s="743"/>
      <c r="Y840" s="743"/>
      <c r="Z840" s="743"/>
      <c r="AA840" s="743"/>
      <c r="AB840" s="743"/>
      <c r="AC840" s="743"/>
      <c r="AD840" s="743"/>
      <c r="AE840" s="743"/>
      <c r="AF840" s="743"/>
      <c r="AG840" s="743"/>
      <c r="AH840" s="743"/>
      <c r="AI840" s="743"/>
      <c r="AJ840" s="743"/>
      <c r="AK840" s="743"/>
      <c r="AL840" s="743"/>
      <c r="AM840" s="743"/>
    </row>
    <row r="841" spans="1:39" ht="17.25">
      <c r="A841" s="752"/>
      <c r="B841" s="752"/>
      <c r="C841" s="752"/>
      <c r="D841" s="752"/>
      <c r="E841" s="752"/>
      <c r="F841" s="752"/>
      <c r="G841" s="752"/>
      <c r="H841" s="752"/>
      <c r="I841" s="829"/>
      <c r="J841" s="752"/>
      <c r="K841" s="752"/>
      <c r="L841" s="743"/>
      <c r="M841" s="743"/>
      <c r="N841" s="743"/>
      <c r="O841" s="743"/>
      <c r="P841" s="743"/>
      <c r="Q841" s="743"/>
      <c r="R841" s="743"/>
      <c r="S841" s="743"/>
      <c r="T841" s="743"/>
      <c r="U841" s="743"/>
      <c r="V841" s="743"/>
      <c r="W841" s="743"/>
      <c r="X841" s="743"/>
      <c r="Y841" s="743"/>
      <c r="Z841" s="743"/>
      <c r="AA841" s="743"/>
      <c r="AB841" s="743"/>
      <c r="AC841" s="743"/>
      <c r="AD841" s="743"/>
      <c r="AE841" s="743"/>
      <c r="AF841" s="743"/>
      <c r="AG841" s="743"/>
      <c r="AH841" s="743"/>
      <c r="AI841" s="743"/>
      <c r="AJ841" s="743"/>
      <c r="AK841" s="743"/>
      <c r="AL841" s="743"/>
      <c r="AM841" s="743"/>
    </row>
    <row r="842" spans="1:39" ht="17.25">
      <c r="A842" s="752"/>
      <c r="B842" s="752"/>
      <c r="C842" s="752"/>
      <c r="D842" s="752"/>
      <c r="E842" s="752"/>
      <c r="F842" s="752"/>
      <c r="G842" s="752"/>
      <c r="H842" s="752"/>
      <c r="I842" s="829"/>
      <c r="J842" s="752"/>
      <c r="K842" s="752"/>
      <c r="L842" s="743"/>
      <c r="M842" s="743"/>
      <c r="N842" s="743"/>
      <c r="O842" s="743"/>
      <c r="P842" s="743"/>
      <c r="Q842" s="743"/>
      <c r="R842" s="743"/>
      <c r="S842" s="743"/>
      <c r="T842" s="743"/>
      <c r="U842" s="743"/>
      <c r="V842" s="743"/>
      <c r="W842" s="743"/>
      <c r="X842" s="743"/>
      <c r="Y842" s="743"/>
      <c r="Z842" s="743"/>
      <c r="AA842" s="743"/>
      <c r="AB842" s="743"/>
      <c r="AC842" s="743"/>
      <c r="AD842" s="743"/>
      <c r="AE842" s="743"/>
      <c r="AF842" s="743"/>
      <c r="AG842" s="743"/>
      <c r="AH842" s="743"/>
      <c r="AI842" s="743"/>
      <c r="AJ842" s="743"/>
      <c r="AK842" s="743"/>
      <c r="AL842" s="743"/>
      <c r="AM842" s="743"/>
    </row>
    <row r="843" spans="1:39" ht="17.25">
      <c r="A843" s="752"/>
      <c r="B843" s="752"/>
      <c r="C843" s="752"/>
      <c r="D843" s="752"/>
      <c r="E843" s="752"/>
      <c r="F843" s="752"/>
      <c r="G843" s="752"/>
      <c r="H843" s="752"/>
      <c r="I843" s="829"/>
      <c r="J843" s="752"/>
      <c r="K843" s="752"/>
      <c r="L843" s="743"/>
      <c r="M843" s="743"/>
      <c r="N843" s="743"/>
      <c r="O843" s="743"/>
      <c r="P843" s="743"/>
      <c r="Q843" s="743"/>
      <c r="R843" s="743"/>
      <c r="S843" s="743"/>
      <c r="T843" s="743"/>
      <c r="U843" s="743"/>
      <c r="V843" s="743"/>
      <c r="W843" s="743"/>
      <c r="X843" s="743"/>
      <c r="Y843" s="743"/>
      <c r="Z843" s="743"/>
      <c r="AA843" s="743"/>
      <c r="AB843" s="743"/>
      <c r="AC843" s="743"/>
      <c r="AD843" s="743"/>
      <c r="AE843" s="743"/>
      <c r="AF843" s="743"/>
      <c r="AG843" s="743"/>
      <c r="AH843" s="743"/>
      <c r="AI843" s="743"/>
      <c r="AJ843" s="743"/>
      <c r="AK843" s="743"/>
      <c r="AL843" s="743"/>
      <c r="AM843" s="743"/>
    </row>
    <row r="844" spans="1:39" ht="17.25">
      <c r="A844" s="752"/>
      <c r="B844" s="752"/>
      <c r="C844" s="752"/>
      <c r="D844" s="752"/>
      <c r="E844" s="752"/>
      <c r="F844" s="752"/>
      <c r="G844" s="752"/>
      <c r="H844" s="752"/>
      <c r="I844" s="829"/>
      <c r="J844" s="752"/>
      <c r="K844" s="752"/>
      <c r="L844" s="743"/>
      <c r="M844" s="743"/>
      <c r="N844" s="743"/>
      <c r="O844" s="743"/>
      <c r="P844" s="743"/>
      <c r="Q844" s="743"/>
      <c r="R844" s="743"/>
      <c r="S844" s="743"/>
      <c r="T844" s="743"/>
      <c r="U844" s="743"/>
      <c r="V844" s="743"/>
      <c r="W844" s="743"/>
      <c r="X844" s="743"/>
      <c r="Y844" s="743"/>
      <c r="Z844" s="743"/>
      <c r="AA844" s="743"/>
      <c r="AB844" s="743"/>
      <c r="AC844" s="743"/>
      <c r="AD844" s="743"/>
      <c r="AE844" s="743"/>
      <c r="AF844" s="743"/>
      <c r="AG844" s="743"/>
      <c r="AH844" s="743"/>
      <c r="AI844" s="743"/>
      <c r="AJ844" s="743"/>
      <c r="AK844" s="743"/>
      <c r="AL844" s="743"/>
      <c r="AM844" s="743"/>
    </row>
    <row r="845" spans="1:39" ht="17.25">
      <c r="A845" s="752"/>
      <c r="B845" s="752"/>
      <c r="C845" s="752"/>
      <c r="D845" s="752"/>
      <c r="E845" s="752"/>
      <c r="F845" s="752"/>
      <c r="G845" s="752"/>
      <c r="H845" s="752"/>
      <c r="I845" s="829"/>
      <c r="J845" s="752"/>
      <c r="K845" s="752"/>
      <c r="L845" s="743"/>
      <c r="M845" s="743"/>
      <c r="N845" s="743"/>
      <c r="O845" s="743"/>
      <c r="P845" s="743"/>
      <c r="Q845" s="743"/>
      <c r="R845" s="743"/>
      <c r="S845" s="743"/>
      <c r="T845" s="743"/>
      <c r="U845" s="743"/>
      <c r="V845" s="743"/>
      <c r="W845" s="743"/>
      <c r="X845" s="743"/>
      <c r="Y845" s="743"/>
      <c r="Z845" s="743"/>
      <c r="AA845" s="743"/>
      <c r="AB845" s="743"/>
      <c r="AC845" s="743"/>
      <c r="AD845" s="743"/>
      <c r="AE845" s="743"/>
      <c r="AF845" s="743"/>
      <c r="AG845" s="743"/>
      <c r="AH845" s="743"/>
      <c r="AI845" s="743"/>
      <c r="AJ845" s="743"/>
      <c r="AK845" s="743"/>
      <c r="AL845" s="743"/>
      <c r="AM845" s="743"/>
    </row>
    <row r="846" spans="1:39" ht="17.25">
      <c r="A846" s="752"/>
      <c r="B846" s="752"/>
      <c r="C846" s="752"/>
      <c r="D846" s="752"/>
      <c r="E846" s="752"/>
      <c r="F846" s="752"/>
      <c r="G846" s="752"/>
      <c r="H846" s="752"/>
      <c r="I846" s="829"/>
      <c r="J846" s="752"/>
      <c r="K846" s="752"/>
      <c r="L846" s="743"/>
      <c r="M846" s="743"/>
      <c r="N846" s="743"/>
      <c r="O846" s="743"/>
      <c r="P846" s="743"/>
      <c r="Q846" s="743"/>
      <c r="R846" s="743"/>
      <c r="S846" s="743"/>
      <c r="T846" s="743"/>
      <c r="U846" s="743"/>
      <c r="V846" s="743"/>
      <c r="W846" s="743"/>
      <c r="X846" s="743"/>
      <c r="Y846" s="743"/>
      <c r="Z846" s="743"/>
      <c r="AA846" s="743"/>
      <c r="AB846" s="743"/>
      <c r="AC846" s="743"/>
      <c r="AD846" s="743"/>
      <c r="AE846" s="743"/>
      <c r="AF846" s="743"/>
      <c r="AG846" s="743"/>
      <c r="AH846" s="743"/>
      <c r="AI846" s="743"/>
      <c r="AJ846" s="743"/>
      <c r="AK846" s="743"/>
      <c r="AL846" s="743"/>
      <c r="AM846" s="743"/>
    </row>
    <row r="847" spans="1:39" ht="17.25">
      <c r="A847" s="752"/>
      <c r="B847" s="752"/>
      <c r="C847" s="752"/>
      <c r="D847" s="752"/>
      <c r="E847" s="752"/>
      <c r="F847" s="752"/>
      <c r="G847" s="752"/>
      <c r="H847" s="752"/>
      <c r="I847" s="829"/>
      <c r="J847" s="752"/>
      <c r="K847" s="752"/>
      <c r="L847" s="743"/>
      <c r="M847" s="743"/>
      <c r="N847" s="743"/>
      <c r="O847" s="743"/>
      <c r="P847" s="743"/>
      <c r="Q847" s="743"/>
      <c r="R847" s="743"/>
      <c r="S847" s="743"/>
      <c r="T847" s="743"/>
      <c r="U847" s="743"/>
      <c r="V847" s="743"/>
      <c r="W847" s="743"/>
      <c r="X847" s="743"/>
      <c r="Y847" s="743"/>
      <c r="Z847" s="743"/>
      <c r="AA847" s="743"/>
      <c r="AB847" s="743"/>
      <c r="AC847" s="743"/>
      <c r="AD847" s="743"/>
      <c r="AE847" s="743"/>
      <c r="AF847" s="743"/>
      <c r="AG847" s="743"/>
      <c r="AH847" s="743"/>
      <c r="AI847" s="743"/>
      <c r="AJ847" s="743"/>
      <c r="AK847" s="743"/>
      <c r="AL847" s="743"/>
      <c r="AM847" s="743"/>
    </row>
    <row r="848" spans="1:39" ht="17.25">
      <c r="A848" s="752"/>
      <c r="B848" s="752"/>
      <c r="C848" s="752"/>
      <c r="D848" s="752"/>
      <c r="E848" s="752"/>
      <c r="F848" s="752"/>
      <c r="G848" s="752"/>
      <c r="H848" s="752"/>
      <c r="I848" s="829"/>
      <c r="J848" s="752"/>
      <c r="K848" s="752"/>
      <c r="L848" s="743"/>
      <c r="M848" s="743"/>
      <c r="N848" s="743"/>
      <c r="O848" s="743"/>
      <c r="P848" s="743"/>
      <c r="Q848" s="743"/>
      <c r="R848" s="743"/>
      <c r="S848" s="743"/>
      <c r="T848" s="743"/>
      <c r="U848" s="743"/>
      <c r="V848" s="743"/>
      <c r="W848" s="743"/>
      <c r="X848" s="743"/>
      <c r="Y848" s="743"/>
      <c r="Z848" s="743"/>
      <c r="AA848" s="743"/>
      <c r="AB848" s="743"/>
      <c r="AC848" s="743"/>
      <c r="AD848" s="743"/>
      <c r="AE848" s="743"/>
      <c r="AF848" s="743"/>
      <c r="AG848" s="743"/>
      <c r="AH848" s="743"/>
      <c r="AI848" s="743"/>
      <c r="AJ848" s="743"/>
      <c r="AK848" s="743"/>
      <c r="AL848" s="743"/>
      <c r="AM848" s="743"/>
    </row>
    <row r="849" spans="1:39" ht="17.25">
      <c r="A849" s="752"/>
      <c r="B849" s="752"/>
      <c r="C849" s="752"/>
      <c r="D849" s="752"/>
      <c r="E849" s="752"/>
      <c r="F849" s="752"/>
      <c r="G849" s="752"/>
      <c r="H849" s="752"/>
      <c r="I849" s="829"/>
      <c r="J849" s="752"/>
      <c r="K849" s="752"/>
      <c r="L849" s="743"/>
      <c r="M849" s="743"/>
      <c r="N849" s="743"/>
      <c r="O849" s="743"/>
      <c r="P849" s="743"/>
      <c r="Q849" s="743"/>
      <c r="R849" s="743"/>
      <c r="S849" s="743"/>
      <c r="T849" s="743"/>
      <c r="U849" s="743"/>
      <c r="V849" s="743"/>
      <c r="W849" s="743"/>
      <c r="X849" s="743"/>
      <c r="Y849" s="743"/>
      <c r="Z849" s="743"/>
      <c r="AA849" s="743"/>
      <c r="AB849" s="743"/>
      <c r="AC849" s="743"/>
      <c r="AD849" s="743"/>
      <c r="AE849" s="743"/>
      <c r="AF849" s="743"/>
      <c r="AG849" s="743"/>
      <c r="AH849" s="743"/>
      <c r="AI849" s="743"/>
      <c r="AJ849" s="743"/>
      <c r="AK849" s="743"/>
      <c r="AL849" s="743"/>
      <c r="AM849" s="743"/>
    </row>
    <row r="850" spans="1:39" ht="17.25">
      <c r="A850" s="752"/>
      <c r="B850" s="752"/>
      <c r="C850" s="752"/>
      <c r="D850" s="752"/>
      <c r="E850" s="752"/>
      <c r="F850" s="752"/>
      <c r="G850" s="752"/>
      <c r="H850" s="752"/>
      <c r="I850" s="829"/>
      <c r="J850" s="752"/>
      <c r="K850" s="752"/>
      <c r="L850" s="743"/>
      <c r="M850" s="743"/>
      <c r="N850" s="743"/>
      <c r="O850" s="743"/>
      <c r="P850" s="743"/>
      <c r="Q850" s="743"/>
      <c r="R850" s="743"/>
      <c r="S850" s="743"/>
      <c r="T850" s="743"/>
      <c r="U850" s="743"/>
      <c r="V850" s="743"/>
      <c r="W850" s="743"/>
      <c r="X850" s="743"/>
      <c r="Y850" s="743"/>
      <c r="Z850" s="743"/>
      <c r="AA850" s="743"/>
      <c r="AB850" s="743"/>
      <c r="AC850" s="743"/>
      <c r="AD850" s="743"/>
      <c r="AE850" s="743"/>
      <c r="AF850" s="743"/>
      <c r="AG850" s="743"/>
      <c r="AH850" s="743"/>
      <c r="AI850" s="743"/>
      <c r="AJ850" s="743"/>
      <c r="AK850" s="743"/>
      <c r="AL850" s="743"/>
      <c r="AM850" s="743"/>
    </row>
    <row r="851" spans="1:39" ht="17.25">
      <c r="A851" s="752"/>
      <c r="B851" s="752"/>
      <c r="C851" s="752"/>
      <c r="D851" s="752"/>
      <c r="E851" s="752"/>
      <c r="F851" s="752"/>
      <c r="G851" s="752"/>
      <c r="H851" s="752"/>
      <c r="I851" s="829"/>
      <c r="J851" s="752"/>
      <c r="K851" s="752"/>
      <c r="L851" s="743"/>
      <c r="M851" s="743"/>
      <c r="N851" s="743"/>
      <c r="O851" s="743"/>
      <c r="P851" s="743"/>
      <c r="Q851" s="743"/>
      <c r="R851" s="743"/>
      <c r="S851" s="743"/>
      <c r="T851" s="743"/>
      <c r="U851" s="743"/>
      <c r="V851" s="743"/>
      <c r="W851" s="743"/>
      <c r="X851" s="743"/>
      <c r="Y851" s="743"/>
      <c r="Z851" s="743"/>
      <c r="AA851" s="743"/>
      <c r="AB851" s="743"/>
      <c r="AC851" s="743"/>
      <c r="AD851" s="743"/>
      <c r="AE851" s="743"/>
      <c r="AF851" s="743"/>
      <c r="AG851" s="743"/>
      <c r="AH851" s="743"/>
      <c r="AI851" s="743"/>
      <c r="AJ851" s="743"/>
      <c r="AK851" s="743"/>
      <c r="AL851" s="743"/>
      <c r="AM851" s="743"/>
    </row>
    <row r="852" spans="1:39" ht="17.25">
      <c r="A852" s="752"/>
      <c r="B852" s="752"/>
      <c r="C852" s="752"/>
      <c r="D852" s="752"/>
      <c r="E852" s="752"/>
      <c r="F852" s="752"/>
      <c r="G852" s="752"/>
      <c r="H852" s="752"/>
      <c r="I852" s="829"/>
      <c r="J852" s="752"/>
      <c r="K852" s="752"/>
      <c r="L852" s="743"/>
      <c r="M852" s="743"/>
      <c r="N852" s="743"/>
      <c r="O852" s="743"/>
      <c r="P852" s="743"/>
      <c r="Q852" s="743"/>
      <c r="R852" s="743"/>
      <c r="S852" s="743"/>
      <c r="T852" s="743"/>
      <c r="U852" s="743"/>
      <c r="V852" s="743"/>
      <c r="W852" s="743"/>
      <c r="X852" s="743"/>
      <c r="Y852" s="743"/>
      <c r="Z852" s="743"/>
      <c r="AA852" s="743"/>
      <c r="AB852" s="743"/>
      <c r="AC852" s="743"/>
      <c r="AD852" s="743"/>
      <c r="AE852" s="743"/>
      <c r="AF852" s="743"/>
      <c r="AG852" s="743"/>
      <c r="AH852" s="743"/>
      <c r="AI852" s="743"/>
      <c r="AJ852" s="743"/>
      <c r="AK852" s="743"/>
      <c r="AL852" s="743"/>
      <c r="AM852" s="743"/>
    </row>
    <row r="853" spans="1:39" ht="17.25">
      <c r="A853" s="752"/>
      <c r="B853" s="752"/>
      <c r="C853" s="752"/>
      <c r="D853" s="752"/>
      <c r="E853" s="752"/>
      <c r="F853" s="752"/>
      <c r="G853" s="752"/>
      <c r="H853" s="752"/>
      <c r="I853" s="829"/>
      <c r="J853" s="752"/>
      <c r="K853" s="752"/>
      <c r="L853" s="743"/>
      <c r="M853" s="743"/>
      <c r="N853" s="743"/>
      <c r="O853" s="743"/>
      <c r="P853" s="743"/>
      <c r="Q853" s="743"/>
      <c r="R853" s="743"/>
      <c r="S853" s="743"/>
      <c r="T853" s="743"/>
      <c r="U853" s="743"/>
      <c r="V853" s="743"/>
      <c r="W853" s="743"/>
      <c r="X853" s="743"/>
      <c r="Y853" s="743"/>
      <c r="Z853" s="743"/>
      <c r="AA853" s="743"/>
      <c r="AB853" s="743"/>
      <c r="AC853" s="743"/>
      <c r="AD853" s="743"/>
      <c r="AE853" s="743"/>
      <c r="AF853" s="743"/>
      <c r="AG853" s="743"/>
      <c r="AH853" s="743"/>
      <c r="AI853" s="743"/>
      <c r="AJ853" s="743"/>
      <c r="AK853" s="743"/>
      <c r="AL853" s="743"/>
      <c r="AM853" s="743"/>
    </row>
    <row r="854" spans="1:39" ht="17.25">
      <c r="A854" s="752"/>
      <c r="B854" s="752"/>
      <c r="C854" s="752"/>
      <c r="D854" s="752"/>
      <c r="E854" s="752"/>
      <c r="F854" s="752"/>
      <c r="G854" s="752"/>
      <c r="H854" s="752"/>
      <c r="I854" s="829"/>
      <c r="J854" s="752"/>
      <c r="K854" s="752"/>
      <c r="L854" s="743"/>
      <c r="M854" s="743"/>
      <c r="N854" s="743"/>
      <c r="O854" s="743"/>
      <c r="P854" s="743"/>
      <c r="Q854" s="743"/>
      <c r="R854" s="743"/>
      <c r="S854" s="743"/>
      <c r="T854" s="743"/>
      <c r="U854" s="743"/>
      <c r="V854" s="743"/>
      <c r="W854" s="743"/>
      <c r="X854" s="743"/>
      <c r="Y854" s="743"/>
      <c r="Z854" s="743"/>
      <c r="AA854" s="743"/>
      <c r="AB854" s="743"/>
      <c r="AC854" s="743"/>
      <c r="AD854" s="743"/>
      <c r="AE854" s="743"/>
      <c r="AF854" s="743"/>
      <c r="AG854" s="743"/>
      <c r="AH854" s="743"/>
      <c r="AI854" s="743"/>
      <c r="AJ854" s="743"/>
      <c r="AK854" s="743"/>
      <c r="AL854" s="743"/>
      <c r="AM854" s="743"/>
    </row>
    <row r="855" spans="1:39" ht="17.25">
      <c r="A855" s="752"/>
      <c r="B855" s="752"/>
      <c r="C855" s="752"/>
      <c r="D855" s="752"/>
      <c r="E855" s="752"/>
      <c r="F855" s="752"/>
      <c r="G855" s="752"/>
      <c r="H855" s="752"/>
      <c r="I855" s="829"/>
      <c r="J855" s="752"/>
      <c r="K855" s="752"/>
      <c r="L855" s="743"/>
      <c r="M855" s="743"/>
      <c r="N855" s="743"/>
      <c r="O855" s="743"/>
      <c r="P855" s="743"/>
      <c r="Q855" s="743"/>
      <c r="R855" s="743"/>
      <c r="S855" s="743"/>
      <c r="T855" s="743"/>
      <c r="U855" s="743"/>
      <c r="V855" s="743"/>
      <c r="W855" s="743"/>
      <c r="X855" s="743"/>
      <c r="Y855" s="743"/>
      <c r="Z855" s="743"/>
      <c r="AA855" s="743"/>
      <c r="AB855" s="743"/>
      <c r="AC855" s="743"/>
      <c r="AD855" s="743"/>
      <c r="AE855" s="743"/>
      <c r="AF855" s="743"/>
      <c r="AG855" s="743"/>
      <c r="AH855" s="743"/>
      <c r="AI855" s="743"/>
      <c r="AJ855" s="743"/>
      <c r="AK855" s="743"/>
      <c r="AL855" s="743"/>
      <c r="AM855" s="743"/>
    </row>
    <row r="856" spans="1:39" ht="17.25">
      <c r="A856" s="752"/>
      <c r="B856" s="752"/>
      <c r="C856" s="752"/>
      <c r="D856" s="752"/>
      <c r="E856" s="752"/>
      <c r="F856" s="752"/>
      <c r="G856" s="752"/>
      <c r="H856" s="752"/>
      <c r="I856" s="829"/>
      <c r="J856" s="752"/>
      <c r="K856" s="752"/>
      <c r="L856" s="743"/>
      <c r="M856" s="743"/>
      <c r="N856" s="743"/>
      <c r="O856" s="743"/>
      <c r="P856" s="743"/>
      <c r="Q856" s="743"/>
      <c r="R856" s="743"/>
      <c r="S856" s="743"/>
      <c r="T856" s="743"/>
      <c r="U856" s="743"/>
      <c r="V856" s="743"/>
      <c r="W856" s="743"/>
      <c r="X856" s="743"/>
      <c r="Y856" s="743"/>
      <c r="Z856" s="743"/>
      <c r="AA856" s="743"/>
      <c r="AB856" s="743"/>
      <c r="AC856" s="743"/>
      <c r="AD856" s="743"/>
      <c r="AE856" s="743"/>
      <c r="AF856" s="743"/>
      <c r="AG856" s="743"/>
      <c r="AH856" s="743"/>
      <c r="AI856" s="743"/>
      <c r="AJ856" s="743"/>
      <c r="AK856" s="743"/>
      <c r="AL856" s="743"/>
      <c r="AM856" s="743"/>
    </row>
    <row r="857" spans="1:39" ht="17.25">
      <c r="A857" s="752"/>
      <c r="B857" s="752"/>
      <c r="C857" s="752"/>
      <c r="D857" s="752"/>
      <c r="E857" s="752"/>
      <c r="F857" s="752"/>
      <c r="G857" s="752"/>
      <c r="H857" s="752"/>
      <c r="I857" s="829"/>
      <c r="J857" s="752"/>
      <c r="K857" s="752"/>
      <c r="L857" s="743"/>
      <c r="M857" s="743"/>
      <c r="N857" s="743"/>
      <c r="O857" s="743"/>
      <c r="P857" s="743"/>
      <c r="Q857" s="743"/>
      <c r="R857" s="743"/>
      <c r="S857" s="743"/>
      <c r="T857" s="743"/>
      <c r="U857" s="743"/>
      <c r="V857" s="743"/>
      <c r="W857" s="743"/>
      <c r="X857" s="743"/>
      <c r="Y857" s="743"/>
      <c r="Z857" s="743"/>
      <c r="AA857" s="743"/>
      <c r="AB857" s="743"/>
      <c r="AC857" s="743"/>
      <c r="AD857" s="743"/>
      <c r="AE857" s="743"/>
      <c r="AF857" s="743"/>
      <c r="AG857" s="743"/>
      <c r="AH857" s="743"/>
      <c r="AI857" s="743"/>
      <c r="AJ857" s="743"/>
      <c r="AK857" s="743"/>
      <c r="AL857" s="743"/>
      <c r="AM857" s="743"/>
    </row>
    <row r="858" spans="1:39" ht="17.25">
      <c r="A858" s="752"/>
      <c r="B858" s="752"/>
      <c r="C858" s="752"/>
      <c r="D858" s="752"/>
      <c r="E858" s="752"/>
      <c r="F858" s="752"/>
      <c r="G858" s="752"/>
      <c r="H858" s="752"/>
      <c r="I858" s="829"/>
      <c r="J858" s="752"/>
      <c r="K858" s="752"/>
      <c r="L858" s="743"/>
      <c r="M858" s="743"/>
      <c r="N858" s="743"/>
      <c r="O858" s="743"/>
      <c r="P858" s="743"/>
      <c r="Q858" s="743"/>
      <c r="R858" s="743"/>
      <c r="S858" s="743"/>
      <c r="T858" s="743"/>
      <c r="U858" s="743"/>
      <c r="V858" s="743"/>
      <c r="W858" s="743"/>
      <c r="X858" s="743"/>
      <c r="Y858" s="743"/>
      <c r="Z858" s="743"/>
      <c r="AA858" s="743"/>
      <c r="AB858" s="743"/>
      <c r="AC858" s="743"/>
      <c r="AD858" s="743"/>
      <c r="AE858" s="743"/>
      <c r="AF858" s="743"/>
      <c r="AG858" s="743"/>
      <c r="AH858" s="743"/>
      <c r="AI858" s="743"/>
      <c r="AJ858" s="743"/>
      <c r="AK858" s="743"/>
      <c r="AL858" s="743"/>
      <c r="AM858" s="743"/>
    </row>
    <row r="859" spans="1:39" ht="17.25">
      <c r="A859" s="752"/>
      <c r="B859" s="752"/>
      <c r="C859" s="752"/>
      <c r="D859" s="752"/>
      <c r="E859" s="752"/>
      <c r="F859" s="752"/>
      <c r="G859" s="752"/>
      <c r="H859" s="752"/>
      <c r="I859" s="829"/>
      <c r="J859" s="752"/>
      <c r="K859" s="752"/>
      <c r="L859" s="743"/>
      <c r="M859" s="743"/>
      <c r="N859" s="743"/>
      <c r="O859" s="743"/>
      <c r="P859" s="743"/>
      <c r="Q859" s="743"/>
      <c r="R859" s="743"/>
      <c r="S859" s="743"/>
      <c r="T859" s="743"/>
      <c r="U859" s="743"/>
      <c r="V859" s="743"/>
      <c r="W859" s="743"/>
      <c r="X859" s="743"/>
      <c r="Y859" s="743"/>
      <c r="Z859" s="743"/>
      <c r="AA859" s="743"/>
      <c r="AB859" s="743"/>
      <c r="AC859" s="743"/>
      <c r="AD859" s="743"/>
      <c r="AE859" s="743"/>
      <c r="AF859" s="743"/>
      <c r="AG859" s="743"/>
      <c r="AH859" s="743"/>
      <c r="AI859" s="743"/>
      <c r="AJ859" s="743"/>
      <c r="AK859" s="743"/>
      <c r="AL859" s="743"/>
      <c r="AM859" s="743"/>
    </row>
    <row r="860" spans="1:39" ht="17.25">
      <c r="A860" s="752"/>
      <c r="B860" s="752"/>
      <c r="C860" s="752"/>
      <c r="D860" s="752"/>
      <c r="E860" s="752"/>
      <c r="F860" s="752"/>
      <c r="G860" s="752"/>
      <c r="H860" s="752"/>
      <c r="I860" s="829"/>
      <c r="J860" s="752"/>
      <c r="K860" s="752"/>
      <c r="L860" s="743"/>
      <c r="M860" s="743"/>
      <c r="N860" s="743"/>
      <c r="O860" s="743"/>
      <c r="P860" s="743"/>
      <c r="Q860" s="743"/>
      <c r="R860" s="743"/>
      <c r="S860" s="743"/>
      <c r="T860" s="743"/>
      <c r="U860" s="743"/>
      <c r="V860" s="743"/>
      <c r="W860" s="743"/>
      <c r="X860" s="743"/>
      <c r="Y860" s="743"/>
      <c r="Z860" s="743"/>
      <c r="AA860" s="743"/>
      <c r="AB860" s="743"/>
      <c r="AC860" s="743"/>
      <c r="AD860" s="743"/>
      <c r="AE860" s="743"/>
      <c r="AF860" s="743"/>
      <c r="AG860" s="743"/>
      <c r="AH860" s="743"/>
      <c r="AI860" s="743"/>
      <c r="AJ860" s="743"/>
      <c r="AK860" s="743"/>
      <c r="AL860" s="743"/>
      <c r="AM860" s="743"/>
    </row>
    <row r="861" spans="1:39" ht="17.25">
      <c r="A861" s="752"/>
      <c r="B861" s="752"/>
      <c r="C861" s="752"/>
      <c r="D861" s="752"/>
      <c r="E861" s="752"/>
      <c r="F861" s="752"/>
      <c r="G861" s="752"/>
      <c r="H861" s="752"/>
      <c r="I861" s="829"/>
      <c r="J861" s="752"/>
      <c r="K861" s="752"/>
      <c r="L861" s="743"/>
      <c r="M861" s="743"/>
      <c r="N861" s="743"/>
      <c r="O861" s="743"/>
      <c r="P861" s="743"/>
      <c r="Q861" s="743"/>
      <c r="R861" s="743"/>
      <c r="S861" s="743"/>
      <c r="T861" s="743"/>
      <c r="U861" s="743"/>
      <c r="V861" s="743"/>
      <c r="W861" s="743"/>
      <c r="X861" s="743"/>
      <c r="Y861" s="743"/>
      <c r="Z861" s="743"/>
      <c r="AA861" s="743"/>
      <c r="AB861" s="743"/>
      <c r="AC861" s="743"/>
      <c r="AD861" s="743"/>
      <c r="AE861" s="743"/>
      <c r="AF861" s="743"/>
      <c r="AG861" s="743"/>
      <c r="AH861" s="743"/>
      <c r="AI861" s="743"/>
      <c r="AJ861" s="743"/>
      <c r="AK861" s="743"/>
      <c r="AL861" s="743"/>
      <c r="AM861" s="743"/>
    </row>
    <row r="862" spans="1:39" ht="17.25">
      <c r="A862" s="752"/>
      <c r="B862" s="752"/>
      <c r="C862" s="752"/>
      <c r="D862" s="752"/>
      <c r="E862" s="752"/>
      <c r="F862" s="752"/>
      <c r="G862" s="752"/>
      <c r="H862" s="752"/>
      <c r="I862" s="829"/>
      <c r="J862" s="752"/>
      <c r="K862" s="752"/>
      <c r="L862" s="743"/>
      <c r="M862" s="743"/>
      <c r="N862" s="743"/>
      <c r="O862" s="743"/>
      <c r="P862" s="743"/>
      <c r="Q862" s="743"/>
      <c r="R862" s="743"/>
      <c r="S862" s="743"/>
      <c r="T862" s="743"/>
      <c r="U862" s="743"/>
      <c r="V862" s="743"/>
      <c r="W862" s="743"/>
      <c r="X862" s="743"/>
      <c r="Y862" s="743"/>
      <c r="Z862" s="743"/>
      <c r="AA862" s="743"/>
      <c r="AB862" s="743"/>
      <c r="AC862" s="743"/>
      <c r="AD862" s="743"/>
      <c r="AE862" s="743"/>
      <c r="AF862" s="743"/>
      <c r="AG862" s="743"/>
      <c r="AH862" s="743"/>
      <c r="AI862" s="743"/>
      <c r="AJ862" s="743"/>
      <c r="AK862" s="743"/>
      <c r="AL862" s="743"/>
      <c r="AM862" s="743"/>
    </row>
    <row r="863" spans="1:39" ht="17.25">
      <c r="A863" s="752"/>
      <c r="B863" s="752"/>
      <c r="C863" s="752"/>
      <c r="D863" s="752"/>
      <c r="E863" s="752"/>
      <c r="F863" s="752"/>
      <c r="G863" s="752"/>
      <c r="H863" s="752"/>
      <c r="I863" s="829"/>
      <c r="J863" s="752"/>
      <c r="K863" s="752"/>
      <c r="L863" s="743"/>
      <c r="M863" s="743"/>
      <c r="N863" s="743"/>
      <c r="O863" s="743"/>
      <c r="P863" s="743"/>
      <c r="Q863" s="743"/>
      <c r="R863" s="743"/>
      <c r="S863" s="743"/>
      <c r="T863" s="743"/>
      <c r="U863" s="743"/>
      <c r="V863" s="743"/>
      <c r="W863" s="743"/>
      <c r="X863" s="743"/>
      <c r="Y863" s="743"/>
      <c r="Z863" s="743"/>
      <c r="AA863" s="743"/>
      <c r="AB863" s="743"/>
      <c r="AC863" s="743"/>
      <c r="AD863" s="743"/>
      <c r="AE863" s="743"/>
      <c r="AF863" s="743"/>
      <c r="AG863" s="743"/>
      <c r="AH863" s="743"/>
      <c r="AI863" s="743"/>
      <c r="AJ863" s="743"/>
      <c r="AK863" s="743"/>
      <c r="AL863" s="743"/>
      <c r="AM863" s="743"/>
    </row>
    <row r="864" spans="1:39" ht="17.25">
      <c r="A864" s="752"/>
      <c r="B864" s="752"/>
      <c r="C864" s="752"/>
      <c r="D864" s="752"/>
      <c r="E864" s="752"/>
      <c r="F864" s="752"/>
      <c r="G864" s="752"/>
      <c r="H864" s="752"/>
      <c r="I864" s="829"/>
      <c r="J864" s="752"/>
      <c r="K864" s="752"/>
      <c r="L864" s="743"/>
      <c r="M864" s="743"/>
      <c r="N864" s="743"/>
      <c r="O864" s="743"/>
      <c r="P864" s="743"/>
      <c r="Q864" s="743"/>
      <c r="R864" s="743"/>
      <c r="S864" s="743"/>
      <c r="T864" s="743"/>
      <c r="U864" s="743"/>
      <c r="V864" s="743"/>
      <c r="W864" s="743"/>
      <c r="X864" s="743"/>
      <c r="Y864" s="743"/>
      <c r="Z864" s="743"/>
      <c r="AA864" s="743"/>
      <c r="AB864" s="743"/>
      <c r="AC864" s="743"/>
      <c r="AD864" s="743"/>
      <c r="AE864" s="743"/>
      <c r="AF864" s="743"/>
      <c r="AG864" s="743"/>
      <c r="AH864" s="743"/>
      <c r="AI864" s="743"/>
      <c r="AJ864" s="743"/>
      <c r="AK864" s="743"/>
      <c r="AL864" s="743"/>
      <c r="AM864" s="743"/>
    </row>
    <row r="865" spans="1:39" ht="17.25">
      <c r="A865" s="752"/>
      <c r="B865" s="752"/>
      <c r="C865" s="752"/>
      <c r="D865" s="752"/>
      <c r="E865" s="752"/>
      <c r="F865" s="752"/>
      <c r="G865" s="752"/>
      <c r="H865" s="752"/>
      <c r="I865" s="829"/>
      <c r="J865" s="752"/>
      <c r="K865" s="752"/>
      <c r="L865" s="743"/>
      <c r="M865" s="743"/>
      <c r="N865" s="743"/>
      <c r="O865" s="743"/>
      <c r="P865" s="743"/>
      <c r="Q865" s="743"/>
      <c r="R865" s="743"/>
      <c r="S865" s="743"/>
      <c r="T865" s="743"/>
      <c r="U865" s="743"/>
      <c r="V865" s="743"/>
      <c r="W865" s="743"/>
      <c r="X865" s="743"/>
      <c r="Y865" s="743"/>
      <c r="Z865" s="743"/>
      <c r="AA865" s="743"/>
      <c r="AB865" s="743"/>
      <c r="AC865" s="743"/>
      <c r="AD865" s="743"/>
      <c r="AE865" s="743"/>
      <c r="AF865" s="743"/>
      <c r="AG865" s="743"/>
      <c r="AH865" s="743"/>
      <c r="AI865" s="743"/>
      <c r="AJ865" s="743"/>
      <c r="AK865" s="743"/>
      <c r="AL865" s="743"/>
      <c r="AM865" s="743"/>
    </row>
    <row r="866" spans="1:39" ht="17.25">
      <c r="A866" s="752"/>
      <c r="B866" s="752"/>
      <c r="C866" s="752"/>
      <c r="D866" s="752"/>
      <c r="E866" s="752"/>
      <c r="F866" s="752"/>
      <c r="G866" s="752"/>
      <c r="H866" s="752"/>
      <c r="I866" s="829"/>
      <c r="J866" s="752"/>
      <c r="K866" s="752"/>
      <c r="L866" s="743"/>
      <c r="M866" s="743"/>
      <c r="N866" s="743"/>
      <c r="O866" s="743"/>
      <c r="P866" s="743"/>
      <c r="Q866" s="743"/>
      <c r="R866" s="743"/>
      <c r="S866" s="743"/>
      <c r="T866" s="743"/>
      <c r="U866" s="743"/>
      <c r="V866" s="743"/>
      <c r="W866" s="743"/>
      <c r="X866" s="743"/>
      <c r="Y866" s="743"/>
      <c r="Z866" s="743"/>
      <c r="AA866" s="743"/>
      <c r="AB866" s="743"/>
      <c r="AC866" s="743"/>
      <c r="AD866" s="743"/>
      <c r="AE866" s="743"/>
      <c r="AF866" s="743"/>
      <c r="AG866" s="743"/>
      <c r="AH866" s="743"/>
      <c r="AI866" s="743"/>
      <c r="AJ866" s="743"/>
      <c r="AK866" s="743"/>
      <c r="AL866" s="743"/>
      <c r="AM866" s="743"/>
    </row>
    <row r="867" spans="1:39" ht="17.25">
      <c r="A867" s="752"/>
      <c r="B867" s="752"/>
      <c r="C867" s="752"/>
      <c r="D867" s="752"/>
      <c r="E867" s="752"/>
      <c r="F867" s="752"/>
      <c r="G867" s="752"/>
      <c r="H867" s="752"/>
      <c r="I867" s="829"/>
      <c r="J867" s="752"/>
      <c r="K867" s="752"/>
      <c r="L867" s="743"/>
      <c r="M867" s="743"/>
      <c r="N867" s="743"/>
      <c r="O867" s="743"/>
      <c r="P867" s="743"/>
      <c r="Q867" s="743"/>
      <c r="R867" s="743"/>
      <c r="S867" s="743"/>
      <c r="T867" s="743"/>
      <c r="U867" s="743"/>
      <c r="V867" s="743"/>
      <c r="W867" s="743"/>
      <c r="X867" s="743"/>
      <c r="Y867" s="743"/>
      <c r="Z867" s="743"/>
      <c r="AA867" s="743"/>
      <c r="AB867" s="743"/>
      <c r="AC867" s="743"/>
      <c r="AD867" s="743"/>
      <c r="AE867" s="743"/>
      <c r="AF867" s="743"/>
      <c r="AG867" s="743"/>
      <c r="AH867" s="743"/>
      <c r="AI867" s="743"/>
      <c r="AJ867" s="743"/>
      <c r="AK867" s="743"/>
      <c r="AL867" s="743"/>
      <c r="AM867" s="743"/>
    </row>
    <row r="868" spans="1:39" ht="17.25">
      <c r="A868" s="752"/>
      <c r="B868" s="752"/>
      <c r="C868" s="752"/>
      <c r="D868" s="752"/>
      <c r="E868" s="752"/>
      <c r="F868" s="752"/>
      <c r="G868" s="752"/>
      <c r="H868" s="752"/>
      <c r="I868" s="829"/>
      <c r="J868" s="752"/>
      <c r="K868" s="752"/>
      <c r="L868" s="743"/>
      <c r="M868" s="743"/>
      <c r="N868" s="743"/>
      <c r="O868" s="743"/>
      <c r="P868" s="743"/>
      <c r="Q868" s="743"/>
      <c r="R868" s="743"/>
      <c r="S868" s="743"/>
      <c r="T868" s="743"/>
      <c r="U868" s="743"/>
      <c r="V868" s="743"/>
      <c r="W868" s="743"/>
      <c r="X868" s="743"/>
      <c r="Y868" s="743"/>
      <c r="Z868" s="743"/>
      <c r="AA868" s="743"/>
      <c r="AB868" s="743"/>
      <c r="AC868" s="743"/>
      <c r="AD868" s="743"/>
      <c r="AE868" s="743"/>
      <c r="AF868" s="743"/>
      <c r="AG868" s="743"/>
      <c r="AH868" s="743"/>
      <c r="AI868" s="743"/>
      <c r="AJ868" s="743"/>
      <c r="AK868" s="743"/>
      <c r="AL868" s="743"/>
      <c r="AM868" s="743"/>
    </row>
    <row r="869" spans="1:39" ht="17.25">
      <c r="A869" s="752"/>
      <c r="B869" s="752"/>
      <c r="C869" s="752"/>
      <c r="D869" s="752"/>
      <c r="E869" s="752"/>
      <c r="F869" s="752"/>
      <c r="G869" s="752"/>
      <c r="H869" s="752"/>
      <c r="I869" s="829"/>
      <c r="J869" s="752"/>
      <c r="K869" s="752"/>
      <c r="L869" s="743"/>
      <c r="M869" s="743"/>
      <c r="N869" s="743"/>
      <c r="O869" s="743"/>
      <c r="P869" s="743"/>
      <c r="Q869" s="743"/>
      <c r="R869" s="743"/>
      <c r="S869" s="743"/>
      <c r="T869" s="743"/>
      <c r="U869" s="743"/>
      <c r="V869" s="743"/>
      <c r="W869" s="743"/>
      <c r="X869" s="743"/>
      <c r="Y869" s="743"/>
      <c r="Z869" s="743"/>
      <c r="AA869" s="743"/>
      <c r="AB869" s="743"/>
      <c r="AC869" s="743"/>
      <c r="AD869" s="743"/>
      <c r="AE869" s="743"/>
      <c r="AF869" s="743"/>
      <c r="AG869" s="743"/>
      <c r="AH869" s="743"/>
      <c r="AI869" s="743"/>
      <c r="AJ869" s="743"/>
      <c r="AK869" s="743"/>
      <c r="AL869" s="743"/>
      <c r="AM869" s="743"/>
    </row>
    <row r="870" spans="1:39" ht="17.25">
      <c r="A870" s="752"/>
      <c r="B870" s="752"/>
      <c r="C870" s="752"/>
      <c r="D870" s="752"/>
      <c r="E870" s="752"/>
      <c r="F870" s="752"/>
      <c r="G870" s="752"/>
      <c r="H870" s="752"/>
      <c r="I870" s="829"/>
      <c r="J870" s="752"/>
      <c r="K870" s="752"/>
      <c r="L870" s="743"/>
      <c r="M870" s="743"/>
      <c r="N870" s="743"/>
      <c r="O870" s="743"/>
      <c r="P870" s="743"/>
      <c r="Q870" s="743"/>
      <c r="R870" s="743"/>
      <c r="S870" s="743"/>
      <c r="T870" s="743"/>
      <c r="U870" s="743"/>
      <c r="V870" s="743"/>
      <c r="W870" s="743"/>
      <c r="X870" s="743"/>
      <c r="Y870" s="743"/>
      <c r="Z870" s="743"/>
      <c r="AA870" s="743"/>
      <c r="AB870" s="743"/>
      <c r="AC870" s="743"/>
      <c r="AD870" s="743"/>
      <c r="AE870" s="743"/>
      <c r="AF870" s="743"/>
      <c r="AG870" s="743"/>
      <c r="AH870" s="743"/>
      <c r="AI870" s="743"/>
      <c r="AJ870" s="743"/>
      <c r="AK870" s="743"/>
      <c r="AL870" s="743"/>
      <c r="AM870" s="743"/>
    </row>
    <row r="871" spans="1:39" ht="17.25">
      <c r="A871" s="752"/>
      <c r="B871" s="752"/>
      <c r="C871" s="752"/>
      <c r="D871" s="752"/>
      <c r="E871" s="752"/>
      <c r="F871" s="752"/>
      <c r="G871" s="752"/>
      <c r="H871" s="752"/>
      <c r="I871" s="829"/>
      <c r="J871" s="752"/>
      <c r="K871" s="752"/>
      <c r="L871" s="743"/>
      <c r="M871" s="743"/>
      <c r="N871" s="743"/>
      <c r="O871" s="743"/>
      <c r="P871" s="743"/>
      <c r="Q871" s="743"/>
      <c r="R871" s="743"/>
      <c r="S871" s="743"/>
      <c r="T871" s="743"/>
      <c r="U871" s="743"/>
      <c r="V871" s="743"/>
      <c r="W871" s="743"/>
      <c r="X871" s="743"/>
      <c r="Y871" s="743"/>
      <c r="Z871" s="743"/>
      <c r="AA871" s="743"/>
      <c r="AB871" s="743"/>
      <c r="AC871" s="743"/>
      <c r="AD871" s="743"/>
      <c r="AE871" s="743"/>
      <c r="AF871" s="743"/>
      <c r="AG871" s="743"/>
      <c r="AH871" s="743"/>
      <c r="AI871" s="743"/>
      <c r="AJ871" s="743"/>
      <c r="AK871" s="743"/>
      <c r="AL871" s="743"/>
      <c r="AM871" s="743"/>
    </row>
    <row r="872" spans="1:39" ht="17.25">
      <c r="A872" s="752"/>
      <c r="B872" s="752"/>
      <c r="C872" s="752"/>
      <c r="D872" s="752"/>
      <c r="E872" s="752"/>
      <c r="F872" s="752"/>
      <c r="G872" s="752"/>
      <c r="H872" s="752"/>
      <c r="I872" s="829"/>
      <c r="J872" s="752"/>
      <c r="K872" s="752"/>
      <c r="L872" s="743"/>
      <c r="M872" s="743"/>
      <c r="N872" s="743"/>
      <c r="O872" s="743"/>
      <c r="P872" s="743"/>
      <c r="Q872" s="743"/>
      <c r="R872" s="743"/>
      <c r="S872" s="743"/>
      <c r="T872" s="743"/>
      <c r="U872" s="743"/>
      <c r="V872" s="743"/>
      <c r="W872" s="743"/>
      <c r="X872" s="743"/>
      <c r="Y872" s="743"/>
      <c r="Z872" s="743"/>
      <c r="AA872" s="743"/>
      <c r="AB872" s="743"/>
      <c r="AC872" s="743"/>
      <c r="AD872" s="743"/>
      <c r="AE872" s="743"/>
      <c r="AF872" s="743"/>
      <c r="AG872" s="743"/>
      <c r="AH872" s="743"/>
      <c r="AI872" s="743"/>
      <c r="AJ872" s="743"/>
      <c r="AK872" s="743"/>
      <c r="AL872" s="743"/>
      <c r="AM872" s="743"/>
    </row>
    <row r="873" spans="1:39" ht="17.25">
      <c r="A873" s="752"/>
      <c r="B873" s="752"/>
      <c r="C873" s="752"/>
      <c r="D873" s="752"/>
      <c r="E873" s="752"/>
      <c r="F873" s="752"/>
      <c r="G873" s="752"/>
      <c r="H873" s="752"/>
      <c r="I873" s="829"/>
      <c r="J873" s="752"/>
      <c r="K873" s="752"/>
      <c r="L873" s="743"/>
      <c r="M873" s="743"/>
      <c r="N873" s="743"/>
      <c r="O873" s="743"/>
      <c r="P873" s="743"/>
      <c r="Q873" s="743"/>
      <c r="R873" s="743"/>
      <c r="S873" s="743"/>
      <c r="T873" s="743"/>
      <c r="U873" s="743"/>
      <c r="V873" s="743"/>
      <c r="W873" s="743"/>
      <c r="X873" s="743"/>
      <c r="Y873" s="743"/>
      <c r="Z873" s="743"/>
      <c r="AA873" s="743"/>
      <c r="AB873" s="743"/>
      <c r="AC873" s="743"/>
      <c r="AD873" s="743"/>
      <c r="AE873" s="743"/>
      <c r="AF873" s="743"/>
      <c r="AG873" s="743"/>
      <c r="AH873" s="743"/>
      <c r="AI873" s="743"/>
      <c r="AJ873" s="743"/>
      <c r="AK873" s="743"/>
      <c r="AL873" s="743"/>
      <c r="AM873" s="743"/>
    </row>
    <row r="874" spans="1:39" ht="17.25">
      <c r="A874" s="752"/>
      <c r="B874" s="752"/>
      <c r="C874" s="752"/>
      <c r="D874" s="752"/>
      <c r="E874" s="752"/>
      <c r="F874" s="752"/>
      <c r="G874" s="752"/>
      <c r="H874" s="752"/>
      <c r="I874" s="829"/>
      <c r="J874" s="752"/>
      <c r="K874" s="752"/>
      <c r="L874" s="743"/>
      <c r="M874" s="743"/>
      <c r="N874" s="743"/>
      <c r="O874" s="743"/>
      <c r="P874" s="743"/>
      <c r="Q874" s="743"/>
      <c r="R874" s="743"/>
      <c r="S874" s="743"/>
      <c r="T874" s="743"/>
      <c r="U874" s="743"/>
      <c r="V874" s="743"/>
      <c r="W874" s="743"/>
      <c r="X874" s="743"/>
      <c r="Y874" s="743"/>
      <c r="Z874" s="743"/>
      <c r="AA874" s="743"/>
      <c r="AB874" s="743"/>
      <c r="AC874" s="743"/>
      <c r="AD874" s="743"/>
      <c r="AE874" s="743"/>
      <c r="AF874" s="743"/>
      <c r="AG874" s="743"/>
      <c r="AH874" s="743"/>
      <c r="AI874" s="743"/>
      <c r="AJ874" s="743"/>
      <c r="AK874" s="743"/>
      <c r="AL874" s="743"/>
      <c r="AM874" s="743"/>
    </row>
    <row r="875" spans="1:39" ht="17.25">
      <c r="A875" s="752"/>
      <c r="B875" s="752"/>
      <c r="C875" s="752"/>
      <c r="D875" s="752"/>
      <c r="E875" s="752"/>
      <c r="F875" s="752"/>
      <c r="G875" s="752"/>
      <c r="H875" s="752"/>
      <c r="I875" s="829"/>
      <c r="J875" s="752"/>
      <c r="K875" s="752"/>
      <c r="L875" s="743"/>
      <c r="M875" s="743"/>
      <c r="N875" s="743"/>
      <c r="O875" s="743"/>
      <c r="P875" s="743"/>
      <c r="Q875" s="743"/>
      <c r="R875" s="743"/>
      <c r="S875" s="743"/>
      <c r="T875" s="743"/>
      <c r="U875" s="743"/>
      <c r="V875" s="743"/>
      <c r="W875" s="743"/>
      <c r="X875" s="743"/>
      <c r="Y875" s="743"/>
      <c r="Z875" s="743"/>
      <c r="AA875" s="743"/>
      <c r="AB875" s="743"/>
      <c r="AC875" s="743"/>
      <c r="AD875" s="743"/>
      <c r="AE875" s="743"/>
      <c r="AF875" s="743"/>
      <c r="AG875" s="743"/>
      <c r="AH875" s="743"/>
      <c r="AI875" s="743"/>
      <c r="AJ875" s="743"/>
      <c r="AK875" s="743"/>
      <c r="AL875" s="743"/>
      <c r="AM875" s="743"/>
    </row>
    <row r="876" spans="1:39" ht="17.25">
      <c r="A876" s="752"/>
      <c r="B876" s="752"/>
      <c r="C876" s="752"/>
      <c r="D876" s="752"/>
      <c r="E876" s="752"/>
      <c r="F876" s="752"/>
      <c r="G876" s="752"/>
      <c r="H876" s="752"/>
      <c r="I876" s="829"/>
      <c r="J876" s="752"/>
      <c r="K876" s="752"/>
      <c r="L876" s="743"/>
      <c r="M876" s="743"/>
      <c r="N876" s="743"/>
      <c r="O876" s="743"/>
      <c r="P876" s="743"/>
      <c r="Q876" s="743"/>
      <c r="R876" s="743"/>
      <c r="S876" s="743"/>
      <c r="T876" s="743"/>
      <c r="U876" s="743"/>
      <c r="V876" s="743"/>
      <c r="W876" s="743"/>
      <c r="X876" s="743"/>
      <c r="Y876" s="743"/>
      <c r="Z876" s="743"/>
      <c r="AA876" s="743"/>
      <c r="AB876" s="743"/>
      <c r="AC876" s="743"/>
      <c r="AD876" s="743"/>
      <c r="AE876" s="743"/>
      <c r="AF876" s="743"/>
      <c r="AG876" s="743"/>
      <c r="AH876" s="743"/>
      <c r="AI876" s="743"/>
      <c r="AJ876" s="743"/>
      <c r="AK876" s="743"/>
      <c r="AL876" s="743"/>
      <c r="AM876" s="743"/>
    </row>
    <row r="877" spans="1:39" ht="17.25">
      <c r="A877" s="752"/>
      <c r="B877" s="752"/>
      <c r="C877" s="752"/>
      <c r="D877" s="752"/>
      <c r="E877" s="752"/>
      <c r="F877" s="752"/>
      <c r="G877" s="752"/>
      <c r="H877" s="752"/>
      <c r="I877" s="829"/>
      <c r="J877" s="752"/>
      <c r="K877" s="752"/>
      <c r="L877" s="743"/>
      <c r="M877" s="743"/>
      <c r="N877" s="743"/>
      <c r="O877" s="743"/>
      <c r="P877" s="743"/>
      <c r="Q877" s="743"/>
      <c r="R877" s="743"/>
      <c r="S877" s="743"/>
      <c r="T877" s="743"/>
      <c r="U877" s="743"/>
      <c r="V877" s="743"/>
      <c r="W877" s="743"/>
      <c r="X877" s="743"/>
      <c r="Y877" s="743"/>
      <c r="Z877" s="743"/>
      <c r="AA877" s="743"/>
      <c r="AB877" s="743"/>
      <c r="AC877" s="743"/>
      <c r="AD877" s="743"/>
      <c r="AE877" s="743"/>
      <c r="AF877" s="743"/>
      <c r="AG877" s="743"/>
      <c r="AH877" s="743"/>
      <c r="AI877" s="743"/>
      <c r="AJ877" s="743"/>
      <c r="AK877" s="743"/>
      <c r="AL877" s="743"/>
      <c r="AM877" s="743"/>
    </row>
    <row r="878" spans="1:39" ht="17.25">
      <c r="A878" s="752"/>
      <c r="B878" s="752"/>
      <c r="C878" s="752"/>
      <c r="D878" s="752"/>
      <c r="E878" s="752"/>
      <c r="F878" s="752"/>
      <c r="G878" s="752"/>
      <c r="H878" s="752"/>
      <c r="I878" s="829"/>
      <c r="J878" s="752"/>
      <c r="K878" s="752"/>
      <c r="L878" s="743"/>
      <c r="M878" s="743"/>
      <c r="N878" s="743"/>
      <c r="O878" s="743"/>
      <c r="P878" s="743"/>
      <c r="Q878" s="743"/>
      <c r="R878" s="743"/>
      <c r="S878" s="743"/>
      <c r="T878" s="743"/>
      <c r="U878" s="743"/>
      <c r="V878" s="743"/>
      <c r="W878" s="743"/>
      <c r="X878" s="743"/>
      <c r="Y878" s="743"/>
      <c r="Z878" s="743"/>
      <c r="AA878" s="743"/>
      <c r="AB878" s="743"/>
      <c r="AC878" s="743"/>
      <c r="AD878" s="743"/>
      <c r="AE878" s="743"/>
      <c r="AF878" s="743"/>
      <c r="AG878" s="743"/>
      <c r="AH878" s="743"/>
      <c r="AI878" s="743"/>
      <c r="AJ878" s="743"/>
      <c r="AK878" s="743"/>
      <c r="AL878" s="743"/>
      <c r="AM878" s="743"/>
    </row>
    <row r="879" spans="1:39" ht="17.25">
      <c r="A879" s="752"/>
      <c r="B879" s="752"/>
      <c r="C879" s="752"/>
      <c r="D879" s="752"/>
      <c r="E879" s="752"/>
      <c r="F879" s="752"/>
      <c r="G879" s="752"/>
      <c r="H879" s="752"/>
      <c r="I879" s="829"/>
      <c r="J879" s="752"/>
      <c r="K879" s="752"/>
      <c r="L879" s="743"/>
      <c r="M879" s="743"/>
      <c r="N879" s="743"/>
      <c r="O879" s="743"/>
      <c r="P879" s="743"/>
      <c r="Q879" s="743"/>
      <c r="R879" s="743"/>
      <c r="S879" s="743"/>
      <c r="T879" s="743"/>
      <c r="U879" s="743"/>
      <c r="V879" s="743"/>
      <c r="W879" s="743"/>
      <c r="X879" s="743"/>
      <c r="Y879" s="743"/>
      <c r="Z879" s="743"/>
      <c r="AA879" s="743"/>
      <c r="AB879" s="743"/>
      <c r="AC879" s="743"/>
      <c r="AD879" s="743"/>
      <c r="AE879" s="743"/>
      <c r="AF879" s="743"/>
      <c r="AG879" s="743"/>
      <c r="AH879" s="743"/>
      <c r="AI879" s="743"/>
      <c r="AJ879" s="743"/>
      <c r="AK879" s="743"/>
      <c r="AL879" s="743"/>
      <c r="AM879" s="743"/>
    </row>
    <row r="880" spans="1:39" ht="17.25">
      <c r="A880" s="752"/>
      <c r="B880" s="752"/>
      <c r="C880" s="752"/>
      <c r="D880" s="752"/>
      <c r="E880" s="752"/>
      <c r="F880" s="752"/>
      <c r="G880" s="752"/>
      <c r="H880" s="752"/>
      <c r="I880" s="829"/>
      <c r="J880" s="752"/>
      <c r="K880" s="752"/>
      <c r="L880" s="743"/>
      <c r="M880" s="743"/>
      <c r="N880" s="743"/>
      <c r="O880" s="743"/>
      <c r="P880" s="743"/>
      <c r="Q880" s="743"/>
      <c r="R880" s="743"/>
      <c r="S880" s="743"/>
      <c r="T880" s="743"/>
      <c r="U880" s="743"/>
      <c r="V880" s="743"/>
      <c r="W880" s="743"/>
      <c r="X880" s="743"/>
      <c r="Y880" s="743"/>
      <c r="Z880" s="743"/>
      <c r="AA880" s="743"/>
      <c r="AB880" s="743"/>
      <c r="AC880" s="743"/>
      <c r="AD880" s="743"/>
      <c r="AE880" s="743"/>
      <c r="AF880" s="743"/>
      <c r="AG880" s="743"/>
      <c r="AH880" s="743"/>
      <c r="AI880" s="743"/>
      <c r="AJ880" s="743"/>
      <c r="AK880" s="743"/>
      <c r="AL880" s="743"/>
      <c r="AM880" s="743"/>
    </row>
    <row r="881" spans="1:39" ht="17.25">
      <c r="A881" s="752"/>
      <c r="B881" s="752"/>
      <c r="C881" s="752"/>
      <c r="D881" s="752"/>
      <c r="E881" s="752"/>
      <c r="F881" s="752"/>
      <c r="G881" s="752"/>
      <c r="H881" s="752"/>
      <c r="I881" s="829"/>
      <c r="J881" s="752"/>
      <c r="K881" s="752"/>
      <c r="L881" s="743"/>
      <c r="M881" s="743"/>
      <c r="N881" s="743"/>
      <c r="O881" s="743"/>
      <c r="P881" s="743"/>
      <c r="Q881" s="743"/>
      <c r="R881" s="743"/>
      <c r="S881" s="743"/>
      <c r="T881" s="743"/>
      <c r="U881" s="743"/>
      <c r="V881" s="743"/>
      <c r="W881" s="743"/>
      <c r="X881" s="743"/>
      <c r="Y881" s="743"/>
      <c r="Z881" s="743"/>
      <c r="AA881" s="743"/>
      <c r="AB881" s="743"/>
      <c r="AC881" s="743"/>
      <c r="AD881" s="743"/>
      <c r="AE881" s="743"/>
      <c r="AF881" s="743"/>
      <c r="AG881" s="743"/>
      <c r="AH881" s="743"/>
      <c r="AI881" s="743"/>
      <c r="AJ881" s="743"/>
      <c r="AK881" s="743"/>
      <c r="AL881" s="743"/>
      <c r="AM881" s="743"/>
    </row>
    <row r="882" spans="1:39" ht="17.25">
      <c r="A882" s="752"/>
      <c r="B882" s="752"/>
      <c r="C882" s="752"/>
      <c r="D882" s="752"/>
      <c r="E882" s="752"/>
      <c r="F882" s="752"/>
      <c r="G882" s="752"/>
      <c r="H882" s="752"/>
      <c r="I882" s="829"/>
      <c r="J882" s="752"/>
      <c r="K882" s="752"/>
      <c r="L882" s="743"/>
      <c r="M882" s="743"/>
      <c r="N882" s="743"/>
      <c r="O882" s="743"/>
      <c r="P882" s="743"/>
      <c r="Q882" s="743"/>
      <c r="R882" s="743"/>
      <c r="S882" s="743"/>
      <c r="T882" s="743"/>
      <c r="U882" s="743"/>
      <c r="V882" s="743"/>
      <c r="W882" s="743"/>
      <c r="X882" s="743"/>
      <c r="Y882" s="743"/>
      <c r="Z882" s="743"/>
      <c r="AA882" s="743"/>
      <c r="AB882" s="743"/>
      <c r="AC882" s="743"/>
      <c r="AD882" s="743"/>
      <c r="AE882" s="743"/>
      <c r="AF882" s="743"/>
      <c r="AG882" s="743"/>
      <c r="AH882" s="743"/>
      <c r="AI882" s="743"/>
      <c r="AJ882" s="743"/>
      <c r="AK882" s="743"/>
      <c r="AL882" s="743"/>
      <c r="AM882" s="743"/>
    </row>
    <row r="883" spans="1:39" ht="17.25">
      <c r="A883" s="752"/>
      <c r="B883" s="752"/>
      <c r="C883" s="752"/>
      <c r="D883" s="752"/>
      <c r="E883" s="752"/>
      <c r="F883" s="752"/>
      <c r="G883" s="752"/>
      <c r="H883" s="752"/>
      <c r="I883" s="829"/>
      <c r="J883" s="752"/>
      <c r="K883" s="752"/>
      <c r="L883" s="743"/>
      <c r="M883" s="743"/>
      <c r="N883" s="743"/>
      <c r="O883" s="743"/>
      <c r="P883" s="743"/>
      <c r="Q883" s="743"/>
      <c r="R883" s="743"/>
      <c r="S883" s="743"/>
      <c r="T883" s="743"/>
      <c r="U883" s="743"/>
      <c r="V883" s="743"/>
      <c r="W883" s="743"/>
      <c r="X883" s="743"/>
      <c r="Y883" s="743"/>
      <c r="Z883" s="743"/>
      <c r="AA883" s="743"/>
      <c r="AB883" s="743"/>
      <c r="AC883" s="743"/>
      <c r="AD883" s="743"/>
      <c r="AE883" s="743"/>
      <c r="AF883" s="743"/>
      <c r="AG883" s="743"/>
      <c r="AH883" s="743"/>
      <c r="AI883" s="743"/>
      <c r="AJ883" s="743"/>
      <c r="AK883" s="743"/>
      <c r="AL883" s="743"/>
      <c r="AM883" s="743"/>
    </row>
    <row r="884" spans="1:39" ht="17.25">
      <c r="A884" s="752"/>
      <c r="B884" s="752"/>
      <c r="C884" s="752"/>
      <c r="D884" s="752"/>
      <c r="E884" s="752"/>
      <c r="F884" s="752"/>
      <c r="G884" s="752"/>
      <c r="H884" s="752"/>
      <c r="I884" s="829"/>
      <c r="J884" s="752"/>
      <c r="K884" s="752"/>
      <c r="L884" s="743"/>
      <c r="M884" s="743"/>
      <c r="N884" s="743"/>
      <c r="O884" s="743"/>
      <c r="P884" s="743"/>
      <c r="Q884" s="743"/>
      <c r="R884" s="743"/>
      <c r="S884" s="743"/>
      <c r="T884" s="743"/>
      <c r="U884" s="743"/>
      <c r="V884" s="743"/>
      <c r="W884" s="743"/>
      <c r="X884" s="743"/>
      <c r="Y884" s="743"/>
      <c r="Z884" s="743"/>
      <c r="AA884" s="743"/>
      <c r="AB884" s="743"/>
      <c r="AC884" s="743"/>
      <c r="AD884" s="743"/>
      <c r="AE884" s="743"/>
      <c r="AF884" s="743"/>
      <c r="AG884" s="743"/>
      <c r="AH884" s="743"/>
      <c r="AI884" s="743"/>
      <c r="AJ884" s="743"/>
      <c r="AK884" s="743"/>
      <c r="AL884" s="743"/>
      <c r="AM884" s="743"/>
    </row>
    <row r="885" spans="1:39" ht="17.25">
      <c r="A885" s="752"/>
      <c r="B885" s="752"/>
      <c r="C885" s="752"/>
      <c r="D885" s="752"/>
      <c r="E885" s="752"/>
      <c r="F885" s="752"/>
      <c r="G885" s="752"/>
      <c r="H885" s="752"/>
      <c r="I885" s="829"/>
      <c r="J885" s="752"/>
      <c r="K885" s="752"/>
      <c r="L885" s="743"/>
      <c r="M885" s="743"/>
      <c r="N885" s="743"/>
      <c r="O885" s="743"/>
      <c r="P885" s="743"/>
      <c r="Q885" s="743"/>
      <c r="R885" s="743"/>
      <c r="S885" s="743"/>
      <c r="T885" s="743"/>
      <c r="U885" s="743"/>
      <c r="V885" s="743"/>
      <c r="W885" s="743"/>
      <c r="X885" s="743"/>
      <c r="Y885" s="743"/>
      <c r="Z885" s="743"/>
      <c r="AA885" s="743"/>
      <c r="AB885" s="743"/>
      <c r="AC885" s="743"/>
      <c r="AD885" s="743"/>
      <c r="AE885" s="743"/>
      <c r="AF885" s="743"/>
      <c r="AG885" s="743"/>
      <c r="AH885" s="743"/>
      <c r="AI885" s="743"/>
      <c r="AJ885" s="743"/>
      <c r="AK885" s="743"/>
      <c r="AL885" s="743"/>
      <c r="AM885" s="743"/>
    </row>
    <row r="886" spans="1:39" ht="17.25">
      <c r="A886" s="752"/>
      <c r="B886" s="752"/>
      <c r="C886" s="752"/>
      <c r="D886" s="752"/>
      <c r="E886" s="752"/>
      <c r="F886" s="752"/>
      <c r="G886" s="752"/>
      <c r="H886" s="752"/>
      <c r="I886" s="829"/>
      <c r="J886" s="752"/>
      <c r="K886" s="752"/>
      <c r="L886" s="743"/>
      <c r="M886" s="743"/>
      <c r="N886" s="743"/>
      <c r="O886" s="743"/>
      <c r="P886" s="743"/>
      <c r="Q886" s="743"/>
      <c r="R886" s="743"/>
      <c r="S886" s="743"/>
      <c r="T886" s="743"/>
      <c r="U886" s="743"/>
      <c r="V886" s="743"/>
      <c r="W886" s="743"/>
      <c r="X886" s="743"/>
      <c r="Y886" s="743"/>
      <c r="Z886" s="743"/>
      <c r="AA886" s="743"/>
      <c r="AB886" s="743"/>
      <c r="AC886" s="743"/>
      <c r="AD886" s="743"/>
      <c r="AE886" s="743"/>
      <c r="AF886" s="743"/>
      <c r="AG886" s="743"/>
      <c r="AH886" s="743"/>
      <c r="AI886" s="743"/>
      <c r="AJ886" s="743"/>
      <c r="AK886" s="743"/>
      <c r="AL886" s="743"/>
      <c r="AM886" s="743"/>
    </row>
    <row r="887" spans="1:39" ht="17.25">
      <c r="A887" s="752"/>
      <c r="B887" s="752"/>
      <c r="C887" s="752"/>
      <c r="D887" s="752"/>
      <c r="E887" s="752"/>
      <c r="F887" s="752"/>
      <c r="G887" s="752"/>
      <c r="H887" s="752"/>
      <c r="I887" s="829"/>
      <c r="J887" s="752"/>
      <c r="K887" s="752"/>
      <c r="L887" s="743"/>
      <c r="M887" s="743"/>
      <c r="N887" s="743"/>
      <c r="O887" s="743"/>
      <c r="P887" s="743"/>
      <c r="Q887" s="743"/>
      <c r="R887" s="743"/>
      <c r="S887" s="743"/>
      <c r="T887" s="743"/>
      <c r="U887" s="743"/>
      <c r="V887" s="743"/>
      <c r="W887" s="743"/>
      <c r="X887" s="743"/>
      <c r="Y887" s="743"/>
      <c r="Z887" s="743"/>
      <c r="AA887" s="743"/>
      <c r="AB887" s="743"/>
      <c r="AC887" s="743"/>
      <c r="AD887" s="743"/>
      <c r="AE887" s="743"/>
      <c r="AF887" s="743"/>
      <c r="AG887" s="743"/>
      <c r="AH887" s="743"/>
      <c r="AI887" s="743"/>
      <c r="AJ887" s="743"/>
      <c r="AK887" s="743"/>
      <c r="AL887" s="743"/>
      <c r="AM887" s="743"/>
    </row>
    <row r="888" spans="1:39" ht="17.25">
      <c r="A888" s="752"/>
      <c r="B888" s="752"/>
      <c r="C888" s="752"/>
      <c r="D888" s="752"/>
      <c r="E888" s="752"/>
      <c r="F888" s="752"/>
      <c r="G888" s="752"/>
      <c r="H888" s="752"/>
      <c r="I888" s="829"/>
      <c r="J888" s="752"/>
      <c r="K888" s="752"/>
      <c r="L888" s="743"/>
      <c r="M888" s="743"/>
      <c r="N888" s="743"/>
      <c r="O888" s="743"/>
      <c r="P888" s="743"/>
      <c r="Q888" s="743"/>
      <c r="R888" s="743"/>
      <c r="S888" s="743"/>
      <c r="T888" s="743"/>
      <c r="U888" s="743"/>
      <c r="V888" s="743"/>
      <c r="W888" s="743"/>
      <c r="X888" s="743"/>
      <c r="Y888" s="743"/>
      <c r="Z888" s="743"/>
      <c r="AA888" s="743"/>
      <c r="AB888" s="743"/>
      <c r="AC888" s="743"/>
      <c r="AD888" s="743"/>
      <c r="AE888" s="743"/>
      <c r="AF888" s="743"/>
      <c r="AG888" s="743"/>
      <c r="AH888" s="743"/>
      <c r="AI888" s="743"/>
      <c r="AJ888" s="743"/>
      <c r="AK888" s="743"/>
      <c r="AL888" s="743"/>
      <c r="AM888" s="743"/>
    </row>
    <row r="889" spans="1:39" ht="17.25">
      <c r="A889" s="752"/>
      <c r="B889" s="752"/>
      <c r="C889" s="752"/>
      <c r="D889" s="752"/>
      <c r="E889" s="752"/>
      <c r="F889" s="752"/>
      <c r="G889" s="752"/>
      <c r="H889" s="752"/>
      <c r="I889" s="829"/>
      <c r="J889" s="752"/>
      <c r="K889" s="752"/>
      <c r="L889" s="743"/>
      <c r="M889" s="743"/>
      <c r="N889" s="743"/>
      <c r="O889" s="743"/>
      <c r="P889" s="743"/>
      <c r="Q889" s="743"/>
      <c r="R889" s="743"/>
      <c r="S889" s="743"/>
      <c r="T889" s="743"/>
      <c r="U889" s="743"/>
      <c r="V889" s="743"/>
      <c r="W889" s="743"/>
      <c r="X889" s="743"/>
      <c r="Y889" s="743"/>
      <c r="Z889" s="743"/>
      <c r="AA889" s="743"/>
      <c r="AB889" s="743"/>
      <c r="AC889" s="743"/>
      <c r="AD889" s="743"/>
      <c r="AE889" s="743"/>
      <c r="AF889" s="743"/>
      <c r="AG889" s="743"/>
      <c r="AH889" s="743"/>
      <c r="AI889" s="743"/>
      <c r="AJ889" s="743"/>
      <c r="AK889" s="743"/>
      <c r="AL889" s="743"/>
      <c r="AM889" s="743"/>
    </row>
    <row r="890" spans="1:39" ht="17.25">
      <c r="A890" s="752"/>
      <c r="B890" s="752"/>
      <c r="C890" s="752"/>
      <c r="D890" s="752"/>
      <c r="E890" s="752"/>
      <c r="F890" s="752"/>
      <c r="G890" s="752"/>
      <c r="H890" s="752"/>
      <c r="I890" s="829"/>
      <c r="J890" s="752"/>
      <c r="K890" s="752"/>
      <c r="L890" s="743"/>
      <c r="M890" s="743"/>
      <c r="N890" s="743"/>
      <c r="O890" s="743"/>
      <c r="P890" s="743"/>
      <c r="Q890" s="743"/>
      <c r="R890" s="743"/>
      <c r="S890" s="743"/>
      <c r="T890" s="743"/>
      <c r="U890" s="743"/>
      <c r="V890" s="743"/>
      <c r="W890" s="743"/>
      <c r="X890" s="743"/>
      <c r="Y890" s="743"/>
      <c r="Z890" s="743"/>
      <c r="AA890" s="743"/>
      <c r="AB890" s="743"/>
      <c r="AC890" s="743"/>
      <c r="AD890" s="743"/>
      <c r="AE890" s="743"/>
      <c r="AF890" s="743"/>
      <c r="AG890" s="743"/>
      <c r="AH890" s="743"/>
      <c r="AI890" s="743"/>
      <c r="AJ890" s="743"/>
      <c r="AK890" s="743"/>
      <c r="AL890" s="743"/>
      <c r="AM890" s="743"/>
    </row>
    <row r="891" spans="1:39" ht="17.25">
      <c r="A891" s="752"/>
      <c r="B891" s="752"/>
      <c r="C891" s="752"/>
      <c r="D891" s="752"/>
      <c r="E891" s="752"/>
      <c r="F891" s="752"/>
      <c r="G891" s="752"/>
      <c r="H891" s="752"/>
      <c r="I891" s="829"/>
      <c r="J891" s="752"/>
      <c r="K891" s="752"/>
      <c r="L891" s="743"/>
      <c r="M891" s="743"/>
      <c r="N891" s="743"/>
      <c r="O891" s="743"/>
      <c r="P891" s="743"/>
      <c r="Q891" s="743"/>
      <c r="R891" s="743"/>
      <c r="S891" s="743"/>
      <c r="T891" s="743"/>
      <c r="U891" s="743"/>
      <c r="V891" s="743"/>
      <c r="W891" s="743"/>
      <c r="X891" s="743"/>
      <c r="Y891" s="743"/>
      <c r="Z891" s="743"/>
      <c r="AA891" s="743"/>
      <c r="AB891" s="743"/>
      <c r="AC891" s="743"/>
      <c r="AD891" s="743"/>
      <c r="AE891" s="743"/>
      <c r="AF891" s="743"/>
      <c r="AG891" s="743"/>
      <c r="AH891" s="743"/>
      <c r="AI891" s="743"/>
      <c r="AJ891" s="743"/>
      <c r="AK891" s="743"/>
      <c r="AL891" s="743"/>
      <c r="AM891" s="743"/>
    </row>
    <row r="892" spans="1:39" ht="17.25">
      <c r="A892" s="752"/>
      <c r="B892" s="752"/>
      <c r="C892" s="752"/>
      <c r="D892" s="752"/>
      <c r="E892" s="752"/>
      <c r="F892" s="752"/>
      <c r="G892" s="752"/>
      <c r="H892" s="752"/>
      <c r="I892" s="829"/>
      <c r="J892" s="752"/>
      <c r="K892" s="752"/>
      <c r="L892" s="743"/>
      <c r="M892" s="743"/>
      <c r="N892" s="743"/>
      <c r="O892" s="743"/>
      <c r="P892" s="743"/>
      <c r="Q892" s="743"/>
      <c r="R892" s="743"/>
      <c r="S892" s="743"/>
      <c r="T892" s="743"/>
      <c r="U892" s="743"/>
      <c r="V892" s="743"/>
      <c r="W892" s="743"/>
      <c r="X892" s="743"/>
      <c r="Y892" s="743"/>
      <c r="Z892" s="743"/>
      <c r="AA892" s="743"/>
      <c r="AB892" s="743"/>
      <c r="AC892" s="743"/>
      <c r="AD892" s="743"/>
      <c r="AE892" s="743"/>
      <c r="AF892" s="743"/>
      <c r="AG892" s="743"/>
      <c r="AH892" s="743"/>
      <c r="AI892" s="743"/>
      <c r="AJ892" s="743"/>
      <c r="AK892" s="743"/>
      <c r="AL892" s="743"/>
      <c r="AM892" s="743"/>
    </row>
    <row r="893" spans="1:39" ht="17.25">
      <c r="A893" s="752"/>
      <c r="B893" s="752"/>
      <c r="C893" s="752"/>
      <c r="D893" s="752"/>
      <c r="E893" s="752"/>
      <c r="F893" s="752"/>
      <c r="G893" s="752"/>
      <c r="H893" s="752"/>
      <c r="I893" s="829"/>
      <c r="J893" s="752"/>
      <c r="K893" s="752"/>
      <c r="L893" s="743"/>
      <c r="M893" s="743"/>
      <c r="N893" s="743"/>
      <c r="O893" s="743"/>
      <c r="P893" s="743"/>
      <c r="Q893" s="743"/>
      <c r="R893" s="743"/>
      <c r="S893" s="743"/>
      <c r="T893" s="743"/>
      <c r="U893" s="743"/>
      <c r="V893" s="743"/>
      <c r="W893" s="743"/>
      <c r="X893" s="743"/>
      <c r="Y893" s="743"/>
      <c r="Z893" s="743"/>
      <c r="AA893" s="743"/>
      <c r="AB893" s="743"/>
      <c r="AC893" s="743"/>
      <c r="AD893" s="743"/>
      <c r="AE893" s="743"/>
      <c r="AF893" s="743"/>
      <c r="AG893" s="743"/>
      <c r="AH893" s="743"/>
      <c r="AI893" s="743"/>
      <c r="AJ893" s="743"/>
      <c r="AK893" s="743"/>
      <c r="AL893" s="743"/>
      <c r="AM893" s="743"/>
    </row>
    <row r="894" spans="1:39" ht="17.25">
      <c r="A894" s="752"/>
      <c r="B894" s="752"/>
      <c r="C894" s="752"/>
      <c r="D894" s="752"/>
      <c r="E894" s="752"/>
      <c r="F894" s="752"/>
      <c r="G894" s="752"/>
      <c r="H894" s="752"/>
      <c r="I894" s="829"/>
      <c r="J894" s="752"/>
      <c r="K894" s="752"/>
      <c r="L894" s="743"/>
      <c r="M894" s="743"/>
      <c r="N894" s="743"/>
      <c r="O894" s="743"/>
      <c r="P894" s="743"/>
      <c r="Q894" s="743"/>
      <c r="R894" s="743"/>
      <c r="S894" s="743"/>
      <c r="T894" s="743"/>
      <c r="U894" s="743"/>
      <c r="V894" s="743"/>
      <c r="W894" s="743"/>
      <c r="X894" s="743"/>
      <c r="Y894" s="743"/>
      <c r="Z894" s="743"/>
      <c r="AA894" s="743"/>
      <c r="AB894" s="743"/>
      <c r="AC894" s="743"/>
      <c r="AD894" s="743"/>
      <c r="AE894" s="743"/>
      <c r="AF894" s="743"/>
      <c r="AG894" s="743"/>
      <c r="AH894" s="743"/>
      <c r="AI894" s="743"/>
      <c r="AJ894" s="743"/>
      <c r="AK894" s="743"/>
      <c r="AL894" s="743"/>
      <c r="AM894" s="743"/>
    </row>
    <row r="895" spans="1:39" ht="17.25">
      <c r="A895" s="752"/>
      <c r="B895" s="752"/>
      <c r="C895" s="752"/>
      <c r="D895" s="752"/>
      <c r="E895" s="752"/>
      <c r="F895" s="752"/>
      <c r="G895" s="752"/>
      <c r="H895" s="752"/>
      <c r="I895" s="829"/>
      <c r="J895" s="752"/>
      <c r="K895" s="752"/>
      <c r="L895" s="743"/>
      <c r="M895" s="743"/>
      <c r="N895" s="743"/>
      <c r="O895" s="743"/>
      <c r="P895" s="743"/>
      <c r="Q895" s="743"/>
      <c r="R895" s="743"/>
      <c r="S895" s="743"/>
      <c r="T895" s="743"/>
      <c r="U895" s="743"/>
      <c r="V895" s="743"/>
      <c r="W895" s="743"/>
      <c r="X895" s="743"/>
      <c r="Y895" s="743"/>
      <c r="Z895" s="743"/>
      <c r="AA895" s="743"/>
      <c r="AB895" s="743"/>
      <c r="AC895" s="743"/>
      <c r="AD895" s="743"/>
      <c r="AE895" s="743"/>
      <c r="AF895" s="743"/>
      <c r="AG895" s="743"/>
      <c r="AH895" s="743"/>
      <c r="AI895" s="743"/>
      <c r="AJ895" s="743"/>
      <c r="AK895" s="743"/>
      <c r="AL895" s="743"/>
      <c r="AM895" s="743"/>
    </row>
    <row r="896" spans="1:39" ht="17.25">
      <c r="A896" s="752"/>
      <c r="B896" s="752"/>
      <c r="C896" s="752"/>
      <c r="D896" s="752"/>
      <c r="E896" s="752"/>
      <c r="F896" s="752"/>
      <c r="G896" s="752"/>
      <c r="H896" s="752"/>
      <c r="I896" s="829"/>
      <c r="J896" s="752"/>
      <c r="K896" s="752"/>
      <c r="L896" s="743"/>
      <c r="M896" s="743"/>
      <c r="N896" s="743"/>
      <c r="O896" s="743"/>
      <c r="P896" s="743"/>
      <c r="Q896" s="743"/>
      <c r="R896" s="743"/>
      <c r="S896" s="743"/>
      <c r="T896" s="743"/>
      <c r="U896" s="743"/>
      <c r="V896" s="743"/>
      <c r="W896" s="743"/>
      <c r="X896" s="743"/>
      <c r="Y896" s="743"/>
      <c r="Z896" s="743"/>
      <c r="AA896" s="743"/>
      <c r="AB896" s="743"/>
      <c r="AC896" s="743"/>
      <c r="AD896" s="743"/>
      <c r="AE896" s="743"/>
      <c r="AF896" s="743"/>
      <c r="AG896" s="743"/>
      <c r="AH896" s="743"/>
      <c r="AI896" s="743"/>
      <c r="AJ896" s="743"/>
      <c r="AK896" s="743"/>
      <c r="AL896" s="743"/>
      <c r="AM896" s="743"/>
    </row>
    <row r="897" spans="1:39" ht="17.25">
      <c r="A897" s="752"/>
      <c r="B897" s="752"/>
      <c r="C897" s="752"/>
      <c r="D897" s="752"/>
      <c r="E897" s="752"/>
      <c r="F897" s="752"/>
      <c r="G897" s="752"/>
      <c r="H897" s="752"/>
      <c r="I897" s="829"/>
      <c r="J897" s="752"/>
      <c r="K897" s="752"/>
      <c r="L897" s="743"/>
      <c r="M897" s="743"/>
      <c r="N897" s="743"/>
      <c r="O897" s="743"/>
      <c r="P897" s="743"/>
      <c r="Q897" s="743"/>
      <c r="R897" s="743"/>
      <c r="S897" s="743"/>
      <c r="T897" s="743"/>
      <c r="U897" s="743"/>
      <c r="V897" s="743"/>
      <c r="W897" s="743"/>
      <c r="X897" s="743"/>
      <c r="Y897" s="743"/>
      <c r="Z897" s="743"/>
      <c r="AA897" s="743"/>
      <c r="AB897" s="743"/>
      <c r="AC897" s="743"/>
      <c r="AD897" s="743"/>
      <c r="AE897" s="743"/>
      <c r="AF897" s="743"/>
      <c r="AG897" s="743"/>
      <c r="AH897" s="743"/>
      <c r="AI897" s="743"/>
      <c r="AJ897" s="743"/>
      <c r="AK897" s="743"/>
      <c r="AL897" s="743"/>
      <c r="AM897" s="743"/>
    </row>
    <row r="898" spans="1:39" ht="17.25">
      <c r="A898" s="752"/>
      <c r="B898" s="752"/>
      <c r="C898" s="752"/>
      <c r="D898" s="752"/>
      <c r="E898" s="752"/>
      <c r="F898" s="752"/>
      <c r="G898" s="752"/>
      <c r="H898" s="752"/>
      <c r="I898" s="829"/>
      <c r="J898" s="752"/>
      <c r="K898" s="752"/>
      <c r="L898" s="743"/>
      <c r="M898" s="743"/>
      <c r="N898" s="743"/>
      <c r="O898" s="743"/>
      <c r="P898" s="743"/>
      <c r="Q898" s="743"/>
      <c r="R898" s="743"/>
      <c r="S898" s="743"/>
      <c r="T898" s="743"/>
      <c r="U898" s="743"/>
      <c r="V898" s="743"/>
      <c r="W898" s="743"/>
      <c r="X898" s="743"/>
      <c r="Y898" s="743"/>
      <c r="Z898" s="743"/>
      <c r="AA898" s="743"/>
      <c r="AB898" s="743"/>
      <c r="AC898" s="743"/>
      <c r="AD898" s="743"/>
      <c r="AE898" s="743"/>
      <c r="AF898" s="743"/>
      <c r="AG898" s="743"/>
      <c r="AH898" s="743"/>
      <c r="AI898" s="743"/>
      <c r="AJ898" s="743"/>
      <c r="AK898" s="743"/>
      <c r="AL898" s="743"/>
      <c r="AM898" s="743"/>
    </row>
    <row r="899" spans="1:39" ht="17.25">
      <c r="A899" s="752"/>
      <c r="B899" s="752"/>
      <c r="C899" s="752"/>
      <c r="D899" s="752"/>
      <c r="E899" s="752"/>
      <c r="F899" s="752"/>
      <c r="G899" s="752"/>
      <c r="H899" s="752"/>
      <c r="I899" s="829"/>
      <c r="J899" s="752"/>
      <c r="K899" s="752"/>
      <c r="L899" s="743"/>
      <c r="M899" s="743"/>
      <c r="N899" s="743"/>
      <c r="O899" s="743"/>
      <c r="P899" s="743"/>
      <c r="Q899" s="743"/>
      <c r="R899" s="743"/>
      <c r="S899" s="743"/>
      <c r="T899" s="743"/>
      <c r="U899" s="743"/>
      <c r="V899" s="743"/>
      <c r="W899" s="743"/>
      <c r="X899" s="743"/>
      <c r="Y899" s="743"/>
      <c r="Z899" s="743"/>
      <c r="AA899" s="743"/>
      <c r="AB899" s="743"/>
      <c r="AC899" s="743"/>
      <c r="AD899" s="743"/>
      <c r="AE899" s="743"/>
      <c r="AF899" s="743"/>
      <c r="AG899" s="743"/>
      <c r="AH899" s="743"/>
      <c r="AI899" s="743"/>
      <c r="AJ899" s="743"/>
      <c r="AK899" s="743"/>
      <c r="AL899" s="743"/>
      <c r="AM899" s="743"/>
    </row>
    <row r="900" spans="1:39" ht="17.25">
      <c r="A900" s="752"/>
      <c r="B900" s="752"/>
      <c r="C900" s="752"/>
      <c r="D900" s="752"/>
      <c r="E900" s="752"/>
      <c r="F900" s="752"/>
      <c r="G900" s="752"/>
      <c r="H900" s="752"/>
      <c r="I900" s="829"/>
      <c r="J900" s="752"/>
      <c r="K900" s="752"/>
      <c r="L900" s="743"/>
      <c r="M900" s="743"/>
      <c r="N900" s="743"/>
      <c r="O900" s="743"/>
      <c r="P900" s="743"/>
      <c r="Q900" s="743"/>
      <c r="R900" s="743"/>
      <c r="S900" s="743"/>
      <c r="T900" s="743"/>
      <c r="U900" s="743"/>
      <c r="V900" s="743"/>
      <c r="W900" s="743"/>
      <c r="X900" s="743"/>
      <c r="Y900" s="743"/>
      <c r="Z900" s="743"/>
      <c r="AA900" s="743"/>
      <c r="AB900" s="743"/>
      <c r="AC900" s="743"/>
      <c r="AD900" s="743"/>
      <c r="AE900" s="743"/>
      <c r="AF900" s="743"/>
      <c r="AG900" s="743"/>
      <c r="AH900" s="743"/>
      <c r="AI900" s="743"/>
      <c r="AJ900" s="743"/>
      <c r="AK900" s="743"/>
      <c r="AL900" s="743"/>
      <c r="AM900" s="743"/>
    </row>
    <row r="901" spans="1:39" ht="17.25">
      <c r="A901" s="752"/>
      <c r="B901" s="752"/>
      <c r="C901" s="752"/>
      <c r="D901" s="752"/>
      <c r="E901" s="752"/>
      <c r="F901" s="752"/>
      <c r="G901" s="752"/>
      <c r="H901" s="752"/>
      <c r="I901" s="829"/>
      <c r="J901" s="752"/>
      <c r="K901" s="752"/>
      <c r="L901" s="743"/>
      <c r="M901" s="743"/>
      <c r="N901" s="743"/>
      <c r="O901" s="743"/>
      <c r="P901" s="743"/>
      <c r="Q901" s="743"/>
      <c r="R901" s="743"/>
      <c r="S901" s="743"/>
      <c r="T901" s="743"/>
      <c r="U901" s="743"/>
      <c r="V901" s="743"/>
      <c r="W901" s="743"/>
      <c r="X901" s="743"/>
      <c r="Y901" s="743"/>
      <c r="Z901" s="743"/>
      <c r="AA901" s="743"/>
      <c r="AB901" s="743"/>
      <c r="AC901" s="743"/>
      <c r="AD901" s="743"/>
      <c r="AE901" s="743"/>
      <c r="AF901" s="743"/>
      <c r="AG901" s="743"/>
      <c r="AH901" s="743"/>
      <c r="AI901" s="743"/>
      <c r="AJ901" s="743"/>
      <c r="AK901" s="743"/>
      <c r="AL901" s="743"/>
      <c r="AM901" s="743"/>
    </row>
    <row r="902" spans="1:39" ht="17.25">
      <c r="A902" s="752"/>
      <c r="B902" s="752"/>
      <c r="C902" s="752"/>
      <c r="D902" s="752"/>
      <c r="E902" s="752"/>
      <c r="F902" s="752"/>
      <c r="G902" s="752"/>
      <c r="H902" s="752"/>
      <c r="I902" s="829"/>
      <c r="J902" s="752"/>
      <c r="K902" s="752"/>
      <c r="L902" s="743"/>
      <c r="M902" s="743"/>
      <c r="N902" s="743"/>
      <c r="O902" s="743"/>
      <c r="P902" s="743"/>
      <c r="Q902" s="743"/>
      <c r="R902" s="743"/>
      <c r="S902" s="743"/>
      <c r="T902" s="743"/>
      <c r="U902" s="743"/>
      <c r="V902" s="743"/>
      <c r="W902" s="743"/>
      <c r="X902" s="743"/>
      <c r="Y902" s="743"/>
      <c r="Z902" s="743"/>
      <c r="AA902" s="743"/>
      <c r="AB902" s="743"/>
      <c r="AC902" s="743"/>
      <c r="AD902" s="743"/>
      <c r="AE902" s="743"/>
      <c r="AF902" s="743"/>
      <c r="AG902" s="743"/>
      <c r="AH902" s="743"/>
      <c r="AI902" s="743"/>
      <c r="AJ902" s="743"/>
      <c r="AK902" s="743"/>
      <c r="AL902" s="743"/>
      <c r="AM902" s="743"/>
    </row>
    <row r="903" spans="1:39" ht="17.25">
      <c r="A903" s="752"/>
      <c r="B903" s="752"/>
      <c r="C903" s="752"/>
      <c r="D903" s="752"/>
      <c r="E903" s="752"/>
      <c r="F903" s="752"/>
      <c r="G903" s="752"/>
      <c r="H903" s="752"/>
      <c r="I903" s="829"/>
      <c r="J903" s="752"/>
      <c r="K903" s="752"/>
      <c r="L903" s="743"/>
      <c r="M903" s="743"/>
      <c r="N903" s="743"/>
      <c r="O903" s="743"/>
      <c r="P903" s="743"/>
      <c r="Q903" s="743"/>
      <c r="R903" s="743"/>
      <c r="S903" s="743"/>
      <c r="T903" s="743"/>
      <c r="U903" s="743"/>
      <c r="V903" s="743"/>
      <c r="W903" s="743"/>
      <c r="X903" s="743"/>
      <c r="Y903" s="743"/>
      <c r="Z903" s="743"/>
      <c r="AA903" s="743"/>
      <c r="AB903" s="743"/>
      <c r="AC903" s="743"/>
      <c r="AD903" s="743"/>
      <c r="AE903" s="743"/>
      <c r="AF903" s="743"/>
      <c r="AG903" s="743"/>
      <c r="AH903" s="743"/>
      <c r="AI903" s="743"/>
      <c r="AJ903" s="743"/>
      <c r="AK903" s="743"/>
      <c r="AL903" s="743"/>
      <c r="AM903" s="743"/>
    </row>
    <row r="904" spans="1:39" ht="17.25">
      <c r="A904" s="752"/>
      <c r="B904" s="752"/>
      <c r="C904" s="752"/>
      <c r="D904" s="752"/>
      <c r="E904" s="752"/>
      <c r="F904" s="752"/>
      <c r="G904" s="752"/>
      <c r="H904" s="752"/>
      <c r="I904" s="829"/>
      <c r="J904" s="752"/>
      <c r="K904" s="752"/>
      <c r="L904" s="743"/>
      <c r="M904" s="743"/>
      <c r="N904" s="743"/>
      <c r="O904" s="743"/>
      <c r="P904" s="743"/>
      <c r="Q904" s="743"/>
      <c r="R904" s="743"/>
      <c r="S904" s="743"/>
      <c r="T904" s="743"/>
      <c r="U904" s="743"/>
      <c r="V904" s="743"/>
      <c r="W904" s="743"/>
      <c r="X904" s="743"/>
      <c r="Y904" s="743"/>
      <c r="Z904" s="743"/>
      <c r="AA904" s="743"/>
      <c r="AB904" s="743"/>
      <c r="AC904" s="743"/>
      <c r="AD904" s="743"/>
      <c r="AE904" s="743"/>
      <c r="AF904" s="743"/>
      <c r="AG904" s="743"/>
      <c r="AH904" s="743"/>
      <c r="AI904" s="743"/>
      <c r="AJ904" s="743"/>
      <c r="AK904" s="743"/>
      <c r="AL904" s="743"/>
      <c r="AM904" s="743"/>
    </row>
    <row r="905" spans="1:39" ht="17.25">
      <c r="A905" s="752"/>
      <c r="B905" s="752"/>
      <c r="C905" s="752"/>
      <c r="D905" s="752"/>
      <c r="E905" s="752"/>
      <c r="F905" s="752"/>
      <c r="G905" s="752"/>
      <c r="H905" s="752"/>
      <c r="I905" s="829"/>
      <c r="J905" s="752"/>
      <c r="K905" s="752"/>
      <c r="L905" s="743"/>
      <c r="M905" s="743"/>
      <c r="N905" s="743"/>
      <c r="O905" s="743"/>
      <c r="P905" s="743"/>
      <c r="Q905" s="743"/>
      <c r="R905" s="743"/>
      <c r="S905" s="743"/>
      <c r="T905" s="743"/>
      <c r="U905" s="743"/>
      <c r="V905" s="743"/>
      <c r="W905" s="743"/>
      <c r="X905" s="743"/>
      <c r="Y905" s="743"/>
      <c r="Z905" s="743"/>
      <c r="AA905" s="743"/>
      <c r="AB905" s="743"/>
      <c r="AC905" s="743"/>
      <c r="AD905" s="743"/>
      <c r="AE905" s="743"/>
      <c r="AF905" s="743"/>
      <c r="AG905" s="743"/>
      <c r="AH905" s="743"/>
      <c r="AI905" s="743"/>
      <c r="AJ905" s="743"/>
      <c r="AK905" s="743"/>
      <c r="AL905" s="743"/>
      <c r="AM905" s="743"/>
    </row>
    <row r="906" spans="1:39" ht="17.25">
      <c r="A906" s="752"/>
      <c r="B906" s="752"/>
      <c r="C906" s="752"/>
      <c r="D906" s="752"/>
      <c r="E906" s="752"/>
      <c r="F906" s="752"/>
      <c r="G906" s="752"/>
      <c r="H906" s="752"/>
      <c r="I906" s="829"/>
      <c r="J906" s="752"/>
      <c r="K906" s="752"/>
      <c r="L906" s="743"/>
      <c r="M906" s="743"/>
      <c r="N906" s="743"/>
      <c r="O906" s="743"/>
      <c r="P906" s="743"/>
      <c r="Q906" s="743"/>
      <c r="R906" s="743"/>
      <c r="S906" s="743"/>
      <c r="T906" s="743"/>
      <c r="U906" s="743"/>
      <c r="V906" s="743"/>
      <c r="W906" s="743"/>
      <c r="X906" s="743"/>
      <c r="Y906" s="743"/>
      <c r="Z906" s="743"/>
      <c r="AA906" s="743"/>
      <c r="AB906" s="743"/>
      <c r="AC906" s="743"/>
      <c r="AD906" s="743"/>
      <c r="AE906" s="743"/>
      <c r="AF906" s="743"/>
      <c r="AG906" s="743"/>
      <c r="AH906" s="743"/>
      <c r="AI906" s="743"/>
      <c r="AJ906" s="743"/>
      <c r="AK906" s="743"/>
      <c r="AL906" s="743"/>
      <c r="AM906" s="743"/>
    </row>
    <row r="907" spans="1:39" ht="17.25">
      <c r="A907" s="752"/>
      <c r="B907" s="752"/>
      <c r="C907" s="752"/>
      <c r="D907" s="752"/>
      <c r="E907" s="752"/>
      <c r="F907" s="752"/>
      <c r="G907" s="752"/>
      <c r="H907" s="752"/>
      <c r="I907" s="829"/>
      <c r="J907" s="752"/>
      <c r="K907" s="752"/>
      <c r="L907" s="743"/>
      <c r="M907" s="743"/>
      <c r="N907" s="743"/>
      <c r="O907" s="743"/>
      <c r="P907" s="743"/>
      <c r="Q907" s="743"/>
      <c r="R907" s="743"/>
      <c r="S907" s="743"/>
      <c r="T907" s="743"/>
      <c r="U907" s="743"/>
      <c r="V907" s="743"/>
      <c r="W907" s="743"/>
      <c r="X907" s="743"/>
      <c r="Y907" s="743"/>
      <c r="Z907" s="743"/>
      <c r="AA907" s="743"/>
      <c r="AB907" s="743"/>
      <c r="AC907" s="743"/>
      <c r="AD907" s="743"/>
      <c r="AE907" s="743"/>
      <c r="AF907" s="743"/>
      <c r="AG907" s="743"/>
      <c r="AH907" s="743"/>
      <c r="AI907" s="743"/>
      <c r="AJ907" s="743"/>
      <c r="AK907" s="743"/>
      <c r="AL907" s="743"/>
      <c r="AM907" s="743"/>
    </row>
    <row r="908" spans="1:39" ht="17.25">
      <c r="A908" s="752"/>
      <c r="B908" s="752"/>
      <c r="C908" s="752"/>
      <c r="D908" s="752"/>
      <c r="E908" s="752"/>
      <c r="F908" s="752"/>
      <c r="G908" s="752"/>
      <c r="H908" s="752"/>
      <c r="I908" s="829"/>
      <c r="J908" s="752"/>
      <c r="K908" s="752"/>
      <c r="L908" s="743"/>
      <c r="M908" s="743"/>
      <c r="N908" s="743"/>
      <c r="O908" s="743"/>
      <c r="P908" s="743"/>
      <c r="Q908" s="743"/>
      <c r="R908" s="743"/>
      <c r="S908" s="743"/>
      <c r="T908" s="743"/>
      <c r="U908" s="743"/>
      <c r="V908" s="743"/>
      <c r="W908" s="743"/>
      <c r="X908" s="743"/>
      <c r="Y908" s="743"/>
      <c r="Z908" s="743"/>
      <c r="AA908" s="743"/>
      <c r="AB908" s="743"/>
      <c r="AC908" s="743"/>
      <c r="AD908" s="743"/>
      <c r="AE908" s="743"/>
      <c r="AF908" s="743"/>
      <c r="AG908" s="743"/>
      <c r="AH908" s="743"/>
      <c r="AI908" s="743"/>
      <c r="AJ908" s="743"/>
      <c r="AK908" s="743"/>
      <c r="AL908" s="743"/>
      <c r="AM908" s="743"/>
    </row>
    <row r="909" spans="1:39" ht="17.25">
      <c r="A909" s="752"/>
      <c r="B909" s="752"/>
      <c r="C909" s="752"/>
      <c r="D909" s="752"/>
      <c r="E909" s="752"/>
      <c r="F909" s="752"/>
      <c r="G909" s="752"/>
      <c r="H909" s="752"/>
      <c r="I909" s="829"/>
      <c r="J909" s="752"/>
      <c r="K909" s="752"/>
      <c r="L909" s="743"/>
      <c r="M909" s="743"/>
      <c r="N909" s="743"/>
      <c r="O909" s="743"/>
      <c r="P909" s="743"/>
      <c r="Q909" s="743"/>
      <c r="R909" s="743"/>
      <c r="S909" s="743"/>
      <c r="T909" s="743"/>
      <c r="U909" s="743"/>
      <c r="V909" s="743"/>
      <c r="W909" s="743"/>
      <c r="X909" s="743"/>
      <c r="Y909" s="743"/>
      <c r="Z909" s="743"/>
      <c r="AA909" s="743"/>
      <c r="AB909" s="743"/>
      <c r="AC909" s="743"/>
      <c r="AD909" s="743"/>
      <c r="AE909" s="743"/>
      <c r="AF909" s="743"/>
      <c r="AG909" s="743"/>
      <c r="AH909" s="743"/>
      <c r="AI909" s="743"/>
      <c r="AJ909" s="743"/>
      <c r="AK909" s="743"/>
      <c r="AL909" s="743"/>
      <c r="AM909" s="743"/>
    </row>
    <row r="910" spans="1:39" ht="17.25">
      <c r="A910" s="752"/>
      <c r="B910" s="752"/>
      <c r="C910" s="752"/>
      <c r="D910" s="752"/>
      <c r="E910" s="752"/>
      <c r="F910" s="752"/>
      <c r="G910" s="752"/>
      <c r="H910" s="752"/>
      <c r="I910" s="829"/>
      <c r="J910" s="752"/>
      <c r="K910" s="752"/>
      <c r="L910" s="743"/>
      <c r="M910" s="743"/>
      <c r="N910" s="743"/>
      <c r="O910" s="743"/>
      <c r="P910" s="743"/>
      <c r="Q910" s="743"/>
      <c r="R910" s="743"/>
      <c r="S910" s="743"/>
      <c r="T910" s="743"/>
      <c r="U910" s="743"/>
      <c r="V910" s="743"/>
      <c r="W910" s="743"/>
      <c r="X910" s="743"/>
      <c r="Y910" s="743"/>
      <c r="Z910" s="743"/>
      <c r="AA910" s="743"/>
      <c r="AB910" s="743"/>
      <c r="AC910" s="743"/>
      <c r="AD910" s="743"/>
      <c r="AE910" s="743"/>
      <c r="AF910" s="743"/>
      <c r="AG910" s="743"/>
      <c r="AH910" s="743"/>
      <c r="AI910" s="743"/>
      <c r="AJ910" s="743"/>
      <c r="AK910" s="743"/>
      <c r="AL910" s="743"/>
      <c r="AM910" s="743"/>
    </row>
    <row r="911" spans="1:39" ht="17.25">
      <c r="A911" s="752"/>
      <c r="B911" s="752"/>
      <c r="C911" s="752"/>
      <c r="D911" s="752"/>
      <c r="E911" s="752"/>
      <c r="F911" s="752"/>
      <c r="G911" s="752"/>
      <c r="H911" s="752"/>
      <c r="I911" s="829"/>
      <c r="J911" s="752"/>
      <c r="K911" s="752"/>
      <c r="L911" s="743"/>
      <c r="M911" s="743"/>
      <c r="N911" s="743"/>
      <c r="O911" s="743"/>
      <c r="P911" s="743"/>
      <c r="Q911" s="743"/>
      <c r="R911" s="743"/>
      <c r="S911" s="743"/>
      <c r="T911" s="743"/>
      <c r="U911" s="743"/>
      <c r="V911" s="743"/>
      <c r="W911" s="743"/>
      <c r="X911" s="743"/>
      <c r="Y911" s="743"/>
      <c r="Z911" s="743"/>
      <c r="AA911" s="743"/>
      <c r="AB911" s="743"/>
      <c r="AC911" s="743"/>
      <c r="AD911" s="743"/>
      <c r="AE911" s="743"/>
      <c r="AF911" s="743"/>
      <c r="AG911" s="743"/>
      <c r="AH911" s="743"/>
      <c r="AI911" s="743"/>
      <c r="AJ911" s="743"/>
      <c r="AK911" s="743"/>
      <c r="AL911" s="743"/>
      <c r="AM911" s="743"/>
    </row>
    <row r="912" spans="1:39" ht="17.25">
      <c r="A912" s="752"/>
      <c r="B912" s="752"/>
      <c r="C912" s="752"/>
      <c r="D912" s="752"/>
      <c r="E912" s="752"/>
      <c r="F912" s="752"/>
      <c r="G912" s="752"/>
      <c r="H912" s="752"/>
      <c r="I912" s="829"/>
      <c r="J912" s="752"/>
      <c r="K912" s="752"/>
      <c r="L912" s="743"/>
      <c r="M912" s="743"/>
      <c r="N912" s="743"/>
      <c r="O912" s="743"/>
      <c r="P912" s="743"/>
      <c r="Q912" s="743"/>
      <c r="R912" s="743"/>
      <c r="S912" s="743"/>
      <c r="T912" s="743"/>
      <c r="U912" s="743"/>
      <c r="V912" s="743"/>
      <c r="W912" s="743"/>
      <c r="X912" s="743"/>
      <c r="Y912" s="743"/>
      <c r="Z912" s="743"/>
      <c r="AA912" s="743"/>
      <c r="AB912" s="743"/>
      <c r="AC912" s="743"/>
      <c r="AD912" s="743"/>
      <c r="AE912" s="743"/>
      <c r="AF912" s="743"/>
      <c r="AG912" s="743"/>
      <c r="AH912" s="743"/>
      <c r="AI912" s="743"/>
      <c r="AJ912" s="743"/>
      <c r="AK912" s="743"/>
      <c r="AL912" s="743"/>
      <c r="AM912" s="743"/>
    </row>
    <row r="913" spans="1:39" ht="17.25">
      <c r="A913" s="752"/>
      <c r="B913" s="752"/>
      <c r="C913" s="752"/>
      <c r="D913" s="752"/>
      <c r="E913" s="752"/>
      <c r="F913" s="752"/>
      <c r="G913" s="752"/>
      <c r="H913" s="752"/>
      <c r="I913" s="829"/>
      <c r="J913" s="752"/>
      <c r="K913" s="752"/>
      <c r="L913" s="743"/>
      <c r="M913" s="743"/>
      <c r="N913" s="743"/>
      <c r="O913" s="743"/>
      <c r="P913" s="743"/>
      <c r="Q913" s="743"/>
      <c r="R913" s="743"/>
      <c r="S913" s="743"/>
      <c r="T913" s="743"/>
      <c r="U913" s="743"/>
      <c r="V913" s="743"/>
      <c r="W913" s="743"/>
      <c r="X913" s="743"/>
      <c r="Y913" s="743"/>
      <c r="Z913" s="743"/>
      <c r="AA913" s="743"/>
      <c r="AB913" s="743"/>
      <c r="AC913" s="743"/>
      <c r="AD913" s="743"/>
      <c r="AE913" s="743"/>
      <c r="AF913" s="743"/>
      <c r="AG913" s="743"/>
      <c r="AH913" s="743"/>
      <c r="AI913" s="743"/>
      <c r="AJ913" s="743"/>
      <c r="AK913" s="743"/>
      <c r="AL913" s="743"/>
      <c r="AM913" s="743"/>
    </row>
    <row r="914" spans="1:39" ht="17.25">
      <c r="A914" s="752"/>
      <c r="B914" s="752"/>
      <c r="C914" s="752"/>
      <c r="D914" s="752"/>
      <c r="E914" s="752"/>
      <c r="F914" s="752"/>
      <c r="G914" s="752"/>
      <c r="H914" s="752"/>
      <c r="I914" s="829"/>
      <c r="J914" s="752"/>
      <c r="K914" s="752"/>
      <c r="L914" s="743"/>
      <c r="M914" s="743"/>
      <c r="N914" s="743"/>
      <c r="O914" s="743"/>
      <c r="P914" s="743"/>
      <c r="Q914" s="743"/>
      <c r="R914" s="743"/>
      <c r="S914" s="743"/>
      <c r="T914" s="743"/>
      <c r="U914" s="743"/>
      <c r="V914" s="743"/>
      <c r="W914" s="743"/>
      <c r="X914" s="743"/>
      <c r="Y914" s="743"/>
      <c r="Z914" s="743"/>
      <c r="AA914" s="743"/>
      <c r="AB914" s="743"/>
      <c r="AC914" s="743"/>
      <c r="AD914" s="743"/>
      <c r="AE914" s="743"/>
      <c r="AF914" s="743"/>
      <c r="AG914" s="743"/>
      <c r="AH914" s="743"/>
      <c r="AI914" s="743"/>
      <c r="AJ914" s="743"/>
      <c r="AK914" s="743"/>
      <c r="AL914" s="743"/>
      <c r="AM914" s="743"/>
    </row>
    <row r="915" spans="1:39" ht="17.25">
      <c r="A915" s="752"/>
      <c r="B915" s="752"/>
      <c r="C915" s="752"/>
      <c r="D915" s="752"/>
      <c r="E915" s="752"/>
      <c r="F915" s="752"/>
      <c r="G915" s="752"/>
      <c r="H915" s="752"/>
      <c r="I915" s="829"/>
      <c r="J915" s="752"/>
      <c r="K915" s="752"/>
      <c r="L915" s="743"/>
      <c r="M915" s="743"/>
      <c r="N915" s="743"/>
      <c r="O915" s="743"/>
      <c r="P915" s="743"/>
      <c r="Q915" s="743"/>
      <c r="R915" s="743"/>
      <c r="S915" s="743"/>
      <c r="T915" s="743"/>
      <c r="U915" s="743"/>
      <c r="V915" s="743"/>
      <c r="W915" s="743"/>
      <c r="X915" s="743"/>
      <c r="Y915" s="743"/>
      <c r="Z915" s="743"/>
      <c r="AA915" s="743"/>
      <c r="AB915" s="743"/>
      <c r="AC915" s="743"/>
      <c r="AD915" s="743"/>
      <c r="AE915" s="743"/>
      <c r="AF915" s="743"/>
      <c r="AG915" s="743"/>
      <c r="AH915" s="743"/>
      <c r="AI915" s="743"/>
      <c r="AJ915" s="743"/>
      <c r="AK915" s="743"/>
      <c r="AL915" s="743"/>
      <c r="AM915" s="743"/>
    </row>
    <row r="916" spans="1:39" ht="17.25">
      <c r="A916" s="752"/>
      <c r="B916" s="752"/>
      <c r="C916" s="752"/>
      <c r="D916" s="752"/>
      <c r="E916" s="752"/>
      <c r="F916" s="752"/>
      <c r="G916" s="752"/>
      <c r="H916" s="752"/>
      <c r="I916" s="829"/>
      <c r="J916" s="752"/>
      <c r="K916" s="752"/>
      <c r="L916" s="743"/>
      <c r="M916" s="743"/>
      <c r="N916" s="743"/>
      <c r="O916" s="743"/>
      <c r="P916" s="743"/>
      <c r="Q916" s="743"/>
      <c r="R916" s="743"/>
      <c r="S916" s="743"/>
      <c r="T916" s="743"/>
      <c r="U916" s="743"/>
      <c r="V916" s="743"/>
      <c r="W916" s="743"/>
      <c r="X916" s="743"/>
      <c r="Y916" s="743"/>
      <c r="Z916" s="743"/>
      <c r="AA916" s="743"/>
      <c r="AB916" s="743"/>
      <c r="AC916" s="743"/>
      <c r="AD916" s="743"/>
      <c r="AE916" s="743"/>
      <c r="AF916" s="743"/>
      <c r="AG916" s="743"/>
      <c r="AH916" s="743"/>
      <c r="AI916" s="743"/>
      <c r="AJ916" s="743"/>
      <c r="AK916" s="743"/>
      <c r="AL916" s="743"/>
      <c r="AM916" s="743"/>
    </row>
    <row r="917" spans="1:39" ht="17.25">
      <c r="A917" s="752"/>
      <c r="B917" s="752"/>
      <c r="C917" s="752"/>
      <c r="D917" s="752"/>
      <c r="E917" s="752"/>
      <c r="F917" s="752"/>
      <c r="G917" s="752"/>
      <c r="H917" s="752"/>
      <c r="I917" s="829"/>
      <c r="J917" s="752"/>
      <c r="K917" s="752"/>
      <c r="L917" s="743"/>
      <c r="M917" s="743"/>
      <c r="N917" s="743"/>
      <c r="O917" s="743"/>
      <c r="P917" s="743"/>
      <c r="Q917" s="743"/>
      <c r="R917" s="743"/>
      <c r="S917" s="743"/>
      <c r="T917" s="743"/>
      <c r="U917" s="743"/>
      <c r="V917" s="743"/>
      <c r="W917" s="743"/>
      <c r="X917" s="743"/>
      <c r="Y917" s="743"/>
      <c r="Z917" s="743"/>
      <c r="AA917" s="743"/>
      <c r="AB917" s="743"/>
      <c r="AC917" s="743"/>
      <c r="AD917" s="743"/>
      <c r="AE917" s="743"/>
      <c r="AF917" s="743"/>
      <c r="AG917" s="743"/>
      <c r="AH917" s="743"/>
      <c r="AI917" s="743"/>
      <c r="AJ917" s="743"/>
      <c r="AK917" s="743"/>
      <c r="AL917" s="743"/>
      <c r="AM917" s="743"/>
    </row>
    <row r="918" spans="1:39" ht="17.25">
      <c r="A918" s="752"/>
      <c r="B918" s="752"/>
      <c r="C918" s="752"/>
      <c r="D918" s="752"/>
      <c r="E918" s="752"/>
      <c r="F918" s="752"/>
      <c r="G918" s="752"/>
      <c r="H918" s="752"/>
      <c r="I918" s="829"/>
      <c r="J918" s="752"/>
      <c r="K918" s="752"/>
      <c r="L918" s="743"/>
      <c r="M918" s="743"/>
      <c r="N918" s="743"/>
      <c r="O918" s="743"/>
      <c r="P918" s="743"/>
      <c r="Q918" s="743"/>
      <c r="R918" s="743"/>
      <c r="S918" s="743"/>
      <c r="T918" s="743"/>
      <c r="U918" s="743"/>
      <c r="V918" s="743"/>
      <c r="W918" s="743"/>
      <c r="X918" s="743"/>
      <c r="Y918" s="743"/>
      <c r="Z918" s="743"/>
      <c r="AA918" s="743"/>
      <c r="AB918" s="743"/>
      <c r="AC918" s="743"/>
      <c r="AD918" s="743"/>
      <c r="AE918" s="743"/>
      <c r="AF918" s="743"/>
      <c r="AG918" s="743"/>
      <c r="AH918" s="743"/>
      <c r="AI918" s="743"/>
      <c r="AJ918" s="743"/>
      <c r="AK918" s="743"/>
      <c r="AL918" s="743"/>
      <c r="AM918" s="743"/>
    </row>
    <row r="919" spans="1:39" ht="17.25">
      <c r="A919" s="752"/>
      <c r="B919" s="752"/>
      <c r="C919" s="752"/>
      <c r="D919" s="752"/>
      <c r="E919" s="752"/>
      <c r="F919" s="752"/>
      <c r="G919" s="752"/>
      <c r="H919" s="752"/>
      <c r="I919" s="829"/>
      <c r="J919" s="752"/>
      <c r="K919" s="752"/>
      <c r="L919" s="743"/>
      <c r="M919" s="743"/>
      <c r="N919" s="743"/>
      <c r="O919" s="743"/>
      <c r="P919" s="743"/>
      <c r="Q919" s="743"/>
      <c r="R919" s="743"/>
      <c r="S919" s="743"/>
      <c r="T919" s="743"/>
      <c r="U919" s="743"/>
      <c r="V919" s="743"/>
      <c r="W919" s="743"/>
      <c r="X919" s="743"/>
      <c r="Y919" s="743"/>
      <c r="Z919" s="743"/>
      <c r="AA919" s="743"/>
      <c r="AB919" s="743"/>
      <c r="AC919" s="743"/>
      <c r="AD919" s="743"/>
      <c r="AE919" s="743"/>
      <c r="AF919" s="743"/>
      <c r="AG919" s="743"/>
      <c r="AH919" s="743"/>
      <c r="AI919" s="743"/>
      <c r="AJ919" s="743"/>
      <c r="AK919" s="743"/>
      <c r="AL919" s="743"/>
      <c r="AM919" s="743"/>
    </row>
    <row r="920" spans="1:39" ht="17.25">
      <c r="A920" s="752"/>
      <c r="B920" s="752"/>
      <c r="C920" s="752"/>
      <c r="D920" s="752"/>
      <c r="E920" s="752"/>
      <c r="F920" s="752"/>
      <c r="G920" s="752"/>
      <c r="H920" s="752"/>
      <c r="I920" s="829"/>
      <c r="J920" s="752"/>
      <c r="K920" s="752"/>
      <c r="L920" s="743"/>
      <c r="M920" s="743"/>
      <c r="N920" s="743"/>
      <c r="O920" s="743"/>
      <c r="P920" s="743"/>
      <c r="Q920" s="743"/>
      <c r="R920" s="743"/>
      <c r="S920" s="743"/>
      <c r="T920" s="743"/>
      <c r="U920" s="743"/>
      <c r="V920" s="743"/>
      <c r="W920" s="743"/>
      <c r="X920" s="743"/>
      <c r="Y920" s="743"/>
      <c r="Z920" s="743"/>
      <c r="AA920" s="743"/>
      <c r="AB920" s="743"/>
      <c r="AC920" s="743"/>
      <c r="AD920" s="743"/>
      <c r="AE920" s="743"/>
      <c r="AF920" s="743"/>
      <c r="AG920" s="743"/>
      <c r="AH920" s="743"/>
      <c r="AI920" s="743"/>
      <c r="AJ920" s="743"/>
      <c r="AK920" s="743"/>
      <c r="AL920" s="743"/>
      <c r="AM920" s="743"/>
    </row>
    <row r="921" spans="1:39" ht="17.25">
      <c r="A921" s="752"/>
      <c r="B921" s="752"/>
      <c r="C921" s="752"/>
      <c r="D921" s="752"/>
      <c r="E921" s="752"/>
      <c r="F921" s="752"/>
      <c r="G921" s="752"/>
      <c r="H921" s="752"/>
      <c r="I921" s="829"/>
      <c r="J921" s="752"/>
      <c r="K921" s="752"/>
      <c r="L921" s="743"/>
      <c r="M921" s="743"/>
      <c r="N921" s="743"/>
      <c r="O921" s="743"/>
      <c r="P921" s="743"/>
      <c r="Q921" s="743"/>
      <c r="R921" s="743"/>
      <c r="S921" s="743"/>
      <c r="T921" s="743"/>
      <c r="U921" s="743"/>
      <c r="V921" s="743"/>
      <c r="W921" s="743"/>
      <c r="X921" s="743"/>
      <c r="Y921" s="743"/>
      <c r="Z921" s="743"/>
      <c r="AA921" s="743"/>
      <c r="AB921" s="743"/>
      <c r="AC921" s="743"/>
      <c r="AD921" s="743"/>
      <c r="AE921" s="743"/>
      <c r="AF921" s="743"/>
      <c r="AG921" s="743"/>
      <c r="AH921" s="743"/>
      <c r="AI921" s="743"/>
      <c r="AJ921" s="743"/>
      <c r="AK921" s="743"/>
      <c r="AL921" s="743"/>
      <c r="AM921" s="743"/>
    </row>
    <row r="922" spans="1:39" ht="17.25">
      <c r="A922" s="752"/>
      <c r="B922" s="752"/>
      <c r="C922" s="752"/>
      <c r="D922" s="752"/>
      <c r="E922" s="752"/>
      <c r="F922" s="752"/>
      <c r="G922" s="752"/>
      <c r="H922" s="752"/>
      <c r="I922" s="829"/>
      <c r="J922" s="752"/>
      <c r="K922" s="752"/>
      <c r="L922" s="743"/>
      <c r="M922" s="743"/>
      <c r="N922" s="743"/>
      <c r="O922" s="743"/>
      <c r="P922" s="743"/>
      <c r="Q922" s="743"/>
      <c r="R922" s="743"/>
      <c r="S922" s="743"/>
      <c r="T922" s="743"/>
      <c r="U922" s="743"/>
      <c r="V922" s="743"/>
      <c r="W922" s="743"/>
      <c r="X922" s="743"/>
      <c r="Y922" s="743"/>
      <c r="Z922" s="743"/>
      <c r="AA922" s="743"/>
      <c r="AB922" s="743"/>
      <c r="AC922" s="743"/>
      <c r="AD922" s="743"/>
      <c r="AE922" s="743"/>
      <c r="AF922" s="743"/>
      <c r="AG922" s="743"/>
      <c r="AH922" s="743"/>
      <c r="AI922" s="743"/>
      <c r="AJ922" s="743"/>
      <c r="AK922" s="743"/>
      <c r="AL922" s="743"/>
      <c r="AM922" s="743"/>
    </row>
    <row r="923" spans="1:39" ht="17.25">
      <c r="A923" s="752"/>
      <c r="B923" s="752"/>
      <c r="C923" s="752"/>
      <c r="D923" s="752"/>
      <c r="E923" s="752"/>
      <c r="F923" s="752"/>
      <c r="G923" s="752"/>
      <c r="H923" s="752"/>
      <c r="I923" s="829"/>
      <c r="J923" s="752"/>
      <c r="K923" s="752"/>
      <c r="L923" s="743"/>
      <c r="M923" s="743"/>
      <c r="N923" s="743"/>
      <c r="O923" s="743"/>
      <c r="P923" s="743"/>
      <c r="Q923" s="743"/>
      <c r="R923" s="743"/>
      <c r="S923" s="743"/>
      <c r="T923" s="743"/>
      <c r="U923" s="743"/>
      <c r="V923" s="743"/>
      <c r="W923" s="743"/>
      <c r="X923" s="743"/>
      <c r="Y923" s="743"/>
      <c r="Z923" s="743"/>
      <c r="AA923" s="743"/>
      <c r="AB923" s="743"/>
      <c r="AC923" s="743"/>
      <c r="AD923" s="743"/>
      <c r="AE923" s="743"/>
      <c r="AF923" s="743"/>
      <c r="AG923" s="743"/>
      <c r="AH923" s="743"/>
      <c r="AI923" s="743"/>
      <c r="AJ923" s="743"/>
      <c r="AK923" s="743"/>
      <c r="AL923" s="743"/>
      <c r="AM923" s="743"/>
    </row>
    <row r="924" spans="1:39" ht="17.25">
      <c r="A924" s="752"/>
      <c r="B924" s="752"/>
      <c r="C924" s="752"/>
      <c r="D924" s="752"/>
      <c r="E924" s="752"/>
      <c r="F924" s="752"/>
      <c r="G924" s="752"/>
      <c r="H924" s="752"/>
      <c r="I924" s="829"/>
      <c r="J924" s="752"/>
      <c r="K924" s="752"/>
      <c r="L924" s="743"/>
      <c r="M924" s="743"/>
      <c r="N924" s="743"/>
      <c r="O924" s="743"/>
      <c r="P924" s="743"/>
      <c r="Q924" s="743"/>
      <c r="R924" s="743"/>
      <c r="S924" s="743"/>
      <c r="T924" s="743"/>
      <c r="U924" s="743"/>
      <c r="V924" s="743"/>
      <c r="W924" s="743"/>
      <c r="X924" s="743"/>
      <c r="Y924" s="743"/>
      <c r="Z924" s="743"/>
      <c r="AA924" s="743"/>
      <c r="AB924" s="743"/>
      <c r="AC924" s="743"/>
      <c r="AD924" s="743"/>
      <c r="AE924" s="743"/>
      <c r="AF924" s="743"/>
      <c r="AG924" s="743"/>
      <c r="AH924" s="743"/>
      <c r="AI924" s="743"/>
      <c r="AJ924" s="743"/>
      <c r="AK924" s="743"/>
      <c r="AL924" s="743"/>
      <c r="AM924" s="743"/>
    </row>
    <row r="925" spans="1:39" ht="17.25">
      <c r="A925" s="752"/>
      <c r="B925" s="752"/>
      <c r="C925" s="752"/>
      <c r="D925" s="752"/>
      <c r="E925" s="752"/>
      <c r="F925" s="752"/>
      <c r="G925" s="752"/>
      <c r="H925" s="752"/>
      <c r="I925" s="829"/>
      <c r="J925" s="752"/>
      <c r="K925" s="752"/>
      <c r="L925" s="743"/>
      <c r="M925" s="743"/>
      <c r="N925" s="743"/>
      <c r="O925" s="743"/>
      <c r="P925" s="743"/>
      <c r="Q925" s="743"/>
      <c r="R925" s="743"/>
      <c r="S925" s="743"/>
      <c r="T925" s="743"/>
      <c r="U925" s="743"/>
      <c r="V925" s="743"/>
      <c r="W925" s="743"/>
      <c r="X925" s="743"/>
      <c r="Y925" s="743"/>
      <c r="Z925" s="743"/>
      <c r="AA925" s="743"/>
      <c r="AB925" s="743"/>
      <c r="AC925" s="743"/>
      <c r="AD925" s="743"/>
      <c r="AE925" s="743"/>
      <c r="AF925" s="743"/>
      <c r="AG925" s="743"/>
      <c r="AH925" s="743"/>
      <c r="AI925" s="743"/>
      <c r="AJ925" s="743"/>
      <c r="AK925" s="743"/>
      <c r="AL925" s="743"/>
      <c r="AM925" s="743"/>
    </row>
    <row r="926" spans="1:39" ht="17.25">
      <c r="A926" s="752"/>
      <c r="B926" s="752"/>
      <c r="C926" s="752"/>
      <c r="D926" s="752"/>
      <c r="E926" s="752"/>
      <c r="F926" s="752"/>
      <c r="G926" s="752"/>
      <c r="H926" s="752"/>
      <c r="I926" s="829"/>
      <c r="J926" s="752"/>
      <c r="K926" s="752"/>
      <c r="L926" s="743"/>
      <c r="M926" s="743"/>
      <c r="N926" s="743"/>
      <c r="O926" s="743"/>
      <c r="P926" s="743"/>
      <c r="Q926" s="743"/>
      <c r="R926" s="743"/>
      <c r="S926" s="743"/>
      <c r="T926" s="743"/>
      <c r="U926" s="743"/>
      <c r="V926" s="743"/>
      <c r="W926" s="743"/>
      <c r="X926" s="743"/>
      <c r="Y926" s="743"/>
      <c r="Z926" s="743"/>
      <c r="AA926" s="743"/>
      <c r="AB926" s="743"/>
      <c r="AC926" s="743"/>
      <c r="AD926" s="743"/>
      <c r="AE926" s="743"/>
      <c r="AF926" s="743"/>
      <c r="AG926" s="743"/>
      <c r="AH926" s="743"/>
      <c r="AI926" s="743"/>
      <c r="AJ926" s="743"/>
      <c r="AK926" s="743"/>
      <c r="AL926" s="743"/>
      <c r="AM926" s="743"/>
    </row>
    <row r="927" spans="1:39" ht="17.25">
      <c r="A927" s="752"/>
      <c r="B927" s="752"/>
      <c r="C927" s="752"/>
      <c r="D927" s="752"/>
      <c r="E927" s="752"/>
      <c r="F927" s="752"/>
      <c r="G927" s="752"/>
      <c r="H927" s="752"/>
      <c r="I927" s="829"/>
      <c r="J927" s="752"/>
      <c r="K927" s="752"/>
      <c r="L927" s="743"/>
      <c r="M927" s="743"/>
      <c r="N927" s="743"/>
      <c r="O927" s="743"/>
      <c r="P927" s="743"/>
      <c r="Q927" s="743"/>
      <c r="R927" s="743"/>
      <c r="S927" s="743"/>
      <c r="T927" s="743"/>
      <c r="U927" s="743"/>
      <c r="V927" s="743"/>
      <c r="W927" s="743"/>
      <c r="X927" s="743"/>
      <c r="Y927" s="743"/>
      <c r="Z927" s="743"/>
      <c r="AA927" s="743"/>
      <c r="AB927" s="743"/>
      <c r="AC927" s="743"/>
      <c r="AD927" s="743"/>
      <c r="AE927" s="743"/>
      <c r="AF927" s="743"/>
      <c r="AG927" s="743"/>
      <c r="AH927" s="743"/>
      <c r="AI927" s="743"/>
      <c r="AJ927" s="743"/>
      <c r="AK927" s="743"/>
      <c r="AL927" s="743"/>
      <c r="AM927" s="743"/>
    </row>
    <row r="928" spans="1:39" ht="17.25">
      <c r="A928" s="752"/>
      <c r="B928" s="752"/>
      <c r="C928" s="752"/>
      <c r="D928" s="752"/>
      <c r="E928" s="752"/>
      <c r="F928" s="752"/>
      <c r="G928" s="752"/>
      <c r="H928" s="752"/>
      <c r="I928" s="829"/>
      <c r="J928" s="752"/>
      <c r="K928" s="752"/>
      <c r="L928" s="743"/>
      <c r="M928" s="743"/>
      <c r="N928" s="743"/>
      <c r="O928" s="743"/>
      <c r="P928" s="743"/>
      <c r="Q928" s="743"/>
      <c r="R928" s="743"/>
      <c r="S928" s="743"/>
      <c r="T928" s="743"/>
      <c r="U928" s="743"/>
      <c r="V928" s="743"/>
      <c r="W928" s="743"/>
      <c r="X928" s="743"/>
      <c r="Y928" s="743"/>
      <c r="Z928" s="743"/>
      <c r="AA928" s="743"/>
      <c r="AB928" s="743"/>
      <c r="AC928" s="743"/>
      <c r="AD928" s="743"/>
      <c r="AE928" s="743"/>
      <c r="AF928" s="743"/>
      <c r="AG928" s="743"/>
      <c r="AH928" s="743"/>
      <c r="AI928" s="743"/>
      <c r="AJ928" s="743"/>
      <c r="AK928" s="743"/>
      <c r="AL928" s="743"/>
      <c r="AM928" s="743"/>
    </row>
    <row r="929" spans="1:39" ht="17.25">
      <c r="A929" s="752"/>
      <c r="B929" s="752"/>
      <c r="C929" s="752"/>
      <c r="D929" s="752"/>
      <c r="E929" s="752"/>
      <c r="F929" s="752"/>
      <c r="G929" s="752"/>
      <c r="H929" s="752"/>
      <c r="I929" s="829"/>
      <c r="J929" s="752"/>
      <c r="K929" s="752"/>
      <c r="L929" s="743"/>
      <c r="M929" s="743"/>
      <c r="N929" s="743"/>
      <c r="O929" s="743"/>
      <c r="P929" s="743"/>
      <c r="Q929" s="743"/>
      <c r="R929" s="743"/>
      <c r="S929" s="743"/>
      <c r="T929" s="743"/>
      <c r="U929" s="743"/>
      <c r="V929" s="743"/>
      <c r="W929" s="743"/>
      <c r="X929" s="743"/>
      <c r="Y929" s="743"/>
      <c r="Z929" s="743"/>
      <c r="AA929" s="743"/>
      <c r="AB929" s="743"/>
      <c r="AC929" s="743"/>
      <c r="AD929" s="743"/>
      <c r="AE929" s="743"/>
      <c r="AF929" s="743"/>
      <c r="AG929" s="743"/>
      <c r="AH929" s="743"/>
      <c r="AI929" s="743"/>
      <c r="AJ929" s="743"/>
      <c r="AK929" s="743"/>
      <c r="AL929" s="743"/>
      <c r="AM929" s="743"/>
    </row>
    <row r="930" spans="1:39" ht="17.25">
      <c r="A930" s="752"/>
      <c r="B930" s="752"/>
      <c r="C930" s="752"/>
      <c r="D930" s="752"/>
      <c r="E930" s="752"/>
      <c r="F930" s="752"/>
      <c r="G930" s="752"/>
      <c r="H930" s="752"/>
      <c r="I930" s="829"/>
      <c r="J930" s="752"/>
      <c r="K930" s="752"/>
      <c r="L930" s="743"/>
      <c r="M930" s="743"/>
      <c r="N930" s="743"/>
      <c r="O930" s="743"/>
      <c r="P930" s="743"/>
      <c r="Q930" s="743"/>
      <c r="R930" s="743"/>
      <c r="S930" s="743"/>
      <c r="T930" s="743"/>
      <c r="U930" s="743"/>
      <c r="V930" s="743"/>
      <c r="W930" s="743"/>
      <c r="X930" s="743"/>
      <c r="Y930" s="743"/>
      <c r="Z930" s="743"/>
      <c r="AA930" s="743"/>
      <c r="AB930" s="743"/>
      <c r="AC930" s="743"/>
      <c r="AD930" s="743"/>
      <c r="AE930" s="743"/>
      <c r="AF930" s="743"/>
      <c r="AG930" s="743"/>
      <c r="AH930" s="743"/>
      <c r="AI930" s="743"/>
      <c r="AJ930" s="743"/>
      <c r="AK930" s="743"/>
      <c r="AL930" s="743"/>
      <c r="AM930" s="743"/>
    </row>
    <row r="931" spans="1:39" ht="17.25">
      <c r="A931" s="752"/>
      <c r="B931" s="752"/>
      <c r="C931" s="752"/>
      <c r="D931" s="752"/>
      <c r="E931" s="752"/>
      <c r="F931" s="752"/>
      <c r="G931" s="752"/>
      <c r="H931" s="752"/>
      <c r="I931" s="829"/>
      <c r="J931" s="752"/>
      <c r="K931" s="752"/>
      <c r="L931" s="743"/>
      <c r="M931" s="743"/>
      <c r="N931" s="743"/>
      <c r="O931" s="743"/>
      <c r="P931" s="743"/>
      <c r="Q931" s="743"/>
      <c r="R931" s="743"/>
      <c r="S931" s="743"/>
      <c r="T931" s="743"/>
      <c r="U931" s="743"/>
      <c r="V931" s="743"/>
      <c r="W931" s="743"/>
      <c r="X931" s="743"/>
      <c r="Y931" s="743"/>
      <c r="Z931" s="743"/>
      <c r="AA931" s="743"/>
      <c r="AB931" s="743"/>
      <c r="AC931" s="743"/>
      <c r="AD931" s="743"/>
      <c r="AE931" s="743"/>
      <c r="AF931" s="743"/>
      <c r="AG931" s="743"/>
      <c r="AH931" s="743"/>
      <c r="AI931" s="743"/>
      <c r="AJ931" s="743"/>
      <c r="AK931" s="743"/>
      <c r="AL931" s="743"/>
      <c r="AM931" s="743"/>
    </row>
    <row r="932" spans="1:39" ht="17.25">
      <c r="A932" s="752"/>
      <c r="B932" s="752"/>
      <c r="C932" s="752"/>
      <c r="D932" s="752"/>
      <c r="E932" s="752"/>
      <c r="F932" s="752"/>
      <c r="G932" s="752"/>
      <c r="H932" s="752"/>
      <c r="I932" s="829"/>
      <c r="J932" s="752"/>
      <c r="K932" s="752"/>
      <c r="L932" s="743"/>
      <c r="M932" s="743"/>
      <c r="N932" s="743"/>
      <c r="O932" s="743"/>
      <c r="P932" s="743"/>
      <c r="Q932" s="743"/>
      <c r="R932" s="743"/>
      <c r="S932" s="743"/>
      <c r="T932" s="743"/>
      <c r="U932" s="743"/>
      <c r="V932" s="743"/>
      <c r="W932" s="743"/>
      <c r="X932" s="743"/>
      <c r="Y932" s="743"/>
      <c r="Z932" s="743"/>
      <c r="AA932" s="743"/>
      <c r="AB932" s="743"/>
      <c r="AC932" s="743"/>
      <c r="AD932" s="743"/>
      <c r="AE932" s="743"/>
      <c r="AF932" s="743"/>
      <c r="AG932" s="743"/>
      <c r="AH932" s="743"/>
      <c r="AI932" s="743"/>
      <c r="AJ932" s="743"/>
      <c r="AK932" s="743"/>
      <c r="AL932" s="743"/>
      <c r="AM932" s="743"/>
    </row>
    <row r="933" spans="1:39" ht="17.25">
      <c r="A933" s="752"/>
      <c r="B933" s="752"/>
      <c r="C933" s="752"/>
      <c r="D933" s="752"/>
      <c r="E933" s="752"/>
      <c r="F933" s="752"/>
      <c r="G933" s="752"/>
      <c r="H933" s="752"/>
      <c r="I933" s="829"/>
      <c r="J933" s="752"/>
      <c r="K933" s="752"/>
      <c r="L933" s="743"/>
      <c r="M933" s="743"/>
      <c r="N933" s="743"/>
      <c r="O933" s="743"/>
      <c r="P933" s="743"/>
      <c r="Q933" s="743"/>
      <c r="R933" s="743"/>
      <c r="S933" s="743"/>
      <c r="T933" s="743"/>
      <c r="U933" s="743"/>
      <c r="V933" s="743"/>
      <c r="W933" s="743"/>
      <c r="X933" s="743"/>
      <c r="Y933" s="743"/>
      <c r="Z933" s="743"/>
      <c r="AA933" s="743"/>
      <c r="AB933" s="743"/>
      <c r="AC933" s="743"/>
      <c r="AD933" s="743"/>
      <c r="AE933" s="743"/>
      <c r="AF933" s="743"/>
      <c r="AG933" s="743"/>
      <c r="AH933" s="743"/>
      <c r="AI933" s="743"/>
      <c r="AJ933" s="743"/>
      <c r="AK933" s="743"/>
      <c r="AL933" s="743"/>
      <c r="AM933" s="743"/>
    </row>
    <row r="934" spans="1:39" ht="17.25">
      <c r="A934" s="752"/>
      <c r="B934" s="752"/>
      <c r="C934" s="752"/>
      <c r="D934" s="752"/>
      <c r="E934" s="752"/>
      <c r="F934" s="752"/>
      <c r="G934" s="752"/>
      <c r="H934" s="752"/>
      <c r="I934" s="829"/>
      <c r="J934" s="752"/>
      <c r="K934" s="752"/>
      <c r="L934" s="743"/>
      <c r="M934" s="743"/>
      <c r="N934" s="743"/>
      <c r="O934" s="743"/>
      <c r="P934" s="743"/>
      <c r="Q934" s="743"/>
      <c r="R934" s="743"/>
      <c r="S934" s="743"/>
      <c r="T934" s="743"/>
      <c r="U934" s="743"/>
      <c r="V934" s="743"/>
      <c r="W934" s="743"/>
      <c r="X934" s="743"/>
      <c r="Y934" s="743"/>
      <c r="Z934" s="743"/>
      <c r="AA934" s="743"/>
      <c r="AB934" s="743"/>
      <c r="AC934" s="743"/>
      <c r="AD934" s="743"/>
      <c r="AE934" s="743"/>
      <c r="AF934" s="743"/>
      <c r="AG934" s="743"/>
      <c r="AH934" s="743"/>
      <c r="AI934" s="743"/>
      <c r="AJ934" s="743"/>
      <c r="AK934" s="743"/>
      <c r="AL934" s="743"/>
      <c r="AM934" s="743"/>
    </row>
    <row r="935" spans="1:39" ht="17.25">
      <c r="A935" s="752"/>
      <c r="B935" s="752"/>
      <c r="C935" s="752"/>
      <c r="D935" s="752"/>
      <c r="E935" s="752"/>
      <c r="F935" s="752"/>
      <c r="G935" s="752"/>
      <c r="H935" s="752"/>
      <c r="I935" s="829"/>
      <c r="J935" s="752"/>
      <c r="K935" s="752"/>
      <c r="L935" s="743"/>
      <c r="M935" s="743"/>
      <c r="N935" s="743"/>
      <c r="O935" s="743"/>
      <c r="P935" s="743"/>
      <c r="Q935" s="743"/>
      <c r="R935" s="743"/>
      <c r="S935" s="743"/>
      <c r="T935" s="743"/>
      <c r="U935" s="743"/>
      <c r="V935" s="743"/>
      <c r="W935" s="743"/>
      <c r="X935" s="743"/>
      <c r="Y935" s="743"/>
      <c r="Z935" s="743"/>
      <c r="AA935" s="743"/>
      <c r="AB935" s="743"/>
      <c r="AC935" s="743"/>
      <c r="AD935" s="743"/>
      <c r="AE935" s="743"/>
      <c r="AF935" s="743"/>
      <c r="AG935" s="743"/>
      <c r="AH935" s="743"/>
      <c r="AI935" s="743"/>
      <c r="AJ935" s="743"/>
      <c r="AK935" s="743"/>
      <c r="AL935" s="743"/>
      <c r="AM935" s="743"/>
    </row>
    <row r="936" spans="1:39" ht="17.25">
      <c r="A936" s="752"/>
      <c r="B936" s="752"/>
      <c r="C936" s="752"/>
      <c r="D936" s="752"/>
      <c r="E936" s="752"/>
      <c r="F936" s="752"/>
      <c r="G936" s="752"/>
      <c r="H936" s="752"/>
      <c r="I936" s="829"/>
      <c r="J936" s="752"/>
      <c r="K936" s="752"/>
      <c r="L936" s="743"/>
      <c r="M936" s="743"/>
      <c r="N936" s="743"/>
      <c r="O936" s="743"/>
      <c r="P936" s="743"/>
      <c r="Q936" s="743"/>
      <c r="R936" s="743"/>
      <c r="S936" s="743"/>
      <c r="T936" s="743"/>
      <c r="U936" s="743"/>
      <c r="V936" s="743"/>
      <c r="W936" s="743"/>
      <c r="X936" s="743"/>
      <c r="Y936" s="743"/>
      <c r="Z936" s="743"/>
      <c r="AA936" s="743"/>
      <c r="AB936" s="743"/>
      <c r="AC936" s="743"/>
      <c r="AD936" s="743"/>
      <c r="AE936" s="743"/>
      <c r="AF936" s="743"/>
      <c r="AG936" s="743"/>
      <c r="AH936" s="743"/>
      <c r="AI936" s="743"/>
      <c r="AJ936" s="743"/>
      <c r="AK936" s="743"/>
      <c r="AL936" s="743"/>
      <c r="AM936" s="743"/>
    </row>
    <row r="937" spans="1:39" ht="17.25">
      <c r="A937" s="752"/>
      <c r="B937" s="752"/>
      <c r="C937" s="752"/>
      <c r="D937" s="752"/>
      <c r="E937" s="752"/>
      <c r="F937" s="752"/>
      <c r="G937" s="752"/>
      <c r="H937" s="752"/>
      <c r="I937" s="829"/>
      <c r="J937" s="752"/>
      <c r="K937" s="752"/>
      <c r="L937" s="743"/>
      <c r="M937" s="743"/>
      <c r="N937" s="743"/>
      <c r="O937" s="743"/>
      <c r="P937" s="743"/>
      <c r="Q937" s="743"/>
      <c r="R937" s="743"/>
      <c r="S937" s="743"/>
      <c r="T937" s="743"/>
      <c r="U937" s="743"/>
      <c r="V937" s="743"/>
      <c r="W937" s="743"/>
      <c r="X937" s="743"/>
      <c r="Y937" s="743"/>
      <c r="Z937" s="743"/>
      <c r="AA937" s="743"/>
      <c r="AB937" s="743"/>
      <c r="AC937" s="743"/>
      <c r="AD937" s="743"/>
      <c r="AE937" s="743"/>
      <c r="AF937" s="743"/>
      <c r="AG937" s="743"/>
      <c r="AH937" s="743"/>
      <c r="AI937" s="743"/>
      <c r="AJ937" s="743"/>
      <c r="AK937" s="743"/>
      <c r="AL937" s="743"/>
      <c r="AM937" s="743"/>
    </row>
    <row r="938" spans="1:39" ht="17.25">
      <c r="A938" s="752"/>
      <c r="B938" s="752"/>
      <c r="C938" s="752"/>
      <c r="D938" s="752"/>
      <c r="E938" s="752"/>
      <c r="F938" s="752"/>
      <c r="G938" s="752"/>
      <c r="H938" s="752"/>
      <c r="I938" s="829"/>
      <c r="J938" s="752"/>
      <c r="K938" s="752"/>
      <c r="L938" s="743"/>
      <c r="M938" s="743"/>
      <c r="N938" s="743"/>
      <c r="O938" s="743"/>
      <c r="P938" s="743"/>
      <c r="Q938" s="743"/>
      <c r="R938" s="743"/>
      <c r="S938" s="743"/>
      <c r="T938" s="743"/>
      <c r="U938" s="743"/>
      <c r="V938" s="743"/>
      <c r="W938" s="743"/>
      <c r="X938" s="743"/>
      <c r="Y938" s="743"/>
      <c r="Z938" s="743"/>
      <c r="AA938" s="743"/>
      <c r="AB938" s="743"/>
      <c r="AC938" s="743"/>
      <c r="AD938" s="743"/>
      <c r="AE938" s="743"/>
      <c r="AF938" s="743"/>
      <c r="AG938" s="743"/>
      <c r="AH938" s="743"/>
      <c r="AI938" s="743"/>
      <c r="AJ938" s="743"/>
      <c r="AK938" s="743"/>
      <c r="AL938" s="743"/>
      <c r="AM938" s="743"/>
    </row>
    <row r="939" spans="1:39" ht="17.25">
      <c r="A939" s="752"/>
      <c r="B939" s="752"/>
      <c r="C939" s="752"/>
      <c r="D939" s="752"/>
      <c r="E939" s="752"/>
      <c r="F939" s="752"/>
      <c r="G939" s="752"/>
      <c r="H939" s="752"/>
      <c r="I939" s="829"/>
      <c r="J939" s="752"/>
      <c r="K939" s="752"/>
      <c r="L939" s="743"/>
      <c r="M939" s="743"/>
      <c r="N939" s="743"/>
      <c r="O939" s="743"/>
      <c r="P939" s="743"/>
      <c r="Q939" s="743"/>
      <c r="R939" s="743"/>
      <c r="S939" s="743"/>
      <c r="T939" s="743"/>
      <c r="U939" s="743"/>
      <c r="V939" s="743"/>
      <c r="W939" s="743"/>
      <c r="X939" s="743"/>
      <c r="Y939" s="743"/>
      <c r="Z939" s="743"/>
      <c r="AA939" s="743"/>
      <c r="AB939" s="743"/>
      <c r="AC939" s="743"/>
      <c r="AD939" s="743"/>
      <c r="AE939" s="743"/>
      <c r="AF939" s="743"/>
      <c r="AG939" s="743"/>
      <c r="AH939" s="743"/>
      <c r="AI939" s="743"/>
      <c r="AJ939" s="743"/>
      <c r="AK939" s="743"/>
      <c r="AL939" s="743"/>
      <c r="AM939" s="743"/>
    </row>
    <row r="940" spans="1:39" ht="17.25">
      <c r="A940" s="752"/>
      <c r="B940" s="752"/>
      <c r="C940" s="752"/>
      <c r="D940" s="752"/>
      <c r="E940" s="752"/>
      <c r="F940" s="752"/>
      <c r="G940" s="752"/>
      <c r="H940" s="752"/>
      <c r="I940" s="829"/>
      <c r="J940" s="752"/>
      <c r="K940" s="752"/>
      <c r="L940" s="743"/>
      <c r="M940" s="743"/>
      <c r="N940" s="743"/>
      <c r="O940" s="743"/>
      <c r="P940" s="743"/>
      <c r="Q940" s="743"/>
      <c r="R940" s="743"/>
      <c r="S940" s="743"/>
      <c r="T940" s="743"/>
      <c r="U940" s="743"/>
      <c r="V940" s="743"/>
      <c r="W940" s="743"/>
      <c r="X940" s="743"/>
      <c r="Y940" s="743"/>
      <c r="Z940" s="743"/>
      <c r="AA940" s="743"/>
      <c r="AB940" s="743"/>
      <c r="AC940" s="743"/>
      <c r="AD940" s="743"/>
      <c r="AE940" s="743"/>
      <c r="AF940" s="743"/>
      <c r="AG940" s="743"/>
      <c r="AH940" s="743"/>
      <c r="AI940" s="743"/>
      <c r="AJ940" s="743"/>
      <c r="AK940" s="743"/>
      <c r="AL940" s="743"/>
      <c r="AM940" s="743"/>
    </row>
    <row r="941" spans="1:39" ht="17.25">
      <c r="A941" s="752"/>
      <c r="B941" s="752"/>
      <c r="C941" s="752"/>
      <c r="D941" s="752"/>
      <c r="E941" s="752"/>
      <c r="F941" s="752"/>
      <c r="G941" s="752"/>
      <c r="H941" s="752"/>
      <c r="I941" s="829"/>
      <c r="J941" s="752"/>
      <c r="K941" s="752"/>
      <c r="L941" s="743"/>
      <c r="M941" s="743"/>
      <c r="N941" s="743"/>
      <c r="O941" s="743"/>
      <c r="P941" s="743"/>
      <c r="Q941" s="743"/>
      <c r="R941" s="743"/>
      <c r="S941" s="743"/>
      <c r="T941" s="743"/>
      <c r="U941" s="743"/>
      <c r="V941" s="743"/>
      <c r="W941" s="743"/>
      <c r="X941" s="743"/>
      <c r="Y941" s="743"/>
      <c r="Z941" s="743"/>
      <c r="AA941" s="743"/>
      <c r="AB941" s="743"/>
      <c r="AC941" s="743"/>
      <c r="AD941" s="743"/>
      <c r="AE941" s="743"/>
      <c r="AF941" s="743"/>
      <c r="AG941" s="743"/>
      <c r="AH941" s="743"/>
      <c r="AI941" s="743"/>
      <c r="AJ941" s="743"/>
      <c r="AK941" s="743"/>
      <c r="AL941" s="743"/>
      <c r="AM941" s="743"/>
    </row>
    <row r="942" spans="1:39" ht="17.25">
      <c r="A942" s="752"/>
      <c r="B942" s="752"/>
      <c r="C942" s="752"/>
      <c r="D942" s="752"/>
      <c r="E942" s="752"/>
      <c r="F942" s="752"/>
      <c r="G942" s="752"/>
      <c r="H942" s="752"/>
      <c r="I942" s="829"/>
      <c r="J942" s="752"/>
      <c r="K942" s="752"/>
      <c r="L942" s="743"/>
      <c r="M942" s="743"/>
      <c r="N942" s="743"/>
      <c r="O942" s="743"/>
      <c r="P942" s="743"/>
      <c r="Q942" s="743"/>
      <c r="R942" s="743"/>
      <c r="S942" s="743"/>
      <c r="T942" s="743"/>
      <c r="U942" s="743"/>
      <c r="V942" s="743"/>
      <c r="W942" s="743"/>
      <c r="X942" s="743"/>
      <c r="Y942" s="743"/>
      <c r="Z942" s="743"/>
      <c r="AA942" s="743"/>
      <c r="AB942" s="743"/>
      <c r="AC942" s="743"/>
      <c r="AD942" s="743"/>
      <c r="AE942" s="743"/>
      <c r="AF942" s="743"/>
      <c r="AG942" s="743"/>
      <c r="AH942" s="743"/>
      <c r="AI942" s="743"/>
      <c r="AJ942" s="743"/>
      <c r="AK942" s="743"/>
      <c r="AL942" s="743"/>
      <c r="AM942" s="743"/>
    </row>
    <row r="943" spans="1:39" ht="17.25">
      <c r="A943" s="752"/>
      <c r="B943" s="752"/>
      <c r="C943" s="752"/>
      <c r="D943" s="752"/>
      <c r="E943" s="752"/>
      <c r="F943" s="752"/>
      <c r="G943" s="752"/>
      <c r="H943" s="752"/>
      <c r="I943" s="829"/>
      <c r="J943" s="752"/>
      <c r="K943" s="752"/>
      <c r="L943" s="743"/>
      <c r="M943" s="743"/>
      <c r="N943" s="743"/>
      <c r="O943" s="743"/>
      <c r="P943" s="743"/>
      <c r="Q943" s="743"/>
      <c r="R943" s="743"/>
      <c r="S943" s="743"/>
      <c r="T943" s="743"/>
      <c r="U943" s="743"/>
      <c r="V943" s="743"/>
      <c r="W943" s="743"/>
      <c r="X943" s="743"/>
      <c r="Y943" s="743"/>
      <c r="Z943" s="743"/>
      <c r="AA943" s="743"/>
      <c r="AB943" s="743"/>
      <c r="AC943" s="743"/>
      <c r="AD943" s="743"/>
      <c r="AE943" s="743"/>
      <c r="AF943" s="743"/>
      <c r="AG943" s="743"/>
      <c r="AH943" s="743"/>
      <c r="AI943" s="743"/>
      <c r="AJ943" s="743"/>
      <c r="AK943" s="743"/>
      <c r="AL943" s="743"/>
      <c r="AM943" s="743"/>
    </row>
    <row r="944" spans="1:39" ht="17.25">
      <c r="A944" s="752"/>
      <c r="B944" s="752"/>
      <c r="C944" s="752"/>
      <c r="D944" s="752"/>
      <c r="E944" s="752"/>
      <c r="F944" s="752"/>
      <c r="G944" s="752"/>
      <c r="H944" s="752"/>
      <c r="I944" s="829"/>
      <c r="J944" s="752"/>
      <c r="K944" s="752"/>
      <c r="L944" s="743"/>
      <c r="M944" s="743"/>
      <c r="N944" s="743"/>
      <c r="O944" s="743"/>
      <c r="P944" s="743"/>
      <c r="Q944" s="743"/>
      <c r="R944" s="743"/>
      <c r="S944" s="743"/>
      <c r="T944" s="743"/>
      <c r="U944" s="743"/>
      <c r="V944" s="743"/>
      <c r="W944" s="743"/>
      <c r="X944" s="743"/>
      <c r="Y944" s="743"/>
      <c r="Z944" s="743"/>
      <c r="AA944" s="743"/>
      <c r="AB944" s="743"/>
      <c r="AC944" s="743"/>
      <c r="AD944" s="743"/>
      <c r="AE944" s="743"/>
      <c r="AF944" s="743"/>
      <c r="AG944" s="743"/>
      <c r="AH944" s="743"/>
      <c r="AI944" s="743"/>
      <c r="AJ944" s="743"/>
      <c r="AK944" s="743"/>
      <c r="AL944" s="743"/>
      <c r="AM944" s="743"/>
    </row>
    <row r="945" spans="1:39" ht="17.25">
      <c r="A945" s="752"/>
      <c r="B945" s="752"/>
      <c r="C945" s="752"/>
      <c r="D945" s="752"/>
      <c r="E945" s="752"/>
      <c r="F945" s="752"/>
      <c r="G945" s="752"/>
      <c r="H945" s="752"/>
      <c r="I945" s="829"/>
      <c r="J945" s="752"/>
      <c r="K945" s="752"/>
      <c r="L945" s="743"/>
      <c r="M945" s="743"/>
      <c r="N945" s="743"/>
      <c r="O945" s="743"/>
      <c r="P945" s="743"/>
      <c r="Q945" s="743"/>
      <c r="R945" s="743"/>
      <c r="S945" s="743"/>
      <c r="T945" s="743"/>
      <c r="U945" s="743"/>
      <c r="V945" s="743"/>
      <c r="W945" s="743"/>
      <c r="X945" s="743"/>
      <c r="Y945" s="743"/>
      <c r="Z945" s="743"/>
      <c r="AA945" s="743"/>
      <c r="AB945" s="743"/>
      <c r="AC945" s="743"/>
      <c r="AD945" s="743"/>
      <c r="AE945" s="743"/>
      <c r="AF945" s="743"/>
      <c r="AG945" s="743"/>
      <c r="AH945" s="743"/>
      <c r="AI945" s="743"/>
      <c r="AJ945" s="743"/>
      <c r="AK945" s="743"/>
      <c r="AL945" s="743"/>
      <c r="AM945" s="743"/>
    </row>
    <row r="946" spans="1:39" ht="17.25">
      <c r="A946" s="752"/>
      <c r="B946" s="752"/>
      <c r="C946" s="752"/>
      <c r="D946" s="752"/>
      <c r="E946" s="752"/>
      <c r="F946" s="752"/>
      <c r="G946" s="752"/>
      <c r="H946" s="752"/>
      <c r="I946" s="829"/>
      <c r="J946" s="752"/>
      <c r="K946" s="752"/>
      <c r="L946" s="743"/>
      <c r="M946" s="743"/>
      <c r="N946" s="743"/>
      <c r="O946" s="743"/>
      <c r="P946" s="743"/>
      <c r="Q946" s="743"/>
      <c r="R946" s="743"/>
      <c r="S946" s="743"/>
      <c r="T946" s="743"/>
      <c r="U946" s="743"/>
      <c r="V946" s="743"/>
      <c r="W946" s="743"/>
      <c r="X946" s="743"/>
      <c r="Y946" s="743"/>
      <c r="Z946" s="743"/>
      <c r="AA946" s="743"/>
      <c r="AB946" s="743"/>
      <c r="AC946" s="743"/>
      <c r="AD946" s="743"/>
      <c r="AE946" s="743"/>
      <c r="AF946" s="743"/>
      <c r="AG946" s="743"/>
      <c r="AH946" s="743"/>
      <c r="AI946" s="743"/>
      <c r="AJ946" s="743"/>
      <c r="AK946" s="743"/>
      <c r="AL946" s="743"/>
      <c r="AM946" s="743"/>
    </row>
    <row r="947" spans="1:39" ht="17.25">
      <c r="A947" s="752"/>
      <c r="B947" s="752"/>
      <c r="C947" s="752"/>
      <c r="D947" s="752"/>
      <c r="E947" s="752"/>
      <c r="F947" s="752"/>
      <c r="G947" s="752"/>
      <c r="H947" s="752"/>
      <c r="I947" s="829"/>
      <c r="J947" s="752"/>
      <c r="K947" s="752"/>
      <c r="L947" s="743"/>
      <c r="M947" s="743"/>
      <c r="N947" s="743"/>
      <c r="O947" s="743"/>
      <c r="P947" s="743"/>
      <c r="Q947" s="743"/>
      <c r="R947" s="743"/>
      <c r="S947" s="743"/>
      <c r="T947" s="743"/>
      <c r="U947" s="743"/>
      <c r="V947" s="743"/>
      <c r="W947" s="743"/>
      <c r="X947" s="743"/>
      <c r="Y947" s="743"/>
      <c r="Z947" s="743"/>
      <c r="AA947" s="743"/>
      <c r="AB947" s="743"/>
      <c r="AC947" s="743"/>
      <c r="AD947" s="743"/>
      <c r="AE947" s="743"/>
      <c r="AF947" s="743"/>
      <c r="AG947" s="743"/>
      <c r="AH947" s="743"/>
      <c r="AI947" s="743"/>
      <c r="AJ947" s="743"/>
      <c r="AK947" s="743"/>
      <c r="AL947" s="743"/>
      <c r="AM947" s="743"/>
    </row>
    <row r="948" spans="1:39" ht="17.25">
      <c r="A948" s="752"/>
      <c r="B948" s="752"/>
      <c r="C948" s="752"/>
      <c r="D948" s="752"/>
      <c r="E948" s="752"/>
      <c r="F948" s="752"/>
      <c r="G948" s="752"/>
      <c r="H948" s="752"/>
      <c r="I948" s="829"/>
      <c r="J948" s="752"/>
      <c r="K948" s="752"/>
      <c r="L948" s="743"/>
      <c r="M948" s="743"/>
      <c r="N948" s="743"/>
      <c r="O948" s="743"/>
      <c r="P948" s="743"/>
      <c r="Q948" s="743"/>
      <c r="R948" s="743"/>
      <c r="S948" s="743"/>
      <c r="T948" s="743"/>
      <c r="U948" s="743"/>
      <c r="V948" s="743"/>
      <c r="W948" s="743"/>
      <c r="X948" s="743"/>
      <c r="Y948" s="743"/>
      <c r="Z948" s="743"/>
      <c r="AA948" s="743"/>
      <c r="AB948" s="743"/>
      <c r="AC948" s="743"/>
      <c r="AD948" s="743"/>
      <c r="AE948" s="743"/>
      <c r="AF948" s="743"/>
      <c r="AG948" s="743"/>
      <c r="AH948" s="743"/>
      <c r="AI948" s="743"/>
      <c r="AJ948" s="743"/>
      <c r="AK948" s="743"/>
      <c r="AL948" s="743"/>
      <c r="AM948" s="743"/>
    </row>
    <row r="949" spans="1:39" ht="17.25">
      <c r="A949" s="752"/>
      <c r="B949" s="752"/>
      <c r="C949" s="752"/>
      <c r="D949" s="752"/>
      <c r="E949" s="752"/>
      <c r="F949" s="752"/>
      <c r="G949" s="752"/>
      <c r="H949" s="752"/>
      <c r="I949" s="829"/>
      <c r="J949" s="752"/>
      <c r="K949" s="752"/>
      <c r="L949" s="743"/>
      <c r="M949" s="743"/>
      <c r="N949" s="743"/>
      <c r="O949" s="743"/>
      <c r="P949" s="743"/>
      <c r="Q949" s="743"/>
      <c r="R949" s="743"/>
      <c r="S949" s="743"/>
      <c r="T949" s="743"/>
      <c r="U949" s="743"/>
      <c r="V949" s="743"/>
      <c r="W949" s="743"/>
      <c r="X949" s="743"/>
      <c r="Y949" s="743"/>
      <c r="Z949" s="743"/>
      <c r="AA949" s="743"/>
      <c r="AB949" s="743"/>
      <c r="AC949" s="743"/>
      <c r="AD949" s="743"/>
      <c r="AE949" s="743"/>
      <c r="AF949" s="743"/>
      <c r="AG949" s="743"/>
      <c r="AH949" s="743"/>
      <c r="AI949" s="743"/>
      <c r="AJ949" s="743"/>
      <c r="AK949" s="743"/>
      <c r="AL949" s="743"/>
      <c r="AM949" s="743"/>
    </row>
    <row r="950" spans="1:39" ht="17.25">
      <c r="A950" s="752"/>
      <c r="B950" s="752"/>
      <c r="C950" s="752"/>
      <c r="D950" s="752"/>
      <c r="E950" s="752"/>
      <c r="F950" s="752"/>
      <c r="G950" s="752"/>
      <c r="H950" s="752"/>
      <c r="I950" s="829"/>
      <c r="J950" s="752"/>
      <c r="K950" s="752"/>
      <c r="L950" s="743"/>
      <c r="M950" s="743"/>
      <c r="N950" s="743"/>
      <c r="O950" s="743"/>
      <c r="P950" s="743"/>
      <c r="Q950" s="743"/>
      <c r="R950" s="743"/>
      <c r="S950" s="743"/>
      <c r="T950" s="743"/>
      <c r="U950" s="743"/>
      <c r="V950" s="743"/>
      <c r="W950" s="743"/>
      <c r="X950" s="743"/>
      <c r="Y950" s="743"/>
      <c r="Z950" s="743"/>
      <c r="AA950" s="743"/>
      <c r="AB950" s="743"/>
      <c r="AC950" s="743"/>
      <c r="AD950" s="743"/>
      <c r="AE950" s="743"/>
      <c r="AF950" s="743"/>
      <c r="AG950" s="743"/>
      <c r="AH950" s="743"/>
      <c r="AI950" s="743"/>
      <c r="AJ950" s="743"/>
      <c r="AK950" s="743"/>
      <c r="AL950" s="743"/>
      <c r="AM950" s="743"/>
    </row>
    <row r="951" spans="1:39" ht="17.25">
      <c r="A951" s="752"/>
      <c r="B951" s="752"/>
      <c r="C951" s="752"/>
      <c r="D951" s="752"/>
      <c r="E951" s="752"/>
      <c r="F951" s="752"/>
      <c r="G951" s="752"/>
      <c r="H951" s="752"/>
      <c r="I951" s="829"/>
      <c r="J951" s="752"/>
      <c r="K951" s="752"/>
      <c r="L951" s="743"/>
      <c r="M951" s="743"/>
      <c r="N951" s="743"/>
      <c r="O951" s="743"/>
      <c r="P951" s="743"/>
      <c r="Q951" s="743"/>
      <c r="R951" s="743"/>
      <c r="S951" s="743"/>
      <c r="T951" s="743"/>
      <c r="U951" s="743"/>
      <c r="V951" s="743"/>
      <c r="W951" s="743"/>
      <c r="X951" s="743"/>
      <c r="Y951" s="743"/>
      <c r="Z951" s="743"/>
      <c r="AA951" s="743"/>
      <c r="AB951" s="743"/>
      <c r="AC951" s="743"/>
      <c r="AD951" s="743"/>
      <c r="AE951" s="743"/>
      <c r="AF951" s="743"/>
      <c r="AG951" s="743"/>
      <c r="AH951" s="743"/>
      <c r="AI951" s="743"/>
      <c r="AJ951" s="743"/>
      <c r="AK951" s="743"/>
      <c r="AL951" s="743"/>
      <c r="AM951" s="743"/>
    </row>
    <row r="952" spans="1:39" ht="17.25">
      <c r="A952" s="752"/>
      <c r="B952" s="752"/>
      <c r="C952" s="752"/>
      <c r="D952" s="752"/>
      <c r="E952" s="752"/>
      <c r="F952" s="752"/>
      <c r="G952" s="752"/>
      <c r="H952" s="752"/>
      <c r="I952" s="829"/>
      <c r="J952" s="752"/>
      <c r="K952" s="752"/>
      <c r="L952" s="743"/>
      <c r="M952" s="743"/>
      <c r="N952" s="743"/>
      <c r="O952" s="743"/>
      <c r="P952" s="743"/>
      <c r="Q952" s="743"/>
      <c r="R952" s="743"/>
      <c r="S952" s="743"/>
      <c r="T952" s="743"/>
      <c r="U952" s="743"/>
      <c r="V952" s="743"/>
      <c r="W952" s="743"/>
      <c r="X952" s="743"/>
      <c r="Y952" s="743"/>
      <c r="Z952" s="743"/>
      <c r="AA952" s="743"/>
      <c r="AB952" s="743"/>
      <c r="AC952" s="743"/>
      <c r="AD952" s="743"/>
      <c r="AE952" s="743"/>
      <c r="AF952" s="743"/>
      <c r="AG952" s="743"/>
      <c r="AH952" s="743"/>
      <c r="AI952" s="743"/>
      <c r="AJ952" s="743"/>
      <c r="AK952" s="743"/>
      <c r="AL952" s="743"/>
      <c r="AM952" s="743"/>
    </row>
    <row r="953" spans="1:39" ht="17.25">
      <c r="A953" s="752"/>
      <c r="B953" s="752"/>
      <c r="C953" s="752"/>
      <c r="D953" s="752"/>
      <c r="E953" s="752"/>
      <c r="F953" s="752"/>
      <c r="G953" s="752"/>
      <c r="H953" s="752"/>
      <c r="I953" s="829"/>
      <c r="J953" s="752"/>
      <c r="K953" s="752"/>
      <c r="L953" s="743"/>
      <c r="M953" s="743"/>
      <c r="N953" s="743"/>
      <c r="O953" s="743"/>
      <c r="P953" s="743"/>
      <c r="Q953" s="743"/>
      <c r="R953" s="743"/>
      <c r="S953" s="743"/>
      <c r="T953" s="743"/>
      <c r="U953" s="743"/>
      <c r="V953" s="743"/>
      <c r="W953" s="743"/>
      <c r="X953" s="743"/>
      <c r="Y953" s="743"/>
      <c r="Z953" s="743"/>
      <c r="AA953" s="743"/>
      <c r="AB953" s="743"/>
      <c r="AC953" s="743"/>
      <c r="AD953" s="743"/>
      <c r="AE953" s="743"/>
      <c r="AF953" s="743"/>
      <c r="AG953" s="743"/>
      <c r="AH953" s="743"/>
      <c r="AI953" s="743"/>
      <c r="AJ953" s="743"/>
      <c r="AK953" s="743"/>
      <c r="AL953" s="743"/>
      <c r="AM953" s="743"/>
    </row>
    <row r="954" spans="1:39" ht="17.25">
      <c r="A954" s="752"/>
      <c r="B954" s="752"/>
      <c r="C954" s="752"/>
      <c r="D954" s="752"/>
      <c r="E954" s="752"/>
      <c r="F954" s="752"/>
      <c r="G954" s="752"/>
      <c r="H954" s="752"/>
      <c r="I954" s="829"/>
      <c r="J954" s="752"/>
      <c r="K954" s="752"/>
      <c r="L954" s="743"/>
      <c r="M954" s="743"/>
      <c r="N954" s="743"/>
      <c r="O954" s="743"/>
      <c r="P954" s="743"/>
      <c r="Q954" s="743"/>
      <c r="R954" s="743"/>
      <c r="S954" s="743"/>
      <c r="T954" s="743"/>
      <c r="U954" s="743"/>
      <c r="V954" s="743"/>
      <c r="W954" s="743"/>
      <c r="X954" s="743"/>
      <c r="Y954" s="743"/>
      <c r="Z954" s="743"/>
      <c r="AA954" s="743"/>
      <c r="AB954" s="743"/>
      <c r="AC954" s="743"/>
      <c r="AD954" s="743"/>
      <c r="AE954" s="743"/>
      <c r="AF954" s="743"/>
      <c r="AG954" s="743"/>
      <c r="AH954" s="743"/>
      <c r="AI954" s="743"/>
      <c r="AJ954" s="743"/>
      <c r="AK954" s="743"/>
      <c r="AL954" s="743"/>
      <c r="AM954" s="743"/>
    </row>
    <row r="955" spans="1:39" ht="17.25">
      <c r="A955" s="752"/>
      <c r="B955" s="752"/>
      <c r="C955" s="752"/>
      <c r="D955" s="752"/>
      <c r="E955" s="752"/>
      <c r="F955" s="752"/>
      <c r="G955" s="752"/>
      <c r="H955" s="752"/>
      <c r="I955" s="829"/>
      <c r="J955" s="752"/>
      <c r="K955" s="752"/>
      <c r="L955" s="743"/>
      <c r="M955" s="743"/>
      <c r="N955" s="743"/>
      <c r="O955" s="743"/>
      <c r="P955" s="743"/>
      <c r="Q955" s="743"/>
      <c r="R955" s="743"/>
      <c r="S955" s="743"/>
      <c r="T955" s="743"/>
      <c r="U955" s="743"/>
      <c r="V955" s="743"/>
      <c r="W955" s="743"/>
      <c r="X955" s="743"/>
      <c r="Y955" s="743"/>
      <c r="Z955" s="743"/>
      <c r="AA955" s="743"/>
      <c r="AB955" s="743"/>
      <c r="AC955" s="743"/>
      <c r="AD955" s="743"/>
      <c r="AE955" s="743"/>
      <c r="AF955" s="743"/>
      <c r="AG955" s="743"/>
      <c r="AH955" s="743"/>
      <c r="AI955" s="743"/>
      <c r="AJ955" s="743"/>
      <c r="AK955" s="743"/>
      <c r="AL955" s="743"/>
      <c r="AM955" s="743"/>
    </row>
    <row r="956" spans="1:39" ht="17.25">
      <c r="A956" s="752"/>
      <c r="B956" s="752"/>
      <c r="C956" s="752"/>
      <c r="D956" s="752"/>
      <c r="E956" s="752"/>
      <c r="F956" s="752"/>
      <c r="G956" s="752"/>
      <c r="H956" s="752"/>
      <c r="I956" s="829"/>
      <c r="J956" s="752"/>
      <c r="K956" s="752"/>
      <c r="L956" s="743"/>
      <c r="M956" s="743"/>
      <c r="N956" s="743"/>
      <c r="O956" s="743"/>
      <c r="P956" s="743"/>
      <c r="Q956" s="743"/>
      <c r="R956" s="743"/>
      <c r="S956" s="743"/>
      <c r="T956" s="743"/>
      <c r="U956" s="743"/>
      <c r="V956" s="743"/>
      <c r="W956" s="743"/>
      <c r="X956" s="743"/>
      <c r="Y956" s="743"/>
      <c r="Z956" s="743"/>
      <c r="AA956" s="743"/>
      <c r="AB956" s="743"/>
      <c r="AC956" s="743"/>
      <c r="AD956" s="743"/>
      <c r="AE956" s="743"/>
      <c r="AF956" s="743"/>
      <c r="AG956" s="743"/>
      <c r="AH956" s="743"/>
      <c r="AI956" s="743"/>
      <c r="AJ956" s="743"/>
      <c r="AK956" s="743"/>
      <c r="AL956" s="743"/>
      <c r="AM956" s="743"/>
    </row>
    <row r="957" spans="1:39" ht="17.25">
      <c r="A957" s="752"/>
      <c r="B957" s="752"/>
      <c r="C957" s="752"/>
      <c r="D957" s="752"/>
      <c r="E957" s="752"/>
      <c r="F957" s="752"/>
      <c r="G957" s="752"/>
      <c r="H957" s="752"/>
      <c r="I957" s="829"/>
      <c r="J957" s="752"/>
      <c r="K957" s="752"/>
      <c r="L957" s="743"/>
      <c r="M957" s="743"/>
      <c r="N957" s="743"/>
      <c r="O957" s="743"/>
      <c r="P957" s="743"/>
      <c r="Q957" s="743"/>
      <c r="R957" s="743"/>
      <c r="S957" s="743"/>
      <c r="T957" s="743"/>
      <c r="U957" s="743"/>
      <c r="V957" s="743"/>
      <c r="W957" s="743"/>
      <c r="X957" s="743"/>
      <c r="Y957" s="743"/>
      <c r="Z957" s="743"/>
      <c r="AA957" s="743"/>
      <c r="AB957" s="743"/>
      <c r="AC957" s="743"/>
      <c r="AD957" s="743"/>
      <c r="AE957" s="743"/>
      <c r="AF957" s="743"/>
      <c r="AG957" s="743"/>
      <c r="AH957" s="743"/>
      <c r="AI957" s="743"/>
      <c r="AJ957" s="743"/>
      <c r="AK957" s="743"/>
      <c r="AL957" s="743"/>
      <c r="AM957" s="743"/>
    </row>
    <row r="958" spans="1:39" ht="17.25">
      <c r="A958" s="752"/>
      <c r="B958" s="752"/>
      <c r="C958" s="752"/>
      <c r="D958" s="752"/>
      <c r="E958" s="752"/>
      <c r="F958" s="752"/>
      <c r="G958" s="752"/>
      <c r="H958" s="752"/>
      <c r="I958" s="829"/>
      <c r="J958" s="752"/>
      <c r="K958" s="752"/>
      <c r="L958" s="743"/>
      <c r="M958" s="743"/>
      <c r="N958" s="743"/>
      <c r="O958" s="743"/>
      <c r="P958" s="743"/>
      <c r="Q958" s="743"/>
      <c r="R958" s="743"/>
      <c r="S958" s="743"/>
      <c r="T958" s="743"/>
      <c r="U958" s="743"/>
      <c r="V958" s="743"/>
      <c r="W958" s="743"/>
      <c r="X958" s="743"/>
      <c r="Y958" s="743"/>
      <c r="Z958" s="743"/>
      <c r="AA958" s="743"/>
      <c r="AB958" s="743"/>
      <c r="AC958" s="743"/>
      <c r="AD958" s="743"/>
      <c r="AE958" s="743"/>
      <c r="AF958" s="743"/>
      <c r="AG958" s="743"/>
      <c r="AH958" s="743"/>
      <c r="AI958" s="743"/>
      <c r="AJ958" s="743"/>
      <c r="AK958" s="743"/>
      <c r="AL958" s="743"/>
      <c r="AM958" s="743"/>
    </row>
    <row r="959" spans="1:39" ht="17.25">
      <c r="A959" s="752"/>
      <c r="B959" s="752"/>
      <c r="C959" s="752"/>
      <c r="D959" s="752"/>
      <c r="E959" s="752"/>
      <c r="F959" s="752"/>
      <c r="G959" s="752"/>
      <c r="H959" s="752"/>
      <c r="I959" s="829"/>
      <c r="J959" s="752"/>
      <c r="K959" s="752"/>
      <c r="L959" s="743"/>
      <c r="M959" s="743"/>
      <c r="N959" s="743"/>
      <c r="O959" s="743"/>
      <c r="P959" s="743"/>
      <c r="Q959" s="743"/>
      <c r="R959" s="743"/>
      <c r="S959" s="743"/>
      <c r="T959" s="743"/>
      <c r="U959" s="743"/>
      <c r="V959" s="743"/>
      <c r="W959" s="743"/>
      <c r="X959" s="743"/>
      <c r="Y959" s="743"/>
      <c r="Z959" s="743"/>
      <c r="AA959" s="743"/>
      <c r="AB959" s="743"/>
      <c r="AC959" s="743"/>
      <c r="AD959" s="743"/>
      <c r="AE959" s="743"/>
      <c r="AF959" s="743"/>
      <c r="AG959" s="743"/>
      <c r="AH959" s="743"/>
      <c r="AI959" s="743"/>
      <c r="AJ959" s="743"/>
      <c r="AK959" s="743"/>
      <c r="AL959" s="743"/>
      <c r="AM959" s="743"/>
    </row>
    <row r="960" spans="1:39" ht="17.25">
      <c r="A960" s="752"/>
      <c r="B960" s="752"/>
      <c r="C960" s="752"/>
      <c r="D960" s="752"/>
      <c r="E960" s="752"/>
      <c r="F960" s="752"/>
      <c r="G960" s="752"/>
      <c r="H960" s="752"/>
      <c r="I960" s="829"/>
      <c r="J960" s="752"/>
      <c r="K960" s="752"/>
      <c r="L960" s="743"/>
      <c r="M960" s="743"/>
      <c r="N960" s="743"/>
      <c r="O960" s="743"/>
      <c r="P960" s="743"/>
      <c r="Q960" s="743"/>
      <c r="R960" s="743"/>
      <c r="S960" s="743"/>
      <c r="T960" s="743"/>
      <c r="U960" s="743"/>
      <c r="V960" s="743"/>
      <c r="W960" s="743"/>
      <c r="X960" s="743"/>
      <c r="Y960" s="743"/>
      <c r="Z960" s="743"/>
      <c r="AA960" s="743"/>
      <c r="AB960" s="743"/>
      <c r="AC960" s="743"/>
      <c r="AD960" s="743"/>
      <c r="AE960" s="743"/>
      <c r="AF960" s="743"/>
      <c r="AG960" s="743"/>
      <c r="AH960" s="743"/>
      <c r="AI960" s="743"/>
      <c r="AJ960" s="743"/>
      <c r="AK960" s="743"/>
      <c r="AL960" s="743"/>
      <c r="AM960" s="743"/>
    </row>
    <row r="961" spans="1:39" ht="17.25">
      <c r="A961" s="752"/>
      <c r="B961" s="752"/>
      <c r="C961" s="752"/>
      <c r="D961" s="752"/>
      <c r="E961" s="752"/>
      <c r="F961" s="752"/>
      <c r="G961" s="752"/>
      <c r="H961" s="752"/>
      <c r="I961" s="829"/>
      <c r="J961" s="752"/>
      <c r="K961" s="752"/>
      <c r="L961" s="743"/>
      <c r="M961" s="743"/>
      <c r="N961" s="743"/>
      <c r="O961" s="743"/>
      <c r="P961" s="743"/>
      <c r="Q961" s="743"/>
      <c r="R961" s="743"/>
      <c r="S961" s="743"/>
      <c r="T961" s="743"/>
      <c r="U961" s="743"/>
      <c r="V961" s="743"/>
      <c r="W961" s="743"/>
      <c r="X961" s="743"/>
      <c r="Y961" s="743"/>
      <c r="Z961" s="743"/>
      <c r="AA961" s="743"/>
      <c r="AB961" s="743"/>
      <c r="AC961" s="743"/>
      <c r="AD961" s="743"/>
      <c r="AE961" s="743"/>
      <c r="AF961" s="743"/>
      <c r="AG961" s="743"/>
      <c r="AH961" s="743"/>
      <c r="AI961" s="743"/>
      <c r="AJ961" s="743"/>
      <c r="AK961" s="743"/>
      <c r="AL961" s="743"/>
      <c r="AM961" s="743"/>
    </row>
    <row r="962" spans="1:39" ht="17.25">
      <c r="A962" s="752"/>
      <c r="B962" s="752"/>
      <c r="C962" s="752"/>
      <c r="D962" s="752"/>
      <c r="E962" s="752"/>
      <c r="F962" s="752"/>
      <c r="G962" s="752"/>
      <c r="H962" s="752"/>
      <c r="I962" s="829"/>
      <c r="J962" s="752"/>
      <c r="K962" s="752"/>
      <c r="L962" s="743"/>
      <c r="M962" s="743"/>
      <c r="N962" s="743"/>
      <c r="O962" s="743"/>
      <c r="P962" s="743"/>
      <c r="Q962" s="743"/>
      <c r="R962" s="743"/>
      <c r="S962" s="743"/>
      <c r="T962" s="743"/>
      <c r="U962" s="743"/>
      <c r="V962" s="743"/>
      <c r="W962" s="743"/>
      <c r="X962" s="743"/>
      <c r="Y962" s="743"/>
      <c r="Z962" s="743"/>
      <c r="AA962" s="743"/>
      <c r="AB962" s="743"/>
      <c r="AC962" s="743"/>
      <c r="AD962" s="743"/>
      <c r="AE962" s="743"/>
      <c r="AF962" s="743"/>
      <c r="AG962" s="743"/>
      <c r="AH962" s="743"/>
      <c r="AI962" s="743"/>
      <c r="AJ962" s="743"/>
      <c r="AK962" s="743"/>
      <c r="AL962" s="743"/>
      <c r="AM962" s="743"/>
    </row>
    <row r="963" spans="1:39" ht="17.25">
      <c r="A963" s="752"/>
      <c r="B963" s="752"/>
      <c r="C963" s="752"/>
      <c r="D963" s="752"/>
      <c r="E963" s="752"/>
      <c r="F963" s="752"/>
      <c r="G963" s="752"/>
      <c r="H963" s="752"/>
      <c r="I963" s="829"/>
      <c r="J963" s="752"/>
      <c r="K963" s="752"/>
      <c r="L963" s="743"/>
      <c r="M963" s="743"/>
      <c r="N963" s="743"/>
      <c r="O963" s="743"/>
      <c r="P963" s="743"/>
      <c r="Q963" s="743"/>
      <c r="R963" s="743"/>
      <c r="S963" s="743"/>
      <c r="T963" s="743"/>
      <c r="U963" s="743"/>
      <c r="V963" s="743"/>
      <c r="W963" s="743"/>
      <c r="X963" s="743"/>
      <c r="Y963" s="743"/>
      <c r="Z963" s="743"/>
      <c r="AA963" s="743"/>
      <c r="AB963" s="743"/>
      <c r="AC963" s="743"/>
      <c r="AD963" s="743"/>
      <c r="AE963" s="743"/>
      <c r="AF963" s="743"/>
      <c r="AG963" s="743"/>
      <c r="AH963" s="743"/>
      <c r="AI963" s="743"/>
      <c r="AJ963" s="743"/>
      <c r="AK963" s="743"/>
      <c r="AL963" s="743"/>
      <c r="AM963" s="743"/>
    </row>
    <row r="964" spans="1:39" ht="17.25">
      <c r="A964" s="752"/>
      <c r="B964" s="752"/>
      <c r="C964" s="752"/>
      <c r="D964" s="752"/>
      <c r="E964" s="752"/>
      <c r="F964" s="752"/>
      <c r="G964" s="752"/>
      <c r="H964" s="752"/>
      <c r="I964" s="829"/>
      <c r="J964" s="752"/>
      <c r="K964" s="752"/>
      <c r="L964" s="743"/>
      <c r="M964" s="743"/>
      <c r="N964" s="743"/>
      <c r="O964" s="743"/>
      <c r="P964" s="743"/>
      <c r="Q964" s="743"/>
      <c r="R964" s="743"/>
      <c r="S964" s="743"/>
      <c r="T964" s="743"/>
      <c r="U964" s="743"/>
      <c r="V964" s="743"/>
      <c r="W964" s="743"/>
      <c r="X964" s="743"/>
      <c r="Y964" s="743"/>
      <c r="Z964" s="743"/>
      <c r="AA964" s="743"/>
      <c r="AB964" s="743"/>
      <c r="AC964" s="743"/>
      <c r="AD964" s="743"/>
      <c r="AE964" s="743"/>
      <c r="AF964" s="743"/>
      <c r="AG964" s="743"/>
      <c r="AH964" s="743"/>
      <c r="AI964" s="743"/>
      <c r="AJ964" s="743"/>
      <c r="AK964" s="743"/>
      <c r="AL964" s="743"/>
      <c r="AM964" s="743"/>
    </row>
    <row r="965" spans="1:39" ht="17.25">
      <c r="A965" s="752"/>
      <c r="B965" s="752"/>
      <c r="C965" s="752"/>
      <c r="D965" s="752"/>
      <c r="E965" s="752"/>
      <c r="F965" s="752"/>
      <c r="G965" s="752"/>
      <c r="H965" s="752"/>
      <c r="I965" s="829"/>
      <c r="J965" s="752"/>
      <c r="K965" s="752"/>
      <c r="L965" s="743"/>
      <c r="M965" s="743"/>
      <c r="N965" s="743"/>
      <c r="O965" s="743"/>
      <c r="P965" s="743"/>
      <c r="Q965" s="743"/>
      <c r="R965" s="743"/>
      <c r="S965" s="743"/>
      <c r="T965" s="743"/>
      <c r="U965" s="743"/>
      <c r="V965" s="743"/>
      <c r="W965" s="743"/>
      <c r="X965" s="743"/>
      <c r="Y965" s="743"/>
      <c r="Z965" s="743"/>
      <c r="AA965" s="743"/>
      <c r="AB965" s="743"/>
      <c r="AC965" s="743"/>
      <c r="AD965" s="743"/>
      <c r="AE965" s="743"/>
      <c r="AF965" s="743"/>
      <c r="AG965" s="743"/>
      <c r="AH965" s="743"/>
      <c r="AI965" s="743"/>
      <c r="AJ965" s="743"/>
      <c r="AK965" s="743"/>
      <c r="AL965" s="743"/>
      <c r="AM965" s="743"/>
    </row>
    <row r="966" spans="1:39" ht="17.25">
      <c r="A966" s="752"/>
      <c r="B966" s="752"/>
      <c r="C966" s="752"/>
      <c r="D966" s="752"/>
      <c r="E966" s="752"/>
      <c r="F966" s="752"/>
      <c r="G966" s="752"/>
      <c r="H966" s="752"/>
      <c r="I966" s="829"/>
      <c r="J966" s="752"/>
      <c r="K966" s="752"/>
      <c r="L966" s="743"/>
      <c r="M966" s="743"/>
      <c r="N966" s="743"/>
      <c r="O966" s="743"/>
      <c r="P966" s="743"/>
      <c r="Q966" s="743"/>
      <c r="R966" s="743"/>
      <c r="S966" s="743"/>
      <c r="T966" s="743"/>
      <c r="U966" s="743"/>
      <c r="V966" s="743"/>
      <c r="W966" s="743"/>
      <c r="X966" s="743"/>
      <c r="Y966" s="743"/>
      <c r="Z966" s="743"/>
      <c r="AA966" s="743"/>
      <c r="AB966" s="743"/>
      <c r="AC966" s="743"/>
      <c r="AD966" s="743"/>
      <c r="AE966" s="743"/>
      <c r="AF966" s="743"/>
      <c r="AG966" s="743"/>
      <c r="AH966" s="743"/>
      <c r="AI966" s="743"/>
      <c r="AJ966" s="743"/>
      <c r="AK966" s="743"/>
      <c r="AL966" s="743"/>
      <c r="AM966" s="743"/>
    </row>
    <row r="967" spans="1:39" ht="17.25">
      <c r="A967" s="752"/>
      <c r="B967" s="752"/>
      <c r="C967" s="752"/>
      <c r="D967" s="752"/>
      <c r="E967" s="752"/>
      <c r="F967" s="752"/>
      <c r="G967" s="752"/>
      <c r="H967" s="752"/>
      <c r="I967" s="829"/>
      <c r="J967" s="752"/>
      <c r="K967" s="752"/>
      <c r="L967" s="743"/>
      <c r="M967" s="743"/>
      <c r="N967" s="743"/>
      <c r="O967" s="743"/>
      <c r="P967" s="743"/>
      <c r="Q967" s="743"/>
      <c r="R967" s="743"/>
      <c r="S967" s="743"/>
      <c r="T967" s="743"/>
      <c r="U967" s="743"/>
      <c r="V967" s="743"/>
      <c r="W967" s="743"/>
      <c r="X967" s="743"/>
      <c r="Y967" s="743"/>
      <c r="Z967" s="743"/>
      <c r="AA967" s="743"/>
      <c r="AB967" s="743"/>
      <c r="AC967" s="743"/>
      <c r="AD967" s="743"/>
      <c r="AE967" s="743"/>
      <c r="AF967" s="743"/>
      <c r="AG967" s="743"/>
      <c r="AH967" s="743"/>
      <c r="AI967" s="743"/>
      <c r="AJ967" s="743"/>
      <c r="AK967" s="743"/>
      <c r="AL967" s="743"/>
      <c r="AM967" s="743"/>
    </row>
    <row r="968" spans="1:39" ht="17.25">
      <c r="A968" s="752"/>
      <c r="B968" s="752"/>
      <c r="C968" s="752"/>
      <c r="D968" s="752"/>
      <c r="E968" s="752"/>
      <c r="F968" s="752"/>
      <c r="G968" s="752"/>
      <c r="H968" s="752"/>
      <c r="I968" s="829"/>
      <c r="J968" s="752"/>
      <c r="K968" s="752"/>
      <c r="L968" s="743"/>
      <c r="M968" s="743"/>
      <c r="N968" s="743"/>
      <c r="O968" s="743"/>
      <c r="P968" s="743"/>
      <c r="Q968" s="743"/>
      <c r="R968" s="743"/>
      <c r="S968" s="743"/>
      <c r="T968" s="743"/>
      <c r="U968" s="743"/>
      <c r="V968" s="743"/>
      <c r="W968" s="743"/>
      <c r="X968" s="743"/>
      <c r="Y968" s="743"/>
      <c r="Z968" s="743"/>
      <c r="AA968" s="743"/>
      <c r="AB968" s="743"/>
      <c r="AC968" s="743"/>
      <c r="AD968" s="743"/>
      <c r="AE968" s="743"/>
      <c r="AF968" s="743"/>
      <c r="AG968" s="743"/>
      <c r="AH968" s="743"/>
      <c r="AI968" s="743"/>
      <c r="AJ968" s="743"/>
      <c r="AK968" s="743"/>
      <c r="AL968" s="743"/>
      <c r="AM968" s="743"/>
    </row>
    <row r="969" spans="1:39" ht="17.25">
      <c r="A969" s="752"/>
      <c r="B969" s="752"/>
      <c r="C969" s="752"/>
      <c r="D969" s="752"/>
      <c r="E969" s="752"/>
      <c r="F969" s="752"/>
      <c r="G969" s="752"/>
      <c r="H969" s="752"/>
      <c r="I969" s="829"/>
      <c r="J969" s="752"/>
      <c r="K969" s="752"/>
      <c r="L969" s="743"/>
      <c r="M969" s="743"/>
      <c r="N969" s="743"/>
      <c r="O969" s="743"/>
      <c r="P969" s="743"/>
      <c r="Q969" s="743"/>
      <c r="R969" s="743"/>
      <c r="S969" s="743"/>
      <c r="T969" s="743"/>
      <c r="U969" s="743"/>
      <c r="V969" s="743"/>
      <c r="W969" s="743"/>
      <c r="X969" s="743"/>
      <c r="Y969" s="743"/>
      <c r="Z969" s="743"/>
      <c r="AA969" s="743"/>
      <c r="AB969" s="743"/>
      <c r="AC969" s="743"/>
      <c r="AD969" s="743"/>
      <c r="AE969" s="743"/>
      <c r="AF969" s="743"/>
      <c r="AG969" s="743"/>
      <c r="AH969" s="743"/>
      <c r="AI969" s="743"/>
      <c r="AJ969" s="743"/>
      <c r="AK969" s="743"/>
      <c r="AL969" s="743"/>
      <c r="AM969" s="743"/>
    </row>
    <row r="970" spans="1:39" ht="17.25">
      <c r="A970" s="752"/>
      <c r="B970" s="752"/>
      <c r="C970" s="752"/>
      <c r="D970" s="752"/>
      <c r="E970" s="752"/>
      <c r="F970" s="752"/>
      <c r="G970" s="752"/>
      <c r="H970" s="752"/>
      <c r="I970" s="829"/>
      <c r="J970" s="752"/>
      <c r="K970" s="752"/>
      <c r="L970" s="743"/>
      <c r="M970" s="743"/>
      <c r="N970" s="743"/>
      <c r="O970" s="743"/>
      <c r="P970" s="743"/>
      <c r="Q970" s="743"/>
      <c r="R970" s="743"/>
      <c r="S970" s="743"/>
      <c r="T970" s="743"/>
      <c r="U970" s="743"/>
      <c r="V970" s="743"/>
      <c r="W970" s="743"/>
      <c r="X970" s="743"/>
      <c r="Y970" s="743"/>
      <c r="Z970" s="743"/>
      <c r="AA970" s="743"/>
      <c r="AB970" s="743"/>
      <c r="AC970" s="743"/>
      <c r="AD970" s="743"/>
      <c r="AE970" s="743"/>
      <c r="AF970" s="743"/>
      <c r="AG970" s="743"/>
      <c r="AH970" s="743"/>
      <c r="AI970" s="743"/>
      <c r="AJ970" s="743"/>
      <c r="AK970" s="743"/>
      <c r="AL970" s="743"/>
      <c r="AM970" s="743"/>
    </row>
    <row r="971" spans="1:39" ht="17.25">
      <c r="A971" s="752"/>
      <c r="B971" s="752"/>
      <c r="C971" s="752"/>
      <c r="D971" s="752"/>
      <c r="E971" s="752"/>
      <c r="F971" s="752"/>
      <c r="G971" s="752"/>
      <c r="H971" s="752"/>
      <c r="I971" s="829"/>
      <c r="J971" s="752"/>
      <c r="K971" s="752"/>
      <c r="L971" s="743"/>
      <c r="M971" s="743"/>
      <c r="N971" s="743"/>
      <c r="O971" s="743"/>
      <c r="P971" s="743"/>
      <c r="Q971" s="743"/>
      <c r="R971" s="743"/>
      <c r="S971" s="743"/>
      <c r="T971" s="743"/>
      <c r="U971" s="743"/>
      <c r="V971" s="743"/>
      <c r="W971" s="743"/>
      <c r="X971" s="743"/>
      <c r="Y971" s="743"/>
      <c r="Z971" s="743"/>
      <c r="AA971" s="743"/>
      <c r="AB971" s="743"/>
      <c r="AC971" s="743"/>
      <c r="AD971" s="743"/>
      <c r="AE971" s="743"/>
      <c r="AF971" s="743"/>
      <c r="AG971" s="743"/>
      <c r="AH971" s="743"/>
      <c r="AI971" s="743"/>
      <c r="AJ971" s="743"/>
      <c r="AK971" s="743"/>
      <c r="AL971" s="743"/>
      <c r="AM971" s="743"/>
    </row>
    <row r="972" spans="1:39" ht="17.25">
      <c r="A972" s="752"/>
      <c r="B972" s="752"/>
      <c r="C972" s="752"/>
      <c r="D972" s="752"/>
      <c r="E972" s="752"/>
      <c r="F972" s="752"/>
      <c r="G972" s="752"/>
      <c r="H972" s="752"/>
      <c r="I972" s="829"/>
      <c r="J972" s="752"/>
      <c r="K972" s="752"/>
      <c r="L972" s="743"/>
      <c r="M972" s="743"/>
      <c r="N972" s="743"/>
      <c r="O972" s="743"/>
      <c r="P972" s="743"/>
      <c r="Q972" s="743"/>
      <c r="R972" s="743"/>
      <c r="S972" s="743"/>
      <c r="T972" s="743"/>
      <c r="U972" s="743"/>
      <c r="V972" s="743"/>
      <c r="W972" s="743"/>
      <c r="X972" s="743"/>
      <c r="Y972" s="743"/>
      <c r="Z972" s="743"/>
      <c r="AA972" s="743"/>
      <c r="AB972" s="743"/>
      <c r="AC972" s="743"/>
      <c r="AD972" s="743"/>
      <c r="AE972" s="743"/>
      <c r="AF972" s="743"/>
      <c r="AG972" s="743"/>
      <c r="AH972" s="743"/>
      <c r="AI972" s="743"/>
      <c r="AJ972" s="743"/>
      <c r="AK972" s="743"/>
      <c r="AL972" s="743"/>
      <c r="AM972" s="743"/>
    </row>
    <row r="973" spans="1:39" ht="17.25">
      <c r="A973" s="752"/>
      <c r="B973" s="752"/>
      <c r="C973" s="752"/>
      <c r="D973" s="752"/>
      <c r="E973" s="752"/>
      <c r="F973" s="752"/>
      <c r="G973" s="752"/>
      <c r="H973" s="752"/>
      <c r="I973" s="829"/>
      <c r="J973" s="752"/>
      <c r="K973" s="752"/>
      <c r="L973" s="743"/>
      <c r="M973" s="743"/>
      <c r="N973" s="743"/>
      <c r="O973" s="743"/>
      <c r="P973" s="743"/>
      <c r="Q973" s="743"/>
      <c r="R973" s="743"/>
      <c r="S973" s="743"/>
      <c r="T973" s="743"/>
      <c r="U973" s="743"/>
      <c r="V973" s="743"/>
      <c r="W973" s="743"/>
      <c r="X973" s="743"/>
      <c r="Y973" s="743"/>
      <c r="Z973" s="743"/>
      <c r="AA973" s="743"/>
      <c r="AB973" s="743"/>
      <c r="AC973" s="743"/>
      <c r="AD973" s="743"/>
      <c r="AE973" s="743"/>
      <c r="AF973" s="743"/>
      <c r="AG973" s="743"/>
      <c r="AH973" s="743"/>
      <c r="AI973" s="743"/>
      <c r="AJ973" s="743"/>
      <c r="AK973" s="743"/>
      <c r="AL973" s="743"/>
      <c r="AM973" s="743"/>
    </row>
    <row r="974" spans="1:39" ht="17.25">
      <c r="A974" s="752"/>
      <c r="B974" s="752"/>
      <c r="C974" s="752"/>
      <c r="D974" s="752"/>
      <c r="E974" s="752"/>
      <c r="F974" s="752"/>
      <c r="G974" s="752"/>
      <c r="H974" s="752"/>
      <c r="I974" s="829"/>
      <c r="J974" s="752"/>
      <c r="K974" s="752"/>
      <c r="L974" s="743"/>
      <c r="M974" s="743"/>
      <c r="N974" s="743"/>
      <c r="O974" s="743"/>
      <c r="P974" s="743"/>
      <c r="Q974" s="743"/>
      <c r="R974" s="743"/>
      <c r="S974" s="743"/>
      <c r="T974" s="743"/>
      <c r="U974" s="743"/>
      <c r="V974" s="743"/>
      <c r="W974" s="743"/>
      <c r="X974" s="743"/>
      <c r="Y974" s="743"/>
      <c r="Z974" s="743"/>
      <c r="AA974" s="743"/>
      <c r="AB974" s="743"/>
      <c r="AC974" s="743"/>
      <c r="AD974" s="743"/>
      <c r="AE974" s="743"/>
      <c r="AF974" s="743"/>
      <c r="AG974" s="743"/>
      <c r="AH974" s="743"/>
      <c r="AI974" s="743"/>
      <c r="AJ974" s="743"/>
      <c r="AK974" s="743"/>
      <c r="AL974" s="743"/>
      <c r="AM974" s="743"/>
    </row>
    <row r="975" spans="1:39" ht="17.25">
      <c r="A975" s="752"/>
      <c r="B975" s="752"/>
      <c r="C975" s="752"/>
      <c r="D975" s="752"/>
      <c r="E975" s="752"/>
      <c r="F975" s="752"/>
      <c r="G975" s="752"/>
      <c r="H975" s="752"/>
      <c r="I975" s="829"/>
      <c r="J975" s="752"/>
      <c r="K975" s="752"/>
      <c r="L975" s="743"/>
      <c r="M975" s="743"/>
      <c r="N975" s="743"/>
      <c r="O975" s="743"/>
      <c r="P975" s="743"/>
      <c r="Q975" s="743"/>
      <c r="R975" s="743"/>
      <c r="S975" s="743"/>
      <c r="T975" s="743"/>
      <c r="U975" s="743"/>
      <c r="V975" s="743"/>
      <c r="W975" s="743"/>
      <c r="X975" s="743"/>
      <c r="Y975" s="743"/>
      <c r="Z975" s="743"/>
      <c r="AA975" s="743"/>
      <c r="AB975" s="743"/>
      <c r="AC975" s="743"/>
      <c r="AD975" s="743"/>
      <c r="AE975" s="743"/>
      <c r="AF975" s="743"/>
      <c r="AG975" s="743"/>
      <c r="AH975" s="743"/>
      <c r="AI975" s="743"/>
      <c r="AJ975" s="743"/>
      <c r="AK975" s="743"/>
      <c r="AL975" s="743"/>
      <c r="AM975" s="743"/>
    </row>
    <row r="976" spans="1:39" ht="17.25">
      <c r="A976" s="752"/>
      <c r="B976" s="752"/>
      <c r="C976" s="752"/>
      <c r="D976" s="752"/>
      <c r="E976" s="752"/>
      <c r="F976" s="752"/>
      <c r="G976" s="752"/>
      <c r="H976" s="752"/>
      <c r="I976" s="829"/>
      <c r="J976" s="752"/>
      <c r="K976" s="752"/>
      <c r="L976" s="743"/>
      <c r="M976" s="743"/>
      <c r="N976" s="743"/>
      <c r="O976" s="743"/>
      <c r="P976" s="743"/>
      <c r="Q976" s="743"/>
      <c r="R976" s="743"/>
      <c r="S976" s="743"/>
      <c r="T976" s="743"/>
      <c r="U976" s="743"/>
      <c r="V976" s="743"/>
      <c r="W976" s="743"/>
      <c r="X976" s="743"/>
      <c r="Y976" s="743"/>
      <c r="Z976" s="743"/>
      <c r="AA976" s="743"/>
      <c r="AB976" s="743"/>
      <c r="AC976" s="743"/>
      <c r="AD976" s="743"/>
      <c r="AE976" s="743"/>
      <c r="AF976" s="743"/>
      <c r="AG976" s="743"/>
      <c r="AH976" s="743"/>
      <c r="AI976" s="743"/>
      <c r="AJ976" s="743"/>
      <c r="AK976" s="743"/>
      <c r="AL976" s="743"/>
      <c r="AM976" s="743"/>
    </row>
    <row r="977" spans="1:39" ht="17.25">
      <c r="A977" s="752"/>
      <c r="B977" s="752"/>
      <c r="C977" s="752"/>
      <c r="D977" s="752"/>
      <c r="E977" s="752"/>
      <c r="F977" s="752"/>
      <c r="G977" s="752"/>
      <c r="H977" s="752"/>
      <c r="I977" s="829"/>
      <c r="J977" s="752"/>
      <c r="K977" s="752"/>
      <c r="L977" s="743"/>
      <c r="M977" s="743"/>
      <c r="N977" s="743"/>
      <c r="O977" s="743"/>
      <c r="P977" s="743"/>
      <c r="Q977" s="743"/>
      <c r="R977" s="743"/>
      <c r="S977" s="743"/>
      <c r="T977" s="743"/>
      <c r="U977" s="743"/>
      <c r="V977" s="743"/>
      <c r="W977" s="743"/>
      <c r="X977" s="743"/>
      <c r="Y977" s="743"/>
      <c r="Z977" s="743"/>
      <c r="AA977" s="743"/>
      <c r="AB977" s="743"/>
      <c r="AC977" s="743"/>
      <c r="AD977" s="743"/>
      <c r="AE977" s="743"/>
      <c r="AF977" s="743"/>
      <c r="AG977" s="743"/>
      <c r="AH977" s="743"/>
      <c r="AI977" s="743"/>
      <c r="AJ977" s="743"/>
      <c r="AK977" s="743"/>
      <c r="AL977" s="743"/>
      <c r="AM977" s="743"/>
    </row>
    <row r="978" spans="1:39" ht="17.25">
      <c r="A978" s="752"/>
      <c r="B978" s="752"/>
      <c r="C978" s="752"/>
      <c r="D978" s="752"/>
      <c r="E978" s="752"/>
      <c r="F978" s="752"/>
      <c r="G978" s="752"/>
      <c r="H978" s="752"/>
      <c r="I978" s="829"/>
      <c r="J978" s="752"/>
      <c r="K978" s="752"/>
      <c r="L978" s="743"/>
      <c r="M978" s="743"/>
      <c r="N978" s="743"/>
      <c r="O978" s="743"/>
      <c r="P978" s="743"/>
      <c r="Q978" s="743"/>
      <c r="R978" s="743"/>
      <c r="S978" s="743"/>
      <c r="T978" s="743"/>
      <c r="U978" s="743"/>
      <c r="V978" s="743"/>
      <c r="W978" s="743"/>
      <c r="X978" s="743"/>
      <c r="Y978" s="743"/>
      <c r="Z978" s="743"/>
      <c r="AA978" s="743"/>
      <c r="AB978" s="743"/>
      <c r="AC978" s="743"/>
      <c r="AD978" s="743"/>
      <c r="AE978" s="743"/>
      <c r="AF978" s="743"/>
      <c r="AG978" s="743"/>
      <c r="AH978" s="743"/>
      <c r="AI978" s="743"/>
      <c r="AJ978" s="743"/>
      <c r="AK978" s="743"/>
      <c r="AL978" s="743"/>
      <c r="AM978" s="743"/>
    </row>
    <row r="979" spans="1:39" ht="17.25">
      <c r="A979" s="752"/>
      <c r="B979" s="752"/>
      <c r="C979" s="752"/>
      <c r="D979" s="752"/>
      <c r="E979" s="752"/>
      <c r="F979" s="752"/>
      <c r="G979" s="752"/>
      <c r="H979" s="752"/>
      <c r="I979" s="829"/>
      <c r="J979" s="752"/>
      <c r="K979" s="752"/>
      <c r="L979" s="743"/>
      <c r="M979" s="743"/>
      <c r="N979" s="743"/>
      <c r="O979" s="743"/>
      <c r="P979" s="743"/>
      <c r="Q979" s="743"/>
      <c r="R979" s="743"/>
      <c r="S979" s="743"/>
      <c r="T979" s="743"/>
      <c r="U979" s="743"/>
      <c r="V979" s="743"/>
      <c r="W979" s="743"/>
      <c r="X979" s="743"/>
      <c r="Y979" s="743"/>
      <c r="Z979" s="743"/>
      <c r="AA979" s="743"/>
      <c r="AB979" s="743"/>
      <c r="AC979" s="743"/>
      <c r="AD979" s="743"/>
      <c r="AE979" s="743"/>
      <c r="AF979" s="743"/>
      <c r="AG979" s="743"/>
      <c r="AH979" s="743"/>
      <c r="AI979" s="743"/>
      <c r="AJ979" s="743"/>
      <c r="AK979" s="743"/>
      <c r="AL979" s="743"/>
      <c r="AM979" s="743"/>
    </row>
    <row r="980" spans="1:39" ht="17.25">
      <c r="A980" s="752"/>
      <c r="B980" s="752"/>
      <c r="C980" s="752"/>
      <c r="D980" s="752"/>
      <c r="E980" s="752"/>
      <c r="F980" s="752"/>
      <c r="G980" s="752"/>
      <c r="H980" s="752"/>
      <c r="I980" s="752"/>
      <c r="J980" s="752"/>
      <c r="K980" s="752"/>
      <c r="L980" s="743"/>
      <c r="M980" s="743"/>
      <c r="N980" s="743"/>
      <c r="O980" s="743"/>
      <c r="P980" s="743"/>
      <c r="Q980" s="743"/>
      <c r="R980" s="743"/>
      <c r="S980" s="743"/>
      <c r="T980" s="743"/>
      <c r="U980" s="743"/>
      <c r="V980" s="743"/>
      <c r="W980" s="743"/>
      <c r="X980" s="743"/>
      <c r="Y980" s="743"/>
      <c r="Z980" s="743"/>
      <c r="AA980" s="743"/>
      <c r="AB980" s="743"/>
      <c r="AC980" s="743"/>
      <c r="AD980" s="743"/>
      <c r="AE980" s="743"/>
      <c r="AF980" s="743"/>
      <c r="AG980" s="743"/>
      <c r="AH980" s="743"/>
      <c r="AI980" s="743"/>
      <c r="AJ980" s="743"/>
      <c r="AK980" s="743"/>
      <c r="AL980" s="743"/>
      <c r="AM980" s="743"/>
    </row>
    <row r="981" spans="1:39" ht="17.25">
      <c r="A981" s="752"/>
      <c r="B981" s="752"/>
      <c r="C981" s="752"/>
      <c r="D981" s="752"/>
      <c r="E981" s="752"/>
      <c r="F981" s="752"/>
      <c r="G981" s="752"/>
      <c r="H981" s="752"/>
      <c r="I981" s="752"/>
      <c r="J981" s="752"/>
      <c r="K981" s="752"/>
      <c r="L981" s="743"/>
      <c r="M981" s="743"/>
      <c r="N981" s="743"/>
      <c r="O981" s="743"/>
      <c r="P981" s="743"/>
      <c r="Q981" s="743"/>
      <c r="R981" s="743"/>
      <c r="S981" s="743"/>
      <c r="T981" s="743"/>
      <c r="U981" s="743"/>
      <c r="V981" s="743"/>
      <c r="W981" s="743"/>
      <c r="X981" s="743"/>
      <c r="Y981" s="743"/>
      <c r="Z981" s="743"/>
      <c r="AA981" s="743"/>
      <c r="AB981" s="743"/>
      <c r="AC981" s="743"/>
      <c r="AD981" s="743"/>
      <c r="AE981" s="743"/>
      <c r="AF981" s="743"/>
      <c r="AG981" s="743"/>
      <c r="AH981" s="743"/>
      <c r="AI981" s="743"/>
      <c r="AJ981" s="743"/>
      <c r="AK981" s="743"/>
      <c r="AL981" s="743"/>
      <c r="AM981" s="743"/>
    </row>
    <row r="982" spans="1:39" ht="17.25">
      <c r="A982" s="752"/>
      <c r="B982" s="752"/>
      <c r="C982" s="752"/>
      <c r="D982" s="752"/>
      <c r="E982" s="752"/>
      <c r="F982" s="752"/>
      <c r="G982" s="752"/>
      <c r="H982" s="752"/>
      <c r="I982" s="752"/>
      <c r="J982" s="752"/>
      <c r="K982" s="752"/>
      <c r="L982" s="743"/>
      <c r="M982" s="743"/>
      <c r="N982" s="743"/>
      <c r="O982" s="743"/>
      <c r="P982" s="743"/>
      <c r="Q982" s="743"/>
      <c r="R982" s="743"/>
      <c r="S982" s="743"/>
      <c r="T982" s="743"/>
      <c r="U982" s="743"/>
      <c r="V982" s="743"/>
      <c r="W982" s="743"/>
      <c r="X982" s="743"/>
      <c r="Y982" s="743"/>
      <c r="Z982" s="743"/>
      <c r="AA982" s="743"/>
      <c r="AB982" s="743"/>
      <c r="AC982" s="743"/>
      <c r="AD982" s="743"/>
      <c r="AE982" s="743"/>
      <c r="AF982" s="743"/>
      <c r="AG982" s="743"/>
      <c r="AH982" s="743"/>
      <c r="AI982" s="743"/>
      <c r="AJ982" s="743"/>
      <c r="AK982" s="743"/>
      <c r="AL982" s="743"/>
      <c r="AM982" s="743"/>
    </row>
    <row r="983" spans="1:39" ht="17.25">
      <c r="A983" s="828"/>
      <c r="B983" s="828"/>
      <c r="C983" s="828"/>
      <c r="D983" s="828"/>
      <c r="E983" s="828"/>
      <c r="F983" s="828"/>
      <c r="G983" s="828"/>
      <c r="H983" s="828"/>
      <c r="I983" s="828"/>
      <c r="J983" s="828"/>
      <c r="K983" s="828"/>
      <c r="L983" s="743"/>
      <c r="M983" s="743"/>
      <c r="N983" s="743"/>
      <c r="O983" s="743"/>
      <c r="P983" s="743"/>
      <c r="Q983" s="743"/>
      <c r="R983" s="743"/>
      <c r="S983" s="743"/>
      <c r="T983" s="743"/>
      <c r="U983" s="743"/>
      <c r="V983" s="743"/>
      <c r="W983" s="743"/>
      <c r="X983" s="743"/>
      <c r="Y983" s="743"/>
      <c r="Z983" s="743"/>
      <c r="AA983" s="743"/>
      <c r="AB983" s="743"/>
      <c r="AC983" s="743"/>
      <c r="AD983" s="743"/>
      <c r="AE983" s="743"/>
      <c r="AF983" s="743"/>
      <c r="AG983" s="743"/>
      <c r="AH983" s="743"/>
      <c r="AI983" s="743"/>
      <c r="AJ983" s="743"/>
      <c r="AK983" s="743"/>
      <c r="AL983" s="743"/>
      <c r="AM983" s="743"/>
    </row>
  </sheetData>
  <autoFilter ref="A1:AM983"/>
  <conditionalFormatting sqref="P77:Q77 AH77">
    <cfRule type="expression" dxfId="3855" priority="1">
      <formula>AND(ISNUMBER(P77),TRUNC(P77)&lt;TODAY())</formula>
    </cfRule>
  </conditionalFormatting>
  <conditionalFormatting sqref="I71 O74">
    <cfRule type="expression" dxfId="3854" priority="2">
      <formula>AND(ISNUMBER(I71),TRUNC(I71)&lt;TODAY())</formula>
    </cfRule>
  </conditionalFormatting>
  <conditionalFormatting sqref="P74">
    <cfRule type="expression" dxfId="3853" priority="3">
      <formula>AND(ISNUMBER(P74),TRUNC(P74)&lt;TODAY())</formula>
    </cfRule>
  </conditionalFormatting>
  <conditionalFormatting sqref="O73:Q73">
    <cfRule type="expression" dxfId="3852" priority="4">
      <formula>AND(ISNUMBER(O73),TRUNC(O73)&lt;TODAY())</formula>
    </cfRule>
  </conditionalFormatting>
  <conditionalFormatting sqref="X62">
    <cfRule type="notContainsBlanks" dxfId="3851" priority="5">
      <formula>LEN(TRIM(X62))&gt;0</formula>
    </cfRule>
  </conditionalFormatting>
  <conditionalFormatting sqref="R62">
    <cfRule type="expression" dxfId="3850" priority="6">
      <formula>AND(ISNUMBER(R62),TRUNC(R62)&lt;TODAY())</formula>
    </cfRule>
  </conditionalFormatting>
  <conditionalFormatting sqref="Q62">
    <cfRule type="expression" dxfId="3849" priority="7">
      <formula>AND(ISNUMBER(Q62),TRUNC(Q62)&lt;TODAY())</formula>
    </cfRule>
  </conditionalFormatting>
  <conditionalFormatting sqref="S62">
    <cfRule type="expression" dxfId="3848" priority="8">
      <formula>AND(ISNUMBER(S62),TRUNC(S62)&lt;TODAY())</formula>
    </cfRule>
  </conditionalFormatting>
  <dataValidations count="3">
    <dataValidation type="list" allowBlank="1" sqref="J67 H73">
      <formula1>"A,B,C"</formula1>
    </dataValidation>
    <dataValidation type="custom" allowBlank="1" showDropDown="1" showInputMessage="1" showErrorMessage="1" prompt="Enter a valid date" sqref="O62 Q62:S62 H67 M73:Q73 H74:I74 O74:Q74">
      <formula1>OR(NOT(ISERROR(DATEVALUE(H62))), AND(ISNUMBER(H62), LEFT(CELL("format", H62))="D"))</formula1>
    </dataValidation>
    <dataValidation type="list" allowBlank="1" showErrorMessage="1" sqref="R77">
      <formula1>"Elect,DSL"</formula1>
    </dataValidation>
  </dataValidations>
  <hyperlinks>
    <hyperlink ref="T62" r:id="rId1"/>
    <hyperlink ref="R73" r:id="rId2"/>
    <hyperlink ref="R74" r:id="rId3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M1010"/>
  <sheetViews>
    <sheetView workbookViewId="0"/>
  </sheetViews>
  <sheetFormatPr defaultColWidth="14.42578125" defaultRowHeight="15" customHeight="1"/>
  <cols>
    <col min="1" max="1" width="6.5703125" customWidth="1"/>
    <col min="2" max="2" width="31.5703125" customWidth="1"/>
    <col min="4" max="4" width="22.5703125" customWidth="1"/>
    <col min="8" max="8" width="28.28515625" customWidth="1"/>
    <col min="9" max="9" width="25.5703125" customWidth="1"/>
    <col min="11" max="11" width="19.7109375" customWidth="1"/>
    <col min="12" max="12" width="22.140625" customWidth="1"/>
    <col min="14" max="14" width="17.28515625" customWidth="1"/>
    <col min="16" max="16" width="17.140625" customWidth="1"/>
    <col min="18" max="18" width="18.28515625" customWidth="1"/>
    <col min="21" max="21" width="35.140625" customWidth="1"/>
    <col min="22" max="22" width="22.7109375" customWidth="1"/>
  </cols>
  <sheetData>
    <row r="1" spans="1:39" ht="15.75">
      <c r="A1" s="830" t="s">
        <v>40</v>
      </c>
      <c r="B1" s="831" t="s">
        <v>430</v>
      </c>
      <c r="C1" s="832" t="s">
        <v>431</v>
      </c>
      <c r="D1" s="833" t="s">
        <v>432</v>
      </c>
      <c r="E1" s="831" t="s">
        <v>1005</v>
      </c>
      <c r="F1" s="834" t="s">
        <v>1006</v>
      </c>
      <c r="G1" s="835" t="s">
        <v>29</v>
      </c>
      <c r="H1" s="831" t="s">
        <v>23</v>
      </c>
      <c r="I1" s="836" t="s">
        <v>435</v>
      </c>
      <c r="J1" s="836" t="s">
        <v>130</v>
      </c>
      <c r="K1" s="836" t="s">
        <v>1007</v>
      </c>
      <c r="L1" s="836" t="s">
        <v>1008</v>
      </c>
      <c r="M1" s="836" t="s">
        <v>1009</v>
      </c>
      <c r="N1" s="197" t="s">
        <v>821</v>
      </c>
      <c r="O1" s="197" t="s">
        <v>1010</v>
      </c>
    </row>
    <row r="2" spans="1:39">
      <c r="A2" s="686">
        <v>1</v>
      </c>
      <c r="B2" s="293" t="s">
        <v>1011</v>
      </c>
      <c r="C2" s="293" t="s">
        <v>31</v>
      </c>
      <c r="D2" s="304">
        <v>50211642336</v>
      </c>
      <c r="E2" s="293">
        <v>9002079022</v>
      </c>
      <c r="F2" s="284">
        <v>9330107850</v>
      </c>
      <c r="G2" s="293" t="s">
        <v>290</v>
      </c>
      <c r="H2" s="293" t="s">
        <v>1012</v>
      </c>
      <c r="I2" s="272">
        <v>22040</v>
      </c>
      <c r="J2" s="272">
        <v>43982</v>
      </c>
      <c r="K2" s="272">
        <v>44119</v>
      </c>
      <c r="L2" s="279">
        <v>45043</v>
      </c>
      <c r="M2" s="272">
        <v>44918</v>
      </c>
      <c r="N2" s="197" t="s">
        <v>1013</v>
      </c>
      <c r="O2" s="197" t="s">
        <v>1014</v>
      </c>
    </row>
    <row r="3" spans="1:39">
      <c r="A3" s="686">
        <v>2</v>
      </c>
      <c r="B3" s="649" t="s">
        <v>1015</v>
      </c>
      <c r="C3" s="649" t="s">
        <v>31</v>
      </c>
      <c r="D3" s="837">
        <v>50205305196</v>
      </c>
      <c r="E3" s="649">
        <v>9002071299</v>
      </c>
      <c r="F3" s="650"/>
      <c r="G3" s="649" t="s">
        <v>261</v>
      </c>
      <c r="H3" s="649" t="s">
        <v>1016</v>
      </c>
      <c r="I3" s="481">
        <v>22133</v>
      </c>
      <c r="J3" s="481">
        <v>43982</v>
      </c>
      <c r="K3" s="481">
        <v>43978</v>
      </c>
      <c r="L3" s="481">
        <v>44428</v>
      </c>
      <c r="M3" s="481">
        <v>44975</v>
      </c>
      <c r="N3" s="197" t="s">
        <v>1013</v>
      </c>
      <c r="O3" s="197" t="s">
        <v>1014</v>
      </c>
      <c r="P3" s="493"/>
      <c r="Q3" s="493"/>
      <c r="R3" s="298">
        <f>LEN(TEXT(D3,0))</f>
        <v>11</v>
      </c>
    </row>
    <row r="4" spans="1:39">
      <c r="A4" s="137">
        <v>3</v>
      </c>
      <c r="B4" s="197" t="s">
        <v>1017</v>
      </c>
      <c r="C4" s="838" t="s">
        <v>81</v>
      </c>
      <c r="F4" s="90"/>
      <c r="G4" s="197" t="s">
        <v>1018</v>
      </c>
      <c r="I4" s="90"/>
      <c r="J4" s="90"/>
      <c r="L4" s="90"/>
      <c r="N4" s="197" t="s">
        <v>1019</v>
      </c>
      <c r="O4" s="197" t="s">
        <v>1020</v>
      </c>
    </row>
    <row r="5" spans="1:39">
      <c r="A5" s="90"/>
      <c r="C5" s="89"/>
      <c r="F5" s="90"/>
      <c r="I5" s="90"/>
      <c r="J5" s="90"/>
      <c r="L5" s="90"/>
    </row>
    <row r="6" spans="1:39">
      <c r="A6" s="839"/>
      <c r="B6" s="840" t="s">
        <v>1021</v>
      </c>
      <c r="C6" s="840" t="s">
        <v>31</v>
      </c>
      <c r="D6" s="841">
        <v>50205384382</v>
      </c>
      <c r="E6" s="840">
        <v>9002071293</v>
      </c>
      <c r="F6" s="690"/>
      <c r="G6" s="293" t="s">
        <v>290</v>
      </c>
      <c r="H6" s="840" t="s">
        <v>1022</v>
      </c>
      <c r="I6" s="272">
        <v>23373</v>
      </c>
      <c r="J6" s="272">
        <v>48944</v>
      </c>
      <c r="K6" s="272">
        <v>44189</v>
      </c>
      <c r="L6" s="279">
        <v>44792</v>
      </c>
      <c r="M6" s="272">
        <v>44799</v>
      </c>
      <c r="N6" s="842" t="s">
        <v>1023</v>
      </c>
      <c r="O6" s="197" t="s">
        <v>1024</v>
      </c>
    </row>
    <row r="7" spans="1:39" ht="15.75" customHeight="1">
      <c r="A7" s="645"/>
      <c r="B7" s="644" t="s">
        <v>1025</v>
      </c>
      <c r="C7" s="644" t="s">
        <v>31</v>
      </c>
      <c r="D7" s="675">
        <v>50205569084</v>
      </c>
      <c r="E7" s="644">
        <v>9002071653</v>
      </c>
      <c r="F7" s="645"/>
      <c r="G7" s="644" t="s">
        <v>253</v>
      </c>
      <c r="H7" s="644" t="s">
        <v>306</v>
      </c>
      <c r="I7" s="843">
        <v>29712</v>
      </c>
      <c r="J7" s="844">
        <v>51682</v>
      </c>
      <c r="K7" s="843">
        <v>44997</v>
      </c>
      <c r="L7" s="678">
        <v>44372</v>
      </c>
      <c r="M7" s="679">
        <v>44536</v>
      </c>
      <c r="N7" s="197" t="s">
        <v>1026</v>
      </c>
      <c r="O7" s="441" t="s">
        <v>1024</v>
      </c>
      <c r="P7" s="425"/>
      <c r="Q7" s="425"/>
      <c r="R7" s="425"/>
      <c r="S7" s="425">
        <f>LEN(D7)</f>
        <v>11</v>
      </c>
    </row>
    <row r="8" spans="1:39" ht="15.75" customHeight="1">
      <c r="A8" s="650"/>
      <c r="B8" s="649" t="s">
        <v>1027</v>
      </c>
      <c r="C8" s="649" t="s">
        <v>31</v>
      </c>
      <c r="D8" s="845">
        <v>50204652435</v>
      </c>
      <c r="E8" s="846">
        <v>9002071014</v>
      </c>
      <c r="F8" s="837">
        <v>9002071014</v>
      </c>
      <c r="G8" s="649" t="s">
        <v>261</v>
      </c>
      <c r="H8" s="649" t="s">
        <v>1028</v>
      </c>
      <c r="I8" s="481">
        <v>22084</v>
      </c>
      <c r="J8" s="481">
        <v>44012</v>
      </c>
      <c r="K8" s="424">
        <v>44017</v>
      </c>
      <c r="L8" s="481">
        <v>44316</v>
      </c>
      <c r="M8" s="481">
        <v>44132</v>
      </c>
      <c r="N8" s="197" t="s">
        <v>1029</v>
      </c>
      <c r="O8" s="842" t="s">
        <v>1024</v>
      </c>
      <c r="P8" s="493"/>
      <c r="Q8" s="493"/>
      <c r="R8" s="493"/>
      <c r="S8" s="298">
        <f>LEN(TEXT(D8,0))</f>
        <v>11</v>
      </c>
      <c r="T8" s="298"/>
      <c r="U8" s="298"/>
      <c r="V8" s="298"/>
      <c r="W8" s="298"/>
      <c r="X8" s="298"/>
      <c r="Y8" s="298"/>
      <c r="Z8" s="298"/>
      <c r="AA8" s="298"/>
      <c r="AB8" s="298"/>
      <c r="AC8" s="298"/>
      <c r="AD8" s="298"/>
      <c r="AE8" s="298"/>
      <c r="AF8" s="298"/>
      <c r="AG8" s="298"/>
      <c r="AH8" s="298"/>
      <c r="AI8" s="298"/>
      <c r="AJ8" s="298"/>
      <c r="AK8" s="298"/>
      <c r="AL8" s="298"/>
      <c r="AM8" s="298"/>
    </row>
    <row r="9" spans="1:39">
      <c r="A9" s="137"/>
      <c r="B9" s="197" t="s">
        <v>1030</v>
      </c>
      <c r="C9" s="838" t="s">
        <v>1031</v>
      </c>
      <c r="F9" s="90"/>
      <c r="I9" s="90"/>
      <c r="J9" s="90"/>
      <c r="L9" s="90"/>
      <c r="M9" s="847">
        <v>44012</v>
      </c>
      <c r="N9" s="197" t="s">
        <v>1029</v>
      </c>
      <c r="O9" s="197" t="s">
        <v>1024</v>
      </c>
    </row>
    <row r="10" spans="1:39" ht="16.5" customHeight="1">
      <c r="A10" s="90"/>
      <c r="C10" s="89"/>
      <c r="F10" s="90"/>
      <c r="I10" s="90"/>
      <c r="J10" s="90"/>
    </row>
    <row r="11" spans="1:39" ht="21" customHeight="1">
      <c r="A11" s="90"/>
      <c r="C11" s="89"/>
      <c r="F11" s="90"/>
      <c r="I11" s="90"/>
      <c r="J11" s="90"/>
    </row>
    <row r="12" spans="1:39">
      <c r="A12" s="839"/>
      <c r="B12" s="840" t="s">
        <v>1032</v>
      </c>
      <c r="C12" s="840" t="s">
        <v>31</v>
      </c>
      <c r="D12" s="304">
        <v>50205316339</v>
      </c>
      <c r="E12" s="840">
        <v>9002071613</v>
      </c>
      <c r="F12" s="848">
        <v>9002071613</v>
      </c>
      <c r="G12" s="293" t="s">
        <v>290</v>
      </c>
      <c r="H12" s="840" t="s">
        <v>103</v>
      </c>
      <c r="I12" s="272">
        <v>23756</v>
      </c>
      <c r="J12" s="272">
        <v>45688</v>
      </c>
      <c r="K12" s="849"/>
      <c r="L12" s="850">
        <v>43878</v>
      </c>
      <c r="M12" s="272">
        <v>44890</v>
      </c>
      <c r="N12" s="197" t="s">
        <v>1033</v>
      </c>
      <c r="O12" s="197" t="s">
        <v>1034</v>
      </c>
    </row>
    <row r="13" spans="1:39">
      <c r="A13" s="624"/>
      <c r="B13" s="301" t="s">
        <v>1035</v>
      </c>
      <c r="C13" s="293" t="s">
        <v>22</v>
      </c>
      <c r="D13" s="414">
        <v>50205672387</v>
      </c>
      <c r="E13" s="293">
        <v>6203282536</v>
      </c>
      <c r="F13" s="275"/>
      <c r="G13" s="293" t="s">
        <v>315</v>
      </c>
      <c r="H13" s="293" t="s">
        <v>97</v>
      </c>
      <c r="I13" s="272">
        <v>33604</v>
      </c>
      <c r="J13" s="272">
        <v>55518</v>
      </c>
      <c r="K13" s="277">
        <v>44566</v>
      </c>
      <c r="L13" s="272">
        <v>44566</v>
      </c>
      <c r="M13" s="851">
        <v>44431</v>
      </c>
      <c r="N13" s="852" t="s">
        <v>1036</v>
      </c>
      <c r="O13" s="197" t="s">
        <v>1034</v>
      </c>
    </row>
    <row r="14" spans="1:39">
      <c r="A14" s="90"/>
      <c r="C14" s="89"/>
      <c r="F14" s="90"/>
      <c r="I14" s="90"/>
      <c r="J14" s="90"/>
      <c r="L14" s="90"/>
    </row>
    <row r="15" spans="1:39">
      <c r="A15" s="137"/>
      <c r="B15" s="197" t="s">
        <v>1037</v>
      </c>
      <c r="C15" s="838" t="s">
        <v>22</v>
      </c>
      <c r="D15" s="197" t="s">
        <v>1038</v>
      </c>
      <c r="F15" s="90"/>
      <c r="I15" s="90"/>
      <c r="J15" s="90"/>
      <c r="L15" s="90"/>
      <c r="N15" s="853" t="s">
        <v>1039</v>
      </c>
      <c r="O15" s="197" t="s">
        <v>1040</v>
      </c>
    </row>
    <row r="16" spans="1:39">
      <c r="A16" s="137"/>
      <c r="B16" s="197" t="s">
        <v>1041</v>
      </c>
      <c r="C16" s="838" t="s">
        <v>1031</v>
      </c>
      <c r="F16" s="90"/>
      <c r="I16" s="90"/>
      <c r="J16" s="90"/>
      <c r="L16" s="90"/>
      <c r="N16" s="197" t="s">
        <v>1029</v>
      </c>
      <c r="O16" s="197" t="s">
        <v>1040</v>
      </c>
    </row>
    <row r="17" spans="1:20">
      <c r="A17" s="645"/>
      <c r="B17" s="644" t="s">
        <v>1042</v>
      </c>
      <c r="C17" s="644" t="s">
        <v>14</v>
      </c>
      <c r="D17" s="677">
        <v>50205419177</v>
      </c>
      <c r="E17" s="644">
        <v>9002079070</v>
      </c>
      <c r="F17" s="645"/>
      <c r="G17" s="644" t="s">
        <v>253</v>
      </c>
      <c r="H17" s="644" t="s">
        <v>1043</v>
      </c>
      <c r="I17" s="678">
        <v>27447</v>
      </c>
      <c r="J17" s="678">
        <v>49368</v>
      </c>
      <c r="K17" s="678">
        <v>44614</v>
      </c>
      <c r="L17" s="843">
        <v>45005</v>
      </c>
      <c r="M17" s="387">
        <v>44296</v>
      </c>
      <c r="N17" s="441" t="s">
        <v>1044</v>
      </c>
      <c r="O17" s="197" t="s">
        <v>1040</v>
      </c>
      <c r="P17" s="425"/>
      <c r="Q17" s="425"/>
      <c r="R17" s="425">
        <f>LEN(TEXT(D17,0))</f>
        <v>11</v>
      </c>
    </row>
    <row r="18" spans="1:20">
      <c r="A18" s="650"/>
      <c r="B18" s="293" t="s">
        <v>605</v>
      </c>
      <c r="C18" s="293" t="s">
        <v>31</v>
      </c>
      <c r="D18" s="304">
        <v>50205827875</v>
      </c>
      <c r="E18" s="293">
        <v>9002079001</v>
      </c>
      <c r="F18" s="690"/>
      <c r="G18" s="293" t="s">
        <v>290</v>
      </c>
      <c r="H18" s="293" t="s">
        <v>294</v>
      </c>
      <c r="I18" s="272">
        <v>25107</v>
      </c>
      <c r="J18" s="272">
        <v>47026</v>
      </c>
      <c r="K18" s="272">
        <v>44498</v>
      </c>
      <c r="L18" s="279">
        <v>44519</v>
      </c>
      <c r="M18" s="272">
        <v>44463</v>
      </c>
      <c r="N18" s="441" t="s">
        <v>1045</v>
      </c>
      <c r="O18" s="197" t="s">
        <v>1040</v>
      </c>
      <c r="P18" s="377" t="s">
        <v>1046</v>
      </c>
      <c r="Q18" s="377" t="s">
        <v>1046</v>
      </c>
      <c r="R18" s="311">
        <f>LEN(D18)</f>
        <v>11</v>
      </c>
      <c r="S18" s="311"/>
    </row>
    <row r="19" spans="1:20">
      <c r="A19" s="650"/>
      <c r="B19" s="649" t="s">
        <v>206</v>
      </c>
      <c r="C19" s="649" t="s">
        <v>31</v>
      </c>
      <c r="D19" s="837">
        <v>50205421068</v>
      </c>
      <c r="E19" s="649">
        <v>9002079601</v>
      </c>
      <c r="F19" s="854"/>
      <c r="G19" s="649" t="s">
        <v>261</v>
      </c>
      <c r="H19" s="649" t="s">
        <v>102</v>
      </c>
      <c r="I19" s="481">
        <v>26191</v>
      </c>
      <c r="J19" s="481">
        <v>48121</v>
      </c>
      <c r="K19" s="481">
        <v>44339</v>
      </c>
      <c r="L19" s="481">
        <v>44350</v>
      </c>
      <c r="M19" s="481">
        <v>44413</v>
      </c>
      <c r="N19" s="441" t="s">
        <v>1047</v>
      </c>
      <c r="O19" s="197" t="s">
        <v>1040</v>
      </c>
      <c r="P19" s="493"/>
      <c r="Q19" s="493"/>
      <c r="R19" s="298">
        <f t="shared" ref="R19:R20" si="0">LEN(TEXT(D19,0))</f>
        <v>11</v>
      </c>
      <c r="S19" s="298"/>
    </row>
    <row r="20" spans="1:20">
      <c r="A20" s="650"/>
      <c r="B20" s="649" t="s">
        <v>210</v>
      </c>
      <c r="C20" s="649" t="s">
        <v>31</v>
      </c>
      <c r="D20" s="845">
        <v>50205419220</v>
      </c>
      <c r="E20" s="846">
        <v>9002079058</v>
      </c>
      <c r="F20" s="837">
        <v>9002079058</v>
      </c>
      <c r="G20" s="649" t="s">
        <v>261</v>
      </c>
      <c r="H20" s="649" t="s">
        <v>627</v>
      </c>
      <c r="I20" s="481">
        <v>27050</v>
      </c>
      <c r="J20" s="481">
        <v>48975</v>
      </c>
      <c r="K20" s="424">
        <v>44050</v>
      </c>
      <c r="L20" s="481">
        <v>44372</v>
      </c>
      <c r="M20" s="481">
        <v>44407</v>
      </c>
      <c r="N20" s="441" t="s">
        <v>1048</v>
      </c>
      <c r="O20" s="197" t="s">
        <v>1040</v>
      </c>
      <c r="P20" s="377" t="s">
        <v>1049</v>
      </c>
      <c r="Q20" s="377" t="s">
        <v>1049</v>
      </c>
      <c r="R20" s="298">
        <f t="shared" si="0"/>
        <v>11</v>
      </c>
      <c r="S20" s="298"/>
      <c r="T20" s="298"/>
    </row>
    <row r="21" spans="1:20">
      <c r="A21" s="645"/>
      <c r="B21" s="644" t="s">
        <v>1050</v>
      </c>
      <c r="C21" s="644" t="s">
        <v>81</v>
      </c>
      <c r="D21" s="677">
        <v>50205421056</v>
      </c>
      <c r="E21" s="644">
        <v>9002079071</v>
      </c>
      <c r="F21" s="645"/>
      <c r="G21" s="644" t="s">
        <v>253</v>
      </c>
      <c r="H21" s="644" t="s">
        <v>610</v>
      </c>
      <c r="I21" s="844">
        <v>26689</v>
      </c>
      <c r="J21" s="844">
        <v>48610</v>
      </c>
      <c r="K21" s="844">
        <v>44589</v>
      </c>
      <c r="L21" s="272">
        <v>45057</v>
      </c>
      <c r="M21" s="855">
        <v>44379</v>
      </c>
      <c r="N21" s="441" t="s">
        <v>1051</v>
      </c>
      <c r="O21" s="197" t="s">
        <v>1040</v>
      </c>
      <c r="P21" s="339" t="s">
        <v>1052</v>
      </c>
      <c r="Q21" s="425"/>
      <c r="R21" s="425">
        <f>LEN(D21)</f>
        <v>11</v>
      </c>
    </row>
    <row r="22" spans="1:20">
      <c r="A22" s="650"/>
      <c r="B22" s="649" t="s">
        <v>212</v>
      </c>
      <c r="C22" s="649" t="s">
        <v>31</v>
      </c>
      <c r="D22" s="837">
        <v>50205522658</v>
      </c>
      <c r="E22" s="649">
        <v>9002079099</v>
      </c>
      <c r="F22" s="854">
        <v>9002079099</v>
      </c>
      <c r="G22" s="649" t="s">
        <v>261</v>
      </c>
      <c r="H22" s="649" t="s">
        <v>101</v>
      </c>
      <c r="I22" s="481">
        <v>28152</v>
      </c>
      <c r="J22" s="481">
        <v>50071</v>
      </c>
      <c r="K22" s="481">
        <v>44588</v>
      </c>
      <c r="L22" s="481">
        <v>44714</v>
      </c>
      <c r="M22" s="481">
        <v>44605</v>
      </c>
      <c r="N22" s="441" t="s">
        <v>1053</v>
      </c>
      <c r="O22" s="197" t="s">
        <v>1040</v>
      </c>
      <c r="P22" s="493"/>
      <c r="Q22" s="493"/>
      <c r="R22" s="298">
        <f t="shared" ref="R22:R23" si="1">LEN(TEXT(D22,0))</f>
        <v>11</v>
      </c>
      <c r="S22" s="298"/>
    </row>
    <row r="23" spans="1:20">
      <c r="A23" s="650"/>
      <c r="B23" s="649" t="s">
        <v>215</v>
      </c>
      <c r="C23" s="649" t="s">
        <v>31</v>
      </c>
      <c r="D23" s="837">
        <v>50205522663</v>
      </c>
      <c r="E23" s="649">
        <v>9002079777</v>
      </c>
      <c r="F23" s="854">
        <v>9002079777</v>
      </c>
      <c r="G23" s="649" t="s">
        <v>261</v>
      </c>
      <c r="H23" s="649" t="s">
        <v>294</v>
      </c>
      <c r="I23" s="481">
        <v>29607</v>
      </c>
      <c r="J23" s="481">
        <v>51532</v>
      </c>
      <c r="K23" s="481">
        <v>44740</v>
      </c>
      <c r="L23" s="481">
        <v>44714</v>
      </c>
      <c r="M23" s="481">
        <v>44605</v>
      </c>
      <c r="N23" s="441" t="s">
        <v>1054</v>
      </c>
      <c r="O23" s="197" t="s">
        <v>1040</v>
      </c>
      <c r="P23" s="493"/>
      <c r="Q23" s="493"/>
      <c r="R23" s="298">
        <f t="shared" si="1"/>
        <v>11</v>
      </c>
    </row>
    <row r="24" spans="1:20">
      <c r="A24" s="645"/>
      <c r="B24" s="644" t="s">
        <v>1055</v>
      </c>
      <c r="C24" s="644" t="s">
        <v>31</v>
      </c>
      <c r="D24" s="677">
        <v>50205558736</v>
      </c>
      <c r="E24" s="644">
        <v>8420320068</v>
      </c>
      <c r="F24" s="645">
        <v>8420320068</v>
      </c>
      <c r="G24" s="644" t="s">
        <v>253</v>
      </c>
      <c r="H24" s="644" t="s">
        <v>1016</v>
      </c>
      <c r="I24" s="678">
        <v>31869</v>
      </c>
      <c r="J24" s="678">
        <v>53751</v>
      </c>
      <c r="K24" s="678">
        <v>44465</v>
      </c>
      <c r="L24" s="678">
        <v>45115</v>
      </c>
      <c r="M24" s="856">
        <v>45078</v>
      </c>
      <c r="N24" s="441" t="s">
        <v>1056</v>
      </c>
      <c r="O24" s="197" t="s">
        <v>1040</v>
      </c>
      <c r="P24" s="425"/>
      <c r="Q24" s="425"/>
      <c r="R24" s="425">
        <f t="shared" ref="R24:R28" si="2">LEN(D24)</f>
        <v>11</v>
      </c>
    </row>
    <row r="25" spans="1:20">
      <c r="A25" s="645"/>
      <c r="B25" s="644" t="s">
        <v>1057</v>
      </c>
      <c r="C25" s="644" t="s">
        <v>31</v>
      </c>
      <c r="D25" s="677">
        <v>50205558773</v>
      </c>
      <c r="E25" s="644">
        <v>8420320012</v>
      </c>
      <c r="F25" s="857">
        <v>9933727096</v>
      </c>
      <c r="G25" s="644" t="s">
        <v>253</v>
      </c>
      <c r="H25" s="644" t="s">
        <v>48</v>
      </c>
      <c r="I25" s="678">
        <v>29262</v>
      </c>
      <c r="J25" s="844">
        <v>51470</v>
      </c>
      <c r="K25" s="843">
        <v>44417</v>
      </c>
      <c r="L25" s="678">
        <v>45043</v>
      </c>
      <c r="M25" s="856">
        <v>45078</v>
      </c>
      <c r="N25" s="441" t="s">
        <v>1058</v>
      </c>
      <c r="O25" s="197" t="s">
        <v>1040</v>
      </c>
      <c r="P25" s="425"/>
      <c r="Q25" s="441"/>
      <c r="R25" s="425">
        <f t="shared" si="2"/>
        <v>11</v>
      </c>
    </row>
    <row r="26" spans="1:20">
      <c r="A26" s="645"/>
      <c r="B26" s="644" t="s">
        <v>1059</v>
      </c>
      <c r="C26" s="644" t="s">
        <v>31</v>
      </c>
      <c r="D26" s="675">
        <v>50205558797</v>
      </c>
      <c r="E26" s="644">
        <v>8420320028</v>
      </c>
      <c r="F26" s="645">
        <v>8420320028</v>
      </c>
      <c r="G26" s="644" t="s">
        <v>253</v>
      </c>
      <c r="H26" s="644" t="s">
        <v>44</v>
      </c>
      <c r="I26" s="843">
        <v>30498</v>
      </c>
      <c r="J26" s="844">
        <v>52262</v>
      </c>
      <c r="K26" s="678">
        <v>44464</v>
      </c>
      <c r="L26" s="678">
        <v>45115</v>
      </c>
      <c r="M26" s="856">
        <v>45078</v>
      </c>
      <c r="N26" s="441" t="s">
        <v>1060</v>
      </c>
      <c r="O26" s="197" t="s">
        <v>1040</v>
      </c>
      <c r="P26" s="425"/>
      <c r="Q26" s="425"/>
      <c r="R26" s="425">
        <f t="shared" si="2"/>
        <v>11</v>
      </c>
    </row>
    <row r="27" spans="1:20">
      <c r="A27" s="645"/>
      <c r="B27" s="644" t="s">
        <v>1061</v>
      </c>
      <c r="C27" s="644" t="s">
        <v>31</v>
      </c>
      <c r="D27" s="675">
        <v>50205558815</v>
      </c>
      <c r="E27" s="644">
        <v>8420320023</v>
      </c>
      <c r="F27" s="645">
        <v>8420320023</v>
      </c>
      <c r="G27" s="644" t="s">
        <v>253</v>
      </c>
      <c r="H27" s="644" t="s">
        <v>103</v>
      </c>
      <c r="I27" s="678">
        <v>31789</v>
      </c>
      <c r="J27" s="844">
        <v>53751</v>
      </c>
      <c r="K27" s="843">
        <v>44417</v>
      </c>
      <c r="L27" s="678">
        <v>45115</v>
      </c>
      <c r="M27" s="856">
        <v>45078</v>
      </c>
      <c r="N27" s="441" t="s">
        <v>1062</v>
      </c>
      <c r="O27" s="197" t="s">
        <v>1040</v>
      </c>
      <c r="P27" s="339" t="s">
        <v>1063</v>
      </c>
      <c r="Q27" s="339" t="s">
        <v>1064</v>
      </c>
      <c r="R27" s="425">
        <f t="shared" si="2"/>
        <v>11</v>
      </c>
    </row>
    <row r="28" spans="1:20">
      <c r="A28" s="645"/>
      <c r="B28" s="644" t="s">
        <v>1065</v>
      </c>
      <c r="C28" s="644" t="s">
        <v>31</v>
      </c>
      <c r="D28" s="677">
        <v>50205559017</v>
      </c>
      <c r="E28" s="644">
        <v>8420320050</v>
      </c>
      <c r="F28" s="645">
        <v>8420320050</v>
      </c>
      <c r="G28" s="644" t="s">
        <v>253</v>
      </c>
      <c r="H28" s="644" t="s">
        <v>1066</v>
      </c>
      <c r="I28" s="678">
        <v>32074</v>
      </c>
      <c r="J28" s="844">
        <v>53996</v>
      </c>
      <c r="K28" s="843">
        <v>44386</v>
      </c>
      <c r="L28" s="678">
        <v>45115</v>
      </c>
      <c r="M28" s="856">
        <v>45078</v>
      </c>
      <c r="N28" s="441" t="s">
        <v>1067</v>
      </c>
      <c r="O28" s="197" t="s">
        <v>1040</v>
      </c>
      <c r="P28" s="425"/>
      <c r="Q28" s="339" t="s">
        <v>1068</v>
      </c>
      <c r="R28" s="425">
        <f t="shared" si="2"/>
        <v>11</v>
      </c>
    </row>
    <row r="29" spans="1:20">
      <c r="A29" s="650"/>
      <c r="B29" s="649" t="s">
        <v>1069</v>
      </c>
      <c r="C29" s="649" t="s">
        <v>31</v>
      </c>
      <c r="D29" s="845">
        <v>50200051901</v>
      </c>
      <c r="E29" s="649">
        <v>8420320044</v>
      </c>
      <c r="F29" s="837">
        <v>9433545607</v>
      </c>
      <c r="G29" s="649" t="s">
        <v>261</v>
      </c>
      <c r="H29" s="649" t="s">
        <v>93</v>
      </c>
      <c r="I29" s="481">
        <v>28614</v>
      </c>
      <c r="J29" s="481">
        <v>50525</v>
      </c>
      <c r="K29" s="481">
        <v>44705</v>
      </c>
      <c r="L29" s="678">
        <v>45115</v>
      </c>
      <c r="M29" s="272">
        <v>45145</v>
      </c>
      <c r="N29" s="441" t="s">
        <v>1070</v>
      </c>
      <c r="O29" s="197" t="s">
        <v>1040</v>
      </c>
      <c r="P29" s="493"/>
      <c r="Q29" s="858" t="s">
        <v>1071</v>
      </c>
      <c r="R29" s="298">
        <f>LEN(TEXT(D29,0))</f>
        <v>11</v>
      </c>
    </row>
    <row r="30" spans="1:20">
      <c r="A30" s="421"/>
      <c r="B30" s="859" t="s">
        <v>1072</v>
      </c>
      <c r="C30" s="644" t="s">
        <v>31</v>
      </c>
      <c r="D30" s="675">
        <v>50212131325</v>
      </c>
      <c r="E30" s="648">
        <v>9002071729</v>
      </c>
      <c r="F30" s="857">
        <v>9002071729</v>
      </c>
      <c r="G30" s="644" t="s">
        <v>253</v>
      </c>
      <c r="H30" s="644" t="s">
        <v>627</v>
      </c>
      <c r="I30" s="843">
        <v>28798</v>
      </c>
      <c r="J30" s="844">
        <v>50525</v>
      </c>
      <c r="K30" s="843">
        <v>44260</v>
      </c>
      <c r="L30" s="843">
        <v>44083</v>
      </c>
      <c r="M30" s="387">
        <v>44099</v>
      </c>
      <c r="N30" s="441" t="s">
        <v>1073</v>
      </c>
      <c r="O30" s="197" t="s">
        <v>1040</v>
      </c>
      <c r="P30" s="339" t="s">
        <v>1074</v>
      </c>
      <c r="Q30" s="339" t="s">
        <v>1075</v>
      </c>
      <c r="R30" s="425">
        <f>LEN(D30)</f>
        <v>11</v>
      </c>
    </row>
    <row r="31" spans="1:20">
      <c r="A31" s="650"/>
      <c r="B31" s="649" t="s">
        <v>1076</v>
      </c>
      <c r="C31" s="649" t="s">
        <v>31</v>
      </c>
      <c r="D31" s="845">
        <v>50212124760</v>
      </c>
      <c r="E31" s="649">
        <v>9002071036</v>
      </c>
      <c r="F31" s="650">
        <v>9002071036</v>
      </c>
      <c r="G31" s="649" t="s">
        <v>261</v>
      </c>
      <c r="H31" s="649" t="s">
        <v>1066</v>
      </c>
      <c r="I31" s="481">
        <v>25828</v>
      </c>
      <c r="J31" s="481">
        <v>47756</v>
      </c>
      <c r="K31" s="481">
        <v>44474</v>
      </c>
      <c r="L31" s="481">
        <v>44083</v>
      </c>
      <c r="M31" s="481">
        <v>44099</v>
      </c>
      <c r="N31" s="441" t="s">
        <v>1077</v>
      </c>
      <c r="O31" s="197" t="s">
        <v>1040</v>
      </c>
      <c r="P31" s="493"/>
      <c r="Q31" s="494" t="s">
        <v>1078</v>
      </c>
      <c r="R31" s="298">
        <f>LEN(TEXT(D31,0))</f>
        <v>11</v>
      </c>
    </row>
    <row r="32" spans="1:20">
      <c r="A32" s="645"/>
      <c r="B32" s="644" t="s">
        <v>1079</v>
      </c>
      <c r="C32" s="644" t="s">
        <v>31</v>
      </c>
      <c r="D32" s="675">
        <v>50200051986</v>
      </c>
      <c r="E32" s="644">
        <v>9002071374</v>
      </c>
      <c r="F32" s="860">
        <v>9002071374</v>
      </c>
      <c r="G32" s="644" t="s">
        <v>253</v>
      </c>
      <c r="H32" s="644" t="s">
        <v>103</v>
      </c>
      <c r="I32" s="678">
        <v>27861</v>
      </c>
      <c r="J32" s="844">
        <v>50009</v>
      </c>
      <c r="K32" s="843">
        <v>44297</v>
      </c>
      <c r="L32" s="843">
        <v>44083</v>
      </c>
      <c r="M32" s="387">
        <v>45925</v>
      </c>
      <c r="N32" s="441" t="s">
        <v>1080</v>
      </c>
      <c r="O32" s="197" t="s">
        <v>1040</v>
      </c>
      <c r="P32" s="339" t="s">
        <v>1081</v>
      </c>
      <c r="Q32" s="339" t="s">
        <v>1082</v>
      </c>
      <c r="R32" s="425">
        <f>LEN(D32)</f>
        <v>11</v>
      </c>
    </row>
    <row r="33" spans="1:39">
      <c r="A33" s="650"/>
      <c r="B33" s="649" t="s">
        <v>1083</v>
      </c>
      <c r="C33" s="649" t="s">
        <v>31</v>
      </c>
      <c r="D33" s="845">
        <v>50200051871</v>
      </c>
      <c r="E33" s="649">
        <v>9002079603</v>
      </c>
      <c r="F33" s="854"/>
      <c r="G33" s="649" t="s">
        <v>261</v>
      </c>
      <c r="H33" s="649" t="s">
        <v>44</v>
      </c>
      <c r="I33" s="481">
        <v>27120</v>
      </c>
      <c r="J33" s="481">
        <v>48975</v>
      </c>
      <c r="K33" s="424">
        <v>44713</v>
      </c>
      <c r="L33" s="481">
        <v>44083</v>
      </c>
      <c r="M33" s="481">
        <v>44099</v>
      </c>
      <c r="N33" s="441" t="s">
        <v>1084</v>
      </c>
      <c r="O33" s="197" t="s">
        <v>1040</v>
      </c>
      <c r="P33" s="493"/>
      <c r="Q33" s="493"/>
      <c r="R33" s="298">
        <f>LEN(TEXT(D33,0))</f>
        <v>11</v>
      </c>
    </row>
    <row r="34" spans="1:39">
      <c r="A34" s="645"/>
      <c r="B34" s="644" t="s">
        <v>1085</v>
      </c>
      <c r="C34" s="644" t="s">
        <v>31</v>
      </c>
      <c r="D34" s="675">
        <v>50200059857</v>
      </c>
      <c r="E34" s="648">
        <v>9002071046</v>
      </c>
      <c r="F34" s="857">
        <v>9002071046</v>
      </c>
      <c r="G34" s="644" t="s">
        <v>253</v>
      </c>
      <c r="H34" s="644" t="s">
        <v>627</v>
      </c>
      <c r="I34" s="843">
        <v>28647</v>
      </c>
      <c r="J34" s="844">
        <v>50586</v>
      </c>
      <c r="K34" s="678">
        <v>44755</v>
      </c>
      <c r="L34" s="843">
        <v>44083</v>
      </c>
      <c r="M34" s="387">
        <v>44099</v>
      </c>
      <c r="N34" s="441" t="s">
        <v>1086</v>
      </c>
      <c r="O34" s="197" t="s">
        <v>1040</v>
      </c>
      <c r="P34" s="339" t="s">
        <v>1087</v>
      </c>
      <c r="Q34" s="339" t="s">
        <v>1088</v>
      </c>
      <c r="R34" s="425">
        <f t="shared" ref="R34:R35" si="3">LEN(D34)</f>
        <v>11</v>
      </c>
    </row>
    <row r="35" spans="1:39">
      <c r="A35" s="645"/>
      <c r="B35" s="644" t="s">
        <v>242</v>
      </c>
      <c r="C35" s="644" t="s">
        <v>31</v>
      </c>
      <c r="D35" s="677">
        <v>50205558761</v>
      </c>
      <c r="E35" s="644">
        <v>8420320069</v>
      </c>
      <c r="F35" s="645"/>
      <c r="G35" s="644" t="s">
        <v>253</v>
      </c>
      <c r="H35" s="644" t="s">
        <v>594</v>
      </c>
      <c r="I35" s="843">
        <v>31363</v>
      </c>
      <c r="J35" s="844">
        <v>53327</v>
      </c>
      <c r="K35" s="843">
        <v>44539</v>
      </c>
      <c r="L35" s="678">
        <v>44557</v>
      </c>
      <c r="M35" s="679">
        <v>44512</v>
      </c>
      <c r="N35" s="441" t="s">
        <v>1089</v>
      </c>
      <c r="O35" s="197" t="s">
        <v>1040</v>
      </c>
      <c r="P35" s="425"/>
      <c r="Q35" s="425"/>
      <c r="R35" s="425">
        <f t="shared" si="3"/>
        <v>11</v>
      </c>
    </row>
    <row r="36" spans="1:39">
      <c r="A36" s="650"/>
      <c r="B36" s="649" t="s">
        <v>1090</v>
      </c>
      <c r="C36" s="649" t="s">
        <v>31</v>
      </c>
      <c r="D36" s="837">
        <v>50205602464</v>
      </c>
      <c r="E36" s="649">
        <v>9002071372</v>
      </c>
      <c r="F36" s="854">
        <v>9002071372</v>
      </c>
      <c r="G36" s="649" t="s">
        <v>261</v>
      </c>
      <c r="H36" s="649" t="s">
        <v>294</v>
      </c>
      <c r="I36" s="481">
        <v>28961</v>
      </c>
      <c r="J36" s="481">
        <v>50890</v>
      </c>
      <c r="K36" s="481">
        <v>44232</v>
      </c>
      <c r="L36" s="481">
        <v>44557</v>
      </c>
      <c r="M36" s="481">
        <v>44512</v>
      </c>
      <c r="N36" s="441" t="s">
        <v>1091</v>
      </c>
      <c r="O36" s="197" t="s">
        <v>1040</v>
      </c>
      <c r="P36" s="493"/>
      <c r="Q36" s="493"/>
      <c r="R36" s="298">
        <f t="shared" ref="R36:R37" si="4">LEN(TEXT(D36,0))</f>
        <v>11</v>
      </c>
    </row>
    <row r="37" spans="1:39">
      <c r="A37" s="650"/>
      <c r="B37" s="649" t="s">
        <v>1092</v>
      </c>
      <c r="C37" s="649" t="s">
        <v>31</v>
      </c>
      <c r="D37" s="845">
        <v>50209412414</v>
      </c>
      <c r="E37" s="649">
        <v>8420320009</v>
      </c>
      <c r="F37" s="837">
        <v>9674494030</v>
      </c>
      <c r="G37" s="649" t="s">
        <v>261</v>
      </c>
      <c r="H37" s="649" t="s">
        <v>627</v>
      </c>
      <c r="I37" s="481">
        <v>27595</v>
      </c>
      <c r="J37" s="481">
        <v>49521</v>
      </c>
      <c r="K37" s="424">
        <v>44766</v>
      </c>
      <c r="L37" s="481">
        <v>44634</v>
      </c>
      <c r="M37" s="481">
        <v>44714</v>
      </c>
      <c r="N37" s="441" t="s">
        <v>1093</v>
      </c>
      <c r="O37" s="197" t="s">
        <v>1040</v>
      </c>
      <c r="P37" s="494" t="s">
        <v>1094</v>
      </c>
      <c r="Q37" s="377" t="s">
        <v>1095</v>
      </c>
      <c r="R37" s="298">
        <f t="shared" si="4"/>
        <v>11</v>
      </c>
    </row>
    <row r="38" spans="1:39">
      <c r="A38" s="650"/>
      <c r="B38" s="649" t="s">
        <v>1096</v>
      </c>
      <c r="C38" s="649" t="s">
        <v>31</v>
      </c>
      <c r="D38" s="845">
        <v>50209378881</v>
      </c>
      <c r="E38" s="846">
        <v>9002071712</v>
      </c>
      <c r="F38" s="837">
        <v>9002071712</v>
      </c>
      <c r="G38" s="649" t="s">
        <v>261</v>
      </c>
      <c r="H38" s="649" t="s">
        <v>627</v>
      </c>
      <c r="I38" s="481">
        <v>22258</v>
      </c>
      <c r="J38" s="481">
        <v>44074</v>
      </c>
      <c r="K38" s="481">
        <v>44174</v>
      </c>
      <c r="L38" s="481">
        <v>44708</v>
      </c>
      <c r="M38" s="481">
        <v>44577</v>
      </c>
      <c r="N38" s="842" t="s">
        <v>1013</v>
      </c>
      <c r="O38" s="493"/>
      <c r="P38" s="493"/>
    </row>
    <row r="39" spans="1:39">
      <c r="A39" s="645"/>
      <c r="B39" s="644" t="s">
        <v>1097</v>
      </c>
      <c r="C39" s="644" t="s">
        <v>31</v>
      </c>
      <c r="D39" s="675">
        <v>50204759904</v>
      </c>
      <c r="E39" s="644">
        <v>9002071085</v>
      </c>
      <c r="F39" s="645">
        <v>9002071085</v>
      </c>
      <c r="G39" s="644" t="s">
        <v>253</v>
      </c>
      <c r="H39" s="644" t="s">
        <v>1016</v>
      </c>
      <c r="I39" s="843">
        <v>22167</v>
      </c>
      <c r="J39" s="844">
        <v>44074</v>
      </c>
      <c r="K39" s="678">
        <v>44093</v>
      </c>
      <c r="L39" s="678">
        <v>44999</v>
      </c>
      <c r="M39" s="387">
        <v>44975</v>
      </c>
      <c r="N39" s="842" t="s">
        <v>1013</v>
      </c>
      <c r="O39" s="425"/>
      <c r="P39" s="339" t="s">
        <v>1098</v>
      </c>
      <c r="Q39" s="339" t="s">
        <v>1098</v>
      </c>
      <c r="R39" s="425">
        <f>LEN(D39)</f>
        <v>11</v>
      </c>
    </row>
    <row r="40" spans="1:39">
      <c r="A40" s="137"/>
      <c r="B40" s="197" t="s">
        <v>1099</v>
      </c>
      <c r="C40" s="838" t="s">
        <v>20</v>
      </c>
      <c r="D40" s="137" t="s">
        <v>440</v>
      </c>
      <c r="F40" s="90"/>
      <c r="G40" s="197" t="s">
        <v>253</v>
      </c>
      <c r="H40" s="137"/>
      <c r="I40" s="90"/>
      <c r="J40" s="90"/>
      <c r="L40" s="90"/>
      <c r="N40" s="842" t="s">
        <v>1013</v>
      </c>
    </row>
    <row r="41" spans="1:39">
      <c r="A41" s="90"/>
      <c r="C41" s="89"/>
      <c r="F41" s="90"/>
      <c r="I41" s="90"/>
      <c r="J41" s="90"/>
      <c r="L41" s="90"/>
      <c r="N41" s="842"/>
    </row>
    <row r="42" spans="1:39">
      <c r="A42" s="90"/>
      <c r="C42" s="89"/>
      <c r="F42" s="90"/>
      <c r="I42" s="90"/>
      <c r="J42" s="90"/>
      <c r="L42" s="90"/>
      <c r="N42" s="842"/>
    </row>
    <row r="43" spans="1:39">
      <c r="A43" s="480"/>
      <c r="B43" s="351" t="s">
        <v>1100</v>
      </c>
      <c r="C43" s="293" t="s">
        <v>22</v>
      </c>
      <c r="D43" s="414">
        <v>50714505761</v>
      </c>
      <c r="E43" s="293"/>
      <c r="F43" s="275">
        <v>7717735461</v>
      </c>
      <c r="G43" s="293" t="s">
        <v>315</v>
      </c>
      <c r="H43" s="293" t="s">
        <v>93</v>
      </c>
      <c r="I43" s="90"/>
      <c r="J43" s="272"/>
      <c r="K43" s="272"/>
      <c r="L43" s="320"/>
      <c r="M43" s="272"/>
      <c r="N43" s="842" t="s">
        <v>1101</v>
      </c>
      <c r="O43" s="429" t="s">
        <v>1102</v>
      </c>
      <c r="P43" s="853" t="s">
        <v>1103</v>
      </c>
      <c r="Q43" s="430"/>
      <c r="S43" s="430"/>
      <c r="T43" s="206">
        <f>LEN(D43)</f>
        <v>11</v>
      </c>
    </row>
    <row r="44" spans="1:39">
      <c r="A44" s="480"/>
      <c r="B44" s="351" t="s">
        <v>1104</v>
      </c>
      <c r="C44" s="293" t="s">
        <v>22</v>
      </c>
      <c r="D44" s="414">
        <v>50205672375</v>
      </c>
      <c r="E44" s="293">
        <v>9933643246</v>
      </c>
      <c r="F44" s="275"/>
      <c r="G44" s="293" t="s">
        <v>315</v>
      </c>
      <c r="H44" s="293" t="s">
        <v>102</v>
      </c>
      <c r="I44" s="272">
        <v>33599</v>
      </c>
      <c r="J44" s="272">
        <v>55518</v>
      </c>
      <c r="K44" s="277">
        <v>44566</v>
      </c>
      <c r="L44" s="272">
        <v>44566</v>
      </c>
      <c r="M44" s="851">
        <v>44431</v>
      </c>
      <c r="N44" s="197" t="s">
        <v>1105</v>
      </c>
      <c r="O44" s="429" t="s">
        <v>1106</v>
      </c>
      <c r="P44" s="853" t="s">
        <v>1103</v>
      </c>
    </row>
    <row r="45" spans="1:39">
      <c r="A45" s="137"/>
      <c r="B45" s="197" t="s">
        <v>1107</v>
      </c>
      <c r="C45" s="838" t="s">
        <v>137</v>
      </c>
      <c r="D45" s="137" t="s">
        <v>1108</v>
      </c>
      <c r="F45" s="90"/>
      <c r="G45" s="649" t="s">
        <v>261</v>
      </c>
      <c r="H45" s="861"/>
      <c r="I45" s="137"/>
      <c r="J45" s="90"/>
      <c r="L45" s="90"/>
      <c r="N45" s="197" t="s">
        <v>1013</v>
      </c>
      <c r="O45" s="197" t="s">
        <v>1103</v>
      </c>
    </row>
    <row r="46" spans="1:39" ht="15.75" customHeight="1">
      <c r="A46" s="650"/>
      <c r="B46" s="649" t="s">
        <v>1109</v>
      </c>
      <c r="C46" s="649" t="s">
        <v>21</v>
      </c>
      <c r="D46" s="837">
        <v>50205366744</v>
      </c>
      <c r="E46" s="859" t="s">
        <v>76</v>
      </c>
      <c r="F46" s="650">
        <v>9002071811</v>
      </c>
      <c r="G46" s="649" t="s">
        <v>261</v>
      </c>
      <c r="H46" s="649" t="s">
        <v>294</v>
      </c>
      <c r="I46" s="90"/>
      <c r="J46" s="481">
        <v>22077</v>
      </c>
      <c r="K46" s="481">
        <v>44135</v>
      </c>
      <c r="L46" s="424">
        <v>44451</v>
      </c>
      <c r="M46" s="424">
        <v>44135</v>
      </c>
      <c r="N46" s="197" t="s">
        <v>1013</v>
      </c>
      <c r="O46" s="862" t="s">
        <v>1110</v>
      </c>
      <c r="P46" s="494" t="s">
        <v>1111</v>
      </c>
      <c r="Q46" s="493"/>
      <c r="R46" s="493"/>
      <c r="S46" s="298">
        <f>LEN(TEXT(D46,0))</f>
        <v>11</v>
      </c>
      <c r="U46" s="298"/>
      <c r="V46" s="298"/>
      <c r="W46" s="298"/>
      <c r="X46" s="298"/>
      <c r="Y46" s="298"/>
      <c r="Z46" s="298"/>
      <c r="AA46" s="298"/>
      <c r="AB46" s="298"/>
      <c r="AC46" s="298"/>
      <c r="AD46" s="298"/>
      <c r="AE46" s="298"/>
      <c r="AF46" s="298"/>
      <c r="AG46" s="298"/>
      <c r="AH46" s="298"/>
      <c r="AI46" s="298"/>
      <c r="AJ46" s="298"/>
      <c r="AK46" s="298"/>
      <c r="AL46" s="298"/>
      <c r="AM46" s="298"/>
    </row>
    <row r="47" spans="1:39" ht="15.75" customHeight="1">
      <c r="A47" s="645"/>
      <c r="B47" s="644" t="s">
        <v>1112</v>
      </c>
      <c r="C47" s="644" t="s">
        <v>31</v>
      </c>
      <c r="D47" s="677">
        <v>50205336521</v>
      </c>
      <c r="E47" s="863" t="s">
        <v>76</v>
      </c>
      <c r="F47" s="645">
        <v>9002071218</v>
      </c>
      <c r="G47" s="644" t="s">
        <v>253</v>
      </c>
      <c r="H47" s="644" t="s">
        <v>1066</v>
      </c>
      <c r="I47" s="90"/>
      <c r="J47" s="678">
        <v>22216</v>
      </c>
      <c r="K47" s="844">
        <v>44135</v>
      </c>
      <c r="L47" s="843">
        <v>44146</v>
      </c>
      <c r="M47" s="843">
        <v>44714</v>
      </c>
      <c r="N47" s="197" t="s">
        <v>1013</v>
      </c>
      <c r="O47" s="862" t="s">
        <v>1110</v>
      </c>
      <c r="P47" s="425"/>
      <c r="Q47" s="339" t="s">
        <v>1113</v>
      </c>
      <c r="R47" s="339" t="s">
        <v>1113</v>
      </c>
      <c r="S47" s="425">
        <f t="shared" ref="S47:S48" si="5">LEN(D47)</f>
        <v>11</v>
      </c>
      <c r="U47" s="90"/>
      <c r="V47" s="90"/>
      <c r="W47" s="90"/>
    </row>
    <row r="48" spans="1:39" ht="15.75" customHeight="1">
      <c r="A48" s="857"/>
      <c r="B48" s="648" t="s">
        <v>1114</v>
      </c>
      <c r="C48" s="644" t="s">
        <v>31</v>
      </c>
      <c r="D48" s="864">
        <v>50205331511</v>
      </c>
      <c r="E48" s="863" t="s">
        <v>76</v>
      </c>
      <c r="F48" s="857">
        <v>9002071292</v>
      </c>
      <c r="G48" s="644" t="s">
        <v>253</v>
      </c>
      <c r="H48" s="859" t="s">
        <v>1012</v>
      </c>
      <c r="I48" s="90"/>
      <c r="J48" s="678">
        <v>22193</v>
      </c>
      <c r="K48" s="844">
        <v>44135</v>
      </c>
      <c r="L48" s="678"/>
      <c r="M48" s="678">
        <v>44922</v>
      </c>
      <c r="N48" s="197" t="s">
        <v>1013</v>
      </c>
      <c r="O48" s="862" t="s">
        <v>1110</v>
      </c>
      <c r="P48" s="425"/>
      <c r="Q48" s="339" t="s">
        <v>1115</v>
      </c>
      <c r="R48" s="339" t="s">
        <v>1115</v>
      </c>
      <c r="S48" s="425">
        <f t="shared" si="5"/>
        <v>11</v>
      </c>
      <c r="U48" s="90"/>
      <c r="V48" s="90"/>
      <c r="W48" s="90"/>
    </row>
    <row r="49" spans="1:39" ht="15.75" customHeight="1">
      <c r="A49" s="650"/>
      <c r="B49" s="649" t="s">
        <v>1116</v>
      </c>
      <c r="C49" s="649" t="s">
        <v>31</v>
      </c>
      <c r="D49" s="837">
        <v>50205331602</v>
      </c>
      <c r="E49" s="859" t="s">
        <v>76</v>
      </c>
      <c r="F49" s="650">
        <v>9002071084</v>
      </c>
      <c r="G49" s="649" t="s">
        <v>261</v>
      </c>
      <c r="H49" s="649" t="s">
        <v>1066</v>
      </c>
      <c r="I49" s="90"/>
      <c r="J49" s="481">
        <v>22218</v>
      </c>
      <c r="K49" s="481">
        <v>44135</v>
      </c>
      <c r="L49" s="481">
        <v>44154</v>
      </c>
      <c r="M49" s="424">
        <v>45043</v>
      </c>
      <c r="N49" s="197" t="s">
        <v>1013</v>
      </c>
      <c r="O49" s="862" t="s">
        <v>1110</v>
      </c>
      <c r="P49" s="493"/>
      <c r="Q49" s="377" t="s">
        <v>1117</v>
      </c>
      <c r="R49" s="377" t="s">
        <v>1117</v>
      </c>
      <c r="S49" s="298">
        <f t="shared" ref="S49:S50" si="6">LEN(TEXT(D49,0))</f>
        <v>11</v>
      </c>
      <c r="U49" s="298"/>
      <c r="V49" s="298"/>
      <c r="W49" s="298"/>
      <c r="X49" s="298"/>
      <c r="Y49" s="298"/>
      <c r="Z49" s="298"/>
      <c r="AA49" s="298"/>
      <c r="AB49" s="298"/>
      <c r="AC49" s="298"/>
    </row>
    <row r="50" spans="1:39" ht="15.75" customHeight="1">
      <c r="A50" s="650"/>
      <c r="B50" s="649" t="s">
        <v>1118</v>
      </c>
      <c r="C50" s="649" t="s">
        <v>31</v>
      </c>
      <c r="D50" s="837">
        <v>50205331640</v>
      </c>
      <c r="E50" s="859" t="s">
        <v>76</v>
      </c>
      <c r="F50" s="650">
        <v>9002071191</v>
      </c>
      <c r="G50" s="649" t="s">
        <v>261</v>
      </c>
      <c r="H50" s="649" t="s">
        <v>1016</v>
      </c>
      <c r="I50" s="90"/>
      <c r="J50" s="481">
        <v>22216</v>
      </c>
      <c r="K50" s="481">
        <v>44135</v>
      </c>
      <c r="L50" s="481">
        <v>44149</v>
      </c>
      <c r="M50" s="678">
        <v>45115</v>
      </c>
      <c r="N50" s="197" t="s">
        <v>1013</v>
      </c>
      <c r="O50" s="862" t="s">
        <v>1110</v>
      </c>
      <c r="P50" s="493"/>
      <c r="Q50" s="494" t="s">
        <v>1119</v>
      </c>
      <c r="R50" s="494" t="s">
        <v>1119</v>
      </c>
      <c r="S50" s="298">
        <f t="shared" si="6"/>
        <v>11</v>
      </c>
      <c r="U50" s="298"/>
      <c r="V50" s="298"/>
      <c r="W50" s="298"/>
      <c r="X50" s="298"/>
      <c r="Y50" s="298"/>
      <c r="Z50" s="298"/>
      <c r="AA50" s="298"/>
      <c r="AB50" s="298"/>
      <c r="AC50" s="298"/>
    </row>
    <row r="51" spans="1:39">
      <c r="A51" s="650"/>
      <c r="B51" s="293" t="s">
        <v>1120</v>
      </c>
      <c r="C51" s="293" t="s">
        <v>31</v>
      </c>
      <c r="D51" s="488">
        <v>50205248231</v>
      </c>
      <c r="E51" s="859" t="s">
        <v>76</v>
      </c>
      <c r="F51" s="275">
        <v>9002071382</v>
      </c>
      <c r="G51" s="293" t="s">
        <v>330</v>
      </c>
      <c r="H51" s="293" t="s">
        <v>97</v>
      </c>
      <c r="I51" s="90"/>
      <c r="J51" s="289">
        <v>22192</v>
      </c>
      <c r="K51" s="390">
        <v>44135</v>
      </c>
      <c r="L51" s="272">
        <v>44150</v>
      </c>
      <c r="M51" s="279">
        <v>44260</v>
      </c>
      <c r="N51" s="197" t="s">
        <v>1013</v>
      </c>
      <c r="O51" s="862" t="s">
        <v>1110</v>
      </c>
      <c r="P51" s="865"/>
      <c r="Q51" s="310" t="s">
        <v>1121</v>
      </c>
      <c r="R51" s="310" t="s">
        <v>1121</v>
      </c>
      <c r="T51" s="311">
        <f>LEN(TEXT(D51,0))</f>
        <v>11</v>
      </c>
      <c r="U51" s="311"/>
      <c r="V51" s="311"/>
      <c r="W51" s="311"/>
      <c r="X51" s="311"/>
      <c r="Y51" s="311"/>
      <c r="Z51" s="311"/>
      <c r="AA51" s="311"/>
      <c r="AB51" s="311"/>
    </row>
    <row r="52" spans="1:39">
      <c r="A52" s="650"/>
      <c r="B52" s="649" t="s">
        <v>1122</v>
      </c>
      <c r="C52" s="649" t="s">
        <v>31</v>
      </c>
      <c r="D52" s="837">
        <v>50205355187</v>
      </c>
      <c r="E52" s="866" t="s">
        <v>77</v>
      </c>
      <c r="F52" s="650">
        <v>9330028486</v>
      </c>
      <c r="G52" s="649" t="s">
        <v>261</v>
      </c>
      <c r="H52" s="649" t="s">
        <v>93</v>
      </c>
      <c r="I52" s="90"/>
      <c r="J52" s="481">
        <v>22218</v>
      </c>
      <c r="K52" s="481">
        <v>44135</v>
      </c>
      <c r="L52" s="481">
        <v>44163</v>
      </c>
      <c r="M52" s="424">
        <v>44135</v>
      </c>
      <c r="N52" s="197" t="s">
        <v>1013</v>
      </c>
      <c r="O52" s="862" t="s">
        <v>1110</v>
      </c>
      <c r="P52" s="493"/>
      <c r="Q52" s="494" t="s">
        <v>1123</v>
      </c>
      <c r="R52" s="494" t="s">
        <v>1123</v>
      </c>
      <c r="S52" s="298">
        <f>LEN(TEXT(D52,0))</f>
        <v>11</v>
      </c>
      <c r="U52" s="298"/>
      <c r="V52" s="298"/>
      <c r="W52" s="298"/>
      <c r="X52" s="298"/>
      <c r="Y52" s="298"/>
      <c r="Z52" s="298"/>
      <c r="AA52" s="298"/>
      <c r="AB52" s="298"/>
      <c r="AC52" s="298"/>
    </row>
    <row r="53" spans="1:39">
      <c r="A53" s="90"/>
      <c r="C53" s="89"/>
      <c r="F53" s="90"/>
      <c r="I53" s="90"/>
      <c r="J53" s="90"/>
      <c r="L53" s="90"/>
    </row>
    <row r="54" spans="1:39">
      <c r="A54" s="480"/>
      <c r="B54" s="351" t="s">
        <v>1124</v>
      </c>
      <c r="C54" s="293" t="s">
        <v>22</v>
      </c>
      <c r="D54" s="495">
        <v>50205672360</v>
      </c>
      <c r="E54" s="293"/>
      <c r="F54" s="275">
        <v>8563814890</v>
      </c>
      <c r="G54" s="284">
        <v>8563814890</v>
      </c>
      <c r="H54" s="293" t="s">
        <v>315</v>
      </c>
      <c r="I54" s="275" t="s">
        <v>627</v>
      </c>
      <c r="J54" s="272">
        <v>33765</v>
      </c>
      <c r="K54" s="272">
        <v>55700</v>
      </c>
      <c r="L54" s="320">
        <v>44674</v>
      </c>
      <c r="M54" s="272">
        <v>44566</v>
      </c>
      <c r="N54" s="851">
        <v>44431</v>
      </c>
      <c r="O54" s="853"/>
      <c r="P54" s="853" t="s">
        <v>1125</v>
      </c>
      <c r="R54" s="430"/>
      <c r="S54" s="430"/>
      <c r="T54" s="206">
        <f>LEN(D54)</f>
        <v>11</v>
      </c>
    </row>
    <row r="55" spans="1:39" ht="15.75" customHeight="1">
      <c r="A55" s="650"/>
      <c r="B55" s="293" t="s">
        <v>1126</v>
      </c>
      <c r="C55" s="293" t="s">
        <v>31</v>
      </c>
      <c r="D55" s="488">
        <v>50205295725</v>
      </c>
      <c r="E55" s="859" t="s">
        <v>76</v>
      </c>
      <c r="F55" s="275">
        <v>9002071232</v>
      </c>
      <c r="G55" s="690"/>
      <c r="H55" s="293" t="s">
        <v>330</v>
      </c>
      <c r="I55" s="275" t="s">
        <v>102</v>
      </c>
      <c r="J55" s="272">
        <v>22234</v>
      </c>
      <c r="K55" s="867">
        <v>44165</v>
      </c>
      <c r="L55" s="272">
        <v>44170</v>
      </c>
      <c r="M55" s="279">
        <v>44165</v>
      </c>
      <c r="N55" s="387">
        <v>45177</v>
      </c>
      <c r="O55" s="865"/>
      <c r="P55" s="868" t="s">
        <v>1127</v>
      </c>
      <c r="Q55" s="869" t="s">
        <v>1128</v>
      </c>
      <c r="R55" s="869" t="s">
        <v>1128</v>
      </c>
      <c r="S55" s="311">
        <f t="shared" ref="S55:S57" si="7">LEN(TEXT(D55,0))</f>
        <v>11</v>
      </c>
      <c r="U55" s="311"/>
      <c r="V55" s="311"/>
      <c r="W55" s="311"/>
      <c r="X55" s="311"/>
      <c r="Y55" s="311"/>
      <c r="Z55" s="311"/>
      <c r="AA55" s="311"/>
      <c r="AB55" s="311"/>
    </row>
    <row r="56" spans="1:39" ht="15.75" customHeight="1">
      <c r="A56" s="650"/>
      <c r="B56" s="293" t="s">
        <v>1129</v>
      </c>
      <c r="C56" s="293" t="s">
        <v>31</v>
      </c>
      <c r="D56" s="284">
        <v>50205326345</v>
      </c>
      <c r="E56" s="859" t="s">
        <v>76</v>
      </c>
      <c r="F56" s="275">
        <v>9002071047</v>
      </c>
      <c r="G56" s="690"/>
      <c r="H56" s="293" t="s">
        <v>330</v>
      </c>
      <c r="I56" s="275" t="s">
        <v>306</v>
      </c>
      <c r="J56" s="272">
        <v>22223</v>
      </c>
      <c r="K56" s="867">
        <v>44165</v>
      </c>
      <c r="L56" s="272">
        <v>44198</v>
      </c>
      <c r="M56" s="279">
        <v>44999</v>
      </c>
      <c r="N56" s="279">
        <v>44975</v>
      </c>
      <c r="O56" s="865"/>
      <c r="P56" s="868" t="s">
        <v>1127</v>
      </c>
      <c r="Q56" s="869" t="s">
        <v>1130</v>
      </c>
      <c r="R56" s="869" t="s">
        <v>1131</v>
      </c>
      <c r="S56" s="311">
        <f t="shared" si="7"/>
        <v>11</v>
      </c>
      <c r="Z56" s="311"/>
      <c r="AA56" s="311"/>
      <c r="AB56" s="311"/>
      <c r="AC56" s="311"/>
      <c r="AD56" s="311"/>
      <c r="AE56" s="311"/>
      <c r="AF56" s="311"/>
      <c r="AG56" s="311"/>
      <c r="AH56" s="311"/>
      <c r="AI56" s="311"/>
      <c r="AJ56" s="311"/>
      <c r="AK56" s="311"/>
      <c r="AL56" s="311"/>
      <c r="AM56" s="311"/>
    </row>
    <row r="57" spans="1:39" ht="18.75">
      <c r="A57" s="645"/>
      <c r="B57" s="644" t="s">
        <v>1132</v>
      </c>
      <c r="C57" s="644" t="s">
        <v>14</v>
      </c>
      <c r="D57" s="677">
        <v>50205376350</v>
      </c>
      <c r="E57" s="870" t="s">
        <v>78</v>
      </c>
      <c r="F57" s="645">
        <v>9002071009</v>
      </c>
      <c r="G57" s="857">
        <v>8777641359</v>
      </c>
      <c r="H57" s="644" t="s">
        <v>253</v>
      </c>
      <c r="I57" s="645" t="s">
        <v>1012</v>
      </c>
      <c r="J57" s="843">
        <v>21986</v>
      </c>
      <c r="K57" s="678">
        <v>44165</v>
      </c>
      <c r="L57" s="678">
        <v>44168</v>
      </c>
      <c r="M57" s="678">
        <v>44344</v>
      </c>
      <c r="N57" s="387">
        <v>44322</v>
      </c>
      <c r="O57" s="425"/>
      <c r="P57" s="868" t="s">
        <v>1127</v>
      </c>
      <c r="Q57" s="339" t="s">
        <v>1133</v>
      </c>
      <c r="R57" s="339" t="s">
        <v>1133</v>
      </c>
      <c r="S57" s="425">
        <f t="shared" si="7"/>
        <v>11</v>
      </c>
      <c r="T57" s="647">
        <v>41100</v>
      </c>
      <c r="V57" s="90"/>
      <c r="W57" s="90"/>
      <c r="X57" s="197" t="s">
        <v>84</v>
      </c>
    </row>
    <row r="58" spans="1:39">
      <c r="A58" s="871"/>
      <c r="B58" s="872" t="s">
        <v>1134</v>
      </c>
      <c r="C58" s="293" t="s">
        <v>22</v>
      </c>
      <c r="D58" s="873">
        <v>50205678160</v>
      </c>
      <c r="E58" s="649"/>
      <c r="F58" s="275">
        <v>8436101606</v>
      </c>
      <c r="G58" s="275"/>
      <c r="H58" s="293" t="s">
        <v>315</v>
      </c>
      <c r="I58" s="275" t="s">
        <v>1043</v>
      </c>
      <c r="J58" s="272">
        <v>33913</v>
      </c>
      <c r="K58" s="272">
        <v>55853</v>
      </c>
      <c r="L58" s="320">
        <v>45113</v>
      </c>
      <c r="M58" s="272">
        <v>44941</v>
      </c>
      <c r="N58" s="851">
        <v>44884</v>
      </c>
      <c r="O58" s="429" t="s">
        <v>1135</v>
      </c>
      <c r="P58" s="197" t="s">
        <v>1136</v>
      </c>
      <c r="Q58" s="430"/>
      <c r="R58" s="430"/>
      <c r="S58" s="430"/>
      <c r="T58" s="206">
        <f>LEN(D58)</f>
        <v>11</v>
      </c>
    </row>
    <row r="59" spans="1:39">
      <c r="A59" s="90"/>
      <c r="C59" s="89"/>
      <c r="F59" s="90"/>
      <c r="I59" s="90"/>
      <c r="J59" s="90"/>
      <c r="L59" s="90"/>
    </row>
    <row r="60" spans="1:39">
      <c r="A60" s="650"/>
      <c r="B60" s="649" t="s">
        <v>1137</v>
      </c>
      <c r="C60" s="649" t="s">
        <v>31</v>
      </c>
      <c r="D60" s="845">
        <v>50209345840</v>
      </c>
      <c r="E60" s="859" t="s">
        <v>76</v>
      </c>
      <c r="F60" s="650">
        <v>9002071159</v>
      </c>
      <c r="G60" s="854"/>
      <c r="H60" s="649" t="s">
        <v>261</v>
      </c>
      <c r="I60" s="650" t="s">
        <v>306</v>
      </c>
      <c r="J60" s="481">
        <v>31554</v>
      </c>
      <c r="K60" s="481">
        <v>44196</v>
      </c>
      <c r="L60" s="424">
        <v>44477</v>
      </c>
      <c r="M60" s="844">
        <v>45222</v>
      </c>
      <c r="N60" s="424">
        <v>45145</v>
      </c>
      <c r="O60" s="492"/>
      <c r="P60" s="874" t="s">
        <v>1138</v>
      </c>
      <c r="Q60" s="494" t="s">
        <v>1139</v>
      </c>
      <c r="R60" s="494" t="s">
        <v>1139</v>
      </c>
      <c r="S60" s="298">
        <f>LEN(TEXT(D60,0))</f>
        <v>11</v>
      </c>
      <c r="U60" s="298"/>
      <c r="V60" s="298"/>
      <c r="W60" s="298"/>
      <c r="X60" s="298"/>
      <c r="Y60" s="298"/>
      <c r="Z60" s="298"/>
      <c r="AA60" s="298"/>
      <c r="AB60" s="298"/>
      <c r="AC60" s="298"/>
      <c r="AD60" s="298"/>
    </row>
    <row r="61" spans="1:39">
      <c r="A61" s="90"/>
      <c r="C61" s="89"/>
      <c r="F61" s="90"/>
      <c r="I61" s="90"/>
      <c r="J61" s="90"/>
      <c r="L61" s="90"/>
    </row>
    <row r="62" spans="1:39">
      <c r="A62" s="90"/>
      <c r="C62" s="89"/>
      <c r="F62" s="90"/>
      <c r="I62" s="90"/>
      <c r="J62" s="90"/>
      <c r="L62" s="90"/>
    </row>
    <row r="63" spans="1:39" ht="18.75">
      <c r="A63" s="645"/>
      <c r="B63" s="644" t="s">
        <v>1140</v>
      </c>
      <c r="C63" s="644" t="s">
        <v>14</v>
      </c>
      <c r="D63" s="677">
        <v>50205255391</v>
      </c>
      <c r="E63" s="870" t="s">
        <v>76</v>
      </c>
      <c r="F63" s="645">
        <v>9002071362</v>
      </c>
      <c r="G63" s="645">
        <v>9002071362</v>
      </c>
      <c r="H63" s="644" t="s">
        <v>253</v>
      </c>
      <c r="I63" s="645" t="s">
        <v>1066</v>
      </c>
      <c r="J63" s="843">
        <v>22313</v>
      </c>
      <c r="K63" s="844">
        <v>44227</v>
      </c>
      <c r="L63" s="678">
        <v>44231</v>
      </c>
      <c r="M63" s="844">
        <v>45074</v>
      </c>
      <c r="N63" s="387">
        <v>44495</v>
      </c>
      <c r="O63" s="425"/>
      <c r="P63" s="441" t="s">
        <v>1141</v>
      </c>
      <c r="Q63" s="339" t="s">
        <v>1142</v>
      </c>
      <c r="R63" s="339" t="s">
        <v>1142</v>
      </c>
      <c r="T63" s="425">
        <f>LEN(D63)</f>
        <v>11</v>
      </c>
      <c r="U63" s="647">
        <v>36783</v>
      </c>
      <c r="V63" s="90"/>
      <c r="W63" s="90"/>
      <c r="X63" s="197" t="s">
        <v>84</v>
      </c>
    </row>
    <row r="64" spans="1:39" ht="15.75" customHeight="1">
      <c r="A64" s="645"/>
      <c r="B64" s="644" t="s">
        <v>1143</v>
      </c>
      <c r="C64" s="644" t="s">
        <v>14</v>
      </c>
      <c r="D64" s="675">
        <v>50205252775</v>
      </c>
      <c r="E64" s="870" t="s">
        <v>76</v>
      </c>
      <c r="F64" s="645">
        <v>9002071065</v>
      </c>
      <c r="G64" s="645"/>
      <c r="H64" s="644" t="s">
        <v>253</v>
      </c>
      <c r="I64" s="645" t="s">
        <v>1144</v>
      </c>
      <c r="J64" s="678">
        <v>22301</v>
      </c>
      <c r="K64" s="844">
        <v>44227</v>
      </c>
      <c r="L64" s="678">
        <v>44449</v>
      </c>
      <c r="M64" s="678">
        <v>44176</v>
      </c>
      <c r="N64" s="387">
        <v>44463</v>
      </c>
      <c r="O64" s="425"/>
      <c r="P64" s="441" t="s">
        <v>1141</v>
      </c>
      <c r="Q64" s="339" t="s">
        <v>1145</v>
      </c>
      <c r="R64" s="339" t="s">
        <v>1145</v>
      </c>
      <c r="S64" s="425">
        <f t="shared" ref="S64:S66" si="8">LEN(D64)</f>
        <v>11</v>
      </c>
      <c r="T64" s="647">
        <v>41099</v>
      </c>
      <c r="V64" s="90"/>
      <c r="W64" s="90"/>
      <c r="X64" s="197" t="s">
        <v>84</v>
      </c>
    </row>
    <row r="65" spans="1:31" ht="15.75" customHeight="1">
      <c r="A65" s="650"/>
      <c r="B65" s="293" t="s">
        <v>1146</v>
      </c>
      <c r="C65" s="293" t="s">
        <v>31</v>
      </c>
      <c r="D65" s="304">
        <v>50210269710</v>
      </c>
      <c r="E65" s="274" t="s">
        <v>77</v>
      </c>
      <c r="F65" s="275">
        <v>9002071044</v>
      </c>
      <c r="G65" s="690"/>
      <c r="H65" s="293" t="s">
        <v>290</v>
      </c>
      <c r="I65" s="275" t="s">
        <v>44</v>
      </c>
      <c r="J65" s="272">
        <v>22296</v>
      </c>
      <c r="K65" s="272">
        <v>44227</v>
      </c>
      <c r="L65" s="272">
        <v>44320</v>
      </c>
      <c r="M65" s="279">
        <v>44519</v>
      </c>
      <c r="N65" s="272">
        <v>44687</v>
      </c>
      <c r="O65" s="308"/>
      <c r="P65" s="441" t="s">
        <v>1141</v>
      </c>
      <c r="Q65" s="310" t="s">
        <v>1147</v>
      </c>
      <c r="R65" s="310" t="s">
        <v>1147</v>
      </c>
      <c r="S65" s="311">
        <f t="shared" si="8"/>
        <v>11</v>
      </c>
      <c r="U65" s="311"/>
      <c r="V65" s="311"/>
      <c r="W65" s="311"/>
      <c r="X65" s="311"/>
      <c r="Y65" s="311"/>
      <c r="Z65" s="311"/>
      <c r="AA65" s="311"/>
      <c r="AB65" s="311"/>
      <c r="AC65" s="311"/>
    </row>
    <row r="66" spans="1:31" ht="15.75" customHeight="1">
      <c r="A66" s="650"/>
      <c r="B66" s="293" t="s">
        <v>1148</v>
      </c>
      <c r="C66" s="293" t="s">
        <v>31</v>
      </c>
      <c r="D66" s="489">
        <v>50205331742</v>
      </c>
      <c r="E66" s="303" t="s">
        <v>76</v>
      </c>
      <c r="F66" s="275">
        <v>9002071230</v>
      </c>
      <c r="G66" s="306">
        <v>9434451422</v>
      </c>
      <c r="H66" s="293" t="s">
        <v>290</v>
      </c>
      <c r="I66" s="275" t="s">
        <v>1022</v>
      </c>
      <c r="J66" s="272">
        <v>22298</v>
      </c>
      <c r="K66" s="272">
        <v>44227</v>
      </c>
      <c r="L66" s="272">
        <v>44212</v>
      </c>
      <c r="M66" s="279">
        <v>45041</v>
      </c>
      <c r="N66" s="272">
        <v>44771</v>
      </c>
      <c r="O66" s="308"/>
      <c r="P66" s="441" t="s">
        <v>1141</v>
      </c>
      <c r="Q66" s="339" t="s">
        <v>1149</v>
      </c>
      <c r="R66" s="310" t="s">
        <v>1149</v>
      </c>
      <c r="S66" s="311">
        <f t="shared" si="8"/>
        <v>11</v>
      </c>
      <c r="T66" s="311"/>
      <c r="V66" s="311"/>
      <c r="W66" s="311"/>
      <c r="X66" s="311"/>
      <c r="Y66" s="311"/>
      <c r="Z66" s="311"/>
      <c r="AA66" s="311"/>
      <c r="AB66" s="311"/>
      <c r="AC66" s="311"/>
    </row>
    <row r="67" spans="1:31" ht="15.75" customHeight="1">
      <c r="A67" s="645"/>
      <c r="B67" s="644" t="s">
        <v>1150</v>
      </c>
      <c r="C67" s="644" t="s">
        <v>21</v>
      </c>
      <c r="D67" s="677">
        <v>50205337641</v>
      </c>
      <c r="E67" s="875" t="s">
        <v>76</v>
      </c>
      <c r="F67" s="645">
        <v>9002079007</v>
      </c>
      <c r="G67" s="857">
        <v>7003531031</v>
      </c>
      <c r="H67" s="644" t="s">
        <v>253</v>
      </c>
      <c r="I67" s="645" t="s">
        <v>1016</v>
      </c>
      <c r="J67" s="844">
        <v>22302</v>
      </c>
      <c r="K67" s="844">
        <v>44227</v>
      </c>
      <c r="L67" s="844">
        <v>44237</v>
      </c>
      <c r="M67" s="844">
        <v>44165</v>
      </c>
      <c r="N67" s="387">
        <v>45188</v>
      </c>
      <c r="O67" s="425"/>
      <c r="P67" s="441" t="s">
        <v>1141</v>
      </c>
      <c r="Q67" s="339" t="s">
        <v>1151</v>
      </c>
      <c r="S67" s="425"/>
      <c r="T67" s="425">
        <f>LEN(D67)</f>
        <v>11</v>
      </c>
      <c r="U67" s="90"/>
      <c r="V67" s="90"/>
      <c r="W67" s="90"/>
    </row>
    <row r="68" spans="1:31" ht="15.75" customHeight="1">
      <c r="A68" s="650"/>
      <c r="B68" s="649" t="s">
        <v>1152</v>
      </c>
      <c r="C68" s="649" t="s">
        <v>31</v>
      </c>
      <c r="D68" s="837">
        <v>50205326485</v>
      </c>
      <c r="E68" s="303" t="s">
        <v>76</v>
      </c>
      <c r="F68" s="624">
        <v>9002071002</v>
      </c>
      <c r="G68" s="837">
        <v>9002071002</v>
      </c>
      <c r="H68" s="649" t="s">
        <v>261</v>
      </c>
      <c r="I68" s="650" t="s">
        <v>1028</v>
      </c>
      <c r="J68" s="481">
        <v>22616</v>
      </c>
      <c r="K68" s="481">
        <v>44227</v>
      </c>
      <c r="L68" s="481">
        <v>44349</v>
      </c>
      <c r="M68" s="481">
        <v>44400</v>
      </c>
      <c r="N68" s="481">
        <v>44473</v>
      </c>
      <c r="P68" s="441" t="s">
        <v>1141</v>
      </c>
      <c r="Q68" s="493"/>
      <c r="R68" s="377" t="s">
        <v>1153</v>
      </c>
      <c r="S68" s="298">
        <f>LEN(TEXT(D68,0))</f>
        <v>11</v>
      </c>
      <c r="T68" s="298"/>
      <c r="U68" s="298"/>
      <c r="V68" s="298"/>
      <c r="X68" s="298"/>
      <c r="Y68" s="298"/>
      <c r="Z68" s="298"/>
      <c r="AA68" s="298"/>
      <c r="AB68" s="298"/>
      <c r="AC68" s="298"/>
      <c r="AD68" s="298"/>
    </row>
    <row r="69" spans="1:31">
      <c r="A69" s="876"/>
      <c r="B69" s="877" t="s">
        <v>1154</v>
      </c>
      <c r="C69" s="878" t="s">
        <v>543</v>
      </c>
      <c r="D69" s="879" t="s">
        <v>23</v>
      </c>
      <c r="E69" s="880">
        <v>50205326394</v>
      </c>
      <c r="F69" s="466">
        <v>22286</v>
      </c>
      <c r="G69" s="466">
        <v>44227</v>
      </c>
      <c r="H69" s="90"/>
      <c r="I69" s="137" t="s">
        <v>76</v>
      </c>
      <c r="J69" s="90"/>
      <c r="L69" s="90"/>
      <c r="P69" s="441" t="s">
        <v>1141</v>
      </c>
    </row>
    <row r="70" spans="1:31">
      <c r="A70" s="881"/>
      <c r="B70" s="882" t="s">
        <v>1155</v>
      </c>
      <c r="C70" s="235" t="s">
        <v>76</v>
      </c>
      <c r="D70" s="883" t="s">
        <v>137</v>
      </c>
      <c r="E70" s="235">
        <v>532656</v>
      </c>
      <c r="F70" s="233" t="s">
        <v>1156</v>
      </c>
      <c r="G70" s="884">
        <v>44227</v>
      </c>
      <c r="H70" s="233" t="s">
        <v>1157</v>
      </c>
      <c r="I70" s="233" t="s">
        <v>1158</v>
      </c>
      <c r="J70" s="237" t="s">
        <v>1159</v>
      </c>
      <c r="K70" s="238" t="s">
        <v>142</v>
      </c>
      <c r="L70" s="239"/>
      <c r="P70" s="441" t="s">
        <v>1141</v>
      </c>
    </row>
    <row r="71" spans="1:31">
      <c r="A71" s="881"/>
      <c r="B71" s="882" t="s">
        <v>1160</v>
      </c>
      <c r="C71" s="235" t="s">
        <v>76</v>
      </c>
      <c r="D71" s="883" t="s">
        <v>137</v>
      </c>
      <c r="E71" s="235">
        <v>533597</v>
      </c>
      <c r="F71" s="233" t="s">
        <v>1161</v>
      </c>
      <c r="G71" s="884">
        <v>44227</v>
      </c>
      <c r="H71" s="233" t="s">
        <v>1162</v>
      </c>
      <c r="I71" s="233" t="s">
        <v>1163</v>
      </c>
      <c r="J71" s="237" t="s">
        <v>1164</v>
      </c>
      <c r="K71" s="885" t="s">
        <v>1165</v>
      </c>
      <c r="L71" s="239"/>
      <c r="P71" s="441" t="s">
        <v>1141</v>
      </c>
    </row>
    <row r="72" spans="1:31">
      <c r="A72" s="90"/>
      <c r="C72" s="89"/>
      <c r="F72" s="90"/>
      <c r="I72" s="90"/>
      <c r="J72" s="90"/>
      <c r="L72" s="90"/>
    </row>
    <row r="73" spans="1:31" ht="15.75" customHeight="1">
      <c r="A73" s="650"/>
      <c r="B73" s="293" t="s">
        <v>1166</v>
      </c>
      <c r="C73" s="293" t="s">
        <v>31</v>
      </c>
      <c r="D73" s="304" t="s">
        <v>1167</v>
      </c>
      <c r="E73" s="421" t="s">
        <v>76</v>
      </c>
      <c r="F73" s="275">
        <v>9002071278</v>
      </c>
      <c r="G73" s="690"/>
      <c r="H73" s="293" t="s">
        <v>290</v>
      </c>
      <c r="I73" s="275" t="s">
        <v>100</v>
      </c>
      <c r="J73" s="272">
        <v>22390</v>
      </c>
      <c r="K73" s="272">
        <v>44316</v>
      </c>
      <c r="L73" s="272">
        <v>44287</v>
      </c>
      <c r="M73" s="279">
        <v>45043</v>
      </c>
      <c r="N73" s="272">
        <v>44975</v>
      </c>
      <c r="O73" s="308"/>
      <c r="P73" s="862" t="s">
        <v>1168</v>
      </c>
      <c r="Q73" s="310" t="s">
        <v>1169</v>
      </c>
      <c r="R73" s="310" t="s">
        <v>1169</v>
      </c>
      <c r="S73" s="311">
        <f>LEN(D73)</f>
        <v>11</v>
      </c>
      <c r="T73" s="311"/>
      <c r="V73" s="311"/>
      <c r="W73" s="311"/>
      <c r="X73" s="311"/>
      <c r="Y73" s="311"/>
      <c r="Z73" s="311"/>
      <c r="AA73" s="311"/>
      <c r="AB73" s="311"/>
      <c r="AC73" s="311"/>
      <c r="AD73" s="311"/>
      <c r="AE73" s="311"/>
    </row>
    <row r="74" spans="1:31">
      <c r="A74" s="650"/>
      <c r="B74" s="293" t="s">
        <v>1170</v>
      </c>
      <c r="C74" s="293" t="s">
        <v>31</v>
      </c>
      <c r="D74" s="488">
        <v>50205326461</v>
      </c>
      <c r="E74" s="859" t="s">
        <v>76</v>
      </c>
      <c r="F74" s="275">
        <v>9002071397</v>
      </c>
      <c r="G74" s="690">
        <v>9002071397</v>
      </c>
      <c r="H74" s="293" t="s">
        <v>330</v>
      </c>
      <c r="I74" s="275" t="s">
        <v>97</v>
      </c>
      <c r="J74" s="272">
        <v>22314</v>
      </c>
      <c r="K74" s="867">
        <v>44255</v>
      </c>
      <c r="L74" s="272">
        <v>44245</v>
      </c>
      <c r="M74" s="279">
        <v>45274</v>
      </c>
      <c r="N74" s="279">
        <v>44605</v>
      </c>
      <c r="O74" s="865"/>
      <c r="P74" s="868" t="s">
        <v>1171</v>
      </c>
      <c r="Q74" s="310" t="s">
        <v>1172</v>
      </c>
      <c r="R74" s="310" t="s">
        <v>1172</v>
      </c>
      <c r="S74" s="311">
        <f>LEN(TEXT(D74,0))</f>
        <v>11</v>
      </c>
      <c r="U74" s="311"/>
      <c r="V74" s="311"/>
      <c r="W74" s="311"/>
      <c r="X74" s="311"/>
      <c r="Y74" s="311"/>
      <c r="Z74" s="311"/>
      <c r="AA74" s="311"/>
      <c r="AB74" s="311"/>
      <c r="AC74" s="311"/>
      <c r="AD74" s="311"/>
      <c r="AE74" s="311"/>
    </row>
    <row r="75" spans="1:31">
      <c r="A75" s="90"/>
      <c r="C75" s="89"/>
      <c r="F75" s="90"/>
      <c r="I75" s="90"/>
      <c r="J75" s="90"/>
      <c r="L75" s="90"/>
    </row>
    <row r="76" spans="1:31" ht="15.75" customHeight="1">
      <c r="A76" s="886"/>
      <c r="B76" s="688" t="s">
        <v>1173</v>
      </c>
      <c r="C76" s="293" t="s">
        <v>31</v>
      </c>
      <c r="D76" s="306">
        <v>50205606883</v>
      </c>
      <c r="E76" s="303" t="s">
        <v>76</v>
      </c>
      <c r="F76" s="275">
        <v>9002071753</v>
      </c>
      <c r="G76" s="887">
        <v>9576880991</v>
      </c>
      <c r="H76" s="293" t="s">
        <v>261</v>
      </c>
      <c r="I76" s="275" t="s">
        <v>103</v>
      </c>
      <c r="J76" s="289">
        <v>32427</v>
      </c>
      <c r="K76" s="289">
        <v>54392</v>
      </c>
      <c r="L76" s="289">
        <v>44363</v>
      </c>
      <c r="M76" s="289">
        <v>44634</v>
      </c>
      <c r="N76" s="289">
        <v>44714</v>
      </c>
      <c r="O76" s="294"/>
      <c r="P76" s="888" t="s">
        <v>1174</v>
      </c>
      <c r="Q76" s="296" t="s">
        <v>1175</v>
      </c>
      <c r="R76" s="296" t="s">
        <v>1175</v>
      </c>
      <c r="S76" s="297">
        <f>LEN(TEXT(D76,0))</f>
        <v>11</v>
      </c>
      <c r="T76" s="298"/>
      <c r="U76" s="298"/>
      <c r="V76" s="298"/>
      <c r="W76" s="298"/>
      <c r="X76" s="298"/>
      <c r="Y76" s="298"/>
      <c r="Z76" s="298"/>
      <c r="AA76" s="298"/>
      <c r="AB76" s="298"/>
      <c r="AC76" s="298"/>
    </row>
    <row r="77" spans="1:31">
      <c r="A77" s="90"/>
      <c r="C77" s="89"/>
      <c r="F77" s="90"/>
      <c r="I77" s="90"/>
      <c r="J77" s="90"/>
      <c r="L77" s="90"/>
    </row>
    <row r="78" spans="1:31">
      <c r="A78" s="231">
        <v>16</v>
      </c>
      <c r="B78" s="889" t="s">
        <v>1176</v>
      </c>
      <c r="C78" s="235" t="s">
        <v>76</v>
      </c>
      <c r="D78" s="883" t="s">
        <v>137</v>
      </c>
      <c r="E78" s="235">
        <v>534304</v>
      </c>
      <c r="F78" s="233" t="s">
        <v>1177</v>
      </c>
      <c r="G78" s="884">
        <v>44834</v>
      </c>
      <c r="H78" s="233" t="s">
        <v>1178</v>
      </c>
      <c r="I78" s="233" t="s">
        <v>1179</v>
      </c>
      <c r="J78" s="237" t="s">
        <v>146</v>
      </c>
      <c r="K78" s="238" t="s">
        <v>142</v>
      </c>
      <c r="L78" s="239"/>
      <c r="M78" s="197" t="s">
        <v>1180</v>
      </c>
    </row>
    <row r="79" spans="1:31">
      <c r="A79" s="90"/>
      <c r="C79" s="89"/>
      <c r="F79" s="90"/>
      <c r="I79" s="90"/>
      <c r="J79" s="90"/>
      <c r="L79" s="90"/>
    </row>
    <row r="80" spans="1:31">
      <c r="A80" s="90"/>
      <c r="B80" s="197" t="s">
        <v>1181</v>
      </c>
      <c r="C80" s="838" t="s">
        <v>137</v>
      </c>
      <c r="D80" s="137" t="s">
        <v>440</v>
      </c>
      <c r="E80" s="90"/>
      <c r="F80" s="466">
        <v>22342</v>
      </c>
      <c r="G80" s="466">
        <v>44286</v>
      </c>
      <c r="H80" s="137" t="s">
        <v>4</v>
      </c>
      <c r="I80" s="137" t="s">
        <v>76</v>
      </c>
      <c r="J80" s="90"/>
      <c r="L80" s="90"/>
      <c r="P80" s="197" t="s">
        <v>1182</v>
      </c>
    </row>
    <row r="81" spans="1:39" ht="15.75" customHeight="1">
      <c r="A81" s="90"/>
      <c r="B81" s="293" t="s">
        <v>1183</v>
      </c>
      <c r="C81" s="293" t="s">
        <v>31</v>
      </c>
      <c r="D81" s="284">
        <v>50205326357</v>
      </c>
      <c r="E81" s="421"/>
      <c r="F81" s="421" t="s">
        <v>76</v>
      </c>
      <c r="G81" s="293">
        <v>9002071061</v>
      </c>
      <c r="H81" s="890">
        <v>9679202235</v>
      </c>
      <c r="I81" s="275" t="s">
        <v>330</v>
      </c>
      <c r="J81" s="275" t="s">
        <v>43</v>
      </c>
      <c r="K81" s="272">
        <v>22343</v>
      </c>
      <c r="L81" s="272">
        <v>44286</v>
      </c>
      <c r="M81" s="272">
        <v>44320</v>
      </c>
      <c r="N81" s="844">
        <v>45222</v>
      </c>
      <c r="O81" s="272">
        <v>45145</v>
      </c>
      <c r="P81" s="197" t="s">
        <v>1182</v>
      </c>
      <c r="Q81" s="865"/>
      <c r="R81" s="869" t="s">
        <v>1184</v>
      </c>
      <c r="S81" s="869" t="s">
        <v>1184</v>
      </c>
      <c r="U81" s="311">
        <f>LEN(TEXT(D81,0))</f>
        <v>11</v>
      </c>
      <c r="V81" s="311"/>
      <c r="W81" s="311"/>
      <c r="X81" s="311"/>
      <c r="Y81" s="311"/>
      <c r="Z81" s="311"/>
      <c r="AA81" s="311"/>
      <c r="AB81" s="311"/>
      <c r="AC81" s="311"/>
      <c r="AD81" s="311"/>
      <c r="AE81" s="311"/>
      <c r="AF81" s="311"/>
      <c r="AG81" s="311"/>
      <c r="AH81" s="311"/>
      <c r="AI81" s="311"/>
      <c r="AJ81" s="311"/>
      <c r="AK81" s="311"/>
      <c r="AL81" s="311"/>
      <c r="AM81" s="311"/>
    </row>
    <row r="82" spans="1:39">
      <c r="A82" s="90"/>
      <c r="C82" s="89"/>
      <c r="F82" s="90"/>
      <c r="I82" s="90"/>
      <c r="J82" s="90"/>
      <c r="L82" s="90"/>
    </row>
    <row r="83" spans="1:39" ht="15.75" customHeight="1">
      <c r="A83" s="891">
        <v>21</v>
      </c>
      <c r="B83" s="276" t="s">
        <v>1185</v>
      </c>
      <c r="C83" s="276" t="s">
        <v>14</v>
      </c>
      <c r="D83" s="677">
        <v>50204766866</v>
      </c>
      <c r="E83" s="870"/>
      <c r="F83" s="870" t="s">
        <v>76</v>
      </c>
      <c r="G83" s="303" t="s">
        <v>279</v>
      </c>
      <c r="H83" s="307">
        <v>9002071683</v>
      </c>
      <c r="I83" s="703">
        <v>9002071683</v>
      </c>
      <c r="J83" s="307" t="s">
        <v>253</v>
      </c>
      <c r="K83" s="276" t="s">
        <v>1186</v>
      </c>
      <c r="L83" s="278">
        <v>24077</v>
      </c>
      <c r="M83" s="315">
        <v>45991</v>
      </c>
      <c r="N83" s="278">
        <v>44532</v>
      </c>
      <c r="O83" s="278">
        <v>44456</v>
      </c>
      <c r="P83" s="197" t="s">
        <v>1187</v>
      </c>
      <c r="Q83" s="285"/>
      <c r="R83" s="285"/>
      <c r="S83" s="318" t="s">
        <v>1188</v>
      </c>
      <c r="T83" s="318" t="s">
        <v>1188</v>
      </c>
      <c r="U83" s="285">
        <f t="shared" ref="U83:U84" si="9">LEN(D83)</f>
        <v>11</v>
      </c>
      <c r="V83" s="18" t="s">
        <v>1189</v>
      </c>
      <c r="W83" s="3"/>
      <c r="X83" s="18">
        <v>1</v>
      </c>
      <c r="Y83" s="286" t="s">
        <v>85</v>
      </c>
      <c r="Z83" s="79"/>
    </row>
    <row r="84" spans="1:39">
      <c r="A84" s="892">
        <v>62</v>
      </c>
      <c r="B84" s="351" t="s">
        <v>1190</v>
      </c>
      <c r="C84" s="293" t="s">
        <v>22</v>
      </c>
      <c r="D84" s="495">
        <v>50205677191</v>
      </c>
      <c r="E84" s="274"/>
      <c r="F84" s="274" t="s">
        <v>78</v>
      </c>
      <c r="G84" s="275"/>
      <c r="H84" s="275">
        <v>8825135054</v>
      </c>
      <c r="I84" s="284">
        <v>9798041403</v>
      </c>
      <c r="J84" s="275" t="s">
        <v>315</v>
      </c>
      <c r="K84" s="293" t="s">
        <v>1016</v>
      </c>
      <c r="L84" s="272">
        <v>32543</v>
      </c>
      <c r="M84" s="272">
        <v>54482</v>
      </c>
      <c r="N84" s="277">
        <v>44933</v>
      </c>
      <c r="O84" s="272">
        <v>44859</v>
      </c>
      <c r="P84" s="197" t="s">
        <v>1191</v>
      </c>
      <c r="Q84" s="281" t="s">
        <v>1192</v>
      </c>
      <c r="R84" s="280"/>
      <c r="S84" s="280"/>
      <c r="T84" s="280"/>
      <c r="U84" s="79">
        <f t="shared" si="9"/>
        <v>11</v>
      </c>
    </row>
    <row r="85" spans="1:39">
      <c r="A85" s="90"/>
      <c r="C85" s="89"/>
      <c r="F85" s="90"/>
      <c r="H85" s="861"/>
      <c r="I85" s="647"/>
      <c r="J85" s="90"/>
      <c r="L85" s="90"/>
    </row>
    <row r="86" spans="1:39">
      <c r="A86" s="90"/>
      <c r="C86" s="89"/>
      <c r="F86" s="90"/>
      <c r="I86" s="90"/>
      <c r="J86" s="90"/>
    </row>
    <row r="87" spans="1:39">
      <c r="A87" s="90"/>
      <c r="C87" s="89"/>
      <c r="F87" s="90"/>
      <c r="I87" s="90"/>
      <c r="J87" s="90"/>
      <c r="L87" s="90"/>
    </row>
    <row r="88" spans="1:39" ht="15.75" customHeight="1">
      <c r="A88" s="886">
        <v>31</v>
      </c>
      <c r="B88" s="293" t="s">
        <v>1193</v>
      </c>
      <c r="C88" s="293" t="s">
        <v>31</v>
      </c>
      <c r="D88" s="306" t="s">
        <v>1194</v>
      </c>
      <c r="E88" s="274"/>
      <c r="F88" s="274" t="s">
        <v>77</v>
      </c>
      <c r="G88" s="688" t="s">
        <v>266</v>
      </c>
      <c r="H88" s="293">
        <v>9002071864</v>
      </c>
      <c r="I88" s="690"/>
      <c r="J88" s="275" t="s">
        <v>261</v>
      </c>
      <c r="K88" s="293" t="s">
        <v>1043</v>
      </c>
      <c r="L88" s="272">
        <v>22379</v>
      </c>
      <c r="M88" s="289">
        <v>44316</v>
      </c>
      <c r="N88" s="272">
        <v>44440</v>
      </c>
      <c r="O88" s="289">
        <v>44999</v>
      </c>
      <c r="P88" s="197" t="s">
        <v>1195</v>
      </c>
      <c r="Q88" s="294"/>
      <c r="R88" s="295"/>
      <c r="S88" s="296" t="s">
        <v>1196</v>
      </c>
      <c r="T88" s="296" t="s">
        <v>1196</v>
      </c>
      <c r="U88" s="297">
        <f>LEN(TEXT(D88,0))</f>
        <v>11</v>
      </c>
      <c r="V88" s="298"/>
      <c r="W88" s="298"/>
      <c r="X88" s="298"/>
      <c r="Y88" s="298"/>
      <c r="Z88" s="298"/>
      <c r="AA88" s="298"/>
      <c r="AB88" s="298"/>
      <c r="AC88" s="298"/>
      <c r="AD88" s="298"/>
      <c r="AE88" s="298"/>
      <c r="AF88" s="298"/>
    </row>
    <row r="89" spans="1:39" ht="15.75" customHeight="1">
      <c r="A89" s="893">
        <v>55</v>
      </c>
      <c r="B89" s="293" t="s">
        <v>1197</v>
      </c>
      <c r="C89" s="293" t="s">
        <v>31</v>
      </c>
      <c r="D89" s="489" t="s">
        <v>1198</v>
      </c>
      <c r="E89" s="303"/>
      <c r="F89" s="303" t="s">
        <v>76</v>
      </c>
      <c r="G89" s="274" t="s">
        <v>279</v>
      </c>
      <c r="H89" s="275">
        <v>9002071671</v>
      </c>
      <c r="I89" s="306">
        <v>9002071671</v>
      </c>
      <c r="J89" s="275" t="s">
        <v>290</v>
      </c>
      <c r="K89" s="293" t="s">
        <v>1199</v>
      </c>
      <c r="L89" s="272">
        <v>22386</v>
      </c>
      <c r="M89" s="272">
        <v>44316</v>
      </c>
      <c r="N89" s="272">
        <v>44330</v>
      </c>
      <c r="O89" s="279">
        <v>44678</v>
      </c>
      <c r="P89" s="197" t="s">
        <v>1195</v>
      </c>
      <c r="R89" s="309"/>
      <c r="S89" s="894" t="s">
        <v>1200</v>
      </c>
      <c r="T89" s="894" t="s">
        <v>1200</v>
      </c>
      <c r="U89" s="311">
        <f>LEN(D89)</f>
        <v>11</v>
      </c>
      <c r="V89" s="311"/>
      <c r="W89" s="311"/>
      <c r="X89" s="311"/>
      <c r="Y89" s="311"/>
      <c r="Z89" s="311"/>
      <c r="AA89" s="311"/>
      <c r="AB89" s="311"/>
      <c r="AC89" s="311"/>
      <c r="AD89" s="311"/>
      <c r="AE89" s="311"/>
      <c r="AF89" s="311"/>
    </row>
    <row r="90" spans="1:39">
      <c r="A90" s="879">
        <v>31</v>
      </c>
      <c r="B90" s="640" t="s">
        <v>1201</v>
      </c>
      <c r="C90" s="895" t="s">
        <v>1202</v>
      </c>
      <c r="D90" s="896">
        <v>50205342995</v>
      </c>
      <c r="F90" s="897" t="s">
        <v>23</v>
      </c>
      <c r="G90" s="466">
        <v>22951</v>
      </c>
      <c r="H90" s="466">
        <v>44895</v>
      </c>
      <c r="I90" s="90"/>
      <c r="J90" s="137" t="s">
        <v>76</v>
      </c>
      <c r="L90" s="90"/>
      <c r="R90" s="197" t="s">
        <v>1203</v>
      </c>
    </row>
    <row r="91" spans="1:39" ht="1.5" customHeight="1">
      <c r="A91" s="898">
        <v>1</v>
      </c>
      <c r="B91" s="899" t="s">
        <v>1204</v>
      </c>
      <c r="C91" s="276" t="s">
        <v>20</v>
      </c>
      <c r="D91" s="677">
        <v>50204768681</v>
      </c>
      <c r="E91" s="900" t="s">
        <v>1205</v>
      </c>
      <c r="F91" s="870" t="s">
        <v>76</v>
      </c>
      <c r="G91" s="303" t="s">
        <v>266</v>
      </c>
      <c r="H91" s="307">
        <v>9002071726</v>
      </c>
      <c r="I91" s="703">
        <v>9002071726</v>
      </c>
      <c r="J91" s="307" t="s">
        <v>253</v>
      </c>
      <c r="K91" s="276" t="s">
        <v>48</v>
      </c>
      <c r="L91" s="315">
        <v>24107</v>
      </c>
      <c r="M91" s="315">
        <v>46022</v>
      </c>
      <c r="N91" s="315">
        <v>44348</v>
      </c>
      <c r="O91" s="315">
        <v>44708</v>
      </c>
      <c r="P91" s="316">
        <v>44633</v>
      </c>
      <c r="Q91" s="285"/>
      <c r="R91" s="285"/>
      <c r="S91" s="318" t="s">
        <v>1206</v>
      </c>
      <c r="T91" s="285"/>
      <c r="U91" s="285">
        <f t="shared" ref="U91:U92" si="10">LEN(D91)</f>
        <v>11</v>
      </c>
      <c r="V91" s="3"/>
      <c r="W91" s="3"/>
      <c r="X91" s="3"/>
      <c r="Y91" s="79"/>
      <c r="Z91" s="79"/>
    </row>
    <row r="92" spans="1:39">
      <c r="A92" s="892">
        <v>3</v>
      </c>
      <c r="B92" s="351" t="s">
        <v>1207</v>
      </c>
      <c r="C92" s="293" t="s">
        <v>22</v>
      </c>
      <c r="D92" s="495">
        <v>50205677180</v>
      </c>
      <c r="E92" s="284" t="s">
        <v>1208</v>
      </c>
      <c r="F92" s="284" t="s">
        <v>78</v>
      </c>
      <c r="G92" s="275"/>
      <c r="H92" s="284">
        <v>8340135128</v>
      </c>
      <c r="I92" s="284">
        <v>8340135128</v>
      </c>
      <c r="J92" s="275" t="s">
        <v>315</v>
      </c>
      <c r="K92" s="293" t="s">
        <v>627</v>
      </c>
      <c r="L92" s="272">
        <v>32900</v>
      </c>
      <c r="M92" s="272">
        <v>54819</v>
      </c>
      <c r="N92" s="277">
        <v>44916</v>
      </c>
      <c r="O92" s="272">
        <v>45363</v>
      </c>
      <c r="P92" s="272">
        <v>45307</v>
      </c>
      <c r="Q92" s="281" t="s">
        <v>1209</v>
      </c>
      <c r="R92" s="338" t="s">
        <v>1210</v>
      </c>
      <c r="S92" s="280"/>
      <c r="T92" s="280"/>
      <c r="U92" s="79">
        <f t="shared" si="10"/>
        <v>11</v>
      </c>
    </row>
    <row r="93" spans="1:39">
      <c r="A93" s="901">
        <v>7</v>
      </c>
      <c r="B93" s="334" t="s">
        <v>1211</v>
      </c>
      <c r="C93" s="902" t="s">
        <v>1212</v>
      </c>
      <c r="D93" s="903">
        <v>2082</v>
      </c>
      <c r="E93" s="904" t="s">
        <v>919</v>
      </c>
      <c r="F93" s="662" t="s">
        <v>10</v>
      </c>
      <c r="G93" s="662">
        <v>50205282573</v>
      </c>
      <c r="H93" s="905">
        <v>22413</v>
      </c>
      <c r="I93" s="368">
        <v>44347</v>
      </c>
      <c r="J93" s="662" t="s">
        <v>1213</v>
      </c>
      <c r="K93" s="199"/>
      <c r="L93" s="712"/>
      <c r="M93" s="199"/>
      <c r="N93" s="906" t="s">
        <v>1214</v>
      </c>
      <c r="O93" s="199"/>
      <c r="P93" s="907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  <c r="AD93" s="199"/>
      <c r="AE93" s="199"/>
      <c r="AF93" s="199"/>
      <c r="AG93" s="199"/>
      <c r="AH93" s="199"/>
      <c r="AI93" s="199"/>
      <c r="AJ93" s="199"/>
      <c r="AK93" s="199"/>
      <c r="AL93" s="199"/>
      <c r="AM93" s="199"/>
    </row>
    <row r="94" spans="1:39">
      <c r="A94" s="327">
        <v>3</v>
      </c>
      <c r="B94" s="334"/>
      <c r="C94" s="908" t="s">
        <v>1215</v>
      </c>
      <c r="D94" s="334" t="s">
        <v>1216</v>
      </c>
      <c r="E94" s="334" t="s">
        <v>14</v>
      </c>
      <c r="F94" s="909">
        <v>50205257943</v>
      </c>
      <c r="G94" s="910" t="s">
        <v>76</v>
      </c>
      <c r="H94" s="334"/>
      <c r="I94" s="656">
        <v>9002071504</v>
      </c>
      <c r="J94" s="327"/>
      <c r="K94" s="450" t="s">
        <v>253</v>
      </c>
      <c r="L94" s="911" t="s">
        <v>1217</v>
      </c>
      <c r="M94" s="912">
        <v>22416</v>
      </c>
      <c r="N94" s="913">
        <v>44347</v>
      </c>
      <c r="O94" s="914">
        <v>44505</v>
      </c>
      <c r="P94" s="794">
        <v>45205</v>
      </c>
      <c r="Q94" s="915">
        <v>44827</v>
      </c>
      <c r="R94" s="332"/>
      <c r="S94" s="334"/>
      <c r="T94" s="916" t="s">
        <v>1218</v>
      </c>
      <c r="U94" s="334"/>
      <c r="V94" s="334"/>
      <c r="W94" s="334"/>
      <c r="X94" s="334"/>
      <c r="Y94" s="334"/>
      <c r="Z94" s="334"/>
      <c r="AA94" s="334"/>
      <c r="AB94" s="334"/>
      <c r="AC94" s="199"/>
      <c r="AD94" s="199"/>
      <c r="AE94" s="199"/>
    </row>
    <row r="95" spans="1:39" ht="15.75" customHeight="1">
      <c r="A95" s="886">
        <v>39</v>
      </c>
      <c r="B95" s="293" t="s">
        <v>1219</v>
      </c>
      <c r="C95" s="293" t="s">
        <v>31</v>
      </c>
      <c r="D95" s="917">
        <v>50204610593</v>
      </c>
      <c r="E95" s="303" t="s">
        <v>1220</v>
      </c>
      <c r="F95" s="303" t="s">
        <v>76</v>
      </c>
      <c r="G95" s="688" t="s">
        <v>279</v>
      </c>
      <c r="H95" s="293">
        <v>9002071148</v>
      </c>
      <c r="I95" s="306">
        <v>9564718873</v>
      </c>
      <c r="J95" s="275" t="s">
        <v>261</v>
      </c>
      <c r="K95" s="293" t="s">
        <v>1016</v>
      </c>
      <c r="L95" s="289">
        <v>22450</v>
      </c>
      <c r="M95" s="289">
        <v>44377</v>
      </c>
      <c r="N95" s="272">
        <v>44386</v>
      </c>
      <c r="O95" s="289">
        <v>44999</v>
      </c>
      <c r="P95" s="289">
        <v>44771</v>
      </c>
      <c r="Q95" s="294"/>
      <c r="R95" s="295"/>
      <c r="S95" s="296" t="s">
        <v>1221</v>
      </c>
      <c r="T95" s="296" t="s">
        <v>1221</v>
      </c>
      <c r="U95" s="297">
        <f t="shared" ref="U95:U96" si="11">LEN(TEXT(D95,0))</f>
        <v>11</v>
      </c>
      <c r="V95" s="298"/>
      <c r="W95" s="298"/>
      <c r="X95" s="298"/>
      <c r="Y95" s="298"/>
      <c r="Z95" s="298"/>
      <c r="AA95" s="298"/>
      <c r="AB95" s="298"/>
      <c r="AC95" s="298"/>
      <c r="AD95" s="298"/>
      <c r="AE95" s="298"/>
      <c r="AF95" s="298"/>
    </row>
    <row r="96" spans="1:39" ht="15.75" customHeight="1">
      <c r="A96" s="886">
        <v>66</v>
      </c>
      <c r="B96" s="293" t="s">
        <v>1222</v>
      </c>
      <c r="C96" s="293" t="s">
        <v>31</v>
      </c>
      <c r="D96" s="306">
        <v>50205316194</v>
      </c>
      <c r="E96" s="274" t="s">
        <v>1223</v>
      </c>
      <c r="F96" s="274" t="s">
        <v>77</v>
      </c>
      <c r="G96" s="688" t="s">
        <v>279</v>
      </c>
      <c r="H96" s="293">
        <v>9002071196</v>
      </c>
      <c r="I96" s="690"/>
      <c r="J96" s="275" t="s">
        <v>261</v>
      </c>
      <c r="K96" s="293" t="s">
        <v>1043</v>
      </c>
      <c r="L96" s="272">
        <v>22463</v>
      </c>
      <c r="M96" s="289">
        <v>44377</v>
      </c>
      <c r="N96" s="272">
        <v>44393</v>
      </c>
      <c r="O96" s="289">
        <v>45041</v>
      </c>
      <c r="P96" s="289">
        <v>44771</v>
      </c>
      <c r="Q96" s="294"/>
      <c r="R96" s="295"/>
      <c r="S96" s="296" t="s">
        <v>1224</v>
      </c>
      <c r="T96" s="296" t="s">
        <v>1224</v>
      </c>
      <c r="U96" s="297">
        <f t="shared" si="11"/>
        <v>11</v>
      </c>
      <c r="V96" s="298"/>
      <c r="W96" s="298"/>
      <c r="X96" s="298"/>
      <c r="Y96" s="298"/>
      <c r="Z96" s="298"/>
      <c r="AA96" s="298"/>
      <c r="AB96" s="298"/>
      <c r="AC96" s="298"/>
      <c r="AD96" s="298"/>
      <c r="AE96" s="298"/>
      <c r="AF96" s="298"/>
    </row>
    <row r="97" spans="1:39" ht="15.75" customHeight="1">
      <c r="A97" s="918">
        <v>55</v>
      </c>
      <c r="B97" s="276" t="s">
        <v>1225</v>
      </c>
      <c r="C97" s="919" t="s">
        <v>31</v>
      </c>
      <c r="D97" s="920">
        <v>50205290028</v>
      </c>
      <c r="E97" s="586" t="s">
        <v>1226</v>
      </c>
      <c r="F97" s="337" t="s">
        <v>76</v>
      </c>
      <c r="G97" s="303" t="s">
        <v>279</v>
      </c>
      <c r="H97" s="307">
        <v>9002071013</v>
      </c>
      <c r="I97" s="307">
        <v>9002071013</v>
      </c>
      <c r="J97" s="307" t="s">
        <v>253</v>
      </c>
      <c r="K97" s="276" t="s">
        <v>93</v>
      </c>
      <c r="L97" s="278">
        <v>22463</v>
      </c>
      <c r="M97" s="315">
        <v>44377</v>
      </c>
      <c r="N97" s="278">
        <v>44401</v>
      </c>
      <c r="O97" s="921">
        <v>45232</v>
      </c>
      <c r="P97" s="302">
        <v>44918</v>
      </c>
      <c r="Q97" s="285"/>
      <c r="R97" s="285"/>
      <c r="S97" s="285"/>
      <c r="T97" s="318" t="s">
        <v>1227</v>
      </c>
      <c r="U97" s="285">
        <f>LEN(D97)</f>
        <v>11</v>
      </c>
      <c r="V97" s="3"/>
      <c r="W97" s="3"/>
      <c r="X97" s="3"/>
      <c r="Y97" s="79"/>
      <c r="Z97" s="79"/>
    </row>
    <row r="98" spans="1:39">
      <c r="A98" s="574">
        <v>19</v>
      </c>
      <c r="B98" s="922" t="s">
        <v>1228</v>
      </c>
      <c r="C98" s="923" t="s">
        <v>543</v>
      </c>
      <c r="D98" s="924">
        <v>50205331067</v>
      </c>
      <c r="E98" s="286" t="s">
        <v>1229</v>
      </c>
      <c r="F98" s="574" t="s">
        <v>23</v>
      </c>
      <c r="G98" s="476">
        <v>22434</v>
      </c>
      <c r="H98" s="476">
        <v>44377</v>
      </c>
      <c r="I98" s="3"/>
      <c r="J98" s="18" t="s">
        <v>76</v>
      </c>
      <c r="L98" s="90"/>
    </row>
    <row r="99" spans="1:39">
      <c r="A99" s="662">
        <v>19</v>
      </c>
      <c r="B99" s="334" t="s">
        <v>1230</v>
      </c>
      <c r="C99" s="902" t="s">
        <v>1231</v>
      </c>
      <c r="D99" s="662">
        <v>1927</v>
      </c>
      <c r="E99" s="904" t="s">
        <v>1232</v>
      </c>
      <c r="F99" s="662" t="s">
        <v>10</v>
      </c>
      <c r="G99" s="662">
        <v>50205251850</v>
      </c>
      <c r="H99" s="905">
        <v>22441</v>
      </c>
      <c r="I99" s="368">
        <v>44377</v>
      </c>
      <c r="J99" s="905">
        <v>29089</v>
      </c>
      <c r="K99" s="199"/>
      <c r="L99" s="90"/>
    </row>
    <row r="100" spans="1:39">
      <c r="A100" s="137">
        <v>29</v>
      </c>
      <c r="B100" s="197" t="s">
        <v>1233</v>
      </c>
      <c r="C100" s="838" t="s">
        <v>137</v>
      </c>
      <c r="D100" s="90"/>
      <c r="E100" s="925" t="s">
        <v>1234</v>
      </c>
      <c r="F100" s="137" t="s">
        <v>440</v>
      </c>
      <c r="G100" s="466">
        <v>22435</v>
      </c>
      <c r="H100" s="466">
        <v>44377</v>
      </c>
      <c r="I100" s="275" t="s">
        <v>290</v>
      </c>
      <c r="J100" s="137" t="s">
        <v>76</v>
      </c>
      <c r="L100" s="90"/>
    </row>
    <row r="101" spans="1:39" ht="30">
      <c r="A101" s="926">
        <v>59</v>
      </c>
      <c r="B101" s="351" t="s">
        <v>1235</v>
      </c>
      <c r="C101" s="293" t="s">
        <v>22</v>
      </c>
      <c r="D101" s="414">
        <v>50205670652</v>
      </c>
      <c r="E101" s="274" t="s">
        <v>1236</v>
      </c>
      <c r="F101" s="274" t="s">
        <v>76</v>
      </c>
      <c r="G101" s="275"/>
      <c r="H101" s="293">
        <v>7430011261</v>
      </c>
      <c r="I101" s="284">
        <v>8674821421</v>
      </c>
      <c r="J101" s="275" t="s">
        <v>315</v>
      </c>
      <c r="K101" s="293" t="s">
        <v>1066</v>
      </c>
      <c r="L101" s="272">
        <v>34060</v>
      </c>
      <c r="M101" s="272">
        <v>55974</v>
      </c>
      <c r="N101" s="277">
        <v>44778</v>
      </c>
      <c r="O101" s="272">
        <v>44503</v>
      </c>
      <c r="P101" s="302">
        <v>45160</v>
      </c>
      <c r="Q101" s="281" t="s">
        <v>1237</v>
      </c>
      <c r="R101" s="280"/>
      <c r="S101" s="338" t="s">
        <v>1238</v>
      </c>
      <c r="T101" s="280"/>
      <c r="U101" s="79">
        <f>LEN(D101)</f>
        <v>11</v>
      </c>
    </row>
    <row r="102" spans="1:39" ht="15.75">
      <c r="A102" s="712">
        <v>23</v>
      </c>
      <c r="B102" s="334" t="s">
        <v>1239</v>
      </c>
      <c r="C102" s="927" t="s">
        <v>1240</v>
      </c>
      <c r="D102" s="659" t="s">
        <v>1241</v>
      </c>
      <c r="E102" s="334" t="s">
        <v>682</v>
      </c>
      <c r="F102" s="928">
        <v>50205420556</v>
      </c>
      <c r="G102" s="904" t="s">
        <v>253</v>
      </c>
      <c r="H102" s="929" t="s">
        <v>702</v>
      </c>
      <c r="I102" s="711">
        <v>28469</v>
      </c>
      <c r="J102" s="711">
        <v>50405</v>
      </c>
      <c r="L102" s="137" t="s">
        <v>1242</v>
      </c>
    </row>
    <row r="103" spans="1:39" ht="15.75">
      <c r="A103" s="712">
        <v>27</v>
      </c>
      <c r="B103" s="334" t="s">
        <v>1243</v>
      </c>
      <c r="C103" s="927" t="s">
        <v>1244</v>
      </c>
      <c r="D103" s="659" t="s">
        <v>1241</v>
      </c>
      <c r="E103" s="334" t="s">
        <v>682</v>
      </c>
      <c r="F103" s="928">
        <v>50205500229</v>
      </c>
      <c r="G103" s="904" t="s">
        <v>253</v>
      </c>
      <c r="H103" s="929" t="s">
        <v>702</v>
      </c>
      <c r="I103" s="711">
        <v>29264</v>
      </c>
      <c r="J103" s="711">
        <v>51194</v>
      </c>
      <c r="L103" s="137" t="s">
        <v>1242</v>
      </c>
    </row>
    <row r="104" spans="1:39" ht="15.75" customHeight="1">
      <c r="A104" s="886">
        <v>2</v>
      </c>
      <c r="B104" s="293" t="s">
        <v>1245</v>
      </c>
      <c r="C104" s="293" t="s">
        <v>31</v>
      </c>
      <c r="D104" s="306">
        <v>50205419463</v>
      </c>
      <c r="E104" s="286" t="s">
        <v>1246</v>
      </c>
      <c r="F104" s="3"/>
      <c r="G104" s="284" t="s">
        <v>77</v>
      </c>
      <c r="H104" s="274" t="s">
        <v>266</v>
      </c>
      <c r="I104" s="284">
        <v>9002071899</v>
      </c>
      <c r="J104" s="284">
        <v>9002071899</v>
      </c>
      <c r="K104" s="293"/>
      <c r="L104" s="274" t="s">
        <v>1247</v>
      </c>
      <c r="M104" s="289"/>
      <c r="N104" s="289"/>
      <c r="O104" s="272"/>
      <c r="P104" s="289"/>
      <c r="Q104" s="289"/>
      <c r="R104" s="294"/>
      <c r="S104" s="295"/>
      <c r="T104" s="296" t="s">
        <v>1248</v>
      </c>
      <c r="U104" s="296" t="s">
        <v>1248</v>
      </c>
      <c r="V104" s="297">
        <f>LEN(TEXT(D104,0))</f>
        <v>11</v>
      </c>
      <c r="W104" s="297"/>
      <c r="X104" s="297"/>
      <c r="Y104" s="297"/>
      <c r="Z104" s="297"/>
      <c r="AA104" s="297"/>
      <c r="AB104" s="297"/>
      <c r="AC104" s="297"/>
      <c r="AD104" s="297"/>
      <c r="AE104" s="297"/>
      <c r="AF104" s="297"/>
      <c r="AG104" s="297"/>
      <c r="AH104" s="297"/>
      <c r="AI104" s="298"/>
      <c r="AJ104" s="298"/>
      <c r="AK104" s="298"/>
      <c r="AL104" s="298"/>
      <c r="AM104" s="298"/>
    </row>
    <row r="105" spans="1:39">
      <c r="A105" s="334">
        <v>2</v>
      </c>
      <c r="B105" s="334"/>
      <c r="C105" s="930" t="s">
        <v>1249</v>
      </c>
      <c r="D105" s="334" t="s">
        <v>1216</v>
      </c>
      <c r="E105" s="334" t="s">
        <v>14</v>
      </c>
      <c r="F105" s="931">
        <v>50205285380</v>
      </c>
      <c r="G105" s="932" t="s">
        <v>77</v>
      </c>
      <c r="H105" s="334"/>
      <c r="I105" s="656">
        <v>9002071494</v>
      </c>
      <c r="J105" s="327"/>
      <c r="K105" s="450" t="s">
        <v>253</v>
      </c>
      <c r="L105" s="911" t="s">
        <v>1217</v>
      </c>
      <c r="M105" s="913">
        <v>22515</v>
      </c>
      <c r="N105" s="913">
        <v>44439</v>
      </c>
      <c r="O105" s="933">
        <v>44526</v>
      </c>
      <c r="P105" s="933">
        <v>45144</v>
      </c>
      <c r="Q105" s="915">
        <v>44771</v>
      </c>
      <c r="R105" s="934" t="s">
        <v>1250</v>
      </c>
      <c r="S105" s="334"/>
      <c r="T105" s="916" t="s">
        <v>1251</v>
      </c>
      <c r="U105" s="334"/>
      <c r="V105" s="334"/>
      <c r="W105" s="334"/>
      <c r="X105" s="334"/>
      <c r="Y105" s="334"/>
      <c r="Z105" s="334"/>
      <c r="AA105" s="334"/>
      <c r="AB105" s="334"/>
      <c r="AC105" s="199"/>
      <c r="AD105" s="199"/>
      <c r="AE105" s="199"/>
    </row>
    <row r="106" spans="1:39">
      <c r="A106" s="662">
        <v>48</v>
      </c>
      <c r="B106" s="334" t="s">
        <v>1252</v>
      </c>
      <c r="C106" s="902" t="s">
        <v>1253</v>
      </c>
      <c r="D106" s="662">
        <v>2141</v>
      </c>
      <c r="E106" s="904" t="s">
        <v>856</v>
      </c>
      <c r="F106" s="662" t="s">
        <v>11</v>
      </c>
      <c r="G106" s="662">
        <v>50205299640</v>
      </c>
      <c r="H106" s="905">
        <v>22515</v>
      </c>
      <c r="I106" s="368">
        <v>44439</v>
      </c>
      <c r="J106" s="905">
        <v>30530</v>
      </c>
      <c r="K106" s="712"/>
      <c r="L106" s="90"/>
    </row>
    <row r="107" spans="1:39" ht="15.75" customHeight="1">
      <c r="A107" s="886">
        <v>12</v>
      </c>
      <c r="B107" s="305" t="s">
        <v>1254</v>
      </c>
      <c r="C107" s="276" t="s">
        <v>81</v>
      </c>
      <c r="D107" s="677">
        <v>50205354535</v>
      </c>
      <c r="E107" s="900" t="s">
        <v>1255</v>
      </c>
      <c r="F107" s="3"/>
      <c r="G107" s="870" t="s">
        <v>78</v>
      </c>
      <c r="H107" s="307">
        <v>9002071737</v>
      </c>
      <c r="I107" s="935">
        <v>9002071737</v>
      </c>
      <c r="J107" s="3"/>
      <c r="K107" s="276" t="s">
        <v>253</v>
      </c>
      <c r="L107" s="307" t="s">
        <v>43</v>
      </c>
      <c r="M107" s="315">
        <v>25509</v>
      </c>
      <c r="N107" s="315">
        <v>47452</v>
      </c>
      <c r="O107" s="315">
        <v>44844</v>
      </c>
      <c r="P107" s="302">
        <v>45397</v>
      </c>
      <c r="Q107" s="317" t="s">
        <v>1256</v>
      </c>
      <c r="R107" s="317"/>
      <c r="S107" s="318" t="s">
        <v>1257</v>
      </c>
      <c r="T107" s="318" t="s">
        <v>1257</v>
      </c>
      <c r="U107" s="285">
        <f>LEN(D107)</f>
        <v>11</v>
      </c>
      <c r="V107" s="3"/>
      <c r="W107" s="18" t="s">
        <v>1258</v>
      </c>
      <c r="X107" s="3"/>
      <c r="Y107" s="286" t="s">
        <v>85</v>
      </c>
      <c r="Z107" s="79"/>
      <c r="AA107" s="79"/>
      <c r="AB107" s="79"/>
      <c r="AC107" s="79"/>
      <c r="AD107" s="79"/>
      <c r="AE107" s="79"/>
      <c r="AF107" s="79"/>
      <c r="AG107" s="79"/>
      <c r="AH107" s="79"/>
    </row>
    <row r="108" spans="1:39" ht="15.75" customHeight="1">
      <c r="A108" s="886">
        <v>1</v>
      </c>
      <c r="B108" s="293" t="s">
        <v>1259</v>
      </c>
      <c r="C108" s="293" t="s">
        <v>31</v>
      </c>
      <c r="D108" s="917">
        <v>50205373414</v>
      </c>
      <c r="E108" s="18" t="s">
        <v>1260</v>
      </c>
      <c r="F108" s="3"/>
      <c r="G108" s="303" t="s">
        <v>76</v>
      </c>
      <c r="H108" s="275"/>
      <c r="I108" s="275">
        <v>9002071142</v>
      </c>
      <c r="J108" s="690">
        <v>9002071142</v>
      </c>
      <c r="K108" s="293" t="s">
        <v>261</v>
      </c>
      <c r="L108" s="275" t="s">
        <v>97</v>
      </c>
      <c r="M108" s="289">
        <v>24094</v>
      </c>
      <c r="N108" s="289">
        <v>46022</v>
      </c>
      <c r="O108" s="289"/>
      <c r="P108" s="289">
        <v>44680</v>
      </c>
      <c r="Q108" s="289">
        <v>44717</v>
      </c>
      <c r="R108" s="294"/>
      <c r="S108" s="295"/>
      <c r="T108" s="296" t="s">
        <v>1261</v>
      </c>
      <c r="U108" s="296" t="s">
        <v>1261</v>
      </c>
      <c r="V108" s="297">
        <f t="shared" ref="V108:V109" si="12">LEN(TEXT(D108,0))</f>
        <v>11</v>
      </c>
      <c r="W108" s="297"/>
      <c r="X108" s="297"/>
      <c r="Y108" s="297"/>
      <c r="Z108" s="297"/>
      <c r="AA108" s="297"/>
      <c r="AB108" s="297"/>
      <c r="AC108" s="297"/>
      <c r="AD108" s="297"/>
      <c r="AE108" s="297"/>
      <c r="AF108" s="297"/>
      <c r="AG108" s="297"/>
      <c r="AH108" s="297"/>
      <c r="AI108" s="298"/>
      <c r="AJ108" s="298"/>
      <c r="AK108" s="298"/>
      <c r="AL108" s="298"/>
      <c r="AM108" s="298"/>
    </row>
    <row r="109" spans="1:39" ht="15.75" customHeight="1">
      <c r="A109" s="936">
        <v>151</v>
      </c>
      <c r="B109" s="293" t="s">
        <v>1262</v>
      </c>
      <c r="C109" s="293" t="s">
        <v>31</v>
      </c>
      <c r="D109" s="306">
        <v>50205326310</v>
      </c>
      <c r="E109" s="274" t="s">
        <v>759</v>
      </c>
      <c r="F109" s="303" t="s">
        <v>1263</v>
      </c>
      <c r="G109" s="303" t="s">
        <v>76</v>
      </c>
      <c r="H109" s="274" t="s">
        <v>279</v>
      </c>
      <c r="I109" s="275">
        <v>9002071073</v>
      </c>
      <c r="J109" s="690"/>
      <c r="K109" s="293" t="s">
        <v>261</v>
      </c>
      <c r="L109" s="275" t="s">
        <v>1144</v>
      </c>
      <c r="M109" s="289">
        <v>22546</v>
      </c>
      <c r="N109" s="289">
        <v>44469</v>
      </c>
      <c r="O109" s="272">
        <v>44512</v>
      </c>
      <c r="P109" s="289">
        <v>44680</v>
      </c>
      <c r="Q109" s="289">
        <v>44717</v>
      </c>
      <c r="R109" s="294"/>
      <c r="S109" s="295"/>
      <c r="T109" s="296" t="s">
        <v>1264</v>
      </c>
      <c r="U109" s="296" t="s">
        <v>1264</v>
      </c>
      <c r="V109" s="297">
        <f t="shared" si="12"/>
        <v>11</v>
      </c>
      <c r="W109" s="208">
        <f ca="1">INT((TODAY()-M109)/365)</f>
        <v>64</v>
      </c>
      <c r="X109" s="298"/>
      <c r="Y109" s="298"/>
      <c r="Z109" s="298"/>
      <c r="AA109" s="298"/>
      <c r="AB109" s="298"/>
      <c r="AC109" s="298"/>
      <c r="AD109" s="298"/>
      <c r="AE109" s="298"/>
      <c r="AF109" s="298"/>
      <c r="AG109" s="298"/>
      <c r="AH109" s="298"/>
      <c r="AI109" s="298"/>
      <c r="AJ109" s="298"/>
      <c r="AK109" s="298"/>
      <c r="AL109" s="298"/>
      <c r="AM109" s="298"/>
    </row>
    <row r="110" spans="1:39" ht="15.75" customHeight="1">
      <c r="A110" s="937">
        <v>21</v>
      </c>
      <c r="B110" s="276" t="s">
        <v>1265</v>
      </c>
      <c r="C110" s="919" t="s">
        <v>21</v>
      </c>
      <c r="D110" s="938">
        <v>50205342892</v>
      </c>
      <c r="E110" s="939" t="s">
        <v>759</v>
      </c>
      <c r="F110" s="940" t="s">
        <v>1266</v>
      </c>
      <c r="G110" s="875" t="s">
        <v>76</v>
      </c>
      <c r="H110" s="307"/>
      <c r="I110" s="703">
        <v>9002071774</v>
      </c>
      <c r="J110" s="703">
        <v>9002071774</v>
      </c>
      <c r="K110" s="276" t="s">
        <v>253</v>
      </c>
      <c r="L110" s="303" t="s">
        <v>1066</v>
      </c>
      <c r="M110" s="278">
        <v>23779</v>
      </c>
      <c r="N110" s="315">
        <v>45716</v>
      </c>
      <c r="O110" s="278">
        <v>44607</v>
      </c>
      <c r="P110" s="279">
        <v>45204</v>
      </c>
      <c r="Q110" s="272">
        <v>45271</v>
      </c>
      <c r="R110" s="338" t="s">
        <v>1267</v>
      </c>
      <c r="S110" s="318" t="s">
        <v>1268</v>
      </c>
      <c r="T110" s="317" t="s">
        <v>1269</v>
      </c>
      <c r="U110" s="280"/>
      <c r="V110" s="285">
        <f>LEN(D110)</f>
        <v>11</v>
      </c>
      <c r="W110" s="3"/>
      <c r="X110" s="3"/>
      <c r="Y110" s="3"/>
      <c r="Z110" s="79"/>
      <c r="AA110" s="79"/>
      <c r="AB110" s="311">
        <f ca="1">INT((TODAY()-M110)/365)</f>
        <v>61</v>
      </c>
    </row>
    <row r="111" spans="1:39">
      <c r="A111" s="197">
        <v>20</v>
      </c>
      <c r="B111" s="197" t="s">
        <v>1270</v>
      </c>
      <c r="C111" s="838" t="s">
        <v>137</v>
      </c>
      <c r="D111" s="90"/>
      <c r="E111" s="941" t="s">
        <v>1271</v>
      </c>
      <c r="F111" s="137" t="s">
        <v>440</v>
      </c>
      <c r="G111" s="466">
        <v>22526</v>
      </c>
      <c r="H111" s="466">
        <v>44469</v>
      </c>
      <c r="I111" s="275" t="s">
        <v>315</v>
      </c>
      <c r="J111" s="137" t="s">
        <v>76</v>
      </c>
      <c r="K111" s="197" t="s">
        <v>1272</v>
      </c>
      <c r="L111" s="90"/>
    </row>
    <row r="112" spans="1:39" ht="15.75">
      <c r="A112" s="942">
        <v>45</v>
      </c>
      <c r="B112" s="301" t="s">
        <v>1273</v>
      </c>
      <c r="C112" s="293" t="s">
        <v>22</v>
      </c>
      <c r="D112" s="414">
        <v>50714505843</v>
      </c>
      <c r="E112" s="943" t="s">
        <v>759</v>
      </c>
      <c r="F112" s="274" t="s">
        <v>1274</v>
      </c>
      <c r="G112" s="274" t="s">
        <v>78</v>
      </c>
      <c r="H112" s="275"/>
      <c r="I112" s="275">
        <v>8210703526</v>
      </c>
      <c r="J112" s="275"/>
      <c r="K112" s="275" t="s">
        <v>315</v>
      </c>
      <c r="L112" s="275" t="s">
        <v>100</v>
      </c>
      <c r="M112" s="272">
        <v>32699</v>
      </c>
      <c r="N112" s="272">
        <v>54635</v>
      </c>
      <c r="O112" s="277">
        <v>44919</v>
      </c>
      <c r="P112" s="279">
        <v>45531</v>
      </c>
      <c r="Q112" s="302">
        <v>45506</v>
      </c>
      <c r="R112" s="281" t="s">
        <v>1275</v>
      </c>
      <c r="S112" s="338" t="s">
        <v>1276</v>
      </c>
      <c r="T112" s="280"/>
      <c r="U112" s="280"/>
      <c r="V112" s="280">
        <f t="shared" ref="V112:V113" si="13">LEN(D112)</f>
        <v>11</v>
      </c>
      <c r="W112" s="208">
        <f ca="1">INT((TODAY()-M112)/365)</f>
        <v>36</v>
      </c>
    </row>
    <row r="113" spans="1:39" ht="15.75" customHeight="1">
      <c r="A113" s="944">
        <v>1</v>
      </c>
      <c r="B113" s="351" t="s">
        <v>1277</v>
      </c>
      <c r="C113" s="293" t="s">
        <v>22</v>
      </c>
      <c r="D113" s="945">
        <v>3429800310</v>
      </c>
      <c r="E113" s="946" t="s">
        <v>759</v>
      </c>
      <c r="F113" s="274" t="s">
        <v>1278</v>
      </c>
      <c r="G113" s="274" t="s">
        <v>76</v>
      </c>
      <c r="H113" s="275"/>
      <c r="I113" s="275">
        <v>9801888182</v>
      </c>
      <c r="J113" s="935">
        <v>9304497973</v>
      </c>
      <c r="K113" s="276" t="s">
        <v>253</v>
      </c>
      <c r="L113" s="275" t="s">
        <v>43</v>
      </c>
      <c r="M113" s="272">
        <v>33005</v>
      </c>
      <c r="N113" s="272">
        <v>54939</v>
      </c>
      <c r="O113" s="320">
        <v>45445</v>
      </c>
      <c r="P113" s="315">
        <v>45187</v>
      </c>
      <c r="Q113" s="302">
        <v>45125</v>
      </c>
      <c r="R113" s="429" t="s">
        <v>1279</v>
      </c>
      <c r="S113" s="947" t="s">
        <v>1280</v>
      </c>
      <c r="T113" s="430"/>
      <c r="U113" s="430"/>
      <c r="V113" s="206">
        <f t="shared" si="13"/>
        <v>10</v>
      </c>
      <c r="AB113" s="311">
        <f ca="1">INT((TODAY()-M113)/365)</f>
        <v>35</v>
      </c>
      <c r="AC113" s="311"/>
      <c r="AD113" s="311"/>
      <c r="AE113" s="311"/>
      <c r="AF113" s="311"/>
      <c r="AG113" s="311"/>
      <c r="AH113" s="311"/>
      <c r="AI113" s="311"/>
      <c r="AJ113" s="311"/>
      <c r="AK113" s="311"/>
      <c r="AL113" s="311"/>
      <c r="AM113" s="311"/>
    </row>
    <row r="114" spans="1:39">
      <c r="A114" s="90"/>
      <c r="C114" s="89"/>
      <c r="F114" s="90"/>
      <c r="I114" s="90"/>
      <c r="J114" s="90"/>
      <c r="L114" s="90"/>
    </row>
    <row r="115" spans="1:39" ht="15.75" customHeight="1">
      <c r="A115" s="886">
        <v>11</v>
      </c>
      <c r="B115" s="276" t="s">
        <v>1281</v>
      </c>
      <c r="C115" s="948" t="s">
        <v>31</v>
      </c>
      <c r="D115" s="920">
        <v>50205561747</v>
      </c>
      <c r="E115" s="586" t="s">
        <v>1282</v>
      </c>
      <c r="F115" s="90"/>
      <c r="G115" s="337" t="s">
        <v>76</v>
      </c>
      <c r="H115" s="303" t="s">
        <v>279</v>
      </c>
      <c r="I115" s="307">
        <v>8420320006</v>
      </c>
      <c r="J115" s="683">
        <v>8420320006</v>
      </c>
      <c r="K115" s="276" t="s">
        <v>253</v>
      </c>
      <c r="L115" s="307" t="s">
        <v>103</v>
      </c>
      <c r="M115" s="278">
        <v>31588</v>
      </c>
      <c r="N115" s="315">
        <v>53508</v>
      </c>
      <c r="O115" s="278">
        <v>44612</v>
      </c>
      <c r="P115" s="278">
        <v>45115</v>
      </c>
      <c r="Q115" s="272">
        <v>45145</v>
      </c>
      <c r="R115" s="285"/>
      <c r="S115" s="285"/>
      <c r="T115" s="318" t="s">
        <v>1283</v>
      </c>
      <c r="U115" s="949" t="s">
        <v>1284</v>
      </c>
      <c r="V115" s="285">
        <f>LEN(D115)</f>
        <v>11</v>
      </c>
      <c r="W115" s="18" t="s">
        <v>1285</v>
      </c>
      <c r="X115" s="3"/>
      <c r="Y115" s="3"/>
      <c r="Z115" s="79"/>
      <c r="AA115" s="79"/>
      <c r="AB115" s="311">
        <f ca="1">INT((TODAY()-M115)/365)</f>
        <v>39</v>
      </c>
    </row>
    <row r="116" spans="1:39" ht="15.75" customHeight="1">
      <c r="A116" s="886">
        <v>10</v>
      </c>
      <c r="B116" s="293" t="s">
        <v>1286</v>
      </c>
      <c r="C116" s="293" t="s">
        <v>31</v>
      </c>
      <c r="D116" s="488">
        <v>50205421135</v>
      </c>
      <c r="E116" s="274" t="s">
        <v>1287</v>
      </c>
      <c r="F116" s="90"/>
      <c r="G116" s="274" t="s">
        <v>77</v>
      </c>
      <c r="H116" s="688" t="s">
        <v>279</v>
      </c>
      <c r="I116" s="275">
        <v>9002079304</v>
      </c>
      <c r="J116" s="690">
        <v>9002079304</v>
      </c>
      <c r="K116" s="293" t="s">
        <v>330</v>
      </c>
      <c r="L116" s="275" t="s">
        <v>97</v>
      </c>
      <c r="M116" s="272">
        <v>26057</v>
      </c>
      <c r="N116" s="272">
        <v>47999</v>
      </c>
      <c r="O116" s="272"/>
      <c r="P116" s="687"/>
      <c r="Q116" s="687">
        <v>44379</v>
      </c>
      <c r="R116" s="309"/>
      <c r="S116" s="309"/>
      <c r="T116" s="310" t="s">
        <v>1288</v>
      </c>
      <c r="U116" s="310" t="s">
        <v>1288</v>
      </c>
      <c r="V116" s="309">
        <f>LEN(TEXT(D116,0))</f>
        <v>11</v>
      </c>
      <c r="W116" s="950" t="s">
        <v>1289</v>
      </c>
      <c r="X116" s="311"/>
      <c r="Y116" s="311"/>
      <c r="Z116" s="311"/>
      <c r="AA116" s="311"/>
      <c r="AB116" s="311"/>
      <c r="AC116" s="311"/>
      <c r="AD116" s="311"/>
      <c r="AE116" s="311"/>
      <c r="AF116" s="311"/>
      <c r="AG116" s="311"/>
      <c r="AH116" s="311"/>
      <c r="AI116" s="311"/>
      <c r="AJ116" s="311"/>
      <c r="AK116" s="311"/>
      <c r="AL116" s="311"/>
      <c r="AM116" s="311"/>
    </row>
    <row r="117" spans="1:39" ht="15.75" customHeight="1">
      <c r="A117" s="886">
        <v>9</v>
      </c>
      <c r="B117" s="293" t="s">
        <v>1290</v>
      </c>
      <c r="C117" s="223" t="s">
        <v>485</v>
      </c>
      <c r="D117" s="3"/>
      <c r="E117" s="475" t="s">
        <v>1291</v>
      </c>
      <c r="F117" s="3"/>
      <c r="G117" s="18" t="s">
        <v>76</v>
      </c>
      <c r="H117" s="79"/>
      <c r="I117" s="3"/>
      <c r="J117" s="3"/>
      <c r="K117" s="276" t="s">
        <v>253</v>
      </c>
      <c r="L117" s="275" t="s">
        <v>102</v>
      </c>
      <c r="M117" s="289">
        <v>23356</v>
      </c>
      <c r="N117" s="272">
        <v>45260</v>
      </c>
      <c r="O117" s="289">
        <v>44156</v>
      </c>
      <c r="P117" s="289">
        <v>44536</v>
      </c>
      <c r="Q117" s="289">
        <v>44532</v>
      </c>
      <c r="R117" s="295"/>
      <c r="S117" s="296" t="s">
        <v>1292</v>
      </c>
      <c r="T117" s="296" t="s">
        <v>1292</v>
      </c>
      <c r="U117" s="297">
        <f>LEN(TEXT(C117,0))</f>
        <v>12</v>
      </c>
      <c r="V117" s="297"/>
      <c r="W117" s="639" t="s">
        <v>1293</v>
      </c>
      <c r="X117" s="297"/>
      <c r="Y117" s="297"/>
      <c r="Z117" s="297"/>
      <c r="AA117" s="297"/>
      <c r="AB117" s="297"/>
      <c r="AC117" s="297"/>
      <c r="AD117" s="297"/>
      <c r="AE117" s="297"/>
      <c r="AF117" s="297"/>
      <c r="AG117" s="297"/>
      <c r="AH117" s="297"/>
      <c r="AI117" s="298"/>
      <c r="AJ117" s="298"/>
      <c r="AK117" s="298"/>
      <c r="AL117" s="298"/>
      <c r="AM117" s="298"/>
    </row>
    <row r="118" spans="1:39">
      <c r="A118" s="886">
        <v>1</v>
      </c>
      <c r="B118" s="293" t="s">
        <v>1294</v>
      </c>
      <c r="C118" s="293" t="s">
        <v>31</v>
      </c>
      <c r="D118" s="488">
        <v>50212108819</v>
      </c>
      <c r="E118" s="18" t="s">
        <v>1295</v>
      </c>
      <c r="F118" s="3"/>
      <c r="G118" s="303" t="s">
        <v>76</v>
      </c>
      <c r="H118" s="275"/>
      <c r="I118" s="275">
        <v>9002071804</v>
      </c>
      <c r="J118" s="690">
        <v>9002071804</v>
      </c>
      <c r="K118" s="293" t="s">
        <v>330</v>
      </c>
      <c r="L118" s="275" t="s">
        <v>1016</v>
      </c>
      <c r="M118" s="289">
        <v>23748</v>
      </c>
      <c r="N118" s="390">
        <v>45688</v>
      </c>
      <c r="O118" s="951"/>
      <c r="P118" s="279">
        <v>44428</v>
      </c>
      <c r="Q118" s="279">
        <v>44352</v>
      </c>
      <c r="R118" s="952" t="s">
        <v>1296</v>
      </c>
      <c r="S118" s="953"/>
      <c r="T118" s="486" t="s">
        <v>1297</v>
      </c>
      <c r="U118" s="486" t="s">
        <v>1297</v>
      </c>
      <c r="V118" s="382">
        <f>LEN(TEXT(D118,0))</f>
        <v>11</v>
      </c>
      <c r="W118" s="954" t="s">
        <v>1293</v>
      </c>
      <c r="X118" s="382"/>
      <c r="Y118" s="382"/>
      <c r="Z118" s="382"/>
      <c r="AA118" s="382"/>
      <c r="AB118" s="382"/>
      <c r="AC118" s="382"/>
      <c r="AD118" s="382"/>
      <c r="AE118" s="382"/>
      <c r="AF118" s="382"/>
      <c r="AG118" s="382"/>
      <c r="AH118" s="382"/>
      <c r="AI118" s="311"/>
      <c r="AJ118" s="311"/>
      <c r="AK118" s="311"/>
      <c r="AL118" s="311"/>
      <c r="AM118" s="311"/>
    </row>
    <row r="119" spans="1:39">
      <c r="A119" s="886">
        <v>12</v>
      </c>
      <c r="B119" s="293" t="s">
        <v>1298</v>
      </c>
      <c r="C119" s="293" t="s">
        <v>31</v>
      </c>
      <c r="D119" s="488">
        <v>50205378760</v>
      </c>
      <c r="E119" s="303" t="s">
        <v>1299</v>
      </c>
      <c r="F119" s="3"/>
      <c r="G119" s="303" t="s">
        <v>76</v>
      </c>
      <c r="H119" s="293">
        <v>9002071104</v>
      </c>
      <c r="I119" s="415">
        <v>9002071104</v>
      </c>
      <c r="J119" s="3"/>
      <c r="K119" s="293" t="s">
        <v>330</v>
      </c>
      <c r="L119" s="275" t="s">
        <v>43</v>
      </c>
      <c r="M119" s="289">
        <v>23370</v>
      </c>
      <c r="N119" s="390">
        <v>45291</v>
      </c>
      <c r="O119" s="279">
        <v>44968</v>
      </c>
      <c r="P119" s="279">
        <v>44975</v>
      </c>
      <c r="Q119" s="953"/>
      <c r="R119" s="953"/>
      <c r="S119" s="486" t="s">
        <v>1300</v>
      </c>
      <c r="T119" s="486" t="s">
        <v>1300</v>
      </c>
      <c r="U119" s="382">
        <f>LEN(TEXT(D119,0))</f>
        <v>11</v>
      </c>
      <c r="V119" s="382"/>
      <c r="W119" s="954" t="s">
        <v>1293</v>
      </c>
      <c r="X119" s="382"/>
      <c r="Y119" s="382"/>
      <c r="Z119" s="382"/>
      <c r="AA119" s="382"/>
      <c r="AB119" s="382"/>
      <c r="AC119" s="382"/>
      <c r="AD119" s="382"/>
      <c r="AE119" s="382"/>
      <c r="AF119" s="382"/>
      <c r="AG119" s="382"/>
      <c r="AH119" s="79"/>
    </row>
    <row r="120" spans="1:39" ht="15.75" customHeight="1">
      <c r="A120" s="936">
        <v>107</v>
      </c>
      <c r="B120" s="293" t="s">
        <v>1301</v>
      </c>
      <c r="C120" s="293" t="s">
        <v>31</v>
      </c>
      <c r="D120" s="306">
        <v>50205326515</v>
      </c>
      <c r="E120" s="274" t="s">
        <v>759</v>
      </c>
      <c r="F120" s="303" t="s">
        <v>1302</v>
      </c>
      <c r="G120" s="303" t="s">
        <v>76</v>
      </c>
      <c r="H120" s="274" t="s">
        <v>279</v>
      </c>
      <c r="I120" s="275">
        <v>9002071058</v>
      </c>
      <c r="J120" s="690">
        <v>9002071058</v>
      </c>
      <c r="K120" s="293" t="s">
        <v>261</v>
      </c>
      <c r="L120" s="275" t="s">
        <v>294</v>
      </c>
      <c r="M120" s="272">
        <v>22586</v>
      </c>
      <c r="N120" s="289">
        <v>44499</v>
      </c>
      <c r="O120" s="272">
        <v>44509</v>
      </c>
      <c r="P120" s="279">
        <v>45552</v>
      </c>
      <c r="Q120" s="302">
        <v>45397</v>
      </c>
      <c r="R120" s="294"/>
      <c r="S120" s="295"/>
      <c r="T120" s="296" t="s">
        <v>1303</v>
      </c>
      <c r="U120" s="955" t="s">
        <v>1303</v>
      </c>
      <c r="V120" s="297">
        <f>LEN(TEXT(D120,0))</f>
        <v>11</v>
      </c>
      <c r="W120" s="950" t="s">
        <v>1304</v>
      </c>
      <c r="X120" s="298"/>
      <c r="Y120" s="298"/>
      <c r="Z120" s="298"/>
      <c r="AA120" s="298"/>
      <c r="AB120" s="298"/>
      <c r="AC120" s="298"/>
      <c r="AD120" s="298"/>
      <c r="AE120" s="298"/>
      <c r="AF120" s="298"/>
      <c r="AG120" s="298"/>
      <c r="AH120" s="298"/>
      <c r="AI120" s="298"/>
      <c r="AJ120" s="298"/>
      <c r="AK120" s="298"/>
      <c r="AL120" s="298"/>
      <c r="AM120" s="298"/>
    </row>
    <row r="121" spans="1:39">
      <c r="A121" s="90"/>
      <c r="C121" s="89"/>
      <c r="F121" s="90"/>
      <c r="I121" s="90"/>
      <c r="J121" s="90"/>
      <c r="L121" s="90"/>
    </row>
    <row r="122" spans="1:39">
      <c r="A122" s="90"/>
      <c r="C122" s="89"/>
      <c r="F122" s="90"/>
      <c r="I122" s="90"/>
      <c r="J122" s="90"/>
      <c r="L122" s="90"/>
    </row>
    <row r="123" spans="1:39" ht="23.25" customHeight="1">
      <c r="A123" s="926">
        <v>82</v>
      </c>
      <c r="B123" s="956" t="s">
        <v>1305</v>
      </c>
      <c r="C123" s="293" t="s">
        <v>22</v>
      </c>
      <c r="D123" s="414">
        <v>50205670718</v>
      </c>
      <c r="E123" s="943" t="s">
        <v>759</v>
      </c>
      <c r="F123" s="274" t="s">
        <v>1306</v>
      </c>
      <c r="G123" s="274" t="s">
        <v>76</v>
      </c>
      <c r="H123" s="275"/>
      <c r="I123" s="275">
        <v>9102979494</v>
      </c>
      <c r="J123" s="957"/>
      <c r="K123" s="275" t="s">
        <v>315</v>
      </c>
      <c r="L123" s="275" t="s">
        <v>44</v>
      </c>
      <c r="M123" s="272">
        <v>33062</v>
      </c>
      <c r="N123" s="272">
        <v>55000</v>
      </c>
      <c r="O123" s="320">
        <v>44671</v>
      </c>
      <c r="P123" s="272">
        <v>45566</v>
      </c>
      <c r="Q123" s="272">
        <v>45552</v>
      </c>
      <c r="R123" s="281" t="s">
        <v>1307</v>
      </c>
      <c r="S123" s="338" t="s">
        <v>1308</v>
      </c>
      <c r="T123" s="280"/>
      <c r="U123" s="280"/>
      <c r="V123" s="280">
        <f>LEN(D123)</f>
        <v>11</v>
      </c>
      <c r="W123" s="208">
        <f ca="1">INT((TODAY()-M123)/365)</f>
        <v>35</v>
      </c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</row>
    <row r="124" spans="1:39">
      <c r="A124" s="90"/>
      <c r="C124" s="89"/>
      <c r="F124" s="90"/>
      <c r="I124" s="90"/>
      <c r="J124" s="90"/>
      <c r="L124" s="90"/>
    </row>
    <row r="125" spans="1:39" ht="15.75" customHeight="1">
      <c r="A125" s="898">
        <v>145</v>
      </c>
      <c r="B125" s="276" t="s">
        <v>1309</v>
      </c>
      <c r="C125" s="919" t="s">
        <v>31</v>
      </c>
      <c r="D125" s="938">
        <v>50205339480</v>
      </c>
      <c r="E125" s="958" t="s">
        <v>759</v>
      </c>
      <c r="F125" s="586" t="s">
        <v>1310</v>
      </c>
      <c r="G125" s="337" t="s">
        <v>76</v>
      </c>
      <c r="H125" s="303" t="s">
        <v>279</v>
      </c>
      <c r="I125" s="703">
        <v>9002071638</v>
      </c>
      <c r="J125" s="703">
        <v>9002071638</v>
      </c>
      <c r="K125" s="276" t="s">
        <v>253</v>
      </c>
      <c r="L125" s="303" t="s">
        <v>294</v>
      </c>
      <c r="M125" s="278">
        <v>22588</v>
      </c>
      <c r="N125" s="315">
        <v>44530</v>
      </c>
      <c r="O125" s="278">
        <v>44535</v>
      </c>
      <c r="P125" s="278">
        <v>44764</v>
      </c>
      <c r="Q125" s="302">
        <v>44771</v>
      </c>
      <c r="R125" s="317" t="s">
        <v>1311</v>
      </c>
      <c r="S125" s="285"/>
      <c r="T125" s="318" t="s">
        <v>1312</v>
      </c>
      <c r="U125" s="318" t="s">
        <v>1312</v>
      </c>
      <c r="V125" s="285">
        <f>LEN(D125)</f>
        <v>11</v>
      </c>
      <c r="W125" s="3"/>
      <c r="X125" s="3"/>
      <c r="Y125" s="3"/>
      <c r="Z125" s="79"/>
      <c r="AA125" s="79"/>
      <c r="AB125" s="311">
        <f ca="1">INT((TODAY()-M125)/365)</f>
        <v>64</v>
      </c>
    </row>
    <row r="126" spans="1:39" ht="15.75" customHeight="1">
      <c r="A126" s="886">
        <v>146</v>
      </c>
      <c r="B126" s="293" t="s">
        <v>1313</v>
      </c>
      <c r="C126" s="293" t="s">
        <v>31</v>
      </c>
      <c r="D126" s="917">
        <v>50205333532</v>
      </c>
      <c r="E126" s="274" t="s">
        <v>759</v>
      </c>
      <c r="F126" s="303" t="s">
        <v>1314</v>
      </c>
      <c r="G126" s="303" t="s">
        <v>76</v>
      </c>
      <c r="H126" s="274" t="s">
        <v>279</v>
      </c>
      <c r="I126" s="275">
        <v>9002071634</v>
      </c>
      <c r="J126" s="690">
        <v>9002071634</v>
      </c>
      <c r="K126" s="293" t="s">
        <v>261</v>
      </c>
      <c r="L126" s="275" t="s">
        <v>93</v>
      </c>
      <c r="M126" s="959">
        <v>22600</v>
      </c>
      <c r="N126" s="289">
        <v>44530</v>
      </c>
      <c r="O126" s="272">
        <v>44762</v>
      </c>
      <c r="P126" s="289">
        <v>45041</v>
      </c>
      <c r="Q126" s="289">
        <v>44771</v>
      </c>
      <c r="R126" s="317" t="s">
        <v>1311</v>
      </c>
      <c r="S126" s="295"/>
      <c r="T126" s="888"/>
      <c r="U126" s="296" t="s">
        <v>1315</v>
      </c>
      <c r="V126" s="297">
        <f t="shared" ref="V126:V127" si="14">LEN(TEXT(D126,0))</f>
        <v>11</v>
      </c>
      <c r="W126" s="208">
        <f t="shared" ref="W126:W127" ca="1" si="15">INT((TODAY()-M126)/365)</f>
        <v>64</v>
      </c>
      <c r="X126" s="298"/>
      <c r="Y126" s="960" t="s">
        <v>1316</v>
      </c>
      <c r="Z126" s="298"/>
      <c r="AA126" s="298"/>
      <c r="AB126" s="298"/>
      <c r="AC126" s="298"/>
      <c r="AD126" s="298"/>
      <c r="AE126" s="298"/>
      <c r="AF126" s="298"/>
      <c r="AG126" s="298"/>
      <c r="AH126" s="311"/>
      <c r="AI126" s="311"/>
      <c r="AJ126" s="311"/>
      <c r="AK126" s="311"/>
      <c r="AL126" s="311"/>
      <c r="AM126" s="311"/>
    </row>
    <row r="127" spans="1:39" ht="15.75" customHeight="1">
      <c r="A127" s="936">
        <v>144</v>
      </c>
      <c r="B127" s="293" t="s">
        <v>1317</v>
      </c>
      <c r="C127" s="293" t="s">
        <v>31</v>
      </c>
      <c r="D127" s="306">
        <v>50205339364</v>
      </c>
      <c r="E127" s="274" t="s">
        <v>759</v>
      </c>
      <c r="F127" s="366" t="s">
        <v>1318</v>
      </c>
      <c r="G127" s="303" t="s">
        <v>76</v>
      </c>
      <c r="H127" s="274" t="s">
        <v>279</v>
      </c>
      <c r="I127" s="275">
        <v>9002071632</v>
      </c>
      <c r="J127" s="306">
        <v>9002071632</v>
      </c>
      <c r="K127" s="293" t="s">
        <v>261</v>
      </c>
      <c r="L127" s="275" t="s">
        <v>1186</v>
      </c>
      <c r="M127" s="272">
        <v>22591</v>
      </c>
      <c r="N127" s="289">
        <v>44530</v>
      </c>
      <c r="O127" s="272">
        <v>44554</v>
      </c>
      <c r="P127" s="278">
        <v>45115</v>
      </c>
      <c r="Q127" s="272">
        <v>45078</v>
      </c>
      <c r="R127" s="317" t="s">
        <v>1311</v>
      </c>
      <c r="S127" s="295"/>
      <c r="T127" s="603" t="s">
        <v>1319</v>
      </c>
      <c r="U127" s="603" t="s">
        <v>1319</v>
      </c>
      <c r="V127" s="297">
        <f t="shared" si="14"/>
        <v>11</v>
      </c>
      <c r="W127" s="208">
        <f t="shared" ca="1" si="15"/>
        <v>64</v>
      </c>
      <c r="X127" s="298"/>
      <c r="Y127" s="960" t="s">
        <v>1316</v>
      </c>
      <c r="Z127" s="298"/>
      <c r="AA127" s="298"/>
      <c r="AB127" s="298"/>
      <c r="AC127" s="298"/>
      <c r="AD127" s="298"/>
      <c r="AE127" s="298"/>
      <c r="AF127" s="298"/>
      <c r="AG127" s="298"/>
    </row>
    <row r="128" spans="1:39" ht="15.75" customHeight="1">
      <c r="A128" s="893">
        <v>24</v>
      </c>
      <c r="B128" s="293" t="s">
        <v>1320</v>
      </c>
      <c r="C128" s="293" t="s">
        <v>31</v>
      </c>
      <c r="D128" s="489">
        <v>50212127322</v>
      </c>
      <c r="E128" s="18" t="s">
        <v>759</v>
      </c>
      <c r="F128" s="274" t="s">
        <v>1321</v>
      </c>
      <c r="G128" s="274" t="s">
        <v>77</v>
      </c>
      <c r="H128" s="274" t="s">
        <v>266</v>
      </c>
      <c r="I128" s="275">
        <v>8420320082</v>
      </c>
      <c r="J128" s="690"/>
      <c r="K128" s="275" t="s">
        <v>290</v>
      </c>
      <c r="L128" s="275" t="s">
        <v>101</v>
      </c>
      <c r="M128" s="272">
        <v>22608</v>
      </c>
      <c r="N128" s="272">
        <v>44530</v>
      </c>
      <c r="O128" s="272">
        <v>44532</v>
      </c>
      <c r="P128" s="278">
        <v>45115</v>
      </c>
      <c r="Q128" s="424">
        <v>45145</v>
      </c>
      <c r="R128" s="317" t="s">
        <v>1311</v>
      </c>
      <c r="S128" s="309"/>
      <c r="T128" s="310" t="s">
        <v>1322</v>
      </c>
      <c r="U128" s="377" t="s">
        <v>1322</v>
      </c>
      <c r="V128" s="311">
        <f>LEN(D128)</f>
        <v>11</v>
      </c>
      <c r="W128" s="311"/>
      <c r="X128" s="208">
        <f t="shared" ref="X128:X129" ca="1" si="16">INT((TODAY()-M128)/365)</f>
        <v>64</v>
      </c>
      <c r="Y128" s="960" t="s">
        <v>1316</v>
      </c>
      <c r="Z128" s="311"/>
      <c r="AA128" s="311"/>
      <c r="AB128" s="311"/>
      <c r="AC128" s="311"/>
      <c r="AD128" s="311"/>
      <c r="AE128" s="311"/>
      <c r="AF128" s="311"/>
      <c r="AG128" s="311"/>
      <c r="AH128" s="311"/>
      <c r="AI128" s="311"/>
      <c r="AJ128" s="311"/>
      <c r="AK128" s="311"/>
      <c r="AL128" s="311"/>
      <c r="AM128" s="311"/>
    </row>
    <row r="129" spans="1:39" ht="15.75" customHeight="1">
      <c r="A129" s="961">
        <v>42</v>
      </c>
      <c r="B129" s="688" t="s">
        <v>1323</v>
      </c>
      <c r="C129" s="688" t="s">
        <v>20</v>
      </c>
      <c r="D129" s="962">
        <v>50205267687</v>
      </c>
      <c r="E129" s="18" t="s">
        <v>759</v>
      </c>
      <c r="F129" s="284" t="s">
        <v>1324</v>
      </c>
      <c r="G129" s="284" t="s">
        <v>76</v>
      </c>
      <c r="H129" s="274" t="s">
        <v>279</v>
      </c>
      <c r="I129" s="432">
        <v>9002071550</v>
      </c>
      <c r="J129" s="963"/>
      <c r="K129" s="275" t="s">
        <v>290</v>
      </c>
      <c r="L129" s="274" t="s">
        <v>627</v>
      </c>
      <c r="M129" s="272">
        <v>22602</v>
      </c>
      <c r="N129" s="272">
        <v>44530</v>
      </c>
      <c r="O129" s="272">
        <v>44775</v>
      </c>
      <c r="P129" s="687">
        <v>44745</v>
      </c>
      <c r="Q129" s="279">
        <v>44890</v>
      </c>
      <c r="R129" s="317" t="s">
        <v>1311</v>
      </c>
      <c r="S129" s="309"/>
      <c r="T129" s="310" t="s">
        <v>1325</v>
      </c>
      <c r="U129" s="309"/>
      <c r="V129" s="311"/>
      <c r="W129" s="311"/>
      <c r="X129" s="208">
        <f t="shared" ca="1" si="16"/>
        <v>64</v>
      </c>
      <c r="Y129" s="960" t="s">
        <v>1316</v>
      </c>
      <c r="Z129" s="311"/>
      <c r="AA129" s="311"/>
      <c r="AB129" s="311"/>
      <c r="AC129" s="311"/>
      <c r="AD129" s="311"/>
      <c r="AE129" s="311"/>
      <c r="AF129" s="311"/>
      <c r="AG129" s="311"/>
      <c r="AH129" s="311"/>
      <c r="AI129" s="311"/>
      <c r="AJ129" s="311"/>
      <c r="AK129" s="311"/>
      <c r="AL129" s="311"/>
      <c r="AM129" s="311"/>
    </row>
    <row r="130" spans="1:39" ht="15.75" customHeight="1">
      <c r="A130" s="937">
        <v>31</v>
      </c>
      <c r="B130" s="276" t="s">
        <v>1326</v>
      </c>
      <c r="C130" s="964" t="s">
        <v>21</v>
      </c>
      <c r="D130" s="938">
        <v>50205376464</v>
      </c>
      <c r="E130" s="958" t="s">
        <v>759</v>
      </c>
      <c r="F130" s="965" t="s">
        <v>1327</v>
      </c>
      <c r="G130" s="875" t="s">
        <v>76</v>
      </c>
      <c r="H130" s="274"/>
      <c r="I130" s="307">
        <v>9002071892</v>
      </c>
      <c r="J130" s="703">
        <v>9002071892</v>
      </c>
      <c r="K130" s="276" t="s">
        <v>253</v>
      </c>
      <c r="L130" s="966" t="s">
        <v>610</v>
      </c>
      <c r="M130" s="315">
        <v>23185</v>
      </c>
      <c r="N130" s="315">
        <v>45107</v>
      </c>
      <c r="O130" s="315">
        <v>44672</v>
      </c>
      <c r="P130" s="279">
        <v>45204</v>
      </c>
      <c r="Q130" s="419">
        <v>45299</v>
      </c>
      <c r="R130" s="280"/>
      <c r="S130" s="318" t="s">
        <v>1328</v>
      </c>
      <c r="T130" s="79"/>
      <c r="U130" s="285"/>
      <c r="V130" s="285">
        <f>LEN(D130)</f>
        <v>11</v>
      </c>
      <c r="W130" s="3"/>
      <c r="X130" s="3"/>
      <c r="Y130" s="18" t="s">
        <v>1329</v>
      </c>
      <c r="Z130" s="79"/>
      <c r="AA130" s="79"/>
      <c r="AB130" s="311">
        <f ca="1">INT((TODAY()-M130)/365)</f>
        <v>62</v>
      </c>
    </row>
    <row r="131" spans="1:39">
      <c r="A131" s="335">
        <v>18</v>
      </c>
      <c r="B131" s="967" t="s">
        <v>1330</v>
      </c>
      <c r="C131" s="221" t="s">
        <v>14</v>
      </c>
      <c r="D131" s="334"/>
      <c r="E131" s="334" t="s">
        <v>1216</v>
      </c>
      <c r="F131" s="909" t="s">
        <v>632</v>
      </c>
      <c r="G131" s="910" t="s">
        <v>76</v>
      </c>
      <c r="H131" s="334"/>
      <c r="I131" s="137">
        <v>9163382027</v>
      </c>
      <c r="J131" s="327"/>
      <c r="K131" s="328" t="s">
        <v>253</v>
      </c>
      <c r="L131" s="968" t="s">
        <v>1331</v>
      </c>
      <c r="M131" s="912">
        <v>24486</v>
      </c>
      <c r="N131" s="913">
        <v>46418</v>
      </c>
      <c r="O131" s="914">
        <v>44575</v>
      </c>
      <c r="P131" s="969">
        <v>44850</v>
      </c>
      <c r="Q131" s="915">
        <v>44605</v>
      </c>
      <c r="R131" s="332"/>
      <c r="S131" s="334"/>
      <c r="T131" s="916" t="s">
        <v>1332</v>
      </c>
      <c r="U131" s="334"/>
      <c r="V131" s="334"/>
      <c r="W131" s="334"/>
      <c r="X131" s="335" t="s">
        <v>1333</v>
      </c>
      <c r="Y131" s="334"/>
      <c r="Z131" s="334"/>
      <c r="AA131" s="334"/>
      <c r="AB131" s="334"/>
      <c r="AC131" s="199"/>
      <c r="AD131" s="199"/>
      <c r="AE131" s="199"/>
    </row>
    <row r="132" spans="1:39">
      <c r="A132" s="334">
        <v>11</v>
      </c>
      <c r="B132" s="967" t="s">
        <v>1334</v>
      </c>
      <c r="C132" s="221" t="s">
        <v>14</v>
      </c>
      <c r="D132" s="334"/>
      <c r="E132" s="334" t="s">
        <v>1216</v>
      </c>
      <c r="F132" s="909">
        <v>50205345972</v>
      </c>
      <c r="G132" s="910" t="s">
        <v>76</v>
      </c>
      <c r="H132" s="334"/>
      <c r="I132" s="656">
        <v>9163382012</v>
      </c>
      <c r="J132" s="327"/>
      <c r="K132" s="328" t="s">
        <v>253</v>
      </c>
      <c r="L132" s="968" t="s">
        <v>1331</v>
      </c>
      <c r="M132" s="912">
        <v>23028</v>
      </c>
      <c r="N132" s="913">
        <v>44957</v>
      </c>
      <c r="O132" s="933">
        <v>44737</v>
      </c>
      <c r="P132" s="933">
        <v>45144</v>
      </c>
      <c r="Q132" s="915">
        <v>45064</v>
      </c>
      <c r="R132" s="332"/>
      <c r="S132" s="334"/>
      <c r="T132" s="916" t="s">
        <v>1335</v>
      </c>
      <c r="U132" s="334"/>
      <c r="V132" s="334"/>
      <c r="W132" s="334"/>
      <c r="X132" s="335" t="s">
        <v>1333</v>
      </c>
      <c r="Y132" s="334"/>
      <c r="Z132" s="334"/>
      <c r="AA132" s="334"/>
      <c r="AB132" s="334"/>
      <c r="AC132" s="199"/>
      <c r="AD132" s="199"/>
      <c r="AE132" s="199"/>
    </row>
    <row r="133" spans="1:39" ht="15.75">
      <c r="A133" s="335">
        <v>25</v>
      </c>
      <c r="B133" s="967" t="s">
        <v>1336</v>
      </c>
      <c r="C133" s="221" t="s">
        <v>14</v>
      </c>
      <c r="D133" s="909">
        <v>50205345960</v>
      </c>
      <c r="E133" s="478" t="s">
        <v>1337</v>
      </c>
      <c r="F133" s="970" t="s">
        <v>759</v>
      </c>
      <c r="G133" s="910" t="s">
        <v>76</v>
      </c>
      <c r="H133" s="334"/>
      <c r="I133" s="656">
        <v>9163382060</v>
      </c>
      <c r="J133" s="327"/>
      <c r="K133" s="328" t="s">
        <v>253</v>
      </c>
      <c r="L133" s="911" t="s">
        <v>1217</v>
      </c>
      <c r="M133" s="912">
        <v>23205</v>
      </c>
      <c r="N133" s="913">
        <v>45138</v>
      </c>
      <c r="O133" s="933">
        <v>44765</v>
      </c>
      <c r="P133" s="933">
        <v>45097</v>
      </c>
      <c r="Q133" s="915">
        <v>45064</v>
      </c>
      <c r="R133" s="332"/>
      <c r="S133" s="334"/>
      <c r="T133" s="916" t="s">
        <v>1338</v>
      </c>
      <c r="U133" s="334"/>
      <c r="V133" s="334"/>
      <c r="W133" s="334"/>
      <c r="X133" s="334"/>
      <c r="Y133" s="334"/>
      <c r="Z133" s="334"/>
      <c r="AA133" s="334"/>
      <c r="AB133" s="334"/>
      <c r="AC133" s="199"/>
      <c r="AD133" s="199"/>
      <c r="AE133" s="199"/>
      <c r="AF133" s="199"/>
      <c r="AG133" s="199"/>
      <c r="AH133" s="199"/>
      <c r="AI133" s="199"/>
      <c r="AJ133" s="199"/>
      <c r="AK133" s="199"/>
      <c r="AL133" s="199"/>
      <c r="AM133" s="199"/>
    </row>
    <row r="134" spans="1:39">
      <c r="A134" s="90"/>
      <c r="C134" s="89"/>
      <c r="F134" s="90"/>
      <c r="I134" s="90"/>
      <c r="J134" s="90"/>
      <c r="L134" s="90"/>
    </row>
    <row r="135" spans="1:39" ht="29.25" customHeight="1">
      <c r="A135" s="926">
        <v>37</v>
      </c>
      <c r="B135" s="971" t="s">
        <v>1339</v>
      </c>
      <c r="C135" s="223" t="s">
        <v>22</v>
      </c>
      <c r="D135" s="972">
        <v>3329804090</v>
      </c>
      <c r="E135" s="943" t="s">
        <v>759</v>
      </c>
      <c r="F135" s="973" t="s">
        <v>1340</v>
      </c>
      <c r="G135" s="18" t="s">
        <v>78</v>
      </c>
      <c r="H135" s="275"/>
      <c r="I135" s="18">
        <v>7029556601</v>
      </c>
      <c r="J135" s="18">
        <v>7029556601</v>
      </c>
      <c r="K135" s="18" t="s">
        <v>315</v>
      </c>
      <c r="L135" s="274" t="s">
        <v>351</v>
      </c>
      <c r="M135" s="418">
        <v>33338</v>
      </c>
      <c r="N135" s="418">
        <v>55273</v>
      </c>
      <c r="O135" s="440">
        <v>45116</v>
      </c>
      <c r="P135" s="418">
        <v>45459</v>
      </c>
      <c r="Q135" s="418">
        <v>45382</v>
      </c>
      <c r="R135" s="281" t="s">
        <v>1341</v>
      </c>
      <c r="S135" s="280"/>
      <c r="T135" s="338" t="s">
        <v>1342</v>
      </c>
      <c r="U135" s="280"/>
      <c r="V135" s="280"/>
      <c r="W135" s="208">
        <f ca="1">INT((TODAY()-M135)/365)</f>
        <v>34</v>
      </c>
    </row>
    <row r="136" spans="1:39">
      <c r="A136" s="90"/>
      <c r="C136" s="89"/>
      <c r="F136" s="90"/>
      <c r="I136" s="90"/>
      <c r="J136" s="90"/>
      <c r="L136" s="90"/>
    </row>
    <row r="137" spans="1:39" ht="15.75" customHeight="1">
      <c r="A137" s="974">
        <v>12</v>
      </c>
      <c r="B137" s="276" t="s">
        <v>1343</v>
      </c>
      <c r="C137" s="919" t="s">
        <v>14</v>
      </c>
      <c r="D137" s="675">
        <v>50205299500</v>
      </c>
      <c r="E137" s="975" t="s">
        <v>1344</v>
      </c>
      <c r="F137" s="946" t="s">
        <v>759</v>
      </c>
      <c r="G137" s="870" t="s">
        <v>77</v>
      </c>
      <c r="H137" s="303" t="s">
        <v>279</v>
      </c>
      <c r="I137" s="307">
        <v>9002071366</v>
      </c>
      <c r="J137" s="307"/>
      <c r="K137" s="276" t="s">
        <v>253</v>
      </c>
      <c r="L137" s="307" t="s">
        <v>610</v>
      </c>
      <c r="M137" s="921">
        <v>22647</v>
      </c>
      <c r="N137" s="315">
        <v>44561</v>
      </c>
      <c r="O137" s="278">
        <v>44588</v>
      </c>
      <c r="P137" s="278">
        <v>44816</v>
      </c>
      <c r="Q137" s="302">
        <v>45346</v>
      </c>
      <c r="R137" s="285"/>
      <c r="S137" s="285"/>
      <c r="T137" s="318" t="s">
        <v>1345</v>
      </c>
      <c r="U137" s="318" t="s">
        <v>1345</v>
      </c>
      <c r="V137" s="285">
        <f t="shared" ref="V137:V138" si="17">LEN(D137)</f>
        <v>11</v>
      </c>
      <c r="W137" s="440">
        <v>39688</v>
      </c>
      <c r="X137" s="3"/>
      <c r="Y137" s="3"/>
      <c r="Z137" s="286" t="s">
        <v>84</v>
      </c>
      <c r="AA137" s="79"/>
      <c r="AB137" s="311">
        <f t="shared" ref="AB137:AB138" ca="1" si="18">INT((TODAY()-M137)/365)</f>
        <v>64</v>
      </c>
    </row>
    <row r="138" spans="1:39" ht="15.75" customHeight="1">
      <c r="A138" s="898">
        <v>54</v>
      </c>
      <c r="B138" s="276" t="s">
        <v>1346</v>
      </c>
      <c r="C138" s="919" t="s">
        <v>31</v>
      </c>
      <c r="D138" s="675">
        <v>50205336600</v>
      </c>
      <c r="E138" s="586" t="s">
        <v>1347</v>
      </c>
      <c r="F138" s="958" t="s">
        <v>759</v>
      </c>
      <c r="G138" s="337" t="s">
        <v>76</v>
      </c>
      <c r="H138" s="303" t="s">
        <v>279</v>
      </c>
      <c r="I138" s="703">
        <v>9002071178</v>
      </c>
      <c r="J138" s="703">
        <v>9002071178</v>
      </c>
      <c r="K138" s="276" t="s">
        <v>253</v>
      </c>
      <c r="L138" s="274" t="s">
        <v>256</v>
      </c>
      <c r="M138" s="278">
        <v>22643</v>
      </c>
      <c r="N138" s="315">
        <v>44561</v>
      </c>
      <c r="O138" s="278">
        <v>44572</v>
      </c>
      <c r="P138" s="278">
        <v>44482</v>
      </c>
      <c r="Q138" s="272">
        <v>45563</v>
      </c>
      <c r="R138" s="285"/>
      <c r="S138" s="285"/>
      <c r="T138" s="318" t="s">
        <v>1348</v>
      </c>
      <c r="U138" s="318" t="s">
        <v>1348</v>
      </c>
      <c r="V138" s="285">
        <f t="shared" si="17"/>
        <v>11</v>
      </c>
      <c r="W138" s="3"/>
      <c r="X138" s="3"/>
      <c r="Y138" s="3"/>
      <c r="Z138" s="79"/>
      <c r="AA138" s="79"/>
      <c r="AB138" s="311">
        <f t="shared" ca="1" si="18"/>
        <v>64</v>
      </c>
      <c r="AC138" s="384"/>
      <c r="AD138" s="384"/>
      <c r="AE138" s="384"/>
    </row>
    <row r="139" spans="1:39" ht="15.75" customHeight="1">
      <c r="A139" s="936">
        <v>126</v>
      </c>
      <c r="B139" s="293" t="s">
        <v>1349</v>
      </c>
      <c r="C139" s="293" t="s">
        <v>31</v>
      </c>
      <c r="D139" s="306">
        <v>50205331663</v>
      </c>
      <c r="E139" s="303" t="s">
        <v>1350</v>
      </c>
      <c r="F139" s="274" t="s">
        <v>759</v>
      </c>
      <c r="G139" s="303" t="s">
        <v>76</v>
      </c>
      <c r="H139" s="274" t="s">
        <v>279</v>
      </c>
      <c r="I139" s="275">
        <v>9002071614</v>
      </c>
      <c r="J139" s="690"/>
      <c r="K139" s="293" t="s">
        <v>261</v>
      </c>
      <c r="L139" s="275" t="s">
        <v>306</v>
      </c>
      <c r="M139" s="289">
        <v>22647</v>
      </c>
      <c r="N139" s="289">
        <v>44561</v>
      </c>
      <c r="O139" s="272">
        <v>44561</v>
      </c>
      <c r="P139" s="289">
        <v>45041</v>
      </c>
      <c r="Q139" s="289">
        <v>44626</v>
      </c>
      <c r="R139" s="294"/>
      <c r="S139" s="295"/>
      <c r="T139" s="494" t="s">
        <v>1351</v>
      </c>
      <c r="U139" s="494" t="s">
        <v>1352</v>
      </c>
      <c r="V139" s="298">
        <f t="shared" ref="V139:V140" si="19">LEN(TEXT(D139,0))</f>
        <v>11</v>
      </c>
      <c r="W139" s="208">
        <f t="shared" ref="W139:W140" ca="1" si="20">INT((TODAY()-M139)/365)</f>
        <v>64</v>
      </c>
      <c r="X139" s="298"/>
      <c r="Y139" s="298"/>
      <c r="Z139" s="298"/>
      <c r="AA139" s="298"/>
      <c r="AB139" s="298"/>
      <c r="AC139" s="298"/>
      <c r="AD139" s="298"/>
      <c r="AE139" s="298"/>
      <c r="AF139" s="298"/>
      <c r="AG139" s="298"/>
      <c r="AH139" s="298"/>
      <c r="AI139" s="298"/>
      <c r="AJ139" s="298"/>
      <c r="AK139" s="298"/>
      <c r="AL139" s="298"/>
      <c r="AM139" s="298"/>
    </row>
    <row r="140" spans="1:39" ht="15.75" customHeight="1">
      <c r="A140" s="886">
        <v>128</v>
      </c>
      <c r="B140" s="293" t="s">
        <v>1353</v>
      </c>
      <c r="C140" s="293" t="s">
        <v>31</v>
      </c>
      <c r="D140" s="306">
        <v>50205326291</v>
      </c>
      <c r="E140" s="366" t="s">
        <v>1354</v>
      </c>
      <c r="F140" s="274" t="s">
        <v>759</v>
      </c>
      <c r="G140" s="303" t="s">
        <v>76</v>
      </c>
      <c r="H140" s="274" t="s">
        <v>279</v>
      </c>
      <c r="I140" s="275">
        <v>9002071067</v>
      </c>
      <c r="J140" s="690">
        <v>9002071067</v>
      </c>
      <c r="K140" s="293" t="s">
        <v>261</v>
      </c>
      <c r="L140" s="274" t="s">
        <v>1355</v>
      </c>
      <c r="M140" s="272">
        <v>22625</v>
      </c>
      <c r="N140" s="289">
        <v>44561</v>
      </c>
      <c r="O140" s="272">
        <v>44566</v>
      </c>
      <c r="P140" s="289">
        <v>45041</v>
      </c>
      <c r="Q140" s="289">
        <v>44626</v>
      </c>
      <c r="R140" s="294"/>
      <c r="S140" s="295"/>
      <c r="T140" s="296" t="s">
        <v>1356</v>
      </c>
      <c r="U140" s="296" t="s">
        <v>1356</v>
      </c>
      <c r="V140" s="297">
        <f t="shared" si="19"/>
        <v>11</v>
      </c>
      <c r="W140" s="208">
        <f t="shared" ca="1" si="20"/>
        <v>64</v>
      </c>
      <c r="X140" s="298"/>
      <c r="Y140" s="298"/>
      <c r="Z140" s="298"/>
      <c r="AA140" s="298"/>
      <c r="AB140" s="298"/>
      <c r="AC140" s="298"/>
      <c r="AD140" s="298"/>
      <c r="AE140" s="298"/>
      <c r="AF140" s="298"/>
      <c r="AG140" s="298"/>
      <c r="AH140" s="298"/>
      <c r="AI140" s="298"/>
      <c r="AJ140" s="298"/>
      <c r="AK140" s="298"/>
      <c r="AL140" s="298"/>
      <c r="AM140" s="298"/>
    </row>
    <row r="141" spans="1:39" ht="15.75" customHeight="1">
      <c r="A141" s="974">
        <v>9</v>
      </c>
      <c r="B141" s="976" t="s">
        <v>1357</v>
      </c>
      <c r="C141" s="919" t="s">
        <v>14</v>
      </c>
      <c r="D141" s="677">
        <v>50205355990</v>
      </c>
      <c r="E141" s="975" t="s">
        <v>1358</v>
      </c>
      <c r="F141" s="946" t="s">
        <v>759</v>
      </c>
      <c r="G141" s="870" t="s">
        <v>77</v>
      </c>
      <c r="H141" s="303" t="s">
        <v>266</v>
      </c>
      <c r="I141" s="307">
        <v>9002071674</v>
      </c>
      <c r="J141" s="307">
        <v>9002071674</v>
      </c>
      <c r="K141" s="276" t="s">
        <v>253</v>
      </c>
      <c r="L141" s="307" t="s">
        <v>294</v>
      </c>
      <c r="M141" s="315">
        <v>24055</v>
      </c>
      <c r="N141" s="278">
        <v>45991</v>
      </c>
      <c r="O141" s="315">
        <v>44769</v>
      </c>
      <c r="P141" s="278">
        <v>45141</v>
      </c>
      <c r="Q141" s="302">
        <v>45369</v>
      </c>
      <c r="R141" s="317" t="s">
        <v>1359</v>
      </c>
      <c r="S141" s="285"/>
      <c r="T141" s="318" t="s">
        <v>1360</v>
      </c>
      <c r="U141" s="318" t="s">
        <v>1360</v>
      </c>
      <c r="V141" s="285">
        <f>LEN(D141)</f>
        <v>11</v>
      </c>
      <c r="W141" s="18" t="s">
        <v>1361</v>
      </c>
      <c r="X141" s="3"/>
      <c r="Y141" s="18">
        <v>2</v>
      </c>
      <c r="Z141" s="286" t="s">
        <v>85</v>
      </c>
      <c r="AA141" s="79"/>
      <c r="AB141" s="311">
        <f ca="1">INT((TODAY()-M141)/365)</f>
        <v>60</v>
      </c>
    </row>
    <row r="142" spans="1:39">
      <c r="A142" s="197">
        <v>7</v>
      </c>
      <c r="B142" s="197" t="s">
        <v>1362</v>
      </c>
      <c r="C142" s="838" t="s">
        <v>137</v>
      </c>
      <c r="D142" s="90"/>
      <c r="E142" s="941" t="s">
        <v>1363</v>
      </c>
      <c r="F142" s="137" t="s">
        <v>440</v>
      </c>
      <c r="G142" s="466">
        <v>22630</v>
      </c>
      <c r="H142" s="466">
        <v>44561</v>
      </c>
      <c r="I142" s="650" t="s">
        <v>261</v>
      </c>
      <c r="J142" s="137" t="s">
        <v>77</v>
      </c>
      <c r="L142" s="197" t="s">
        <v>13</v>
      </c>
      <c r="M142" s="206" t="e">
        <f>SUM(#REF!)</f>
        <v>#REF!</v>
      </c>
    </row>
    <row r="143" spans="1:39">
      <c r="A143" s="197">
        <v>9</v>
      </c>
      <c r="B143" s="197" t="s">
        <v>1364</v>
      </c>
      <c r="C143" s="838" t="s">
        <v>137</v>
      </c>
      <c r="D143" s="90"/>
      <c r="E143" s="941" t="s">
        <v>1365</v>
      </c>
      <c r="F143" s="137" t="s">
        <v>440</v>
      </c>
      <c r="G143" s="466">
        <v>22647</v>
      </c>
      <c r="H143" s="466">
        <v>44561</v>
      </c>
      <c r="I143" s="650" t="s">
        <v>261</v>
      </c>
      <c r="J143" s="137" t="s">
        <v>76</v>
      </c>
    </row>
    <row r="144" spans="1:39">
      <c r="A144" s="197">
        <v>11</v>
      </c>
      <c r="B144" s="197" t="s">
        <v>1366</v>
      </c>
      <c r="C144" s="838" t="s">
        <v>137</v>
      </c>
      <c r="D144" s="90"/>
      <c r="E144" s="941" t="s">
        <v>1367</v>
      </c>
      <c r="F144" s="137" t="s">
        <v>440</v>
      </c>
      <c r="G144" s="466">
        <v>22627</v>
      </c>
      <c r="H144" s="466">
        <v>44561</v>
      </c>
      <c r="I144" s="650" t="s">
        <v>261</v>
      </c>
      <c r="J144" s="137" t="s">
        <v>76</v>
      </c>
    </row>
    <row r="145" spans="1:39" ht="15.75">
      <c r="A145" s="335">
        <v>16</v>
      </c>
      <c r="B145" s="977" t="s">
        <v>1368</v>
      </c>
      <c r="C145" s="221" t="s">
        <v>14</v>
      </c>
      <c r="D145" s="909">
        <v>50205281763</v>
      </c>
      <c r="E145" s="527" t="s">
        <v>1369</v>
      </c>
      <c r="F145" s="970" t="s">
        <v>759</v>
      </c>
      <c r="G145" s="910" t="s">
        <v>76</v>
      </c>
      <c r="H145" s="334"/>
      <c r="I145" s="656">
        <v>9002071521</v>
      </c>
      <c r="J145" s="327"/>
      <c r="K145" s="328" t="s">
        <v>253</v>
      </c>
      <c r="L145" s="911" t="s">
        <v>1217</v>
      </c>
      <c r="M145" s="912">
        <v>22617</v>
      </c>
      <c r="N145" s="978">
        <v>44561</v>
      </c>
      <c r="O145" s="914">
        <v>44569</v>
      </c>
      <c r="P145" s="969">
        <v>44890</v>
      </c>
      <c r="Q145" s="979">
        <v>45205</v>
      </c>
      <c r="R145" s="332"/>
      <c r="S145" s="334"/>
      <c r="T145" s="916" t="s">
        <v>1370</v>
      </c>
      <c r="U145" s="334"/>
      <c r="V145" s="334"/>
      <c r="W145" s="334"/>
      <c r="X145" s="334"/>
      <c r="Y145" s="334"/>
      <c r="Z145" s="334"/>
      <c r="AA145" s="334"/>
      <c r="AB145" s="334"/>
      <c r="AC145" s="199"/>
      <c r="AD145" s="199"/>
      <c r="AE145" s="199"/>
      <c r="AF145" s="199"/>
      <c r="AG145" s="199"/>
      <c r="AH145" s="199"/>
      <c r="AI145" s="199"/>
      <c r="AJ145" s="199"/>
      <c r="AK145" s="199"/>
      <c r="AL145" s="199"/>
      <c r="AM145" s="199"/>
    </row>
    <row r="146" spans="1:39">
      <c r="A146" s="90"/>
      <c r="C146" s="89"/>
      <c r="F146" s="90"/>
      <c r="I146" s="90"/>
      <c r="J146" s="90"/>
      <c r="L146" s="90"/>
    </row>
    <row r="147" spans="1:39" ht="15.75">
      <c r="A147" s="980">
        <v>17</v>
      </c>
      <c r="B147" s="971" t="s">
        <v>1371</v>
      </c>
      <c r="C147" s="223" t="s">
        <v>22</v>
      </c>
      <c r="D147" s="972">
        <v>3329804092</v>
      </c>
      <c r="E147" s="973" t="s">
        <v>1372</v>
      </c>
      <c r="F147" s="965" t="s">
        <v>759</v>
      </c>
      <c r="G147" s="18" t="s">
        <v>78</v>
      </c>
      <c r="H147" s="275"/>
      <c r="I147" s="18">
        <v>9950533977</v>
      </c>
      <c r="J147" s="18">
        <v>9950533977</v>
      </c>
      <c r="K147" s="18" t="s">
        <v>315</v>
      </c>
      <c r="L147" s="274" t="s">
        <v>299</v>
      </c>
      <c r="M147" s="418">
        <v>35242</v>
      </c>
      <c r="N147" s="418">
        <v>57161</v>
      </c>
      <c r="O147" s="440">
        <v>45132</v>
      </c>
      <c r="P147" s="418">
        <v>45459</v>
      </c>
      <c r="Q147" s="418">
        <v>45382</v>
      </c>
      <c r="R147" s="281" t="s">
        <v>1373</v>
      </c>
      <c r="S147" s="338" t="s">
        <v>1374</v>
      </c>
      <c r="T147" s="280"/>
      <c r="U147" s="280"/>
      <c r="V147" s="280"/>
      <c r="W147" s="208">
        <f t="shared" ref="W147:W148" ca="1" si="21">INT((TODAY()-M147)/365)</f>
        <v>29</v>
      </c>
    </row>
    <row r="148" spans="1:39" ht="15.75" customHeight="1">
      <c r="A148" s="926">
        <v>16</v>
      </c>
      <c r="B148" s="971" t="s">
        <v>1375</v>
      </c>
      <c r="C148" s="223" t="s">
        <v>22</v>
      </c>
      <c r="D148" s="972">
        <v>3329804074</v>
      </c>
      <c r="E148" s="973" t="s">
        <v>1376</v>
      </c>
      <c r="F148" s="965" t="s">
        <v>759</v>
      </c>
      <c r="G148" s="18" t="s">
        <v>78</v>
      </c>
      <c r="H148" s="275"/>
      <c r="I148" s="18">
        <v>8918129235</v>
      </c>
      <c r="J148" s="18">
        <v>7679289646</v>
      </c>
      <c r="K148" s="18" t="s">
        <v>315</v>
      </c>
      <c r="L148" s="18" t="s">
        <v>103</v>
      </c>
      <c r="M148" s="418">
        <v>33758</v>
      </c>
      <c r="N148" s="418">
        <v>55700</v>
      </c>
      <c r="O148" s="428">
        <v>45115</v>
      </c>
      <c r="P148" s="418">
        <v>45459</v>
      </c>
      <c r="Q148" s="981">
        <v>45382</v>
      </c>
      <c r="R148" s="429" t="s">
        <v>1377</v>
      </c>
      <c r="S148" s="853" t="s">
        <v>1378</v>
      </c>
      <c r="T148" s="430"/>
      <c r="U148" s="430"/>
      <c r="V148" s="430"/>
      <c r="W148" s="208">
        <f t="shared" ca="1" si="21"/>
        <v>33</v>
      </c>
    </row>
    <row r="149" spans="1:39">
      <c r="A149" s="90"/>
      <c r="C149" s="89"/>
      <c r="F149" s="90"/>
      <c r="I149" s="90"/>
      <c r="J149" s="90"/>
      <c r="L149" s="90"/>
    </row>
    <row r="150" spans="1:39">
      <c r="A150" s="90"/>
      <c r="C150" s="89"/>
      <c r="F150" s="90"/>
      <c r="I150" s="90"/>
      <c r="J150" s="90"/>
      <c r="L150" s="90"/>
    </row>
    <row r="151" spans="1:39" ht="15.75" customHeight="1">
      <c r="A151" s="898">
        <v>1</v>
      </c>
      <c r="B151" s="276" t="s">
        <v>1379</v>
      </c>
      <c r="C151" s="919" t="s">
        <v>31</v>
      </c>
      <c r="D151" s="677">
        <v>50205261466</v>
      </c>
      <c r="E151" s="586" t="s">
        <v>1380</v>
      </c>
      <c r="F151" s="958" t="s">
        <v>759</v>
      </c>
      <c r="G151" s="337" t="s">
        <v>76</v>
      </c>
      <c r="H151" s="303" t="s">
        <v>279</v>
      </c>
      <c r="I151" s="307">
        <v>9002071059</v>
      </c>
      <c r="J151" s="307">
        <v>9002071059</v>
      </c>
      <c r="K151" s="276" t="s">
        <v>253</v>
      </c>
      <c r="L151" s="303" t="s">
        <v>594</v>
      </c>
      <c r="M151" s="278">
        <v>22667</v>
      </c>
      <c r="N151" s="278">
        <v>44592</v>
      </c>
      <c r="O151" s="278">
        <v>44617</v>
      </c>
      <c r="P151" s="278">
        <v>44764</v>
      </c>
      <c r="Q151" s="302">
        <v>44771</v>
      </c>
      <c r="R151" s="285"/>
      <c r="S151" s="285"/>
      <c r="T151" s="317"/>
      <c r="U151" s="318" t="s">
        <v>1381</v>
      </c>
      <c r="V151" s="285">
        <f t="shared" ref="V151:V154" si="22">LEN(D151)</f>
        <v>11</v>
      </c>
      <c r="W151" s="3"/>
      <c r="X151" s="3"/>
      <c r="Y151" s="3"/>
      <c r="Z151" s="79"/>
      <c r="AA151" s="79"/>
      <c r="AB151" s="311">
        <f t="shared" ref="AB151:AB155" ca="1" si="23">INT((TODAY()-M151)/365)</f>
        <v>64</v>
      </c>
    </row>
    <row r="152" spans="1:39" ht="15.75" customHeight="1">
      <c r="A152" s="898">
        <v>2</v>
      </c>
      <c r="B152" s="276" t="s">
        <v>1382</v>
      </c>
      <c r="C152" s="919" t="s">
        <v>31</v>
      </c>
      <c r="D152" s="677">
        <v>50205326497</v>
      </c>
      <c r="E152" s="586" t="s">
        <v>1383</v>
      </c>
      <c r="F152" s="958" t="s">
        <v>759</v>
      </c>
      <c r="G152" s="337" t="s">
        <v>76</v>
      </c>
      <c r="H152" s="303" t="s">
        <v>279</v>
      </c>
      <c r="I152" s="307">
        <v>9002071037</v>
      </c>
      <c r="J152" s="307">
        <v>9002071037</v>
      </c>
      <c r="K152" s="276" t="s">
        <v>253</v>
      </c>
      <c r="L152" s="307" t="s">
        <v>101</v>
      </c>
      <c r="M152" s="278">
        <v>22673</v>
      </c>
      <c r="N152" s="315">
        <v>44592</v>
      </c>
      <c r="O152" s="278">
        <v>44589</v>
      </c>
      <c r="P152" s="278">
        <v>45043</v>
      </c>
      <c r="Q152" s="279">
        <v>45108</v>
      </c>
      <c r="R152" s="285"/>
      <c r="S152" s="285"/>
      <c r="T152" s="318" t="s">
        <v>1384</v>
      </c>
      <c r="U152" s="318" t="s">
        <v>1384</v>
      </c>
      <c r="V152" s="285">
        <f t="shared" si="22"/>
        <v>11</v>
      </c>
      <c r="W152" s="3"/>
      <c r="X152" s="3"/>
      <c r="Y152" s="3"/>
      <c r="Z152" s="79"/>
      <c r="AA152" s="79"/>
      <c r="AB152" s="311">
        <f t="shared" ca="1" si="23"/>
        <v>64</v>
      </c>
    </row>
    <row r="153" spans="1:39" ht="15.75" customHeight="1">
      <c r="A153" s="898">
        <v>3</v>
      </c>
      <c r="B153" s="276" t="s">
        <v>1385</v>
      </c>
      <c r="C153" s="919" t="s">
        <v>31</v>
      </c>
      <c r="D153" s="675">
        <v>50205336478</v>
      </c>
      <c r="E153" s="586" t="s">
        <v>1386</v>
      </c>
      <c r="F153" s="958" t="s">
        <v>759</v>
      </c>
      <c r="G153" s="337" t="s">
        <v>76</v>
      </c>
      <c r="H153" s="303" t="s">
        <v>279</v>
      </c>
      <c r="I153" s="307">
        <v>9002071095</v>
      </c>
      <c r="J153" s="307"/>
      <c r="K153" s="276" t="s">
        <v>253</v>
      </c>
      <c r="L153" s="307" t="s">
        <v>306</v>
      </c>
      <c r="M153" s="921">
        <v>22678</v>
      </c>
      <c r="N153" s="315">
        <v>44592</v>
      </c>
      <c r="O153" s="278">
        <v>44576</v>
      </c>
      <c r="P153" s="921">
        <v>44714</v>
      </c>
      <c r="Q153" s="272">
        <v>45563</v>
      </c>
      <c r="R153" s="285"/>
      <c r="S153" s="285"/>
      <c r="T153" s="318" t="s">
        <v>1387</v>
      </c>
      <c r="U153" s="318" t="s">
        <v>1388</v>
      </c>
      <c r="V153" s="285">
        <f t="shared" si="22"/>
        <v>11</v>
      </c>
      <c r="W153" s="3"/>
      <c r="X153" s="3"/>
      <c r="Y153" s="3"/>
      <c r="Z153" s="79"/>
      <c r="AA153" s="79"/>
      <c r="AB153" s="311">
        <f t="shared" ca="1" si="23"/>
        <v>64</v>
      </c>
    </row>
    <row r="154" spans="1:39" ht="15.75" customHeight="1">
      <c r="A154" s="898">
        <v>4</v>
      </c>
      <c r="B154" s="276" t="s">
        <v>1389</v>
      </c>
      <c r="C154" s="919" t="s">
        <v>14</v>
      </c>
      <c r="D154" s="675" t="s">
        <v>1390</v>
      </c>
      <c r="E154" s="975" t="s">
        <v>1391</v>
      </c>
      <c r="F154" s="946" t="s">
        <v>759</v>
      </c>
      <c r="G154" s="870" t="s">
        <v>76</v>
      </c>
      <c r="H154" s="303" t="s">
        <v>279</v>
      </c>
      <c r="I154" s="307">
        <v>9002071246</v>
      </c>
      <c r="J154" s="307">
        <v>9002071246</v>
      </c>
      <c r="K154" s="276" t="s">
        <v>253</v>
      </c>
      <c r="L154" s="307" t="s">
        <v>94</v>
      </c>
      <c r="M154" s="278">
        <v>22661</v>
      </c>
      <c r="N154" s="315">
        <v>44592</v>
      </c>
      <c r="O154" s="278">
        <v>44616</v>
      </c>
      <c r="P154" s="278">
        <v>44712</v>
      </c>
      <c r="Q154" s="302">
        <v>44568</v>
      </c>
      <c r="R154" s="285"/>
      <c r="S154" s="285"/>
      <c r="T154" s="318" t="s">
        <v>1392</v>
      </c>
      <c r="U154" s="318" t="s">
        <v>1392</v>
      </c>
      <c r="V154" s="285">
        <f t="shared" si="22"/>
        <v>11</v>
      </c>
      <c r="W154" s="532">
        <v>42703</v>
      </c>
      <c r="X154" s="3"/>
      <c r="Y154" s="3"/>
      <c r="Z154" s="286" t="s">
        <v>84</v>
      </c>
      <c r="AA154" s="79"/>
      <c r="AB154" s="311">
        <f t="shared" ca="1" si="23"/>
        <v>64</v>
      </c>
    </row>
    <row r="155" spans="1:39" ht="15.75" customHeight="1">
      <c r="A155" s="898">
        <v>5</v>
      </c>
      <c r="B155" s="276" t="s">
        <v>1393</v>
      </c>
      <c r="C155" s="919" t="s">
        <v>14</v>
      </c>
      <c r="D155" s="675">
        <v>50205332588</v>
      </c>
      <c r="E155" s="975" t="s">
        <v>1394</v>
      </c>
      <c r="F155" s="946" t="s">
        <v>759</v>
      </c>
      <c r="G155" s="870" t="s">
        <v>76</v>
      </c>
      <c r="H155" s="303" t="s">
        <v>279</v>
      </c>
      <c r="I155" s="307">
        <v>9002071102</v>
      </c>
      <c r="J155" s="703">
        <v>8240484001</v>
      </c>
      <c r="K155" s="276" t="s">
        <v>253</v>
      </c>
      <c r="L155" s="307" t="s">
        <v>627</v>
      </c>
      <c r="M155" s="278">
        <v>22649</v>
      </c>
      <c r="N155" s="278">
        <v>44592</v>
      </c>
      <c r="O155" s="278">
        <v>44750</v>
      </c>
      <c r="P155" s="921">
        <v>44678</v>
      </c>
      <c r="Q155" s="302">
        <v>44687</v>
      </c>
      <c r="R155" s="285"/>
      <c r="S155" s="285"/>
      <c r="T155" s="982" t="s">
        <v>1395</v>
      </c>
      <c r="U155" s="982" t="s">
        <v>1395</v>
      </c>
      <c r="V155" s="285">
        <f t="shared" ref="V155:V160" si="24">LEN(TEXT(D155,0))</f>
        <v>11</v>
      </c>
      <c r="W155" s="440">
        <v>41096</v>
      </c>
      <c r="X155" s="3"/>
      <c r="Y155" s="3"/>
      <c r="Z155" s="286" t="s">
        <v>84</v>
      </c>
      <c r="AA155" s="79"/>
      <c r="AB155" s="311">
        <f t="shared" ca="1" si="23"/>
        <v>64</v>
      </c>
    </row>
    <row r="156" spans="1:39" ht="15.75" customHeight="1">
      <c r="A156" s="898">
        <v>6</v>
      </c>
      <c r="B156" s="293" t="s">
        <v>1396</v>
      </c>
      <c r="C156" s="293" t="s">
        <v>21</v>
      </c>
      <c r="D156" s="306">
        <v>50204760049</v>
      </c>
      <c r="E156" s="303" t="s">
        <v>1397</v>
      </c>
      <c r="F156" s="274" t="s">
        <v>759</v>
      </c>
      <c r="G156" s="303" t="s">
        <v>76</v>
      </c>
      <c r="H156" s="275"/>
      <c r="I156" s="275">
        <v>9002071878</v>
      </c>
      <c r="J156" s="284">
        <v>9002071878</v>
      </c>
      <c r="K156" s="293" t="s">
        <v>261</v>
      </c>
      <c r="L156" s="274" t="s">
        <v>299</v>
      </c>
      <c r="M156" s="272">
        <v>22651</v>
      </c>
      <c r="N156" s="272">
        <v>44592</v>
      </c>
      <c r="O156" s="272">
        <v>44764</v>
      </c>
      <c r="P156" s="289">
        <v>44640</v>
      </c>
      <c r="Q156" s="302">
        <v>45248</v>
      </c>
      <c r="R156" s="294"/>
      <c r="S156" s="296" t="s">
        <v>1398</v>
      </c>
      <c r="T156" s="295"/>
      <c r="U156" s="295"/>
      <c r="V156" s="297">
        <f t="shared" si="24"/>
        <v>11</v>
      </c>
      <c r="W156" s="208">
        <f t="shared" ref="W156:W159" ca="1" si="25">INT((TODAY()-M156)/365)</f>
        <v>64</v>
      </c>
      <c r="X156" s="298"/>
      <c r="Y156" s="298"/>
      <c r="Z156" s="298"/>
      <c r="AA156" s="298"/>
      <c r="AB156" s="298"/>
      <c r="AC156" s="298"/>
      <c r="AD156" s="298"/>
      <c r="AE156" s="298"/>
      <c r="AF156" s="298"/>
      <c r="AG156" s="298"/>
    </row>
    <row r="157" spans="1:39" ht="15.75" customHeight="1">
      <c r="A157" s="898">
        <v>7</v>
      </c>
      <c r="B157" s="293" t="s">
        <v>1399</v>
      </c>
      <c r="C157" s="293" t="s">
        <v>31</v>
      </c>
      <c r="D157" s="306">
        <v>50205355497</v>
      </c>
      <c r="E157" s="274" t="s">
        <v>1400</v>
      </c>
      <c r="F157" s="274" t="s">
        <v>759</v>
      </c>
      <c r="G157" s="274" t="s">
        <v>77</v>
      </c>
      <c r="H157" s="274" t="s">
        <v>279</v>
      </c>
      <c r="I157" s="275">
        <v>9002071635</v>
      </c>
      <c r="J157" s="690"/>
      <c r="K157" s="293" t="s">
        <v>261</v>
      </c>
      <c r="L157" s="275" t="s">
        <v>1043</v>
      </c>
      <c r="M157" s="289">
        <v>22678</v>
      </c>
      <c r="N157" s="289">
        <v>44592</v>
      </c>
      <c r="O157" s="272">
        <v>44573</v>
      </c>
      <c r="P157" s="279">
        <v>45487</v>
      </c>
      <c r="Q157" s="302">
        <v>45369</v>
      </c>
      <c r="R157" s="79"/>
      <c r="S157" s="295"/>
      <c r="T157" s="603" t="s">
        <v>1401</v>
      </c>
      <c r="U157" s="603" t="s">
        <v>1401</v>
      </c>
      <c r="V157" s="297">
        <f t="shared" si="24"/>
        <v>11</v>
      </c>
      <c r="W157" s="208">
        <f t="shared" ca="1" si="25"/>
        <v>64</v>
      </c>
      <c r="X157" s="298"/>
      <c r="Y157" s="298"/>
      <c r="Z157" s="298"/>
      <c r="AA157" s="298"/>
      <c r="AB157" s="298"/>
      <c r="AC157" s="298"/>
      <c r="AD157" s="298"/>
      <c r="AE157" s="298"/>
      <c r="AF157" s="298"/>
      <c r="AG157" s="298"/>
    </row>
    <row r="158" spans="1:39" ht="15.75" customHeight="1">
      <c r="A158" s="898">
        <v>8</v>
      </c>
      <c r="B158" s="293" t="s">
        <v>1402</v>
      </c>
      <c r="C158" s="293" t="s">
        <v>31</v>
      </c>
      <c r="D158" s="306">
        <v>50205339420</v>
      </c>
      <c r="E158" s="421" t="s">
        <v>1403</v>
      </c>
      <c r="F158" s="274" t="s">
        <v>759</v>
      </c>
      <c r="G158" s="303" t="s">
        <v>76</v>
      </c>
      <c r="H158" s="274" t="s">
        <v>279</v>
      </c>
      <c r="I158" s="275">
        <v>9002071156</v>
      </c>
      <c r="J158" s="690"/>
      <c r="K158" s="293" t="s">
        <v>261</v>
      </c>
      <c r="L158" s="274" t="s">
        <v>102</v>
      </c>
      <c r="M158" s="272">
        <v>22678</v>
      </c>
      <c r="N158" s="289">
        <v>44592</v>
      </c>
      <c r="O158" s="272">
        <v>44609</v>
      </c>
      <c r="P158" s="279">
        <v>45552</v>
      </c>
      <c r="Q158" s="302">
        <v>45397</v>
      </c>
      <c r="R158" s="79"/>
      <c r="S158" s="295"/>
      <c r="T158" s="603" t="s">
        <v>1404</v>
      </c>
      <c r="U158" s="603" t="s">
        <v>1404</v>
      </c>
      <c r="V158" s="297">
        <f t="shared" si="24"/>
        <v>11</v>
      </c>
      <c r="W158" s="208">
        <f t="shared" ca="1" si="25"/>
        <v>64</v>
      </c>
      <c r="X158" s="298"/>
      <c r="Y158" s="298"/>
      <c r="Z158" s="298"/>
      <c r="AA158" s="298"/>
      <c r="AB158" s="298"/>
      <c r="AC158" s="298"/>
      <c r="AD158" s="298"/>
      <c r="AE158" s="298"/>
      <c r="AF158" s="298"/>
      <c r="AG158" s="298"/>
      <c r="AH158" s="298"/>
      <c r="AI158" s="298"/>
      <c r="AJ158" s="298"/>
      <c r="AK158" s="298"/>
      <c r="AL158" s="298"/>
      <c r="AM158" s="298"/>
    </row>
    <row r="159" spans="1:39">
      <c r="A159" s="898">
        <v>9</v>
      </c>
      <c r="B159" s="293" t="s">
        <v>1405</v>
      </c>
      <c r="C159" s="293" t="s">
        <v>31</v>
      </c>
      <c r="D159" s="306">
        <v>50205336417</v>
      </c>
      <c r="E159" s="303" t="s">
        <v>1406</v>
      </c>
      <c r="F159" s="274" t="s">
        <v>759</v>
      </c>
      <c r="G159" s="303" t="s">
        <v>76</v>
      </c>
      <c r="H159" s="274" t="s">
        <v>279</v>
      </c>
      <c r="I159" s="275">
        <v>9002071088</v>
      </c>
      <c r="J159" s="690"/>
      <c r="K159" s="293" t="s">
        <v>261</v>
      </c>
      <c r="L159" s="275" t="s">
        <v>1043</v>
      </c>
      <c r="M159" s="289">
        <v>22678</v>
      </c>
      <c r="N159" s="418">
        <v>44592</v>
      </c>
      <c r="O159" s="272">
        <v>44572</v>
      </c>
      <c r="P159" s="279">
        <v>45552</v>
      </c>
      <c r="Q159" s="302">
        <v>45622</v>
      </c>
      <c r="R159" s="294"/>
      <c r="S159" s="295"/>
      <c r="T159" s="296" t="s">
        <v>1407</v>
      </c>
      <c r="U159" s="296" t="s">
        <v>1407</v>
      </c>
      <c r="V159" s="297">
        <f t="shared" si="24"/>
        <v>11</v>
      </c>
      <c r="W159" s="208">
        <f t="shared" ca="1" si="25"/>
        <v>64</v>
      </c>
      <c r="X159" s="298"/>
      <c r="Y159" s="298"/>
      <c r="Z159" s="298"/>
      <c r="AA159" s="298"/>
      <c r="AB159" s="298"/>
      <c r="AC159" s="298"/>
      <c r="AD159" s="298"/>
      <c r="AE159" s="298"/>
      <c r="AF159" s="298"/>
      <c r="AG159" s="298"/>
      <c r="AH159" s="298"/>
      <c r="AI159" s="298"/>
      <c r="AJ159" s="298"/>
      <c r="AK159" s="298"/>
      <c r="AL159" s="298"/>
      <c r="AM159" s="298"/>
    </row>
    <row r="160" spans="1:39" ht="15.75" customHeight="1">
      <c r="A160" s="898">
        <v>10</v>
      </c>
      <c r="B160" s="351" t="s">
        <v>1408</v>
      </c>
      <c r="C160" s="351" t="s">
        <v>21</v>
      </c>
      <c r="D160" s="306">
        <v>50205252714</v>
      </c>
      <c r="E160" s="674" t="s">
        <v>1409</v>
      </c>
      <c r="F160" s="686" t="s">
        <v>759</v>
      </c>
      <c r="G160" s="303" t="s">
        <v>76</v>
      </c>
      <c r="H160" s="351"/>
      <c r="I160" s="391">
        <v>9002071765</v>
      </c>
      <c r="J160" s="391">
        <v>9002071765</v>
      </c>
      <c r="K160" s="351" t="s">
        <v>334</v>
      </c>
      <c r="L160" s="391" t="s">
        <v>93</v>
      </c>
      <c r="M160" s="390">
        <v>22662</v>
      </c>
      <c r="N160" s="390">
        <v>44592</v>
      </c>
      <c r="O160" s="392">
        <v>44601</v>
      </c>
      <c r="P160" s="289">
        <v>44750</v>
      </c>
      <c r="Q160" s="289">
        <v>44758</v>
      </c>
      <c r="R160" s="393"/>
      <c r="S160" s="394" t="s">
        <v>337</v>
      </c>
      <c r="T160" s="403" t="s">
        <v>1269</v>
      </c>
      <c r="U160" s="393"/>
      <c r="V160" s="383">
        <f t="shared" si="24"/>
        <v>11</v>
      </c>
      <c r="W160" s="395"/>
      <c r="X160" s="79"/>
      <c r="Y160" s="395"/>
      <c r="Z160" s="79"/>
      <c r="AA160" s="383"/>
      <c r="AB160" s="208">
        <f ca="1">INT((TODAY()-M160)/365)</f>
        <v>64</v>
      </c>
      <c r="AC160" s="384"/>
      <c r="AD160" s="384"/>
      <c r="AE160" s="384"/>
      <c r="AF160" s="384"/>
      <c r="AG160" s="384"/>
      <c r="AH160" s="384"/>
      <c r="AI160" s="384"/>
      <c r="AJ160" s="384"/>
      <c r="AK160" s="384"/>
      <c r="AL160" s="384"/>
      <c r="AM160" s="384"/>
    </row>
    <row r="161" spans="1:39" ht="15.75" customHeight="1">
      <c r="A161" s="898">
        <v>11</v>
      </c>
      <c r="B161" s="293" t="s">
        <v>1410</v>
      </c>
      <c r="C161" s="293" t="s">
        <v>31</v>
      </c>
      <c r="D161" s="304">
        <v>50205407266</v>
      </c>
      <c r="E161" s="274" t="s">
        <v>1411</v>
      </c>
      <c r="F161" s="18" t="s">
        <v>759</v>
      </c>
      <c r="G161" s="274" t="s">
        <v>77</v>
      </c>
      <c r="H161" s="274" t="s">
        <v>266</v>
      </c>
      <c r="I161" s="275">
        <v>9002071818</v>
      </c>
      <c r="J161" s="690"/>
      <c r="K161" s="275" t="s">
        <v>290</v>
      </c>
      <c r="L161" s="275" t="s">
        <v>610</v>
      </c>
      <c r="M161" s="272">
        <v>22653</v>
      </c>
      <c r="N161" s="272">
        <v>44592</v>
      </c>
      <c r="O161" s="272">
        <v>44932</v>
      </c>
      <c r="P161" s="279">
        <v>45212</v>
      </c>
      <c r="Q161" s="687">
        <v>45108</v>
      </c>
      <c r="S161" s="309"/>
      <c r="T161" s="894" t="s">
        <v>1412</v>
      </c>
      <c r="U161" s="894" t="s">
        <v>1412</v>
      </c>
      <c r="V161" s="311">
        <f t="shared" ref="V161:V162" si="26">LEN(D161)</f>
        <v>11</v>
      </c>
      <c r="W161" s="311"/>
      <c r="X161" s="208">
        <f t="shared" ref="X161:X162" ca="1" si="27">INT((TODAY()-M161)/365)</f>
        <v>64</v>
      </c>
      <c r="Y161" s="311"/>
      <c r="Z161" s="311"/>
      <c r="AA161" s="311"/>
      <c r="AB161" s="311"/>
      <c r="AC161" s="311"/>
      <c r="AD161" s="311"/>
      <c r="AE161" s="311"/>
      <c r="AF161" s="311"/>
      <c r="AG161" s="311"/>
      <c r="AH161" s="311"/>
      <c r="AI161" s="311"/>
      <c r="AJ161" s="311"/>
      <c r="AK161" s="311"/>
      <c r="AL161" s="311"/>
      <c r="AM161" s="311"/>
    </row>
    <row r="162" spans="1:39" ht="15.75" customHeight="1">
      <c r="A162" s="898">
        <v>12</v>
      </c>
      <c r="B162" s="293" t="s">
        <v>1413</v>
      </c>
      <c r="C162" s="293" t="s">
        <v>31</v>
      </c>
      <c r="D162" s="983">
        <v>50206099117</v>
      </c>
      <c r="E162" s="303" t="s">
        <v>1414</v>
      </c>
      <c r="F162" s="18" t="s">
        <v>759</v>
      </c>
      <c r="G162" s="303" t="s">
        <v>76</v>
      </c>
      <c r="H162" s="274" t="s">
        <v>266</v>
      </c>
      <c r="I162" s="275">
        <v>9002079037</v>
      </c>
      <c r="J162" s="690"/>
      <c r="K162" s="275" t="s">
        <v>290</v>
      </c>
      <c r="L162" s="275" t="s">
        <v>610</v>
      </c>
      <c r="M162" s="289">
        <v>22648</v>
      </c>
      <c r="N162" s="289">
        <v>44592</v>
      </c>
      <c r="O162" s="272">
        <v>44609</v>
      </c>
      <c r="P162" s="279">
        <v>45487</v>
      </c>
      <c r="Q162" s="424">
        <v>45509</v>
      </c>
      <c r="R162" s="308"/>
      <c r="S162" s="309"/>
      <c r="T162" s="309"/>
      <c r="U162" s="310" t="s">
        <v>1415</v>
      </c>
      <c r="V162" s="311">
        <f t="shared" si="26"/>
        <v>11</v>
      </c>
      <c r="W162" s="311"/>
      <c r="X162" s="208">
        <f t="shared" ca="1" si="27"/>
        <v>64</v>
      </c>
      <c r="Y162" s="311"/>
      <c r="Z162" s="311"/>
      <c r="AA162" s="311"/>
      <c r="AB162" s="311"/>
      <c r="AC162" s="311"/>
      <c r="AD162" s="311"/>
      <c r="AE162" s="311"/>
      <c r="AF162" s="311"/>
      <c r="AG162" s="311"/>
      <c r="AH162" s="311"/>
      <c r="AI162" s="311"/>
      <c r="AJ162" s="311"/>
      <c r="AK162" s="311"/>
      <c r="AL162" s="311"/>
      <c r="AM162" s="311"/>
    </row>
    <row r="163" spans="1:39">
      <c r="A163" s="898">
        <v>13</v>
      </c>
      <c r="B163" s="922" t="s">
        <v>1416</v>
      </c>
      <c r="C163" s="923" t="s">
        <v>543</v>
      </c>
      <c r="D163" s="924">
        <v>50205326424</v>
      </c>
      <c r="E163" s="18" t="s">
        <v>1417</v>
      </c>
      <c r="F163" s="574" t="s">
        <v>23</v>
      </c>
      <c r="G163" s="476">
        <v>22677</v>
      </c>
      <c r="H163" s="476">
        <v>44592</v>
      </c>
      <c r="I163" s="18">
        <v>9002079724</v>
      </c>
      <c r="J163" s="18" t="s">
        <v>76</v>
      </c>
      <c r="K163" s="90"/>
    </row>
    <row r="164" spans="1:39">
      <c r="A164" s="898">
        <v>14</v>
      </c>
      <c r="B164" s="334" t="s">
        <v>1418</v>
      </c>
      <c r="C164" s="221" t="s">
        <v>1419</v>
      </c>
      <c r="D164" s="334" t="s">
        <v>689</v>
      </c>
      <c r="E164" s="334" t="s">
        <v>682</v>
      </c>
      <c r="F164" s="657"/>
      <c r="G164" s="450" t="s">
        <v>12</v>
      </c>
      <c r="H164" s="334" t="s">
        <v>1419</v>
      </c>
      <c r="I164" s="329">
        <v>22657</v>
      </c>
      <c r="J164" s="329">
        <v>44592</v>
      </c>
    </row>
    <row r="165" spans="1:39" ht="15.75">
      <c r="A165" s="898">
        <v>15</v>
      </c>
      <c r="B165" s="967" t="s">
        <v>1420</v>
      </c>
      <c r="C165" s="221" t="s">
        <v>14</v>
      </c>
      <c r="D165" s="909">
        <v>50205333477</v>
      </c>
      <c r="E165" s="527" t="s">
        <v>1421</v>
      </c>
      <c r="F165" s="970" t="s">
        <v>759</v>
      </c>
      <c r="G165" s="908" t="s">
        <v>76</v>
      </c>
      <c r="H165" s="334"/>
      <c r="I165" s="656">
        <v>9163382097</v>
      </c>
      <c r="J165" s="327"/>
      <c r="K165" s="328" t="s">
        <v>253</v>
      </c>
      <c r="L165" s="911" t="s">
        <v>1331</v>
      </c>
      <c r="M165" s="912">
        <v>22648</v>
      </c>
      <c r="N165" s="913">
        <v>44592</v>
      </c>
      <c r="O165" s="933">
        <v>44813</v>
      </c>
      <c r="P165" s="933">
        <v>44806</v>
      </c>
      <c r="Q165" s="915">
        <v>45078</v>
      </c>
      <c r="R165" s="332"/>
      <c r="S165" s="334"/>
      <c r="T165" s="916" t="s">
        <v>1422</v>
      </c>
      <c r="U165" s="334"/>
      <c r="V165" s="334"/>
      <c r="W165" s="334"/>
      <c r="X165" s="334"/>
      <c r="Y165" s="334"/>
      <c r="Z165" s="334"/>
      <c r="AA165" s="334"/>
      <c r="AB165" s="334"/>
      <c r="AC165" s="199"/>
      <c r="AD165" s="199"/>
      <c r="AE165" s="199"/>
      <c r="AF165" s="199"/>
      <c r="AG165" s="199"/>
      <c r="AH165" s="199"/>
      <c r="AI165" s="199"/>
      <c r="AJ165" s="199"/>
      <c r="AK165" s="199"/>
      <c r="AL165" s="199"/>
      <c r="AM165" s="199"/>
    </row>
    <row r="166" spans="1:39" ht="15.75">
      <c r="A166" s="898">
        <v>16</v>
      </c>
      <c r="B166" s="984" t="s">
        <v>1423</v>
      </c>
      <c r="C166" s="221" t="s">
        <v>14</v>
      </c>
      <c r="D166" s="931">
        <v>50205366732</v>
      </c>
      <c r="E166" s="527" t="s">
        <v>1424</v>
      </c>
      <c r="F166" s="970" t="s">
        <v>759</v>
      </c>
      <c r="G166" s="930" t="s">
        <v>78</v>
      </c>
      <c r="H166" s="79"/>
      <c r="I166" s="656">
        <v>9163382073</v>
      </c>
      <c r="J166" s="327"/>
      <c r="K166" s="328" t="s">
        <v>253</v>
      </c>
      <c r="L166" s="911" t="s">
        <v>1217</v>
      </c>
      <c r="M166" s="913">
        <v>22656</v>
      </c>
      <c r="N166" s="913">
        <v>44592</v>
      </c>
      <c r="O166" s="933">
        <v>44813</v>
      </c>
      <c r="P166" s="933">
        <v>45144</v>
      </c>
      <c r="Q166" s="915">
        <v>45064</v>
      </c>
      <c r="R166" s="332"/>
      <c r="S166" s="334"/>
      <c r="T166" s="916" t="s">
        <v>1425</v>
      </c>
      <c r="U166" s="334"/>
      <c r="V166" s="334"/>
      <c r="W166" s="334"/>
      <c r="X166" s="334"/>
      <c r="Y166" s="334"/>
      <c r="Z166" s="334"/>
      <c r="AA166" s="334"/>
      <c r="AB166" s="334"/>
      <c r="AC166" s="199"/>
      <c r="AD166" s="199"/>
      <c r="AE166" s="199"/>
      <c r="AF166" s="199"/>
      <c r="AG166" s="199"/>
      <c r="AH166" s="199"/>
      <c r="AI166" s="199"/>
      <c r="AJ166" s="199"/>
      <c r="AK166" s="199"/>
      <c r="AL166" s="199"/>
      <c r="AM166" s="199"/>
    </row>
    <row r="167" spans="1:39">
      <c r="A167" s="90"/>
      <c r="C167" s="89"/>
      <c r="F167" s="90"/>
      <c r="I167" s="90"/>
      <c r="J167" s="90"/>
      <c r="L167" s="90"/>
    </row>
    <row r="168" spans="1:39">
      <c r="A168" s="90"/>
      <c r="C168" s="89"/>
      <c r="F168" s="90"/>
      <c r="I168" s="90"/>
      <c r="J168" s="90"/>
      <c r="L168" s="90"/>
    </row>
    <row r="169" spans="1:39" ht="15.75" customHeight="1">
      <c r="A169" s="937">
        <v>15</v>
      </c>
      <c r="B169" s="276" t="s">
        <v>1426</v>
      </c>
      <c r="C169" s="919" t="s">
        <v>21</v>
      </c>
      <c r="D169" s="677">
        <v>50205316443</v>
      </c>
      <c r="E169" s="965" t="s">
        <v>1427</v>
      </c>
      <c r="F169" s="958" t="s">
        <v>759</v>
      </c>
      <c r="G169" s="875" t="s">
        <v>77</v>
      </c>
      <c r="H169" s="307"/>
      <c r="I169" s="985"/>
      <c r="J169" s="283" t="str">
        <f>IF(ISBLANK(H169),"",ifS(H169="A",DATEVALUE(I169)+90,H169="B",DATEVALUE(I169)+60,H169="C",DATEVALUE(I169)+30))</f>
        <v/>
      </c>
      <c r="K169" s="307">
        <v>9002071781</v>
      </c>
      <c r="L169" s="307">
        <v>9002071781</v>
      </c>
      <c r="M169" s="276" t="s">
        <v>253</v>
      </c>
      <c r="N169" s="303" t="s">
        <v>1043</v>
      </c>
      <c r="O169" s="315">
        <v>23651</v>
      </c>
      <c r="P169" s="315">
        <v>45565</v>
      </c>
      <c r="Q169" s="315">
        <v>44835</v>
      </c>
      <c r="R169" s="921">
        <v>44780</v>
      </c>
      <c r="S169" s="676">
        <v>44813</v>
      </c>
      <c r="T169" s="285"/>
      <c r="U169" s="982" t="s">
        <v>1428</v>
      </c>
      <c r="V169" s="317" t="s">
        <v>1429</v>
      </c>
      <c r="W169" s="285"/>
      <c r="X169" s="285">
        <f>LEN(D169)</f>
        <v>11</v>
      </c>
      <c r="Y169" s="3"/>
      <c r="Z169" s="3"/>
      <c r="AA169" s="3"/>
      <c r="AB169" s="79"/>
      <c r="AC169" s="79"/>
      <c r="AD169" s="311">
        <f ca="1">INT((TODAY()-O169)/365)</f>
        <v>61</v>
      </c>
    </row>
    <row r="170" spans="1:39">
      <c r="A170" s="231">
        <v>4</v>
      </c>
      <c r="B170" s="882" t="s">
        <v>1430</v>
      </c>
      <c r="C170" s="235" t="s">
        <v>76</v>
      </c>
      <c r="D170" s="883" t="s">
        <v>137</v>
      </c>
      <c r="E170" s="235">
        <v>5336016</v>
      </c>
      <c r="F170" s="233" t="s">
        <v>1431</v>
      </c>
      <c r="G170" s="884">
        <v>44592</v>
      </c>
      <c r="H170" s="233" t="s">
        <v>1432</v>
      </c>
      <c r="I170" s="233" t="s">
        <v>1163</v>
      </c>
      <c r="J170" s="237" t="s">
        <v>1433</v>
      </c>
      <c r="K170" s="238" t="s">
        <v>142</v>
      </c>
      <c r="L170" s="986"/>
    </row>
    <row r="171" spans="1:39">
      <c r="A171" s="885">
        <v>6</v>
      </c>
      <c r="B171" s="882" t="s">
        <v>1434</v>
      </c>
      <c r="C171" s="235" t="s">
        <v>76</v>
      </c>
      <c r="D171" s="883" t="s">
        <v>137</v>
      </c>
      <c r="E171" s="235">
        <v>533940</v>
      </c>
      <c r="F171" s="233" t="s">
        <v>1435</v>
      </c>
      <c r="G171" s="884">
        <v>44592</v>
      </c>
      <c r="H171" s="233" t="s">
        <v>1436</v>
      </c>
      <c r="I171" s="233" t="s">
        <v>1163</v>
      </c>
      <c r="J171" s="237" t="s">
        <v>1437</v>
      </c>
      <c r="K171" s="238" t="s">
        <v>142</v>
      </c>
      <c r="L171" s="986"/>
    </row>
    <row r="172" spans="1:39" ht="15.75" customHeight="1">
      <c r="A172" s="898">
        <v>64</v>
      </c>
      <c r="B172" s="276" t="s">
        <v>1438</v>
      </c>
      <c r="C172" s="919" t="s">
        <v>31</v>
      </c>
      <c r="D172" s="675">
        <v>50209353483</v>
      </c>
      <c r="E172" s="586" t="s">
        <v>1439</v>
      </c>
      <c r="F172" s="958" t="s">
        <v>759</v>
      </c>
      <c r="G172" s="337" t="s">
        <v>76</v>
      </c>
      <c r="H172" s="303" t="s">
        <v>279</v>
      </c>
      <c r="I172" s="985">
        <v>44587</v>
      </c>
      <c r="J172" s="283" t="e">
        <f ca="1">IF(ISBLANK(H172),"",ifS(H172="A",DATEVALUE(I172)+90,H172="B",DATEVALUE(I172)+60,H172="C",DATEVALUE(I172)+30))</f>
        <v>#NAME?</v>
      </c>
      <c r="K172" s="307">
        <v>9002071856</v>
      </c>
      <c r="L172" s="307">
        <v>9002071856</v>
      </c>
      <c r="M172" s="276" t="s">
        <v>253</v>
      </c>
      <c r="N172" s="307" t="s">
        <v>103</v>
      </c>
      <c r="O172" s="278">
        <v>22680</v>
      </c>
      <c r="P172" s="315">
        <v>44620</v>
      </c>
      <c r="Q172" s="278">
        <v>44615</v>
      </c>
      <c r="R172" s="921">
        <v>44350</v>
      </c>
      <c r="S172" s="302">
        <v>45397</v>
      </c>
      <c r="T172" s="285"/>
      <c r="U172" s="285"/>
      <c r="V172" s="318" t="s">
        <v>1440</v>
      </c>
      <c r="W172" s="318" t="s">
        <v>1440</v>
      </c>
      <c r="X172" s="285">
        <f>LEN(D172)</f>
        <v>11</v>
      </c>
      <c r="Y172" s="3"/>
      <c r="Z172" s="3"/>
      <c r="AA172" s="3"/>
      <c r="AB172" s="79"/>
      <c r="AC172" s="79"/>
      <c r="AD172" s="311">
        <f ca="1">INT((TODAY()-O172)/365)</f>
        <v>64</v>
      </c>
    </row>
    <row r="173" spans="1:39">
      <c r="A173" s="197">
        <v>7</v>
      </c>
      <c r="B173" s="197" t="s">
        <v>1441</v>
      </c>
      <c r="C173" s="838" t="s">
        <v>31</v>
      </c>
      <c r="D173" s="90"/>
      <c r="E173" s="941" t="s">
        <v>1442</v>
      </c>
      <c r="F173" s="137" t="s">
        <v>485</v>
      </c>
      <c r="G173" s="466">
        <v>22681</v>
      </c>
      <c r="H173" s="466">
        <v>44620</v>
      </c>
      <c r="I173" s="650" t="s">
        <v>261</v>
      </c>
      <c r="J173" s="137" t="s">
        <v>76</v>
      </c>
      <c r="K173" s="90"/>
    </row>
    <row r="174" spans="1:39">
      <c r="A174" s="987">
        <v>15</v>
      </c>
      <c r="B174" s="922" t="s">
        <v>1443</v>
      </c>
      <c r="C174" s="923" t="s">
        <v>543</v>
      </c>
      <c r="D174" s="924">
        <v>50205274576</v>
      </c>
      <c r="E174" s="18" t="s">
        <v>1444</v>
      </c>
      <c r="F174" s="574" t="s">
        <v>23</v>
      </c>
      <c r="G174" s="476">
        <v>22690</v>
      </c>
      <c r="H174" s="476">
        <v>44620</v>
      </c>
      <c r="I174" s="18">
        <v>9002071004</v>
      </c>
      <c r="J174" s="18" t="s">
        <v>76</v>
      </c>
      <c r="K174" s="90"/>
    </row>
    <row r="175" spans="1:39">
      <c r="A175" s="231">
        <v>4</v>
      </c>
      <c r="B175" s="882" t="s">
        <v>1445</v>
      </c>
      <c r="C175" s="235" t="s">
        <v>76</v>
      </c>
      <c r="D175" s="883" t="s">
        <v>137</v>
      </c>
      <c r="E175" s="235">
        <v>533943</v>
      </c>
      <c r="F175" s="233" t="s">
        <v>1446</v>
      </c>
      <c r="G175" s="884">
        <v>44620</v>
      </c>
      <c r="H175" s="233" t="s">
        <v>1436</v>
      </c>
      <c r="I175" s="233" t="s">
        <v>1163</v>
      </c>
      <c r="J175" s="237" t="s">
        <v>1437</v>
      </c>
      <c r="K175" s="238" t="s">
        <v>142</v>
      </c>
      <c r="L175" s="986"/>
    </row>
    <row r="176" spans="1:39">
      <c r="A176" s="90"/>
      <c r="C176" s="89"/>
      <c r="F176" s="90"/>
      <c r="I176" s="90"/>
      <c r="J176" s="90"/>
      <c r="L176" s="90"/>
    </row>
    <row r="177" spans="1:39">
      <c r="A177" s="980">
        <v>9</v>
      </c>
      <c r="B177" s="971" t="s">
        <v>1447</v>
      </c>
      <c r="C177" s="223" t="s">
        <v>22</v>
      </c>
      <c r="D177" s="972">
        <v>3329804067</v>
      </c>
      <c r="E177" s="973" t="s">
        <v>1448</v>
      </c>
      <c r="F177" s="137" t="s">
        <v>759</v>
      </c>
      <c r="G177" s="18" t="s">
        <v>78</v>
      </c>
      <c r="H177" s="275"/>
      <c r="I177" s="283"/>
      <c r="J177" s="988" t="str">
        <f>IF(ISBLANK(H177),"",ifS(H177="A",DATEVALUE(I177)+90,H177="B",DATEVALUE(I177)+60,H177="C",DATEVALUE(I177)+30))</f>
        <v/>
      </c>
      <c r="K177" s="18">
        <v>9785778747</v>
      </c>
      <c r="L177" s="18">
        <v>9785778747</v>
      </c>
      <c r="M177" s="18" t="s">
        <v>315</v>
      </c>
      <c r="N177" s="274" t="s">
        <v>267</v>
      </c>
      <c r="O177" s="532">
        <v>34619</v>
      </c>
      <c r="P177" s="532">
        <v>56553</v>
      </c>
      <c r="Q177" s="440">
        <v>45127</v>
      </c>
      <c r="R177" s="418">
        <v>45459</v>
      </c>
      <c r="S177" s="418">
        <v>45382</v>
      </c>
      <c r="T177" s="281" t="s">
        <v>1449</v>
      </c>
      <c r="U177" s="338" t="s">
        <v>1450</v>
      </c>
      <c r="V177" s="280"/>
      <c r="W177" s="280"/>
      <c r="X177" s="280"/>
      <c r="Y177" s="208">
        <f ca="1">INT((TODAY()-O177)/365)</f>
        <v>31</v>
      </c>
    </row>
    <row r="178" spans="1:39" ht="15.75">
      <c r="A178" s="335">
        <v>66</v>
      </c>
      <c r="B178" s="989" t="s">
        <v>1451</v>
      </c>
      <c r="C178" s="990" t="s">
        <v>21</v>
      </c>
      <c r="D178" s="991">
        <v>50203187731</v>
      </c>
      <c r="E178" s="527" t="s">
        <v>1452</v>
      </c>
      <c r="F178" s="970" t="s">
        <v>759</v>
      </c>
      <c r="G178" s="656" t="s">
        <v>77</v>
      </c>
      <c r="H178" s="334"/>
      <c r="I178" s="992">
        <v>9733239582</v>
      </c>
      <c r="J178" s="327"/>
      <c r="K178" s="275" t="s">
        <v>290</v>
      </c>
      <c r="L178" s="993" t="s">
        <v>1331</v>
      </c>
      <c r="M178" s="994">
        <v>28426</v>
      </c>
      <c r="N178" s="995">
        <v>50344</v>
      </c>
      <c r="O178" s="933">
        <v>45189</v>
      </c>
      <c r="P178" s="933">
        <v>45094</v>
      </c>
      <c r="Q178" s="915">
        <v>44887</v>
      </c>
      <c r="R178" s="374"/>
      <c r="S178" s="334"/>
      <c r="T178" s="996"/>
      <c r="U178" s="334"/>
      <c r="V178" s="335" t="s">
        <v>1453</v>
      </c>
      <c r="W178" s="334"/>
      <c r="X178" s="334"/>
      <c r="Y178" s="334"/>
      <c r="Z178" s="334"/>
      <c r="AA178" s="334"/>
      <c r="AB178" s="334"/>
      <c r="AC178" s="334"/>
      <c r="AD178" s="334"/>
      <c r="AE178" s="334"/>
      <c r="AF178" s="199"/>
      <c r="AG178" s="199"/>
      <c r="AH178" s="199"/>
    </row>
    <row r="179" spans="1:39">
      <c r="A179" s="980">
        <v>36</v>
      </c>
      <c r="B179" s="971" t="s">
        <v>1454</v>
      </c>
      <c r="C179" s="223" t="s">
        <v>22</v>
      </c>
      <c r="D179" s="972">
        <v>3329804084</v>
      </c>
      <c r="E179" s="973" t="s">
        <v>1455</v>
      </c>
      <c r="F179" s="137" t="s">
        <v>759</v>
      </c>
      <c r="G179" s="18" t="s">
        <v>78</v>
      </c>
      <c r="H179" s="275"/>
      <c r="I179" s="283"/>
      <c r="J179" s="988" t="str">
        <f t="shared" ref="J179:J180" si="28">IF(ISBLANK(H179),"",ifS(H179="A",DATEVALUE(I179)+90,H179="B",DATEVALUE(I179)+60,H179="C",DATEVALUE(I179)+30))</f>
        <v/>
      </c>
      <c r="K179" s="18">
        <v>7726085902</v>
      </c>
      <c r="L179" s="18">
        <v>7726085902</v>
      </c>
      <c r="M179" s="18" t="s">
        <v>315</v>
      </c>
      <c r="N179" s="274" t="s">
        <v>256</v>
      </c>
      <c r="O179" s="418">
        <v>33330</v>
      </c>
      <c r="P179" s="418">
        <v>55273</v>
      </c>
      <c r="Q179" s="428">
        <v>45143</v>
      </c>
      <c r="R179" s="418">
        <v>45459</v>
      </c>
      <c r="S179" s="418">
        <v>45382</v>
      </c>
      <c r="T179" s="281" t="s">
        <v>1456</v>
      </c>
      <c r="U179" s="280"/>
      <c r="V179" s="280"/>
      <c r="W179" s="280"/>
      <c r="X179" s="280"/>
      <c r="Y179" s="208">
        <f t="shared" ref="Y179:Y180" ca="1" si="29">INT((TODAY()-O179)/365)</f>
        <v>34</v>
      </c>
    </row>
    <row r="180" spans="1:39" ht="15.75">
      <c r="A180" s="980">
        <v>17</v>
      </c>
      <c r="B180" s="971" t="s">
        <v>1457</v>
      </c>
      <c r="C180" s="223" t="s">
        <v>22</v>
      </c>
      <c r="D180" s="972">
        <v>3329804069</v>
      </c>
      <c r="E180" s="973" t="s">
        <v>1458</v>
      </c>
      <c r="F180" s="943" t="s">
        <v>759</v>
      </c>
      <c r="G180" s="18" t="s">
        <v>78</v>
      </c>
      <c r="H180" s="275"/>
      <c r="I180" s="283"/>
      <c r="J180" s="988" t="str">
        <f t="shared" si="28"/>
        <v/>
      </c>
      <c r="K180" s="18">
        <v>7877574737</v>
      </c>
      <c r="L180" s="18">
        <v>7877574737</v>
      </c>
      <c r="M180" s="18" t="s">
        <v>315</v>
      </c>
      <c r="N180" s="18" t="s">
        <v>93</v>
      </c>
      <c r="O180" s="532">
        <v>36093</v>
      </c>
      <c r="P180" s="532">
        <v>58014</v>
      </c>
      <c r="Q180" s="440">
        <v>45104</v>
      </c>
      <c r="R180" s="418">
        <v>45459</v>
      </c>
      <c r="S180" s="418">
        <v>45382</v>
      </c>
      <c r="T180" s="281" t="s">
        <v>1459</v>
      </c>
      <c r="U180" s="280"/>
      <c r="V180" s="280"/>
      <c r="W180" s="280"/>
      <c r="X180" s="280"/>
      <c r="Y180" s="208">
        <f t="shared" ca="1" si="29"/>
        <v>27</v>
      </c>
    </row>
    <row r="181" spans="1:39">
      <c r="A181" s="90"/>
      <c r="C181" s="89"/>
      <c r="F181" s="90"/>
      <c r="I181" s="90"/>
      <c r="J181" s="90"/>
      <c r="L181" s="90"/>
    </row>
    <row r="182" spans="1:39">
      <c r="A182" s="197">
        <v>17</v>
      </c>
      <c r="B182" s="197" t="s">
        <v>1460</v>
      </c>
      <c r="C182" s="838" t="s">
        <v>137</v>
      </c>
      <c r="D182" s="90"/>
      <c r="E182" s="941" t="s">
        <v>1461</v>
      </c>
      <c r="F182" s="137" t="s">
        <v>440</v>
      </c>
      <c r="G182" s="466">
        <v>22737</v>
      </c>
      <c r="H182" s="466">
        <v>44651</v>
      </c>
      <c r="I182" s="686" t="s">
        <v>253</v>
      </c>
      <c r="J182" s="137" t="s">
        <v>76</v>
      </c>
      <c r="K182" s="90"/>
    </row>
    <row r="183" spans="1:39" ht="15.75" customHeight="1">
      <c r="A183" s="936">
        <v>137</v>
      </c>
      <c r="B183" s="293" t="s">
        <v>1462</v>
      </c>
      <c r="C183" s="293" t="s">
        <v>31</v>
      </c>
      <c r="D183" s="284">
        <v>50205335991</v>
      </c>
      <c r="E183" s="303" t="s">
        <v>1463</v>
      </c>
      <c r="F183" s="274" t="s">
        <v>759</v>
      </c>
      <c r="G183" s="303" t="s">
        <v>76</v>
      </c>
      <c r="H183" s="274" t="s">
        <v>279</v>
      </c>
      <c r="I183" s="997">
        <v>44565</v>
      </c>
      <c r="J183" s="988" t="e">
        <f t="shared" ref="J183:J186" ca="1" si="30">IF(ISBLANK(H183),"",ifS(H183="A",DATEVALUE(I183)+90,H183="B",DATEVALUE(I183)+60,H183="C",DATEVALUE(I183)+30))</f>
        <v>#NAME?</v>
      </c>
      <c r="K183" s="293">
        <v>9002071626</v>
      </c>
      <c r="L183" s="284">
        <v>8561727421</v>
      </c>
      <c r="M183" s="293" t="s">
        <v>261</v>
      </c>
      <c r="N183" s="275" t="s">
        <v>294</v>
      </c>
      <c r="O183" s="272">
        <v>22709</v>
      </c>
      <c r="P183" s="289">
        <v>44651</v>
      </c>
      <c r="Q183" s="272">
        <v>44916</v>
      </c>
      <c r="R183" s="315">
        <v>45222</v>
      </c>
      <c r="S183" s="272">
        <v>45142</v>
      </c>
      <c r="T183" s="294"/>
      <c r="U183" s="295"/>
      <c r="V183" s="296" t="s">
        <v>1464</v>
      </c>
      <c r="W183" s="296" t="s">
        <v>1464</v>
      </c>
      <c r="X183" s="297">
        <f t="shared" ref="X183:X184" si="31">LEN(TEXT(D183,0))</f>
        <v>11</v>
      </c>
      <c r="Y183" s="208">
        <f t="shared" ref="Y183:Y184" ca="1" si="32">INT((TODAY()-O183)/365)</f>
        <v>64</v>
      </c>
      <c r="Z183" s="298"/>
      <c r="AA183" s="298"/>
      <c r="AB183" s="298"/>
      <c r="AC183" s="298"/>
      <c r="AD183" s="298"/>
      <c r="AE183" s="298"/>
      <c r="AF183" s="298"/>
      <c r="AG183" s="298"/>
      <c r="AH183" s="298"/>
      <c r="AI183" s="298"/>
      <c r="AJ183" s="298"/>
      <c r="AK183" s="298"/>
      <c r="AL183" s="298"/>
      <c r="AM183" s="298"/>
    </row>
    <row r="184" spans="1:39" ht="15.75" customHeight="1">
      <c r="A184" s="936">
        <v>82</v>
      </c>
      <c r="B184" s="293" t="s">
        <v>1465</v>
      </c>
      <c r="C184" s="293" t="s">
        <v>31</v>
      </c>
      <c r="D184" s="284">
        <v>50205267596</v>
      </c>
      <c r="E184" s="303" t="s">
        <v>1466</v>
      </c>
      <c r="F184" s="274" t="s">
        <v>759</v>
      </c>
      <c r="G184" s="303" t="s">
        <v>76</v>
      </c>
      <c r="H184" s="274" t="s">
        <v>279</v>
      </c>
      <c r="I184" s="283"/>
      <c r="J184" s="988" t="e">
        <f t="shared" ca="1" si="30"/>
        <v>#NAME?</v>
      </c>
      <c r="K184" s="293">
        <v>9002071028</v>
      </c>
      <c r="L184" s="275"/>
      <c r="M184" s="293" t="s">
        <v>261</v>
      </c>
      <c r="N184" s="275" t="s">
        <v>1043</v>
      </c>
      <c r="O184" s="289">
        <v>22729</v>
      </c>
      <c r="P184" s="289">
        <v>44651</v>
      </c>
      <c r="Q184" s="272"/>
      <c r="R184" s="279">
        <v>45212</v>
      </c>
      <c r="S184" s="279">
        <v>45108</v>
      </c>
      <c r="T184" s="998" t="s">
        <v>1467</v>
      </c>
      <c r="U184" s="295"/>
      <c r="V184" s="296" t="s">
        <v>1468</v>
      </c>
      <c r="W184" s="296" t="s">
        <v>1468</v>
      </c>
      <c r="X184" s="297">
        <f t="shared" si="31"/>
        <v>11</v>
      </c>
      <c r="Y184" s="208">
        <f t="shared" ca="1" si="32"/>
        <v>64</v>
      </c>
      <c r="Z184" s="298"/>
      <c r="AJ184" s="298"/>
      <c r="AK184" s="298"/>
      <c r="AL184" s="298"/>
      <c r="AM184" s="298"/>
    </row>
    <row r="185" spans="1:39" ht="15.75" customHeight="1">
      <c r="A185" s="893">
        <v>66</v>
      </c>
      <c r="B185" s="293" t="s">
        <v>1469</v>
      </c>
      <c r="C185" s="293" t="s">
        <v>31</v>
      </c>
      <c r="D185" s="999">
        <v>50205384771</v>
      </c>
      <c r="E185" s="303" t="s">
        <v>1470</v>
      </c>
      <c r="F185" s="18" t="s">
        <v>759</v>
      </c>
      <c r="G185" s="303" t="s">
        <v>76</v>
      </c>
      <c r="H185" s="274" t="s">
        <v>279</v>
      </c>
      <c r="I185" s="1000">
        <v>44566</v>
      </c>
      <c r="J185" s="988" t="e">
        <f t="shared" ca="1" si="30"/>
        <v>#NAME?</v>
      </c>
      <c r="K185" s="275">
        <v>9002071677</v>
      </c>
      <c r="L185" s="690">
        <v>9002071677</v>
      </c>
      <c r="M185" s="275" t="s">
        <v>290</v>
      </c>
      <c r="N185" s="274" t="s">
        <v>103</v>
      </c>
      <c r="O185" s="272">
        <v>22711</v>
      </c>
      <c r="P185" s="272">
        <v>44651</v>
      </c>
      <c r="Q185" s="272">
        <v>44882</v>
      </c>
      <c r="R185" s="279">
        <v>44598</v>
      </c>
      <c r="S185" s="302">
        <v>45705</v>
      </c>
      <c r="U185" s="309"/>
      <c r="V185" s="309"/>
      <c r="W185" s="310" t="s">
        <v>1471</v>
      </c>
      <c r="X185" s="311">
        <f>LEN(D185)</f>
        <v>11</v>
      </c>
      <c r="Y185" s="311"/>
      <c r="Z185" s="208">
        <f ca="1">INT((TODAY()-O185)/365)</f>
        <v>64</v>
      </c>
      <c r="AA185" s="311"/>
      <c r="AB185" s="311"/>
      <c r="AC185" s="311"/>
      <c r="AD185" s="311"/>
      <c r="AE185" s="311"/>
      <c r="AF185" s="311"/>
      <c r="AG185" s="311"/>
      <c r="AH185" s="311"/>
      <c r="AI185" s="311"/>
      <c r="AJ185" s="311"/>
      <c r="AK185" s="311"/>
      <c r="AL185" s="311"/>
      <c r="AM185" s="311"/>
    </row>
    <row r="186" spans="1:39" ht="15.75" customHeight="1">
      <c r="A186" s="1001">
        <v>48</v>
      </c>
      <c r="B186" s="293" t="s">
        <v>1472</v>
      </c>
      <c r="C186" s="1002" t="s">
        <v>31</v>
      </c>
      <c r="D186" s="1003">
        <v>50205336612</v>
      </c>
      <c r="E186" s="1004" t="s">
        <v>1473</v>
      </c>
      <c r="F186" s="624" t="s">
        <v>759</v>
      </c>
      <c r="G186" s="303" t="s">
        <v>76</v>
      </c>
      <c r="H186" s="274" t="s">
        <v>279</v>
      </c>
      <c r="I186" s="997">
        <v>44576</v>
      </c>
      <c r="J186" s="988" t="e">
        <f t="shared" ca="1" si="30"/>
        <v>#NAME?</v>
      </c>
      <c r="K186" s="275">
        <v>9002071688</v>
      </c>
      <c r="L186" s="415">
        <v>9002071635</v>
      </c>
      <c r="M186" s="275" t="s">
        <v>330</v>
      </c>
      <c r="N186" s="275" t="s">
        <v>43</v>
      </c>
      <c r="O186" s="272">
        <v>24584</v>
      </c>
      <c r="P186" s="272">
        <v>46507</v>
      </c>
      <c r="Q186" s="272">
        <v>44901</v>
      </c>
      <c r="R186" s="279">
        <v>44626</v>
      </c>
      <c r="S186" s="302">
        <v>45705</v>
      </c>
      <c r="T186" s="485"/>
      <c r="U186" s="485"/>
      <c r="V186" s="486" t="s">
        <v>1474</v>
      </c>
      <c r="W186" s="486" t="s">
        <v>1474</v>
      </c>
      <c r="X186" s="485">
        <f>LEN(TEXT(D186,0))</f>
        <v>11</v>
      </c>
      <c r="Y186" s="388">
        <f ca="1">INT((TODAY()-O186)/365)</f>
        <v>58</v>
      </c>
      <c r="Z186" s="208"/>
      <c r="AA186" s="3"/>
      <c r="AB186" s="79"/>
      <c r="AC186" s="79"/>
      <c r="AD186" s="311"/>
      <c r="AE186" s="311"/>
      <c r="AF186" s="311"/>
      <c r="AG186" s="311"/>
    </row>
    <row r="187" spans="1:39">
      <c r="A187" s="662">
        <v>22</v>
      </c>
      <c r="B187" s="334" t="s">
        <v>1475</v>
      </c>
      <c r="C187" s="902" t="s">
        <v>1476</v>
      </c>
      <c r="D187" s="1005" t="s">
        <v>827</v>
      </c>
      <c r="E187" s="904" t="s">
        <v>823</v>
      </c>
      <c r="F187" s="662" t="s">
        <v>11</v>
      </c>
      <c r="G187" s="662">
        <v>50205359181</v>
      </c>
      <c r="H187" s="905">
        <v>22705</v>
      </c>
      <c r="I187" s="368">
        <v>44620</v>
      </c>
      <c r="J187" s="905">
        <v>32556</v>
      </c>
      <c r="K187" s="712"/>
    </row>
    <row r="188" spans="1:39" ht="15.75">
      <c r="A188" s="926">
        <v>19</v>
      </c>
      <c r="B188" s="971" t="s">
        <v>1477</v>
      </c>
      <c r="C188" s="223" t="s">
        <v>22</v>
      </c>
      <c r="D188" s="972">
        <v>3329804083</v>
      </c>
      <c r="E188" s="973" t="s">
        <v>1478</v>
      </c>
      <c r="F188" s="943" t="s">
        <v>759</v>
      </c>
      <c r="G188" s="18" t="s">
        <v>78</v>
      </c>
      <c r="H188" s="275"/>
      <c r="I188" s="90"/>
      <c r="J188" s="988" t="str">
        <f>IF(ISBLANK(H188),"",ifS(H188="A",DATEVALUE(I196)+90,H188="B",DATEVALUE(I196)+60,H188="C",DATEVALUE(I196)+30))</f>
        <v/>
      </c>
      <c r="K188" s="18">
        <v>8947090001</v>
      </c>
      <c r="L188" s="18">
        <v>8947090001</v>
      </c>
      <c r="M188" s="18" t="s">
        <v>315</v>
      </c>
      <c r="N188" s="18" t="s">
        <v>1043</v>
      </c>
      <c r="O188" s="418">
        <v>34550</v>
      </c>
      <c r="P188" s="418">
        <v>56492</v>
      </c>
      <c r="Q188" s="440">
        <v>45127</v>
      </c>
      <c r="R188" s="418">
        <v>45459</v>
      </c>
      <c r="S188" s="418">
        <v>45382</v>
      </c>
      <c r="T188" s="281" t="s">
        <v>1479</v>
      </c>
      <c r="U188" s="338" t="s">
        <v>1480</v>
      </c>
      <c r="V188" s="280"/>
      <c r="W188" s="280"/>
      <c r="X188" s="280"/>
      <c r="Y188" s="208">
        <f t="shared" ref="Y188:Y191" ca="1" si="33">INT((TODAY()-O188)/365)</f>
        <v>31</v>
      </c>
    </row>
    <row r="189" spans="1:39" ht="15.75">
      <c r="A189" s="926">
        <v>43</v>
      </c>
      <c r="B189" s="971" t="s">
        <v>1481</v>
      </c>
      <c r="C189" s="223" t="s">
        <v>22</v>
      </c>
      <c r="D189" s="972">
        <v>3329804066</v>
      </c>
      <c r="E189" s="973" t="s">
        <v>1482</v>
      </c>
      <c r="F189" s="965" t="s">
        <v>759</v>
      </c>
      <c r="G189" s="18" t="s">
        <v>78</v>
      </c>
      <c r="H189" s="275"/>
      <c r="I189" s="283"/>
      <c r="J189" s="988" t="str">
        <f t="shared" ref="J189:J195" si="34">IF(ISBLANK(H189),"",ifS(H189="A",DATEVALUE(I189)+90,H189="B",DATEVALUE(I189)+60,H189="C",DATEVALUE(I189)+30))</f>
        <v/>
      </c>
      <c r="K189" s="18">
        <v>7737188908</v>
      </c>
      <c r="L189" s="18">
        <v>7737188908</v>
      </c>
      <c r="M189" s="18" t="s">
        <v>315</v>
      </c>
      <c r="N189" s="18" t="s">
        <v>94</v>
      </c>
      <c r="O189" s="440">
        <v>33805</v>
      </c>
      <c r="P189" s="440">
        <v>55731</v>
      </c>
      <c r="Q189" s="440">
        <v>45127</v>
      </c>
      <c r="R189" s="418">
        <v>45459</v>
      </c>
      <c r="S189" s="418">
        <v>45382</v>
      </c>
      <c r="T189" s="281" t="s">
        <v>1483</v>
      </c>
      <c r="U189" s="338" t="s">
        <v>1484</v>
      </c>
      <c r="V189" s="280"/>
      <c r="W189" s="280"/>
      <c r="X189" s="280"/>
      <c r="Y189" s="208">
        <f t="shared" ca="1" si="33"/>
        <v>33</v>
      </c>
      <c r="Z189" s="79"/>
      <c r="AA189" s="79"/>
      <c r="AB189" s="79"/>
      <c r="AC189" s="79"/>
      <c r="AD189" s="79"/>
      <c r="AE189" s="79"/>
      <c r="AF189" s="79"/>
      <c r="AG189" s="79"/>
    </row>
    <row r="190" spans="1:39" ht="15.75">
      <c r="A190" s="980">
        <v>30</v>
      </c>
      <c r="B190" s="971" t="s">
        <v>1485</v>
      </c>
      <c r="C190" s="223" t="s">
        <v>22</v>
      </c>
      <c r="D190" s="972">
        <v>3329804087</v>
      </c>
      <c r="E190" s="973" t="s">
        <v>1486</v>
      </c>
      <c r="F190" s="943" t="s">
        <v>759</v>
      </c>
      <c r="G190" s="18" t="s">
        <v>78</v>
      </c>
      <c r="H190" s="275"/>
      <c r="I190" s="283"/>
      <c r="J190" s="988" t="str">
        <f t="shared" si="34"/>
        <v/>
      </c>
      <c r="K190" s="18">
        <v>7891318719</v>
      </c>
      <c r="L190" s="18">
        <v>7891318719</v>
      </c>
      <c r="M190" s="18" t="s">
        <v>315</v>
      </c>
      <c r="N190" s="274" t="s">
        <v>342</v>
      </c>
      <c r="O190" s="418">
        <v>34160</v>
      </c>
      <c r="P190" s="418">
        <v>56096</v>
      </c>
      <c r="Q190" s="428">
        <v>45104</v>
      </c>
      <c r="R190" s="981">
        <v>45459</v>
      </c>
      <c r="S190" s="981">
        <v>45382</v>
      </c>
      <c r="T190" s="281" t="s">
        <v>1487</v>
      </c>
      <c r="U190" s="338" t="s">
        <v>1488</v>
      </c>
      <c r="V190" s="280"/>
      <c r="W190" s="280"/>
      <c r="X190" s="280"/>
      <c r="Y190" s="208">
        <f t="shared" ca="1" si="33"/>
        <v>32</v>
      </c>
    </row>
    <row r="191" spans="1:39">
      <c r="A191" s="980">
        <v>6</v>
      </c>
      <c r="B191" s="971" t="s">
        <v>1489</v>
      </c>
      <c r="C191" s="223" t="s">
        <v>22</v>
      </c>
      <c r="D191" s="972">
        <v>3329804076</v>
      </c>
      <c r="E191" s="973" t="s">
        <v>1490</v>
      </c>
      <c r="F191" s="137" t="s">
        <v>759</v>
      </c>
      <c r="G191" s="18" t="s">
        <v>78</v>
      </c>
      <c r="H191" s="275"/>
      <c r="I191" s="283"/>
      <c r="J191" s="988" t="str">
        <f t="shared" si="34"/>
        <v/>
      </c>
      <c r="K191" s="18">
        <v>9785830005</v>
      </c>
      <c r="L191" s="18">
        <v>9785830005</v>
      </c>
      <c r="M191" s="18" t="s">
        <v>315</v>
      </c>
      <c r="N191" s="18" t="s">
        <v>97</v>
      </c>
      <c r="O191" s="418">
        <v>33639</v>
      </c>
      <c r="P191" s="418">
        <v>55578</v>
      </c>
      <c r="Q191" s="440">
        <v>45103</v>
      </c>
      <c r="R191" s="418">
        <v>45459</v>
      </c>
      <c r="S191" s="418">
        <v>45382</v>
      </c>
      <c r="T191" s="281" t="s">
        <v>1491</v>
      </c>
      <c r="U191" s="338" t="s">
        <v>1492</v>
      </c>
      <c r="V191" s="280"/>
      <c r="W191" s="280"/>
      <c r="X191" s="280"/>
      <c r="Y191" s="208">
        <f t="shared" ca="1" si="33"/>
        <v>34</v>
      </c>
    </row>
    <row r="192" spans="1:39" ht="15.75" customHeight="1">
      <c r="A192" s="1006">
        <v>27</v>
      </c>
      <c r="B192" s="426" t="s">
        <v>1493</v>
      </c>
      <c r="C192" s="223" t="s">
        <v>22</v>
      </c>
      <c r="D192" s="972">
        <v>50205680359</v>
      </c>
      <c r="E192" s="18" t="s">
        <v>1494</v>
      </c>
      <c r="F192" s="1007" t="s">
        <v>759</v>
      </c>
      <c r="G192" s="18" t="s">
        <v>76</v>
      </c>
      <c r="H192" s="275"/>
      <c r="I192" s="1000"/>
      <c r="J192" s="988" t="str">
        <f t="shared" si="34"/>
        <v/>
      </c>
      <c r="K192" s="432">
        <v>9749293652</v>
      </c>
      <c r="L192" s="209"/>
      <c r="M192" s="275" t="s">
        <v>290</v>
      </c>
      <c r="N192" s="18" t="s">
        <v>44</v>
      </c>
      <c r="O192" s="418">
        <v>34471</v>
      </c>
      <c r="P192" s="418">
        <v>56400</v>
      </c>
      <c r="Q192" s="320">
        <v>45117</v>
      </c>
      <c r="R192" s="272">
        <v>45082</v>
      </c>
      <c r="S192" s="424">
        <v>44974</v>
      </c>
      <c r="T192" s="429" t="s">
        <v>1495</v>
      </c>
      <c r="U192" s="853" t="s">
        <v>1496</v>
      </c>
      <c r="V192" s="430"/>
      <c r="W192" s="430"/>
      <c r="Z192" s="208">
        <f ca="1">INT((TODAY()-O192)/365)</f>
        <v>31</v>
      </c>
      <c r="AA192" s="311"/>
      <c r="AB192" s="311"/>
      <c r="AC192" s="311"/>
      <c r="AD192" s="311"/>
      <c r="AE192" s="311"/>
      <c r="AF192" s="311"/>
      <c r="AG192" s="311"/>
      <c r="AH192" s="311"/>
      <c r="AI192" s="311"/>
      <c r="AJ192" s="311"/>
      <c r="AK192" s="311"/>
      <c r="AL192" s="311"/>
      <c r="AM192" s="311"/>
    </row>
    <row r="193" spans="1:34" ht="15.75">
      <c r="A193" s="980">
        <v>41</v>
      </c>
      <c r="B193" s="971" t="s">
        <v>1497</v>
      </c>
      <c r="C193" s="223" t="s">
        <v>22</v>
      </c>
      <c r="D193" s="972">
        <v>3329804065</v>
      </c>
      <c r="E193" s="973" t="s">
        <v>1498</v>
      </c>
      <c r="F193" s="965" t="s">
        <v>759</v>
      </c>
      <c r="G193" s="18" t="s">
        <v>78</v>
      </c>
      <c r="H193" s="275"/>
      <c r="I193" s="283"/>
      <c r="J193" s="988" t="str">
        <f t="shared" si="34"/>
        <v/>
      </c>
      <c r="K193" s="18">
        <v>9119130248</v>
      </c>
      <c r="L193" s="18">
        <v>9119130248</v>
      </c>
      <c r="M193" s="18" t="s">
        <v>315</v>
      </c>
      <c r="N193" s="18" t="s">
        <v>43</v>
      </c>
      <c r="O193" s="418">
        <v>34731</v>
      </c>
      <c r="P193" s="418">
        <v>56645</v>
      </c>
      <c r="Q193" s="428">
        <v>45143</v>
      </c>
      <c r="R193" s="418">
        <v>45459</v>
      </c>
      <c r="S193" s="418">
        <v>45382</v>
      </c>
      <c r="T193" s="281" t="s">
        <v>1483</v>
      </c>
      <c r="U193" s="338" t="s">
        <v>1499</v>
      </c>
      <c r="V193" s="280"/>
      <c r="W193" s="280"/>
      <c r="X193" s="280"/>
      <c r="Y193" s="208">
        <f t="shared" ref="Y193:Y195" ca="1" si="35">INT((TODAY()-O193)/365)</f>
        <v>31</v>
      </c>
      <c r="Z193" s="79"/>
      <c r="AA193" s="79"/>
      <c r="AB193" s="79"/>
      <c r="AC193" s="79"/>
      <c r="AD193" s="79"/>
      <c r="AE193" s="79"/>
      <c r="AF193" s="79"/>
      <c r="AG193" s="79"/>
    </row>
    <row r="194" spans="1:34">
      <c r="A194" s="926">
        <v>37</v>
      </c>
      <c r="B194" s="971" t="s">
        <v>1500</v>
      </c>
      <c r="C194" s="223" t="s">
        <v>22</v>
      </c>
      <c r="D194" s="972">
        <v>3329804086</v>
      </c>
      <c r="E194" s="973" t="s">
        <v>1501</v>
      </c>
      <c r="F194" s="137" t="s">
        <v>759</v>
      </c>
      <c r="G194" s="18" t="s">
        <v>78</v>
      </c>
      <c r="H194" s="275"/>
      <c r="I194" s="283"/>
      <c r="J194" s="988" t="str">
        <f t="shared" si="34"/>
        <v/>
      </c>
      <c r="K194" s="18">
        <v>7374020524</v>
      </c>
      <c r="L194" s="18">
        <v>7374020524</v>
      </c>
      <c r="M194" s="18" t="s">
        <v>315</v>
      </c>
      <c r="N194" s="18" t="s">
        <v>100</v>
      </c>
      <c r="O194" s="418">
        <v>34155</v>
      </c>
      <c r="P194" s="418">
        <v>56096</v>
      </c>
      <c r="Q194" s="428">
        <v>45098</v>
      </c>
      <c r="R194" s="418">
        <v>45459</v>
      </c>
      <c r="S194" s="418">
        <v>45382</v>
      </c>
      <c r="T194" s="281" t="s">
        <v>1502</v>
      </c>
      <c r="U194" s="338" t="s">
        <v>1503</v>
      </c>
      <c r="V194" s="280"/>
      <c r="W194" s="280"/>
      <c r="X194" s="280"/>
      <c r="Y194" s="208">
        <f t="shared" ca="1" si="35"/>
        <v>32</v>
      </c>
    </row>
    <row r="195" spans="1:34" ht="15.75">
      <c r="A195" s="980">
        <v>44</v>
      </c>
      <c r="B195" s="971" t="s">
        <v>1504</v>
      </c>
      <c r="C195" s="223" t="s">
        <v>22</v>
      </c>
      <c r="D195" s="972">
        <v>3329804079</v>
      </c>
      <c r="E195" s="973" t="s">
        <v>1505</v>
      </c>
      <c r="F195" s="965" t="s">
        <v>759</v>
      </c>
      <c r="G195" s="18" t="s">
        <v>78</v>
      </c>
      <c r="H195" s="275"/>
      <c r="I195" s="283"/>
      <c r="J195" s="988" t="str">
        <f t="shared" si="34"/>
        <v/>
      </c>
      <c r="K195" s="18">
        <v>8058119194</v>
      </c>
      <c r="L195" s="18">
        <v>8058119194</v>
      </c>
      <c r="M195" s="18" t="s">
        <v>315</v>
      </c>
      <c r="N195" s="274" t="s">
        <v>351</v>
      </c>
      <c r="O195" s="418">
        <v>34877</v>
      </c>
      <c r="P195" s="418">
        <v>56795</v>
      </c>
      <c r="Q195" s="428">
        <v>45103</v>
      </c>
      <c r="R195" s="418">
        <v>45459</v>
      </c>
      <c r="S195" s="418">
        <v>45382</v>
      </c>
      <c r="T195" s="281" t="s">
        <v>1506</v>
      </c>
      <c r="U195" s="338" t="s">
        <v>1507</v>
      </c>
      <c r="V195" s="280"/>
      <c r="W195" s="280"/>
      <c r="X195" s="280"/>
      <c r="Y195" s="208">
        <f t="shared" ca="1" si="35"/>
        <v>30</v>
      </c>
      <c r="Z195" s="79"/>
      <c r="AA195" s="79"/>
      <c r="AB195" s="79"/>
      <c r="AC195" s="79"/>
      <c r="AD195" s="79"/>
      <c r="AE195" s="79"/>
      <c r="AF195" s="79"/>
      <c r="AG195" s="79"/>
    </row>
    <row r="196" spans="1:34" ht="18.75">
      <c r="A196" s="980">
        <v>158</v>
      </c>
      <c r="B196" s="1008" t="s">
        <v>1508</v>
      </c>
      <c r="C196" s="305" t="s">
        <v>22</v>
      </c>
      <c r="D196" s="1009">
        <v>3229802665</v>
      </c>
      <c r="E196" s="1010" t="s">
        <v>1509</v>
      </c>
      <c r="F196" s="946" t="s">
        <v>759</v>
      </c>
      <c r="G196" s="337" t="s">
        <v>77</v>
      </c>
      <c r="H196" s="307"/>
      <c r="I196" s="283"/>
      <c r="J196" s="307"/>
      <c r="K196" s="18" t="s">
        <v>315</v>
      </c>
      <c r="L196" s="274" t="s">
        <v>256</v>
      </c>
      <c r="M196" s="315"/>
      <c r="N196" s="315"/>
      <c r="O196" s="315"/>
      <c r="P196" s="272">
        <v>45709</v>
      </c>
      <c r="Q196" s="272">
        <v>45605</v>
      </c>
      <c r="R196" s="318" t="s">
        <v>1510</v>
      </c>
      <c r="S196" s="285"/>
      <c r="T196" s="317"/>
      <c r="U196" s="317" t="s">
        <v>1511</v>
      </c>
      <c r="V196" s="285"/>
      <c r="W196" s="90"/>
      <c r="X196" s="90"/>
      <c r="Y196" s="90"/>
      <c r="AB196" s="311"/>
    </row>
    <row r="197" spans="1:34" ht="15.75" customHeight="1">
      <c r="A197" s="936">
        <v>83</v>
      </c>
      <c r="B197" s="293" t="s">
        <v>1512</v>
      </c>
      <c r="C197" s="293" t="s">
        <v>31</v>
      </c>
      <c r="D197" s="284">
        <v>50205384760</v>
      </c>
      <c r="E197" s="303" t="s">
        <v>1513</v>
      </c>
      <c r="F197" s="274" t="s">
        <v>759</v>
      </c>
      <c r="G197" s="303" t="s">
        <v>76</v>
      </c>
      <c r="H197" s="274" t="s">
        <v>279</v>
      </c>
      <c r="I197" s="275">
        <v>9002071672</v>
      </c>
      <c r="J197" s="275"/>
      <c r="K197" s="293" t="s">
        <v>261</v>
      </c>
      <c r="L197" s="303" t="s">
        <v>1514</v>
      </c>
      <c r="M197" s="272">
        <v>22739</v>
      </c>
      <c r="N197" s="289">
        <v>44681</v>
      </c>
      <c r="O197" s="272">
        <v>44777</v>
      </c>
      <c r="P197" s="289">
        <v>44805</v>
      </c>
      <c r="Q197" s="302">
        <v>45705</v>
      </c>
      <c r="R197" s="294"/>
      <c r="S197" s="295"/>
      <c r="T197" s="296" t="s">
        <v>1300</v>
      </c>
      <c r="U197" s="296" t="s">
        <v>1300</v>
      </c>
      <c r="V197" s="639" t="s">
        <v>1515</v>
      </c>
      <c r="W197" s="208">
        <f ca="1">INT((TODAY()-M197)/365)</f>
        <v>64</v>
      </c>
      <c r="X197" s="298"/>
      <c r="Y197" s="298"/>
      <c r="Z197" s="298"/>
      <c r="AA197" s="298"/>
      <c r="AB197" s="298"/>
      <c r="AC197" s="298"/>
      <c r="AD197" s="298"/>
      <c r="AE197" s="298"/>
      <c r="AF197" s="298"/>
      <c r="AG197" s="298"/>
      <c r="AH197" s="298"/>
    </row>
    <row r="198" spans="1:34" ht="15.75" customHeight="1">
      <c r="A198" s="1001">
        <v>27</v>
      </c>
      <c r="B198" s="293" t="s">
        <v>1516</v>
      </c>
      <c r="C198" s="293" t="s">
        <v>31</v>
      </c>
      <c r="D198" s="488">
        <v>50204665739</v>
      </c>
      <c r="E198" s="303" t="s">
        <v>1517</v>
      </c>
      <c r="F198" s="624" t="s">
        <v>759</v>
      </c>
      <c r="G198" s="303" t="s">
        <v>76</v>
      </c>
      <c r="H198" s="274" t="s">
        <v>279</v>
      </c>
      <c r="I198" s="284">
        <v>9002071728</v>
      </c>
      <c r="J198" s="1011">
        <v>9002071728</v>
      </c>
      <c r="K198" s="275" t="s">
        <v>330</v>
      </c>
      <c r="L198" s="275" t="s">
        <v>627</v>
      </c>
      <c r="M198" s="272">
        <v>22765</v>
      </c>
      <c r="N198" s="272">
        <v>44681</v>
      </c>
      <c r="O198" s="272">
        <v>44749</v>
      </c>
      <c r="P198" s="279">
        <v>44968</v>
      </c>
      <c r="Q198" s="687">
        <v>44771</v>
      </c>
      <c r="R198" s="309"/>
      <c r="S198" s="309"/>
      <c r="T198" s="310" t="s">
        <v>1518</v>
      </c>
      <c r="U198" s="310" t="s">
        <v>1518</v>
      </c>
      <c r="V198" s="639" t="s">
        <v>1515</v>
      </c>
      <c r="W198" s="311"/>
      <c r="X198" s="311"/>
      <c r="Y198" s="311"/>
      <c r="Z198" s="311"/>
      <c r="AA198" s="311"/>
      <c r="AB198" s="311"/>
      <c r="AC198" s="311"/>
      <c r="AD198" s="311"/>
      <c r="AE198" s="311"/>
      <c r="AF198" s="311"/>
      <c r="AG198" s="311"/>
    </row>
    <row r="199" spans="1:34">
      <c r="A199" s="1012">
        <v>7</v>
      </c>
      <c r="B199" s="293" t="s">
        <v>1519</v>
      </c>
      <c r="C199" s="293" t="s">
        <v>21</v>
      </c>
      <c r="D199" s="488">
        <v>50205378795</v>
      </c>
      <c r="E199" s="303" t="s">
        <v>1520</v>
      </c>
      <c r="F199" s="624" t="s">
        <v>759</v>
      </c>
      <c r="G199" s="303" t="s">
        <v>76</v>
      </c>
      <c r="H199" s="275"/>
      <c r="I199" s="275">
        <v>9002071848</v>
      </c>
      <c r="J199" s="1013">
        <v>9002071848</v>
      </c>
      <c r="K199" s="275" t="s">
        <v>330</v>
      </c>
      <c r="L199" s="275" t="s">
        <v>93</v>
      </c>
      <c r="M199" s="272">
        <v>22767</v>
      </c>
      <c r="N199" s="272">
        <v>44681</v>
      </c>
      <c r="O199" s="272">
        <v>44741</v>
      </c>
      <c r="P199" s="279">
        <v>45204</v>
      </c>
      <c r="Q199" s="302">
        <v>45186</v>
      </c>
      <c r="R199" s="842" t="s">
        <v>1521</v>
      </c>
      <c r="S199" s="858" t="s">
        <v>1522</v>
      </c>
      <c r="T199" s="309"/>
      <c r="U199" s="309"/>
      <c r="V199" s="639" t="s">
        <v>1515</v>
      </c>
      <c r="W199" s="311"/>
      <c r="X199" s="311"/>
      <c r="Y199" s="311"/>
      <c r="Z199" s="311"/>
      <c r="AA199" s="311"/>
      <c r="AB199" s="311"/>
      <c r="AC199" s="311"/>
      <c r="AD199" s="311"/>
      <c r="AE199" s="311"/>
      <c r="AF199" s="311"/>
      <c r="AG199" s="311"/>
    </row>
    <row r="200" spans="1:34">
      <c r="A200" s="1014">
        <v>9</v>
      </c>
      <c r="B200" s="334" t="s">
        <v>1523</v>
      </c>
      <c r="C200" s="221" t="s">
        <v>1524</v>
      </c>
      <c r="D200" s="334" t="s">
        <v>686</v>
      </c>
      <c r="E200" s="334" t="s">
        <v>682</v>
      </c>
      <c r="F200" s="657"/>
      <c r="G200" s="450" t="s">
        <v>12</v>
      </c>
      <c r="H200" s="710" t="s">
        <v>684</v>
      </c>
      <c r="I200" s="329">
        <v>30192</v>
      </c>
      <c r="J200" s="329">
        <v>52109</v>
      </c>
    </row>
    <row r="201" spans="1:34">
      <c r="A201" s="231">
        <v>3</v>
      </c>
      <c r="B201" s="882" t="s">
        <v>1525</v>
      </c>
      <c r="C201" s="235" t="s">
        <v>76</v>
      </c>
      <c r="D201" s="883" t="s">
        <v>137</v>
      </c>
      <c r="E201" s="235">
        <v>532643</v>
      </c>
      <c r="F201" s="233" t="s">
        <v>1526</v>
      </c>
      <c r="G201" s="884">
        <v>44681</v>
      </c>
      <c r="H201" s="233" t="s">
        <v>1527</v>
      </c>
      <c r="I201" s="233" t="s">
        <v>1163</v>
      </c>
      <c r="J201" s="237" t="s">
        <v>1528</v>
      </c>
      <c r="K201" s="238" t="s">
        <v>142</v>
      </c>
      <c r="L201" s="986"/>
      <c r="V201" s="639" t="s">
        <v>1515</v>
      </c>
    </row>
    <row r="202" spans="1:34" ht="15.75">
      <c r="A202" s="1015">
        <v>14</v>
      </c>
      <c r="B202" s="334" t="s">
        <v>1529</v>
      </c>
      <c r="C202" s="927" t="s">
        <v>1530</v>
      </c>
      <c r="D202" s="659" t="s">
        <v>971</v>
      </c>
      <c r="E202" s="334" t="s">
        <v>682</v>
      </c>
      <c r="F202" s="928">
        <v>50205628416</v>
      </c>
      <c r="G202" s="904" t="s">
        <v>253</v>
      </c>
      <c r="H202" s="929" t="s">
        <v>702</v>
      </c>
      <c r="I202" s="329">
        <v>29156</v>
      </c>
      <c r="J202" s="329">
        <v>51074</v>
      </c>
      <c r="K202" s="197" t="s">
        <v>1531</v>
      </c>
    </row>
    <row r="203" spans="1:34">
      <c r="A203" s="197">
        <v>31</v>
      </c>
      <c r="B203" s="649" t="s">
        <v>1532</v>
      </c>
      <c r="C203" s="649" t="s">
        <v>31</v>
      </c>
      <c r="D203" s="90"/>
      <c r="E203" s="941" t="s">
        <v>1533</v>
      </c>
      <c r="F203" s="137" t="s">
        <v>485</v>
      </c>
      <c r="G203" s="481">
        <v>22759</v>
      </c>
      <c r="H203" s="481">
        <v>44681</v>
      </c>
      <c r="I203" s="650" t="s">
        <v>330</v>
      </c>
      <c r="J203" s="137" t="s">
        <v>76</v>
      </c>
      <c r="L203" s="650" t="s">
        <v>1043</v>
      </c>
      <c r="M203" s="481"/>
      <c r="N203" s="481">
        <v>44109</v>
      </c>
      <c r="O203" s="481">
        <v>44316</v>
      </c>
      <c r="P203" s="481">
        <v>44413</v>
      </c>
      <c r="Q203" s="842" t="s">
        <v>1534</v>
      </c>
      <c r="R203" s="482"/>
      <c r="S203" s="1016" t="s">
        <v>1535</v>
      </c>
      <c r="T203" s="1016" t="s">
        <v>1535</v>
      </c>
      <c r="U203" s="384">
        <f>LEN(TEXT(F203,0))</f>
        <v>12</v>
      </c>
      <c r="V203" s="1017">
        <v>44116</v>
      </c>
    </row>
    <row r="204" spans="1:34" ht="15.75" customHeight="1">
      <c r="A204" s="937">
        <v>29</v>
      </c>
      <c r="B204" s="276" t="s">
        <v>1536</v>
      </c>
      <c r="C204" s="919" t="s">
        <v>21</v>
      </c>
      <c r="D204" s="675">
        <v>50207290846</v>
      </c>
      <c r="E204" s="1018" t="s">
        <v>1537</v>
      </c>
      <c r="F204" s="958" t="s">
        <v>759</v>
      </c>
      <c r="G204" s="875" t="s">
        <v>76</v>
      </c>
      <c r="H204" s="307"/>
      <c r="I204" s="307">
        <v>9002071865</v>
      </c>
      <c r="J204" s="307">
        <v>9002071865</v>
      </c>
      <c r="K204" s="276" t="s">
        <v>253</v>
      </c>
      <c r="L204" s="307" t="s">
        <v>93</v>
      </c>
      <c r="M204" s="315">
        <v>22791</v>
      </c>
      <c r="N204" s="315">
        <v>44712</v>
      </c>
      <c r="O204" s="315">
        <v>44742</v>
      </c>
      <c r="P204" s="315">
        <v>45340</v>
      </c>
      <c r="Q204" s="302">
        <v>45188</v>
      </c>
      <c r="R204" s="280"/>
      <c r="S204" s="318" t="s">
        <v>1538</v>
      </c>
      <c r="T204" s="317"/>
      <c r="U204" s="317"/>
      <c r="V204" s="285"/>
      <c r="W204" s="3"/>
      <c r="X204" s="3"/>
      <c r="Y204" s="3"/>
      <c r="Z204" s="79"/>
      <c r="AA204" s="79"/>
      <c r="AB204" s="311">
        <f t="shared" ref="AB204:AB205" ca="1" si="36">INT((TODAY()-M204)/365)</f>
        <v>63</v>
      </c>
      <c r="AC204" s="384"/>
      <c r="AD204" s="384"/>
      <c r="AE204" s="384"/>
      <c r="AF204" s="384"/>
      <c r="AG204" s="384"/>
      <c r="AH204" s="384"/>
    </row>
    <row r="205" spans="1:34" ht="15.75" customHeight="1">
      <c r="A205" s="898">
        <v>17</v>
      </c>
      <c r="B205" s="276" t="s">
        <v>1539</v>
      </c>
      <c r="C205" s="919" t="s">
        <v>31</v>
      </c>
      <c r="D205" s="675" t="s">
        <v>1540</v>
      </c>
      <c r="E205" s="1019" t="s">
        <v>1541</v>
      </c>
      <c r="F205" s="685" t="s">
        <v>759</v>
      </c>
      <c r="G205" s="337" t="s">
        <v>76</v>
      </c>
      <c r="H205" s="303" t="s">
        <v>279</v>
      </c>
      <c r="I205" s="307">
        <v>9002071801</v>
      </c>
      <c r="J205" s="307"/>
      <c r="K205" s="276" t="s">
        <v>253</v>
      </c>
      <c r="L205" s="307" t="s">
        <v>1355</v>
      </c>
      <c r="M205" s="278">
        <v>22776</v>
      </c>
      <c r="N205" s="315">
        <v>44712</v>
      </c>
      <c r="O205" s="278">
        <v>44765</v>
      </c>
      <c r="P205" s="278">
        <v>44764</v>
      </c>
      <c r="Q205" s="302">
        <v>45232</v>
      </c>
      <c r="R205" s="285"/>
      <c r="S205" s="285"/>
      <c r="T205" s="318" t="s">
        <v>1542</v>
      </c>
      <c r="U205" s="318" t="s">
        <v>1543</v>
      </c>
      <c r="V205" s="285">
        <f>LEN(D205)</f>
        <v>11</v>
      </c>
      <c r="W205" s="3"/>
      <c r="X205" s="3"/>
      <c r="Y205" s="3"/>
      <c r="Z205" s="79"/>
      <c r="AA205" s="79"/>
      <c r="AB205" s="311">
        <f t="shared" ca="1" si="36"/>
        <v>63</v>
      </c>
    </row>
    <row r="206" spans="1:34" ht="15.75" customHeight="1">
      <c r="A206" s="936">
        <v>81</v>
      </c>
      <c r="B206" s="293" t="s">
        <v>1544</v>
      </c>
      <c r="C206" s="293" t="s">
        <v>31</v>
      </c>
      <c r="D206" s="284">
        <v>50205330970</v>
      </c>
      <c r="E206" s="421" t="s">
        <v>1545</v>
      </c>
      <c r="F206" s="274" t="s">
        <v>759</v>
      </c>
      <c r="G206" s="303" t="s">
        <v>76</v>
      </c>
      <c r="H206" s="274" t="s">
        <v>279</v>
      </c>
      <c r="I206" s="275">
        <v>9002071227</v>
      </c>
      <c r="J206" s="284">
        <v>7866963340</v>
      </c>
      <c r="K206" s="293" t="s">
        <v>261</v>
      </c>
      <c r="L206" s="1020" t="s">
        <v>1546</v>
      </c>
      <c r="M206" s="289">
        <v>22792</v>
      </c>
      <c r="N206" s="289">
        <v>44712</v>
      </c>
      <c r="O206" s="272"/>
      <c r="P206" s="278">
        <v>45115</v>
      </c>
      <c r="Q206" s="289">
        <v>44890</v>
      </c>
      <c r="R206" s="294"/>
      <c r="S206" s="295"/>
      <c r="T206" s="296" t="s">
        <v>1547</v>
      </c>
      <c r="U206" s="296" t="s">
        <v>1547</v>
      </c>
      <c r="V206" s="297">
        <f>LEN(TEXT(D206,0))</f>
        <v>11</v>
      </c>
      <c r="W206" s="208">
        <f ca="1">INT((TODAY()-M206)/365)</f>
        <v>63</v>
      </c>
      <c r="X206" s="298"/>
      <c r="Y206" s="298"/>
      <c r="Z206" s="298"/>
      <c r="AA206" s="298"/>
      <c r="AB206" s="298"/>
      <c r="AC206" s="298"/>
      <c r="AD206" s="298"/>
      <c r="AE206" s="298"/>
      <c r="AF206" s="298"/>
      <c r="AG206" s="298"/>
      <c r="AH206" s="298"/>
    </row>
    <row r="207" spans="1:34" ht="15.75">
      <c r="A207" s="1014">
        <v>1</v>
      </c>
      <c r="B207" s="334" t="s">
        <v>1548</v>
      </c>
      <c r="C207" s="1021" t="s">
        <v>1549</v>
      </c>
      <c r="D207" s="659" t="s">
        <v>1241</v>
      </c>
      <c r="E207" s="334" t="s">
        <v>682</v>
      </c>
      <c r="F207" s="928">
        <v>50205420519</v>
      </c>
      <c r="G207" s="904" t="s">
        <v>253</v>
      </c>
      <c r="H207" s="929" t="s">
        <v>702</v>
      </c>
      <c r="I207" s="329">
        <v>22768</v>
      </c>
      <c r="J207" s="329">
        <v>44712</v>
      </c>
      <c r="N207" s="658"/>
    </row>
    <row r="208" spans="1:34" ht="15.75" customHeight="1">
      <c r="A208" s="974">
        <v>2</v>
      </c>
      <c r="B208" s="1022" t="s">
        <v>1550</v>
      </c>
      <c r="C208" s="919" t="s">
        <v>14</v>
      </c>
      <c r="D208" s="675" t="s">
        <v>1551</v>
      </c>
      <c r="E208" s="1023" t="s">
        <v>1552</v>
      </c>
      <c r="F208" s="1024" t="s">
        <v>759</v>
      </c>
      <c r="G208" s="1025" t="s">
        <v>76</v>
      </c>
      <c r="H208" s="303" t="s">
        <v>279</v>
      </c>
      <c r="I208" s="1026">
        <v>9002071117</v>
      </c>
      <c r="J208" s="1026">
        <v>9002071117</v>
      </c>
      <c r="K208" s="1022" t="s">
        <v>253</v>
      </c>
      <c r="L208" s="307" t="s">
        <v>93</v>
      </c>
      <c r="M208" s="1027">
        <v>22825</v>
      </c>
      <c r="N208" s="1027">
        <v>44742</v>
      </c>
      <c r="O208" s="1027">
        <v>44754</v>
      </c>
      <c r="P208" s="1027">
        <v>45475</v>
      </c>
      <c r="Q208" s="1028">
        <v>44715</v>
      </c>
      <c r="R208" s="1029"/>
      <c r="S208" s="1029"/>
      <c r="T208" s="1030" t="s">
        <v>1553</v>
      </c>
      <c r="U208" s="1030" t="s">
        <v>1553</v>
      </c>
      <c r="V208" s="285"/>
      <c r="W208" s="1031">
        <v>41113</v>
      </c>
      <c r="X208" s="1032"/>
      <c r="Y208" s="1032"/>
      <c r="Z208" s="1033" t="s">
        <v>84</v>
      </c>
      <c r="AA208" s="1034"/>
      <c r="AB208" s="311">
        <f t="shared" ref="AB208:AB210" ca="1" si="37">INT((TODAY()-M208)/365)</f>
        <v>63</v>
      </c>
    </row>
    <row r="209" spans="1:39" ht="15.75" customHeight="1">
      <c r="A209" s="1035">
        <v>19</v>
      </c>
      <c r="B209" s="351" t="s">
        <v>1554</v>
      </c>
      <c r="C209" s="351" t="s">
        <v>14</v>
      </c>
      <c r="D209" s="306">
        <v>50205336004</v>
      </c>
      <c r="E209" s="582" t="s">
        <v>1555</v>
      </c>
      <c r="F209" s="686" t="s">
        <v>759</v>
      </c>
      <c r="G209" s="284" t="s">
        <v>77</v>
      </c>
      <c r="H209" s="284" t="s">
        <v>266</v>
      </c>
      <c r="I209" s="391">
        <v>9002071019</v>
      </c>
      <c r="J209" s="391"/>
      <c r="K209" s="351" t="s">
        <v>334</v>
      </c>
      <c r="L209" s="275" t="s">
        <v>306</v>
      </c>
      <c r="M209" s="390">
        <v>22809</v>
      </c>
      <c r="N209" s="289">
        <v>44742</v>
      </c>
      <c r="O209" s="392">
        <v>44901</v>
      </c>
      <c r="P209" s="278">
        <v>45667</v>
      </c>
      <c r="Q209" s="289">
        <v>44771</v>
      </c>
      <c r="R209" s="393"/>
      <c r="S209" s="393"/>
      <c r="T209" s="394" t="s">
        <v>1556</v>
      </c>
      <c r="U209" s="394" t="s">
        <v>1556</v>
      </c>
      <c r="V209" s="383">
        <f t="shared" ref="V209:V212" si="38">LEN(TEXT(D209,0))</f>
        <v>11</v>
      </c>
      <c r="W209" s="583">
        <v>44123</v>
      </c>
      <c r="X209" s="79"/>
      <c r="Y209" s="395"/>
      <c r="Z209" s="286" t="s">
        <v>84</v>
      </c>
      <c r="AA209" s="383"/>
      <c r="AB209" s="208">
        <f t="shared" ca="1" si="37"/>
        <v>63</v>
      </c>
      <c r="AC209" s="384"/>
      <c r="AD209" s="384"/>
      <c r="AE209" s="384"/>
      <c r="AF209" s="384"/>
      <c r="AG209" s="384"/>
      <c r="AH209" s="384"/>
    </row>
    <row r="210" spans="1:39" ht="15.75" customHeight="1">
      <c r="A210" s="1036">
        <v>16</v>
      </c>
      <c r="B210" s="351" t="s">
        <v>1557</v>
      </c>
      <c r="C210" s="351" t="s">
        <v>21</v>
      </c>
      <c r="D210" s="306">
        <v>50205349096</v>
      </c>
      <c r="E210" s="582" t="s">
        <v>1558</v>
      </c>
      <c r="F210" s="274" t="s">
        <v>759</v>
      </c>
      <c r="G210" s="284" t="s">
        <v>77</v>
      </c>
      <c r="H210" s="391"/>
      <c r="I210" s="391">
        <v>9002071790</v>
      </c>
      <c r="J210" s="391"/>
      <c r="K210" s="351" t="s">
        <v>334</v>
      </c>
      <c r="L210" s="275" t="s">
        <v>102</v>
      </c>
      <c r="M210" s="390">
        <v>22814</v>
      </c>
      <c r="N210" s="390">
        <v>44742</v>
      </c>
      <c r="O210" s="392">
        <v>44750</v>
      </c>
      <c r="P210" s="279">
        <v>45738</v>
      </c>
      <c r="Q210" s="272">
        <v>45271</v>
      </c>
      <c r="R210" s="393"/>
      <c r="S210" s="394" t="s">
        <v>1559</v>
      </c>
      <c r="T210" s="393"/>
      <c r="U210" s="393"/>
      <c r="V210" s="383">
        <f t="shared" si="38"/>
        <v>11</v>
      </c>
      <c r="W210" s="395"/>
      <c r="X210" s="79"/>
      <c r="Y210" s="395"/>
      <c r="Z210" s="79"/>
      <c r="AA210" s="383"/>
      <c r="AB210" s="208">
        <f t="shared" ca="1" si="37"/>
        <v>63</v>
      </c>
      <c r="AC210" s="384"/>
      <c r="AD210" s="384"/>
      <c r="AE210" s="384"/>
      <c r="AF210" s="384"/>
      <c r="AG210" s="384"/>
      <c r="AH210" s="384"/>
    </row>
    <row r="211" spans="1:39" ht="15.75" customHeight="1">
      <c r="A211" s="886">
        <v>3</v>
      </c>
      <c r="B211" s="1037" t="s">
        <v>1560</v>
      </c>
      <c r="C211" s="1037" t="s">
        <v>20</v>
      </c>
      <c r="D211" s="1038">
        <v>50205360596</v>
      </c>
      <c r="E211" s="1039" t="s">
        <v>1561</v>
      </c>
      <c r="F211" s="1040"/>
      <c r="G211" s="1041" t="s">
        <v>77</v>
      </c>
      <c r="H211" s="1042"/>
      <c r="I211" s="1042">
        <v>9002071252</v>
      </c>
      <c r="J211" s="1042"/>
      <c r="K211" s="1042" t="s">
        <v>334</v>
      </c>
      <c r="L211" s="1037"/>
      <c r="M211" s="1043">
        <v>22828</v>
      </c>
      <c r="N211" s="1043">
        <v>44742</v>
      </c>
      <c r="O211" s="1044"/>
      <c r="P211" s="1043"/>
      <c r="Q211" s="1043"/>
      <c r="R211" s="1045"/>
      <c r="S211" s="1045"/>
      <c r="T211" s="1045"/>
      <c r="U211" s="1046"/>
      <c r="V211" s="1047">
        <f t="shared" si="38"/>
        <v>11</v>
      </c>
      <c r="W211" s="1048"/>
      <c r="X211" s="1049"/>
      <c r="Y211" s="1048"/>
      <c r="Z211" s="1049"/>
      <c r="AA211" s="1047"/>
      <c r="AB211" s="1047"/>
      <c r="AC211" s="1047"/>
      <c r="AD211" s="1047"/>
      <c r="AE211" s="1047"/>
      <c r="AF211" s="1047"/>
      <c r="AG211" s="1047"/>
      <c r="AH211" s="1047"/>
      <c r="AI211" s="1050"/>
      <c r="AJ211" s="1050"/>
      <c r="AK211" s="1050"/>
      <c r="AL211" s="1050"/>
      <c r="AM211" s="1050"/>
    </row>
    <row r="212" spans="1:39" ht="15.75" customHeight="1">
      <c r="A212" s="936">
        <v>50</v>
      </c>
      <c r="B212" s="293" t="s">
        <v>1562</v>
      </c>
      <c r="C212" s="293" t="s">
        <v>31</v>
      </c>
      <c r="D212" s="284">
        <v>50205257931</v>
      </c>
      <c r="E212" s="303" t="s">
        <v>1563</v>
      </c>
      <c r="F212" s="274" t="s">
        <v>759</v>
      </c>
      <c r="G212" s="303" t="s">
        <v>76</v>
      </c>
      <c r="H212" s="274" t="s">
        <v>279</v>
      </c>
      <c r="I212" s="275">
        <v>9002071012</v>
      </c>
      <c r="J212" s="275">
        <v>9002071012</v>
      </c>
      <c r="K212" s="293" t="s">
        <v>261</v>
      </c>
      <c r="L212" s="275" t="s">
        <v>101</v>
      </c>
      <c r="M212" s="272">
        <v>22801</v>
      </c>
      <c r="N212" s="289">
        <v>44742</v>
      </c>
      <c r="O212" s="272">
        <v>44807</v>
      </c>
      <c r="P212" s="289">
        <v>45043</v>
      </c>
      <c r="Q212" s="289">
        <v>44975</v>
      </c>
      <c r="R212" s="79"/>
      <c r="S212" s="295"/>
      <c r="T212" s="603" t="s">
        <v>1564</v>
      </c>
      <c r="U212" s="603" t="s">
        <v>1564</v>
      </c>
      <c r="V212" s="297">
        <f t="shared" si="38"/>
        <v>11</v>
      </c>
      <c r="W212" s="208">
        <f t="shared" ref="W212:W214" ca="1" si="39">INT((TODAY()-M212)/365)</f>
        <v>63</v>
      </c>
      <c r="X212" s="298"/>
      <c r="Y212" s="298"/>
      <c r="Z212" s="298"/>
      <c r="AA212" s="298"/>
      <c r="AB212" s="298"/>
      <c r="AC212" s="298"/>
      <c r="AD212" s="298"/>
      <c r="AE212" s="298"/>
      <c r="AF212" s="298"/>
      <c r="AG212" s="298"/>
      <c r="AH212" s="298"/>
    </row>
    <row r="213" spans="1:39" ht="15.75" customHeight="1">
      <c r="A213" s="1051">
        <v>43</v>
      </c>
      <c r="B213" s="293" t="s">
        <v>1565</v>
      </c>
      <c r="C213" s="305" t="s">
        <v>20</v>
      </c>
      <c r="D213" s="284">
        <v>50205607693</v>
      </c>
      <c r="E213" s="491" t="s">
        <v>1566</v>
      </c>
      <c r="F213" s="975" t="s">
        <v>759</v>
      </c>
      <c r="G213" s="303" t="s">
        <v>76</v>
      </c>
      <c r="H213" s="274" t="s">
        <v>1567</v>
      </c>
      <c r="I213" s="275">
        <v>8116848303</v>
      </c>
      <c r="J213" s="690">
        <v>8116848303</v>
      </c>
      <c r="K213" s="275" t="s">
        <v>315</v>
      </c>
      <c r="L213" s="275" t="s">
        <v>294</v>
      </c>
      <c r="M213" s="272">
        <v>30798</v>
      </c>
      <c r="N213" s="272">
        <v>52717</v>
      </c>
      <c r="O213" s="272"/>
      <c r="P213" s="279">
        <v>45397</v>
      </c>
      <c r="Q213" s="302">
        <v>45369</v>
      </c>
      <c r="R213" s="310" t="s">
        <v>1568</v>
      </c>
      <c r="S213" s="309"/>
      <c r="T213" s="310" t="s">
        <v>1569</v>
      </c>
      <c r="U213" s="309"/>
      <c r="V213" s="862" t="s">
        <v>1570</v>
      </c>
      <c r="W213" s="208">
        <f t="shared" ca="1" si="39"/>
        <v>41</v>
      </c>
      <c r="X213" s="311"/>
      <c r="Y213" s="311"/>
      <c r="Z213" s="311"/>
      <c r="AA213" s="311"/>
      <c r="AB213" s="311"/>
      <c r="AC213" s="311"/>
      <c r="AD213" s="311"/>
      <c r="AE213" s="311"/>
      <c r="AF213" s="311"/>
      <c r="AG213" s="311"/>
      <c r="AH213" s="311"/>
    </row>
    <row r="214" spans="1:39" ht="15.75">
      <c r="A214" s="980">
        <v>14</v>
      </c>
      <c r="B214" s="426" t="s">
        <v>1571</v>
      </c>
      <c r="C214" s="223" t="s">
        <v>22</v>
      </c>
      <c r="D214" s="1009">
        <v>30329800143</v>
      </c>
      <c r="E214" s="681" t="s">
        <v>1572</v>
      </c>
      <c r="F214" s="965" t="s">
        <v>759</v>
      </c>
      <c r="G214" s="3"/>
      <c r="H214" s="275"/>
      <c r="I214" s="3"/>
      <c r="J214" s="3"/>
      <c r="K214" s="18" t="s">
        <v>315</v>
      </c>
      <c r="L214" s="274" t="s">
        <v>267</v>
      </c>
      <c r="M214" s="418">
        <v>32168</v>
      </c>
      <c r="N214" s="418">
        <v>54088</v>
      </c>
      <c r="O214" s="428">
        <v>45476</v>
      </c>
      <c r="P214" s="418">
        <v>44836</v>
      </c>
      <c r="Q214" s="418">
        <v>44907</v>
      </c>
      <c r="R214" s="281" t="s">
        <v>1573</v>
      </c>
      <c r="S214" s="280"/>
      <c r="T214" s="280"/>
      <c r="U214" s="280"/>
      <c r="V214" s="862" t="s">
        <v>1574</v>
      </c>
      <c r="W214" s="208">
        <f t="shared" ca="1" si="39"/>
        <v>38</v>
      </c>
    </row>
    <row r="215" spans="1:39" ht="18.75">
      <c r="A215" s="1006">
        <v>78</v>
      </c>
      <c r="B215" s="1008" t="s">
        <v>1575</v>
      </c>
      <c r="C215" s="305" t="s">
        <v>22</v>
      </c>
      <c r="D215" s="1052"/>
      <c r="E215" s="681" t="s">
        <v>743</v>
      </c>
      <c r="F215" s="946" t="s">
        <v>759</v>
      </c>
      <c r="G215" s="337" t="s">
        <v>76</v>
      </c>
      <c r="H215" s="307"/>
      <c r="I215" s="307"/>
      <c r="J215" s="307"/>
      <c r="K215" s="18" t="s">
        <v>315</v>
      </c>
      <c r="L215" s="303" t="s">
        <v>1576</v>
      </c>
      <c r="M215" s="315">
        <v>30910</v>
      </c>
      <c r="N215" s="315">
        <v>52840</v>
      </c>
      <c r="O215" s="315"/>
      <c r="P215" s="272">
        <v>44708</v>
      </c>
      <c r="Q215" s="272">
        <v>44708</v>
      </c>
      <c r="R215" s="317"/>
      <c r="S215" s="285"/>
      <c r="T215" s="317"/>
      <c r="U215" s="285"/>
      <c r="V215" s="862" t="s">
        <v>1577</v>
      </c>
      <c r="W215" s="90"/>
      <c r="X215" s="90"/>
      <c r="Y215" s="90"/>
      <c r="AB215" s="311"/>
    </row>
    <row r="216" spans="1:39" ht="15.75" customHeight="1">
      <c r="A216" s="898">
        <v>149</v>
      </c>
      <c r="B216" s="305" t="s">
        <v>1578</v>
      </c>
      <c r="C216" s="919" t="s">
        <v>31</v>
      </c>
      <c r="D216" s="675">
        <v>50212142529</v>
      </c>
      <c r="E216" s="1053" t="s">
        <v>1579</v>
      </c>
      <c r="F216" s="685" t="s">
        <v>759</v>
      </c>
      <c r="G216" s="337" t="s">
        <v>76</v>
      </c>
      <c r="H216" s="303" t="s">
        <v>266</v>
      </c>
      <c r="I216" s="307"/>
      <c r="J216" s="935"/>
      <c r="K216" s="276" t="s">
        <v>253</v>
      </c>
      <c r="L216" s="274" t="s">
        <v>267</v>
      </c>
      <c r="M216" s="278">
        <v>25920</v>
      </c>
      <c r="N216" s="315">
        <v>47848</v>
      </c>
      <c r="O216" s="278">
        <v>45156</v>
      </c>
      <c r="P216" s="278">
        <v>45332</v>
      </c>
      <c r="Q216" s="302">
        <v>45316</v>
      </c>
      <c r="R216" s="285"/>
      <c r="S216" s="285"/>
      <c r="T216" s="317"/>
      <c r="U216" s="318" t="s">
        <v>1580</v>
      </c>
      <c r="V216" s="317" t="s">
        <v>1581</v>
      </c>
      <c r="W216" s="3"/>
      <c r="X216" s="3"/>
      <c r="Y216" s="3"/>
      <c r="Z216" s="79"/>
      <c r="AA216" s="79"/>
      <c r="AB216" s="311">
        <f ca="1">INT((TODAY()-M216)/365)</f>
        <v>55</v>
      </c>
      <c r="AC216" s="311"/>
      <c r="AD216" s="311"/>
      <c r="AE216" s="311"/>
      <c r="AF216" s="311"/>
      <c r="AG216" s="311"/>
      <c r="AH216" s="311"/>
    </row>
    <row r="217" spans="1:39" ht="15.75">
      <c r="A217" s="926">
        <v>22</v>
      </c>
      <c r="B217" s="971" t="s">
        <v>1582</v>
      </c>
      <c r="C217" s="223" t="s">
        <v>22</v>
      </c>
      <c r="D217" s="972">
        <v>3329804085</v>
      </c>
      <c r="E217" s="1054" t="s">
        <v>1583</v>
      </c>
      <c r="F217" s="943" t="s">
        <v>759</v>
      </c>
      <c r="G217" s="18" t="s">
        <v>78</v>
      </c>
      <c r="H217" s="275"/>
      <c r="I217" s="18">
        <v>8058239429</v>
      </c>
      <c r="J217" s="18">
        <v>8058239429</v>
      </c>
      <c r="K217" s="18" t="s">
        <v>315</v>
      </c>
      <c r="L217" s="18" t="s">
        <v>1016</v>
      </c>
      <c r="M217" s="418">
        <v>35979</v>
      </c>
      <c r="N217" s="418">
        <v>57922</v>
      </c>
      <c r="O217" s="428">
        <v>45132</v>
      </c>
      <c r="P217" s="418">
        <v>45459</v>
      </c>
      <c r="Q217" s="418">
        <v>45382</v>
      </c>
      <c r="R217" s="281" t="s">
        <v>1584</v>
      </c>
      <c r="S217" s="280"/>
      <c r="T217" s="280"/>
      <c r="U217" s="280"/>
      <c r="V217" s="338" t="s">
        <v>1585</v>
      </c>
      <c r="W217" s="208">
        <f ca="1">INT((TODAY()-M217)/365)</f>
        <v>27</v>
      </c>
    </row>
    <row r="218" spans="1:39" ht="15.75">
      <c r="A218" s="335">
        <v>66</v>
      </c>
      <c r="B218" s="967" t="s">
        <v>1586</v>
      </c>
      <c r="C218" s="1055" t="s">
        <v>14</v>
      </c>
      <c r="D218" s="909">
        <v>50205278715</v>
      </c>
      <c r="E218" s="527" t="s">
        <v>1587</v>
      </c>
      <c r="F218" s="970" t="s">
        <v>759</v>
      </c>
      <c r="G218" s="910" t="s">
        <v>76</v>
      </c>
      <c r="H218" s="3"/>
      <c r="I218" s="666">
        <v>9163382041</v>
      </c>
      <c r="J218" s="327"/>
      <c r="K218" s="328" t="s">
        <v>253</v>
      </c>
      <c r="L218" s="993" t="s">
        <v>1217</v>
      </c>
      <c r="M218" s="912">
        <v>22802</v>
      </c>
      <c r="N218" s="913">
        <v>44742</v>
      </c>
      <c r="O218" s="933">
        <v>44589</v>
      </c>
      <c r="P218" s="933">
        <v>45162</v>
      </c>
      <c r="Q218" s="915">
        <v>44827</v>
      </c>
      <c r="R218" s="1056"/>
      <c r="S218" s="199"/>
      <c r="T218" s="1057" t="s">
        <v>1588</v>
      </c>
      <c r="U218" s="199"/>
      <c r="V218" s="199"/>
      <c r="W218" s="199"/>
      <c r="X218" s="199"/>
      <c r="Y218" s="199"/>
      <c r="Z218" s="199"/>
      <c r="AA218" s="199"/>
      <c r="AB218" s="199"/>
      <c r="AC218" s="199"/>
      <c r="AD218" s="199"/>
      <c r="AE218" s="199"/>
      <c r="AF218" s="199"/>
      <c r="AG218" s="199"/>
      <c r="AH218" s="199"/>
    </row>
    <row r="219" spans="1:39" ht="15.75">
      <c r="A219" s="335">
        <v>69</v>
      </c>
      <c r="B219" s="967" t="s">
        <v>1589</v>
      </c>
      <c r="C219" s="1055" t="s">
        <v>14</v>
      </c>
      <c r="D219" s="909">
        <v>50205345965</v>
      </c>
      <c r="E219" s="527" t="s">
        <v>1590</v>
      </c>
      <c r="F219" s="970" t="s">
        <v>759</v>
      </c>
      <c r="G219" s="910" t="s">
        <v>77</v>
      </c>
      <c r="H219" s="327"/>
      <c r="I219" s="656">
        <v>9163382060</v>
      </c>
      <c r="J219" s="327"/>
      <c r="K219" s="328" t="s">
        <v>253</v>
      </c>
      <c r="L219" s="911" t="s">
        <v>1331</v>
      </c>
      <c r="M219" s="912">
        <v>23590</v>
      </c>
      <c r="N219" s="913">
        <v>45504</v>
      </c>
      <c r="O219" s="933">
        <v>44765</v>
      </c>
      <c r="P219" s="933">
        <v>45097</v>
      </c>
      <c r="Q219" s="915">
        <v>45064</v>
      </c>
      <c r="R219" s="1056"/>
      <c r="S219" s="199"/>
      <c r="T219" s="1057" t="s">
        <v>1591</v>
      </c>
      <c r="U219" s="199"/>
      <c r="V219" s="710" t="s">
        <v>1592</v>
      </c>
      <c r="W219" s="199"/>
      <c r="X219" s="710" t="s">
        <v>1333</v>
      </c>
      <c r="Y219" s="199"/>
      <c r="Z219" s="199"/>
      <c r="AA219" s="199"/>
      <c r="AB219" s="199"/>
      <c r="AC219" s="199"/>
      <c r="AD219" s="199"/>
      <c r="AE219" s="199"/>
    </row>
    <row r="220" spans="1:39">
      <c r="A220" s="90"/>
      <c r="C220" s="89"/>
      <c r="F220" s="90"/>
      <c r="I220" s="90"/>
      <c r="J220" s="90"/>
      <c r="L220" s="90"/>
    </row>
    <row r="221" spans="1:39">
      <c r="A221" s="980">
        <v>6</v>
      </c>
      <c r="B221" s="971" t="s">
        <v>1593</v>
      </c>
      <c r="C221" s="223" t="s">
        <v>22</v>
      </c>
      <c r="D221" s="972">
        <v>3329804082</v>
      </c>
      <c r="E221" s="973" t="s">
        <v>1594</v>
      </c>
      <c r="F221" s="137" t="s">
        <v>759</v>
      </c>
      <c r="G221" s="18" t="s">
        <v>78</v>
      </c>
      <c r="H221" s="275"/>
      <c r="I221" s="18">
        <v>8003504656</v>
      </c>
      <c r="J221" s="18">
        <v>8003504656</v>
      </c>
      <c r="K221" s="18" t="s">
        <v>315</v>
      </c>
      <c r="L221" s="18" t="s">
        <v>627</v>
      </c>
      <c r="M221" s="418">
        <v>34385</v>
      </c>
      <c r="N221" s="418">
        <v>56308</v>
      </c>
      <c r="O221" s="428">
        <v>45105</v>
      </c>
      <c r="P221" s="418">
        <v>45459</v>
      </c>
      <c r="Q221" s="418">
        <v>45382</v>
      </c>
      <c r="R221" s="281" t="s">
        <v>1595</v>
      </c>
      <c r="S221" s="280"/>
      <c r="T221" s="280"/>
      <c r="U221" s="280"/>
      <c r="V221" s="280"/>
      <c r="W221" s="208">
        <f t="shared" ref="W221:W224" ca="1" si="40">INT((TODAY()-M221)/365)</f>
        <v>32</v>
      </c>
    </row>
    <row r="222" spans="1:39" ht="15.75">
      <c r="A222" s="980">
        <v>21</v>
      </c>
      <c r="B222" s="426" t="s">
        <v>1596</v>
      </c>
      <c r="C222" s="223" t="s">
        <v>22</v>
      </c>
      <c r="D222" s="972">
        <v>3329804122</v>
      </c>
      <c r="E222" s="595" t="s">
        <v>1597</v>
      </c>
      <c r="F222" s="943" t="s">
        <v>759</v>
      </c>
      <c r="G222" s="18" t="s">
        <v>78</v>
      </c>
      <c r="H222" s="3"/>
      <c r="I222" s="3"/>
      <c r="J222" s="3"/>
      <c r="K222" s="18" t="s">
        <v>315</v>
      </c>
      <c r="L222" s="18" t="s">
        <v>103</v>
      </c>
      <c r="M222" s="418">
        <v>36133</v>
      </c>
      <c r="N222" s="418">
        <v>58075</v>
      </c>
      <c r="O222" s="428">
        <v>45137</v>
      </c>
      <c r="P222" s="418">
        <v>45368</v>
      </c>
      <c r="Q222" s="418">
        <v>45412</v>
      </c>
      <c r="R222" s="281" t="s">
        <v>1598</v>
      </c>
      <c r="S222" s="280"/>
      <c r="T222" s="280"/>
      <c r="U222" s="280"/>
      <c r="V222" s="280"/>
      <c r="W222" s="208">
        <f t="shared" ca="1" si="40"/>
        <v>27</v>
      </c>
    </row>
    <row r="223" spans="1:39" ht="15.75">
      <c r="A223" s="980">
        <v>8</v>
      </c>
      <c r="B223" s="971" t="s">
        <v>1599</v>
      </c>
      <c r="C223" s="223" t="s">
        <v>22</v>
      </c>
      <c r="D223" s="972">
        <v>3329804088</v>
      </c>
      <c r="E223" s="973" t="s">
        <v>1600</v>
      </c>
      <c r="F223" s="965" t="s">
        <v>759</v>
      </c>
      <c r="G223" s="18" t="s">
        <v>78</v>
      </c>
      <c r="H223" s="275"/>
      <c r="I223" s="18">
        <v>9694969453</v>
      </c>
      <c r="J223" s="18">
        <v>9694969453</v>
      </c>
      <c r="K223" s="18" t="s">
        <v>315</v>
      </c>
      <c r="L223" s="274" t="s">
        <v>1601</v>
      </c>
      <c r="M223" s="418">
        <v>34865</v>
      </c>
      <c r="N223" s="418">
        <v>56795</v>
      </c>
      <c r="O223" s="428">
        <v>45101</v>
      </c>
      <c r="P223" s="418">
        <v>45459</v>
      </c>
      <c r="Q223" s="418">
        <v>45382</v>
      </c>
      <c r="R223" s="281" t="s">
        <v>1602</v>
      </c>
      <c r="S223" s="280"/>
      <c r="T223" s="338" t="s">
        <v>1603</v>
      </c>
      <c r="U223" s="280"/>
      <c r="V223" s="280"/>
      <c r="W223" s="208">
        <f t="shared" ca="1" si="40"/>
        <v>30</v>
      </c>
    </row>
    <row r="224" spans="1:39" ht="15.75" customHeight="1">
      <c r="A224" s="936">
        <v>127</v>
      </c>
      <c r="B224" s="293" t="s">
        <v>1604</v>
      </c>
      <c r="C224" s="293" t="s">
        <v>31</v>
      </c>
      <c r="D224" s="284">
        <v>50205373505</v>
      </c>
      <c r="E224" s="421" t="s">
        <v>1605</v>
      </c>
      <c r="F224" s="274" t="s">
        <v>759</v>
      </c>
      <c r="G224" s="303" t="s">
        <v>76</v>
      </c>
      <c r="H224" s="274" t="s">
        <v>279</v>
      </c>
      <c r="I224" s="284">
        <v>9002071604</v>
      </c>
      <c r="J224" s="284">
        <v>9002071604</v>
      </c>
      <c r="K224" s="293" t="s">
        <v>261</v>
      </c>
      <c r="L224" s="275" t="s">
        <v>627</v>
      </c>
      <c r="M224" s="272">
        <v>22836</v>
      </c>
      <c r="N224" s="289">
        <v>44773</v>
      </c>
      <c r="O224" s="272">
        <v>44787</v>
      </c>
      <c r="P224" s="289">
        <v>44708</v>
      </c>
      <c r="Q224" s="272">
        <v>45731</v>
      </c>
      <c r="R224" s="79"/>
      <c r="S224" s="295"/>
      <c r="T224" s="296" t="s">
        <v>1606</v>
      </c>
      <c r="U224" s="603" t="s">
        <v>1607</v>
      </c>
      <c r="V224" s="297">
        <f>LEN(TEXT(D224,0))</f>
        <v>11</v>
      </c>
      <c r="W224" s="208">
        <f t="shared" ca="1" si="40"/>
        <v>63</v>
      </c>
      <c r="X224" s="298"/>
      <c r="Y224" s="298"/>
      <c r="Z224" s="298"/>
      <c r="AA224" s="298"/>
      <c r="AB224" s="298"/>
      <c r="AC224" s="298"/>
      <c r="AD224" s="298"/>
      <c r="AE224" s="298"/>
      <c r="AF224" s="298"/>
      <c r="AG224" s="298"/>
      <c r="AH224" s="298"/>
    </row>
    <row r="225" spans="1:34" ht="15.75" customHeight="1">
      <c r="A225" s="886">
        <v>7</v>
      </c>
      <c r="B225" s="293" t="s">
        <v>1608</v>
      </c>
      <c r="C225" s="293" t="s">
        <v>31</v>
      </c>
      <c r="D225" s="489">
        <v>50205342958</v>
      </c>
      <c r="E225" s="303" t="s">
        <v>1609</v>
      </c>
      <c r="F225" s="18" t="s">
        <v>759</v>
      </c>
      <c r="G225" s="303" t="s">
        <v>76</v>
      </c>
      <c r="H225" s="274" t="s">
        <v>279</v>
      </c>
      <c r="I225" s="275">
        <v>9002071239</v>
      </c>
      <c r="J225" s="690">
        <v>9002071239</v>
      </c>
      <c r="K225" s="275" t="s">
        <v>290</v>
      </c>
      <c r="L225" s="274" t="s">
        <v>299</v>
      </c>
      <c r="M225" s="272">
        <v>23385</v>
      </c>
      <c r="N225" s="272">
        <v>45322</v>
      </c>
      <c r="O225" s="272"/>
      <c r="P225" s="279">
        <v>44999</v>
      </c>
      <c r="Q225" s="1058">
        <v>44918</v>
      </c>
      <c r="R225" s="197" t="s">
        <v>1610</v>
      </c>
      <c r="S225" s="309"/>
      <c r="T225" s="377" t="s">
        <v>1611</v>
      </c>
      <c r="U225" s="377" t="s">
        <v>1611</v>
      </c>
      <c r="V225" s="311">
        <f>LEN(D225)</f>
        <v>11</v>
      </c>
      <c r="W225" s="311"/>
      <c r="X225" s="208">
        <f ca="1">INT((TODAY()-M225)/365)</f>
        <v>62</v>
      </c>
    </row>
    <row r="226" spans="1:34">
      <c r="A226" s="926">
        <v>25</v>
      </c>
      <c r="B226" s="971" t="s">
        <v>1612</v>
      </c>
      <c r="C226" s="223" t="s">
        <v>22</v>
      </c>
      <c r="D226" s="972">
        <v>3329804075</v>
      </c>
      <c r="E226" s="973" t="s">
        <v>1613</v>
      </c>
      <c r="F226" s="137" t="s">
        <v>759</v>
      </c>
      <c r="G226" s="18" t="s">
        <v>78</v>
      </c>
      <c r="H226" s="275"/>
      <c r="I226" s="18">
        <v>6376953931</v>
      </c>
      <c r="J226" s="18">
        <v>9799177122</v>
      </c>
      <c r="K226" s="18" t="s">
        <v>315</v>
      </c>
      <c r="L226" s="18" t="s">
        <v>44</v>
      </c>
      <c r="M226" s="418">
        <v>33474</v>
      </c>
      <c r="N226" s="418">
        <v>55396</v>
      </c>
      <c r="O226" s="428">
        <v>45102</v>
      </c>
      <c r="P226" s="418">
        <v>45459</v>
      </c>
      <c r="Q226" s="418">
        <v>45382</v>
      </c>
      <c r="R226" s="281" t="s">
        <v>1584</v>
      </c>
      <c r="S226" s="280"/>
      <c r="T226" s="280"/>
      <c r="U226" s="280"/>
      <c r="V226" s="280"/>
      <c r="W226" s="208">
        <f ca="1">INT((TODAY()-M226)/365)</f>
        <v>34</v>
      </c>
    </row>
    <row r="227" spans="1:34">
      <c r="A227" s="90"/>
      <c r="C227" s="89"/>
      <c r="F227" s="90"/>
      <c r="I227" s="90"/>
      <c r="J227" s="90"/>
      <c r="L227" s="90"/>
    </row>
    <row r="228" spans="1:34">
      <c r="A228" s="90"/>
      <c r="C228" s="89"/>
      <c r="F228" s="90"/>
      <c r="I228" s="90"/>
      <c r="J228" s="90"/>
      <c r="L228" s="90"/>
    </row>
    <row r="229" spans="1:34" ht="15.75" customHeight="1">
      <c r="A229" s="898">
        <v>39</v>
      </c>
      <c r="B229" s="276" t="s">
        <v>1614</v>
      </c>
      <c r="C229" s="276" t="s">
        <v>31</v>
      </c>
      <c r="D229" s="675">
        <v>50205384746</v>
      </c>
      <c r="E229" s="303" t="s">
        <v>1615</v>
      </c>
      <c r="F229" s="685" t="s">
        <v>759</v>
      </c>
      <c r="G229" s="337" t="s">
        <v>76</v>
      </c>
      <c r="H229" s="307"/>
      <c r="I229" s="307">
        <v>9002071663</v>
      </c>
      <c r="J229" s="307"/>
      <c r="K229" s="276" t="s">
        <v>253</v>
      </c>
      <c r="L229" s="275" t="s">
        <v>102</v>
      </c>
      <c r="M229" s="278">
        <v>22889</v>
      </c>
      <c r="N229" s="315">
        <v>44803</v>
      </c>
      <c r="O229" s="278">
        <v>44818</v>
      </c>
      <c r="P229" s="1059"/>
      <c r="Q229" s="302">
        <v>45705</v>
      </c>
      <c r="R229" s="338"/>
      <c r="S229" s="285"/>
      <c r="T229" s="318" t="s">
        <v>1616</v>
      </c>
      <c r="U229" s="318" t="s">
        <v>1616</v>
      </c>
      <c r="V229" s="285">
        <f t="shared" ref="V229:V231" si="41">LEN(D229)</f>
        <v>11</v>
      </c>
      <c r="W229" s="90"/>
      <c r="X229" s="90"/>
      <c r="Y229" s="90"/>
      <c r="AB229" s="311">
        <f t="shared" ref="AB229:AB231" ca="1" si="42">INT((TODAY()-M229)/365)</f>
        <v>63</v>
      </c>
    </row>
    <row r="230" spans="1:34" ht="15.75" customHeight="1">
      <c r="A230" s="898">
        <v>140</v>
      </c>
      <c r="B230" s="276" t="s">
        <v>1617</v>
      </c>
      <c r="C230" s="276" t="s">
        <v>31</v>
      </c>
      <c r="D230" s="677">
        <v>50205332564</v>
      </c>
      <c r="E230" s="303" t="s">
        <v>1618</v>
      </c>
      <c r="F230" s="685" t="s">
        <v>759</v>
      </c>
      <c r="G230" s="337" t="s">
        <v>76</v>
      </c>
      <c r="H230" s="303" t="s">
        <v>266</v>
      </c>
      <c r="I230" s="307">
        <v>9002071640</v>
      </c>
      <c r="J230" s="307"/>
      <c r="K230" s="276" t="s">
        <v>253</v>
      </c>
      <c r="L230" s="274" t="s">
        <v>1514</v>
      </c>
      <c r="M230" s="278">
        <v>22875</v>
      </c>
      <c r="N230" s="315">
        <v>44804</v>
      </c>
      <c r="O230" s="278">
        <v>44835</v>
      </c>
      <c r="P230" s="278">
        <v>45043</v>
      </c>
      <c r="Q230" s="302">
        <v>44827</v>
      </c>
      <c r="R230" s="285"/>
      <c r="S230" s="285"/>
      <c r="T230" s="339" t="s">
        <v>1619</v>
      </c>
      <c r="U230" s="339" t="s">
        <v>1620</v>
      </c>
      <c r="V230" s="425">
        <f t="shared" si="41"/>
        <v>11</v>
      </c>
      <c r="W230" s="90"/>
      <c r="X230" s="90"/>
      <c r="Y230" s="90"/>
      <c r="AB230" s="311">
        <f t="shared" ca="1" si="42"/>
        <v>63</v>
      </c>
    </row>
    <row r="231" spans="1:34" ht="15.75" customHeight="1">
      <c r="A231" s="898">
        <v>142</v>
      </c>
      <c r="B231" s="276" t="s">
        <v>1621</v>
      </c>
      <c r="C231" s="276" t="s">
        <v>31</v>
      </c>
      <c r="D231" s="677">
        <v>50205331535</v>
      </c>
      <c r="E231" s="303" t="s">
        <v>1622</v>
      </c>
      <c r="F231" s="685" t="s">
        <v>759</v>
      </c>
      <c r="G231" s="337" t="s">
        <v>76</v>
      </c>
      <c r="H231" s="303" t="s">
        <v>279</v>
      </c>
      <c r="I231" s="307">
        <v>9002071643</v>
      </c>
      <c r="J231" s="307"/>
      <c r="K231" s="276" t="s">
        <v>253</v>
      </c>
      <c r="L231" s="439" t="s">
        <v>1546</v>
      </c>
      <c r="M231" s="278">
        <v>22874</v>
      </c>
      <c r="N231" s="315">
        <v>44804</v>
      </c>
      <c r="O231" s="278">
        <v>44791</v>
      </c>
      <c r="P231" s="921">
        <v>45232</v>
      </c>
      <c r="Q231" s="387">
        <v>44799</v>
      </c>
      <c r="R231" s="285"/>
      <c r="S231" s="952"/>
      <c r="T231" s="339" t="s">
        <v>1518</v>
      </c>
      <c r="U231" s="339" t="s">
        <v>1518</v>
      </c>
      <c r="V231" s="425">
        <f t="shared" si="41"/>
        <v>11</v>
      </c>
      <c r="W231" s="90"/>
      <c r="X231" s="90"/>
      <c r="Y231" s="90"/>
      <c r="AB231" s="311">
        <f t="shared" ca="1" si="42"/>
        <v>63</v>
      </c>
    </row>
    <row r="232" spans="1:34" ht="15.75" customHeight="1">
      <c r="A232" s="936">
        <v>101</v>
      </c>
      <c r="B232" s="293" t="s">
        <v>1623</v>
      </c>
      <c r="C232" s="293" t="s">
        <v>31</v>
      </c>
      <c r="D232" s="619">
        <v>50205336030</v>
      </c>
      <c r="E232" s="18" t="s">
        <v>1624</v>
      </c>
      <c r="F232" s="274" t="s">
        <v>759</v>
      </c>
      <c r="G232" s="303" t="s">
        <v>76</v>
      </c>
      <c r="H232" s="274" t="s">
        <v>266</v>
      </c>
      <c r="I232" s="275">
        <v>9002071263</v>
      </c>
      <c r="J232" s="601">
        <v>9330594881</v>
      </c>
      <c r="K232" s="293" t="s">
        <v>261</v>
      </c>
      <c r="L232" s="274" t="s">
        <v>1601</v>
      </c>
      <c r="M232" s="289">
        <v>22884</v>
      </c>
      <c r="N232" s="289">
        <v>44804</v>
      </c>
      <c r="O232" s="272">
        <v>44902</v>
      </c>
      <c r="P232" s="289">
        <v>45041</v>
      </c>
      <c r="Q232" s="289">
        <v>44799</v>
      </c>
      <c r="R232" s="294"/>
      <c r="S232" s="295"/>
      <c r="T232" s="296" t="s">
        <v>1625</v>
      </c>
      <c r="U232" s="296" t="s">
        <v>1625</v>
      </c>
      <c r="V232" s="297">
        <f>LEN(TEXT(D232,0))</f>
        <v>11</v>
      </c>
      <c r="W232" s="208">
        <f ca="1">INT((TODAY()-M232)/365)</f>
        <v>63</v>
      </c>
      <c r="X232" s="298"/>
      <c r="Y232" s="311"/>
      <c r="Z232" s="311"/>
      <c r="AA232" s="311"/>
      <c r="AB232" s="311"/>
      <c r="AC232" s="311"/>
      <c r="AD232" s="311"/>
      <c r="AE232" s="311"/>
      <c r="AH232" s="298"/>
    </row>
    <row r="233" spans="1:34" ht="15.75" customHeight="1">
      <c r="A233" s="893">
        <v>84</v>
      </c>
      <c r="B233" s="293" t="s">
        <v>1626</v>
      </c>
      <c r="C233" s="293" t="s">
        <v>31</v>
      </c>
      <c r="D233" s="304">
        <v>50204664700</v>
      </c>
      <c r="E233" s="303" t="s">
        <v>1627</v>
      </c>
      <c r="F233" s="674" t="s">
        <v>759</v>
      </c>
      <c r="G233" s="303" t="s">
        <v>76</v>
      </c>
      <c r="H233" s="274" t="s">
        <v>279</v>
      </c>
      <c r="I233" s="275">
        <v>9002071757</v>
      </c>
      <c r="J233" s="690"/>
      <c r="K233" s="275" t="s">
        <v>290</v>
      </c>
      <c r="L233" s="274" t="s">
        <v>256</v>
      </c>
      <c r="M233" s="272">
        <v>22887</v>
      </c>
      <c r="N233" s="272">
        <v>44804</v>
      </c>
      <c r="O233" s="272">
        <v>44810</v>
      </c>
      <c r="P233" s="279">
        <v>44792</v>
      </c>
      <c r="Q233" s="272">
        <v>44799</v>
      </c>
      <c r="S233" s="485"/>
      <c r="T233" s="486" t="s">
        <v>1628</v>
      </c>
      <c r="U233" s="486" t="s">
        <v>1628</v>
      </c>
      <c r="V233" s="382">
        <f>LEN(D233)</f>
        <v>11</v>
      </c>
      <c r="W233" s="311"/>
      <c r="X233" s="208">
        <f ca="1">INT((TODAY()-M233)/365)</f>
        <v>63</v>
      </c>
      <c r="AF233" s="311"/>
      <c r="AG233" s="311"/>
      <c r="AH233" s="311"/>
    </row>
    <row r="234" spans="1:34">
      <c r="A234" s="987">
        <v>7</v>
      </c>
      <c r="B234" s="922" t="s">
        <v>1629</v>
      </c>
      <c r="C234" s="923" t="s">
        <v>543</v>
      </c>
      <c r="D234" s="880">
        <v>50205349035</v>
      </c>
      <c r="E234" s="18" t="s">
        <v>1630</v>
      </c>
      <c r="F234" s="574" t="s">
        <v>23</v>
      </c>
      <c r="G234" s="476">
        <v>22873</v>
      </c>
      <c r="H234" s="476">
        <v>44804</v>
      </c>
      <c r="I234" s="18">
        <v>9002071133</v>
      </c>
      <c r="J234" s="18" t="s">
        <v>76</v>
      </c>
    </row>
    <row r="235" spans="1:34">
      <c r="A235" s="231">
        <v>4</v>
      </c>
      <c r="B235" s="882" t="s">
        <v>1631</v>
      </c>
      <c r="C235" s="235" t="s">
        <v>76</v>
      </c>
      <c r="D235" s="883" t="s">
        <v>137</v>
      </c>
      <c r="E235" s="235">
        <v>5343094</v>
      </c>
      <c r="F235" s="233" t="s">
        <v>1632</v>
      </c>
      <c r="G235" s="236">
        <v>44804</v>
      </c>
      <c r="H235" s="233" t="s">
        <v>1633</v>
      </c>
      <c r="I235" s="233" t="s">
        <v>1634</v>
      </c>
      <c r="J235" s="237" t="s">
        <v>1635</v>
      </c>
      <c r="K235" s="238" t="s">
        <v>142</v>
      </c>
      <c r="L235" s="239"/>
    </row>
    <row r="236" spans="1:34" ht="15.75">
      <c r="A236" s="335">
        <v>67</v>
      </c>
      <c r="B236" s="984" t="s">
        <v>1636</v>
      </c>
      <c r="C236" s="1055" t="s">
        <v>14</v>
      </c>
      <c r="D236" s="931" t="s">
        <v>1637</v>
      </c>
      <c r="E236" s="527" t="s">
        <v>1638</v>
      </c>
      <c r="F236" s="970" t="s">
        <v>759</v>
      </c>
      <c r="G236" s="932" t="s">
        <v>77</v>
      </c>
      <c r="H236" s="3"/>
      <c r="I236" s="666">
        <v>9163382119</v>
      </c>
      <c r="J236" s="327"/>
      <c r="K236" s="328" t="s">
        <v>253</v>
      </c>
      <c r="L236" s="993" t="s">
        <v>1217</v>
      </c>
      <c r="M236" s="913">
        <v>22871</v>
      </c>
      <c r="N236" s="913">
        <v>44804</v>
      </c>
      <c r="O236" s="933">
        <v>44835</v>
      </c>
      <c r="P236" s="933">
        <v>45199</v>
      </c>
      <c r="Q236" s="915">
        <v>45453</v>
      </c>
      <c r="R236" s="1056"/>
      <c r="S236" s="199"/>
      <c r="T236" s="1057" t="s">
        <v>1639</v>
      </c>
      <c r="U236" s="199"/>
      <c r="V236" s="199"/>
      <c r="W236" s="199"/>
      <c r="X236" s="199"/>
      <c r="Y236" s="199"/>
      <c r="Z236" s="199"/>
      <c r="AA236" s="199"/>
      <c r="AB236" s="199"/>
      <c r="AC236" s="199"/>
      <c r="AD236" s="199"/>
      <c r="AE236" s="199"/>
      <c r="AF236" s="199"/>
      <c r="AG236" s="199"/>
      <c r="AH236" s="199"/>
    </row>
    <row r="237" spans="1:34">
      <c r="A237" s="90"/>
      <c r="C237" s="89"/>
      <c r="F237" s="90"/>
      <c r="I237" s="90"/>
      <c r="J237" s="90"/>
      <c r="L237" s="90"/>
    </row>
    <row r="238" spans="1:34" ht="15.75">
      <c r="A238" s="980">
        <v>12</v>
      </c>
      <c r="B238" s="971" t="s">
        <v>1640</v>
      </c>
      <c r="C238" s="223" t="s">
        <v>22</v>
      </c>
      <c r="D238" s="972">
        <v>3329804091</v>
      </c>
      <c r="E238" s="973" t="s">
        <v>1641</v>
      </c>
      <c r="F238" s="674" t="s">
        <v>759</v>
      </c>
      <c r="G238" s="18" t="s">
        <v>78</v>
      </c>
      <c r="H238" s="275"/>
      <c r="I238" s="18">
        <v>7976201132</v>
      </c>
      <c r="J238" s="18">
        <v>7976201132</v>
      </c>
      <c r="K238" s="18" t="s">
        <v>315</v>
      </c>
      <c r="L238" s="275" t="s">
        <v>610</v>
      </c>
      <c r="M238" s="418">
        <v>33968</v>
      </c>
      <c r="N238" s="418">
        <v>55884</v>
      </c>
      <c r="O238" s="440">
        <v>45101</v>
      </c>
      <c r="P238" s="418">
        <v>45459</v>
      </c>
      <c r="Q238" s="418">
        <v>45382</v>
      </c>
      <c r="R238" s="281" t="s">
        <v>1642</v>
      </c>
      <c r="S238" s="338" t="s">
        <v>1643</v>
      </c>
      <c r="T238" s="280"/>
      <c r="U238" s="280"/>
      <c r="V238" s="280"/>
      <c r="W238" s="208">
        <f ca="1">INT((TODAY()-M238)/365)</f>
        <v>33</v>
      </c>
    </row>
    <row r="239" spans="1:34">
      <c r="A239" s="90"/>
      <c r="C239" s="89"/>
      <c r="F239" s="90"/>
      <c r="I239" s="90"/>
      <c r="J239" s="90"/>
      <c r="L239" s="90"/>
    </row>
    <row r="240" spans="1:34" ht="15.75">
      <c r="A240" s="980">
        <v>22</v>
      </c>
      <c r="B240" s="971" t="s">
        <v>1644</v>
      </c>
      <c r="C240" s="223" t="s">
        <v>22</v>
      </c>
      <c r="D240" s="972">
        <v>3329804068</v>
      </c>
      <c r="E240" s="973" t="s">
        <v>1645</v>
      </c>
      <c r="F240" s="943" t="s">
        <v>759</v>
      </c>
      <c r="G240" s="18" t="s">
        <v>78</v>
      </c>
      <c r="H240" s="275"/>
      <c r="I240" s="18">
        <v>9694234163</v>
      </c>
      <c r="J240" s="18">
        <v>9694234163</v>
      </c>
      <c r="K240" s="18" t="s">
        <v>315</v>
      </c>
      <c r="L240" s="18" t="s">
        <v>1199</v>
      </c>
      <c r="M240" s="418">
        <v>33488</v>
      </c>
      <c r="N240" s="418">
        <v>55426</v>
      </c>
      <c r="O240" s="440">
        <v>45103</v>
      </c>
      <c r="P240" s="418">
        <v>45459</v>
      </c>
      <c r="Q240" s="418">
        <v>45382</v>
      </c>
      <c r="R240" s="281" t="s">
        <v>1646</v>
      </c>
      <c r="S240" s="280"/>
      <c r="T240" s="338" t="s">
        <v>1647</v>
      </c>
      <c r="U240" s="280"/>
      <c r="V240" s="280"/>
      <c r="W240" s="208">
        <f ca="1">INT((TODAY()-M240)/365)</f>
        <v>34</v>
      </c>
    </row>
    <row r="241" spans="1:34">
      <c r="A241" s="1015">
        <v>2</v>
      </c>
      <c r="B241" s="334" t="s">
        <v>1648</v>
      </c>
      <c r="C241" s="838" t="s">
        <v>745</v>
      </c>
      <c r="D241" s="334"/>
      <c r="E241" s="334" t="s">
        <v>682</v>
      </c>
      <c r="F241" s="657"/>
      <c r="G241" s="450" t="s">
        <v>12</v>
      </c>
      <c r="H241" s="334" t="s">
        <v>1419</v>
      </c>
      <c r="I241" s="329">
        <v>22896</v>
      </c>
      <c r="J241" s="329">
        <v>44834</v>
      </c>
    </row>
    <row r="242" spans="1:34" ht="15.75" customHeight="1">
      <c r="A242" s="936">
        <v>27</v>
      </c>
      <c r="B242" s="305" t="s">
        <v>1176</v>
      </c>
      <c r="C242" s="276" t="s">
        <v>31</v>
      </c>
      <c r="D242" s="677">
        <v>50205343045</v>
      </c>
      <c r="E242" s="18" t="s">
        <v>1649</v>
      </c>
      <c r="F242" s="274" t="s">
        <v>759</v>
      </c>
      <c r="G242" s="1060" t="s">
        <v>76</v>
      </c>
      <c r="H242" s="274" t="s">
        <v>266</v>
      </c>
      <c r="I242" s="303">
        <v>9748303659</v>
      </c>
      <c r="J242" s="703"/>
      <c r="K242" s="293" t="s">
        <v>261</v>
      </c>
      <c r="L242" s="274" t="s">
        <v>342</v>
      </c>
      <c r="M242" s="278">
        <v>22898</v>
      </c>
      <c r="N242" s="315">
        <v>44834</v>
      </c>
      <c r="O242" s="278">
        <v>44824</v>
      </c>
      <c r="P242" s="278">
        <v>45608</v>
      </c>
      <c r="Q242" s="302">
        <v>45397</v>
      </c>
      <c r="R242" s="1061"/>
      <c r="S242" s="317"/>
      <c r="T242" s="317"/>
      <c r="U242" s="318" t="s">
        <v>1650</v>
      </c>
      <c r="V242" s="285"/>
      <c r="W242" s="208">
        <f ca="1">INT((TODAY()-M242)/365)</f>
        <v>63</v>
      </c>
      <c r="X242" s="90"/>
      <c r="Y242" s="298"/>
      <c r="Z242" s="298"/>
      <c r="AA242" s="298"/>
      <c r="AB242" s="298"/>
      <c r="AC242" s="298"/>
      <c r="AD242" s="298"/>
      <c r="AE242" s="298"/>
      <c r="AF242" s="298"/>
      <c r="AG242" s="298"/>
      <c r="AH242" s="298"/>
    </row>
    <row r="243" spans="1:34">
      <c r="A243" s="197">
        <v>14</v>
      </c>
      <c r="B243" s="197" t="s">
        <v>1651</v>
      </c>
      <c r="C243" s="838" t="s">
        <v>137</v>
      </c>
      <c r="D243" s="90"/>
      <c r="E243" s="941" t="s">
        <v>1652</v>
      </c>
      <c r="F243" s="137" t="s">
        <v>440</v>
      </c>
      <c r="G243" s="466">
        <v>22894</v>
      </c>
      <c r="H243" s="466">
        <v>44834</v>
      </c>
      <c r="I243" s="650" t="s">
        <v>315</v>
      </c>
      <c r="J243" s="137" t="s">
        <v>76</v>
      </c>
      <c r="K243" s="90"/>
    </row>
    <row r="244" spans="1:34" ht="15.75" customHeight="1">
      <c r="A244" s="980">
        <v>25</v>
      </c>
      <c r="B244" s="286" t="s">
        <v>1653</v>
      </c>
      <c r="C244" s="223" t="s">
        <v>22</v>
      </c>
      <c r="D244" s="972">
        <v>3329804120</v>
      </c>
      <c r="E244" s="1062" t="s">
        <v>1654</v>
      </c>
      <c r="F244" s="943" t="s">
        <v>759</v>
      </c>
      <c r="G244" s="18" t="s">
        <v>77</v>
      </c>
      <c r="H244" s="275"/>
      <c r="I244" s="3"/>
      <c r="J244" s="275"/>
      <c r="K244" s="18" t="s">
        <v>315</v>
      </c>
      <c r="L244" s="18" t="s">
        <v>93</v>
      </c>
      <c r="M244" s="418">
        <v>34598</v>
      </c>
      <c r="N244" s="418">
        <v>56613</v>
      </c>
      <c r="O244" s="428">
        <v>45110</v>
      </c>
      <c r="P244" s="418">
        <v>45368</v>
      </c>
      <c r="Q244" s="418">
        <v>45412</v>
      </c>
      <c r="R244" s="281" t="s">
        <v>1655</v>
      </c>
      <c r="S244" s="338" t="s">
        <v>1656</v>
      </c>
      <c r="T244" s="280"/>
      <c r="U244" s="280"/>
      <c r="V244" s="280"/>
      <c r="W244" s="208">
        <f ca="1">INT((TODAY()-M244)/365)</f>
        <v>31</v>
      </c>
      <c r="X244" s="79"/>
      <c r="Y244" s="79"/>
      <c r="Z244" s="79"/>
      <c r="AA244" s="79"/>
    </row>
    <row r="245" spans="1:34">
      <c r="A245" s="90"/>
      <c r="C245" s="89"/>
      <c r="F245" s="90"/>
      <c r="I245" s="90"/>
      <c r="J245" s="90"/>
    </row>
    <row r="246" spans="1:34" ht="15.75" customHeight="1">
      <c r="A246" s="1063">
        <v>6</v>
      </c>
      <c r="B246" s="276" t="s">
        <v>1657</v>
      </c>
      <c r="C246" s="919" t="s">
        <v>81</v>
      </c>
      <c r="D246" s="675">
        <v>50211078881</v>
      </c>
      <c r="E246" s="1064" t="s">
        <v>1658</v>
      </c>
      <c r="F246" s="946" t="s">
        <v>759</v>
      </c>
      <c r="G246" s="870" t="s">
        <v>76</v>
      </c>
      <c r="H246" s="303" t="s">
        <v>279</v>
      </c>
      <c r="I246" s="307">
        <v>9433520518</v>
      </c>
      <c r="J246" s="307">
        <v>9433520518</v>
      </c>
      <c r="K246" s="276" t="s">
        <v>253</v>
      </c>
      <c r="L246" s="274" t="s">
        <v>97</v>
      </c>
      <c r="M246" s="315">
        <v>22936</v>
      </c>
      <c r="N246" s="315">
        <v>44865</v>
      </c>
      <c r="O246" s="315">
        <v>44856</v>
      </c>
      <c r="P246" s="315">
        <v>45074</v>
      </c>
      <c r="Q246" s="272">
        <v>45509</v>
      </c>
      <c r="R246" s="285"/>
      <c r="S246" s="285"/>
      <c r="T246" s="318" t="s">
        <v>1659</v>
      </c>
      <c r="U246" s="317"/>
      <c r="V246" s="285"/>
      <c r="W246" s="3"/>
      <c r="X246" s="18" t="s">
        <v>1660</v>
      </c>
      <c r="Y246" s="18">
        <v>2</v>
      </c>
      <c r="Z246" s="286" t="s">
        <v>85</v>
      </c>
      <c r="AA246" s="79"/>
      <c r="AB246" s="311">
        <f t="shared" ref="AB246:AB248" ca="1" si="43">INT((TODAY()-M246)/365)</f>
        <v>63</v>
      </c>
    </row>
    <row r="247" spans="1:34" ht="15.75" customHeight="1">
      <c r="A247" s="974">
        <v>15</v>
      </c>
      <c r="B247" s="351" t="s">
        <v>1661</v>
      </c>
      <c r="C247" s="351" t="s">
        <v>14</v>
      </c>
      <c r="D247" s="306">
        <v>50205331559</v>
      </c>
      <c r="E247" s="1065" t="s">
        <v>1662</v>
      </c>
      <c r="F247" s="686" t="s">
        <v>759</v>
      </c>
      <c r="G247" s="284" t="s">
        <v>76</v>
      </c>
      <c r="H247" s="284" t="s">
        <v>279</v>
      </c>
      <c r="I247" s="391">
        <v>9002071202</v>
      </c>
      <c r="J247" s="391"/>
      <c r="K247" s="276" t="s">
        <v>253</v>
      </c>
      <c r="L247" s="274" t="s">
        <v>267</v>
      </c>
      <c r="M247" s="390">
        <v>22929</v>
      </c>
      <c r="N247" s="289">
        <v>44865</v>
      </c>
      <c r="O247" s="392">
        <v>44867</v>
      </c>
      <c r="P247" s="272">
        <v>45057</v>
      </c>
      <c r="Q247" s="272">
        <v>45873</v>
      </c>
      <c r="R247" s="393"/>
      <c r="S247" s="393"/>
      <c r="T247" s="394" t="s">
        <v>1663</v>
      </c>
      <c r="U247" s="393"/>
      <c r="V247" s="383">
        <f t="shared" ref="V247:V248" si="44">LEN(TEXT(D247,0))</f>
        <v>11</v>
      </c>
      <c r="W247" s="584">
        <v>43242</v>
      </c>
      <c r="X247" s="79"/>
      <c r="Y247" s="395"/>
      <c r="Z247" s="286" t="s">
        <v>84</v>
      </c>
      <c r="AA247" s="383"/>
      <c r="AB247" s="208">
        <f t="shared" ca="1" si="43"/>
        <v>63</v>
      </c>
      <c r="AC247" s="384"/>
      <c r="AD247" s="384"/>
      <c r="AE247" s="384"/>
      <c r="AF247" s="384"/>
      <c r="AG247" s="384"/>
      <c r="AH247" s="384"/>
    </row>
    <row r="248" spans="1:34" ht="15.75" customHeight="1">
      <c r="A248" s="1066">
        <v>6</v>
      </c>
      <c r="B248" s="351" t="s">
        <v>1664</v>
      </c>
      <c r="C248" s="351" t="s">
        <v>14</v>
      </c>
      <c r="D248" s="306">
        <v>50205360432</v>
      </c>
      <c r="E248" s="582" t="s">
        <v>1665</v>
      </c>
      <c r="F248" s="686" t="s">
        <v>759</v>
      </c>
      <c r="G248" s="284" t="s">
        <v>76</v>
      </c>
      <c r="H248" s="284" t="s">
        <v>279</v>
      </c>
      <c r="I248" s="391">
        <v>9002071096</v>
      </c>
      <c r="J248" s="391">
        <v>9002071096</v>
      </c>
      <c r="K248" s="351" t="s">
        <v>334</v>
      </c>
      <c r="L248" s="275" t="s">
        <v>1016</v>
      </c>
      <c r="M248" s="390">
        <v>22951</v>
      </c>
      <c r="N248" s="289">
        <v>44865</v>
      </c>
      <c r="O248" s="392">
        <v>44868</v>
      </c>
      <c r="P248" s="289">
        <v>44904</v>
      </c>
      <c r="Q248" s="302">
        <v>45397</v>
      </c>
      <c r="R248" s="393"/>
      <c r="S248" s="393"/>
      <c r="T248" s="394" t="s">
        <v>1666</v>
      </c>
      <c r="U248" s="393"/>
      <c r="V248" s="383">
        <f t="shared" si="44"/>
        <v>11</v>
      </c>
      <c r="W248" s="584">
        <v>43264</v>
      </c>
      <c r="X248" s="79"/>
      <c r="Y248" s="395"/>
      <c r="Z248" s="286" t="s">
        <v>84</v>
      </c>
      <c r="AA248" s="383"/>
      <c r="AB248" s="208">
        <f t="shared" ca="1" si="43"/>
        <v>63</v>
      </c>
      <c r="AC248" s="384"/>
      <c r="AD248" s="384"/>
      <c r="AE248" s="384"/>
      <c r="AF248" s="384"/>
      <c r="AG248" s="384"/>
      <c r="AH248" s="384"/>
    </row>
    <row r="249" spans="1:34" ht="15.75" customHeight="1">
      <c r="A249" s="893">
        <v>46</v>
      </c>
      <c r="B249" s="293" t="s">
        <v>1667</v>
      </c>
      <c r="C249" s="293" t="s">
        <v>31</v>
      </c>
      <c r="D249" s="1067" t="s">
        <v>1668</v>
      </c>
      <c r="E249" s="274" t="s">
        <v>1669</v>
      </c>
      <c r="F249" s="18" t="s">
        <v>759</v>
      </c>
      <c r="G249" s="274" t="s">
        <v>77</v>
      </c>
      <c r="H249" s="274" t="s">
        <v>279</v>
      </c>
      <c r="I249" s="275">
        <v>9002071219</v>
      </c>
      <c r="J249" s="690"/>
      <c r="K249" s="275" t="s">
        <v>290</v>
      </c>
      <c r="L249" s="275" t="s">
        <v>610</v>
      </c>
      <c r="M249" s="272">
        <v>22951</v>
      </c>
      <c r="N249" s="272">
        <v>44865</v>
      </c>
      <c r="O249" s="272">
        <v>44856</v>
      </c>
      <c r="P249" s="279">
        <v>45527</v>
      </c>
      <c r="Q249" s="1058">
        <v>45450</v>
      </c>
      <c r="S249" s="309"/>
      <c r="T249" s="310" t="s">
        <v>1670</v>
      </c>
      <c r="U249" s="310" t="s">
        <v>1670</v>
      </c>
      <c r="V249" s="311">
        <f>LEN(D249)</f>
        <v>11</v>
      </c>
      <c r="W249" s="311"/>
      <c r="X249" s="208">
        <f ca="1">INT((TODAY()-M249)/365)</f>
        <v>63</v>
      </c>
      <c r="Y249" s="311"/>
      <c r="Z249" s="311"/>
      <c r="AA249" s="311"/>
      <c r="AB249" s="311"/>
      <c r="AC249" s="311"/>
      <c r="AD249" s="311"/>
      <c r="AE249" s="311"/>
      <c r="AF249" s="311"/>
      <c r="AG249" s="311"/>
      <c r="AH249" s="311"/>
    </row>
    <row r="250" spans="1:34" ht="15.75" customHeight="1">
      <c r="A250" s="893">
        <v>104</v>
      </c>
      <c r="B250" s="197" t="s">
        <v>1671</v>
      </c>
      <c r="C250" s="838" t="s">
        <v>31</v>
      </c>
      <c r="D250" s="90"/>
      <c r="E250" s="941" t="s">
        <v>1672</v>
      </c>
      <c r="F250" s="685" t="s">
        <v>759</v>
      </c>
      <c r="G250" s="337" t="s">
        <v>76</v>
      </c>
      <c r="H250" s="303" t="s">
        <v>266</v>
      </c>
      <c r="I250" s="650"/>
      <c r="J250" s="137"/>
      <c r="K250" s="650" t="s">
        <v>290</v>
      </c>
      <c r="L250" s="1068" t="s">
        <v>1673</v>
      </c>
      <c r="M250" s="466">
        <v>22941</v>
      </c>
      <c r="N250" s="466">
        <v>44865</v>
      </c>
      <c r="O250" s="836"/>
      <c r="P250" s="836"/>
      <c r="Q250" s="836"/>
      <c r="R250" s="308"/>
      <c r="S250" s="309"/>
      <c r="T250" s="309"/>
      <c r="U250" s="309"/>
      <c r="V250" s="311"/>
      <c r="W250" s="311"/>
      <c r="X250" s="311"/>
      <c r="Y250" s="311"/>
      <c r="Z250" s="311"/>
      <c r="AA250" s="311"/>
      <c r="AB250" s="311"/>
      <c r="AC250" s="311"/>
      <c r="AD250" s="311"/>
      <c r="AE250" s="311"/>
      <c r="AF250" s="311"/>
      <c r="AG250" s="311"/>
      <c r="AH250" s="311"/>
    </row>
    <row r="251" spans="1:34" ht="18.75">
      <c r="A251" s="898">
        <v>30</v>
      </c>
      <c r="B251" s="276" t="s">
        <v>1674</v>
      </c>
      <c r="C251" s="276" t="s">
        <v>31</v>
      </c>
      <c r="D251" s="675">
        <v>50205343057</v>
      </c>
      <c r="E251" s="303" t="s">
        <v>1675</v>
      </c>
      <c r="F251" s="685" t="s">
        <v>759</v>
      </c>
      <c r="G251" s="337" t="s">
        <v>77</v>
      </c>
      <c r="H251" s="303" t="s">
        <v>279</v>
      </c>
      <c r="I251" s="307">
        <v>9002071128</v>
      </c>
      <c r="J251" s="703">
        <v>9002071128</v>
      </c>
      <c r="K251" s="276" t="s">
        <v>253</v>
      </c>
      <c r="L251" s="275" t="s">
        <v>97</v>
      </c>
      <c r="M251" s="278">
        <v>22934</v>
      </c>
      <c r="N251" s="315">
        <v>44865</v>
      </c>
      <c r="O251" s="278">
        <v>45134</v>
      </c>
      <c r="P251" s="278">
        <v>44999</v>
      </c>
      <c r="Q251" s="387">
        <v>44918</v>
      </c>
      <c r="R251" s="285"/>
      <c r="S251" s="285"/>
      <c r="T251" s="339" t="s">
        <v>1676</v>
      </c>
      <c r="U251" s="339" t="s">
        <v>1677</v>
      </c>
      <c r="V251" s="425">
        <f>LEN(D251)</f>
        <v>11</v>
      </c>
      <c r="W251" s="90"/>
      <c r="X251" s="90"/>
      <c r="Y251" s="90"/>
      <c r="AB251" s="311">
        <f ca="1">INT((TODAY()-M251)/365)</f>
        <v>63</v>
      </c>
    </row>
    <row r="252" spans="1:34">
      <c r="A252" s="90"/>
      <c r="C252" s="89"/>
      <c r="F252" s="90"/>
      <c r="I252" s="90"/>
      <c r="J252" s="90"/>
    </row>
    <row r="253" spans="1:34">
      <c r="A253" s="335">
        <v>85</v>
      </c>
      <c r="B253" s="335" t="s">
        <v>1678</v>
      </c>
      <c r="C253" s="990" t="s">
        <v>81</v>
      </c>
      <c r="D253" s="1069">
        <v>50204672586</v>
      </c>
      <c r="E253" s="327"/>
      <c r="F253" s="18" t="s">
        <v>759</v>
      </c>
      <c r="G253" s="284" t="s">
        <v>76</v>
      </c>
      <c r="H253" s="327"/>
      <c r="I253" s="327"/>
      <c r="J253" s="327"/>
      <c r="K253" s="328" t="s">
        <v>253</v>
      </c>
      <c r="L253" s="911" t="s">
        <v>1331</v>
      </c>
      <c r="M253" s="1070">
        <v>23388</v>
      </c>
      <c r="N253" s="326">
        <v>45322</v>
      </c>
      <c r="O253" s="656" t="s">
        <v>1679</v>
      </c>
      <c r="P253" s="330"/>
      <c r="Q253" s="331"/>
      <c r="R253" s="332"/>
      <c r="S253" s="334"/>
      <c r="T253" s="332"/>
      <c r="U253" s="334"/>
      <c r="V253" s="334"/>
      <c r="W253" s="334"/>
      <c r="X253" s="334"/>
      <c r="Y253" s="334"/>
      <c r="Z253" s="334"/>
      <c r="AA253" s="334"/>
      <c r="AB253" s="334"/>
      <c r="AC253" s="334"/>
      <c r="AD253" s="334"/>
      <c r="AE253" s="334"/>
      <c r="AF253" s="334"/>
      <c r="AG253" s="334"/>
      <c r="AH253" s="334"/>
    </row>
    <row r="254" spans="1:34" ht="30.75">
      <c r="A254" s="937">
        <v>31</v>
      </c>
      <c r="B254" s="276" t="s">
        <v>1680</v>
      </c>
      <c r="C254" s="919" t="s">
        <v>21</v>
      </c>
      <c r="D254" s="677">
        <v>50205355308</v>
      </c>
      <c r="E254" s="303" t="s">
        <v>1681</v>
      </c>
      <c r="F254" s="946" t="s">
        <v>759</v>
      </c>
      <c r="G254" s="337" t="s">
        <v>76</v>
      </c>
      <c r="H254" s="307"/>
      <c r="I254" s="307">
        <v>9002071787</v>
      </c>
      <c r="J254" s="307">
        <v>9002071787</v>
      </c>
      <c r="K254" s="276" t="s">
        <v>253</v>
      </c>
      <c r="L254" s="275" t="s">
        <v>294</v>
      </c>
      <c r="M254" s="315">
        <v>23234</v>
      </c>
      <c r="N254" s="315">
        <v>45169</v>
      </c>
      <c r="O254" s="315">
        <v>45029</v>
      </c>
      <c r="P254" s="315">
        <v>45097</v>
      </c>
      <c r="Q254" s="279">
        <v>45187</v>
      </c>
      <c r="R254" s="318" t="s">
        <v>1682</v>
      </c>
      <c r="S254" s="317" t="s">
        <v>1683</v>
      </c>
      <c r="T254" s="285"/>
      <c r="U254" s="285"/>
      <c r="V254" s="285"/>
      <c r="W254" s="90"/>
      <c r="X254" s="90"/>
      <c r="Y254" s="90"/>
      <c r="AB254" s="311">
        <f ca="1">INT((TODAY()-M254)/365)</f>
        <v>62</v>
      </c>
    </row>
    <row r="255" spans="1:34">
      <c r="A255" s="1015">
        <v>4</v>
      </c>
      <c r="B255" s="334" t="s">
        <v>1684</v>
      </c>
      <c r="C255" s="1071" t="s">
        <v>1685</v>
      </c>
      <c r="D255" s="670" t="s">
        <v>878</v>
      </c>
      <c r="E255" s="334" t="s">
        <v>682</v>
      </c>
      <c r="F255" s="671">
        <v>50205634260</v>
      </c>
      <c r="G255" s="904" t="s">
        <v>315</v>
      </c>
      <c r="H255" s="929" t="s">
        <v>578</v>
      </c>
      <c r="I255" s="329">
        <v>27043</v>
      </c>
      <c r="J255" s="326">
        <v>48975</v>
      </c>
      <c r="K255" s="197" t="s">
        <v>1686</v>
      </c>
    </row>
    <row r="256" spans="1:34" ht="18.75">
      <c r="A256" s="980">
        <v>112</v>
      </c>
      <c r="B256" s="1072" t="s">
        <v>1687</v>
      </c>
      <c r="C256" s="305" t="s">
        <v>22</v>
      </c>
      <c r="D256" s="675">
        <v>50313032483</v>
      </c>
      <c r="E256" s="681" t="s">
        <v>1688</v>
      </c>
      <c r="F256" s="1024" t="s">
        <v>759</v>
      </c>
      <c r="G256" s="337" t="s">
        <v>77</v>
      </c>
      <c r="H256" s="307"/>
      <c r="I256" s="307"/>
      <c r="J256" s="307"/>
      <c r="K256" s="18" t="s">
        <v>315</v>
      </c>
      <c r="L256" s="274" t="s">
        <v>267</v>
      </c>
      <c r="M256" s="315">
        <v>30336</v>
      </c>
      <c r="N256" s="315">
        <v>52262</v>
      </c>
      <c r="O256" s="315">
        <v>45486</v>
      </c>
      <c r="P256" s="272">
        <v>45533</v>
      </c>
      <c r="Q256" s="272">
        <v>45594</v>
      </c>
      <c r="R256" s="317" t="s">
        <v>1689</v>
      </c>
      <c r="S256" s="285"/>
      <c r="T256" s="317"/>
      <c r="U256" s="285"/>
      <c r="V256" s="285"/>
      <c r="W256" s="137" t="s">
        <v>1690</v>
      </c>
      <c r="X256" s="3"/>
      <c r="Y256" s="3"/>
      <c r="Z256" s="79"/>
      <c r="AA256" s="79"/>
      <c r="AB256" s="382"/>
      <c r="AC256" s="79"/>
      <c r="AD256" s="79"/>
      <c r="AE256" s="79"/>
    </row>
    <row r="257" spans="1:39">
      <c r="A257" s="662">
        <v>56</v>
      </c>
      <c r="B257" s="334"/>
      <c r="C257" s="1073" t="s">
        <v>1691</v>
      </c>
      <c r="D257" s="327"/>
      <c r="E257" s="286" t="s">
        <v>868</v>
      </c>
      <c r="F257" s="656" t="s">
        <v>11</v>
      </c>
      <c r="G257" s="334"/>
      <c r="H257" s="334"/>
      <c r="I257" s="327"/>
      <c r="J257" s="327"/>
      <c r="K257" s="666" t="s">
        <v>1692</v>
      </c>
    </row>
    <row r="258" spans="1:39">
      <c r="A258" s="662">
        <v>59</v>
      </c>
      <c r="B258" s="334"/>
      <c r="C258" s="1073" t="s">
        <v>1693</v>
      </c>
      <c r="D258" s="327"/>
      <c r="E258" s="286" t="s">
        <v>868</v>
      </c>
      <c r="F258" s="656" t="s">
        <v>10</v>
      </c>
      <c r="G258" s="334"/>
      <c r="H258" s="334"/>
      <c r="I258" s="329"/>
      <c r="J258" s="327"/>
      <c r="K258" s="666" t="s">
        <v>1694</v>
      </c>
    </row>
    <row r="259" spans="1:39" ht="15.75">
      <c r="A259" s="1074">
        <v>73</v>
      </c>
      <c r="B259" s="1075" t="s">
        <v>1695</v>
      </c>
      <c r="C259" s="1076" t="s">
        <v>20</v>
      </c>
      <c r="D259" s="1077">
        <v>50200400589</v>
      </c>
      <c r="E259" s="1078" t="s">
        <v>1696</v>
      </c>
      <c r="F259" s="1079" t="s">
        <v>759</v>
      </c>
      <c r="G259" s="1080"/>
      <c r="H259" s="1080"/>
      <c r="I259" s="1081">
        <v>9163382285</v>
      </c>
      <c r="J259" s="1080"/>
      <c r="K259" s="1082" t="s">
        <v>290</v>
      </c>
      <c r="L259" s="1083" t="s">
        <v>1576</v>
      </c>
      <c r="M259" s="1084">
        <v>22924</v>
      </c>
      <c r="N259" s="1085">
        <v>44865</v>
      </c>
      <c r="O259" s="1086">
        <v>44917</v>
      </c>
      <c r="P259" s="1087">
        <v>45314</v>
      </c>
      <c r="Q259" s="1088">
        <v>45674</v>
      </c>
      <c r="R259" s="1089"/>
      <c r="S259" s="1090"/>
      <c r="T259" s="1091"/>
      <c r="U259" s="1090"/>
      <c r="V259" s="1090"/>
      <c r="W259" s="1090"/>
      <c r="X259" s="1090"/>
      <c r="Y259" s="1090"/>
      <c r="Z259" s="1090"/>
      <c r="AA259" s="1090"/>
      <c r="AB259" s="1090"/>
      <c r="AC259" s="1090"/>
      <c r="AD259" s="1090"/>
      <c r="AE259" s="1090"/>
      <c r="AF259" s="1090"/>
      <c r="AG259" s="1090"/>
      <c r="AH259" s="1090"/>
      <c r="AI259" s="1092"/>
      <c r="AJ259" s="1092"/>
      <c r="AK259" s="1092"/>
      <c r="AL259" s="1092"/>
      <c r="AM259" s="1092"/>
    </row>
    <row r="260" spans="1:39">
      <c r="A260" s="231">
        <v>33</v>
      </c>
      <c r="B260" s="882" t="s">
        <v>1697</v>
      </c>
      <c r="C260" s="235" t="s">
        <v>76</v>
      </c>
      <c r="D260" s="883" t="s">
        <v>137</v>
      </c>
      <c r="E260" s="1093"/>
      <c r="F260" s="1094">
        <v>22933</v>
      </c>
      <c r="G260" s="236">
        <v>44865</v>
      </c>
      <c r="H260" s="1095"/>
      <c r="I260" s="1095"/>
      <c r="J260" s="237" t="s">
        <v>810</v>
      </c>
      <c r="K260" s="238" t="s">
        <v>142</v>
      </c>
      <c r="L260" s="239"/>
    </row>
    <row r="261" spans="1:39" ht="15.75" customHeight="1">
      <c r="A261" s="1001">
        <v>7</v>
      </c>
      <c r="B261" s="293" t="s">
        <v>1698</v>
      </c>
      <c r="C261" s="293" t="s">
        <v>31</v>
      </c>
      <c r="D261" s="488">
        <v>50205349072</v>
      </c>
      <c r="E261" s="303" t="s">
        <v>1699</v>
      </c>
      <c r="F261" s="624" t="s">
        <v>759</v>
      </c>
      <c r="G261" s="385" t="s">
        <v>76</v>
      </c>
      <c r="H261" s="274" t="s">
        <v>279</v>
      </c>
      <c r="I261" s="275">
        <v>9002071120</v>
      </c>
      <c r="J261" s="306">
        <v>8617287179</v>
      </c>
      <c r="K261" s="275" t="s">
        <v>330</v>
      </c>
      <c r="L261" s="275" t="s">
        <v>1199</v>
      </c>
      <c r="M261" s="289">
        <v>22960</v>
      </c>
      <c r="N261" s="289">
        <v>44895</v>
      </c>
      <c r="O261" s="272">
        <v>44904</v>
      </c>
      <c r="P261" s="279">
        <v>45501</v>
      </c>
      <c r="Q261" s="302">
        <v>45481</v>
      </c>
      <c r="R261" s="309"/>
      <c r="S261" s="309"/>
      <c r="T261" s="310" t="s">
        <v>1700</v>
      </c>
      <c r="U261" s="310" t="s">
        <v>1700</v>
      </c>
      <c r="V261" s="388">
        <f ca="1">INT((TODAY()-M261)/365)</f>
        <v>63</v>
      </c>
      <c r="W261" s="311"/>
      <c r="X261" s="311"/>
      <c r="Y261" s="311"/>
      <c r="Z261" s="311"/>
      <c r="AA261" s="311"/>
      <c r="AB261" s="311"/>
      <c r="AC261" s="311"/>
      <c r="AD261" s="311"/>
      <c r="AE261" s="311"/>
      <c r="AF261" s="311"/>
      <c r="AG261" s="311"/>
      <c r="AH261" s="311"/>
    </row>
    <row r="262" spans="1:39">
      <c r="A262" s="90"/>
      <c r="C262" s="89"/>
      <c r="F262" s="90"/>
      <c r="I262" s="90"/>
      <c r="J262" s="90"/>
      <c r="L262" s="90"/>
    </row>
    <row r="263" spans="1:39">
      <c r="A263" s="980">
        <v>116</v>
      </c>
      <c r="B263" s="1096" t="s">
        <v>1701</v>
      </c>
      <c r="C263" s="305" t="s">
        <v>22</v>
      </c>
      <c r="D263" s="306">
        <v>6329801503</v>
      </c>
      <c r="E263" s="681" t="s">
        <v>1702</v>
      </c>
      <c r="F263" s="686" t="s">
        <v>759</v>
      </c>
      <c r="G263" s="284" t="s">
        <v>76</v>
      </c>
      <c r="H263" s="391"/>
      <c r="I263" s="307"/>
      <c r="J263" s="284"/>
      <c r="K263" s="18" t="s">
        <v>315</v>
      </c>
      <c r="L263" s="274" t="s">
        <v>342</v>
      </c>
      <c r="M263" s="272">
        <v>32857</v>
      </c>
      <c r="N263" s="315">
        <v>54788</v>
      </c>
      <c r="O263" s="400">
        <v>45881</v>
      </c>
      <c r="P263" s="279">
        <v>45275</v>
      </c>
      <c r="Q263" s="302">
        <v>45194</v>
      </c>
      <c r="R263" s="403"/>
      <c r="S263" s="393"/>
      <c r="T263" s="403" t="s">
        <v>1703</v>
      </c>
      <c r="U263" s="393"/>
      <c r="V263" s="383"/>
      <c r="W263" s="563"/>
      <c r="X263" s="79"/>
      <c r="Y263" s="395"/>
      <c r="Z263" s="79"/>
      <c r="AA263" s="383"/>
      <c r="AB263" s="282"/>
      <c r="AC263" s="383"/>
      <c r="AD263" s="383"/>
      <c r="AE263" s="383"/>
      <c r="AF263" s="384"/>
      <c r="AG263" s="384"/>
      <c r="AH263" s="384"/>
    </row>
    <row r="264" spans="1:39">
      <c r="A264" s="90"/>
      <c r="C264" s="89"/>
      <c r="F264" s="90"/>
      <c r="I264" s="90"/>
      <c r="J264" s="90"/>
      <c r="L264" s="90"/>
    </row>
    <row r="265" spans="1:39" ht="15.75" customHeight="1">
      <c r="A265" s="974">
        <v>11</v>
      </c>
      <c r="B265" s="276" t="s">
        <v>1704</v>
      </c>
      <c r="C265" s="919" t="s">
        <v>14</v>
      </c>
      <c r="D265" s="675">
        <v>50205338270</v>
      </c>
      <c r="E265" s="1064" t="s">
        <v>1705</v>
      </c>
      <c r="F265" s="946" t="s">
        <v>759</v>
      </c>
      <c r="G265" s="870" t="s">
        <v>76</v>
      </c>
      <c r="H265" s="303" t="s">
        <v>279</v>
      </c>
      <c r="I265" s="307">
        <v>9002071607</v>
      </c>
      <c r="J265" s="307"/>
      <c r="K265" s="276" t="s">
        <v>253</v>
      </c>
      <c r="L265" s="275" t="s">
        <v>610</v>
      </c>
      <c r="M265" s="921">
        <v>23012</v>
      </c>
      <c r="N265" s="315">
        <v>44926</v>
      </c>
      <c r="O265" s="278">
        <v>44943</v>
      </c>
      <c r="P265" s="278">
        <v>45499</v>
      </c>
      <c r="Q265" s="302">
        <v>45845</v>
      </c>
      <c r="R265" s="1029"/>
      <c r="S265" s="285"/>
      <c r="T265" s="318" t="s">
        <v>1706</v>
      </c>
      <c r="U265" s="318" t="s">
        <v>1706</v>
      </c>
      <c r="V265" s="285"/>
      <c r="W265" s="532">
        <v>42699</v>
      </c>
      <c r="X265" s="3"/>
      <c r="Y265" s="3"/>
      <c r="Z265" s="286" t="s">
        <v>84</v>
      </c>
      <c r="AA265" s="79"/>
      <c r="AB265" s="311">
        <f t="shared" ref="AB265:AB266" ca="1" si="45">INT((TODAY()-M265)/365)</f>
        <v>63</v>
      </c>
    </row>
    <row r="266" spans="1:39" ht="18.75">
      <c r="A266" s="898">
        <v>33</v>
      </c>
      <c r="B266" s="276" t="s">
        <v>1707</v>
      </c>
      <c r="C266" s="276" t="s">
        <v>31</v>
      </c>
      <c r="D266" s="675">
        <v>50205342946</v>
      </c>
      <c r="E266" s="303" t="s">
        <v>1708</v>
      </c>
      <c r="F266" s="685" t="s">
        <v>759</v>
      </c>
      <c r="G266" s="337" t="s">
        <v>76</v>
      </c>
      <c r="H266" s="303" t="s">
        <v>279</v>
      </c>
      <c r="I266" s="307">
        <v>9002071137</v>
      </c>
      <c r="J266" s="307"/>
      <c r="K266" s="276" t="s">
        <v>253</v>
      </c>
      <c r="L266" s="275" t="s">
        <v>102</v>
      </c>
      <c r="M266" s="278">
        <v>22988</v>
      </c>
      <c r="N266" s="315">
        <v>44926</v>
      </c>
      <c r="O266" s="278">
        <v>44897</v>
      </c>
      <c r="P266" s="279">
        <v>45487</v>
      </c>
      <c r="Q266" s="302">
        <v>45284</v>
      </c>
      <c r="R266" s="285"/>
      <c r="S266" s="285"/>
      <c r="T266" s="318" t="s">
        <v>1709</v>
      </c>
      <c r="U266" s="318" t="s">
        <v>1709</v>
      </c>
      <c r="V266" s="285">
        <f>LEN(D266)</f>
        <v>11</v>
      </c>
      <c r="W266" s="90"/>
      <c r="X266" s="90"/>
      <c r="Y266" s="90"/>
      <c r="AB266" s="311">
        <f t="shared" ca="1" si="45"/>
        <v>63</v>
      </c>
    </row>
    <row r="267" spans="1:39" ht="15.75" customHeight="1">
      <c r="A267" s="936">
        <v>125</v>
      </c>
      <c r="B267" s="688" t="s">
        <v>1710</v>
      </c>
      <c r="C267" s="293" t="s">
        <v>31</v>
      </c>
      <c r="D267" s="284">
        <v>50205373554</v>
      </c>
      <c r="E267" s="421" t="s">
        <v>1711</v>
      </c>
      <c r="F267" s="274" t="s">
        <v>759</v>
      </c>
      <c r="G267" s="303" t="s">
        <v>76</v>
      </c>
      <c r="H267" s="274" t="s">
        <v>279</v>
      </c>
      <c r="I267" s="275">
        <v>9002071624</v>
      </c>
      <c r="J267" s="275">
        <v>9002071624</v>
      </c>
      <c r="K267" s="293" t="s">
        <v>261</v>
      </c>
      <c r="L267" s="275" t="s">
        <v>294</v>
      </c>
      <c r="M267" s="289">
        <v>22998</v>
      </c>
      <c r="N267" s="289">
        <v>44926</v>
      </c>
      <c r="O267" s="272">
        <v>44986</v>
      </c>
      <c r="P267" s="272">
        <v>45800</v>
      </c>
      <c r="Q267" s="272">
        <v>45731</v>
      </c>
      <c r="R267" s="79"/>
      <c r="S267" s="295"/>
      <c r="T267" s="603" t="s">
        <v>1712</v>
      </c>
      <c r="U267" s="603" t="s">
        <v>1712</v>
      </c>
      <c r="V267" s="297">
        <f t="shared" ref="V267:V268" si="46">LEN(TEXT(D267,0))</f>
        <v>11</v>
      </c>
      <c r="W267" s="208">
        <f t="shared" ref="W267:W268" ca="1" si="47">INT((TODAY()-M267)/365)</f>
        <v>63</v>
      </c>
      <c r="X267" s="298"/>
      <c r="AH267" s="298"/>
      <c r="AI267" s="298"/>
      <c r="AJ267" s="298"/>
      <c r="AK267" s="298"/>
      <c r="AL267" s="298"/>
      <c r="AM267" s="298"/>
    </row>
    <row r="268" spans="1:39" ht="15.75" customHeight="1">
      <c r="A268" s="936">
        <v>17</v>
      </c>
      <c r="B268" s="293" t="s">
        <v>1713</v>
      </c>
      <c r="C268" s="293" t="s">
        <v>31</v>
      </c>
      <c r="D268" s="619">
        <v>50205326450</v>
      </c>
      <c r="E268" s="303" t="s">
        <v>1714</v>
      </c>
      <c r="F268" s="274" t="s">
        <v>759</v>
      </c>
      <c r="G268" s="303" t="s">
        <v>76</v>
      </c>
      <c r="H268" s="274" t="s">
        <v>279</v>
      </c>
      <c r="I268" s="275">
        <v>9002071380</v>
      </c>
      <c r="J268" s="275">
        <v>9002071380</v>
      </c>
      <c r="K268" s="293" t="s">
        <v>261</v>
      </c>
      <c r="L268" s="303" t="s">
        <v>1576</v>
      </c>
      <c r="M268" s="289">
        <v>23011</v>
      </c>
      <c r="N268" s="289">
        <v>44926</v>
      </c>
      <c r="O268" s="272">
        <v>44944</v>
      </c>
      <c r="P268" s="272">
        <v>45777</v>
      </c>
      <c r="Q268" s="272">
        <v>45509</v>
      </c>
      <c r="R268" s="294"/>
      <c r="S268" s="295"/>
      <c r="T268" s="296" t="s">
        <v>1715</v>
      </c>
      <c r="U268" s="296" t="s">
        <v>1715</v>
      </c>
      <c r="V268" s="297">
        <f t="shared" si="46"/>
        <v>11</v>
      </c>
      <c r="W268" s="208">
        <f t="shared" ca="1" si="47"/>
        <v>63</v>
      </c>
      <c r="X268" s="298"/>
      <c r="Y268" s="298"/>
      <c r="Z268" s="298"/>
      <c r="AA268" s="298"/>
      <c r="AB268" s="298"/>
      <c r="AC268" s="298"/>
      <c r="AD268" s="298"/>
      <c r="AE268" s="298"/>
      <c r="AF268" s="298"/>
      <c r="AG268" s="298"/>
      <c r="AH268" s="298"/>
      <c r="AI268" s="298"/>
      <c r="AJ268" s="298"/>
      <c r="AK268" s="298"/>
      <c r="AL268" s="298"/>
      <c r="AM268" s="298"/>
    </row>
    <row r="269" spans="1:39" ht="15.75" customHeight="1">
      <c r="A269" s="1001">
        <v>15</v>
      </c>
      <c r="B269" s="293" t="s">
        <v>1716</v>
      </c>
      <c r="C269" s="293" t="s">
        <v>31</v>
      </c>
      <c r="D269" s="488">
        <v>50205335980</v>
      </c>
      <c r="E269" s="303" t="s">
        <v>1717</v>
      </c>
      <c r="F269" s="624" t="s">
        <v>759</v>
      </c>
      <c r="G269" s="385" t="s">
        <v>76</v>
      </c>
      <c r="H269" s="274" t="s">
        <v>279</v>
      </c>
      <c r="I269" s="275">
        <v>9002071182</v>
      </c>
      <c r="J269" s="690">
        <v>9002071182</v>
      </c>
      <c r="K269" s="275" t="s">
        <v>330</v>
      </c>
      <c r="L269" s="275" t="s">
        <v>97</v>
      </c>
      <c r="M269" s="272">
        <v>23012</v>
      </c>
      <c r="N269" s="272">
        <v>44926</v>
      </c>
      <c r="O269" s="272">
        <v>44929</v>
      </c>
      <c r="P269" s="279">
        <v>45274</v>
      </c>
      <c r="Q269" s="302">
        <v>45284</v>
      </c>
      <c r="R269" s="309"/>
      <c r="S269" s="309"/>
      <c r="T269" s="310" t="s">
        <v>1718</v>
      </c>
      <c r="U269" s="310" t="s">
        <v>1718</v>
      </c>
      <c r="V269" s="388">
        <f ca="1">INT((TODAY()-M269)/365)</f>
        <v>63</v>
      </c>
      <c r="W269" s="311"/>
      <c r="X269" s="311"/>
      <c r="Y269" s="311"/>
      <c r="Z269" s="311"/>
      <c r="AA269" s="311"/>
      <c r="AB269" s="311"/>
      <c r="AC269" s="311"/>
      <c r="AD269" s="311"/>
      <c r="AE269" s="311"/>
      <c r="AF269" s="311"/>
      <c r="AG269" s="311"/>
      <c r="AH269" s="311"/>
    </row>
    <row r="270" spans="1:39" ht="15.75" customHeight="1">
      <c r="A270" s="898">
        <v>98</v>
      </c>
      <c r="B270" s="276" t="s">
        <v>1719</v>
      </c>
      <c r="C270" s="919" t="s">
        <v>31</v>
      </c>
      <c r="D270" s="677">
        <v>50205355217</v>
      </c>
      <c r="E270" s="1004" t="s">
        <v>1720</v>
      </c>
      <c r="F270" s="685" t="s">
        <v>759</v>
      </c>
      <c r="G270" s="337" t="s">
        <v>76</v>
      </c>
      <c r="H270" s="303" t="s">
        <v>279</v>
      </c>
      <c r="I270" s="307">
        <v>9002071622</v>
      </c>
      <c r="J270" s="307">
        <v>9002071622</v>
      </c>
      <c r="K270" s="276" t="s">
        <v>253</v>
      </c>
      <c r="L270" s="274" t="s">
        <v>256</v>
      </c>
      <c r="M270" s="278">
        <v>23318</v>
      </c>
      <c r="N270" s="315">
        <v>45260</v>
      </c>
      <c r="O270" s="278">
        <v>44939</v>
      </c>
      <c r="P270" s="418">
        <v>45388</v>
      </c>
      <c r="Q270" s="915">
        <v>45453</v>
      </c>
      <c r="R270" s="285"/>
      <c r="S270" s="285"/>
      <c r="T270" s="318" t="s">
        <v>1721</v>
      </c>
      <c r="U270" s="318" t="s">
        <v>1721</v>
      </c>
      <c r="V270" s="285">
        <f t="shared" ref="V270:V271" si="48">LEN(D270)</f>
        <v>11</v>
      </c>
      <c r="W270" s="3"/>
      <c r="X270" s="3"/>
      <c r="Y270" s="3"/>
      <c r="Z270" s="79"/>
      <c r="AA270" s="79"/>
      <c r="AB270" s="311">
        <f ca="1">INT((TODAY()-M270)/365)</f>
        <v>62</v>
      </c>
    </row>
    <row r="271" spans="1:39" ht="15.75" customHeight="1">
      <c r="A271" s="893">
        <v>61</v>
      </c>
      <c r="B271" s="1097" t="s">
        <v>1722</v>
      </c>
      <c r="C271" s="293" t="s">
        <v>31</v>
      </c>
      <c r="D271" s="1098">
        <v>50205390849</v>
      </c>
      <c r="E271" s="303" t="s">
        <v>1723</v>
      </c>
      <c r="F271" s="18" t="s">
        <v>759</v>
      </c>
      <c r="G271" s="303" t="s">
        <v>76</v>
      </c>
      <c r="H271" s="274" t="s">
        <v>279</v>
      </c>
      <c r="I271" s="275">
        <v>9002071724</v>
      </c>
      <c r="J271" s="1099">
        <v>7063615733</v>
      </c>
      <c r="K271" s="275" t="s">
        <v>290</v>
      </c>
      <c r="L271" s="275" t="s">
        <v>103</v>
      </c>
      <c r="M271" s="272">
        <v>24117</v>
      </c>
      <c r="N271" s="272">
        <v>46053</v>
      </c>
      <c r="O271" s="272">
        <v>44937</v>
      </c>
      <c r="P271" s="279">
        <v>45835</v>
      </c>
      <c r="Q271" s="272">
        <v>44975</v>
      </c>
      <c r="R271" s="79"/>
      <c r="S271" s="485"/>
      <c r="T271" s="486" t="s">
        <v>1724</v>
      </c>
      <c r="U271" s="486" t="s">
        <v>1724</v>
      </c>
      <c r="V271" s="382">
        <f t="shared" si="48"/>
        <v>11</v>
      </c>
      <c r="W271" s="311"/>
      <c r="X271" s="208">
        <f ca="1">INT((TODAY()-M271)/365)</f>
        <v>60</v>
      </c>
      <c r="AA271" s="311"/>
      <c r="AB271" s="311"/>
    </row>
    <row r="272" spans="1:39" ht="15.75" customHeight="1">
      <c r="A272" s="987">
        <v>33</v>
      </c>
      <c r="B272" s="351" t="s">
        <v>267</v>
      </c>
      <c r="C272" s="1100" t="s">
        <v>543</v>
      </c>
      <c r="D272" s="837">
        <v>50205338268</v>
      </c>
      <c r="E272" s="1101" t="s">
        <v>1725</v>
      </c>
      <c r="F272" s="574" t="s">
        <v>23</v>
      </c>
      <c r="G272" s="390">
        <v>23010</v>
      </c>
      <c r="H272" s="289">
        <v>44926</v>
      </c>
      <c r="I272" s="391">
        <v>9330028449</v>
      </c>
      <c r="J272" s="284" t="s">
        <v>76</v>
      </c>
      <c r="K272" s="307" t="s">
        <v>253</v>
      </c>
      <c r="L272" s="391" t="s">
        <v>1144</v>
      </c>
      <c r="O272" s="392">
        <v>44590</v>
      </c>
      <c r="P272" s="272">
        <v>45005</v>
      </c>
      <c r="Q272" s="289">
        <v>44827</v>
      </c>
      <c r="R272" s="393"/>
      <c r="S272" s="393"/>
      <c r="T272" s="394" t="s">
        <v>1726</v>
      </c>
      <c r="U272" s="394" t="s">
        <v>1726</v>
      </c>
      <c r="V272" s="383">
        <f>LEN(TEXT(D272,0))</f>
        <v>11</v>
      </c>
      <c r="W272" s="583">
        <v>44123</v>
      </c>
      <c r="X272" s="79"/>
      <c r="Y272" s="395"/>
      <c r="Z272" s="286" t="s">
        <v>84</v>
      </c>
      <c r="AA272" s="383"/>
      <c r="AB272" s="311">
        <f ca="1">INT((TODAY()-G272)/365)</f>
        <v>63</v>
      </c>
    </row>
    <row r="273" spans="1:39" ht="15.75" customHeight="1">
      <c r="A273" s="974">
        <v>6</v>
      </c>
      <c r="B273" s="276" t="s">
        <v>1727</v>
      </c>
      <c r="C273" s="919" t="s">
        <v>14</v>
      </c>
      <c r="D273" s="675" t="s">
        <v>1728</v>
      </c>
      <c r="E273" s="1064" t="s">
        <v>1729</v>
      </c>
      <c r="F273" s="946" t="s">
        <v>759</v>
      </c>
      <c r="G273" s="870" t="s">
        <v>76</v>
      </c>
      <c r="H273" s="303" t="s">
        <v>279</v>
      </c>
      <c r="I273" s="307">
        <v>9002071670</v>
      </c>
      <c r="J273" s="703"/>
      <c r="K273" s="276" t="s">
        <v>253</v>
      </c>
      <c r="L273" s="275" t="s">
        <v>306</v>
      </c>
      <c r="M273" s="315">
        <v>23738</v>
      </c>
      <c r="N273" s="315">
        <v>45657</v>
      </c>
      <c r="O273" s="278">
        <v>44917</v>
      </c>
      <c r="P273" s="278">
        <v>45475</v>
      </c>
      <c r="Q273" s="302">
        <v>45705</v>
      </c>
      <c r="R273" s="1029"/>
      <c r="S273" s="285"/>
      <c r="T273" s="318" t="s">
        <v>1730</v>
      </c>
      <c r="U273" s="318" t="s">
        <v>1731</v>
      </c>
      <c r="V273" s="285"/>
      <c r="W273" s="440">
        <v>41100</v>
      </c>
      <c r="X273" s="3"/>
      <c r="Y273" s="3"/>
      <c r="Z273" s="286" t="s">
        <v>84</v>
      </c>
      <c r="AA273" s="79"/>
      <c r="AB273" s="311">
        <f ca="1">INT((TODAY()-M273)/365)</f>
        <v>61</v>
      </c>
    </row>
    <row r="274" spans="1:39">
      <c r="A274" s="90"/>
      <c r="C274" s="89"/>
      <c r="F274" s="90"/>
      <c r="I274" s="90"/>
      <c r="J274" s="90"/>
      <c r="L274" s="90"/>
    </row>
    <row r="275" spans="1:39" ht="15.75" customHeight="1">
      <c r="A275" s="898">
        <v>21</v>
      </c>
      <c r="B275" s="276" t="s">
        <v>1732</v>
      </c>
      <c r="C275" s="276" t="s">
        <v>31</v>
      </c>
      <c r="D275" s="675">
        <v>50205360500</v>
      </c>
      <c r="E275" s="620" t="s">
        <v>1733</v>
      </c>
      <c r="F275" s="685" t="s">
        <v>759</v>
      </c>
      <c r="G275" s="337" t="s">
        <v>77</v>
      </c>
      <c r="H275" s="303" t="s">
        <v>266</v>
      </c>
      <c r="I275" s="307">
        <v>9002071126</v>
      </c>
      <c r="J275" s="307"/>
      <c r="K275" s="276" t="s">
        <v>253</v>
      </c>
      <c r="L275" s="274" t="s">
        <v>1514</v>
      </c>
      <c r="M275" s="278">
        <v>23039</v>
      </c>
      <c r="N275" s="315">
        <v>44957</v>
      </c>
      <c r="O275" s="278">
        <v>45101</v>
      </c>
      <c r="P275" s="279">
        <v>45552</v>
      </c>
      <c r="Q275" s="272">
        <v>45537</v>
      </c>
      <c r="R275" s="285"/>
      <c r="S275" s="285"/>
      <c r="T275" s="318" t="s">
        <v>1734</v>
      </c>
      <c r="U275" s="318" t="s">
        <v>1734</v>
      </c>
      <c r="V275" s="285">
        <f t="shared" ref="V275:V280" si="49">LEN(D275)</f>
        <v>11</v>
      </c>
      <c r="W275" s="90"/>
      <c r="X275" s="90"/>
      <c r="Y275" s="90"/>
      <c r="AB275" s="311">
        <f t="shared" ref="AB275:AB280" ca="1" si="50">INT((TODAY()-M275)/365)</f>
        <v>63</v>
      </c>
      <c r="AC275" s="311"/>
      <c r="AD275" s="311"/>
      <c r="AE275" s="311"/>
      <c r="AF275" s="311"/>
      <c r="AG275" s="311"/>
      <c r="AH275" s="311"/>
      <c r="AI275" s="311"/>
      <c r="AJ275" s="311"/>
      <c r="AK275" s="311"/>
      <c r="AL275" s="311"/>
      <c r="AM275" s="311"/>
    </row>
    <row r="276" spans="1:39" ht="15.75" customHeight="1">
      <c r="A276" s="898">
        <v>33</v>
      </c>
      <c r="B276" s="276" t="s">
        <v>1735</v>
      </c>
      <c r="C276" s="276" t="s">
        <v>31</v>
      </c>
      <c r="D276" s="675">
        <v>50205380273</v>
      </c>
      <c r="E276" s="303" t="s">
        <v>1736</v>
      </c>
      <c r="F276" s="685" t="s">
        <v>759</v>
      </c>
      <c r="G276" s="337" t="s">
        <v>76</v>
      </c>
      <c r="H276" s="303" t="s">
        <v>266</v>
      </c>
      <c r="I276" s="307">
        <v>9002071011</v>
      </c>
      <c r="J276" s="645">
        <v>9002071011</v>
      </c>
      <c r="K276" s="276" t="s">
        <v>253</v>
      </c>
      <c r="L276" s="275" t="s">
        <v>44</v>
      </c>
      <c r="M276" s="278">
        <v>23020</v>
      </c>
      <c r="N276" s="1102">
        <v>44957</v>
      </c>
      <c r="O276" s="278">
        <v>44943</v>
      </c>
      <c r="P276" s="278">
        <v>45115</v>
      </c>
      <c r="Q276" s="856">
        <v>45078</v>
      </c>
      <c r="R276" s="338"/>
      <c r="S276" s="285"/>
      <c r="T276" s="339" t="s">
        <v>1737</v>
      </c>
      <c r="U276" s="339" t="s">
        <v>1737</v>
      </c>
      <c r="V276" s="425">
        <f t="shared" si="49"/>
        <v>11</v>
      </c>
      <c r="W276" s="90"/>
      <c r="X276" s="90"/>
      <c r="Y276" s="90"/>
      <c r="AB276" s="311">
        <f t="shared" ca="1" si="50"/>
        <v>63</v>
      </c>
      <c r="AF276" s="197" t="s">
        <v>1738</v>
      </c>
      <c r="AG276" s="197"/>
      <c r="AH276" s="197"/>
      <c r="AI276" s="197"/>
      <c r="AJ276" s="197"/>
      <c r="AK276" s="197"/>
      <c r="AL276" s="197"/>
      <c r="AM276" s="197"/>
    </row>
    <row r="277" spans="1:39" ht="18.75">
      <c r="A277" s="898">
        <v>40</v>
      </c>
      <c r="B277" s="276" t="s">
        <v>1739</v>
      </c>
      <c r="C277" s="276" t="s">
        <v>31</v>
      </c>
      <c r="D277" s="675">
        <v>50205355199</v>
      </c>
      <c r="E277" s="303" t="s">
        <v>1740</v>
      </c>
      <c r="F277" s="685" t="s">
        <v>759</v>
      </c>
      <c r="G277" s="337" t="s">
        <v>76</v>
      </c>
      <c r="H277" s="303" t="s">
        <v>279</v>
      </c>
      <c r="I277" s="307">
        <v>9002071173</v>
      </c>
      <c r="J277" s="703">
        <v>9002071173</v>
      </c>
      <c r="K277" s="276" t="s">
        <v>253</v>
      </c>
      <c r="L277" s="275" t="s">
        <v>97</v>
      </c>
      <c r="M277" s="921">
        <v>23043</v>
      </c>
      <c r="N277" s="315">
        <v>44957</v>
      </c>
      <c r="O277" s="278">
        <v>44910</v>
      </c>
      <c r="P277" s="278">
        <v>45863</v>
      </c>
      <c r="Q277" s="302">
        <v>45873</v>
      </c>
      <c r="R277" s="338"/>
      <c r="S277" s="285"/>
      <c r="T277" s="318" t="s">
        <v>1741</v>
      </c>
      <c r="U277" s="318" t="s">
        <v>1741</v>
      </c>
      <c r="V277" s="285">
        <f t="shared" si="49"/>
        <v>11</v>
      </c>
      <c r="W277" s="90"/>
      <c r="X277" s="90"/>
      <c r="Y277" s="90"/>
      <c r="AB277" s="311">
        <f t="shared" ca="1" si="50"/>
        <v>63</v>
      </c>
    </row>
    <row r="278" spans="1:39" ht="18.75">
      <c r="A278" s="898">
        <v>46</v>
      </c>
      <c r="B278" s="276" t="s">
        <v>1742</v>
      </c>
      <c r="C278" s="276" t="s">
        <v>31</v>
      </c>
      <c r="D278" s="677">
        <v>50205342910</v>
      </c>
      <c r="E278" s="303" t="s">
        <v>1743</v>
      </c>
      <c r="F278" s="685" t="s">
        <v>759</v>
      </c>
      <c r="G278" s="337" t="s">
        <v>76</v>
      </c>
      <c r="H278" s="303" t="s">
        <v>279</v>
      </c>
      <c r="I278" s="307">
        <v>9002071179</v>
      </c>
      <c r="J278" s="307">
        <v>9002071179</v>
      </c>
      <c r="K278" s="276" t="s">
        <v>253</v>
      </c>
      <c r="L278" s="274" t="s">
        <v>1601</v>
      </c>
      <c r="M278" s="278">
        <v>23017</v>
      </c>
      <c r="N278" s="315">
        <v>44957</v>
      </c>
      <c r="O278" s="278">
        <v>45142</v>
      </c>
      <c r="P278" s="279">
        <v>45212</v>
      </c>
      <c r="Q278" s="302">
        <v>45177</v>
      </c>
      <c r="R278" s="285"/>
      <c r="S278" s="285"/>
      <c r="T278" s="318" t="s">
        <v>1744</v>
      </c>
      <c r="U278" s="318" t="s">
        <v>1744</v>
      </c>
      <c r="V278" s="285">
        <f t="shared" si="49"/>
        <v>11</v>
      </c>
      <c r="W278" s="90"/>
      <c r="X278" s="90"/>
      <c r="Y278" s="90"/>
      <c r="AB278" s="311">
        <f t="shared" ca="1" si="50"/>
        <v>63</v>
      </c>
    </row>
    <row r="279" spans="1:39" ht="15.75" customHeight="1">
      <c r="A279" s="898">
        <v>77</v>
      </c>
      <c r="B279" s="276" t="s">
        <v>1745</v>
      </c>
      <c r="C279" s="919" t="s">
        <v>31</v>
      </c>
      <c r="D279" s="677">
        <v>50205373451</v>
      </c>
      <c r="E279" s="421" t="s">
        <v>1746</v>
      </c>
      <c r="F279" s="685" t="s">
        <v>759</v>
      </c>
      <c r="G279" s="337" t="s">
        <v>76</v>
      </c>
      <c r="H279" s="303" t="s">
        <v>279</v>
      </c>
      <c r="I279" s="307">
        <v>9002071236</v>
      </c>
      <c r="J279" s="307">
        <v>9002071236</v>
      </c>
      <c r="K279" s="276" t="s">
        <v>253</v>
      </c>
      <c r="L279" s="274" t="s">
        <v>1601</v>
      </c>
      <c r="M279" s="278">
        <v>23029</v>
      </c>
      <c r="N279" s="315">
        <v>44957</v>
      </c>
      <c r="O279" s="278">
        <v>44959</v>
      </c>
      <c r="P279" s="278">
        <v>45777</v>
      </c>
      <c r="Q279" s="302">
        <v>45760</v>
      </c>
      <c r="R279" s="285"/>
      <c r="S279" s="285"/>
      <c r="T279" s="318" t="s">
        <v>1747</v>
      </c>
      <c r="U279" s="318" t="s">
        <v>1747</v>
      </c>
      <c r="V279" s="285">
        <f t="shared" si="49"/>
        <v>11</v>
      </c>
      <c r="W279" s="3"/>
      <c r="X279" s="3"/>
      <c r="Y279" s="3"/>
      <c r="Z279" s="79"/>
      <c r="AA279" s="79"/>
      <c r="AB279" s="311">
        <f t="shared" ca="1" si="50"/>
        <v>63</v>
      </c>
    </row>
    <row r="280" spans="1:39" ht="15.75" customHeight="1">
      <c r="A280" s="898">
        <v>115</v>
      </c>
      <c r="B280" s="276" t="s">
        <v>1748</v>
      </c>
      <c r="C280" s="919" t="s">
        <v>31</v>
      </c>
      <c r="D280" s="677">
        <v>50205331523</v>
      </c>
      <c r="E280" s="1004" t="s">
        <v>1749</v>
      </c>
      <c r="F280" s="685" t="s">
        <v>759</v>
      </c>
      <c r="G280" s="337" t="s">
        <v>76</v>
      </c>
      <c r="H280" s="303" t="s">
        <v>279</v>
      </c>
      <c r="I280" s="307">
        <v>9002071611</v>
      </c>
      <c r="J280" s="307">
        <v>9002071611</v>
      </c>
      <c r="K280" s="276" t="s">
        <v>253</v>
      </c>
      <c r="L280" s="274" t="s">
        <v>1514</v>
      </c>
      <c r="M280" s="278">
        <v>23026</v>
      </c>
      <c r="N280" s="278">
        <v>44957</v>
      </c>
      <c r="O280" s="278">
        <v>44952</v>
      </c>
      <c r="P280" s="921">
        <v>45232</v>
      </c>
      <c r="Q280" s="302">
        <v>45901</v>
      </c>
      <c r="R280" s="285"/>
      <c r="S280" s="285"/>
      <c r="T280" s="318" t="s">
        <v>1750</v>
      </c>
      <c r="U280" s="318" t="s">
        <v>1750</v>
      </c>
      <c r="V280" s="285">
        <f t="shared" si="49"/>
        <v>11</v>
      </c>
      <c r="W280" s="3"/>
      <c r="X280" s="3"/>
      <c r="Y280" s="3"/>
      <c r="Z280" s="79"/>
      <c r="AA280" s="79"/>
      <c r="AB280" s="311">
        <f t="shared" ca="1" si="50"/>
        <v>63</v>
      </c>
    </row>
    <row r="281" spans="1:39" ht="15.75" customHeight="1">
      <c r="A281" s="936">
        <v>33</v>
      </c>
      <c r="B281" s="293" t="s">
        <v>1751</v>
      </c>
      <c r="C281" s="293" t="s">
        <v>31</v>
      </c>
      <c r="D281" s="619">
        <v>50212102830</v>
      </c>
      <c r="E281" s="18" t="s">
        <v>1752</v>
      </c>
      <c r="F281" s="274" t="s">
        <v>759</v>
      </c>
      <c r="G281" s="303" t="s">
        <v>76</v>
      </c>
      <c r="H281" s="274" t="s">
        <v>279</v>
      </c>
      <c r="I281" s="293">
        <v>9002071145</v>
      </c>
      <c r="J281" s="601">
        <v>9073412320</v>
      </c>
      <c r="K281" s="293" t="s">
        <v>261</v>
      </c>
      <c r="L281" s="275" t="s">
        <v>98</v>
      </c>
      <c r="M281" s="289">
        <v>23043</v>
      </c>
      <c r="N281" s="289">
        <v>44957</v>
      </c>
      <c r="O281" s="272">
        <v>45101</v>
      </c>
      <c r="P281" s="289">
        <v>45041</v>
      </c>
      <c r="Q281" s="272">
        <v>45818</v>
      </c>
      <c r="R281" s="79"/>
      <c r="S281" s="295"/>
      <c r="T281" s="603" t="s">
        <v>1753</v>
      </c>
      <c r="U281" s="603" t="s">
        <v>1753</v>
      </c>
      <c r="V281" s="297">
        <f t="shared" ref="V281:V284" si="51">LEN(TEXT(D281,0))</f>
        <v>11</v>
      </c>
      <c r="W281" s="208">
        <f t="shared" ref="W281:W283" ca="1" si="52">INT((TODAY()-M281)/365)</f>
        <v>63</v>
      </c>
      <c r="X281" s="298"/>
      <c r="Y281" s="298"/>
      <c r="Z281" s="298"/>
      <c r="AA281" s="298"/>
      <c r="AB281" s="298"/>
      <c r="AC281" s="298"/>
      <c r="AD281" s="298"/>
      <c r="AE281" s="298"/>
      <c r="AF281" s="298"/>
      <c r="AG281" s="298"/>
      <c r="AH281" s="298"/>
      <c r="AI281" s="298"/>
      <c r="AJ281" s="298"/>
      <c r="AK281" s="298"/>
      <c r="AL281" s="298"/>
      <c r="AM281" s="298"/>
    </row>
    <row r="282" spans="1:39" ht="15.75" customHeight="1">
      <c r="A282" s="936">
        <v>40</v>
      </c>
      <c r="B282" s="293" t="s">
        <v>1754</v>
      </c>
      <c r="C282" s="293" t="s">
        <v>31</v>
      </c>
      <c r="D282" s="284">
        <v>50205384163</v>
      </c>
      <c r="E282" s="303" t="s">
        <v>1755</v>
      </c>
      <c r="F282" s="274" t="s">
        <v>759</v>
      </c>
      <c r="G282" s="303" t="s">
        <v>76</v>
      </c>
      <c r="H282" s="274" t="s">
        <v>279</v>
      </c>
      <c r="I282" s="301">
        <v>9002071662</v>
      </c>
      <c r="J282" s="284">
        <v>9002071662</v>
      </c>
      <c r="K282" s="293" t="s">
        <v>261</v>
      </c>
      <c r="L282" s="274" t="s">
        <v>1514</v>
      </c>
      <c r="M282" s="289">
        <v>23043</v>
      </c>
      <c r="N282" s="289">
        <v>44957</v>
      </c>
      <c r="O282" s="272">
        <v>44947</v>
      </c>
      <c r="P282" s="302">
        <v>45695</v>
      </c>
      <c r="Q282" s="302">
        <v>45232</v>
      </c>
      <c r="R282" s="294"/>
      <c r="S282" s="295"/>
      <c r="T282" s="296" t="s">
        <v>1756</v>
      </c>
      <c r="U282" s="296" t="s">
        <v>1756</v>
      </c>
      <c r="V282" s="297">
        <f t="shared" si="51"/>
        <v>11</v>
      </c>
      <c r="W282" s="208">
        <f t="shared" ca="1" si="52"/>
        <v>63</v>
      </c>
      <c r="X282" s="298"/>
      <c r="AH282" s="298"/>
      <c r="AI282" s="298"/>
      <c r="AJ282" s="298"/>
      <c r="AK282" s="298"/>
      <c r="AL282" s="298"/>
      <c r="AM282" s="298"/>
    </row>
    <row r="283" spans="1:39" ht="15.75" customHeight="1">
      <c r="A283" s="936">
        <v>70</v>
      </c>
      <c r="B283" s="293" t="s">
        <v>1757</v>
      </c>
      <c r="C283" s="293" t="s">
        <v>31</v>
      </c>
      <c r="D283" s="275">
        <v>50205378205</v>
      </c>
      <c r="E283" s="303" t="s">
        <v>1758</v>
      </c>
      <c r="F283" s="274" t="s">
        <v>759</v>
      </c>
      <c r="G283" s="303" t="s">
        <v>76</v>
      </c>
      <c r="H283" s="274" t="s">
        <v>266</v>
      </c>
      <c r="I283" s="293">
        <v>9002079695</v>
      </c>
      <c r="J283" s="274"/>
      <c r="K283" s="293" t="s">
        <v>261</v>
      </c>
      <c r="L283" s="274" t="s">
        <v>299</v>
      </c>
      <c r="M283" s="272">
        <v>23021</v>
      </c>
      <c r="N283" s="289">
        <v>44957</v>
      </c>
      <c r="O283" s="272">
        <v>44957</v>
      </c>
      <c r="P283" s="279">
        <v>45274</v>
      </c>
      <c r="Q283" s="272">
        <v>45509</v>
      </c>
      <c r="R283" s="294"/>
      <c r="S283" s="295"/>
      <c r="T283" s="296" t="s">
        <v>1759</v>
      </c>
      <c r="U283" s="296" t="s">
        <v>1759</v>
      </c>
      <c r="V283" s="297">
        <f t="shared" si="51"/>
        <v>11</v>
      </c>
      <c r="W283" s="208">
        <f t="shared" ca="1" si="52"/>
        <v>63</v>
      </c>
      <c r="X283" s="298"/>
      <c r="Y283" s="298"/>
      <c r="Z283" s="298"/>
      <c r="AA283" s="298"/>
      <c r="AB283" s="298"/>
      <c r="AC283" s="298"/>
      <c r="AD283" s="298"/>
      <c r="AE283" s="298"/>
      <c r="AF283" s="298"/>
      <c r="AG283" s="298"/>
      <c r="AH283" s="298"/>
      <c r="AI283" s="298"/>
      <c r="AJ283" s="298"/>
      <c r="AK283" s="298"/>
      <c r="AL283" s="298"/>
      <c r="AM283" s="298"/>
    </row>
    <row r="284" spans="1:39" ht="15.75" customHeight="1">
      <c r="A284" s="1066">
        <v>22</v>
      </c>
      <c r="B284" s="351" t="s">
        <v>1760</v>
      </c>
      <c r="C284" s="964" t="s">
        <v>14</v>
      </c>
      <c r="D284" s="306">
        <v>50205349011</v>
      </c>
      <c r="E284" s="582" t="s">
        <v>1761</v>
      </c>
      <c r="F284" s="274" t="s">
        <v>759</v>
      </c>
      <c r="G284" s="284" t="s">
        <v>76</v>
      </c>
      <c r="H284" s="284" t="s">
        <v>279</v>
      </c>
      <c r="I284" s="351">
        <v>9002071648</v>
      </c>
      <c r="J284" s="284">
        <v>9433110132</v>
      </c>
      <c r="K284" s="351" t="s">
        <v>334</v>
      </c>
      <c r="L284" s="274" t="s">
        <v>256</v>
      </c>
      <c r="M284" s="390">
        <v>23027</v>
      </c>
      <c r="N284" s="390">
        <v>44957</v>
      </c>
      <c r="O284" s="272">
        <v>45142</v>
      </c>
      <c r="P284" s="278">
        <v>45667</v>
      </c>
      <c r="Q284" s="272">
        <v>45258</v>
      </c>
      <c r="R284" s="482"/>
      <c r="S284" s="79"/>
      <c r="T284" s="394" t="s">
        <v>1762</v>
      </c>
      <c r="U284" s="394" t="s">
        <v>1762</v>
      </c>
      <c r="V284" s="383">
        <f t="shared" si="51"/>
        <v>11</v>
      </c>
      <c r="W284" s="583">
        <v>44123</v>
      </c>
      <c r="Y284" s="395"/>
      <c r="Z284" s="286" t="s">
        <v>84</v>
      </c>
      <c r="AA284" s="383"/>
      <c r="AB284" s="282">
        <f ca="1">INT((TODAY()-M284)/365)</f>
        <v>63</v>
      </c>
      <c r="AC284" s="79"/>
      <c r="AD284" s="79"/>
      <c r="AE284" s="79"/>
    </row>
    <row r="285" spans="1:39" ht="15.75" customHeight="1">
      <c r="A285" s="893">
        <v>64</v>
      </c>
      <c r="B285" s="293" t="s">
        <v>1763</v>
      </c>
      <c r="C285" s="293" t="s">
        <v>31</v>
      </c>
      <c r="D285" s="999">
        <v>50205332618</v>
      </c>
      <c r="E285" s="1004" t="s">
        <v>1764</v>
      </c>
      <c r="F285" s="137" t="s">
        <v>759</v>
      </c>
      <c r="G285" s="303" t="s">
        <v>76</v>
      </c>
      <c r="H285" s="274" t="s">
        <v>279</v>
      </c>
      <c r="I285" s="275">
        <v>9002071243</v>
      </c>
      <c r="J285" s="306">
        <v>8981343522</v>
      </c>
      <c r="K285" s="275" t="s">
        <v>290</v>
      </c>
      <c r="L285" s="275" t="s">
        <v>94</v>
      </c>
      <c r="M285" s="272">
        <v>23013</v>
      </c>
      <c r="N285" s="272">
        <v>44957</v>
      </c>
      <c r="O285" s="272">
        <v>44947</v>
      </c>
      <c r="P285" s="279">
        <v>44999</v>
      </c>
      <c r="Q285" s="272">
        <v>45901</v>
      </c>
      <c r="R285" s="79"/>
      <c r="S285" s="485"/>
      <c r="T285" s="486" t="s">
        <v>1765</v>
      </c>
      <c r="U285" s="486" t="s">
        <v>1765</v>
      </c>
      <c r="V285" s="382">
        <f>LEN(D285)</f>
        <v>11</v>
      </c>
      <c r="W285" s="382"/>
      <c r="X285" s="282">
        <f ca="1">INT((TODAY()-M285)/365)</f>
        <v>63</v>
      </c>
      <c r="Y285" s="311"/>
      <c r="AB285" s="311"/>
      <c r="AC285" s="311"/>
      <c r="AD285" s="311"/>
      <c r="AE285" s="311"/>
      <c r="AF285" s="311"/>
      <c r="AG285" s="311"/>
      <c r="AH285" s="311"/>
      <c r="AI285" s="311"/>
      <c r="AJ285" s="311"/>
      <c r="AK285" s="311"/>
      <c r="AL285" s="311"/>
      <c r="AM285" s="311"/>
    </row>
    <row r="286" spans="1:39">
      <c r="A286" s="574">
        <v>17</v>
      </c>
      <c r="B286" s="922" t="s">
        <v>1766</v>
      </c>
      <c r="C286" s="923" t="s">
        <v>543</v>
      </c>
      <c r="D286" s="880">
        <v>50205376403</v>
      </c>
      <c r="E286" s="18" t="s">
        <v>1767</v>
      </c>
      <c r="F286" s="574" t="s">
        <v>23</v>
      </c>
      <c r="G286" s="476">
        <v>23020</v>
      </c>
      <c r="H286" s="476">
        <v>44957</v>
      </c>
      <c r="I286" s="18">
        <v>9002071206</v>
      </c>
      <c r="J286" s="18" t="s">
        <v>76</v>
      </c>
      <c r="K286" s="90"/>
    </row>
    <row r="287" spans="1:39">
      <c r="A287" s="574">
        <v>18</v>
      </c>
      <c r="B287" s="922" t="s">
        <v>1768</v>
      </c>
      <c r="C287" s="923" t="s">
        <v>543</v>
      </c>
      <c r="D287" s="924" t="s">
        <v>1769</v>
      </c>
      <c r="E287" s="18" t="s">
        <v>1770</v>
      </c>
      <c r="F287" s="574" t="s">
        <v>23</v>
      </c>
      <c r="G287" s="476">
        <v>23026</v>
      </c>
      <c r="H287" s="476">
        <v>44957</v>
      </c>
      <c r="I287" s="18">
        <v>9002071667</v>
      </c>
      <c r="J287" s="18" t="s">
        <v>76</v>
      </c>
      <c r="K287" s="90"/>
    </row>
    <row r="288" spans="1:39">
      <c r="A288" s="574">
        <v>3</v>
      </c>
      <c r="B288" s="922" t="s">
        <v>1771</v>
      </c>
      <c r="C288" s="923" t="s">
        <v>543</v>
      </c>
      <c r="D288" s="880">
        <v>50205384345</v>
      </c>
      <c r="E288" s="18" t="s">
        <v>1772</v>
      </c>
      <c r="F288" s="574" t="s">
        <v>23</v>
      </c>
      <c r="G288" s="476">
        <v>23021</v>
      </c>
      <c r="H288" s="476">
        <v>44957</v>
      </c>
      <c r="I288" s="18">
        <v>9002071651</v>
      </c>
      <c r="J288" s="18" t="s">
        <v>76</v>
      </c>
      <c r="K288" s="90"/>
    </row>
    <row r="289" spans="1:39">
      <c r="A289" s="197">
        <v>10</v>
      </c>
      <c r="B289" s="197" t="s">
        <v>1773</v>
      </c>
      <c r="C289" s="838" t="s">
        <v>137</v>
      </c>
      <c r="D289" s="90"/>
      <c r="E289" s="941" t="s">
        <v>1774</v>
      </c>
      <c r="F289" s="137" t="s">
        <v>1775</v>
      </c>
      <c r="G289" s="466">
        <v>23016</v>
      </c>
      <c r="H289" s="466">
        <v>44957</v>
      </c>
      <c r="I289" s="650" t="s">
        <v>315</v>
      </c>
      <c r="J289" s="137" t="s">
        <v>76</v>
      </c>
      <c r="K289" s="90"/>
    </row>
    <row r="290" spans="1:39" ht="15.75" customHeight="1">
      <c r="A290" s="936">
        <v>26</v>
      </c>
      <c r="B290" s="688" t="s">
        <v>1776</v>
      </c>
      <c r="C290" s="293" t="s">
        <v>21</v>
      </c>
      <c r="D290" s="604">
        <v>50209386385</v>
      </c>
      <c r="E290" s="303" t="s">
        <v>1777</v>
      </c>
      <c r="F290" s="686" t="s">
        <v>759</v>
      </c>
      <c r="G290" s="274" t="s">
        <v>76</v>
      </c>
      <c r="I290" s="293" t="s">
        <v>261</v>
      </c>
      <c r="J290" s="274" t="s">
        <v>76</v>
      </c>
      <c r="K290" s="293" t="s">
        <v>261</v>
      </c>
      <c r="L290" s="1103" t="s">
        <v>1546</v>
      </c>
      <c r="M290" s="272">
        <v>23872</v>
      </c>
      <c r="N290" s="289">
        <v>45808</v>
      </c>
      <c r="O290" s="272"/>
      <c r="P290" s="315">
        <v>45340</v>
      </c>
      <c r="Q290" s="302">
        <v>45188</v>
      </c>
      <c r="R290" s="294"/>
      <c r="S290" s="296" t="s">
        <v>1778</v>
      </c>
      <c r="T290" s="888" t="s">
        <v>1779</v>
      </c>
      <c r="U290" s="295"/>
      <c r="V290" s="297">
        <f>LEN(TEXT(D290,0))</f>
        <v>11</v>
      </c>
      <c r="W290" s="208">
        <f ca="1">INT((TODAY()-M290)/365)</f>
        <v>60</v>
      </c>
      <c r="X290" s="298"/>
      <c r="Y290" s="298"/>
      <c r="Z290" s="298"/>
      <c r="AA290" s="298"/>
      <c r="AB290" s="298"/>
      <c r="AC290" s="298"/>
      <c r="AD290" s="298"/>
      <c r="AE290" s="298"/>
      <c r="AF290" s="298"/>
      <c r="AG290" s="298"/>
    </row>
    <row r="291" spans="1:39">
      <c r="A291" s="1014">
        <v>1</v>
      </c>
      <c r="B291" s="334" t="s">
        <v>1780</v>
      </c>
      <c r="C291" s="1071" t="s">
        <v>1781</v>
      </c>
      <c r="D291" s="670" t="s">
        <v>729</v>
      </c>
      <c r="E291" s="334" t="s">
        <v>682</v>
      </c>
      <c r="F291" s="671">
        <v>50706148256</v>
      </c>
      <c r="G291" s="904" t="s">
        <v>315</v>
      </c>
      <c r="H291" s="929" t="s">
        <v>578</v>
      </c>
      <c r="I291" s="329">
        <v>23041</v>
      </c>
      <c r="J291" s="329">
        <v>44957</v>
      </c>
    </row>
    <row r="292" spans="1:39">
      <c r="A292" s="197">
        <v>2</v>
      </c>
      <c r="B292" s="197" t="s">
        <v>1782</v>
      </c>
      <c r="C292" s="838" t="s">
        <v>20</v>
      </c>
      <c r="D292" s="90"/>
      <c r="E292" s="941" t="s">
        <v>1783</v>
      </c>
      <c r="F292" s="137" t="s">
        <v>440</v>
      </c>
      <c r="G292" s="466">
        <v>23034</v>
      </c>
      <c r="H292" s="466">
        <v>44957</v>
      </c>
      <c r="I292" s="645" t="s">
        <v>253</v>
      </c>
      <c r="J292" s="137" t="s">
        <v>76</v>
      </c>
      <c r="K292" s="90"/>
    </row>
    <row r="293" spans="1:39">
      <c r="A293" s="90"/>
      <c r="C293" s="89"/>
      <c r="F293" s="90"/>
      <c r="I293" s="90"/>
      <c r="J293" s="90"/>
      <c r="L293" s="90"/>
    </row>
    <row r="294" spans="1:39" ht="15.75" customHeight="1">
      <c r="A294" s="1066">
        <v>11</v>
      </c>
      <c r="B294" s="276" t="s">
        <v>1784</v>
      </c>
      <c r="C294" s="303" t="s">
        <v>14</v>
      </c>
      <c r="D294" s="675">
        <v>50205355412</v>
      </c>
      <c r="E294" s="943" t="s">
        <v>1785</v>
      </c>
      <c r="F294" s="958" t="s">
        <v>759</v>
      </c>
      <c r="G294" s="337" t="s">
        <v>76</v>
      </c>
      <c r="H294" s="303" t="s">
        <v>279</v>
      </c>
      <c r="I294" s="307">
        <v>9002071152</v>
      </c>
      <c r="J294" s="307"/>
      <c r="K294" s="351" t="s">
        <v>334</v>
      </c>
      <c r="L294" s="645" t="s">
        <v>1199</v>
      </c>
      <c r="M294" s="278">
        <v>23049</v>
      </c>
      <c r="N294" s="315">
        <v>44985</v>
      </c>
      <c r="O294" s="278">
        <v>45245</v>
      </c>
      <c r="P294" s="278">
        <v>45667</v>
      </c>
      <c r="Q294" s="302">
        <v>45369</v>
      </c>
      <c r="R294" s="285"/>
      <c r="S294" s="285"/>
      <c r="T294" s="318" t="s">
        <v>1786</v>
      </c>
      <c r="U294" s="318" t="s">
        <v>1787</v>
      </c>
      <c r="V294" s="383">
        <f t="shared" ref="V294:V295" si="53">LEN(TEXT(D294,0))</f>
        <v>11</v>
      </c>
      <c r="W294" s="3"/>
      <c r="X294" s="3"/>
      <c r="Y294" s="3"/>
      <c r="Z294" s="79"/>
      <c r="AA294" s="79"/>
      <c r="AB294" s="311">
        <f ca="1">INT((TODAY()-M294)/365)</f>
        <v>63</v>
      </c>
    </row>
    <row r="295" spans="1:39" ht="15.75" customHeight="1">
      <c r="A295" s="936">
        <v>30</v>
      </c>
      <c r="B295" s="293" t="s">
        <v>1788</v>
      </c>
      <c r="C295" s="275" t="s">
        <v>31</v>
      </c>
      <c r="D295" s="284">
        <v>50205385696</v>
      </c>
      <c r="E295" s="274" t="s">
        <v>1789</v>
      </c>
      <c r="F295" s="274" t="s">
        <v>759</v>
      </c>
      <c r="G295" s="274" t="s">
        <v>77</v>
      </c>
      <c r="H295" s="274" t="s">
        <v>279</v>
      </c>
      <c r="I295" s="293">
        <v>9002071144</v>
      </c>
      <c r="J295" s="284">
        <v>9002071144</v>
      </c>
      <c r="K295" s="293" t="s">
        <v>261</v>
      </c>
      <c r="L295" s="274" t="s">
        <v>1790</v>
      </c>
      <c r="M295" s="289">
        <v>23061</v>
      </c>
      <c r="N295" s="289">
        <v>44985</v>
      </c>
      <c r="O295" s="272">
        <v>44994</v>
      </c>
      <c r="P295" s="289">
        <v>45232</v>
      </c>
      <c r="Q295" s="289">
        <v>44975</v>
      </c>
      <c r="R295" s="294"/>
      <c r="S295" s="295"/>
      <c r="T295" s="296" t="s">
        <v>1791</v>
      </c>
      <c r="U295" s="296" t="s">
        <v>1791</v>
      </c>
      <c r="V295" s="297">
        <f t="shared" si="53"/>
        <v>11</v>
      </c>
      <c r="W295" s="208">
        <f ca="1">INT((TODAY()-M295)/365)</f>
        <v>63</v>
      </c>
      <c r="X295" s="298"/>
      <c r="Y295" s="298"/>
      <c r="Z295" s="298"/>
      <c r="AA295" s="298"/>
      <c r="AB295" s="298"/>
      <c r="AC295" s="298"/>
      <c r="AD295" s="298"/>
      <c r="AE295" s="298"/>
      <c r="AF295" s="298"/>
      <c r="AG295" s="298"/>
      <c r="AH295" s="298"/>
      <c r="AI295" s="298"/>
      <c r="AJ295" s="298"/>
      <c r="AK295" s="298"/>
      <c r="AL295" s="298"/>
      <c r="AM295" s="298"/>
    </row>
    <row r="296" spans="1:39" ht="15.75" customHeight="1">
      <c r="A296" s="886">
        <v>4</v>
      </c>
      <c r="B296" s="1104" t="s">
        <v>1792</v>
      </c>
      <c r="C296" s="1105" t="s">
        <v>31</v>
      </c>
      <c r="D296" s="1106">
        <v>50212102908</v>
      </c>
      <c r="E296" s="1039" t="s">
        <v>1793</v>
      </c>
      <c r="F296" s="1040"/>
      <c r="G296" s="1107" t="s">
        <v>76</v>
      </c>
      <c r="H296" s="1108" t="s">
        <v>266</v>
      </c>
      <c r="I296" s="1105">
        <v>9002071721</v>
      </c>
      <c r="J296" s="1109">
        <v>8240637559</v>
      </c>
      <c r="K296" s="1105" t="s">
        <v>253</v>
      </c>
      <c r="L296" s="1105" t="s">
        <v>1016</v>
      </c>
      <c r="M296" s="1110">
        <v>23054</v>
      </c>
      <c r="N296" s="1111">
        <v>44985</v>
      </c>
      <c r="O296" s="1110">
        <v>44581</v>
      </c>
      <c r="P296" s="1112">
        <v>45232</v>
      </c>
      <c r="Q296" s="1110">
        <v>44946</v>
      </c>
      <c r="R296" s="1113"/>
      <c r="S296" s="1113"/>
      <c r="T296" s="1114" t="s">
        <v>1794</v>
      </c>
      <c r="U296" s="1115" t="s">
        <v>1794</v>
      </c>
      <c r="V296" s="1116">
        <f>LEN(D296)</f>
        <v>11</v>
      </c>
      <c r="W296" s="1117"/>
      <c r="X296" s="1117"/>
      <c r="Y296" s="1117"/>
      <c r="Z296" s="1049"/>
      <c r="AA296" s="1049"/>
      <c r="AB296" s="1049"/>
      <c r="AC296" s="1049"/>
      <c r="AD296" s="1049"/>
      <c r="AE296" s="1049"/>
      <c r="AF296" s="1049"/>
      <c r="AG296" s="1049"/>
      <c r="AH296" s="1049"/>
      <c r="AI296" s="1118"/>
      <c r="AJ296" s="1118"/>
      <c r="AK296" s="1118"/>
      <c r="AL296" s="1118"/>
      <c r="AM296" s="1118"/>
    </row>
    <row r="297" spans="1:39">
      <c r="F297" s="90"/>
      <c r="J297" s="90"/>
    </row>
    <row r="298" spans="1:39">
      <c r="A298" s="1015">
        <v>12</v>
      </c>
      <c r="B298" s="221" t="s">
        <v>1795</v>
      </c>
      <c r="C298" s="335" t="s">
        <v>1796</v>
      </c>
      <c r="D298" s="335" t="s">
        <v>878</v>
      </c>
      <c r="E298" s="334" t="s">
        <v>682</v>
      </c>
      <c r="F298" s="1119">
        <v>50205420490</v>
      </c>
      <c r="G298" s="904" t="s">
        <v>253</v>
      </c>
      <c r="H298" s="929" t="s">
        <v>702</v>
      </c>
      <c r="I298" s="794">
        <v>28602</v>
      </c>
      <c r="J298" s="326">
        <v>50525</v>
      </c>
    </row>
    <row r="299" spans="1:39">
      <c r="F299" s="90"/>
      <c r="J299" s="90"/>
    </row>
    <row r="300" spans="1:39">
      <c r="F300" s="90"/>
      <c r="J300" s="90"/>
    </row>
    <row r="301" spans="1:39">
      <c r="A301" s="90"/>
      <c r="C301" s="89"/>
      <c r="F301" s="90"/>
      <c r="I301" s="90"/>
      <c r="J301" s="90"/>
      <c r="L301" s="90"/>
    </row>
    <row r="302" spans="1:39">
      <c r="A302" s="980">
        <v>149</v>
      </c>
      <c r="B302" s="301" t="s">
        <v>1797</v>
      </c>
      <c r="C302" s="284" t="s">
        <v>22</v>
      </c>
      <c r="D302" s="527">
        <v>3429802241</v>
      </c>
      <c r="E302" s="1120" t="s">
        <v>1798</v>
      </c>
      <c r="F302" s="274" t="s">
        <v>759</v>
      </c>
      <c r="G302" s="284" t="s">
        <v>76</v>
      </c>
      <c r="H302" s="391"/>
      <c r="I302" s="284"/>
      <c r="J302" s="284"/>
      <c r="K302" s="18" t="s">
        <v>315</v>
      </c>
      <c r="L302" s="274" t="s">
        <v>109</v>
      </c>
      <c r="M302" s="272">
        <v>33893</v>
      </c>
      <c r="N302" s="272">
        <v>55823</v>
      </c>
      <c r="O302" s="400">
        <v>45171</v>
      </c>
      <c r="P302" s="279">
        <v>44941</v>
      </c>
      <c r="Q302" s="302">
        <v>45913</v>
      </c>
      <c r="R302" s="394" t="s">
        <v>1799</v>
      </c>
      <c r="S302" s="393"/>
      <c r="T302" s="403" t="s">
        <v>1800</v>
      </c>
      <c r="U302" s="403" t="s">
        <v>1801</v>
      </c>
      <c r="V302" s="383"/>
      <c r="W302" s="563"/>
      <c r="X302" s="79"/>
      <c r="Y302" s="395"/>
      <c r="Z302" s="79"/>
      <c r="AA302" s="383"/>
      <c r="AB302" s="282"/>
      <c r="AC302" s="383"/>
      <c r="AD302" s="383"/>
      <c r="AE302" s="383"/>
      <c r="AF302" s="383"/>
      <c r="AG302" s="383"/>
      <c r="AH302" s="383"/>
      <c r="AI302" s="384"/>
      <c r="AJ302" s="384"/>
      <c r="AK302" s="384"/>
      <c r="AL302" s="384"/>
      <c r="AM302" s="384"/>
    </row>
    <row r="303" spans="1:39" ht="15.75" customHeight="1">
      <c r="A303" s="944">
        <v>15</v>
      </c>
      <c r="B303" s="351" t="s">
        <v>1802</v>
      </c>
      <c r="C303" s="1121" t="s">
        <v>22</v>
      </c>
      <c r="D303" s="495">
        <v>3429801276</v>
      </c>
      <c r="E303" s="303" t="s">
        <v>1803</v>
      </c>
      <c r="F303" s="970" t="s">
        <v>759</v>
      </c>
      <c r="G303" s="274" t="s">
        <v>77</v>
      </c>
      <c r="H303" s="275"/>
      <c r="I303" s="275">
        <v>9681176411</v>
      </c>
      <c r="J303" s="275"/>
      <c r="K303" s="307" t="s">
        <v>253</v>
      </c>
      <c r="L303" s="274" t="s">
        <v>112</v>
      </c>
      <c r="M303" s="272">
        <v>32577</v>
      </c>
      <c r="N303" s="272">
        <v>54513</v>
      </c>
      <c r="O303" s="320">
        <v>45853</v>
      </c>
      <c r="P303" s="272">
        <v>45485</v>
      </c>
      <c r="Q303" s="419">
        <v>45356</v>
      </c>
      <c r="R303" s="281" t="s">
        <v>1804</v>
      </c>
      <c r="S303" s="280"/>
      <c r="T303" s="403" t="s">
        <v>1805</v>
      </c>
      <c r="U303" s="403" t="s">
        <v>1801</v>
      </c>
      <c r="V303" s="285"/>
      <c r="W303" s="282">
        <f ca="1">INT((TODAY()-M303)/365)</f>
        <v>37</v>
      </c>
      <c r="X303" s="79"/>
      <c r="Y303" s="79"/>
      <c r="Z303" s="79"/>
      <c r="AA303" s="79"/>
    </row>
    <row r="304" spans="1:39">
      <c r="A304" s="980">
        <v>145</v>
      </c>
      <c r="B304" s="301" t="s">
        <v>1806</v>
      </c>
      <c r="C304" s="284" t="s">
        <v>22</v>
      </c>
      <c r="D304" s="1122">
        <v>3429802235</v>
      </c>
      <c r="E304" s="681" t="s">
        <v>1807</v>
      </c>
      <c r="F304" s="686" t="s">
        <v>759</v>
      </c>
      <c r="G304" s="284" t="s">
        <v>76</v>
      </c>
      <c r="H304" s="391"/>
      <c r="I304" s="284"/>
      <c r="J304" s="284"/>
      <c r="K304" s="18" t="s">
        <v>315</v>
      </c>
      <c r="L304" s="274" t="s">
        <v>109</v>
      </c>
      <c r="M304" s="272">
        <v>34974</v>
      </c>
      <c r="N304" s="272">
        <v>56918</v>
      </c>
      <c r="O304" s="400">
        <v>45172</v>
      </c>
      <c r="P304" s="279">
        <v>44941</v>
      </c>
      <c r="Q304" s="302">
        <v>45951</v>
      </c>
      <c r="R304" s="394" t="s">
        <v>1808</v>
      </c>
      <c r="S304" s="393"/>
      <c r="T304" s="403" t="s">
        <v>1809</v>
      </c>
      <c r="U304" s="403" t="s">
        <v>1801</v>
      </c>
      <c r="V304" s="383"/>
      <c r="W304" s="563"/>
      <c r="X304" s="79"/>
      <c r="Y304" s="395"/>
      <c r="Z304" s="79"/>
      <c r="AA304" s="383"/>
      <c r="AB304" s="282"/>
      <c r="AC304" s="383"/>
      <c r="AD304" s="383"/>
      <c r="AE304" s="383"/>
      <c r="AF304" s="383"/>
      <c r="AG304" s="383"/>
      <c r="AH304" s="383"/>
      <c r="AI304" s="384"/>
      <c r="AJ304" s="384"/>
      <c r="AK304" s="384"/>
      <c r="AL304" s="384"/>
      <c r="AM304" s="384"/>
    </row>
    <row r="305" spans="1:39">
      <c r="A305" s="944">
        <v>31</v>
      </c>
      <c r="B305" s="688" t="s">
        <v>1810</v>
      </c>
      <c r="C305" s="275" t="s">
        <v>22</v>
      </c>
      <c r="D305" s="489">
        <v>50205678006</v>
      </c>
      <c r="E305" s="274" t="s">
        <v>1811</v>
      </c>
      <c r="F305" s="274" t="s">
        <v>759</v>
      </c>
      <c r="G305" s="274" t="s">
        <v>77</v>
      </c>
      <c r="H305" s="275"/>
      <c r="I305" s="275">
        <v>8981148057</v>
      </c>
      <c r="J305" s="690">
        <v>8981148057</v>
      </c>
      <c r="K305" s="391" t="s">
        <v>334</v>
      </c>
      <c r="L305" s="274" t="s">
        <v>664</v>
      </c>
      <c r="M305" s="272">
        <v>34940</v>
      </c>
      <c r="N305" s="272">
        <v>56857</v>
      </c>
      <c r="O305" s="272">
        <v>45110</v>
      </c>
      <c r="P305" s="279">
        <v>44941</v>
      </c>
      <c r="Q305" s="687">
        <v>45913</v>
      </c>
      <c r="R305" s="377" t="s">
        <v>1812</v>
      </c>
      <c r="S305" s="309"/>
      <c r="T305" s="403" t="s">
        <v>1805</v>
      </c>
      <c r="U305" s="403" t="s">
        <v>1801</v>
      </c>
      <c r="V305" s="436"/>
      <c r="W305" s="436"/>
      <c r="X305" s="436"/>
      <c r="Y305" s="311"/>
      <c r="Z305" s="311"/>
      <c r="AA305" s="311"/>
      <c r="AB305" s="311"/>
      <c r="AC305" s="311"/>
      <c r="AD305" s="311"/>
      <c r="AE305" s="311"/>
      <c r="AF305" s="311"/>
      <c r="AG305" s="311"/>
      <c r="AH305" s="311"/>
      <c r="AI305" s="311"/>
      <c r="AJ305" s="311"/>
      <c r="AK305" s="311"/>
      <c r="AL305" s="311"/>
      <c r="AM305" s="311"/>
    </row>
    <row r="306" spans="1:39">
      <c r="A306" s="90"/>
      <c r="C306" s="89"/>
      <c r="F306" s="90"/>
      <c r="I306" s="90"/>
      <c r="J306" s="90"/>
      <c r="K306" s="90"/>
      <c r="L306" s="90"/>
    </row>
    <row r="307" spans="1:39" ht="15.75" customHeight="1">
      <c r="A307" s="1066">
        <v>8</v>
      </c>
      <c r="B307" s="351" t="s">
        <v>1813</v>
      </c>
      <c r="C307" s="391" t="s">
        <v>14</v>
      </c>
      <c r="D307" s="543">
        <v>50212530748</v>
      </c>
      <c r="E307" s="1065" t="s">
        <v>1814</v>
      </c>
      <c r="F307" s="686" t="s">
        <v>759</v>
      </c>
      <c r="G307" s="284" t="s">
        <v>76</v>
      </c>
      <c r="H307" s="284" t="s">
        <v>279</v>
      </c>
      <c r="I307" s="351">
        <v>9002079066</v>
      </c>
      <c r="J307" s="391"/>
      <c r="K307" s="391" t="s">
        <v>334</v>
      </c>
      <c r="L307" s="274" t="s">
        <v>489</v>
      </c>
      <c r="M307" s="390">
        <v>23085</v>
      </c>
      <c r="N307" s="289">
        <v>45016</v>
      </c>
      <c r="O307" s="392">
        <v>45017</v>
      </c>
      <c r="P307" s="272">
        <v>45488</v>
      </c>
      <c r="Q307" s="272">
        <v>45145</v>
      </c>
      <c r="R307" s="403"/>
      <c r="S307" s="393"/>
      <c r="T307" s="394" t="s">
        <v>1815</v>
      </c>
      <c r="U307" s="394" t="s">
        <v>1815</v>
      </c>
      <c r="V307" s="383">
        <f>LEN(TEXT(D307,0))</f>
        <v>11</v>
      </c>
      <c r="W307" s="583">
        <v>44116</v>
      </c>
      <c r="X307" s="79"/>
      <c r="Y307" s="395"/>
      <c r="Z307" s="286" t="s">
        <v>84</v>
      </c>
      <c r="AA307" s="383"/>
      <c r="AB307" s="208">
        <f t="shared" ref="AB307:AB308" ca="1" si="54">INT((TODAY()-M307)/365)</f>
        <v>63</v>
      </c>
      <c r="AC307" s="384"/>
      <c r="AD307" s="384"/>
      <c r="AE307" s="384"/>
      <c r="AF307" s="384"/>
      <c r="AG307" s="384"/>
      <c r="AH307" s="384"/>
      <c r="AI307" s="384"/>
      <c r="AJ307" s="384"/>
      <c r="AK307" s="384"/>
      <c r="AL307" s="384"/>
      <c r="AM307" s="384"/>
    </row>
    <row r="308" spans="1:39" ht="15.75" customHeight="1">
      <c r="A308" s="974">
        <v>4</v>
      </c>
      <c r="B308" s="276" t="s">
        <v>1816</v>
      </c>
      <c r="C308" s="405" t="s">
        <v>14</v>
      </c>
      <c r="D308" s="675">
        <v>50246003708</v>
      </c>
      <c r="E308" s="1123" t="s">
        <v>1817</v>
      </c>
      <c r="F308" s="946" t="s">
        <v>759</v>
      </c>
      <c r="G308" s="870" t="s">
        <v>77</v>
      </c>
      <c r="H308" s="303" t="s">
        <v>279</v>
      </c>
      <c r="I308" s="307">
        <v>9002071190</v>
      </c>
      <c r="J308" s="703">
        <v>8777305773</v>
      </c>
      <c r="K308" s="1026" t="s">
        <v>253</v>
      </c>
      <c r="L308" s="274" t="s">
        <v>299</v>
      </c>
      <c r="M308" s="278">
        <v>23077</v>
      </c>
      <c r="N308" s="278">
        <v>45016</v>
      </c>
      <c r="O308" s="278">
        <v>45177</v>
      </c>
      <c r="P308" s="278">
        <v>45499</v>
      </c>
      <c r="Q308" s="302">
        <v>45731</v>
      </c>
      <c r="R308" s="1029"/>
      <c r="S308" s="285"/>
      <c r="T308" s="318" t="s">
        <v>1818</v>
      </c>
      <c r="U308" s="318" t="s">
        <v>1818</v>
      </c>
      <c r="V308" s="285"/>
      <c r="W308" s="647">
        <v>41093</v>
      </c>
      <c r="X308" s="3"/>
      <c r="Y308" s="3"/>
      <c r="Z308" s="197" t="s">
        <v>84</v>
      </c>
      <c r="AB308" s="311">
        <f t="shared" ca="1" si="54"/>
        <v>63</v>
      </c>
    </row>
    <row r="309" spans="1:39" ht="15.75" customHeight="1">
      <c r="A309" s="574">
        <v>49</v>
      </c>
      <c r="B309" s="293" t="s">
        <v>1819</v>
      </c>
      <c r="C309" s="480" t="s">
        <v>14</v>
      </c>
      <c r="D309" s="306">
        <v>50205331020</v>
      </c>
      <c r="E309" s="303" t="s">
        <v>1820</v>
      </c>
      <c r="F309" s="274" t="s">
        <v>759</v>
      </c>
      <c r="G309" s="274" t="s">
        <v>76</v>
      </c>
      <c r="H309" s="274" t="s">
        <v>279</v>
      </c>
      <c r="I309" s="275">
        <v>9002071171</v>
      </c>
      <c r="J309" s="303" t="s">
        <v>76</v>
      </c>
      <c r="K309" s="391" t="s">
        <v>334</v>
      </c>
      <c r="L309" s="274" t="s">
        <v>299</v>
      </c>
      <c r="M309" s="599">
        <v>23102</v>
      </c>
      <c r="N309" s="590">
        <v>45016</v>
      </c>
      <c r="O309" s="272">
        <v>45206</v>
      </c>
      <c r="P309" s="278">
        <v>45667</v>
      </c>
      <c r="Q309" s="272">
        <v>45874</v>
      </c>
      <c r="R309" s="294"/>
      <c r="S309" s="295"/>
      <c r="T309" s="296" t="s">
        <v>1821</v>
      </c>
      <c r="U309" s="296" t="s">
        <v>1821</v>
      </c>
      <c r="V309" s="383">
        <f t="shared" ref="V309:V311" si="55">LEN(TEXT(D309,0))</f>
        <v>11</v>
      </c>
      <c r="W309" s="282">
        <f t="shared" ref="W309:W311" ca="1" si="56">INT((TODAY()-M309)/365)</f>
        <v>63</v>
      </c>
      <c r="X309" s="297"/>
      <c r="Y309" s="297"/>
      <c r="Z309" s="297"/>
      <c r="AA309" s="297"/>
      <c r="AB309" s="298"/>
      <c r="AC309" s="384"/>
      <c r="AD309" s="384"/>
      <c r="AE309" s="384"/>
      <c r="AF309" s="384"/>
      <c r="AG309" s="384"/>
      <c r="AH309" s="384"/>
      <c r="AI309" s="384"/>
      <c r="AJ309" s="384"/>
      <c r="AK309" s="384"/>
      <c r="AL309" s="384"/>
      <c r="AM309" s="384"/>
    </row>
    <row r="310" spans="1:39" ht="15.75" customHeight="1">
      <c r="A310" s="936">
        <v>86</v>
      </c>
      <c r="B310" s="293" t="s">
        <v>1822</v>
      </c>
      <c r="C310" s="275" t="s">
        <v>31</v>
      </c>
      <c r="D310" s="284">
        <v>50205316479</v>
      </c>
      <c r="E310" s="366" t="s">
        <v>1823</v>
      </c>
      <c r="F310" s="274" t="s">
        <v>759</v>
      </c>
      <c r="G310" s="274" t="s">
        <v>77</v>
      </c>
      <c r="H310" s="274" t="s">
        <v>266</v>
      </c>
      <c r="I310" s="293">
        <v>9002071260</v>
      </c>
      <c r="J310" s="275"/>
      <c r="K310" s="275" t="s">
        <v>261</v>
      </c>
      <c r="L310" s="275" t="s">
        <v>306</v>
      </c>
      <c r="M310" s="289">
        <v>23083</v>
      </c>
      <c r="N310" s="289">
        <v>45016</v>
      </c>
      <c r="O310" s="272">
        <v>45164</v>
      </c>
      <c r="P310" s="279">
        <v>45835</v>
      </c>
      <c r="Q310" s="272">
        <v>45760</v>
      </c>
      <c r="R310" s="294"/>
      <c r="S310" s="295"/>
      <c r="T310" s="296" t="s">
        <v>1824</v>
      </c>
      <c r="U310" s="296" t="s">
        <v>1824</v>
      </c>
      <c r="V310" s="297">
        <f t="shared" si="55"/>
        <v>11</v>
      </c>
      <c r="W310" s="208">
        <f t="shared" ca="1" si="56"/>
        <v>63</v>
      </c>
      <c r="X310" s="298"/>
      <c r="Y310" s="298"/>
      <c r="Z310" s="298"/>
      <c r="AA310" s="298"/>
      <c r="AB310" s="298"/>
      <c r="AC310" s="298"/>
      <c r="AD310" s="298"/>
      <c r="AE310" s="298"/>
      <c r="AF310" s="298"/>
      <c r="AG310" s="298"/>
      <c r="AH310" s="298"/>
      <c r="AI310" s="298"/>
      <c r="AJ310" s="298"/>
      <c r="AK310" s="298"/>
      <c r="AL310" s="298"/>
      <c r="AM310" s="298"/>
    </row>
    <row r="311" spans="1:39" ht="15.75" customHeight="1">
      <c r="A311" s="936">
        <v>8</v>
      </c>
      <c r="B311" s="293" t="s">
        <v>1825</v>
      </c>
      <c r="C311" s="275" t="s">
        <v>21</v>
      </c>
      <c r="D311" s="284">
        <v>50209378870</v>
      </c>
      <c r="E311" s="274" t="s">
        <v>1826</v>
      </c>
      <c r="F311" s="274" t="s">
        <v>759</v>
      </c>
      <c r="G311" s="274" t="s">
        <v>77</v>
      </c>
      <c r="H311" s="275"/>
      <c r="I311" s="293">
        <v>9002071846</v>
      </c>
      <c r="J311" s="274"/>
      <c r="K311" s="275" t="s">
        <v>261</v>
      </c>
      <c r="L311" s="274" t="s">
        <v>101</v>
      </c>
      <c r="M311" s="289">
        <v>23090</v>
      </c>
      <c r="N311" s="289">
        <v>45016</v>
      </c>
      <c r="O311" s="272">
        <v>45017</v>
      </c>
      <c r="P311" s="279">
        <v>45204</v>
      </c>
      <c r="Q311" s="302">
        <v>45188</v>
      </c>
      <c r="R311" s="294"/>
      <c r="S311" s="296" t="s">
        <v>1827</v>
      </c>
      <c r="T311" s="888" t="s">
        <v>1269</v>
      </c>
      <c r="U311" s="888"/>
      <c r="V311" s="297">
        <f t="shared" si="55"/>
        <v>11</v>
      </c>
      <c r="W311" s="208">
        <f t="shared" ca="1" si="56"/>
        <v>63</v>
      </c>
      <c r="X311" s="298"/>
      <c r="Y311" s="298"/>
      <c r="Z311" s="298"/>
      <c r="AA311" s="298"/>
      <c r="AB311" s="298"/>
      <c r="AC311" s="298"/>
      <c r="AD311" s="298"/>
      <c r="AE311" s="298"/>
      <c r="AF311" s="298"/>
      <c r="AG311" s="298"/>
    </row>
    <row r="312" spans="1:39" ht="15.75" customHeight="1">
      <c r="A312" s="1012">
        <v>10</v>
      </c>
      <c r="B312" s="293" t="s">
        <v>1828</v>
      </c>
      <c r="C312" s="539" t="s">
        <v>21</v>
      </c>
      <c r="D312" s="1003">
        <v>50205360330</v>
      </c>
      <c r="E312" s="686" t="s">
        <v>1829</v>
      </c>
      <c r="F312" s="624" t="s">
        <v>759</v>
      </c>
      <c r="G312" s="1124" t="s">
        <v>77</v>
      </c>
      <c r="H312" s="275"/>
      <c r="I312" s="275">
        <v>9002071783</v>
      </c>
      <c r="J312" s="690"/>
      <c r="K312" s="275" t="s">
        <v>330</v>
      </c>
      <c r="L312" s="274" t="s">
        <v>664</v>
      </c>
      <c r="M312" s="272">
        <v>23102</v>
      </c>
      <c r="N312" s="272">
        <v>45016</v>
      </c>
      <c r="O312" s="272">
        <v>45141</v>
      </c>
      <c r="P312" s="315">
        <v>45340</v>
      </c>
      <c r="Q312" s="302">
        <v>45186</v>
      </c>
      <c r="R312" s="998"/>
      <c r="S312" s="486" t="s">
        <v>1830</v>
      </c>
      <c r="T312" s="280"/>
      <c r="U312" s="485"/>
      <c r="V312" s="388">
        <f ca="1">INT((TODAY()-M312)/365)</f>
        <v>63</v>
      </c>
      <c r="W312" s="382"/>
      <c r="X312" s="382"/>
      <c r="Y312" s="382"/>
      <c r="Z312" s="382"/>
      <c r="AA312" s="311"/>
      <c r="AB312" s="311"/>
      <c r="AC312" s="311"/>
      <c r="AD312" s="311"/>
      <c r="AE312" s="311"/>
      <c r="AF312" s="311"/>
      <c r="AG312" s="311"/>
      <c r="AH312" s="311"/>
    </row>
    <row r="313" spans="1:39">
      <c r="A313" s="1125">
        <v>3</v>
      </c>
      <c r="B313" s="293" t="s">
        <v>1831</v>
      </c>
      <c r="C313" s="275" t="s">
        <v>31</v>
      </c>
      <c r="D313" s="304">
        <v>50204664735</v>
      </c>
      <c r="E313" s="303" t="s">
        <v>1832</v>
      </c>
      <c r="F313" s="18" t="s">
        <v>759</v>
      </c>
      <c r="G313" s="303" t="s">
        <v>76</v>
      </c>
      <c r="H313" s="274" t="s">
        <v>279</v>
      </c>
      <c r="I313" s="275">
        <v>9002071695</v>
      </c>
      <c r="J313" s="275"/>
      <c r="K313" s="275" t="s">
        <v>290</v>
      </c>
      <c r="L313" s="275" t="s">
        <v>610</v>
      </c>
      <c r="M313" s="289">
        <v>23924</v>
      </c>
      <c r="N313" s="272">
        <v>45838</v>
      </c>
      <c r="O313" s="272">
        <v>45148</v>
      </c>
      <c r="P313" s="278">
        <v>45115</v>
      </c>
      <c r="Q313" s="272">
        <v>45004</v>
      </c>
      <c r="R313" s="308"/>
      <c r="S313" s="309"/>
      <c r="T313" s="310" t="s">
        <v>1833</v>
      </c>
      <c r="U313" s="310" t="s">
        <v>1834</v>
      </c>
      <c r="V313" s="311">
        <f>LEN(D313)</f>
        <v>11</v>
      </c>
      <c r="W313" s="311"/>
      <c r="X313" s="208">
        <f ca="1">INT((TODAY()-M313)/365)</f>
        <v>60</v>
      </c>
      <c r="Y313" s="311"/>
      <c r="Z313" s="311"/>
      <c r="AA313" s="311"/>
      <c r="AB313" s="311"/>
      <c r="AC313" s="311"/>
      <c r="AD313" s="311"/>
      <c r="AE313" s="311"/>
      <c r="AF313" s="311"/>
      <c r="AG313" s="311"/>
      <c r="AH313" s="311"/>
      <c r="AI313" s="311"/>
      <c r="AJ313" s="311"/>
      <c r="AK313" s="311"/>
      <c r="AL313" s="311"/>
      <c r="AM313" s="311"/>
    </row>
    <row r="314" spans="1:39">
      <c r="A314" s="662">
        <v>10</v>
      </c>
      <c r="B314" s="334" t="s">
        <v>1835</v>
      </c>
      <c r="C314" s="1126" t="s">
        <v>1836</v>
      </c>
      <c r="D314" s="662">
        <v>3419</v>
      </c>
      <c r="E314" s="904" t="s">
        <v>841</v>
      </c>
      <c r="F314" s="662" t="s">
        <v>10</v>
      </c>
      <c r="G314" s="662">
        <v>50205387127</v>
      </c>
      <c r="H314" s="905">
        <v>23097</v>
      </c>
      <c r="I314" s="368">
        <v>45016</v>
      </c>
      <c r="J314" s="905">
        <v>32570</v>
      </c>
      <c r="K314" s="712"/>
    </row>
    <row r="315" spans="1:39">
      <c r="A315" s="980">
        <v>29</v>
      </c>
      <c r="B315" s="301" t="s">
        <v>1837</v>
      </c>
      <c r="C315" s="284" t="s">
        <v>22</v>
      </c>
      <c r="D315" s="527">
        <v>3429802940</v>
      </c>
      <c r="E315" s="1120" t="s">
        <v>1838</v>
      </c>
      <c r="F315" s="686" t="s">
        <v>759</v>
      </c>
      <c r="G315" s="284" t="s">
        <v>77</v>
      </c>
      <c r="H315" s="391"/>
      <c r="I315" s="284"/>
      <c r="J315" s="284"/>
      <c r="K315" s="275" t="s">
        <v>315</v>
      </c>
      <c r="L315" s="303" t="s">
        <v>1839</v>
      </c>
      <c r="M315" s="272">
        <v>34797</v>
      </c>
      <c r="N315" s="272">
        <v>56734</v>
      </c>
      <c r="O315" s="400">
        <v>45262</v>
      </c>
      <c r="P315" s="279">
        <v>46151</v>
      </c>
      <c r="Q315" s="302">
        <v>46063</v>
      </c>
      <c r="R315" s="394" t="s">
        <v>1840</v>
      </c>
      <c r="S315" s="393"/>
      <c r="T315" s="403"/>
      <c r="U315" s="393"/>
      <c r="V315" s="383"/>
      <c r="W315" s="563"/>
      <c r="Y315" s="90"/>
      <c r="AB315" s="311"/>
    </row>
    <row r="316" spans="1:39">
      <c r="A316" s="902">
        <v>13</v>
      </c>
      <c r="B316" s="221" t="s">
        <v>1841</v>
      </c>
      <c r="C316" s="1126" t="s">
        <v>1842</v>
      </c>
      <c r="D316" s="662">
        <v>2602</v>
      </c>
      <c r="E316" s="904" t="s">
        <v>848</v>
      </c>
      <c r="F316" s="662" t="s">
        <v>10</v>
      </c>
      <c r="G316" s="662">
        <v>50205333714</v>
      </c>
      <c r="H316" s="905">
        <v>23262</v>
      </c>
      <c r="I316" s="368">
        <v>45199</v>
      </c>
      <c r="J316" s="905">
        <v>31937</v>
      </c>
      <c r="K316" s="712"/>
    </row>
    <row r="317" spans="1:39">
      <c r="A317" s="90"/>
      <c r="C317" s="89"/>
      <c r="F317" s="90"/>
      <c r="I317" s="90"/>
      <c r="J317" s="90"/>
      <c r="L317" s="90"/>
    </row>
    <row r="318" spans="1:39" ht="15.75">
      <c r="A318" s="335">
        <v>65</v>
      </c>
      <c r="B318" s="984" t="s">
        <v>1843</v>
      </c>
      <c r="C318" s="1127" t="s">
        <v>14</v>
      </c>
      <c r="D318" s="931">
        <v>50205349916</v>
      </c>
      <c r="E318" s="527" t="s">
        <v>639</v>
      </c>
      <c r="F318" s="970" t="s">
        <v>759</v>
      </c>
      <c r="G318" s="932" t="s">
        <v>78</v>
      </c>
      <c r="H318" s="3"/>
      <c r="I318" s="656">
        <v>9002071527</v>
      </c>
      <c r="J318" s="327"/>
      <c r="K318" s="328" t="s">
        <v>253</v>
      </c>
      <c r="L318" s="445" t="s">
        <v>1331</v>
      </c>
      <c r="M318" s="913">
        <v>25628</v>
      </c>
      <c r="N318" s="913">
        <v>47542</v>
      </c>
      <c r="O318" s="794">
        <v>45116</v>
      </c>
      <c r="P318" s="914">
        <v>45144</v>
      </c>
      <c r="Q318" s="272">
        <v>45509</v>
      </c>
      <c r="R318" s="332"/>
      <c r="S318" s="334"/>
      <c r="T318" s="916" t="s">
        <v>1844</v>
      </c>
      <c r="U318" s="199"/>
      <c r="V318" s="710" t="s">
        <v>1845</v>
      </c>
      <c r="W318" s="199"/>
      <c r="X318" s="199"/>
      <c r="Y318" s="199"/>
      <c r="Z318" s="197" t="s">
        <v>84</v>
      </c>
      <c r="AA318" s="199"/>
      <c r="AB318" s="199"/>
      <c r="AC318" s="199"/>
      <c r="AD318" s="199"/>
      <c r="AE318" s="199"/>
      <c r="AF318" s="199"/>
      <c r="AG318" s="199"/>
      <c r="AH318" s="199"/>
    </row>
    <row r="319" spans="1:39" ht="15.75">
      <c r="A319" s="335">
        <v>53</v>
      </c>
      <c r="B319" s="984" t="s">
        <v>1846</v>
      </c>
      <c r="C319" s="1128" t="s">
        <v>14</v>
      </c>
      <c r="D319" s="931">
        <v>50204610880</v>
      </c>
      <c r="E319" s="527" t="s">
        <v>1847</v>
      </c>
      <c r="F319" s="970" t="s">
        <v>759</v>
      </c>
      <c r="G319" s="932" t="s">
        <v>77</v>
      </c>
      <c r="H319" s="327"/>
      <c r="I319" s="327"/>
      <c r="J319" s="327"/>
      <c r="K319" s="328" t="s">
        <v>253</v>
      </c>
      <c r="L319" s="911" t="s">
        <v>1331</v>
      </c>
      <c r="M319" s="1129">
        <v>23806</v>
      </c>
      <c r="N319" s="913">
        <v>45747</v>
      </c>
      <c r="O319" s="326">
        <v>44622</v>
      </c>
      <c r="P319" s="933">
        <v>45475</v>
      </c>
      <c r="Q319" s="915">
        <v>45312</v>
      </c>
      <c r="R319" s="332"/>
      <c r="S319" s="334"/>
      <c r="T319" s="916" t="s">
        <v>1848</v>
      </c>
      <c r="U319" s="334"/>
      <c r="V319" s="710" t="s">
        <v>1845</v>
      </c>
      <c r="W319" s="334"/>
      <c r="X319" s="334"/>
      <c r="Y319" s="334"/>
      <c r="Z319" s="335" t="s">
        <v>1849</v>
      </c>
      <c r="AA319" s="334"/>
      <c r="AB319" s="334"/>
      <c r="AC319" s="334"/>
      <c r="AD319" s="334"/>
      <c r="AE319" s="334"/>
      <c r="AF319" s="334"/>
      <c r="AG319" s="334"/>
      <c r="AH319" s="334"/>
    </row>
    <row r="320" spans="1:39">
      <c r="A320" s="2211" t="s">
        <v>1850</v>
      </c>
      <c r="B320" s="2206"/>
      <c r="C320" s="2206"/>
      <c r="D320" s="2206"/>
      <c r="E320" s="2206"/>
      <c r="F320" s="90"/>
      <c r="I320" s="90"/>
      <c r="J320" s="90"/>
      <c r="L320" s="90"/>
    </row>
    <row r="321" spans="1:39" ht="15.75" customHeight="1">
      <c r="A321" s="936">
        <v>11</v>
      </c>
      <c r="B321" s="293" t="s">
        <v>1851</v>
      </c>
      <c r="C321" s="275" t="s">
        <v>21</v>
      </c>
      <c r="D321" s="619">
        <v>50209778585</v>
      </c>
      <c r="E321" s="303" t="s">
        <v>1852</v>
      </c>
      <c r="F321" s="274" t="s">
        <v>759</v>
      </c>
      <c r="G321" s="303" t="s">
        <v>76</v>
      </c>
      <c r="H321" s="275"/>
      <c r="I321" s="293">
        <v>9002079092</v>
      </c>
      <c r="J321" s="601">
        <v>7980060729</v>
      </c>
      <c r="K321" s="293" t="s">
        <v>261</v>
      </c>
      <c r="L321" s="275" t="s">
        <v>98</v>
      </c>
      <c r="M321" s="289">
        <v>23131</v>
      </c>
      <c r="N321" s="289">
        <v>45046</v>
      </c>
      <c r="O321" s="272">
        <v>45021</v>
      </c>
      <c r="P321" s="272">
        <v>45849</v>
      </c>
      <c r="Q321" s="272">
        <v>45860</v>
      </c>
      <c r="R321" s="294"/>
      <c r="S321" s="296" t="s">
        <v>1853</v>
      </c>
      <c r="T321" s="295"/>
      <c r="U321" s="295"/>
      <c r="V321" s="297">
        <f>LEN(TEXT(D321,0))</f>
        <v>11</v>
      </c>
      <c r="W321" s="208">
        <f ca="1">INT((TODAY()-M321)/365)</f>
        <v>62</v>
      </c>
      <c r="X321" s="298"/>
      <c r="Y321" s="298"/>
      <c r="Z321" s="298"/>
      <c r="AA321" s="298"/>
      <c r="AB321" s="298"/>
      <c r="AC321" s="298"/>
      <c r="AD321" s="298"/>
      <c r="AE321" s="298"/>
      <c r="AF321" s="298"/>
      <c r="AG321" s="298"/>
      <c r="AH321" s="298"/>
      <c r="AI321" s="298"/>
      <c r="AJ321" s="298"/>
      <c r="AK321" s="298"/>
      <c r="AL321" s="298"/>
      <c r="AM321" s="298"/>
    </row>
    <row r="322" spans="1:39" ht="15.75" customHeight="1">
      <c r="A322" s="1001">
        <v>31</v>
      </c>
      <c r="B322" s="293" t="s">
        <v>1854</v>
      </c>
      <c r="C322" s="275" t="s">
        <v>31</v>
      </c>
      <c r="D322" s="488">
        <v>50205376415</v>
      </c>
      <c r="E322" s="274" t="s">
        <v>1855</v>
      </c>
      <c r="F322" s="624" t="s">
        <v>759</v>
      </c>
      <c r="G322" s="1124" t="s">
        <v>77</v>
      </c>
      <c r="H322" s="274" t="s">
        <v>279</v>
      </c>
      <c r="I322" s="275">
        <v>9002071289</v>
      </c>
      <c r="J322" s="415">
        <v>9002071289</v>
      </c>
      <c r="K322" s="275" t="s">
        <v>330</v>
      </c>
      <c r="L322" s="274" t="s">
        <v>342</v>
      </c>
      <c r="M322" s="272">
        <v>23128</v>
      </c>
      <c r="N322" s="272">
        <v>45046</v>
      </c>
      <c r="O322" s="272">
        <v>45104</v>
      </c>
      <c r="P322" s="278">
        <v>45662</v>
      </c>
      <c r="Q322" s="302">
        <v>45622</v>
      </c>
      <c r="R322" s="309"/>
      <c r="S322" s="309"/>
      <c r="T322" s="310" t="s">
        <v>1856</v>
      </c>
      <c r="U322" s="310" t="s">
        <v>1856</v>
      </c>
      <c r="V322" s="388">
        <f ca="1">INT((TODAY()-M322)/365)</f>
        <v>62</v>
      </c>
      <c r="W322" s="311"/>
      <c r="X322" s="311"/>
      <c r="Y322" s="311"/>
      <c r="Z322" s="311"/>
      <c r="AA322" s="311"/>
      <c r="AB322" s="311"/>
      <c r="AC322" s="311"/>
      <c r="AD322" s="311"/>
      <c r="AE322" s="311"/>
      <c r="AF322" s="311"/>
      <c r="AG322" s="311"/>
      <c r="AH322" s="311"/>
      <c r="AI322" s="311"/>
      <c r="AJ322" s="311"/>
      <c r="AK322" s="311"/>
      <c r="AL322" s="311"/>
      <c r="AM322" s="311"/>
    </row>
    <row r="323" spans="1:39">
      <c r="A323" s="662">
        <v>28</v>
      </c>
      <c r="B323" s="1126" t="s">
        <v>1857</v>
      </c>
      <c r="C323" s="334" t="s">
        <v>1858</v>
      </c>
      <c r="D323" s="662">
        <v>3049</v>
      </c>
      <c r="E323" s="904" t="s">
        <v>919</v>
      </c>
      <c r="F323" s="662" t="s">
        <v>11</v>
      </c>
      <c r="G323" s="595">
        <v>50205349930</v>
      </c>
      <c r="H323" s="905">
        <v>23114</v>
      </c>
      <c r="I323" s="368">
        <v>45046</v>
      </c>
      <c r="J323" s="1130">
        <v>32857</v>
      </c>
      <c r="K323" s="712"/>
    </row>
    <row r="324" spans="1:39">
      <c r="A324" s="90"/>
      <c r="F324" s="90"/>
      <c r="I324" s="90"/>
      <c r="J324" s="90"/>
      <c r="L324" s="90"/>
    </row>
    <row r="325" spans="1:39" ht="15.75" customHeight="1">
      <c r="A325" s="1001">
        <v>46</v>
      </c>
      <c r="B325" s="293" t="s">
        <v>1859</v>
      </c>
      <c r="C325" s="275" t="s">
        <v>31</v>
      </c>
      <c r="D325" s="488">
        <v>50205326369</v>
      </c>
      <c r="E325" s="274" t="s">
        <v>1860</v>
      </c>
      <c r="F325" s="624" t="s">
        <v>759</v>
      </c>
      <c r="G325" s="1124" t="s">
        <v>77</v>
      </c>
      <c r="H325" s="274" t="s">
        <v>279</v>
      </c>
      <c r="I325" s="275">
        <v>9002071072</v>
      </c>
      <c r="J325" s="415">
        <v>9002071072</v>
      </c>
      <c r="K325" s="275" t="s">
        <v>330</v>
      </c>
      <c r="L325" s="275" t="s">
        <v>43</v>
      </c>
      <c r="M325" s="272">
        <v>23145</v>
      </c>
      <c r="N325" s="272">
        <v>45077</v>
      </c>
      <c r="O325" s="272">
        <v>45115</v>
      </c>
      <c r="P325" s="279">
        <v>45274</v>
      </c>
      <c r="Q325" s="279">
        <v>45200</v>
      </c>
      <c r="R325" s="309"/>
      <c r="S325" s="309"/>
      <c r="T325" s="310" t="s">
        <v>1861</v>
      </c>
      <c r="U325" s="894" t="s">
        <v>1862</v>
      </c>
      <c r="V325" s="388">
        <f ca="1">INT((TODAY()-M325)/365)</f>
        <v>62</v>
      </c>
      <c r="W325" s="208"/>
      <c r="X325" s="563"/>
      <c r="Z325" s="384"/>
    </row>
    <row r="326" spans="1:39" ht="15.75" customHeight="1">
      <c r="A326" s="1131">
        <v>56</v>
      </c>
      <c r="B326" s="1104" t="s">
        <v>1863</v>
      </c>
      <c r="C326" s="405" t="s">
        <v>21</v>
      </c>
      <c r="D326" s="677">
        <v>50205349102</v>
      </c>
      <c r="E326" s="1132" t="s">
        <v>1864</v>
      </c>
      <c r="F326" s="946" t="s">
        <v>759</v>
      </c>
      <c r="G326" s="274" t="s">
        <v>76</v>
      </c>
      <c r="I326" s="703">
        <v>9002071770</v>
      </c>
      <c r="J326" s="3"/>
      <c r="K326" s="307" t="s">
        <v>253</v>
      </c>
      <c r="L326" s="275" t="s">
        <v>1199</v>
      </c>
      <c r="M326" s="278">
        <v>23684</v>
      </c>
      <c r="N326" s="315">
        <v>45626</v>
      </c>
      <c r="O326" s="278"/>
      <c r="P326" s="278"/>
      <c r="Q326" s="676"/>
      <c r="R326" s="285"/>
      <c r="S326" s="318" t="s">
        <v>1865</v>
      </c>
      <c r="T326" s="285"/>
      <c r="U326" s="317" t="s">
        <v>1866</v>
      </c>
      <c r="V326" s="285"/>
      <c r="W326" s="18" t="s">
        <v>1867</v>
      </c>
      <c r="X326" s="3"/>
      <c r="Y326" s="3"/>
      <c r="Z326" s="79"/>
      <c r="AA326" s="79"/>
      <c r="AB326" s="311">
        <f ca="1">INT((TODAY()-M326)/365)</f>
        <v>61</v>
      </c>
    </row>
    <row r="327" spans="1:39">
      <c r="A327" s="231">
        <v>10</v>
      </c>
      <c r="B327" s="235" t="s">
        <v>1868</v>
      </c>
      <c r="C327" s="233" t="s">
        <v>76</v>
      </c>
      <c r="D327" s="883" t="s">
        <v>137</v>
      </c>
      <c r="E327" s="235">
        <v>5384795</v>
      </c>
      <c r="F327" s="233" t="s">
        <v>1869</v>
      </c>
      <c r="G327" s="236">
        <v>45077</v>
      </c>
      <c r="H327" s="233" t="s">
        <v>1870</v>
      </c>
      <c r="I327" s="233" t="s">
        <v>1871</v>
      </c>
      <c r="J327" s="237" t="s">
        <v>146</v>
      </c>
      <c r="K327" s="238" t="s">
        <v>142</v>
      </c>
      <c r="L327" s="239"/>
    </row>
    <row r="328" spans="1:39">
      <c r="A328" s="90"/>
      <c r="C328" s="89"/>
      <c r="F328" s="90"/>
      <c r="I328" s="90"/>
      <c r="J328" s="90"/>
      <c r="L328" s="90"/>
    </row>
    <row r="329" spans="1:39" ht="18.75">
      <c r="A329" s="898">
        <v>122</v>
      </c>
      <c r="B329" s="276" t="s">
        <v>1872</v>
      </c>
      <c r="C329" s="307" t="s">
        <v>31</v>
      </c>
      <c r="D329" s="675">
        <v>50212092691</v>
      </c>
      <c r="E329" s="421" t="s">
        <v>1873</v>
      </c>
      <c r="F329" s="685" t="s">
        <v>759</v>
      </c>
      <c r="G329" s="337" t="s">
        <v>76</v>
      </c>
      <c r="H329" s="303" t="s">
        <v>279</v>
      </c>
      <c r="I329" s="307">
        <v>9002071636</v>
      </c>
      <c r="J329" s="935">
        <v>9002071636</v>
      </c>
      <c r="K329" s="307" t="s">
        <v>253</v>
      </c>
      <c r="L329" s="275" t="s">
        <v>43</v>
      </c>
      <c r="M329" s="278">
        <v>23166</v>
      </c>
      <c r="N329" s="315">
        <v>45107</v>
      </c>
      <c r="O329" s="278">
        <v>45116</v>
      </c>
      <c r="P329" s="278">
        <v>45662</v>
      </c>
      <c r="Q329" s="302">
        <v>45622</v>
      </c>
      <c r="R329" s="285"/>
      <c r="S329" s="285"/>
      <c r="T329" s="318" t="s">
        <v>1874</v>
      </c>
      <c r="U329" s="318" t="s">
        <v>1875</v>
      </c>
      <c r="V329" s="285">
        <f>LEN(D329)</f>
        <v>11</v>
      </c>
      <c r="W329" s="3"/>
      <c r="X329" s="3"/>
      <c r="Y329" s="3"/>
      <c r="Z329" s="79"/>
      <c r="AA329" s="79"/>
      <c r="AB329" s="311">
        <f t="shared" ref="AB329:AB331" ca="1" si="57">INT((TODAY()-M329)/365)</f>
        <v>62</v>
      </c>
    </row>
    <row r="330" spans="1:39" ht="15.75" customHeight="1">
      <c r="A330" s="974">
        <v>4</v>
      </c>
      <c r="B330" s="276" t="s">
        <v>1876</v>
      </c>
      <c r="C330" s="405" t="s">
        <v>14</v>
      </c>
      <c r="D330" s="675">
        <v>50205326321</v>
      </c>
      <c r="E330" s="1123" t="s">
        <v>1877</v>
      </c>
      <c r="F330" s="946" t="s">
        <v>759</v>
      </c>
      <c r="G330" s="870" t="s">
        <v>76</v>
      </c>
      <c r="H330" s="303" t="s">
        <v>279</v>
      </c>
      <c r="I330" s="307">
        <v>9002071360</v>
      </c>
      <c r="J330" s="307"/>
      <c r="K330" s="307" t="s">
        <v>253</v>
      </c>
      <c r="L330" s="275" t="s">
        <v>102</v>
      </c>
      <c r="M330" s="278">
        <v>23178</v>
      </c>
      <c r="N330" s="278">
        <v>45107</v>
      </c>
      <c r="O330" s="278">
        <v>45118</v>
      </c>
      <c r="P330" s="278">
        <v>45361</v>
      </c>
      <c r="Q330" s="302">
        <v>45177</v>
      </c>
      <c r="R330" s="1029"/>
      <c r="S330" s="285"/>
      <c r="T330" s="318" t="s">
        <v>1878</v>
      </c>
      <c r="U330" s="318" t="s">
        <v>1878</v>
      </c>
      <c r="V330" s="285"/>
      <c r="W330" s="647">
        <v>38765</v>
      </c>
      <c r="X330" s="3"/>
      <c r="Y330" s="3"/>
      <c r="Z330" s="197" t="s">
        <v>84</v>
      </c>
      <c r="AB330" s="311">
        <f t="shared" ca="1" si="57"/>
        <v>62</v>
      </c>
      <c r="AC330" s="311"/>
      <c r="AD330" s="311"/>
      <c r="AE330" s="311"/>
    </row>
    <row r="331" spans="1:39" ht="18.75">
      <c r="A331" s="1125">
        <v>41</v>
      </c>
      <c r="B331" s="286" t="s">
        <v>1879</v>
      </c>
      <c r="C331" s="18" t="s">
        <v>31</v>
      </c>
      <c r="D331" s="3"/>
      <c r="E331" s="475" t="s">
        <v>1880</v>
      </c>
      <c r="F331" s="958" t="s">
        <v>759</v>
      </c>
      <c r="G331" s="337" t="s">
        <v>76</v>
      </c>
      <c r="H331" s="303" t="s">
        <v>266</v>
      </c>
      <c r="I331" s="79"/>
      <c r="J331" s="620"/>
      <c r="K331" s="275" t="s">
        <v>290</v>
      </c>
      <c r="L331" s="1133" t="s">
        <v>1199</v>
      </c>
      <c r="M331" s="476">
        <v>23168</v>
      </c>
      <c r="N331" s="476">
        <v>45107</v>
      </c>
      <c r="O331" s="602"/>
      <c r="P331" s="602"/>
      <c r="Q331" s="602"/>
      <c r="R331" s="1134"/>
      <c r="S331" s="485"/>
      <c r="T331" s="485"/>
      <c r="U331" s="485"/>
      <c r="V331" s="382"/>
      <c r="W331" s="311"/>
      <c r="X331" s="382"/>
      <c r="Y331" s="3"/>
      <c r="Z331" s="79"/>
      <c r="AA331" s="79"/>
      <c r="AB331" s="382">
        <f t="shared" ca="1" si="57"/>
        <v>62</v>
      </c>
      <c r="AC331" s="79"/>
      <c r="AD331" s="79"/>
      <c r="AE331" s="79"/>
      <c r="AF331" s="79"/>
      <c r="AG331" s="79"/>
      <c r="AH331" s="79"/>
    </row>
    <row r="332" spans="1:39" ht="15.75" customHeight="1">
      <c r="A332" s="1012">
        <v>1</v>
      </c>
      <c r="B332" s="293" t="s">
        <v>1881</v>
      </c>
      <c r="C332" s="275" t="s">
        <v>21</v>
      </c>
      <c r="D332" s="488">
        <v>50212102763</v>
      </c>
      <c r="E332" s="303" t="s">
        <v>1882</v>
      </c>
      <c r="F332" s="686" t="s">
        <v>759</v>
      </c>
      <c r="G332" s="385" t="s">
        <v>76</v>
      </c>
      <c r="H332" s="275"/>
      <c r="I332" s="275">
        <v>9002071806</v>
      </c>
      <c r="J332" s="415">
        <v>7718257429</v>
      </c>
      <c r="K332" s="275" t="s">
        <v>330</v>
      </c>
      <c r="L332" s="275" t="s">
        <v>43</v>
      </c>
      <c r="M332" s="272">
        <v>23187</v>
      </c>
      <c r="N332" s="272">
        <v>45107</v>
      </c>
      <c r="O332" s="272">
        <v>45200</v>
      </c>
      <c r="P332" s="279">
        <v>45204</v>
      </c>
      <c r="Q332" s="302">
        <v>45186</v>
      </c>
      <c r="R332" s="842"/>
      <c r="S332" s="310" t="s">
        <v>1883</v>
      </c>
      <c r="T332" s="309"/>
      <c r="U332" s="309"/>
      <c r="V332" s="388">
        <f ca="1">INT((TODAY()-M332)/365)</f>
        <v>62</v>
      </c>
      <c r="W332" s="311"/>
      <c r="X332" s="311"/>
      <c r="Y332" s="311"/>
      <c r="Z332" s="311"/>
      <c r="AA332" s="311"/>
      <c r="AB332" s="311"/>
      <c r="AC332" s="311"/>
      <c r="AD332" s="311"/>
      <c r="AE332" s="311"/>
      <c r="AF332" s="311"/>
      <c r="AG332" s="311"/>
      <c r="AH332" s="311"/>
      <c r="AI332" s="311"/>
      <c r="AJ332" s="311"/>
      <c r="AK332" s="311"/>
      <c r="AL332" s="311"/>
      <c r="AM332" s="311"/>
    </row>
    <row r="333" spans="1:39">
      <c r="F333" s="90"/>
      <c r="J333" s="90"/>
    </row>
    <row r="334" spans="1:39" ht="15.75" customHeight="1">
      <c r="A334" s="980">
        <v>18</v>
      </c>
      <c r="B334" s="1135" t="s">
        <v>1884</v>
      </c>
      <c r="C334" s="284" t="s">
        <v>22</v>
      </c>
      <c r="D334" s="306">
        <v>50320113052</v>
      </c>
      <c r="E334" s="1136" t="s">
        <v>1885</v>
      </c>
      <c r="F334" s="686" t="s">
        <v>759</v>
      </c>
      <c r="G334" s="284" t="s">
        <v>76</v>
      </c>
      <c r="H334" s="391"/>
      <c r="I334" s="307"/>
      <c r="J334" s="624"/>
      <c r="K334" s="275" t="s">
        <v>315</v>
      </c>
      <c r="L334" s="274" t="s">
        <v>94</v>
      </c>
      <c r="M334" s="272">
        <v>32208</v>
      </c>
      <c r="N334" s="315">
        <v>54148</v>
      </c>
      <c r="O334" s="400">
        <v>45545</v>
      </c>
      <c r="P334" s="279">
        <v>45415</v>
      </c>
      <c r="Q334" s="302">
        <v>45455</v>
      </c>
      <c r="R334" s="403"/>
      <c r="S334" s="393"/>
      <c r="T334" s="403"/>
      <c r="U334" s="393"/>
      <c r="V334" s="1137" t="s">
        <v>1886</v>
      </c>
      <c r="W334" s="395"/>
      <c r="X334" s="79"/>
      <c r="AA334" s="79"/>
    </row>
    <row r="335" spans="1:39">
      <c r="A335" s="90"/>
      <c r="C335" s="89"/>
      <c r="F335" s="90"/>
      <c r="I335" s="90"/>
      <c r="J335" s="90"/>
      <c r="L335" s="90"/>
    </row>
    <row r="336" spans="1:39" ht="15.75">
      <c r="A336" s="656">
        <v>8</v>
      </c>
      <c r="B336" s="524" t="s">
        <v>1887</v>
      </c>
      <c r="C336" s="1138" t="s">
        <v>31</v>
      </c>
      <c r="D336" s="1139">
        <v>50205357494</v>
      </c>
      <c r="E336" s="527" t="s">
        <v>1888</v>
      </c>
      <c r="F336" s="970" t="s">
        <v>759</v>
      </c>
      <c r="G336" s="1140" t="s">
        <v>76</v>
      </c>
      <c r="H336" s="303" t="s">
        <v>279</v>
      </c>
      <c r="I336" s="79"/>
      <c r="J336" s="1141"/>
      <c r="K336" s="409" t="s">
        <v>261</v>
      </c>
      <c r="L336" s="656" t="s">
        <v>610</v>
      </c>
      <c r="M336" s="528">
        <v>24447</v>
      </c>
      <c r="N336" s="529">
        <v>46387</v>
      </c>
      <c r="O336" s="1142"/>
      <c r="P336" s="1143"/>
      <c r="Q336" s="18" t="s">
        <v>1889</v>
      </c>
      <c r="R336" s="533"/>
      <c r="S336" s="533"/>
      <c r="T336" s="534" t="s">
        <v>1890</v>
      </c>
      <c r="U336" s="535" t="s">
        <v>1891</v>
      </c>
      <c r="V336" s="533"/>
      <c r="W336" s="533"/>
      <c r="X336" s="533"/>
      <c r="Y336" s="334"/>
      <c r="Z336" s="334"/>
      <c r="AA336" s="334"/>
      <c r="AB336" s="334"/>
      <c r="AC336" s="199"/>
      <c r="AD336" s="199"/>
      <c r="AE336" s="199"/>
      <c r="AF336" s="199"/>
      <c r="AG336" s="199"/>
      <c r="AH336" s="199"/>
    </row>
    <row r="337" spans="1:39" ht="15.75" customHeight="1">
      <c r="A337" s="898">
        <v>110</v>
      </c>
      <c r="B337" s="276" t="s">
        <v>1892</v>
      </c>
      <c r="C337" s="405" t="s">
        <v>31</v>
      </c>
      <c r="D337" s="675">
        <v>50205384357</v>
      </c>
      <c r="E337" s="1004" t="s">
        <v>1893</v>
      </c>
      <c r="F337" s="685" t="s">
        <v>759</v>
      </c>
      <c r="G337" s="337" t="s">
        <v>76</v>
      </c>
      <c r="H337" s="303" t="s">
        <v>279</v>
      </c>
      <c r="I337" s="307">
        <v>9002071684</v>
      </c>
      <c r="J337" s="703">
        <v>9002071684</v>
      </c>
      <c r="K337" s="307" t="s">
        <v>253</v>
      </c>
      <c r="L337" s="275" t="s">
        <v>97</v>
      </c>
      <c r="M337" s="921">
        <v>23198</v>
      </c>
      <c r="N337" s="315">
        <v>45138</v>
      </c>
      <c r="O337" s="278">
        <v>45156</v>
      </c>
      <c r="P337" s="278">
        <v>45501</v>
      </c>
      <c r="Q337" s="302">
        <v>45397</v>
      </c>
      <c r="R337" s="285"/>
      <c r="S337" s="285"/>
      <c r="T337" s="318" t="s">
        <v>1894</v>
      </c>
      <c r="U337" s="318" t="s">
        <v>1895</v>
      </c>
      <c r="V337" s="285">
        <f>LEN(D337)</f>
        <v>11</v>
      </c>
      <c r="W337" s="3"/>
      <c r="X337" s="3"/>
      <c r="Y337" s="3"/>
      <c r="Z337" s="79"/>
      <c r="AA337" s="79"/>
      <c r="AB337" s="311">
        <f t="shared" ref="AB337:AB338" ca="1" si="58">INT((TODAY()-M337)/365)</f>
        <v>62</v>
      </c>
    </row>
    <row r="338" spans="1:39" ht="15.75" customHeight="1">
      <c r="A338" s="898">
        <v>131</v>
      </c>
      <c r="B338" s="276" t="s">
        <v>1896</v>
      </c>
      <c r="C338" s="405" t="s">
        <v>31</v>
      </c>
      <c r="D338" s="677">
        <v>50205360341</v>
      </c>
      <c r="E338" s="1004" t="s">
        <v>1897</v>
      </c>
      <c r="F338" s="685" t="s">
        <v>759</v>
      </c>
      <c r="G338" s="337" t="s">
        <v>76</v>
      </c>
      <c r="H338" s="303" t="s">
        <v>279</v>
      </c>
      <c r="I338" s="307">
        <v>9002071649</v>
      </c>
      <c r="J338" s="307"/>
      <c r="K338" s="307" t="s">
        <v>253</v>
      </c>
      <c r="L338" s="439" t="s">
        <v>54</v>
      </c>
      <c r="M338" s="278">
        <v>23198</v>
      </c>
      <c r="N338" s="278">
        <v>45138</v>
      </c>
      <c r="O338" s="278">
        <v>45216</v>
      </c>
      <c r="P338" s="279">
        <v>45487</v>
      </c>
      <c r="Q338" s="302">
        <v>45397</v>
      </c>
      <c r="R338" s="285"/>
      <c r="S338" s="285"/>
      <c r="T338" s="318" t="s">
        <v>1898</v>
      </c>
      <c r="U338" s="318" t="s">
        <v>1898</v>
      </c>
      <c r="V338" s="285"/>
      <c r="W338" s="3"/>
      <c r="X338" s="3"/>
      <c r="Y338" s="3"/>
      <c r="Z338" s="79"/>
      <c r="AA338" s="79"/>
      <c r="AB338" s="311">
        <f t="shared" ca="1" si="58"/>
        <v>62</v>
      </c>
    </row>
    <row r="339" spans="1:39" ht="15.75" customHeight="1">
      <c r="A339" s="936">
        <v>5</v>
      </c>
      <c r="B339" s="293" t="s">
        <v>1899</v>
      </c>
      <c r="C339" s="275" t="s">
        <v>21</v>
      </c>
      <c r="D339" s="284">
        <v>50204664670</v>
      </c>
      <c r="E339" s="303" t="s">
        <v>1900</v>
      </c>
      <c r="F339" s="274" t="s">
        <v>759</v>
      </c>
      <c r="G339" s="303" t="s">
        <v>76</v>
      </c>
      <c r="H339" s="275"/>
      <c r="I339" s="293">
        <v>9002071824</v>
      </c>
      <c r="J339" s="275">
        <v>9002071824</v>
      </c>
      <c r="K339" s="275" t="s">
        <v>261</v>
      </c>
      <c r="L339" s="275" t="s">
        <v>294</v>
      </c>
      <c r="M339" s="272">
        <v>23200</v>
      </c>
      <c r="N339" s="289">
        <v>45138</v>
      </c>
      <c r="O339" s="272">
        <v>45191</v>
      </c>
      <c r="P339" s="315">
        <v>45340</v>
      </c>
      <c r="Q339" s="302">
        <v>45188</v>
      </c>
      <c r="R339" s="294"/>
      <c r="S339" s="296" t="s">
        <v>1901</v>
      </c>
      <c r="T339" s="295"/>
      <c r="U339" s="295"/>
      <c r="V339" s="297">
        <f t="shared" ref="V339:V341" si="59">LEN(TEXT(D339,0))</f>
        <v>11</v>
      </c>
      <c r="W339" s="208">
        <f t="shared" ref="W339:W340" ca="1" si="60">INT((TODAY()-M339)/365)</f>
        <v>62</v>
      </c>
      <c r="X339" s="298"/>
      <c r="Y339" s="298"/>
      <c r="Z339" s="298"/>
      <c r="AA339" s="298"/>
      <c r="AB339" s="298"/>
      <c r="AC339" s="298"/>
      <c r="AD339" s="298"/>
      <c r="AE339" s="298"/>
      <c r="AF339" s="298"/>
      <c r="AG339" s="298"/>
    </row>
    <row r="340" spans="1:39" ht="15.75" customHeight="1">
      <c r="A340" s="936">
        <v>18</v>
      </c>
      <c r="B340" s="293" t="s">
        <v>1902</v>
      </c>
      <c r="C340" s="275" t="s">
        <v>21</v>
      </c>
      <c r="D340" s="284">
        <v>50205389331</v>
      </c>
      <c r="E340" s="303" t="s">
        <v>1903</v>
      </c>
      <c r="F340" s="274" t="s">
        <v>759</v>
      </c>
      <c r="G340" s="303" t="s">
        <v>76</v>
      </c>
      <c r="H340" s="275"/>
      <c r="I340" s="293">
        <v>9002071885</v>
      </c>
      <c r="J340" s="275"/>
      <c r="K340" s="275" t="s">
        <v>261</v>
      </c>
      <c r="L340" s="274" t="s">
        <v>299</v>
      </c>
      <c r="M340" s="272">
        <v>23204</v>
      </c>
      <c r="N340" s="289">
        <v>45138</v>
      </c>
      <c r="O340" s="272">
        <v>45115</v>
      </c>
      <c r="P340" s="315">
        <v>45340</v>
      </c>
      <c r="Q340" s="289" t="s">
        <v>1904</v>
      </c>
      <c r="R340" s="294"/>
      <c r="S340" s="603" t="s">
        <v>1905</v>
      </c>
      <c r="T340" s="888" t="s">
        <v>1269</v>
      </c>
      <c r="U340" s="295"/>
      <c r="V340" s="297">
        <f t="shared" si="59"/>
        <v>11</v>
      </c>
      <c r="W340" s="208">
        <f t="shared" ca="1" si="60"/>
        <v>62</v>
      </c>
      <c r="X340" s="298"/>
      <c r="Y340" s="298"/>
      <c r="Z340" s="298"/>
      <c r="AA340" s="298"/>
      <c r="AB340" s="298"/>
      <c r="AC340" s="298"/>
      <c r="AD340" s="298"/>
      <c r="AE340" s="298"/>
      <c r="AF340" s="298"/>
      <c r="AG340" s="298"/>
      <c r="AH340" s="298"/>
      <c r="AI340" s="298"/>
      <c r="AJ340" s="298"/>
      <c r="AK340" s="298"/>
      <c r="AL340" s="298"/>
      <c r="AM340" s="298"/>
    </row>
    <row r="341" spans="1:39" ht="15.75" customHeight="1">
      <c r="A341" s="574">
        <v>41</v>
      </c>
      <c r="B341" s="293" t="s">
        <v>1790</v>
      </c>
      <c r="C341" s="274" t="s">
        <v>543</v>
      </c>
      <c r="D341" s="304">
        <v>50212102866</v>
      </c>
      <c r="E341" s="303" t="s">
        <v>1906</v>
      </c>
      <c r="F341" s="574" t="s">
        <v>23</v>
      </c>
      <c r="G341" s="599">
        <v>23211</v>
      </c>
      <c r="H341" s="599">
        <v>45138</v>
      </c>
      <c r="I341" s="275">
        <v>9002071743</v>
      </c>
      <c r="J341" s="303" t="s">
        <v>76</v>
      </c>
      <c r="K341" s="391" t="s">
        <v>334</v>
      </c>
      <c r="L341" s="274" t="s">
        <v>256</v>
      </c>
      <c r="O341" s="272">
        <v>45142</v>
      </c>
      <c r="P341" s="278">
        <v>45667</v>
      </c>
      <c r="Q341" s="272">
        <v>45450</v>
      </c>
      <c r="R341" s="79"/>
      <c r="S341" s="485"/>
      <c r="T341" s="486" t="s">
        <v>1907</v>
      </c>
      <c r="U341" s="486" t="s">
        <v>1907</v>
      </c>
      <c r="V341" s="383">
        <f t="shared" si="59"/>
        <v>11</v>
      </c>
      <c r="W341" s="382"/>
      <c r="X341" s="282">
        <f ca="1">INT((TODAY()-G341)/365)</f>
        <v>62</v>
      </c>
      <c r="Y341" s="79"/>
      <c r="Z341" s="79"/>
      <c r="AA341" s="79"/>
      <c r="AC341" s="384"/>
      <c r="AD341" s="384"/>
      <c r="AE341" s="384"/>
      <c r="AF341" s="384"/>
      <c r="AG341" s="384"/>
      <c r="AH341" s="384"/>
      <c r="AI341" s="384"/>
      <c r="AJ341" s="384"/>
      <c r="AK341" s="384"/>
      <c r="AL341" s="384"/>
      <c r="AM341" s="384"/>
    </row>
    <row r="342" spans="1:39">
      <c r="B342" s="293" t="s">
        <v>1908</v>
      </c>
      <c r="C342" s="275" t="s">
        <v>31</v>
      </c>
      <c r="D342" s="304">
        <v>50205295592</v>
      </c>
      <c r="E342" s="303" t="s">
        <v>1909</v>
      </c>
      <c r="F342" s="137" t="s">
        <v>759</v>
      </c>
      <c r="G342" s="303" t="s">
        <v>76</v>
      </c>
      <c r="H342" s="274" t="s">
        <v>279</v>
      </c>
      <c r="I342" s="275">
        <v>9002071706</v>
      </c>
      <c r="J342" s="284">
        <v>8617287279</v>
      </c>
      <c r="K342" s="275" t="s">
        <v>290</v>
      </c>
      <c r="L342" s="275" t="s">
        <v>1199</v>
      </c>
      <c r="M342" s="272">
        <v>23230</v>
      </c>
      <c r="N342" s="272">
        <v>45169</v>
      </c>
      <c r="O342" s="272">
        <v>45148</v>
      </c>
      <c r="P342" s="272">
        <v>45863</v>
      </c>
      <c r="Q342" s="302">
        <v>45232</v>
      </c>
      <c r="R342" s="79"/>
      <c r="S342" s="485"/>
    </row>
    <row r="343" spans="1:39">
      <c r="A343" s="90"/>
      <c r="B343" s="293" t="s">
        <v>1910</v>
      </c>
      <c r="C343" s="275" t="s">
        <v>31</v>
      </c>
      <c r="D343" s="489">
        <v>50205343100</v>
      </c>
      <c r="E343" s="1004" t="s">
        <v>1911</v>
      </c>
      <c r="F343" s="137" t="s">
        <v>759</v>
      </c>
      <c r="G343" s="303" t="s">
        <v>76</v>
      </c>
      <c r="H343" s="274" t="s">
        <v>279</v>
      </c>
      <c r="I343" s="275">
        <v>9002071241</v>
      </c>
      <c r="J343" s="284">
        <v>9002071241</v>
      </c>
      <c r="K343" s="275" t="s">
        <v>290</v>
      </c>
      <c r="L343" s="274" t="s">
        <v>256</v>
      </c>
      <c r="M343" s="272">
        <v>23233</v>
      </c>
      <c r="N343" s="272">
        <v>45169</v>
      </c>
      <c r="O343" s="272">
        <v>45231</v>
      </c>
      <c r="P343" s="279">
        <v>45212</v>
      </c>
      <c r="Q343" s="272">
        <v>45145</v>
      </c>
    </row>
    <row r="344" spans="1:39" ht="18.75">
      <c r="A344" s="90"/>
      <c r="B344" s="305" t="s">
        <v>1912</v>
      </c>
      <c r="C344" s="303" t="s">
        <v>14</v>
      </c>
      <c r="D344" s="675">
        <v>50204664930</v>
      </c>
      <c r="E344" s="975" t="s">
        <v>1913</v>
      </c>
      <c r="F344" s="1024" t="s">
        <v>759</v>
      </c>
      <c r="G344" s="870" t="s">
        <v>76</v>
      </c>
      <c r="H344" s="303" t="s">
        <v>266</v>
      </c>
      <c r="I344" s="307"/>
      <c r="J344" s="307"/>
      <c r="K344" s="351" t="s">
        <v>334</v>
      </c>
      <c r="L344" s="303" t="s">
        <v>97</v>
      </c>
      <c r="M344" s="315">
        <v>23230</v>
      </c>
      <c r="N344" s="315">
        <v>45169</v>
      </c>
      <c r="O344" s="279">
        <v>45299</v>
      </c>
      <c r="P344" s="278">
        <v>45667</v>
      </c>
      <c r="Q344" s="302">
        <v>45649</v>
      </c>
      <c r="R344" s="317"/>
      <c r="S344" s="285"/>
      <c r="T344" s="318" t="s">
        <v>1914</v>
      </c>
      <c r="U344" s="318" t="s">
        <v>1915</v>
      </c>
      <c r="V344" s="383">
        <f>LEN(TEXT(D344,0))</f>
        <v>11</v>
      </c>
      <c r="W344" s="3"/>
    </row>
    <row r="345" spans="1:39" ht="15.75">
      <c r="A345" s="90"/>
      <c r="B345" s="351" t="s">
        <v>1916</v>
      </c>
      <c r="C345" s="391" t="s">
        <v>21</v>
      </c>
      <c r="D345" s="306">
        <v>50205376487</v>
      </c>
      <c r="E345" s="943" t="s">
        <v>1917</v>
      </c>
      <c r="F345" s="274" t="s">
        <v>759</v>
      </c>
      <c r="G345" s="303" t="s">
        <v>76</v>
      </c>
      <c r="H345" s="391"/>
      <c r="I345" s="351">
        <v>9002071825</v>
      </c>
      <c r="J345" s="391"/>
      <c r="K345" s="351" t="s">
        <v>334</v>
      </c>
      <c r="L345" s="275" t="s">
        <v>102</v>
      </c>
      <c r="M345" s="390">
        <v>23249</v>
      </c>
      <c r="N345" s="390">
        <v>45169</v>
      </c>
      <c r="O345" s="392">
        <v>45170</v>
      </c>
      <c r="P345" s="279">
        <v>45204</v>
      </c>
      <c r="Q345" s="302">
        <v>45188</v>
      </c>
    </row>
    <row r="346" spans="1:39">
      <c r="A346" s="197">
        <v>4</v>
      </c>
      <c r="B346" s="1144" t="s">
        <v>1918</v>
      </c>
      <c r="C346" s="137" t="s">
        <v>137</v>
      </c>
      <c r="D346" s="90"/>
      <c r="E346" s="941" t="s">
        <v>1919</v>
      </c>
      <c r="F346" s="137" t="s">
        <v>440</v>
      </c>
      <c r="G346" s="466">
        <v>23251</v>
      </c>
      <c r="H346" s="466">
        <v>45169</v>
      </c>
      <c r="I346" s="480" t="s">
        <v>334</v>
      </c>
      <c r="J346" s="137" t="s">
        <v>76</v>
      </c>
      <c r="K346" s="90"/>
      <c r="L346" s="90"/>
    </row>
    <row r="347" spans="1:39" ht="15.75" customHeight="1">
      <c r="A347" s="936">
        <v>17</v>
      </c>
      <c r="B347" s="293" t="s">
        <v>1920</v>
      </c>
      <c r="C347" s="275" t="s">
        <v>31</v>
      </c>
      <c r="D347" s="284">
        <v>50205373529</v>
      </c>
      <c r="E347" s="303" t="s">
        <v>1921</v>
      </c>
      <c r="F347" s="274" t="s">
        <v>759</v>
      </c>
      <c r="G347" s="303" t="s">
        <v>76</v>
      </c>
      <c r="H347" s="274" t="s">
        <v>279</v>
      </c>
      <c r="I347" s="293">
        <v>9002071116</v>
      </c>
      <c r="J347" s="275">
        <v>9002071116</v>
      </c>
      <c r="K347" s="275" t="s">
        <v>261</v>
      </c>
      <c r="L347" s="274" t="s">
        <v>299</v>
      </c>
      <c r="M347" s="272">
        <v>23622</v>
      </c>
      <c r="N347" s="289">
        <v>45565</v>
      </c>
      <c r="O347" s="272">
        <v>45175</v>
      </c>
      <c r="P347" s="278">
        <v>45115</v>
      </c>
      <c r="Q347" s="272">
        <v>45786</v>
      </c>
      <c r="R347" s="286" t="s">
        <v>1922</v>
      </c>
      <c r="S347" s="295"/>
      <c r="T347" s="603" t="s">
        <v>1923</v>
      </c>
      <c r="U347" s="603" t="s">
        <v>1923</v>
      </c>
      <c r="V347" s="297">
        <f>LEN(TEXT(D347,0))</f>
        <v>11</v>
      </c>
      <c r="W347" s="208">
        <f ca="1">INT((TODAY()-M347)/365)</f>
        <v>61</v>
      </c>
      <c r="X347" s="298"/>
      <c r="Y347" s="298"/>
      <c r="Z347" s="298"/>
      <c r="AA347" s="298"/>
      <c r="AB347" s="298"/>
      <c r="AC347" s="298"/>
      <c r="AD347" s="298"/>
      <c r="AE347" s="298"/>
      <c r="AF347" s="298"/>
      <c r="AG347" s="298"/>
      <c r="AH347" s="298"/>
      <c r="AI347" s="298"/>
      <c r="AJ347" s="298"/>
      <c r="AK347" s="298"/>
      <c r="AL347" s="298"/>
      <c r="AM347" s="298"/>
    </row>
    <row r="348" spans="1:39">
      <c r="A348" s="90"/>
      <c r="C348" s="89"/>
      <c r="F348" s="90"/>
      <c r="I348" s="90"/>
      <c r="J348" s="90"/>
      <c r="L348" s="90"/>
    </row>
    <row r="349" spans="1:39" ht="15.75" customHeight="1">
      <c r="A349" s="1125">
        <v>14</v>
      </c>
      <c r="B349" s="1145" t="s">
        <v>1924</v>
      </c>
      <c r="C349" s="307" t="s">
        <v>31</v>
      </c>
      <c r="D349" s="1146">
        <v>50212104530</v>
      </c>
      <c r="E349" s="303" t="s">
        <v>1925</v>
      </c>
      <c r="F349" s="18" t="s">
        <v>759</v>
      </c>
      <c r="G349" s="303" t="s">
        <v>76</v>
      </c>
      <c r="H349" s="274" t="s">
        <v>279</v>
      </c>
      <c r="I349" s="703">
        <v>9002071701</v>
      </c>
      <c r="J349" s="307"/>
      <c r="K349" s="275" t="s">
        <v>290</v>
      </c>
      <c r="L349" s="303" t="s">
        <v>417</v>
      </c>
      <c r="M349" s="278">
        <v>23258</v>
      </c>
      <c r="N349" s="315">
        <v>45199</v>
      </c>
      <c r="O349" s="278">
        <v>45199</v>
      </c>
      <c r="P349" s="278">
        <v>46191</v>
      </c>
      <c r="Q349" s="278">
        <v>45292</v>
      </c>
      <c r="R349" s="425"/>
      <c r="S349" s="425"/>
      <c r="T349" s="339" t="s">
        <v>1926</v>
      </c>
      <c r="U349" s="339" t="s">
        <v>1926</v>
      </c>
      <c r="V349" s="311">
        <f>LEN(D349)</f>
        <v>11</v>
      </c>
      <c r="X349" s="208">
        <f ca="1">INT((TODAY()-M349)/365)</f>
        <v>62</v>
      </c>
      <c r="Y349" s="311"/>
      <c r="Z349" s="311"/>
      <c r="AA349" s="311"/>
      <c r="AB349" s="311"/>
      <c r="AC349" s="311"/>
      <c r="AD349" s="311"/>
      <c r="AE349" s="311"/>
      <c r="AF349" s="311"/>
      <c r="AG349" s="311"/>
      <c r="AH349" s="311"/>
      <c r="AI349" s="311"/>
      <c r="AJ349" s="311"/>
      <c r="AK349" s="311"/>
      <c r="AL349" s="311"/>
      <c r="AM349" s="311"/>
    </row>
    <row r="350" spans="1:39" ht="18.75">
      <c r="A350" s="898">
        <v>5</v>
      </c>
      <c r="B350" s="276" t="s">
        <v>1927</v>
      </c>
      <c r="C350" s="405" t="s">
        <v>31</v>
      </c>
      <c r="D350" s="675">
        <v>50205343070</v>
      </c>
      <c r="E350" s="1004" t="s">
        <v>1928</v>
      </c>
      <c r="F350" s="685" t="s">
        <v>759</v>
      </c>
      <c r="G350" s="337" t="s">
        <v>76</v>
      </c>
      <c r="H350" s="303" t="s">
        <v>279</v>
      </c>
      <c r="I350" s="307">
        <v>9002071089</v>
      </c>
      <c r="J350" s="3"/>
      <c r="K350" s="307" t="s">
        <v>253</v>
      </c>
      <c r="L350" s="439" t="s">
        <v>594</v>
      </c>
      <c r="M350" s="278">
        <v>23267</v>
      </c>
      <c r="N350" s="315">
        <v>45199</v>
      </c>
      <c r="O350" s="278">
        <v>45196</v>
      </c>
      <c r="P350" s="278">
        <v>46165</v>
      </c>
      <c r="Q350" s="302">
        <v>45873</v>
      </c>
      <c r="S350" s="285"/>
      <c r="T350" s="318" t="s">
        <v>1929</v>
      </c>
      <c r="U350" s="318" t="s">
        <v>1929</v>
      </c>
      <c r="V350" s="285"/>
      <c r="W350" s="3"/>
      <c r="X350" s="3"/>
      <c r="Y350" s="3"/>
      <c r="Z350" s="79"/>
      <c r="AA350" s="79"/>
      <c r="AB350" s="311">
        <f t="shared" ref="AB350:AB353" ca="1" si="61">INT((TODAY()-M350)/365)</f>
        <v>62</v>
      </c>
    </row>
    <row r="351" spans="1:39" ht="18.75">
      <c r="A351" s="898">
        <v>61</v>
      </c>
      <c r="B351" s="276" t="s">
        <v>1930</v>
      </c>
      <c r="C351" s="307" t="s">
        <v>31</v>
      </c>
      <c r="D351" s="675">
        <v>50205336028</v>
      </c>
      <c r="E351" s="303" t="s">
        <v>1931</v>
      </c>
      <c r="F351" s="685" t="s">
        <v>759</v>
      </c>
      <c r="G351" s="337" t="s">
        <v>76</v>
      </c>
      <c r="H351" s="303" t="s">
        <v>279</v>
      </c>
      <c r="I351" s="307">
        <v>9002071221</v>
      </c>
      <c r="J351" s="307">
        <v>9002071221</v>
      </c>
      <c r="K351" s="307" t="s">
        <v>253</v>
      </c>
      <c r="L351" s="274" t="s">
        <v>306</v>
      </c>
      <c r="M351" s="278">
        <v>23270</v>
      </c>
      <c r="N351" s="315">
        <v>45199</v>
      </c>
      <c r="O351" s="278">
        <v>45196</v>
      </c>
      <c r="P351" s="921">
        <v>45232</v>
      </c>
      <c r="Q351" s="302">
        <v>45901</v>
      </c>
      <c r="R351" s="285"/>
      <c r="S351" s="285"/>
      <c r="T351" s="339" t="s">
        <v>1932</v>
      </c>
      <c r="U351" s="339" t="s">
        <v>1932</v>
      </c>
      <c r="V351" s="425">
        <f t="shared" ref="V351:V353" si="62">LEN(D351)</f>
        <v>11</v>
      </c>
      <c r="W351" s="90"/>
      <c r="X351" s="90"/>
      <c r="Y351" s="90"/>
      <c r="AB351" s="311">
        <f t="shared" ca="1" si="61"/>
        <v>62</v>
      </c>
    </row>
    <row r="352" spans="1:39" ht="15.75" customHeight="1">
      <c r="A352" s="898">
        <v>85</v>
      </c>
      <c r="B352" s="1147" t="s">
        <v>1933</v>
      </c>
      <c r="C352" s="405" t="s">
        <v>31</v>
      </c>
      <c r="D352" s="675" t="s">
        <v>1934</v>
      </c>
      <c r="E352" s="1004" t="s">
        <v>1935</v>
      </c>
      <c r="F352" s="685" t="s">
        <v>759</v>
      </c>
      <c r="G352" s="337" t="s">
        <v>76</v>
      </c>
      <c r="H352" s="303" t="s">
        <v>279</v>
      </c>
      <c r="I352" s="307">
        <v>9002071738</v>
      </c>
      <c r="J352" s="307"/>
      <c r="K352" s="307" t="s">
        <v>253</v>
      </c>
      <c r="L352" s="275" t="s">
        <v>306</v>
      </c>
      <c r="M352" s="278">
        <v>23271</v>
      </c>
      <c r="N352" s="315">
        <v>45199</v>
      </c>
      <c r="O352" s="278">
        <v>45232</v>
      </c>
      <c r="P352" s="278">
        <v>45982</v>
      </c>
      <c r="Q352" s="302">
        <v>45642</v>
      </c>
      <c r="R352" s="285"/>
      <c r="S352" s="285"/>
      <c r="T352" s="318" t="s">
        <v>1936</v>
      </c>
      <c r="U352" s="318" t="s">
        <v>1936</v>
      </c>
      <c r="V352" s="285">
        <f t="shared" si="62"/>
        <v>11</v>
      </c>
      <c r="W352" s="3"/>
      <c r="X352" s="3"/>
      <c r="Y352" s="3"/>
      <c r="Z352" s="79"/>
      <c r="AA352" s="79"/>
      <c r="AB352" s="311">
        <f t="shared" ca="1" si="61"/>
        <v>62</v>
      </c>
    </row>
    <row r="353" spans="1:39" ht="15.75" customHeight="1">
      <c r="A353" s="1066">
        <v>26</v>
      </c>
      <c r="B353" s="276" t="s">
        <v>1937</v>
      </c>
      <c r="C353" s="391" t="s">
        <v>14</v>
      </c>
      <c r="D353" s="675">
        <v>50205786460</v>
      </c>
      <c r="E353" s="303" t="s">
        <v>1938</v>
      </c>
      <c r="F353" s="685" t="s">
        <v>759</v>
      </c>
      <c r="G353" s="337" t="s">
        <v>76</v>
      </c>
      <c r="H353" s="303" t="s">
        <v>266</v>
      </c>
      <c r="I353" s="307">
        <v>9002071823</v>
      </c>
      <c r="J353" s="307"/>
      <c r="K353" s="351" t="s">
        <v>334</v>
      </c>
      <c r="L353" s="274" t="s">
        <v>109</v>
      </c>
      <c r="M353" s="278">
        <v>23261</v>
      </c>
      <c r="N353" s="315">
        <v>45199</v>
      </c>
      <c r="O353" s="278">
        <v>45195</v>
      </c>
      <c r="P353" s="387">
        <v>45695</v>
      </c>
      <c r="Q353" s="424">
        <v>45537</v>
      </c>
      <c r="R353" s="285"/>
      <c r="S353" s="285"/>
      <c r="T353" s="339" t="s">
        <v>1939</v>
      </c>
      <c r="U353" s="339" t="s">
        <v>1939</v>
      </c>
      <c r="V353" s="425">
        <f t="shared" si="62"/>
        <v>11</v>
      </c>
      <c r="W353" s="90"/>
      <c r="X353" s="90"/>
      <c r="Y353" s="90"/>
      <c r="AB353" s="311">
        <f t="shared" ca="1" si="61"/>
        <v>62</v>
      </c>
    </row>
    <row r="354" spans="1:39">
      <c r="A354" s="90"/>
      <c r="C354" s="89"/>
      <c r="F354" s="90"/>
      <c r="I354" s="90"/>
      <c r="J354" s="90"/>
      <c r="L354" s="90"/>
    </row>
    <row r="355" spans="1:39" ht="15.75">
      <c r="A355" s="656">
        <v>56</v>
      </c>
      <c r="B355" s="984" t="s">
        <v>1940</v>
      </c>
      <c r="C355" s="1127" t="s">
        <v>14</v>
      </c>
      <c r="D355" s="931">
        <v>50205332655</v>
      </c>
      <c r="E355" s="527" t="s">
        <v>1941</v>
      </c>
      <c r="F355" s="970" t="s">
        <v>759</v>
      </c>
      <c r="G355" s="932" t="s">
        <v>77</v>
      </c>
      <c r="H355" s="3"/>
      <c r="I355" s="656">
        <v>9163382030</v>
      </c>
      <c r="J355" s="327"/>
      <c r="K355" s="328" t="s">
        <v>253</v>
      </c>
      <c r="L355" s="445" t="s">
        <v>1331</v>
      </c>
      <c r="M355" s="913">
        <v>24116</v>
      </c>
      <c r="N355" s="913">
        <v>46053</v>
      </c>
      <c r="O355" s="326">
        <v>45220</v>
      </c>
      <c r="P355" s="933">
        <v>45144</v>
      </c>
      <c r="Q355" s="915">
        <v>44771</v>
      </c>
      <c r="R355" s="1148" t="s">
        <v>313</v>
      </c>
      <c r="S355" s="934" t="s">
        <v>1942</v>
      </c>
      <c r="T355" s="334"/>
      <c r="U355" s="916" t="s">
        <v>1943</v>
      </c>
      <c r="V355" s="334"/>
      <c r="W355" s="334"/>
      <c r="X355" s="334"/>
      <c r="Y355" s="334"/>
      <c r="Z355" s="334"/>
      <c r="AA355" s="286" t="s">
        <v>84</v>
      </c>
      <c r="AB355" s="334"/>
      <c r="AC355" s="334"/>
      <c r="AD355" s="199"/>
      <c r="AE355" s="199"/>
      <c r="AF355" s="199"/>
      <c r="AG355" s="199"/>
      <c r="AH355" s="199"/>
      <c r="AI355" s="199"/>
      <c r="AJ355" s="199"/>
      <c r="AK355" s="199"/>
      <c r="AL355" s="199"/>
      <c r="AM355" s="199"/>
    </row>
    <row r="356" spans="1:39">
      <c r="F356" s="90"/>
      <c r="J356" s="90"/>
    </row>
    <row r="357" spans="1:39" ht="15.75" customHeight="1">
      <c r="A357" s="898">
        <v>15</v>
      </c>
      <c r="B357" s="276" t="s">
        <v>1944</v>
      </c>
      <c r="C357" s="307" t="s">
        <v>31</v>
      </c>
      <c r="D357" s="675">
        <v>50212108765</v>
      </c>
      <c r="E357" s="1149" t="s">
        <v>1945</v>
      </c>
      <c r="F357" s="685" t="s">
        <v>759</v>
      </c>
      <c r="G357" s="337" t="s">
        <v>76</v>
      </c>
      <c r="H357" s="303" t="s">
        <v>279</v>
      </c>
      <c r="I357" s="307">
        <v>9002071702</v>
      </c>
      <c r="J357" s="307"/>
      <c r="K357" s="307" t="s">
        <v>253</v>
      </c>
      <c r="L357" s="274" t="s">
        <v>116</v>
      </c>
      <c r="M357" s="278">
        <v>23314</v>
      </c>
      <c r="N357" s="315">
        <v>45230</v>
      </c>
      <c r="O357" s="278">
        <v>45254</v>
      </c>
      <c r="P357" s="278">
        <v>45863</v>
      </c>
      <c r="Q357" s="302">
        <v>45873</v>
      </c>
      <c r="R357" s="285"/>
      <c r="S357" s="1150"/>
      <c r="T357" s="1151" t="s">
        <v>1946</v>
      </c>
      <c r="U357" s="1151" t="s">
        <v>1947</v>
      </c>
      <c r="V357" s="285">
        <f t="shared" ref="V357:V358" si="63">LEN(D357)</f>
        <v>11</v>
      </c>
      <c r="W357" s="90"/>
      <c r="X357" s="90"/>
      <c r="Y357" s="90"/>
      <c r="AB357" s="311">
        <f t="shared" ref="AB357:AB359" ca="1" si="64">INT((TODAY()-M357)/365)</f>
        <v>62</v>
      </c>
    </row>
    <row r="358" spans="1:39" ht="15.75" customHeight="1">
      <c r="A358" s="898">
        <v>27</v>
      </c>
      <c r="B358" s="276" t="s">
        <v>1948</v>
      </c>
      <c r="C358" s="307" t="s">
        <v>31</v>
      </c>
      <c r="D358" s="675">
        <v>50205373499</v>
      </c>
      <c r="E358" s="303" t="s">
        <v>1949</v>
      </c>
      <c r="F358" s="685" t="s">
        <v>759</v>
      </c>
      <c r="G358" s="337" t="s">
        <v>76</v>
      </c>
      <c r="H358" s="303" t="s">
        <v>279</v>
      </c>
      <c r="I358" s="307">
        <v>9002071132</v>
      </c>
      <c r="J358" s="307"/>
      <c r="K358" s="307" t="s">
        <v>253</v>
      </c>
      <c r="L358" s="275" t="s">
        <v>306</v>
      </c>
      <c r="M358" s="278">
        <v>23316</v>
      </c>
      <c r="N358" s="315">
        <v>45229</v>
      </c>
      <c r="O358" s="278">
        <v>45487</v>
      </c>
      <c r="P358" s="278">
        <v>45777</v>
      </c>
      <c r="Q358" s="302">
        <v>45760</v>
      </c>
      <c r="R358" s="285"/>
      <c r="S358" s="285"/>
      <c r="T358" s="318" t="s">
        <v>1950</v>
      </c>
      <c r="U358" s="318" t="s">
        <v>1951</v>
      </c>
      <c r="V358" s="285">
        <f t="shared" si="63"/>
        <v>11</v>
      </c>
      <c r="W358" s="90"/>
      <c r="X358" s="90"/>
      <c r="Y358" s="90"/>
      <c r="AB358" s="311">
        <f t="shared" ca="1" si="64"/>
        <v>62</v>
      </c>
    </row>
    <row r="359" spans="1:39" ht="15.75" customHeight="1">
      <c r="A359" s="974">
        <v>1</v>
      </c>
      <c r="B359" s="276" t="s">
        <v>1952</v>
      </c>
      <c r="C359" s="405" t="s">
        <v>14</v>
      </c>
      <c r="D359" s="675">
        <v>50212104450</v>
      </c>
      <c r="E359" s="1123" t="s">
        <v>1953</v>
      </c>
      <c r="F359" s="946" t="s">
        <v>759</v>
      </c>
      <c r="G359" s="870" t="s">
        <v>76</v>
      </c>
      <c r="H359" s="303" t="s">
        <v>279</v>
      </c>
      <c r="I359" s="307">
        <v>9002071086</v>
      </c>
      <c r="J359" s="307"/>
      <c r="K359" s="274" t="s">
        <v>253</v>
      </c>
      <c r="L359" s="275" t="s">
        <v>102</v>
      </c>
      <c r="M359" s="278">
        <v>23313</v>
      </c>
      <c r="N359" s="278">
        <v>45230</v>
      </c>
      <c r="O359" s="278">
        <v>45473</v>
      </c>
      <c r="P359" s="278">
        <v>45982</v>
      </c>
      <c r="Q359" s="302">
        <v>45873</v>
      </c>
      <c r="R359" s="285"/>
      <c r="S359" s="79"/>
      <c r="T359" s="982" t="s">
        <v>1954</v>
      </c>
      <c r="U359" s="982" t="s">
        <v>1954</v>
      </c>
      <c r="V359" s="285"/>
      <c r="W359" s="647">
        <v>41102</v>
      </c>
      <c r="X359" s="90"/>
      <c r="Y359" s="90"/>
      <c r="Z359" s="197" t="s">
        <v>84</v>
      </c>
      <c r="AB359" s="311">
        <f t="shared" ca="1" si="64"/>
        <v>62</v>
      </c>
    </row>
    <row r="360" spans="1:39" ht="15.75" customHeight="1">
      <c r="A360" s="936">
        <v>43</v>
      </c>
      <c r="B360" s="293" t="s">
        <v>1955</v>
      </c>
      <c r="C360" s="275" t="s">
        <v>31</v>
      </c>
      <c r="D360" s="619">
        <v>50205410836</v>
      </c>
      <c r="E360" s="1152" t="s">
        <v>1956</v>
      </c>
      <c r="F360" s="274" t="s">
        <v>759</v>
      </c>
      <c r="G360" s="274" t="s">
        <v>77</v>
      </c>
      <c r="H360" s="274" t="s">
        <v>266</v>
      </c>
      <c r="I360" s="293">
        <v>9002071719</v>
      </c>
      <c r="J360" s="275">
        <v>9002071719</v>
      </c>
      <c r="K360" s="275" t="s">
        <v>261</v>
      </c>
      <c r="L360" s="274" t="s">
        <v>351</v>
      </c>
      <c r="M360" s="289">
        <v>23310</v>
      </c>
      <c r="N360" s="289">
        <v>45230</v>
      </c>
      <c r="O360" s="272">
        <v>45237</v>
      </c>
      <c r="P360" s="272">
        <v>45807</v>
      </c>
      <c r="Q360" s="272">
        <v>45509</v>
      </c>
      <c r="R360" s="79"/>
      <c r="S360" s="295"/>
      <c r="T360" s="603" t="s">
        <v>1957</v>
      </c>
      <c r="U360" s="603" t="s">
        <v>1957</v>
      </c>
      <c r="V360" s="297">
        <f t="shared" ref="V360:V361" si="65">LEN(TEXT(D360,0))</f>
        <v>11</v>
      </c>
      <c r="W360" s="208">
        <f t="shared" ref="W360:W361" ca="1" si="66">INT((TODAY()-M360)/365)</f>
        <v>62</v>
      </c>
      <c r="X360" s="298"/>
      <c r="Y360" s="298"/>
      <c r="Z360" s="298"/>
      <c r="AA360" s="298"/>
      <c r="AB360" s="298"/>
      <c r="AC360" s="298"/>
      <c r="AD360" s="298"/>
      <c r="AE360" s="298"/>
      <c r="AF360" s="298"/>
      <c r="AG360" s="298"/>
      <c r="AH360" s="298"/>
      <c r="AI360" s="298"/>
      <c r="AJ360" s="298"/>
      <c r="AK360" s="298"/>
      <c r="AL360" s="298"/>
      <c r="AM360" s="298"/>
    </row>
    <row r="361" spans="1:39" ht="15.75" customHeight="1">
      <c r="A361" s="936">
        <v>84</v>
      </c>
      <c r="B361" s="293" t="s">
        <v>1958</v>
      </c>
      <c r="C361" s="275" t="s">
        <v>31</v>
      </c>
      <c r="D361" s="284">
        <v>50205339376</v>
      </c>
      <c r="E361" s="303" t="s">
        <v>1959</v>
      </c>
      <c r="F361" s="274" t="s">
        <v>759</v>
      </c>
      <c r="G361" s="303" t="s">
        <v>76</v>
      </c>
      <c r="H361" s="274" t="s">
        <v>279</v>
      </c>
      <c r="I361" s="293">
        <v>9002071284</v>
      </c>
      <c r="J361" s="274"/>
      <c r="K361" s="275" t="s">
        <v>261</v>
      </c>
      <c r="L361" s="274" t="s">
        <v>1514</v>
      </c>
      <c r="M361" s="289">
        <v>23300</v>
      </c>
      <c r="N361" s="289">
        <v>45230</v>
      </c>
      <c r="O361" s="272">
        <v>45217</v>
      </c>
      <c r="P361" s="272">
        <v>46137</v>
      </c>
      <c r="Q361" s="272">
        <v>46073</v>
      </c>
      <c r="R361" s="294"/>
      <c r="S361" s="295"/>
      <c r="T361" s="296" t="s">
        <v>1960</v>
      </c>
      <c r="U361" s="296" t="s">
        <v>1960</v>
      </c>
      <c r="V361" s="297">
        <f t="shared" si="65"/>
        <v>11</v>
      </c>
      <c r="W361" s="208">
        <f t="shared" ca="1" si="66"/>
        <v>62</v>
      </c>
      <c r="X361" s="298"/>
      <c r="Y361" s="298"/>
      <c r="Z361" s="298"/>
      <c r="AA361" s="298"/>
      <c r="AB361" s="298"/>
      <c r="AC361" s="298"/>
      <c r="AD361" s="298"/>
      <c r="AE361" s="298"/>
      <c r="AF361" s="298"/>
      <c r="AG361" s="298"/>
    </row>
    <row r="362" spans="1:39">
      <c r="A362" s="574">
        <v>12</v>
      </c>
      <c r="B362" s="922" t="s">
        <v>1961</v>
      </c>
      <c r="C362" s="574" t="s">
        <v>543</v>
      </c>
      <c r="D362" s="880">
        <v>50212092538</v>
      </c>
      <c r="E362" s="18" t="s">
        <v>1962</v>
      </c>
      <c r="F362" s="574" t="s">
        <v>23</v>
      </c>
      <c r="G362" s="476">
        <v>23296</v>
      </c>
      <c r="H362" s="476">
        <v>45230</v>
      </c>
      <c r="I362" s="18">
        <v>9002071168</v>
      </c>
      <c r="J362" s="18" t="s">
        <v>76</v>
      </c>
      <c r="K362" s="90"/>
    </row>
    <row r="363" spans="1:39" ht="15.75">
      <c r="A363" s="1066">
        <v>1</v>
      </c>
      <c r="B363" s="351" t="s">
        <v>1963</v>
      </c>
      <c r="C363" s="391" t="s">
        <v>14</v>
      </c>
      <c r="D363" s="543">
        <v>50205419440</v>
      </c>
      <c r="E363" s="582" t="s">
        <v>1964</v>
      </c>
      <c r="F363" s="274" t="s">
        <v>759</v>
      </c>
      <c r="G363" s="284" t="s">
        <v>76</v>
      </c>
      <c r="H363" s="284" t="s">
        <v>279</v>
      </c>
      <c r="I363" s="351">
        <v>9002079012</v>
      </c>
      <c r="J363" s="391"/>
      <c r="K363" s="351" t="s">
        <v>334</v>
      </c>
      <c r="L363" s="275" t="s">
        <v>100</v>
      </c>
      <c r="M363" s="390">
        <v>23305</v>
      </c>
      <c r="N363" s="289">
        <v>45230</v>
      </c>
      <c r="O363" s="392">
        <v>45196</v>
      </c>
      <c r="P363" s="272">
        <v>45234</v>
      </c>
      <c r="Q363" s="272">
        <v>46050</v>
      </c>
      <c r="R363" s="393"/>
      <c r="S363" s="393"/>
      <c r="T363" s="394" t="s">
        <v>1965</v>
      </c>
      <c r="U363" s="394" t="s">
        <v>1965</v>
      </c>
      <c r="V363" s="383">
        <f>LEN(TEXT(D363,0))</f>
        <v>11</v>
      </c>
      <c r="W363" s="647">
        <v>43266</v>
      </c>
      <c r="Y363" s="563"/>
      <c r="Z363" s="197" t="s">
        <v>84</v>
      </c>
      <c r="AB363" s="208">
        <f ca="1">INT((TODAY()-M363)/365)</f>
        <v>62</v>
      </c>
      <c r="AC363" s="384"/>
      <c r="AD363" s="384"/>
      <c r="AE363" s="384"/>
      <c r="AF363" s="384"/>
      <c r="AG363" s="384"/>
      <c r="AH363" s="384"/>
      <c r="AI363" s="384"/>
      <c r="AJ363" s="384"/>
      <c r="AK363" s="384"/>
      <c r="AL363" s="384"/>
      <c r="AM363" s="384"/>
    </row>
    <row r="364" spans="1:39" ht="15.75" customHeight="1">
      <c r="A364" s="18">
        <v>22</v>
      </c>
      <c r="B364" s="293" t="s">
        <v>1966</v>
      </c>
      <c r="C364" s="275" t="s">
        <v>31</v>
      </c>
      <c r="D364" s="304">
        <v>50209381740</v>
      </c>
      <c r="E364" s="1153" t="s">
        <v>1967</v>
      </c>
      <c r="F364" s="18" t="s">
        <v>485</v>
      </c>
      <c r="G364" s="532">
        <v>23294</v>
      </c>
      <c r="H364" s="289">
        <v>45230</v>
      </c>
      <c r="I364" s="275" t="s">
        <v>290</v>
      </c>
      <c r="J364" s="274" t="s">
        <v>77</v>
      </c>
      <c r="K364" s="275" t="s">
        <v>290</v>
      </c>
      <c r="L364" s="275" t="s">
        <v>102</v>
      </c>
      <c r="M364" s="289">
        <v>23294</v>
      </c>
      <c r="N364" s="279">
        <v>45501</v>
      </c>
      <c r="O364" s="302">
        <v>45481</v>
      </c>
      <c r="Q364" s="275">
        <v>9002071655</v>
      </c>
      <c r="R364" s="308"/>
      <c r="S364" s="309"/>
      <c r="T364" s="310" t="s">
        <v>1968</v>
      </c>
      <c r="U364" s="310" t="s">
        <v>1968</v>
      </c>
      <c r="V364" s="311">
        <f t="shared" ref="V364:V365" si="67">LEN(D364)</f>
        <v>11</v>
      </c>
      <c r="W364" s="311"/>
      <c r="X364" s="208">
        <f t="shared" ref="X364:X365" ca="1" si="68">INT((TODAY()-M364)/365)</f>
        <v>62</v>
      </c>
      <c r="Y364" s="311"/>
      <c r="Z364" s="311"/>
      <c r="AA364" s="311"/>
      <c r="AB364" s="311"/>
      <c r="AC364" s="311"/>
      <c r="AD364" s="311"/>
      <c r="AE364" s="311"/>
      <c r="AF364" s="311"/>
      <c r="AG364" s="311"/>
      <c r="AH364" s="311"/>
      <c r="AI364" s="311"/>
      <c r="AJ364" s="311"/>
      <c r="AK364" s="311"/>
      <c r="AL364" s="311"/>
      <c r="AM364" s="311"/>
    </row>
    <row r="365" spans="1:39" ht="15.75" customHeight="1">
      <c r="A365" s="944">
        <v>82</v>
      </c>
      <c r="B365" s="688" t="s">
        <v>1969</v>
      </c>
      <c r="C365" s="275" t="s">
        <v>22</v>
      </c>
      <c r="D365" s="495">
        <v>50205677725</v>
      </c>
      <c r="E365" s="1004" t="s">
        <v>1970</v>
      </c>
      <c r="F365" s="18" t="s">
        <v>759</v>
      </c>
      <c r="G365" s="274" t="s">
        <v>77</v>
      </c>
      <c r="H365" s="275"/>
      <c r="I365" s="275">
        <v>9641655698</v>
      </c>
      <c r="J365" s="284">
        <v>9641655698</v>
      </c>
      <c r="K365" s="274" t="s">
        <v>253</v>
      </c>
      <c r="L365" s="274" t="s">
        <v>797</v>
      </c>
      <c r="M365" s="272">
        <v>34224</v>
      </c>
      <c r="N365" s="272">
        <v>56157</v>
      </c>
      <c r="O365" s="320">
        <v>45110</v>
      </c>
      <c r="P365" s="272">
        <v>46038</v>
      </c>
      <c r="Q365" s="419">
        <v>45913</v>
      </c>
      <c r="R365" s="281" t="s">
        <v>1971</v>
      </c>
      <c r="S365" s="280"/>
      <c r="T365" s="338" t="s">
        <v>1972</v>
      </c>
      <c r="U365" s="280"/>
      <c r="V365" s="79">
        <f t="shared" si="67"/>
        <v>11</v>
      </c>
      <c r="W365" s="79"/>
      <c r="X365" s="282">
        <f t="shared" ca="1" si="68"/>
        <v>32</v>
      </c>
      <c r="Y365" s="382"/>
      <c r="Z365" s="382"/>
      <c r="AA365" s="382"/>
      <c r="AB365" s="311"/>
    </row>
    <row r="366" spans="1:39">
      <c r="A366" s="231">
        <v>6</v>
      </c>
      <c r="B366" s="235" t="s">
        <v>1973</v>
      </c>
      <c r="C366" s="233" t="s">
        <v>76</v>
      </c>
      <c r="D366" s="883" t="s">
        <v>137</v>
      </c>
      <c r="E366" s="235">
        <v>538432</v>
      </c>
      <c r="F366" s="233" t="s">
        <v>1974</v>
      </c>
      <c r="G366" s="236">
        <v>45199</v>
      </c>
      <c r="H366" s="233" t="s">
        <v>1975</v>
      </c>
      <c r="I366" s="233" t="s">
        <v>1871</v>
      </c>
      <c r="J366" s="237" t="s">
        <v>1976</v>
      </c>
      <c r="K366" s="238" t="s">
        <v>142</v>
      </c>
      <c r="L366" s="233" t="s">
        <v>175</v>
      </c>
    </row>
    <row r="367" spans="1:39" ht="15.75">
      <c r="A367" s="656">
        <v>63</v>
      </c>
      <c r="B367" s="967" t="s">
        <v>1977</v>
      </c>
      <c r="C367" s="1127" t="s">
        <v>14</v>
      </c>
      <c r="D367" s="909">
        <v>50204624786</v>
      </c>
      <c r="E367" s="527" t="s">
        <v>1978</v>
      </c>
      <c r="F367" s="970" t="s">
        <v>759</v>
      </c>
      <c r="G367" s="910" t="s">
        <v>76</v>
      </c>
      <c r="H367" s="327"/>
      <c r="I367" s="656">
        <v>9163382159</v>
      </c>
      <c r="J367" s="327"/>
      <c r="K367" s="328" t="s">
        <v>253</v>
      </c>
      <c r="L367" s="911" t="s">
        <v>1331</v>
      </c>
      <c r="M367" s="1154">
        <v>23750</v>
      </c>
      <c r="N367" s="913">
        <v>45688</v>
      </c>
      <c r="O367" s="326">
        <v>45101</v>
      </c>
      <c r="P367" s="933">
        <v>45144</v>
      </c>
      <c r="Q367" s="302">
        <v>45705</v>
      </c>
      <c r="R367" s="1148" t="s">
        <v>313</v>
      </c>
      <c r="S367" s="332"/>
      <c r="T367" s="334"/>
      <c r="U367" s="916" t="s">
        <v>1979</v>
      </c>
      <c r="V367" s="197" t="s">
        <v>1013</v>
      </c>
      <c r="W367" s="334"/>
      <c r="X367" s="334"/>
      <c r="Y367" s="334"/>
      <c r="Z367" s="334"/>
      <c r="AA367" s="286" t="s">
        <v>84</v>
      </c>
      <c r="AB367" s="334"/>
      <c r="AC367" s="334"/>
      <c r="AD367" s="199"/>
      <c r="AE367" s="199"/>
      <c r="AF367" s="199"/>
      <c r="AG367" s="199"/>
      <c r="AH367" s="199"/>
      <c r="AI367" s="199"/>
      <c r="AJ367" s="199"/>
    </row>
    <row r="368" spans="1:39">
      <c r="A368" s="90"/>
      <c r="C368" s="89"/>
      <c r="F368" s="90"/>
      <c r="I368" s="90"/>
      <c r="J368" s="90"/>
      <c r="L368" s="90"/>
    </row>
    <row r="369" spans="1:39">
      <c r="A369" s="980">
        <v>61</v>
      </c>
      <c r="B369" s="1096" t="s">
        <v>1980</v>
      </c>
      <c r="C369" s="303" t="s">
        <v>22</v>
      </c>
      <c r="D369" s="306">
        <v>50320140318</v>
      </c>
      <c r="E369" s="681" t="s">
        <v>1981</v>
      </c>
      <c r="F369" s="686" t="s">
        <v>759</v>
      </c>
      <c r="G369" s="284" t="s">
        <v>76</v>
      </c>
      <c r="H369" s="391"/>
      <c r="I369" s="307"/>
      <c r="J369" s="284"/>
      <c r="K369" s="275" t="s">
        <v>315</v>
      </c>
      <c r="L369" s="274" t="s">
        <v>37</v>
      </c>
      <c r="M369" s="272">
        <v>31052</v>
      </c>
      <c r="N369" s="315">
        <v>52993</v>
      </c>
      <c r="O369" s="400">
        <v>45846</v>
      </c>
      <c r="P369" s="279">
        <v>45322</v>
      </c>
      <c r="Q369" s="302">
        <v>45484</v>
      </c>
      <c r="R369" s="403"/>
      <c r="S369" s="393"/>
      <c r="T369" s="403" t="s">
        <v>1982</v>
      </c>
      <c r="U369" s="393"/>
      <c r="V369" s="383"/>
      <c r="W369" s="137" t="s">
        <v>1690</v>
      </c>
      <c r="Y369" s="90"/>
      <c r="AB369" s="311"/>
    </row>
    <row r="370" spans="1:39">
      <c r="A370" s="90"/>
      <c r="C370" s="89"/>
      <c r="F370" s="90"/>
      <c r="I370" s="90"/>
      <c r="J370" s="90"/>
      <c r="L370" s="90"/>
    </row>
    <row r="371" spans="1:39" ht="15.75" customHeight="1">
      <c r="A371" s="1155">
        <v>3</v>
      </c>
      <c r="B371" s="276" t="s">
        <v>1983</v>
      </c>
      <c r="C371" s="307" t="s">
        <v>81</v>
      </c>
      <c r="D371" s="677">
        <v>50205336661</v>
      </c>
      <c r="E371" s="1123" t="s">
        <v>1984</v>
      </c>
      <c r="F371" s="1024" t="s">
        <v>759</v>
      </c>
      <c r="G371" s="870" t="s">
        <v>76</v>
      </c>
      <c r="H371" s="303" t="s">
        <v>279</v>
      </c>
      <c r="I371" s="307">
        <v>9002079072</v>
      </c>
      <c r="J371" s="307">
        <v>9002079072</v>
      </c>
      <c r="K371" s="274" t="s">
        <v>253</v>
      </c>
      <c r="L371" s="275" t="s">
        <v>94</v>
      </c>
      <c r="M371" s="315">
        <v>23331</v>
      </c>
      <c r="N371" s="315">
        <v>45260</v>
      </c>
      <c r="O371" s="315">
        <v>45273</v>
      </c>
      <c r="P371" s="279">
        <v>45274</v>
      </c>
      <c r="Q371" s="272">
        <v>45509</v>
      </c>
      <c r="R371" s="285"/>
      <c r="S371" s="285"/>
      <c r="T371" s="982" t="s">
        <v>1985</v>
      </c>
      <c r="U371" s="285"/>
      <c r="V371" s="285"/>
      <c r="W371" s="90"/>
      <c r="X371" s="18" t="s">
        <v>1986</v>
      </c>
      <c r="Y371" s="18">
        <v>1</v>
      </c>
      <c r="Z371" s="286" t="s">
        <v>84</v>
      </c>
      <c r="AA371" s="79"/>
      <c r="AB371" s="382">
        <f t="shared" ref="AB371:AB373" ca="1" si="69">INT((TODAY()-M371)/365)</f>
        <v>62</v>
      </c>
      <c r="AC371" s="79"/>
      <c r="AD371" s="79"/>
      <c r="AE371" s="79"/>
      <c r="AF371" s="79"/>
      <c r="AG371" s="79"/>
      <c r="AH371" s="79"/>
    </row>
    <row r="372" spans="1:39" ht="15.75" customHeight="1">
      <c r="A372" s="898">
        <v>34</v>
      </c>
      <c r="B372" s="1022" t="s">
        <v>1987</v>
      </c>
      <c r="C372" s="405" t="s">
        <v>31</v>
      </c>
      <c r="D372" s="675">
        <v>50205378825</v>
      </c>
      <c r="E372" s="857" t="s">
        <v>1988</v>
      </c>
      <c r="F372" s="685" t="s">
        <v>759</v>
      </c>
      <c r="G372" s="1156" t="s">
        <v>76</v>
      </c>
      <c r="H372" s="303" t="s">
        <v>279</v>
      </c>
      <c r="I372" s="1157">
        <v>9002071843</v>
      </c>
      <c r="J372" s="1157">
        <v>9002071843</v>
      </c>
      <c r="K372" s="307" t="s">
        <v>253</v>
      </c>
      <c r="L372" s="274" t="s">
        <v>294</v>
      </c>
      <c r="M372" s="1027">
        <v>23345</v>
      </c>
      <c r="N372" s="1158">
        <v>45260</v>
      </c>
      <c r="O372" s="1027">
        <v>45487</v>
      </c>
      <c r="P372" s="1158">
        <v>45222</v>
      </c>
      <c r="Q372" s="342">
        <v>45258</v>
      </c>
      <c r="R372" s="1159"/>
      <c r="S372" s="1029"/>
      <c r="T372" s="1030" t="s">
        <v>1989</v>
      </c>
      <c r="U372" s="1030" t="s">
        <v>1989</v>
      </c>
      <c r="V372" s="285">
        <f t="shared" ref="V372:V374" si="70">LEN(D372)</f>
        <v>11</v>
      </c>
      <c r="W372" s="1032"/>
      <c r="X372" s="1032"/>
      <c r="Y372" s="1032"/>
      <c r="Z372" s="1034"/>
      <c r="AA372" s="1034"/>
      <c r="AB372" s="311">
        <f t="shared" ca="1" si="69"/>
        <v>62</v>
      </c>
      <c r="AC372" s="384"/>
      <c r="AD372" s="384"/>
      <c r="AE372" s="384"/>
    </row>
    <row r="373" spans="1:39" ht="15.75" customHeight="1">
      <c r="A373" s="898">
        <v>56</v>
      </c>
      <c r="B373" s="276" t="s">
        <v>1990</v>
      </c>
      <c r="C373" s="405" t="s">
        <v>31</v>
      </c>
      <c r="D373" s="677">
        <v>50205331638</v>
      </c>
      <c r="E373" s="1004" t="s">
        <v>1991</v>
      </c>
      <c r="F373" s="685" t="s">
        <v>759</v>
      </c>
      <c r="G373" s="337" t="s">
        <v>76</v>
      </c>
      <c r="H373" s="303" t="s">
        <v>279</v>
      </c>
      <c r="I373" s="307">
        <v>9002071212</v>
      </c>
      <c r="J373" s="307">
        <v>9002071212</v>
      </c>
      <c r="K373" s="307" t="s">
        <v>253</v>
      </c>
      <c r="L373" s="274" t="s">
        <v>256</v>
      </c>
      <c r="M373" s="278">
        <v>23328</v>
      </c>
      <c r="N373" s="315">
        <v>45260</v>
      </c>
      <c r="O373" s="278">
        <v>45476</v>
      </c>
      <c r="P373" s="278">
        <v>45043</v>
      </c>
      <c r="Q373" s="302">
        <v>45992</v>
      </c>
      <c r="R373" s="285"/>
      <c r="S373" s="285"/>
      <c r="T373" s="318" t="s">
        <v>1992</v>
      </c>
      <c r="U373" s="318" t="s">
        <v>1992</v>
      </c>
      <c r="V373" s="285">
        <f t="shared" si="70"/>
        <v>11</v>
      </c>
      <c r="W373" s="3"/>
      <c r="X373" s="3"/>
      <c r="Y373" s="3"/>
      <c r="Z373" s="79"/>
      <c r="AA373" s="79"/>
      <c r="AB373" s="311">
        <f t="shared" ca="1" si="69"/>
        <v>62</v>
      </c>
      <c r="AC373" s="298"/>
      <c r="AD373" s="298"/>
      <c r="AE373" s="298"/>
      <c r="AF373" s="311"/>
      <c r="AG373" s="311"/>
      <c r="AH373" s="311"/>
      <c r="AI373" s="311"/>
      <c r="AJ373" s="311"/>
      <c r="AK373" s="311"/>
      <c r="AL373" s="311"/>
      <c r="AM373" s="311"/>
    </row>
    <row r="374" spans="1:39" ht="15.75" customHeight="1">
      <c r="A374" s="898">
        <v>136</v>
      </c>
      <c r="B374" s="293" t="s">
        <v>1993</v>
      </c>
      <c r="C374" s="275" t="s">
        <v>31</v>
      </c>
      <c r="D374" s="489">
        <v>50212108730</v>
      </c>
      <c r="E374" s="303" t="s">
        <v>1994</v>
      </c>
      <c r="F374" s="943" t="s">
        <v>759</v>
      </c>
      <c r="G374" s="303" t="s">
        <v>76</v>
      </c>
      <c r="H374" s="274" t="s">
        <v>279</v>
      </c>
      <c r="I374" s="275">
        <v>9002071762</v>
      </c>
      <c r="J374" s="306">
        <v>8064892394</v>
      </c>
      <c r="K374" s="307" t="s">
        <v>253</v>
      </c>
      <c r="L374" s="274" t="s">
        <v>351</v>
      </c>
      <c r="M374" s="272">
        <v>23322</v>
      </c>
      <c r="N374" s="272">
        <v>45260</v>
      </c>
      <c r="O374" s="272">
        <v>45247</v>
      </c>
      <c r="P374" s="279">
        <v>45274</v>
      </c>
      <c r="Q374" s="272">
        <v>45258</v>
      </c>
      <c r="R374" s="79"/>
      <c r="S374" s="485"/>
      <c r="T374" s="486" t="s">
        <v>1995</v>
      </c>
      <c r="U374" s="1160" t="s">
        <v>1996</v>
      </c>
      <c r="V374" s="382">
        <f t="shared" si="70"/>
        <v>11</v>
      </c>
      <c r="W374" s="311"/>
      <c r="X374" s="208">
        <f ca="1">INT((TODAY()-M374)/365)</f>
        <v>62</v>
      </c>
      <c r="Y374" s="705"/>
      <c r="Z374" s="705"/>
      <c r="AA374" s="705"/>
      <c r="AB374" s="705"/>
      <c r="AC374" s="705"/>
      <c r="AD374" s="705"/>
      <c r="AE374" s="705"/>
      <c r="AF374" s="311"/>
      <c r="AG374" s="311"/>
      <c r="AH374" s="311"/>
      <c r="AI374" s="311"/>
      <c r="AJ374" s="311"/>
      <c r="AK374" s="311"/>
      <c r="AL374" s="311"/>
      <c r="AM374" s="311"/>
    </row>
    <row r="375" spans="1:39" ht="15.75" customHeight="1">
      <c r="A375" s="574">
        <v>34</v>
      </c>
      <c r="B375" s="351" t="s">
        <v>1576</v>
      </c>
      <c r="C375" s="581" t="s">
        <v>543</v>
      </c>
      <c r="D375" s="543">
        <v>50212108789</v>
      </c>
      <c r="E375" s="1065" t="s">
        <v>1997</v>
      </c>
      <c r="F375" s="574" t="s">
        <v>23</v>
      </c>
      <c r="G375" s="289">
        <v>23346</v>
      </c>
      <c r="H375" s="289">
        <v>45260</v>
      </c>
      <c r="I375" s="391">
        <v>9002071829</v>
      </c>
      <c r="J375" s="284" t="s">
        <v>76</v>
      </c>
      <c r="K375" s="391" t="s">
        <v>334</v>
      </c>
      <c r="L375" s="391" t="s">
        <v>1355</v>
      </c>
      <c r="O375" s="392">
        <v>44569</v>
      </c>
      <c r="P375" s="289">
        <v>44570</v>
      </c>
      <c r="Q375" s="272">
        <v>45537</v>
      </c>
      <c r="R375" s="393"/>
      <c r="S375" s="393"/>
      <c r="T375" s="394" t="s">
        <v>1998</v>
      </c>
      <c r="U375" s="394" t="s">
        <v>1999</v>
      </c>
      <c r="V375" s="383">
        <f>LEN(TEXT(D375,0))</f>
        <v>11</v>
      </c>
      <c r="W375" s="583">
        <v>44123</v>
      </c>
      <c r="X375" s="79"/>
      <c r="Y375" s="395"/>
      <c r="Z375" s="286" t="s">
        <v>84</v>
      </c>
      <c r="AA375" s="383"/>
      <c r="AB375" s="208">
        <f ca="1">INT((TODAY()-G375)/365)</f>
        <v>62</v>
      </c>
      <c r="AC375" s="384"/>
      <c r="AD375" s="384"/>
      <c r="AE375" s="384"/>
      <c r="AF375" s="384"/>
      <c r="AG375" s="384"/>
      <c r="AH375" s="384"/>
      <c r="AI375" s="384"/>
      <c r="AJ375" s="384"/>
    </row>
    <row r="376" spans="1:39" ht="15.75" customHeight="1">
      <c r="A376" s="18">
        <v>25</v>
      </c>
      <c r="B376" s="293" t="s">
        <v>2000</v>
      </c>
      <c r="C376" s="275" t="s">
        <v>31</v>
      </c>
      <c r="D376" s="3"/>
      <c r="E376" s="475" t="s">
        <v>2001</v>
      </c>
      <c r="F376" s="18" t="s">
        <v>485</v>
      </c>
      <c r="G376" s="272">
        <v>23327</v>
      </c>
      <c r="H376" s="289">
        <v>45260</v>
      </c>
      <c r="I376" s="275" t="s">
        <v>261</v>
      </c>
      <c r="J376" s="18" t="s">
        <v>76</v>
      </c>
      <c r="K376" s="90"/>
      <c r="L376" s="650" t="s">
        <v>594</v>
      </c>
      <c r="M376" s="481"/>
      <c r="N376" s="481">
        <v>44141</v>
      </c>
      <c r="O376" s="481">
        <v>44792</v>
      </c>
      <c r="P376" s="481">
        <v>44568</v>
      </c>
      <c r="Q376" s="492"/>
      <c r="R376" s="493"/>
      <c r="S376" s="494" t="s">
        <v>2002</v>
      </c>
      <c r="T376" s="494" t="s">
        <v>2002</v>
      </c>
      <c r="U376" s="298">
        <f>LEN(TEXT(F376,0))</f>
        <v>12</v>
      </c>
      <c r="V376" s="298"/>
      <c r="W376" s="298"/>
      <c r="X376" s="563"/>
      <c r="Y376" s="197" t="s">
        <v>84</v>
      </c>
      <c r="Z376" s="384"/>
      <c r="AA376" s="384"/>
      <c r="AB376" s="384"/>
      <c r="AC376" s="384"/>
      <c r="AD376" s="384"/>
      <c r="AE376" s="384"/>
      <c r="AF376" s="384"/>
      <c r="AG376" s="384"/>
      <c r="AH376" s="384"/>
      <c r="AI376" s="384"/>
      <c r="AJ376" s="384"/>
    </row>
    <row r="377" spans="1:39">
      <c r="A377" s="18">
        <v>5</v>
      </c>
      <c r="B377" s="474" t="s">
        <v>2003</v>
      </c>
      <c r="C377" s="18" t="s">
        <v>137</v>
      </c>
      <c r="D377" s="3"/>
      <c r="E377" s="475" t="s">
        <v>2004</v>
      </c>
      <c r="F377" s="18" t="s">
        <v>1775</v>
      </c>
      <c r="G377" s="476">
        <v>23317</v>
      </c>
      <c r="H377" s="476">
        <v>45260</v>
      </c>
      <c r="I377" s="274" t="s">
        <v>290</v>
      </c>
      <c r="J377" s="18" t="s">
        <v>76</v>
      </c>
      <c r="K377" s="90"/>
    </row>
    <row r="378" spans="1:39">
      <c r="A378" s="137">
        <v>35</v>
      </c>
      <c r="B378" s="688" t="s">
        <v>2005</v>
      </c>
      <c r="C378" s="275" t="s">
        <v>31</v>
      </c>
      <c r="D378" s="284">
        <v>50205385714</v>
      </c>
      <c r="E378" s="366" t="s">
        <v>2006</v>
      </c>
      <c r="F378" s="18" t="s">
        <v>485</v>
      </c>
      <c r="G378" s="272">
        <v>23590</v>
      </c>
      <c r="H378" s="272">
        <v>45504</v>
      </c>
      <c r="I378" s="275" t="s">
        <v>315</v>
      </c>
      <c r="J378" s="303" t="s">
        <v>76</v>
      </c>
      <c r="K378" s="275" t="s">
        <v>261</v>
      </c>
      <c r="L378" s="274" t="s">
        <v>627</v>
      </c>
      <c r="M378" s="293">
        <v>9002071094</v>
      </c>
      <c r="O378" s="272">
        <v>45136</v>
      </c>
      <c r="P378" s="278">
        <v>45115</v>
      </c>
      <c r="Q378" s="272">
        <v>45818</v>
      </c>
      <c r="R378" s="294"/>
      <c r="S378" s="295"/>
      <c r="T378" s="296" t="s">
        <v>2007</v>
      </c>
      <c r="U378" s="296" t="s">
        <v>2007</v>
      </c>
      <c r="V378" s="297">
        <f>LEN(TEXT(D378,0))</f>
        <v>11</v>
      </c>
      <c r="W378" s="208">
        <f ca="1">INT((TODAY()-G378)/365)</f>
        <v>61</v>
      </c>
      <c r="X378" s="298"/>
      <c r="Y378" s="90"/>
      <c r="AH378" s="298"/>
      <c r="AI378" s="298"/>
      <c r="AJ378" s="298"/>
    </row>
    <row r="379" spans="1:39">
      <c r="A379" s="90"/>
      <c r="C379" s="89"/>
      <c r="F379" s="90"/>
      <c r="I379" s="90"/>
      <c r="J379" s="90"/>
      <c r="L379" s="90"/>
    </row>
    <row r="380" spans="1:39" ht="15.75" customHeight="1">
      <c r="A380" s="980">
        <v>3</v>
      </c>
      <c r="B380" s="301" t="s">
        <v>2008</v>
      </c>
      <c r="C380" s="284" t="s">
        <v>22</v>
      </c>
      <c r="D380" s="527">
        <v>50313032513</v>
      </c>
      <c r="E380" s="527" t="s">
        <v>2009</v>
      </c>
      <c r="F380" s="686" t="s">
        <v>759</v>
      </c>
      <c r="G380" s="284" t="s">
        <v>76</v>
      </c>
      <c r="H380" s="391"/>
      <c r="I380" s="284"/>
      <c r="J380" s="284"/>
      <c r="K380" s="275" t="s">
        <v>315</v>
      </c>
      <c r="L380" s="274" t="s">
        <v>37</v>
      </c>
      <c r="M380" s="272">
        <v>31472</v>
      </c>
      <c r="N380" s="272">
        <v>53417</v>
      </c>
      <c r="O380" s="400">
        <v>45760</v>
      </c>
      <c r="P380" s="279">
        <v>45591</v>
      </c>
      <c r="Q380" s="302">
        <v>45609</v>
      </c>
      <c r="R380" s="403"/>
      <c r="S380" s="393"/>
      <c r="T380" s="403"/>
      <c r="U380" s="393"/>
      <c r="V380" s="1137" t="s">
        <v>2010</v>
      </c>
      <c r="W380" s="395"/>
      <c r="X380" s="79"/>
      <c r="Y380" s="79"/>
      <c r="Z380" s="79"/>
      <c r="AA380" s="79"/>
    </row>
    <row r="381" spans="1:39">
      <c r="A381" s="90"/>
      <c r="C381" s="89"/>
      <c r="F381" s="90"/>
      <c r="I381" s="90"/>
      <c r="J381" s="90"/>
      <c r="L381" s="90"/>
    </row>
    <row r="382" spans="1:39">
      <c r="F382" s="90"/>
      <c r="J382" s="90"/>
    </row>
    <row r="383" spans="1:39" ht="15.75" customHeight="1">
      <c r="A383" s="574">
        <v>33</v>
      </c>
      <c r="B383" s="301" t="s">
        <v>2011</v>
      </c>
      <c r="C383" s="581" t="s">
        <v>36</v>
      </c>
      <c r="D383" s="543">
        <v>50205827644</v>
      </c>
      <c r="E383" s="1065" t="s">
        <v>2012</v>
      </c>
      <c r="F383" s="574" t="s">
        <v>23</v>
      </c>
      <c r="G383" s="289">
        <v>24108</v>
      </c>
      <c r="H383" s="289">
        <v>46053</v>
      </c>
      <c r="I383" s="391">
        <v>9002071835</v>
      </c>
      <c r="J383" s="284" t="s">
        <v>76</v>
      </c>
      <c r="K383" s="391" t="s">
        <v>334</v>
      </c>
      <c r="L383" s="391" t="s">
        <v>594</v>
      </c>
      <c r="O383" s="392">
        <v>44652</v>
      </c>
      <c r="P383" s="289">
        <v>44570</v>
      </c>
      <c r="Q383" s="272">
        <v>45563</v>
      </c>
      <c r="R383" s="393"/>
      <c r="S383" s="393"/>
      <c r="T383" s="394" t="s">
        <v>2013</v>
      </c>
      <c r="U383" s="394" t="s">
        <v>2014</v>
      </c>
      <c r="V383" s="383">
        <f>LEN(TEXT(D383,0))</f>
        <v>11</v>
      </c>
      <c r="W383" s="78" t="s">
        <v>2015</v>
      </c>
      <c r="X383" s="286" t="s">
        <v>2016</v>
      </c>
      <c r="Y383" s="78">
        <v>1</v>
      </c>
      <c r="Z383" s="286" t="s">
        <v>85</v>
      </c>
      <c r="AA383" s="383"/>
      <c r="AB383" s="208">
        <f ca="1">INT((TODAY()-G383)/365)</f>
        <v>60</v>
      </c>
      <c r="AC383" s="384"/>
      <c r="AD383" s="384"/>
      <c r="AE383" s="384"/>
      <c r="AF383" s="384"/>
      <c r="AG383" s="384"/>
      <c r="AH383" s="384"/>
      <c r="AI383" s="384"/>
      <c r="AJ383" s="384"/>
    </row>
    <row r="384" spans="1:39">
      <c r="A384" s="90"/>
      <c r="C384" s="89"/>
      <c r="F384" s="90"/>
      <c r="I384" s="90"/>
      <c r="J384" s="90"/>
      <c r="L384" s="90"/>
    </row>
    <row r="385" spans="1:39">
      <c r="F385" s="90"/>
      <c r="J385" s="90"/>
    </row>
    <row r="386" spans="1:39" ht="15.75">
      <c r="A386" s="1066">
        <v>1</v>
      </c>
      <c r="B386" s="351" t="s">
        <v>2017</v>
      </c>
      <c r="C386" s="391" t="s">
        <v>14</v>
      </c>
      <c r="D386" s="306">
        <v>50205782971</v>
      </c>
      <c r="E386" s="582" t="s">
        <v>2018</v>
      </c>
      <c r="F386" s="274" t="s">
        <v>759</v>
      </c>
      <c r="G386" s="284" t="s">
        <v>76</v>
      </c>
      <c r="H386" s="284" t="s">
        <v>279</v>
      </c>
      <c r="I386" s="351">
        <v>9002071812</v>
      </c>
      <c r="J386" s="935">
        <v>9002071812</v>
      </c>
      <c r="K386" s="351" t="s">
        <v>334</v>
      </c>
      <c r="L386" s="275" t="s">
        <v>43</v>
      </c>
      <c r="M386" s="390">
        <v>23376</v>
      </c>
      <c r="N386" s="289">
        <v>45291</v>
      </c>
      <c r="O386" s="392">
        <v>45354</v>
      </c>
      <c r="P386" s="272">
        <v>45537</v>
      </c>
      <c r="Q386" s="272">
        <v>45537</v>
      </c>
      <c r="R386" s="393"/>
      <c r="S386" s="393"/>
      <c r="T386" s="394" t="s">
        <v>2019</v>
      </c>
      <c r="U386" s="394" t="s">
        <v>2019</v>
      </c>
      <c r="V386" s="383">
        <f>LEN(TEXT(D386,0))</f>
        <v>11</v>
      </c>
      <c r="W386" s="583">
        <v>44184</v>
      </c>
      <c r="X386" s="79"/>
      <c r="Y386" s="395"/>
      <c r="Z386" s="286" t="s">
        <v>84</v>
      </c>
      <c r="AA386" s="383"/>
      <c r="AB386" s="208">
        <f t="shared" ref="AB386:AB389" ca="1" si="71">INT((TODAY()-M386)/365)</f>
        <v>62</v>
      </c>
      <c r="AC386" s="384"/>
      <c r="AD386" s="384"/>
      <c r="AE386" s="384"/>
      <c r="AF386" s="384"/>
      <c r="AG386" s="384"/>
      <c r="AH386" s="384"/>
      <c r="AI386" s="384"/>
      <c r="AJ386" s="384"/>
      <c r="AK386" s="384"/>
      <c r="AL386" s="384"/>
      <c r="AM386" s="384"/>
    </row>
    <row r="387" spans="1:39" ht="15.75" customHeight="1">
      <c r="A387" s="937">
        <v>43</v>
      </c>
      <c r="B387" s="276" t="s">
        <v>2020</v>
      </c>
      <c r="C387" s="405" t="s">
        <v>21</v>
      </c>
      <c r="D387" s="677">
        <v>50205360419</v>
      </c>
      <c r="E387" s="1132" t="s">
        <v>2021</v>
      </c>
      <c r="F387" s="685" t="s">
        <v>759</v>
      </c>
      <c r="G387" s="875" t="s">
        <v>76</v>
      </c>
      <c r="H387" s="307"/>
      <c r="I387" s="307">
        <v>9002071785</v>
      </c>
      <c r="J387" s="307">
        <v>9002071785</v>
      </c>
      <c r="K387" s="274" t="s">
        <v>253</v>
      </c>
      <c r="L387" s="275" t="s">
        <v>93</v>
      </c>
      <c r="M387" s="315">
        <v>23354</v>
      </c>
      <c r="N387" s="315">
        <v>45291</v>
      </c>
      <c r="O387" s="315">
        <v>45329</v>
      </c>
      <c r="P387" s="279">
        <v>45204</v>
      </c>
      <c r="Q387" s="302">
        <v>45188</v>
      </c>
      <c r="R387" s="285"/>
      <c r="S387" s="318" t="s">
        <v>337</v>
      </c>
      <c r="T387" s="285"/>
      <c r="U387" s="285"/>
      <c r="V387" s="285"/>
      <c r="W387" s="382"/>
      <c r="X387" s="3"/>
      <c r="Y387" s="3"/>
      <c r="Z387" s="79"/>
      <c r="AA387" s="79"/>
      <c r="AB387" s="311">
        <f t="shared" ca="1" si="71"/>
        <v>62</v>
      </c>
    </row>
    <row r="388" spans="1:39" ht="15.75" customHeight="1">
      <c r="A388" s="898">
        <v>19</v>
      </c>
      <c r="B388" s="1161" t="s">
        <v>2022</v>
      </c>
      <c r="C388" s="405" t="s">
        <v>31</v>
      </c>
      <c r="D388" s="675">
        <v>50205373487</v>
      </c>
      <c r="E388" s="1004" t="s">
        <v>2023</v>
      </c>
      <c r="F388" s="958" t="s">
        <v>759</v>
      </c>
      <c r="G388" s="337" t="s">
        <v>76</v>
      </c>
      <c r="H388" s="303" t="s">
        <v>279</v>
      </c>
      <c r="I388" s="307">
        <v>9330028430</v>
      </c>
      <c r="J388" s="703">
        <v>6291993071</v>
      </c>
      <c r="K388" s="307" t="s">
        <v>253</v>
      </c>
      <c r="L388" s="274" t="s">
        <v>103</v>
      </c>
      <c r="M388" s="278">
        <v>23363</v>
      </c>
      <c r="N388" s="315">
        <v>45291</v>
      </c>
      <c r="O388" s="278">
        <v>45247</v>
      </c>
      <c r="P388" s="279">
        <v>45835</v>
      </c>
      <c r="Q388" s="302">
        <v>45845</v>
      </c>
      <c r="R388" s="285"/>
      <c r="S388" s="285"/>
      <c r="T388" s="318" t="s">
        <v>2024</v>
      </c>
      <c r="U388" s="318" t="s">
        <v>2024</v>
      </c>
      <c r="V388" s="285">
        <f t="shared" ref="V388:V389" si="72">LEN(D388)</f>
        <v>11</v>
      </c>
      <c r="W388" s="90"/>
      <c r="X388" s="3"/>
      <c r="Y388" s="90"/>
      <c r="AA388" s="79"/>
      <c r="AB388" s="311">
        <f t="shared" ca="1" si="71"/>
        <v>62</v>
      </c>
    </row>
    <row r="389" spans="1:39" ht="15.75" customHeight="1">
      <c r="A389" s="1162">
        <v>20</v>
      </c>
      <c r="B389" s="276" t="s">
        <v>2025</v>
      </c>
      <c r="C389" s="405" t="s">
        <v>31</v>
      </c>
      <c r="D389" s="675">
        <v>50205373608</v>
      </c>
      <c r="E389" s="303" t="s">
        <v>2026</v>
      </c>
      <c r="F389" s="685" t="s">
        <v>759</v>
      </c>
      <c r="G389" s="337" t="s">
        <v>76</v>
      </c>
      <c r="H389" s="303" t="s">
        <v>279</v>
      </c>
      <c r="I389" s="307">
        <v>9002071113</v>
      </c>
      <c r="J389" s="307"/>
      <c r="K389" s="307" t="s">
        <v>253</v>
      </c>
      <c r="L389" s="274" t="s">
        <v>44</v>
      </c>
      <c r="M389" s="278">
        <v>23370</v>
      </c>
      <c r="N389" s="315">
        <v>45291</v>
      </c>
      <c r="O389" s="278">
        <v>45367</v>
      </c>
      <c r="P389" s="278">
        <v>45662</v>
      </c>
      <c r="Q389" s="302">
        <v>45622</v>
      </c>
      <c r="R389" s="425"/>
      <c r="S389" s="425"/>
      <c r="T389" s="339" t="s">
        <v>2027</v>
      </c>
      <c r="U389" s="339" t="s">
        <v>2028</v>
      </c>
      <c r="V389" s="425">
        <f t="shared" si="72"/>
        <v>11</v>
      </c>
      <c r="W389" s="90"/>
      <c r="X389" s="90"/>
      <c r="Y389" s="90"/>
      <c r="AB389" s="311">
        <f t="shared" ca="1" si="71"/>
        <v>62</v>
      </c>
      <c r="AC389" s="311"/>
      <c r="AD389" s="311"/>
      <c r="AE389" s="311"/>
      <c r="AF389" s="311"/>
      <c r="AG389" s="311"/>
      <c r="AH389" s="311"/>
      <c r="AI389" s="311"/>
      <c r="AJ389" s="311"/>
      <c r="AK389" s="311"/>
      <c r="AL389" s="311"/>
      <c r="AM389" s="311"/>
    </row>
    <row r="390" spans="1:39">
      <c r="A390" s="574">
        <v>6</v>
      </c>
      <c r="B390" s="1163" t="s">
        <v>2029</v>
      </c>
      <c r="C390" s="574" t="s">
        <v>543</v>
      </c>
      <c r="D390" s="576">
        <v>50205339418</v>
      </c>
      <c r="E390" s="18" t="s">
        <v>2030</v>
      </c>
      <c r="F390" s="574" t="s">
        <v>23</v>
      </c>
      <c r="G390" s="476">
        <v>23368</v>
      </c>
      <c r="H390" s="476">
        <v>45291</v>
      </c>
      <c r="I390" s="18">
        <v>9002071127</v>
      </c>
      <c r="J390" s="18" t="s">
        <v>76</v>
      </c>
      <c r="K390" s="90"/>
    </row>
    <row r="391" spans="1:39">
      <c r="A391" s="574">
        <v>7</v>
      </c>
      <c r="B391" s="922" t="s">
        <v>2031</v>
      </c>
      <c r="C391" s="574" t="s">
        <v>36</v>
      </c>
      <c r="D391" s="576">
        <v>50205407217</v>
      </c>
      <c r="E391" s="18" t="s">
        <v>2032</v>
      </c>
      <c r="F391" s="574" t="s">
        <v>23</v>
      </c>
      <c r="G391" s="476">
        <v>23376</v>
      </c>
      <c r="H391" s="476">
        <v>45291</v>
      </c>
      <c r="I391" s="18">
        <v>9002071837</v>
      </c>
      <c r="J391" s="18" t="s">
        <v>77</v>
      </c>
      <c r="K391" s="90"/>
    </row>
    <row r="392" spans="1:39" ht="15.75" customHeight="1">
      <c r="A392" s="936">
        <v>82</v>
      </c>
      <c r="B392" s="688" t="s">
        <v>2033</v>
      </c>
      <c r="C392" s="275" t="s">
        <v>31</v>
      </c>
      <c r="D392" s="284">
        <v>50205324555</v>
      </c>
      <c r="E392" s="18" t="s">
        <v>2034</v>
      </c>
      <c r="F392" s="274" t="s">
        <v>759</v>
      </c>
      <c r="G392" s="303" t="s">
        <v>76</v>
      </c>
      <c r="H392" s="274" t="s">
        <v>266</v>
      </c>
      <c r="I392" s="275">
        <v>9002071268</v>
      </c>
      <c r="J392" s="284">
        <v>6291376474</v>
      </c>
      <c r="K392" s="275" t="s">
        <v>261</v>
      </c>
      <c r="L392" s="274" t="s">
        <v>112</v>
      </c>
      <c r="M392" s="289">
        <v>23377</v>
      </c>
      <c r="N392" s="289">
        <v>45291</v>
      </c>
      <c r="O392" s="272">
        <v>45128</v>
      </c>
      <c r="P392" s="272">
        <v>46137</v>
      </c>
      <c r="Q392" s="272">
        <v>45760</v>
      </c>
      <c r="R392" s="294"/>
      <c r="S392" s="295"/>
      <c r="T392" s="295"/>
      <c r="U392" s="296" t="s">
        <v>2035</v>
      </c>
      <c r="V392" s="297">
        <f>LEN(TEXT(D392,0))</f>
        <v>11</v>
      </c>
      <c r="W392" s="208">
        <f ca="1">INT((TODAY()-M392)/365)</f>
        <v>62</v>
      </c>
      <c r="X392" s="298"/>
      <c r="Y392" s="298"/>
      <c r="Z392" s="298"/>
      <c r="AA392" s="298"/>
      <c r="AB392" s="298"/>
      <c r="AC392" s="298"/>
      <c r="AD392" s="298"/>
      <c r="AE392" s="298"/>
      <c r="AF392" s="298"/>
      <c r="AG392" s="298"/>
      <c r="AH392" s="298"/>
      <c r="AI392" s="298"/>
      <c r="AJ392" s="298"/>
      <c r="AK392" s="298"/>
      <c r="AL392" s="298"/>
      <c r="AM392" s="298"/>
    </row>
    <row r="393" spans="1:39" ht="15.75">
      <c r="A393" s="656">
        <v>62</v>
      </c>
      <c r="B393" s="967" t="s">
        <v>2036</v>
      </c>
      <c r="C393" s="1164" t="s">
        <v>14</v>
      </c>
      <c r="D393" s="909">
        <v>50204672598</v>
      </c>
      <c r="E393" s="527" t="s">
        <v>2037</v>
      </c>
      <c r="F393" s="970" t="s">
        <v>759</v>
      </c>
      <c r="G393" s="1165" t="s">
        <v>76</v>
      </c>
      <c r="H393" s="303" t="s">
        <v>279</v>
      </c>
      <c r="I393" s="656">
        <v>9163382009</v>
      </c>
      <c r="J393" s="327"/>
      <c r="K393" s="328" t="s">
        <v>253</v>
      </c>
      <c r="L393" s="911" t="s">
        <v>1331</v>
      </c>
      <c r="M393" s="1166">
        <v>23360</v>
      </c>
      <c r="N393" s="978">
        <v>45291</v>
      </c>
      <c r="O393" s="326">
        <v>45113</v>
      </c>
      <c r="P393" s="933">
        <v>45919</v>
      </c>
      <c r="Q393" s="915">
        <v>45677</v>
      </c>
      <c r="R393" s="449" t="s">
        <v>313</v>
      </c>
      <c r="S393" s="332"/>
      <c r="T393" s="334"/>
      <c r="U393" s="916" t="s">
        <v>2038</v>
      </c>
      <c r="V393" s="334"/>
      <c r="W393" s="334"/>
      <c r="X393" s="334"/>
      <c r="Y393" s="334"/>
      <c r="Z393" s="334"/>
      <c r="AA393" s="335" t="s">
        <v>85</v>
      </c>
      <c r="AB393" s="334"/>
      <c r="AC393" s="334"/>
      <c r="AD393" s="334"/>
      <c r="AE393" s="334"/>
      <c r="AF393" s="334"/>
      <c r="AG393" s="334"/>
      <c r="AH393" s="334"/>
      <c r="AI393" s="334"/>
      <c r="AJ393" s="199"/>
    </row>
    <row r="394" spans="1:39">
      <c r="A394" s="90"/>
      <c r="C394" s="89"/>
      <c r="F394" s="90"/>
      <c r="I394" s="90"/>
      <c r="J394" s="90"/>
      <c r="L394" s="90"/>
    </row>
    <row r="395" spans="1:39">
      <c r="F395" s="90"/>
      <c r="J395" s="90"/>
    </row>
    <row r="396" spans="1:39">
      <c r="F396" s="90"/>
      <c r="J396" s="90"/>
    </row>
    <row r="397" spans="1:39" ht="15.75" customHeight="1">
      <c r="A397" s="1167">
        <v>9</v>
      </c>
      <c r="B397" s="1168" t="s">
        <v>2039</v>
      </c>
      <c r="C397" s="1169" t="s">
        <v>81</v>
      </c>
      <c r="D397" s="1170">
        <v>50212095734</v>
      </c>
      <c r="E397" s="1171" t="s">
        <v>2040</v>
      </c>
      <c r="F397" s="1172" t="s">
        <v>759</v>
      </c>
      <c r="G397" s="1173" t="s">
        <v>76</v>
      </c>
      <c r="H397" s="1174" t="s">
        <v>279</v>
      </c>
      <c r="I397" s="1175">
        <v>9002079775</v>
      </c>
      <c r="J397" s="1175">
        <v>9002079775</v>
      </c>
      <c r="K397" s="1172" t="s">
        <v>253</v>
      </c>
      <c r="L397" s="1176" t="s">
        <v>101</v>
      </c>
      <c r="M397" s="1177">
        <v>24191</v>
      </c>
      <c r="N397" s="1177">
        <v>46112</v>
      </c>
      <c r="O397" s="1177">
        <v>45466</v>
      </c>
      <c r="P397" s="1177">
        <v>46165</v>
      </c>
      <c r="Q397" s="1177">
        <v>45731</v>
      </c>
      <c r="R397" s="1178"/>
      <c r="S397" s="1179"/>
      <c r="T397" s="1180" t="s">
        <v>2041</v>
      </c>
      <c r="U397" s="1179"/>
      <c r="V397" s="1179"/>
      <c r="W397" s="1181"/>
      <c r="X397" s="1182">
        <v>44111</v>
      </c>
      <c r="Y397" s="1181"/>
      <c r="Z397" s="1183" t="s">
        <v>84</v>
      </c>
      <c r="AA397" s="1178"/>
      <c r="AB397" s="1184">
        <f t="shared" ref="AB397:AB403" ca="1" si="73">INT((TODAY()-M397)/365)</f>
        <v>60</v>
      </c>
      <c r="AC397" s="1185"/>
      <c r="AD397" s="1185"/>
      <c r="AE397" s="1185"/>
      <c r="AF397" s="1185"/>
      <c r="AG397" s="1185"/>
      <c r="AH397" s="1185"/>
      <c r="AI397" s="1185"/>
      <c r="AJ397" s="1185"/>
      <c r="AK397" s="1185"/>
      <c r="AL397" s="1185"/>
      <c r="AM397" s="1185"/>
    </row>
    <row r="398" spans="1:39" ht="15.75" customHeight="1">
      <c r="A398" s="974">
        <v>4</v>
      </c>
      <c r="B398" s="305" t="s">
        <v>2042</v>
      </c>
      <c r="C398" s="405" t="s">
        <v>14</v>
      </c>
      <c r="D398" s="675" t="s">
        <v>2043</v>
      </c>
      <c r="E398" s="1123" t="s">
        <v>2044</v>
      </c>
      <c r="F398" s="946" t="s">
        <v>759</v>
      </c>
      <c r="G398" s="870" t="s">
        <v>76</v>
      </c>
      <c r="H398" s="303" t="s">
        <v>279</v>
      </c>
      <c r="I398" s="307">
        <v>9002071666</v>
      </c>
      <c r="J398" s="703">
        <v>6202812474</v>
      </c>
      <c r="K398" s="274" t="s">
        <v>253</v>
      </c>
      <c r="L398" s="274" t="s">
        <v>94</v>
      </c>
      <c r="M398" s="278">
        <v>23381</v>
      </c>
      <c r="N398" s="278">
        <v>45322</v>
      </c>
      <c r="O398" s="278">
        <v>45297</v>
      </c>
      <c r="P398" s="278">
        <v>45375</v>
      </c>
      <c r="Q398" s="302">
        <v>45731</v>
      </c>
      <c r="R398" s="285"/>
      <c r="S398" s="285"/>
      <c r="T398" s="318" t="s">
        <v>2045</v>
      </c>
      <c r="U398" s="318" t="s">
        <v>2045</v>
      </c>
      <c r="V398" s="285"/>
      <c r="W398" s="647">
        <v>43241</v>
      </c>
      <c r="X398" s="464" t="s">
        <v>1013</v>
      </c>
      <c r="Y398" s="90"/>
      <c r="Z398" s="197" t="s">
        <v>84</v>
      </c>
      <c r="AB398" s="311">
        <f t="shared" ca="1" si="73"/>
        <v>62</v>
      </c>
      <c r="AC398" s="311"/>
      <c r="AD398" s="311"/>
      <c r="AE398" s="311"/>
    </row>
    <row r="399" spans="1:39" ht="15.75" customHeight="1">
      <c r="A399" s="974">
        <v>6</v>
      </c>
      <c r="B399" s="351" t="s">
        <v>2046</v>
      </c>
      <c r="C399" s="323" t="s">
        <v>14</v>
      </c>
      <c r="D399" s="306">
        <v>50205360584</v>
      </c>
      <c r="E399" s="582" t="s">
        <v>2047</v>
      </c>
      <c r="F399" s="274" t="s">
        <v>759</v>
      </c>
      <c r="G399" s="284" t="s">
        <v>76</v>
      </c>
      <c r="H399" s="284" t="s">
        <v>279</v>
      </c>
      <c r="I399" s="391">
        <v>9002071233</v>
      </c>
      <c r="J399" s="284">
        <v>9002071233</v>
      </c>
      <c r="K399" s="274" t="s">
        <v>253</v>
      </c>
      <c r="L399" s="275" t="s">
        <v>1199</v>
      </c>
      <c r="M399" s="289">
        <v>23389</v>
      </c>
      <c r="N399" s="289">
        <v>45322</v>
      </c>
      <c r="O399" s="392">
        <v>45195</v>
      </c>
      <c r="P399" s="272">
        <v>45982</v>
      </c>
      <c r="Q399" s="272">
        <v>45509</v>
      </c>
      <c r="R399" s="393"/>
      <c r="S399" s="393"/>
      <c r="T399" s="394" t="s">
        <v>2048</v>
      </c>
      <c r="U399" s="393"/>
      <c r="V399" s="383">
        <f>LEN(TEXT(D399,0))</f>
        <v>11</v>
      </c>
      <c r="W399" s="1186">
        <v>43243</v>
      </c>
      <c r="X399" s="464" t="s">
        <v>1013</v>
      </c>
      <c r="Y399" s="563"/>
      <c r="Z399" s="197" t="s">
        <v>84</v>
      </c>
      <c r="AA399" s="384"/>
      <c r="AB399" s="208">
        <f t="shared" ca="1" si="73"/>
        <v>62</v>
      </c>
    </row>
    <row r="400" spans="1:39" ht="15.75" customHeight="1">
      <c r="A400" s="1063">
        <v>4</v>
      </c>
      <c r="B400" s="305" t="s">
        <v>2049</v>
      </c>
      <c r="C400" s="303" t="s">
        <v>14</v>
      </c>
      <c r="D400" s="675">
        <v>50212533348</v>
      </c>
      <c r="E400" s="1123" t="s">
        <v>2050</v>
      </c>
      <c r="F400" s="946" t="s">
        <v>759</v>
      </c>
      <c r="G400" s="870" t="s">
        <v>76</v>
      </c>
      <c r="H400" s="303" t="s">
        <v>279</v>
      </c>
      <c r="I400" s="307">
        <v>9002079091</v>
      </c>
      <c r="J400" s="683">
        <v>8910994119</v>
      </c>
      <c r="K400" s="274" t="s">
        <v>253</v>
      </c>
      <c r="L400" s="275" t="s">
        <v>103</v>
      </c>
      <c r="M400" s="315">
        <v>23383</v>
      </c>
      <c r="N400" s="315">
        <v>45322</v>
      </c>
      <c r="O400" s="315">
        <v>45302</v>
      </c>
      <c r="P400" s="315">
        <v>45919</v>
      </c>
      <c r="Q400" s="272">
        <v>45537</v>
      </c>
      <c r="R400" s="425"/>
      <c r="S400" s="1150"/>
      <c r="T400" s="339" t="s">
        <v>2051</v>
      </c>
      <c r="U400" s="464" t="s">
        <v>1013</v>
      </c>
      <c r="V400" s="425"/>
      <c r="W400" s="90"/>
      <c r="X400" s="137" t="s">
        <v>1660</v>
      </c>
      <c r="Y400" s="137">
        <v>2</v>
      </c>
      <c r="Z400" s="197" t="s">
        <v>85</v>
      </c>
      <c r="AB400" s="311">
        <f t="shared" ca="1" si="73"/>
        <v>62</v>
      </c>
      <c r="AH400" s="298"/>
      <c r="AI400" s="298"/>
      <c r="AJ400" s="298"/>
      <c r="AK400" s="298"/>
      <c r="AL400" s="298"/>
      <c r="AM400" s="298"/>
    </row>
    <row r="401" spans="1:39" ht="15.75" customHeight="1">
      <c r="A401" s="898">
        <v>29</v>
      </c>
      <c r="B401" s="276" t="s">
        <v>2052</v>
      </c>
      <c r="C401" s="405" t="s">
        <v>31</v>
      </c>
      <c r="D401" s="677">
        <v>50212087336</v>
      </c>
      <c r="E401" s="303" t="s">
        <v>2053</v>
      </c>
      <c r="F401" s="958" t="s">
        <v>759</v>
      </c>
      <c r="G401" s="337" t="s">
        <v>77</v>
      </c>
      <c r="H401" s="303" t="s">
        <v>279</v>
      </c>
      <c r="I401" s="307">
        <v>9002071153</v>
      </c>
      <c r="J401" s="703">
        <v>9002071153</v>
      </c>
      <c r="K401" s="307" t="s">
        <v>253</v>
      </c>
      <c r="L401" s="274" t="s">
        <v>112</v>
      </c>
      <c r="M401" s="278">
        <v>23405</v>
      </c>
      <c r="N401" s="315">
        <v>45322</v>
      </c>
      <c r="O401" s="278">
        <v>45375</v>
      </c>
      <c r="P401" s="279">
        <v>45552</v>
      </c>
      <c r="Q401" s="272">
        <v>45537</v>
      </c>
      <c r="R401" s="338"/>
      <c r="S401" s="285"/>
      <c r="T401" s="318" t="s">
        <v>2054</v>
      </c>
      <c r="U401" s="318" t="s">
        <v>2054</v>
      </c>
      <c r="V401" s="285">
        <f t="shared" ref="V401:V403" si="74">LEN(D401)</f>
        <v>11</v>
      </c>
      <c r="W401" s="90"/>
      <c r="X401" s="464" t="s">
        <v>1013</v>
      </c>
      <c r="Y401" s="90"/>
      <c r="AB401" s="311">
        <f t="shared" ca="1" si="73"/>
        <v>62</v>
      </c>
    </row>
    <row r="402" spans="1:39" ht="15.75" customHeight="1">
      <c r="A402" s="898">
        <v>35</v>
      </c>
      <c r="B402" s="1022" t="s">
        <v>2055</v>
      </c>
      <c r="C402" s="405" t="s">
        <v>31</v>
      </c>
      <c r="D402" s="675">
        <v>50204665752</v>
      </c>
      <c r="E402" s="1004" t="s">
        <v>2056</v>
      </c>
      <c r="F402" s="685" t="s">
        <v>759</v>
      </c>
      <c r="G402" s="1187" t="s">
        <v>76</v>
      </c>
      <c r="H402" s="303"/>
      <c r="I402" s="1026">
        <v>9002071714</v>
      </c>
      <c r="J402" s="1026"/>
      <c r="K402" s="307" t="s">
        <v>253</v>
      </c>
      <c r="L402" s="439" t="s">
        <v>2057</v>
      </c>
      <c r="M402" s="1188">
        <v>23408</v>
      </c>
      <c r="N402" s="1158">
        <v>45322</v>
      </c>
      <c r="O402" s="1027"/>
      <c r="P402" s="278"/>
      <c r="Q402" s="272">
        <v>45509</v>
      </c>
      <c r="R402" s="1159"/>
      <c r="S402" s="1029"/>
      <c r="T402" s="1030" t="s">
        <v>2058</v>
      </c>
      <c r="U402" s="1030" t="s">
        <v>2058</v>
      </c>
      <c r="V402" s="285">
        <f t="shared" si="74"/>
        <v>11</v>
      </c>
      <c r="W402" s="1032"/>
      <c r="X402" s="464" t="s">
        <v>1013</v>
      </c>
      <c r="Y402" s="1032"/>
      <c r="Z402" s="1034"/>
      <c r="AA402" s="1034"/>
      <c r="AB402" s="311">
        <f t="shared" ca="1" si="73"/>
        <v>62</v>
      </c>
    </row>
    <row r="403" spans="1:39" ht="15.75" customHeight="1">
      <c r="A403" s="898">
        <v>90</v>
      </c>
      <c r="B403" s="276" t="s">
        <v>2059</v>
      </c>
      <c r="C403" s="307" t="s">
        <v>31</v>
      </c>
      <c r="D403" s="675">
        <v>50204709822</v>
      </c>
      <c r="E403" s="303" t="s">
        <v>2060</v>
      </c>
      <c r="F403" s="685" t="s">
        <v>759</v>
      </c>
      <c r="G403" s="337" t="s">
        <v>77</v>
      </c>
      <c r="H403" s="303" t="s">
        <v>266</v>
      </c>
      <c r="I403" s="307">
        <v>8420320063</v>
      </c>
      <c r="J403" s="307">
        <v>8420320063</v>
      </c>
      <c r="K403" s="307" t="s">
        <v>253</v>
      </c>
      <c r="L403" s="274" t="s">
        <v>417</v>
      </c>
      <c r="M403" s="278">
        <v>23386</v>
      </c>
      <c r="N403" s="315">
        <v>45322</v>
      </c>
      <c r="O403" s="278">
        <v>45318</v>
      </c>
      <c r="P403" s="279">
        <v>45720</v>
      </c>
      <c r="Q403" s="302">
        <v>45731</v>
      </c>
      <c r="R403" s="285"/>
      <c r="S403" s="285"/>
      <c r="T403" s="318" t="s">
        <v>310</v>
      </c>
      <c r="U403" s="318" t="s">
        <v>2061</v>
      </c>
      <c r="V403" s="285">
        <f t="shared" si="74"/>
        <v>11</v>
      </c>
      <c r="W403" s="90"/>
      <c r="X403" s="464" t="s">
        <v>1013</v>
      </c>
      <c r="Y403" s="90"/>
      <c r="AB403" s="311">
        <f t="shared" ca="1" si="73"/>
        <v>62</v>
      </c>
      <c r="AC403" s="311"/>
      <c r="AD403" s="311"/>
      <c r="AE403" s="311"/>
      <c r="AF403" s="311"/>
      <c r="AG403" s="311"/>
      <c r="AH403" s="311"/>
      <c r="AI403" s="311"/>
      <c r="AJ403" s="311"/>
      <c r="AK403" s="311"/>
      <c r="AL403" s="311"/>
      <c r="AM403" s="311"/>
    </row>
    <row r="404" spans="1:39">
      <c r="B404" s="276" t="s">
        <v>2062</v>
      </c>
      <c r="C404" s="307" t="s">
        <v>31</v>
      </c>
      <c r="E404" s="475" t="s">
        <v>2063</v>
      </c>
      <c r="F404" s="274" t="s">
        <v>759</v>
      </c>
      <c r="G404" s="284" t="s">
        <v>76</v>
      </c>
      <c r="H404" s="284" t="s">
        <v>266</v>
      </c>
      <c r="J404" s="90"/>
      <c r="K404" s="274" t="s">
        <v>253</v>
      </c>
      <c r="M404" s="278">
        <v>23394</v>
      </c>
      <c r="N404" s="315">
        <v>45322</v>
      </c>
      <c r="S404" s="494" t="s">
        <v>2064</v>
      </c>
      <c r="T404" s="494" t="s">
        <v>2064</v>
      </c>
      <c r="X404" s="464" t="s">
        <v>1013</v>
      </c>
    </row>
    <row r="405" spans="1:39" ht="15.75" customHeight="1">
      <c r="A405" s="936">
        <v>95</v>
      </c>
      <c r="B405" s="688" t="s">
        <v>2065</v>
      </c>
      <c r="C405" s="275" t="s">
        <v>31</v>
      </c>
      <c r="D405" s="284">
        <v>50205392093</v>
      </c>
      <c r="E405" s="303" t="s">
        <v>2066</v>
      </c>
      <c r="F405" s="274" t="s">
        <v>759</v>
      </c>
      <c r="G405" s="303" t="s">
        <v>76</v>
      </c>
      <c r="H405" s="274" t="s">
        <v>279</v>
      </c>
      <c r="I405" s="275">
        <v>9002071747</v>
      </c>
      <c r="J405" s="275">
        <v>9002071747</v>
      </c>
      <c r="K405" s="275" t="s">
        <v>261</v>
      </c>
      <c r="L405" s="274" t="s">
        <v>112</v>
      </c>
      <c r="M405" s="289">
        <v>23392</v>
      </c>
      <c r="N405" s="289">
        <v>45322</v>
      </c>
      <c r="O405" s="272">
        <v>45318</v>
      </c>
      <c r="P405" s="278">
        <v>45608</v>
      </c>
      <c r="Q405" s="302">
        <v>45481</v>
      </c>
      <c r="R405" s="79"/>
      <c r="S405" s="79"/>
      <c r="T405" s="603" t="s">
        <v>2067</v>
      </c>
      <c r="U405" s="603" t="s">
        <v>2068</v>
      </c>
      <c r="V405" s="297">
        <f>LEN(TEXT(D405,0))</f>
        <v>11</v>
      </c>
      <c r="W405" s="208">
        <f ca="1">INT((TODAY()-M405)/365)</f>
        <v>62</v>
      </c>
      <c r="X405" s="464" t="s">
        <v>1013</v>
      </c>
      <c r="Y405" s="298"/>
      <c r="Z405" s="298"/>
      <c r="AA405" s="298"/>
      <c r="AB405" s="298"/>
      <c r="AC405" s="298"/>
      <c r="AD405" s="298"/>
      <c r="AE405" s="298"/>
      <c r="AF405" s="298"/>
      <c r="AG405" s="298"/>
    </row>
    <row r="406" spans="1:39" ht="15.75" customHeight="1">
      <c r="A406" s="1066">
        <v>16</v>
      </c>
      <c r="B406" s="293" t="s">
        <v>2069</v>
      </c>
      <c r="C406" s="391" t="s">
        <v>14</v>
      </c>
      <c r="D406" s="488">
        <v>50205384394</v>
      </c>
      <c r="E406" s="421" t="s">
        <v>2070</v>
      </c>
      <c r="F406" s="284" t="s">
        <v>759</v>
      </c>
      <c r="G406" s="385" t="s">
        <v>76</v>
      </c>
      <c r="H406" s="274" t="s">
        <v>279</v>
      </c>
      <c r="I406" s="275">
        <v>9002071722</v>
      </c>
      <c r="J406" s="690">
        <v>9002071722</v>
      </c>
      <c r="K406" s="351" t="s">
        <v>334</v>
      </c>
      <c r="L406" s="275" t="s">
        <v>97</v>
      </c>
      <c r="M406" s="272">
        <v>23396</v>
      </c>
      <c r="N406" s="272">
        <v>45322</v>
      </c>
      <c r="O406" s="272">
        <v>45349</v>
      </c>
      <c r="P406" s="279">
        <v>46096</v>
      </c>
      <c r="Q406" s="279">
        <v>46076</v>
      </c>
      <c r="R406" s="309"/>
      <c r="S406" s="309"/>
      <c r="T406" s="486" t="s">
        <v>2071</v>
      </c>
      <c r="U406" s="486" t="s">
        <v>2072</v>
      </c>
      <c r="V406" s="1189">
        <f ca="1">INT((TODAY()-M406)/365)</f>
        <v>62</v>
      </c>
      <c r="W406" s="382"/>
      <c r="X406" s="464" t="s">
        <v>1013</v>
      </c>
      <c r="Y406" s="382"/>
      <c r="Z406" s="382"/>
      <c r="AA406" s="311"/>
      <c r="AB406" s="311"/>
      <c r="AC406" s="311"/>
      <c r="AD406" s="311"/>
      <c r="AE406" s="311"/>
      <c r="AF406" s="311"/>
      <c r="AG406" s="311"/>
      <c r="AH406" s="311"/>
      <c r="AI406" s="311"/>
      <c r="AJ406" s="311"/>
      <c r="AK406" s="311"/>
      <c r="AL406" s="311"/>
      <c r="AM406" s="311"/>
    </row>
    <row r="407" spans="1:39" ht="15.75" customHeight="1">
      <c r="A407" s="974">
        <v>24</v>
      </c>
      <c r="B407" s="351" t="s">
        <v>2073</v>
      </c>
      <c r="C407" s="391" t="s">
        <v>14</v>
      </c>
      <c r="D407" s="543">
        <v>50205366288</v>
      </c>
      <c r="E407" s="582" t="s">
        <v>2074</v>
      </c>
      <c r="F407" s="274" t="s">
        <v>759</v>
      </c>
      <c r="G407" s="284" t="s">
        <v>77</v>
      </c>
      <c r="H407" s="284" t="s">
        <v>279</v>
      </c>
      <c r="I407" s="391">
        <v>9002071172</v>
      </c>
      <c r="J407" s="935">
        <v>9002071172</v>
      </c>
      <c r="K407" s="351" t="s">
        <v>334</v>
      </c>
      <c r="L407" s="275" t="s">
        <v>43</v>
      </c>
      <c r="M407" s="289">
        <v>23403</v>
      </c>
      <c r="N407" s="289">
        <v>45322</v>
      </c>
      <c r="O407" s="392">
        <v>45146</v>
      </c>
      <c r="P407" s="272">
        <v>45982</v>
      </c>
      <c r="Q407" s="387">
        <v>45481</v>
      </c>
      <c r="R407" s="482"/>
      <c r="S407" s="482"/>
      <c r="T407" s="1016" t="s">
        <v>2075</v>
      </c>
      <c r="U407" s="1016" t="s">
        <v>2075</v>
      </c>
      <c r="V407" s="384">
        <f>LEN(TEXT(D407,0))</f>
        <v>11</v>
      </c>
      <c r="W407" s="1186">
        <v>43265</v>
      </c>
      <c r="X407" s="464" t="s">
        <v>1013</v>
      </c>
      <c r="Y407" s="563"/>
      <c r="Z407" s="197" t="s">
        <v>84</v>
      </c>
      <c r="AA407" s="384"/>
      <c r="AB407" s="208">
        <f ca="1">INT((TODAY()-M407)/365)</f>
        <v>62</v>
      </c>
      <c r="AC407" s="384"/>
      <c r="AD407" s="384"/>
      <c r="AE407" s="384"/>
      <c r="AF407" s="384"/>
      <c r="AG407" s="384"/>
      <c r="AH407" s="384"/>
      <c r="AI407" s="384"/>
      <c r="AJ407" s="384"/>
      <c r="AK407" s="384"/>
      <c r="AL407" s="384"/>
      <c r="AM407" s="384"/>
    </row>
    <row r="408" spans="1:39" ht="15.75" customHeight="1">
      <c r="A408" s="1125">
        <v>17</v>
      </c>
      <c r="B408" s="293" t="s">
        <v>2076</v>
      </c>
      <c r="C408" s="275" t="s">
        <v>31</v>
      </c>
      <c r="D408" s="489">
        <v>50212535291</v>
      </c>
      <c r="E408" s="274" t="s">
        <v>2077</v>
      </c>
      <c r="F408" s="18" t="s">
        <v>759</v>
      </c>
      <c r="G408" s="274" t="s">
        <v>77</v>
      </c>
      <c r="H408" s="274" t="s">
        <v>266</v>
      </c>
      <c r="I408" s="275">
        <v>9002079051</v>
      </c>
      <c r="J408" s="284">
        <v>8777287030</v>
      </c>
      <c r="K408" s="275" t="s">
        <v>290</v>
      </c>
      <c r="L408" s="274" t="s">
        <v>56</v>
      </c>
      <c r="M408" s="272">
        <v>23404</v>
      </c>
      <c r="N408" s="272">
        <v>45322</v>
      </c>
      <c r="O408" s="272">
        <v>45190</v>
      </c>
      <c r="P408" s="687">
        <v>45274</v>
      </c>
      <c r="Q408" s="272">
        <v>45258</v>
      </c>
      <c r="S408" s="309"/>
      <c r="T408" s="858" t="s">
        <v>2078</v>
      </c>
      <c r="U408" s="858" t="s">
        <v>2078</v>
      </c>
      <c r="V408" s="311">
        <f t="shared" ref="V408:V409" si="75">LEN(D408)</f>
        <v>11</v>
      </c>
      <c r="W408" s="464" t="s">
        <v>1013</v>
      </c>
      <c r="X408" s="208">
        <f t="shared" ref="X408:X409" ca="1" si="76">INT((TODAY()-M408)/365)</f>
        <v>62</v>
      </c>
      <c r="Y408" s="311"/>
      <c r="Z408" s="311"/>
      <c r="AA408" s="311"/>
      <c r="AB408" s="311"/>
      <c r="AC408" s="311"/>
      <c r="AD408" s="311"/>
      <c r="AE408" s="311"/>
      <c r="AF408" s="311"/>
      <c r="AG408" s="311"/>
      <c r="AH408" s="311"/>
      <c r="AI408" s="311"/>
      <c r="AJ408" s="311"/>
      <c r="AK408" s="311"/>
      <c r="AL408" s="311"/>
      <c r="AM408" s="311"/>
    </row>
    <row r="409" spans="1:39" ht="15.75" customHeight="1">
      <c r="A409" s="1190">
        <v>1</v>
      </c>
      <c r="B409" s="293" t="s">
        <v>2079</v>
      </c>
      <c r="C409" s="275" t="s">
        <v>21</v>
      </c>
      <c r="D409" s="489">
        <v>50205360390</v>
      </c>
      <c r="E409" s="303" t="s">
        <v>2080</v>
      </c>
      <c r="F409" s="18" t="s">
        <v>759</v>
      </c>
      <c r="G409" s="303" t="s">
        <v>76</v>
      </c>
      <c r="H409" s="275"/>
      <c r="I409" s="275">
        <v>9002071767</v>
      </c>
      <c r="J409" s="284">
        <v>9433115011</v>
      </c>
      <c r="K409" s="275" t="s">
        <v>290</v>
      </c>
      <c r="L409" s="275" t="s">
        <v>94</v>
      </c>
      <c r="M409" s="272">
        <v>23381</v>
      </c>
      <c r="N409" s="272">
        <v>45322</v>
      </c>
      <c r="O409" s="272">
        <v>45279</v>
      </c>
      <c r="P409" s="279">
        <v>45204</v>
      </c>
      <c r="Q409" s="302">
        <v>45186</v>
      </c>
      <c r="R409" s="79"/>
      <c r="S409" s="955" t="s">
        <v>2081</v>
      </c>
      <c r="T409" s="952" t="s">
        <v>1269</v>
      </c>
      <c r="U409" s="485"/>
      <c r="V409" s="382">
        <f t="shared" si="75"/>
        <v>11</v>
      </c>
      <c r="W409" s="464" t="s">
        <v>1013</v>
      </c>
      <c r="X409" s="208">
        <f t="shared" ca="1" si="76"/>
        <v>62</v>
      </c>
      <c r="Y409" s="311"/>
      <c r="Z409" s="311"/>
      <c r="AA409" s="311"/>
      <c r="AB409" s="311"/>
      <c r="AC409" s="311"/>
      <c r="AD409" s="311"/>
      <c r="AE409" s="311"/>
      <c r="AF409" s="311"/>
      <c r="AG409" s="311"/>
      <c r="AH409" s="311"/>
      <c r="AI409" s="311"/>
      <c r="AJ409" s="311"/>
      <c r="AK409" s="311"/>
      <c r="AL409" s="311"/>
      <c r="AM409" s="311"/>
    </row>
    <row r="410" spans="1:39" ht="15.75" customHeight="1">
      <c r="A410" s="1191">
        <v>20</v>
      </c>
      <c r="B410" s="293" t="s">
        <v>2082</v>
      </c>
      <c r="C410" s="275" t="s">
        <v>31</v>
      </c>
      <c r="D410" s="488">
        <v>50205355205</v>
      </c>
      <c r="E410" s="303" t="s">
        <v>2083</v>
      </c>
      <c r="F410" s="624" t="s">
        <v>759</v>
      </c>
      <c r="G410" s="385" t="s">
        <v>76</v>
      </c>
      <c r="H410" s="274" t="s">
        <v>279</v>
      </c>
      <c r="I410" s="275">
        <v>9002071240</v>
      </c>
      <c r="J410" s="690">
        <v>9002071240</v>
      </c>
      <c r="K410" s="275" t="s">
        <v>330</v>
      </c>
      <c r="L410" s="275" t="s">
        <v>97</v>
      </c>
      <c r="M410" s="272">
        <v>23404</v>
      </c>
      <c r="N410" s="272">
        <v>45322</v>
      </c>
      <c r="O410" s="272">
        <v>45345</v>
      </c>
      <c r="P410" s="279">
        <v>45361</v>
      </c>
      <c r="Q410" s="302">
        <v>45346</v>
      </c>
      <c r="R410" s="309"/>
      <c r="S410" s="309"/>
      <c r="T410" s="310" t="s">
        <v>2084</v>
      </c>
      <c r="U410" s="310" t="s">
        <v>2085</v>
      </c>
      <c r="V410" s="388">
        <f ca="1">INT((TODAY()-M410)/365)</f>
        <v>62</v>
      </c>
      <c r="W410" s="464" t="s">
        <v>1013</v>
      </c>
      <c r="X410" s="311"/>
      <c r="Y410" s="311"/>
      <c r="Z410" s="311"/>
      <c r="AA410" s="311"/>
      <c r="AB410" s="311"/>
      <c r="AC410" s="311"/>
      <c r="AD410" s="311"/>
      <c r="AE410" s="311"/>
      <c r="AF410" s="311"/>
      <c r="AG410" s="311"/>
      <c r="AH410" s="311"/>
      <c r="AI410" s="311"/>
      <c r="AJ410" s="311"/>
      <c r="AK410" s="311"/>
      <c r="AL410" s="311"/>
      <c r="AM410" s="311"/>
    </row>
    <row r="411" spans="1:39" ht="15.75" customHeight="1">
      <c r="A411" s="1001">
        <v>52</v>
      </c>
      <c r="B411" s="197" t="s">
        <v>2086</v>
      </c>
      <c r="C411" s="137" t="s">
        <v>31</v>
      </c>
      <c r="D411" s="605">
        <v>50205373372</v>
      </c>
      <c r="E411" s="941" t="s">
        <v>2087</v>
      </c>
      <c r="F411" s="958" t="s">
        <v>759</v>
      </c>
      <c r="G411" s="337" t="s">
        <v>76</v>
      </c>
      <c r="H411" s="303" t="s">
        <v>266</v>
      </c>
      <c r="I411" s="275"/>
      <c r="J411" s="18"/>
      <c r="K411" s="275" t="s">
        <v>330</v>
      </c>
      <c r="L411" s="274" t="s">
        <v>97</v>
      </c>
      <c r="M411" s="466">
        <v>23389</v>
      </c>
      <c r="N411" s="466">
        <v>45322</v>
      </c>
      <c r="O411" s="278"/>
      <c r="P411" s="279"/>
      <c r="Q411" s="464" t="s">
        <v>1013</v>
      </c>
      <c r="R411" s="425"/>
      <c r="S411" s="425"/>
      <c r="T411" s="441"/>
      <c r="U411" s="1192"/>
      <c r="V411" s="425"/>
      <c r="W411" s="90"/>
      <c r="X411" s="90"/>
      <c r="Y411" s="90"/>
      <c r="AB411" s="311"/>
    </row>
    <row r="412" spans="1:39">
      <c r="A412" s="18">
        <v>3</v>
      </c>
      <c r="B412" s="426" t="s">
        <v>2088</v>
      </c>
      <c r="C412" s="18" t="s">
        <v>137</v>
      </c>
      <c r="D412" s="3"/>
      <c r="E412" s="475" t="s">
        <v>2089</v>
      </c>
      <c r="F412" s="18" t="s">
        <v>440</v>
      </c>
      <c r="G412" s="476">
        <v>23391</v>
      </c>
      <c r="H412" s="476">
        <v>45322</v>
      </c>
      <c r="I412" s="307" t="s">
        <v>253</v>
      </c>
      <c r="J412" s="18" t="s">
        <v>76</v>
      </c>
      <c r="K412" s="464" t="s">
        <v>1013</v>
      </c>
      <c r="L412" s="90"/>
    </row>
    <row r="413" spans="1:39">
      <c r="A413" s="18">
        <v>9</v>
      </c>
      <c r="B413" s="286" t="s">
        <v>2090</v>
      </c>
      <c r="C413" s="18" t="s">
        <v>137</v>
      </c>
      <c r="D413" s="3"/>
      <c r="E413" s="475" t="s">
        <v>2091</v>
      </c>
      <c r="F413" s="18" t="s">
        <v>440</v>
      </c>
      <c r="G413" s="476">
        <v>23390</v>
      </c>
      <c r="H413" s="476">
        <v>45322</v>
      </c>
      <c r="I413" s="274" t="s">
        <v>330</v>
      </c>
      <c r="J413" s="18" t="s">
        <v>76</v>
      </c>
      <c r="K413" s="464" t="s">
        <v>1013</v>
      </c>
    </row>
    <row r="414" spans="1:39">
      <c r="A414" s="574">
        <v>5</v>
      </c>
      <c r="B414" s="922" t="s">
        <v>2092</v>
      </c>
      <c r="C414" s="574" t="s">
        <v>543</v>
      </c>
      <c r="D414" s="924">
        <v>50205355345</v>
      </c>
      <c r="E414" s="18" t="s">
        <v>2093</v>
      </c>
      <c r="F414" s="574" t="s">
        <v>23</v>
      </c>
      <c r="G414" s="476">
        <v>23400</v>
      </c>
      <c r="H414" s="476">
        <v>45322</v>
      </c>
      <c r="I414" s="18">
        <v>9002071119</v>
      </c>
      <c r="J414" s="18" t="s">
        <v>76</v>
      </c>
      <c r="K414" s="464" t="s">
        <v>1013</v>
      </c>
    </row>
    <row r="415" spans="1:39">
      <c r="A415" s="574">
        <v>6</v>
      </c>
      <c r="B415" s="922" t="s">
        <v>2094</v>
      </c>
      <c r="C415" s="574" t="s">
        <v>8</v>
      </c>
      <c r="D415" s="880">
        <v>50205355473</v>
      </c>
      <c r="E415" s="18" t="s">
        <v>2095</v>
      </c>
      <c r="F415" s="574" t="s">
        <v>23</v>
      </c>
      <c r="G415" s="476">
        <v>23388</v>
      </c>
      <c r="H415" s="476">
        <v>45322</v>
      </c>
      <c r="I415" s="18">
        <v>9002071158</v>
      </c>
      <c r="J415" s="18" t="s">
        <v>77</v>
      </c>
      <c r="K415" s="464" t="s">
        <v>1013</v>
      </c>
    </row>
    <row r="416" spans="1:39">
      <c r="A416" s="574">
        <v>10</v>
      </c>
      <c r="B416" s="922" t="s">
        <v>2096</v>
      </c>
      <c r="C416" s="574" t="s">
        <v>543</v>
      </c>
      <c r="D416" s="924">
        <v>50205389320</v>
      </c>
      <c r="E416" s="18" t="s">
        <v>2097</v>
      </c>
      <c r="F416" s="574" t="s">
        <v>23</v>
      </c>
      <c r="G416" s="476">
        <v>23381</v>
      </c>
      <c r="H416" s="476">
        <v>45322</v>
      </c>
      <c r="I416" s="18">
        <v>9002071175</v>
      </c>
      <c r="J416" s="18" t="s">
        <v>76</v>
      </c>
      <c r="K416" s="464" t="s">
        <v>1013</v>
      </c>
    </row>
    <row r="417" spans="1:39">
      <c r="A417" s="574">
        <v>11</v>
      </c>
      <c r="B417" s="922" t="s">
        <v>2098</v>
      </c>
      <c r="C417" s="574" t="s">
        <v>7</v>
      </c>
      <c r="D417" s="880">
        <v>50209381867</v>
      </c>
      <c r="E417" s="18" t="s">
        <v>2099</v>
      </c>
      <c r="F417" s="574" t="s">
        <v>23</v>
      </c>
      <c r="G417" s="476">
        <v>23378</v>
      </c>
      <c r="H417" s="476">
        <v>45322</v>
      </c>
      <c r="I417" s="18">
        <v>9002071717</v>
      </c>
      <c r="J417" s="18" t="s">
        <v>76</v>
      </c>
      <c r="K417" s="464" t="s">
        <v>1013</v>
      </c>
    </row>
    <row r="418" spans="1:39">
      <c r="A418" s="574">
        <v>19</v>
      </c>
      <c r="B418" s="922" t="s">
        <v>702</v>
      </c>
      <c r="C418" s="574" t="s">
        <v>543</v>
      </c>
      <c r="D418" s="924">
        <v>50205326400</v>
      </c>
      <c r="E418" s="18" t="s">
        <v>2100</v>
      </c>
      <c r="F418" s="574" t="s">
        <v>23</v>
      </c>
      <c r="G418" s="476">
        <v>23383</v>
      </c>
      <c r="H418" s="476">
        <v>45322</v>
      </c>
      <c r="I418" s="18">
        <v>9002079699</v>
      </c>
      <c r="J418" s="18" t="s">
        <v>76</v>
      </c>
      <c r="K418" s="464" t="s">
        <v>1013</v>
      </c>
    </row>
    <row r="419" spans="1:39">
      <c r="A419" s="936">
        <v>6</v>
      </c>
      <c r="B419" s="293" t="s">
        <v>2101</v>
      </c>
      <c r="C419" s="275" t="s">
        <v>31</v>
      </c>
      <c r="D419" s="284">
        <v>50204665776</v>
      </c>
      <c r="E419" s="303" t="s">
        <v>2102</v>
      </c>
      <c r="F419" s="274" t="s">
        <v>759</v>
      </c>
      <c r="G419" s="303" t="s">
        <v>76</v>
      </c>
      <c r="H419" s="274" t="s">
        <v>279</v>
      </c>
      <c r="I419" s="275">
        <v>9002071093</v>
      </c>
      <c r="J419" s="275"/>
      <c r="K419" s="275" t="s">
        <v>261</v>
      </c>
      <c r="L419" s="274" t="s">
        <v>1514</v>
      </c>
      <c r="M419" s="289">
        <v>23674</v>
      </c>
      <c r="N419" s="289">
        <v>45596</v>
      </c>
      <c r="O419" s="272">
        <v>45245</v>
      </c>
      <c r="P419" s="302">
        <v>45695</v>
      </c>
      <c r="Q419" s="272">
        <v>45677</v>
      </c>
      <c r="R419" s="294"/>
      <c r="S419" s="295"/>
      <c r="T419" s="603" t="s">
        <v>2103</v>
      </c>
      <c r="U419" s="603" t="s">
        <v>2103</v>
      </c>
      <c r="V419" s="297">
        <f>LEN(TEXT(D419,0))</f>
        <v>11</v>
      </c>
      <c r="W419" s="208">
        <f ca="1">INT((TODAY()-M419)/365)</f>
        <v>61</v>
      </c>
      <c r="X419" s="1193" t="s">
        <v>2104</v>
      </c>
      <c r="Y419" s="298"/>
      <c r="Z419" s="298"/>
      <c r="AA419" s="298"/>
      <c r="AB419" s="298"/>
      <c r="AC419" s="298"/>
      <c r="AD419" s="298"/>
      <c r="AE419" s="298"/>
      <c r="AF419" s="298"/>
      <c r="AG419" s="298"/>
      <c r="AH419" s="298"/>
      <c r="AI419" s="298"/>
      <c r="AJ419" s="298"/>
      <c r="AK419" s="298"/>
      <c r="AL419" s="298"/>
      <c r="AM419" s="298"/>
    </row>
    <row r="420" spans="1:39">
      <c r="A420" s="1015">
        <v>1</v>
      </c>
      <c r="B420" s="334" t="s">
        <v>2105</v>
      </c>
      <c r="C420" s="327" t="s">
        <v>686</v>
      </c>
      <c r="D420" s="79"/>
      <c r="E420" s="327" t="s">
        <v>2106</v>
      </c>
      <c r="F420" s="327" t="s">
        <v>682</v>
      </c>
      <c r="G420" s="657"/>
      <c r="H420" s="450" t="s">
        <v>12</v>
      </c>
      <c r="I420" s="335" t="s">
        <v>684</v>
      </c>
      <c r="J420" s="329">
        <v>23753</v>
      </c>
      <c r="K420" s="329">
        <v>45688</v>
      </c>
      <c r="L420" s="1193" t="s">
        <v>2104</v>
      </c>
    </row>
    <row r="421" spans="1:39">
      <c r="A421" s="231">
        <v>3</v>
      </c>
      <c r="B421" s="232" t="s">
        <v>2107</v>
      </c>
      <c r="C421" s="233" t="s">
        <v>76</v>
      </c>
      <c r="D421" s="883" t="s">
        <v>137</v>
      </c>
      <c r="E421" s="235">
        <v>533935</v>
      </c>
      <c r="F421" s="233" t="s">
        <v>2108</v>
      </c>
      <c r="G421" s="236">
        <v>45322</v>
      </c>
      <c r="H421" s="233" t="s">
        <v>1436</v>
      </c>
      <c r="I421" s="233" t="s">
        <v>1163</v>
      </c>
      <c r="J421" s="237" t="s">
        <v>1433</v>
      </c>
      <c r="K421" s="238" t="s">
        <v>142</v>
      </c>
      <c r="L421" s="239"/>
    </row>
    <row r="422" spans="1:39" ht="28.5" customHeight="1">
      <c r="A422" s="1162">
        <v>24</v>
      </c>
      <c r="B422" s="688" t="s">
        <v>2109</v>
      </c>
      <c r="C422" s="561" t="s">
        <v>31</v>
      </c>
      <c r="D422" s="304">
        <v>50200099820</v>
      </c>
      <c r="E422" s="620" t="s">
        <v>2110</v>
      </c>
      <c r="F422" s="685" t="s">
        <v>759</v>
      </c>
      <c r="G422" s="274" t="s">
        <v>77</v>
      </c>
      <c r="H422" s="303" t="s">
        <v>266</v>
      </c>
      <c r="I422" s="275">
        <v>9002071782</v>
      </c>
      <c r="J422" s="690">
        <v>9002071782</v>
      </c>
      <c r="K422" s="307" t="s">
        <v>253</v>
      </c>
      <c r="L422" s="275" t="s">
        <v>103</v>
      </c>
      <c r="M422" s="272">
        <v>30712</v>
      </c>
      <c r="N422" s="272">
        <v>52627</v>
      </c>
      <c r="O422" s="272">
        <v>46012</v>
      </c>
      <c r="P422" s="278">
        <v>45667</v>
      </c>
      <c r="Q422" s="272">
        <v>45242</v>
      </c>
      <c r="R422" s="425"/>
      <c r="S422" s="425"/>
      <c r="T422" s="310" t="s">
        <v>2111</v>
      </c>
      <c r="U422" s="310" t="s">
        <v>2112</v>
      </c>
      <c r="V422" s="311">
        <f>LEN(D422)</f>
        <v>11</v>
      </c>
      <c r="W422" s="311"/>
      <c r="X422" s="311"/>
      <c r="Y422" s="311"/>
      <c r="Z422" s="311"/>
      <c r="AA422" s="311"/>
      <c r="AB422" s="311">
        <f ca="1">INT((TODAY()-M422)/365)</f>
        <v>42</v>
      </c>
    </row>
    <row r="423" spans="1:39">
      <c r="A423" s="902">
        <v>2</v>
      </c>
      <c r="B423" s="221" t="s">
        <v>2113</v>
      </c>
      <c r="C423" s="904" t="s">
        <v>2114</v>
      </c>
      <c r="D423" s="662" t="s">
        <v>827</v>
      </c>
      <c r="E423" s="904" t="s">
        <v>823</v>
      </c>
      <c r="F423" s="662" t="s">
        <v>10</v>
      </c>
      <c r="G423" s="662">
        <v>50205343227</v>
      </c>
      <c r="H423" s="905">
        <v>23386</v>
      </c>
      <c r="I423" s="368">
        <v>45322</v>
      </c>
      <c r="J423" s="905">
        <v>32707</v>
      </c>
      <c r="K423" s="712"/>
    </row>
    <row r="424" spans="1:39">
      <c r="A424" s="1194"/>
      <c r="B424" s="713"/>
      <c r="C424" s="1195"/>
      <c r="D424" s="901"/>
      <c r="E424" s="1195"/>
      <c r="F424" s="901"/>
      <c r="G424" s="901"/>
      <c r="H424" s="1196"/>
      <c r="I424" s="1197"/>
      <c r="J424" s="1196"/>
      <c r="K424" s="712"/>
    </row>
    <row r="425" spans="1:39">
      <c r="A425" s="90"/>
      <c r="B425" s="1198" t="s">
        <v>2115</v>
      </c>
      <c r="C425" s="89"/>
      <c r="F425" s="90"/>
      <c r="I425" s="90"/>
      <c r="J425" s="90"/>
      <c r="L425" s="90"/>
    </row>
    <row r="426" spans="1:39" ht="15.75" customHeight="1">
      <c r="A426" s="1001">
        <v>25</v>
      </c>
      <c r="B426" s="287" t="s">
        <v>2116</v>
      </c>
      <c r="C426" s="275" t="s">
        <v>31</v>
      </c>
      <c r="D426" s="488">
        <v>50205360420</v>
      </c>
      <c r="E426" s="303" t="s">
        <v>2117</v>
      </c>
      <c r="F426" s="624" t="s">
        <v>759</v>
      </c>
      <c r="G426" s="385" t="s">
        <v>76</v>
      </c>
      <c r="H426" s="274" t="s">
        <v>279</v>
      </c>
      <c r="I426" s="275">
        <v>9002071257</v>
      </c>
      <c r="J426" s="690">
        <v>9002071257</v>
      </c>
      <c r="K426" s="275" t="s">
        <v>330</v>
      </c>
      <c r="L426" s="274" t="s">
        <v>342</v>
      </c>
      <c r="M426" s="272">
        <v>23409</v>
      </c>
      <c r="N426" s="272">
        <v>45351</v>
      </c>
      <c r="O426" s="272">
        <v>45346</v>
      </c>
      <c r="P426" s="279">
        <v>45527</v>
      </c>
      <c r="Q426" s="279">
        <v>45450</v>
      </c>
      <c r="R426" s="309"/>
      <c r="S426" s="309"/>
      <c r="T426" s="310" t="s">
        <v>2118</v>
      </c>
      <c r="U426" s="310" t="s">
        <v>2119</v>
      </c>
      <c r="V426" s="388">
        <f t="shared" ref="V426:V428" ca="1" si="77">INT((TODAY()-M426)/365)</f>
        <v>62</v>
      </c>
      <c r="W426" s="311"/>
      <c r="X426" s="311"/>
      <c r="Y426" s="311"/>
      <c r="Z426" s="311"/>
      <c r="AA426" s="311"/>
      <c r="AB426" s="311"/>
      <c r="AC426" s="311"/>
      <c r="AD426" s="311"/>
      <c r="AE426" s="311"/>
      <c r="AF426" s="311"/>
      <c r="AG426" s="311"/>
      <c r="AH426" s="311"/>
      <c r="AI426" s="311"/>
      <c r="AJ426" s="311"/>
      <c r="AK426" s="311"/>
    </row>
    <row r="427" spans="1:39" ht="15.75" customHeight="1">
      <c r="A427" s="1191">
        <v>38</v>
      </c>
      <c r="B427" s="287" t="s">
        <v>2120</v>
      </c>
      <c r="C427" s="275" t="s">
        <v>31</v>
      </c>
      <c r="D427" s="488">
        <v>50205355450</v>
      </c>
      <c r="E427" s="303" t="s">
        <v>2121</v>
      </c>
      <c r="F427" s="624" t="s">
        <v>759</v>
      </c>
      <c r="G427" s="385" t="s">
        <v>76</v>
      </c>
      <c r="H427" s="274" t="s">
        <v>279</v>
      </c>
      <c r="I427" s="284">
        <v>9002071625</v>
      </c>
      <c r="J427" s="306">
        <v>9002071625</v>
      </c>
      <c r="K427" s="275" t="s">
        <v>330</v>
      </c>
      <c r="L427" s="274" t="s">
        <v>306</v>
      </c>
      <c r="M427" s="272">
        <v>23437</v>
      </c>
      <c r="N427" s="272">
        <v>45351</v>
      </c>
      <c r="O427" s="272">
        <v>45393</v>
      </c>
      <c r="P427" s="687">
        <v>45487</v>
      </c>
      <c r="Q427" s="302">
        <v>45284</v>
      </c>
      <c r="R427" s="309"/>
      <c r="S427" s="309"/>
      <c r="T427" s="310" t="s">
        <v>2122</v>
      </c>
      <c r="U427" s="310" t="s">
        <v>2122</v>
      </c>
      <c r="V427" s="388">
        <f t="shared" ca="1" si="77"/>
        <v>62</v>
      </c>
      <c r="W427" s="298"/>
      <c r="X427" s="298"/>
      <c r="Y427" s="298"/>
      <c r="Z427" s="298"/>
      <c r="AA427" s="384"/>
      <c r="AB427" s="384"/>
      <c r="AC427" s="384"/>
      <c r="AD427" s="384"/>
      <c r="AE427" s="384"/>
      <c r="AF427" s="384"/>
      <c r="AG427" s="384"/>
      <c r="AH427" s="384"/>
      <c r="AI427" s="384"/>
      <c r="AJ427" s="384"/>
      <c r="AK427" s="384"/>
    </row>
    <row r="428" spans="1:39" ht="15.75" customHeight="1">
      <c r="A428" s="1001">
        <v>16</v>
      </c>
      <c r="B428" s="287" t="s">
        <v>2123</v>
      </c>
      <c r="C428" s="275" t="s">
        <v>31</v>
      </c>
      <c r="D428" s="488">
        <v>50205343082</v>
      </c>
      <c r="E428" s="421" t="s">
        <v>2124</v>
      </c>
      <c r="F428" s="284" t="s">
        <v>759</v>
      </c>
      <c r="G428" s="385" t="s">
        <v>76</v>
      </c>
      <c r="H428" s="274" t="s">
        <v>279</v>
      </c>
      <c r="I428" s="275">
        <v>9002071201</v>
      </c>
      <c r="J428" s="690"/>
      <c r="K428" s="275" t="s">
        <v>330</v>
      </c>
      <c r="L428" s="275" t="s">
        <v>101</v>
      </c>
      <c r="M428" s="272">
        <v>23848</v>
      </c>
      <c r="N428" s="272">
        <v>45777</v>
      </c>
      <c r="O428" s="272">
        <v>45104</v>
      </c>
      <c r="P428" s="279">
        <v>45212</v>
      </c>
      <c r="Q428" s="302">
        <v>45177</v>
      </c>
      <c r="R428" s="309"/>
      <c r="S428" s="309"/>
      <c r="T428" s="486" t="s">
        <v>2125</v>
      </c>
      <c r="U428" s="486" t="s">
        <v>2125</v>
      </c>
      <c r="V428" s="1189">
        <f t="shared" ca="1" si="77"/>
        <v>60</v>
      </c>
      <c r="W428" s="382"/>
      <c r="X428" s="382"/>
      <c r="Y428" s="382"/>
      <c r="Z428" s="382"/>
      <c r="AA428" s="311"/>
      <c r="AB428" s="311"/>
      <c r="AC428" s="311"/>
      <c r="AD428" s="311"/>
      <c r="AE428" s="311"/>
      <c r="AF428" s="311"/>
      <c r="AG428" s="311"/>
      <c r="AH428" s="311"/>
      <c r="AI428" s="311"/>
      <c r="AJ428" s="311"/>
      <c r="AK428" s="311"/>
    </row>
    <row r="429" spans="1:39">
      <c r="A429" s="574">
        <v>11</v>
      </c>
      <c r="B429" s="575" t="s">
        <v>2126</v>
      </c>
      <c r="C429" s="574" t="s">
        <v>543</v>
      </c>
      <c r="D429" s="924">
        <v>50205360353</v>
      </c>
      <c r="E429" s="18" t="s">
        <v>2127</v>
      </c>
      <c r="F429" s="574" t="s">
        <v>23</v>
      </c>
      <c r="G429" s="476">
        <v>23427</v>
      </c>
      <c r="H429" s="476">
        <v>45350</v>
      </c>
      <c r="I429" s="18">
        <v>9002071275</v>
      </c>
      <c r="J429" s="18" t="s">
        <v>76</v>
      </c>
      <c r="K429" s="90"/>
    </row>
    <row r="430" spans="1:39" ht="15.75" customHeight="1">
      <c r="A430" s="974">
        <v>15</v>
      </c>
      <c r="B430" s="270" t="s">
        <v>2128</v>
      </c>
      <c r="C430" s="323" t="s">
        <v>14</v>
      </c>
      <c r="D430" s="543">
        <v>50212107943</v>
      </c>
      <c r="E430" s="475" t="s">
        <v>2129</v>
      </c>
      <c r="F430" s="274" t="s">
        <v>759</v>
      </c>
      <c r="G430" s="284" t="s">
        <v>76</v>
      </c>
      <c r="H430" s="284" t="s">
        <v>279</v>
      </c>
      <c r="I430" s="284">
        <v>9002071893</v>
      </c>
      <c r="J430" s="284">
        <v>9002071893</v>
      </c>
      <c r="K430" s="274" t="s">
        <v>253</v>
      </c>
      <c r="L430" s="274" t="s">
        <v>44</v>
      </c>
      <c r="M430" s="390">
        <v>23426</v>
      </c>
      <c r="N430" s="289">
        <v>45351</v>
      </c>
      <c r="O430" s="272">
        <v>45457</v>
      </c>
      <c r="P430" s="278">
        <v>45475</v>
      </c>
      <c r="Q430" s="272">
        <v>45563</v>
      </c>
      <c r="R430" s="482"/>
      <c r="S430" s="482"/>
      <c r="T430" s="1016" t="s">
        <v>2130</v>
      </c>
      <c r="U430" s="1016" t="s">
        <v>2131</v>
      </c>
      <c r="V430" s="384">
        <f>LEN(TEXT(D430,0))</f>
        <v>11</v>
      </c>
      <c r="W430" s="1017">
        <v>44116</v>
      </c>
      <c r="Y430" s="563"/>
      <c r="Z430" s="197" t="s">
        <v>84</v>
      </c>
      <c r="AA430" s="384"/>
      <c r="AB430" s="208">
        <f t="shared" ref="AB430:AB433" ca="1" si="78">INT((TODAY()-M430)/365)</f>
        <v>62</v>
      </c>
    </row>
    <row r="431" spans="1:39" ht="15.75" customHeight="1">
      <c r="A431" s="898">
        <v>119</v>
      </c>
      <c r="B431" s="313" t="s">
        <v>2132</v>
      </c>
      <c r="C431" s="307" t="s">
        <v>31</v>
      </c>
      <c r="D431" s="675">
        <v>50209379022</v>
      </c>
      <c r="E431" s="303" t="s">
        <v>2133</v>
      </c>
      <c r="F431" s="958" t="s">
        <v>759</v>
      </c>
      <c r="G431" s="337" t="s">
        <v>76</v>
      </c>
      <c r="H431" s="303" t="s">
        <v>279</v>
      </c>
      <c r="I431" s="307">
        <v>9002079009</v>
      </c>
      <c r="J431" s="307"/>
      <c r="K431" s="307" t="s">
        <v>253</v>
      </c>
      <c r="L431" s="274" t="s">
        <v>256</v>
      </c>
      <c r="M431" s="278">
        <v>23433</v>
      </c>
      <c r="N431" s="278">
        <v>45351</v>
      </c>
      <c r="O431" s="278">
        <v>45296</v>
      </c>
      <c r="P431" s="279">
        <v>45487</v>
      </c>
      <c r="Q431" s="302">
        <v>45316</v>
      </c>
      <c r="R431" s="285"/>
      <c r="S431" s="317"/>
      <c r="T431" s="318" t="s">
        <v>2134</v>
      </c>
      <c r="U431" s="318" t="s">
        <v>2134</v>
      </c>
      <c r="V431" s="425"/>
      <c r="W431" s="90"/>
      <c r="X431" s="90"/>
      <c r="Y431" s="90"/>
      <c r="AB431" s="311">
        <f t="shared" ca="1" si="78"/>
        <v>62</v>
      </c>
    </row>
    <row r="432" spans="1:39" ht="15.75" customHeight="1">
      <c r="A432" s="937">
        <v>1</v>
      </c>
      <c r="B432" s="313" t="s">
        <v>2135</v>
      </c>
      <c r="C432" s="405" t="s">
        <v>21</v>
      </c>
      <c r="D432" s="675">
        <v>50210311701</v>
      </c>
      <c r="E432" s="1132" t="s">
        <v>2136</v>
      </c>
      <c r="F432" s="946" t="s">
        <v>759</v>
      </c>
      <c r="G432" s="875" t="s">
        <v>76</v>
      </c>
      <c r="H432" s="307"/>
      <c r="I432" s="307">
        <v>9002071800</v>
      </c>
      <c r="J432" s="307"/>
      <c r="K432" s="274" t="s">
        <v>253</v>
      </c>
      <c r="L432" s="398" t="s">
        <v>58</v>
      </c>
      <c r="M432" s="278">
        <v>23419</v>
      </c>
      <c r="N432" s="315">
        <v>45351</v>
      </c>
      <c r="O432" s="278">
        <v>45353</v>
      </c>
      <c r="P432" s="279">
        <v>45204</v>
      </c>
      <c r="Q432" s="302">
        <v>45188</v>
      </c>
      <c r="R432" s="285"/>
      <c r="S432" s="318" t="s">
        <v>2137</v>
      </c>
      <c r="T432" s="285"/>
      <c r="U432" s="285"/>
      <c r="V432" s="285"/>
      <c r="W432" s="3"/>
      <c r="X432" s="3"/>
      <c r="Y432" s="3"/>
      <c r="Z432" s="79"/>
      <c r="AA432" s="79"/>
      <c r="AB432" s="311">
        <f t="shared" ca="1" si="78"/>
        <v>62</v>
      </c>
    </row>
    <row r="433" spans="1:37" ht="15.75" customHeight="1">
      <c r="A433" s="1131">
        <v>58</v>
      </c>
      <c r="B433" s="313" t="s">
        <v>2138</v>
      </c>
      <c r="C433" s="405" t="s">
        <v>21</v>
      </c>
      <c r="D433" s="677">
        <v>50205343203</v>
      </c>
      <c r="E433" s="860" t="s">
        <v>2139</v>
      </c>
      <c r="F433" s="685" t="s">
        <v>759</v>
      </c>
      <c r="G433" s="875" t="s">
        <v>77</v>
      </c>
      <c r="H433" s="307"/>
      <c r="I433" s="307">
        <v>9002071791</v>
      </c>
      <c r="J433" s="307"/>
      <c r="K433" s="274" t="s">
        <v>253</v>
      </c>
      <c r="L433" s="439" t="s">
        <v>113</v>
      </c>
      <c r="M433" s="921">
        <v>24057</v>
      </c>
      <c r="N433" s="315">
        <v>45991</v>
      </c>
      <c r="O433" s="315">
        <v>45254</v>
      </c>
      <c r="P433" s="279">
        <v>45204</v>
      </c>
      <c r="Q433" s="272">
        <v>45271</v>
      </c>
      <c r="R433" s="430"/>
      <c r="S433" s="318" t="s">
        <v>2140</v>
      </c>
      <c r="T433" s="318" t="s">
        <v>2141</v>
      </c>
      <c r="U433" s="285"/>
      <c r="V433" s="285"/>
      <c r="W433" s="90"/>
      <c r="X433" s="90"/>
      <c r="Y433" s="90"/>
      <c r="AB433" s="311">
        <f t="shared" ca="1" si="78"/>
        <v>60</v>
      </c>
      <c r="AC433" s="311"/>
      <c r="AD433" s="311"/>
      <c r="AE433" s="311"/>
      <c r="AF433" s="311"/>
      <c r="AG433" s="311"/>
      <c r="AH433" s="311"/>
      <c r="AI433" s="311"/>
      <c r="AJ433" s="311"/>
      <c r="AK433" s="311"/>
    </row>
    <row r="434" spans="1:37" ht="15.75" customHeight="1">
      <c r="A434" s="1199"/>
      <c r="B434" s="287" t="s">
        <v>2142</v>
      </c>
      <c r="C434" s="274" t="s">
        <v>31</v>
      </c>
      <c r="D434" s="304"/>
      <c r="E434" s="475" t="s">
        <v>2143</v>
      </c>
      <c r="F434" s="18" t="s">
        <v>759</v>
      </c>
      <c r="G434" s="303" t="s">
        <v>76</v>
      </c>
      <c r="H434" s="274" t="s">
        <v>266</v>
      </c>
      <c r="I434" s="275"/>
      <c r="J434" s="650"/>
      <c r="K434" s="275" t="s">
        <v>261</v>
      </c>
      <c r="L434" s="274" t="s">
        <v>101</v>
      </c>
      <c r="M434" s="289">
        <v>23530</v>
      </c>
      <c r="N434" s="289">
        <v>45351</v>
      </c>
      <c r="O434" s="272"/>
      <c r="P434" s="279"/>
      <c r="Q434" s="302"/>
      <c r="R434" s="308"/>
      <c r="S434" s="494" t="s">
        <v>2144</v>
      </c>
      <c r="T434" s="494" t="s">
        <v>2144</v>
      </c>
      <c r="U434" s="309"/>
      <c r="V434" s="311"/>
      <c r="W434" s="311"/>
      <c r="X434" s="208"/>
      <c r="AC434" s="311"/>
      <c r="AD434" s="311"/>
      <c r="AE434" s="311"/>
      <c r="AF434" s="311"/>
      <c r="AG434" s="311"/>
      <c r="AH434" s="311"/>
      <c r="AI434" s="311"/>
      <c r="AJ434" s="311"/>
      <c r="AK434" s="311"/>
    </row>
    <row r="435" spans="1:37" ht="15.75" customHeight="1">
      <c r="A435" s="936">
        <v>100</v>
      </c>
      <c r="B435" s="1200" t="s">
        <v>2145</v>
      </c>
      <c r="C435" s="275" t="s">
        <v>31</v>
      </c>
      <c r="D435" s="604">
        <v>50209381703</v>
      </c>
      <c r="E435" s="303" t="s">
        <v>2146</v>
      </c>
      <c r="F435" s="274" t="s">
        <v>759</v>
      </c>
      <c r="G435" s="303" t="s">
        <v>76</v>
      </c>
      <c r="H435" s="274" t="s">
        <v>279</v>
      </c>
      <c r="I435" s="275">
        <v>9002079776</v>
      </c>
      <c r="J435" s="284">
        <v>9002079776</v>
      </c>
      <c r="K435" s="275" t="s">
        <v>261</v>
      </c>
      <c r="L435" s="274" t="s">
        <v>256</v>
      </c>
      <c r="M435" s="272">
        <v>23411</v>
      </c>
      <c r="N435" s="289">
        <v>45351</v>
      </c>
      <c r="O435" s="272">
        <v>45369</v>
      </c>
      <c r="P435" s="279">
        <v>45552</v>
      </c>
      <c r="Q435" s="272">
        <v>45537</v>
      </c>
      <c r="R435" s="79"/>
      <c r="S435" s="79"/>
      <c r="T435" s="603" t="s">
        <v>2147</v>
      </c>
      <c r="U435" s="603" t="s">
        <v>2147</v>
      </c>
      <c r="V435" s="297">
        <f>LEN(TEXT(D435,0))</f>
        <v>11</v>
      </c>
      <c r="W435" s="208">
        <f ca="1">INT((TODAY()-M435)/365)</f>
        <v>62</v>
      </c>
      <c r="X435" s="298"/>
      <c r="Y435" s="298"/>
      <c r="Z435" s="298"/>
      <c r="AA435" s="298"/>
      <c r="AB435" s="298"/>
      <c r="AC435" s="298"/>
      <c r="AD435" s="298"/>
      <c r="AE435" s="298"/>
      <c r="AF435" s="298"/>
      <c r="AG435" s="298"/>
      <c r="AH435" s="298"/>
      <c r="AI435" s="298"/>
      <c r="AJ435" s="298"/>
      <c r="AK435" s="298"/>
    </row>
    <row r="436" spans="1:37" ht="15.75" customHeight="1">
      <c r="A436" s="936">
        <v>138</v>
      </c>
      <c r="B436" s="1201" t="s">
        <v>2148</v>
      </c>
      <c r="C436" s="1202" t="s">
        <v>31</v>
      </c>
      <c r="D436" s="605">
        <v>50205355448</v>
      </c>
      <c r="E436" s="634"/>
      <c r="F436" s="1202" t="s">
        <v>759</v>
      </c>
      <c r="G436" s="1202" t="s">
        <v>76</v>
      </c>
      <c r="H436" s="1202" t="s">
        <v>1567</v>
      </c>
      <c r="I436" s="1203"/>
      <c r="J436" s="940"/>
      <c r="K436" s="275" t="s">
        <v>261</v>
      </c>
      <c r="L436" s="1202" t="s">
        <v>306</v>
      </c>
      <c r="M436" s="1204">
        <v>23431</v>
      </c>
      <c r="N436" s="289">
        <v>45351</v>
      </c>
      <c r="O436" s="632"/>
      <c r="P436" s="632"/>
      <c r="Q436" s="632"/>
      <c r="R436" s="1205"/>
      <c r="S436" s="634"/>
      <c r="T436" s="634"/>
      <c r="U436" s="634"/>
      <c r="V436" s="633"/>
      <c r="W436" s="700"/>
      <c r="X436" s="1206"/>
      <c r="Y436" s="1206"/>
      <c r="Z436" s="1206"/>
      <c r="AA436" s="1206"/>
      <c r="AB436" s="1206"/>
      <c r="AC436" s="1206"/>
      <c r="AD436" s="1206"/>
      <c r="AE436" s="1206"/>
      <c r="AF436" s="1206"/>
      <c r="AG436" s="1206"/>
      <c r="AH436" s="1206"/>
      <c r="AI436" s="199"/>
      <c r="AJ436" s="199"/>
      <c r="AK436" s="199"/>
    </row>
    <row r="437" spans="1:37">
      <c r="A437" s="90"/>
      <c r="C437" s="89"/>
      <c r="F437" s="90"/>
      <c r="I437" s="90"/>
      <c r="J437" s="90"/>
      <c r="L437" s="90"/>
    </row>
    <row r="438" spans="1:37">
      <c r="A438" s="90"/>
      <c r="B438" s="1198" t="s">
        <v>2149</v>
      </c>
      <c r="C438" s="89"/>
      <c r="F438" s="90"/>
      <c r="I438" s="90"/>
      <c r="J438" s="90"/>
      <c r="L438" s="90"/>
    </row>
    <row r="439" spans="1:37" ht="15.75" customHeight="1">
      <c r="A439" s="898">
        <v>21</v>
      </c>
      <c r="B439" s="276" t="s">
        <v>2150</v>
      </c>
      <c r="C439" s="307" t="s">
        <v>31</v>
      </c>
      <c r="D439" s="675">
        <v>50205360493</v>
      </c>
      <c r="E439" s="303" t="s">
        <v>2151</v>
      </c>
      <c r="F439" s="685" t="s">
        <v>759</v>
      </c>
      <c r="G439" s="337" t="s">
        <v>76</v>
      </c>
      <c r="H439" s="303" t="s">
        <v>279</v>
      </c>
      <c r="I439" s="307">
        <v>9002071118</v>
      </c>
      <c r="J439" s="307"/>
      <c r="K439" s="307" t="s">
        <v>253</v>
      </c>
      <c r="L439" s="439" t="s">
        <v>108</v>
      </c>
      <c r="M439" s="278">
        <v>23443</v>
      </c>
      <c r="N439" s="315">
        <v>45382</v>
      </c>
      <c r="O439" s="278">
        <v>45381</v>
      </c>
      <c r="P439" s="278">
        <v>45501</v>
      </c>
      <c r="Q439" s="302">
        <v>45397</v>
      </c>
      <c r="R439" s="425"/>
      <c r="S439" s="425"/>
      <c r="T439" s="339" t="s">
        <v>2152</v>
      </c>
      <c r="U439" s="339" t="s">
        <v>2152</v>
      </c>
      <c r="V439" s="425">
        <f t="shared" ref="V439:V440" si="79">LEN(D439)</f>
        <v>11</v>
      </c>
      <c r="W439" s="90"/>
      <c r="X439" s="90"/>
      <c r="Y439" s="90"/>
      <c r="AB439" s="311">
        <f t="shared" ref="AB439:AB440" ca="1" si="80">INT((TODAY()-M439)/365)</f>
        <v>62</v>
      </c>
      <c r="AC439" s="311"/>
      <c r="AD439" s="311"/>
      <c r="AE439" s="311"/>
      <c r="AF439" s="311"/>
      <c r="AG439" s="311"/>
      <c r="AH439" s="311"/>
      <c r="AI439" s="311"/>
      <c r="AJ439" s="311"/>
      <c r="AK439" s="311"/>
    </row>
    <row r="440" spans="1:37" ht="15.75" customHeight="1">
      <c r="A440" s="898">
        <v>96</v>
      </c>
      <c r="B440" s="276" t="s">
        <v>2153</v>
      </c>
      <c r="C440" s="307" t="s">
        <v>31</v>
      </c>
      <c r="D440" s="920" t="s">
        <v>2154</v>
      </c>
      <c r="E440" s="1149" t="s">
        <v>2155</v>
      </c>
      <c r="F440" s="685" t="s">
        <v>759</v>
      </c>
      <c r="G440" s="337" t="s">
        <v>78</v>
      </c>
      <c r="H440" s="303" t="s">
        <v>279</v>
      </c>
      <c r="I440" s="307">
        <v>9002071062</v>
      </c>
      <c r="J440" s="307"/>
      <c r="K440" s="307" t="s">
        <v>253</v>
      </c>
      <c r="L440" s="274" t="s">
        <v>351</v>
      </c>
      <c r="M440" s="278">
        <v>23380</v>
      </c>
      <c r="N440" s="315">
        <v>45381</v>
      </c>
      <c r="O440" s="278">
        <v>45381</v>
      </c>
      <c r="P440" s="279">
        <v>45552</v>
      </c>
      <c r="Q440" s="1058">
        <v>45509</v>
      </c>
      <c r="S440" s="425"/>
      <c r="T440" s="339" t="s">
        <v>2156</v>
      </c>
      <c r="U440" s="339" t="s">
        <v>2157</v>
      </c>
      <c r="V440" s="425">
        <f t="shared" si="79"/>
        <v>11</v>
      </c>
      <c r="W440" s="90"/>
      <c r="X440" s="90"/>
      <c r="Y440" s="90"/>
      <c r="AB440" s="311">
        <f t="shared" ca="1" si="80"/>
        <v>62</v>
      </c>
    </row>
    <row r="441" spans="1:37" ht="15.75" customHeight="1">
      <c r="A441" s="936">
        <v>38</v>
      </c>
      <c r="B441" s="293" t="s">
        <v>2158</v>
      </c>
      <c r="C441" s="275" t="s">
        <v>31</v>
      </c>
      <c r="D441" s="604">
        <v>50204760475</v>
      </c>
      <c r="E441" s="366" t="s">
        <v>2159</v>
      </c>
      <c r="F441" s="274" t="s">
        <v>759</v>
      </c>
      <c r="G441" s="303" t="s">
        <v>76</v>
      </c>
      <c r="H441" s="274" t="s">
        <v>279</v>
      </c>
      <c r="I441" s="275">
        <v>9002071177</v>
      </c>
      <c r="J441" s="275">
        <v>9002071177</v>
      </c>
      <c r="K441" s="275" t="s">
        <v>261</v>
      </c>
      <c r="L441" s="274" t="s">
        <v>299</v>
      </c>
      <c r="M441" s="272">
        <v>23440</v>
      </c>
      <c r="N441" s="289">
        <v>45382</v>
      </c>
      <c r="O441" s="272">
        <v>45240</v>
      </c>
      <c r="P441" s="272">
        <v>45863</v>
      </c>
      <c r="Q441" s="272">
        <v>45786</v>
      </c>
      <c r="R441" s="79"/>
      <c r="S441" s="295"/>
      <c r="T441" s="603" t="s">
        <v>2160</v>
      </c>
      <c r="U441" s="603" t="s">
        <v>2160</v>
      </c>
      <c r="V441" s="297">
        <f t="shared" ref="V441:V442" si="81">LEN(TEXT(D441,0))</f>
        <v>11</v>
      </c>
      <c r="W441" s="208">
        <f ca="1">INT((TODAY()-M441)/365)</f>
        <v>62</v>
      </c>
      <c r="X441" s="298"/>
      <c r="AH441" s="298"/>
      <c r="AI441" s="298"/>
      <c r="AJ441" s="298"/>
      <c r="AK441" s="298"/>
    </row>
    <row r="442" spans="1:37" ht="15.75" customHeight="1">
      <c r="A442" s="574">
        <v>24</v>
      </c>
      <c r="B442" s="351" t="s">
        <v>2161</v>
      </c>
      <c r="C442" s="581" t="s">
        <v>543</v>
      </c>
      <c r="D442" s="543">
        <v>50204664401</v>
      </c>
      <c r="E442" s="582" t="s">
        <v>2162</v>
      </c>
      <c r="F442" s="574" t="s">
        <v>23</v>
      </c>
      <c r="G442" s="289">
        <v>23465</v>
      </c>
      <c r="H442" s="289">
        <v>45382</v>
      </c>
      <c r="I442" s="391">
        <v>9002071682</v>
      </c>
      <c r="J442" s="284" t="s">
        <v>76</v>
      </c>
      <c r="K442" s="391" t="s">
        <v>334</v>
      </c>
      <c r="L442" s="391" t="s">
        <v>1043</v>
      </c>
      <c r="O442" s="272">
        <v>44667</v>
      </c>
      <c r="P442" s="289">
        <v>44570</v>
      </c>
      <c r="Q442" s="289">
        <v>44577</v>
      </c>
      <c r="R442" s="393"/>
      <c r="S442" s="393"/>
      <c r="T442" s="394" t="s">
        <v>2163</v>
      </c>
      <c r="U442" s="394" t="s">
        <v>2163</v>
      </c>
      <c r="V442" s="383">
        <f t="shared" si="81"/>
        <v>11</v>
      </c>
      <c r="W442" s="583">
        <v>44116</v>
      </c>
      <c r="X442" s="79"/>
      <c r="Y442" s="395"/>
      <c r="Z442" s="286" t="s">
        <v>84</v>
      </c>
      <c r="AA442" s="383"/>
      <c r="AB442" s="208">
        <f ca="1">INT((TODAY()-G442)/365)</f>
        <v>62</v>
      </c>
      <c r="AC442" s="384"/>
      <c r="AD442" s="384"/>
      <c r="AE442" s="384"/>
      <c r="AF442" s="384"/>
      <c r="AG442" s="384"/>
      <c r="AH442" s="384"/>
      <c r="AI442" s="384"/>
      <c r="AJ442" s="384"/>
      <c r="AK442" s="384"/>
    </row>
    <row r="443" spans="1:37">
      <c r="A443" s="90"/>
      <c r="C443" s="89"/>
      <c r="F443" s="90"/>
      <c r="I443" s="90"/>
      <c r="J443" s="90"/>
      <c r="L443" s="90"/>
    </row>
    <row r="444" spans="1:37">
      <c r="A444" s="90"/>
      <c r="C444" s="89"/>
      <c r="F444" s="90"/>
      <c r="I444" s="90"/>
      <c r="J444" s="90"/>
      <c r="L444" s="90"/>
    </row>
    <row r="445" spans="1:37">
      <c r="A445" s="90"/>
      <c r="B445" s="1198" t="s">
        <v>2164</v>
      </c>
      <c r="C445" s="89"/>
      <c r="F445" s="90"/>
      <c r="I445" s="90"/>
      <c r="J445" s="90"/>
      <c r="L445" s="90"/>
    </row>
    <row r="446" spans="1:37" ht="30">
      <c r="A446" s="980">
        <v>101</v>
      </c>
      <c r="B446" s="301" t="s">
        <v>2165</v>
      </c>
      <c r="C446" s="284" t="s">
        <v>22</v>
      </c>
      <c r="D446" s="527">
        <v>3329804656</v>
      </c>
      <c r="E446" s="681" t="s">
        <v>2166</v>
      </c>
      <c r="F446" s="274" t="s">
        <v>759</v>
      </c>
      <c r="G446" s="284"/>
      <c r="H446" s="391"/>
      <c r="I446" s="284" t="s">
        <v>2167</v>
      </c>
      <c r="J446" s="284"/>
      <c r="K446" s="275" t="s">
        <v>315</v>
      </c>
      <c r="L446" s="398" t="s">
        <v>118</v>
      </c>
      <c r="M446" s="272"/>
      <c r="N446" s="272"/>
      <c r="O446" s="400"/>
      <c r="P446" s="279"/>
      <c r="Q446" s="418"/>
      <c r="R446" s="338"/>
      <c r="S446" s="393"/>
      <c r="T446" s="403"/>
      <c r="U446" s="393"/>
      <c r="V446" s="383"/>
      <c r="W446" s="563"/>
      <c r="X446" s="79"/>
      <c r="Y446" s="395"/>
      <c r="Z446" s="79"/>
      <c r="AA446" s="383"/>
      <c r="AB446" s="282"/>
      <c r="AC446" s="383"/>
      <c r="AD446" s="383"/>
      <c r="AE446" s="383"/>
      <c r="AF446" s="383"/>
      <c r="AG446" s="383"/>
      <c r="AH446" s="383"/>
      <c r="AI446" s="384"/>
      <c r="AJ446" s="384"/>
      <c r="AK446" s="384"/>
    </row>
    <row r="447" spans="1:37" ht="30.75" customHeight="1">
      <c r="A447" s="980">
        <v>13</v>
      </c>
      <c r="B447" s="301" t="s">
        <v>2168</v>
      </c>
      <c r="C447" s="284" t="s">
        <v>22</v>
      </c>
      <c r="D447" s="1207">
        <v>6329801597</v>
      </c>
      <c r="E447" s="1136" t="s">
        <v>2169</v>
      </c>
      <c r="F447" s="274" t="s">
        <v>759</v>
      </c>
      <c r="G447" s="284" t="s">
        <v>76</v>
      </c>
      <c r="H447" s="391"/>
      <c r="I447" s="284" t="s">
        <v>2170</v>
      </c>
      <c r="J447" s="284">
        <v>7908850852</v>
      </c>
      <c r="K447" s="275" t="s">
        <v>315</v>
      </c>
      <c r="L447" s="274" t="s">
        <v>58</v>
      </c>
      <c r="M447" s="272">
        <v>33771</v>
      </c>
      <c r="N447" s="272">
        <v>55700</v>
      </c>
      <c r="O447" s="400">
        <v>45951</v>
      </c>
      <c r="P447" s="279">
        <v>45499</v>
      </c>
      <c r="Q447" s="302">
        <v>45251</v>
      </c>
      <c r="R447" s="403"/>
      <c r="S447" s="393"/>
      <c r="T447" s="403"/>
      <c r="U447" s="393"/>
      <c r="V447" s="383"/>
      <c r="W447" s="395"/>
      <c r="X447" s="79"/>
      <c r="Y447" s="79"/>
      <c r="Z447" s="79"/>
      <c r="AA447" s="79"/>
    </row>
    <row r="448" spans="1:37">
      <c r="A448" s="90"/>
      <c r="C448" s="89"/>
      <c r="F448" s="90"/>
      <c r="I448" s="90"/>
      <c r="J448" s="90"/>
      <c r="L448" s="90"/>
    </row>
    <row r="449" spans="1:39">
      <c r="A449" s="90"/>
      <c r="B449" s="1208" t="s">
        <v>2171</v>
      </c>
      <c r="C449" s="89"/>
      <c r="F449" s="90"/>
      <c r="I449" s="90"/>
      <c r="J449" s="90"/>
      <c r="L449" s="90"/>
    </row>
    <row r="450" spans="1:39">
      <c r="A450" s="1125">
        <v>11</v>
      </c>
      <c r="B450" s="293" t="s">
        <v>2172</v>
      </c>
      <c r="C450" s="275" t="s">
        <v>31</v>
      </c>
      <c r="D450" s="304">
        <v>50205522584</v>
      </c>
      <c r="E450" s="557" t="s">
        <v>2173</v>
      </c>
      <c r="F450" s="18" t="s">
        <v>759</v>
      </c>
      <c r="G450" s="274" t="s">
        <v>77</v>
      </c>
      <c r="H450" s="274" t="s">
        <v>279</v>
      </c>
      <c r="I450" s="275">
        <v>9002079041</v>
      </c>
      <c r="J450" s="275"/>
      <c r="K450" s="275" t="s">
        <v>290</v>
      </c>
      <c r="L450" s="274" t="s">
        <v>54</v>
      </c>
      <c r="M450" s="289">
        <v>28854</v>
      </c>
      <c r="N450" s="289">
        <v>50770</v>
      </c>
      <c r="O450" s="272">
        <v>45465</v>
      </c>
      <c r="P450" s="279">
        <v>45501</v>
      </c>
      <c r="Q450" s="302">
        <v>45481</v>
      </c>
      <c r="R450" s="1134"/>
      <c r="S450" s="485"/>
      <c r="T450" s="310" t="s">
        <v>2174</v>
      </c>
      <c r="U450" s="486" t="s">
        <v>2174</v>
      </c>
      <c r="V450" s="382">
        <f>LEN(D450)</f>
        <v>11</v>
      </c>
      <c r="W450" s="311"/>
      <c r="X450" s="48">
        <f ca="1">INT((TODAY()-M450)/365)</f>
        <v>47</v>
      </c>
      <c r="Y450" s="382"/>
      <c r="Z450" s="382"/>
      <c r="AA450" s="382"/>
      <c r="AB450" s="382"/>
      <c r="AC450" s="382"/>
      <c r="AD450" s="382"/>
      <c r="AE450" s="382"/>
      <c r="AF450" s="382"/>
      <c r="AG450" s="382"/>
      <c r="AH450" s="382"/>
      <c r="AI450" s="311"/>
      <c r="AJ450" s="311"/>
      <c r="AK450" s="311"/>
    </row>
    <row r="451" spans="1:39">
      <c r="A451" s="90"/>
      <c r="C451" s="89"/>
      <c r="F451" s="90"/>
      <c r="I451" s="90"/>
      <c r="J451" s="90"/>
      <c r="L451" s="90"/>
    </row>
    <row r="452" spans="1:39">
      <c r="A452" s="90"/>
      <c r="C452" s="89"/>
      <c r="F452" s="90"/>
      <c r="I452" s="90"/>
      <c r="J452" s="90"/>
      <c r="L452" s="90"/>
    </row>
    <row r="453" spans="1:39">
      <c r="A453" s="90"/>
      <c r="B453" s="1198" t="s">
        <v>2175</v>
      </c>
      <c r="C453" s="89"/>
      <c r="F453" s="90"/>
      <c r="I453" s="90"/>
      <c r="J453" s="90"/>
      <c r="L453" s="90"/>
    </row>
    <row r="454" spans="1:39" ht="15.75" customHeight="1">
      <c r="A454" s="574">
        <v>22</v>
      </c>
      <c r="B454" s="1209" t="s">
        <v>1601</v>
      </c>
      <c r="C454" s="581" t="s">
        <v>7</v>
      </c>
      <c r="D454" s="675">
        <v>50205349126</v>
      </c>
      <c r="E454" s="674" t="s">
        <v>2176</v>
      </c>
      <c r="F454" s="574" t="s">
        <v>23</v>
      </c>
      <c r="G454" s="278">
        <v>23483</v>
      </c>
      <c r="H454" s="278">
        <v>45412</v>
      </c>
      <c r="I454" s="307">
        <v>9002071101</v>
      </c>
      <c r="J454" s="337" t="s">
        <v>77</v>
      </c>
      <c r="K454" s="307" t="s">
        <v>253</v>
      </c>
      <c r="L454" s="307" t="s">
        <v>100</v>
      </c>
      <c r="O454" s="315">
        <v>44660</v>
      </c>
      <c r="P454" s="278">
        <v>45043</v>
      </c>
      <c r="Q454" s="302">
        <v>45200</v>
      </c>
      <c r="R454" s="285"/>
      <c r="S454" s="285"/>
      <c r="T454" s="318" t="s">
        <v>2177</v>
      </c>
      <c r="U454" s="318" t="s">
        <v>2177</v>
      </c>
      <c r="V454" s="285">
        <f>LEN(D454)</f>
        <v>11</v>
      </c>
      <c r="W454" s="3"/>
      <c r="X454" s="3"/>
      <c r="Y454" s="3"/>
      <c r="Z454" s="79"/>
      <c r="AA454" s="79"/>
      <c r="AB454" s="311">
        <f ca="1">INT((TODAY()-G454)/365)</f>
        <v>61</v>
      </c>
      <c r="AC454" s="384"/>
      <c r="AD454" s="384"/>
      <c r="AE454" s="384"/>
      <c r="AF454" s="384"/>
      <c r="AG454" s="384"/>
      <c r="AH454" s="384"/>
      <c r="AI454" s="384"/>
      <c r="AJ454" s="384"/>
      <c r="AK454" s="384"/>
    </row>
    <row r="455" spans="1:39">
      <c r="A455" s="656">
        <v>4</v>
      </c>
      <c r="B455" s="335" t="s">
        <v>2178</v>
      </c>
      <c r="C455" s="1210" t="s">
        <v>81</v>
      </c>
      <c r="D455" s="1211">
        <v>50207295560</v>
      </c>
      <c r="E455" s="327"/>
      <c r="F455" s="18" t="s">
        <v>759</v>
      </c>
      <c r="G455" s="306" t="s">
        <v>76</v>
      </c>
      <c r="H455" s="303" t="s">
        <v>266</v>
      </c>
      <c r="I455" s="327"/>
      <c r="J455" s="327"/>
      <c r="K455" s="328" t="s">
        <v>253</v>
      </c>
      <c r="L455" s="445" t="s">
        <v>58</v>
      </c>
      <c r="M455" s="793">
        <v>23475</v>
      </c>
      <c r="N455" s="1212">
        <v>45412</v>
      </c>
      <c r="O455" s="329"/>
      <c r="P455" s="330"/>
      <c r="Q455" s="331"/>
      <c r="R455" s="449" t="s">
        <v>313</v>
      </c>
      <c r="S455" s="332"/>
      <c r="T455" s="334"/>
      <c r="U455" s="332"/>
      <c r="V455" s="334"/>
      <c r="W455" s="334"/>
      <c r="X455" s="334"/>
      <c r="Y455" s="334"/>
      <c r="Z455" s="334"/>
      <c r="AA455" s="334"/>
      <c r="AB455" s="334"/>
      <c r="AC455" s="334"/>
      <c r="AD455" s="79"/>
      <c r="AE455" s="79"/>
      <c r="AF455" s="79"/>
      <c r="AG455" s="79"/>
      <c r="AH455" s="79"/>
      <c r="AI455" s="79"/>
    </row>
    <row r="456" spans="1:39">
      <c r="A456" s="665">
        <v>20</v>
      </c>
      <c r="B456" s="904" t="s">
        <v>2179</v>
      </c>
      <c r="C456" s="904" t="s">
        <v>823</v>
      </c>
      <c r="D456" s="662">
        <v>50207372310</v>
      </c>
      <c r="E456" s="221" t="s">
        <v>2180</v>
      </c>
      <c r="F456" s="662" t="s">
        <v>11</v>
      </c>
      <c r="G456" s="79"/>
      <c r="H456" s="905">
        <v>23477</v>
      </c>
      <c r="I456" s="368">
        <v>45412</v>
      </c>
      <c r="J456" s="905">
        <v>31552</v>
      </c>
      <c r="K456" s="712"/>
    </row>
    <row r="457" spans="1:39">
      <c r="A457" s="90"/>
      <c r="C457" s="89"/>
      <c r="F457" s="90"/>
      <c r="I457" s="90"/>
      <c r="J457" s="90"/>
      <c r="L457" s="90"/>
    </row>
    <row r="458" spans="1:39">
      <c r="A458" s="90"/>
      <c r="B458" s="1198" t="s">
        <v>2181</v>
      </c>
      <c r="C458" s="89"/>
      <c r="F458" s="90"/>
      <c r="I458" s="90"/>
      <c r="J458" s="90"/>
      <c r="L458" s="90"/>
    </row>
    <row r="459" spans="1:39" ht="26.25" customHeight="1">
      <c r="A459" s="697">
        <v>63</v>
      </c>
      <c r="B459" s="509" t="s">
        <v>2182</v>
      </c>
      <c r="C459" s="484" t="s">
        <v>20</v>
      </c>
      <c r="D459" s="1213">
        <v>50205617534</v>
      </c>
      <c r="E459" s="1214" t="s">
        <v>2183</v>
      </c>
      <c r="F459" s="1215" t="s">
        <v>759</v>
      </c>
      <c r="G459" s="1216" t="s">
        <v>76</v>
      </c>
      <c r="H459" s="499" t="s">
        <v>266</v>
      </c>
      <c r="I459" s="501">
        <v>7908964010</v>
      </c>
      <c r="J459" s="455">
        <v>9831935726</v>
      </c>
      <c r="K459" s="496" t="s">
        <v>315</v>
      </c>
      <c r="L459" s="484" t="s">
        <v>101</v>
      </c>
      <c r="M459" s="512">
        <v>32252</v>
      </c>
      <c r="N459" s="512">
        <v>54178</v>
      </c>
      <c r="O459" s="512">
        <v>46250</v>
      </c>
      <c r="P459" s="512">
        <v>45667</v>
      </c>
      <c r="Q459" s="511">
        <v>45622</v>
      </c>
      <c r="R459" s="515"/>
      <c r="S459" s="516" t="s">
        <v>2184</v>
      </c>
      <c r="T459" s="516" t="s">
        <v>2185</v>
      </c>
      <c r="U459" s="515"/>
      <c r="V459" s="515">
        <f>LEN(D459)</f>
        <v>11</v>
      </c>
      <c r="W459" s="1189">
        <f ca="1">INT((TODAY()-M459)/365)</f>
        <v>37</v>
      </c>
      <c r="X459" s="507"/>
      <c r="Y459" s="552"/>
      <c r="Z459" s="522"/>
      <c r="AA459" s="551"/>
      <c r="AB459" s="508">
        <f ca="1">INT((TODAY()-M459)/365)</f>
        <v>37</v>
      </c>
      <c r="AC459" s="145"/>
      <c r="AD459" s="145"/>
      <c r="AE459" s="145"/>
      <c r="AF459" s="145"/>
      <c r="AG459" s="145"/>
      <c r="AH459" s="145"/>
      <c r="AI459" s="145"/>
      <c r="AJ459" s="145"/>
      <c r="AK459" s="145"/>
      <c r="AL459" s="145"/>
      <c r="AM459" s="145"/>
    </row>
    <row r="460" spans="1:39" ht="30">
      <c r="A460" s="980">
        <v>103</v>
      </c>
      <c r="B460" s="301" t="s">
        <v>2186</v>
      </c>
      <c r="C460" s="284" t="s">
        <v>22</v>
      </c>
      <c r="D460" s="527">
        <v>3329804644</v>
      </c>
      <c r="E460" s="681" t="s">
        <v>2187</v>
      </c>
      <c r="F460" s="274" t="s">
        <v>759</v>
      </c>
      <c r="G460" s="284"/>
      <c r="H460" s="391"/>
      <c r="I460" s="284"/>
      <c r="J460" s="284"/>
      <c r="K460" s="275" t="s">
        <v>315</v>
      </c>
      <c r="L460" s="1217" t="s">
        <v>103</v>
      </c>
      <c r="M460" s="272"/>
      <c r="N460" s="272"/>
      <c r="O460" s="400"/>
      <c r="P460" s="279"/>
      <c r="Q460" s="418"/>
      <c r="R460" s="338"/>
      <c r="S460" s="393"/>
      <c r="T460" s="403"/>
      <c r="U460" s="393"/>
      <c r="V460" s="383"/>
      <c r="W460" s="563"/>
      <c r="X460" s="79"/>
      <c r="Y460" s="395"/>
      <c r="Z460" s="79"/>
      <c r="AA460" s="383"/>
      <c r="AB460" s="282"/>
      <c r="AC460" s="383"/>
      <c r="AD460" s="383"/>
      <c r="AE460" s="383"/>
      <c r="AF460" s="383"/>
      <c r="AG460" s="383"/>
      <c r="AH460" s="383"/>
      <c r="AI460" s="384"/>
      <c r="AJ460" s="384"/>
      <c r="AK460" s="384"/>
      <c r="AL460" s="384"/>
    </row>
    <row r="461" spans="1:39">
      <c r="A461" s="90"/>
      <c r="C461" s="89"/>
      <c r="F461" s="90"/>
      <c r="I461" s="90"/>
      <c r="J461" s="90"/>
      <c r="L461" s="90"/>
    </row>
    <row r="462" spans="1:39">
      <c r="A462" s="90"/>
      <c r="C462" s="89"/>
      <c r="F462" s="90"/>
      <c r="I462" s="90"/>
      <c r="J462" s="90"/>
      <c r="L462" s="90"/>
    </row>
    <row r="463" spans="1:39">
      <c r="A463" s="90"/>
      <c r="B463" s="1198" t="s">
        <v>2188</v>
      </c>
      <c r="C463" s="89"/>
      <c r="F463" s="90"/>
      <c r="I463" s="90"/>
      <c r="J463" s="90"/>
      <c r="L463" s="90"/>
    </row>
    <row r="464" spans="1:39" ht="15.75" customHeight="1">
      <c r="A464" s="898">
        <v>64</v>
      </c>
      <c r="B464" s="276" t="s">
        <v>2189</v>
      </c>
      <c r="C464" s="405" t="s">
        <v>31</v>
      </c>
      <c r="D464" s="675">
        <v>50205389367</v>
      </c>
      <c r="E464" s="1218" t="s">
        <v>2190</v>
      </c>
      <c r="F464" s="685" t="s">
        <v>759</v>
      </c>
      <c r="G464" s="337" t="s">
        <v>77</v>
      </c>
      <c r="H464" s="303" t="s">
        <v>279</v>
      </c>
      <c r="I464" s="307">
        <v>9002071223</v>
      </c>
      <c r="J464" s="703">
        <v>9002071223</v>
      </c>
      <c r="K464" s="307" t="s">
        <v>253</v>
      </c>
      <c r="L464" s="275" t="s">
        <v>306</v>
      </c>
      <c r="M464" s="278">
        <v>23505</v>
      </c>
      <c r="N464" s="315">
        <v>45443</v>
      </c>
      <c r="O464" s="278">
        <v>45473</v>
      </c>
      <c r="P464" s="678">
        <v>45060</v>
      </c>
      <c r="Q464" s="387">
        <v>46050</v>
      </c>
      <c r="R464" s="425"/>
      <c r="S464" s="285"/>
      <c r="T464" s="318" t="s">
        <v>2191</v>
      </c>
      <c r="U464" s="318" t="s">
        <v>2192</v>
      </c>
      <c r="V464" s="285">
        <f>LEN(D464)</f>
        <v>11</v>
      </c>
      <c r="W464" s="90"/>
      <c r="X464" s="90"/>
      <c r="Y464" s="90"/>
      <c r="AB464" s="311">
        <f t="shared" ref="AB464:AB465" ca="1" si="82">INT((TODAY()-M464)/365)</f>
        <v>61</v>
      </c>
    </row>
    <row r="465" spans="1:39" ht="15.75" customHeight="1">
      <c r="A465" s="974">
        <v>7</v>
      </c>
      <c r="B465" s="276" t="s">
        <v>2193</v>
      </c>
      <c r="C465" s="405" t="s">
        <v>14</v>
      </c>
      <c r="D465" s="675">
        <v>50205330993</v>
      </c>
      <c r="E465" s="1123" t="s">
        <v>2194</v>
      </c>
      <c r="F465" s="946" t="s">
        <v>759</v>
      </c>
      <c r="G465" s="870" t="s">
        <v>76</v>
      </c>
      <c r="H465" s="303" t="s">
        <v>279</v>
      </c>
      <c r="I465" s="307">
        <v>9002071255</v>
      </c>
      <c r="J465" s="703">
        <v>9433411546</v>
      </c>
      <c r="K465" s="274" t="s">
        <v>253</v>
      </c>
      <c r="L465" s="398" t="s">
        <v>57</v>
      </c>
      <c r="M465" s="921">
        <v>23502</v>
      </c>
      <c r="N465" s="315">
        <v>45443</v>
      </c>
      <c r="O465" s="278">
        <v>45409</v>
      </c>
      <c r="P465" s="315">
        <v>46136</v>
      </c>
      <c r="Q465" s="302">
        <v>46046</v>
      </c>
      <c r="R465" s="285"/>
      <c r="S465" s="285"/>
      <c r="T465" s="318" t="s">
        <v>2195</v>
      </c>
      <c r="U465" s="318" t="s">
        <v>2195</v>
      </c>
      <c r="V465" s="285"/>
      <c r="W465" s="647">
        <v>43264</v>
      </c>
      <c r="X465" s="90"/>
      <c r="Y465" s="90"/>
      <c r="Z465" s="197" t="s">
        <v>84</v>
      </c>
      <c r="AB465" s="311">
        <f t="shared" ca="1" si="82"/>
        <v>61</v>
      </c>
    </row>
    <row r="466" spans="1:39" ht="15.75" customHeight="1">
      <c r="A466" s="936">
        <v>36</v>
      </c>
      <c r="B466" s="293" t="s">
        <v>2196</v>
      </c>
      <c r="C466" s="275" t="s">
        <v>31</v>
      </c>
      <c r="D466" s="604">
        <v>50212102817</v>
      </c>
      <c r="E466" s="303" t="s">
        <v>2197</v>
      </c>
      <c r="F466" s="274" t="s">
        <v>759</v>
      </c>
      <c r="G466" s="303" t="s">
        <v>76</v>
      </c>
      <c r="H466" s="274" t="s">
        <v>279</v>
      </c>
      <c r="I466" s="275">
        <v>9002071715</v>
      </c>
      <c r="J466" s="284">
        <v>9002071715</v>
      </c>
      <c r="K466" s="275" t="s">
        <v>261</v>
      </c>
      <c r="L466" s="303" t="s">
        <v>1514</v>
      </c>
      <c r="M466" s="289">
        <v>23502</v>
      </c>
      <c r="N466" s="289">
        <v>45443</v>
      </c>
      <c r="O466" s="272">
        <v>45135</v>
      </c>
      <c r="P466" s="278">
        <v>45608</v>
      </c>
      <c r="Q466" s="302">
        <v>45481</v>
      </c>
      <c r="R466" s="294"/>
      <c r="S466" s="295"/>
      <c r="T466" s="296" t="s">
        <v>2198</v>
      </c>
      <c r="U466" s="296" t="s">
        <v>2198</v>
      </c>
      <c r="V466" s="297">
        <f>LEN(TEXT(D466,0))</f>
        <v>11</v>
      </c>
      <c r="W466" s="208">
        <f ca="1">INT((TODAY()-M466)/365)</f>
        <v>61</v>
      </c>
      <c r="X466" s="298"/>
      <c r="Y466" s="298"/>
      <c r="Z466" s="298"/>
      <c r="AA466" s="298"/>
      <c r="AB466" s="298"/>
      <c r="AC466" s="298"/>
      <c r="AD466" s="298"/>
      <c r="AE466" s="298"/>
      <c r="AF466" s="298"/>
      <c r="AG466" s="298"/>
      <c r="AH466" s="298"/>
      <c r="AI466" s="298"/>
      <c r="AJ466" s="298"/>
      <c r="AK466" s="298"/>
    </row>
    <row r="467" spans="1:39">
      <c r="A467" s="656">
        <v>29</v>
      </c>
      <c r="B467" s="335" t="s">
        <v>2199</v>
      </c>
      <c r="C467" s="656" t="s">
        <v>689</v>
      </c>
      <c r="D467" s="1219">
        <v>50212083100</v>
      </c>
      <c r="E467" s="527" t="s">
        <v>2200</v>
      </c>
      <c r="F467" s="656" t="s">
        <v>682</v>
      </c>
      <c r="G467" s="79"/>
      <c r="H467" s="904" t="s">
        <v>315</v>
      </c>
      <c r="I467" s="335" t="s">
        <v>578</v>
      </c>
      <c r="J467" s="326">
        <v>23517</v>
      </c>
      <c r="K467" s="326">
        <v>45443</v>
      </c>
    </row>
    <row r="468" spans="1:39">
      <c r="A468" s="1125">
        <v>23</v>
      </c>
      <c r="B468" s="293" t="s">
        <v>2201</v>
      </c>
      <c r="C468" s="275" t="s">
        <v>31</v>
      </c>
      <c r="D468" s="304">
        <v>50205384412</v>
      </c>
      <c r="E468" s="303" t="s">
        <v>2202</v>
      </c>
      <c r="F468" s="18" t="s">
        <v>759</v>
      </c>
      <c r="G468" s="303" t="s">
        <v>76</v>
      </c>
      <c r="H468" s="274" t="s">
        <v>279</v>
      </c>
      <c r="I468" s="650">
        <v>9002071658</v>
      </c>
      <c r="J468" s="275"/>
      <c r="K468" s="275" t="s">
        <v>290</v>
      </c>
      <c r="L468" s="274" t="s">
        <v>417</v>
      </c>
      <c r="M468" s="272">
        <v>23503</v>
      </c>
      <c r="N468" s="272">
        <v>45443</v>
      </c>
      <c r="O468" s="272">
        <v>45469</v>
      </c>
      <c r="P468" s="279">
        <v>45487</v>
      </c>
      <c r="Q468" s="272">
        <v>45450</v>
      </c>
      <c r="R468" s="79"/>
      <c r="S468" s="485"/>
      <c r="T468" s="377" t="s">
        <v>2203</v>
      </c>
      <c r="U468" s="603" t="s">
        <v>2204</v>
      </c>
      <c r="V468" s="382">
        <f t="shared" ref="V468:V469" si="83">LEN(D468)</f>
        <v>11</v>
      </c>
      <c r="W468" s="311"/>
      <c r="X468" s="1220">
        <f t="shared" ref="X468:X469" ca="1" si="84">INT((TODAY()-M468)/365)</f>
        <v>61</v>
      </c>
      <c r="Y468" s="90"/>
      <c r="AB468" s="311">
        <f ca="1">INT((TODAY()-M468)/365)</f>
        <v>61</v>
      </c>
    </row>
    <row r="469" spans="1:39" ht="15.75" customHeight="1">
      <c r="A469" s="1190">
        <v>12</v>
      </c>
      <c r="B469" s="293" t="s">
        <v>2205</v>
      </c>
      <c r="C469" s="275" t="s">
        <v>21</v>
      </c>
      <c r="D469" s="489">
        <v>50205355254</v>
      </c>
      <c r="E469" s="1221" t="s">
        <v>2206</v>
      </c>
      <c r="F469" s="18" t="s">
        <v>759</v>
      </c>
      <c r="G469" s="303" t="s">
        <v>76</v>
      </c>
      <c r="H469" s="275"/>
      <c r="I469" s="275">
        <v>9002071799</v>
      </c>
      <c r="J469" s="275">
        <v>9002071799</v>
      </c>
      <c r="K469" s="275" t="s">
        <v>290</v>
      </c>
      <c r="L469" s="274" t="s">
        <v>94</v>
      </c>
      <c r="M469" s="272">
        <v>23515</v>
      </c>
      <c r="N469" s="272">
        <v>45443</v>
      </c>
      <c r="O469" s="272">
        <v>45115</v>
      </c>
      <c r="P469" s="278">
        <v>45562</v>
      </c>
      <c r="Q469" s="302">
        <v>45186</v>
      </c>
      <c r="R469" s="998"/>
      <c r="S469" s="486" t="s">
        <v>2207</v>
      </c>
      <c r="T469" s="485"/>
      <c r="U469" s="485"/>
      <c r="V469" s="382">
        <f t="shared" si="83"/>
        <v>11</v>
      </c>
      <c r="W469" s="382"/>
      <c r="X469" s="1220">
        <f t="shared" ca="1" si="84"/>
        <v>61</v>
      </c>
      <c r="Y469" s="311"/>
      <c r="Z469" s="382"/>
      <c r="AA469" s="382"/>
      <c r="AB469" s="382"/>
      <c r="AC469" s="311"/>
      <c r="AD469" s="311"/>
      <c r="AE469" s="311"/>
      <c r="AF469" s="311"/>
      <c r="AG469" s="311"/>
      <c r="AH469" s="311"/>
      <c r="AI469" s="311"/>
      <c r="AJ469" s="311"/>
      <c r="AK469" s="311"/>
    </row>
    <row r="470" spans="1:39">
      <c r="A470" s="90"/>
      <c r="C470" s="89"/>
      <c r="F470" s="90"/>
      <c r="I470" s="90"/>
      <c r="J470" s="90"/>
      <c r="L470" s="90"/>
    </row>
    <row r="471" spans="1:39" ht="15.75" customHeight="1">
      <c r="A471" s="1167">
        <v>28</v>
      </c>
      <c r="B471" s="1222" t="s">
        <v>2208</v>
      </c>
      <c r="C471" s="1223" t="s">
        <v>31</v>
      </c>
      <c r="D471" s="1224">
        <v>50200116610</v>
      </c>
      <c r="E471" s="1225" t="s">
        <v>2209</v>
      </c>
      <c r="F471" s="1226" t="s">
        <v>759</v>
      </c>
      <c r="G471" s="1172" t="s">
        <v>77</v>
      </c>
      <c r="H471" s="1172" t="s">
        <v>266</v>
      </c>
      <c r="I471" s="1176">
        <v>9002071345</v>
      </c>
      <c r="J471" s="1227">
        <v>9002071345</v>
      </c>
      <c r="K471" s="1175" t="s">
        <v>253</v>
      </c>
      <c r="L471" s="1172" t="s">
        <v>299</v>
      </c>
      <c r="M471" s="1228">
        <v>29056</v>
      </c>
      <c r="N471" s="1228">
        <v>50982</v>
      </c>
      <c r="O471" s="1228">
        <v>45926</v>
      </c>
      <c r="P471" s="1228">
        <v>45355</v>
      </c>
      <c r="Q471" s="1228">
        <v>45242</v>
      </c>
      <c r="R471" s="1179"/>
      <c r="S471" s="1179"/>
      <c r="T471" s="1229" t="s">
        <v>2210</v>
      </c>
      <c r="U471" s="1230" t="s">
        <v>2211</v>
      </c>
      <c r="V471" s="1231">
        <f>LEN(D471)</f>
        <v>11</v>
      </c>
      <c r="W471" s="1231"/>
      <c r="X471" s="1231"/>
      <c r="Y471" s="1231"/>
      <c r="Z471" s="1231"/>
      <c r="AA471" s="1231"/>
      <c r="AB471" s="1184">
        <f ca="1">INT((TODAY()-M471)/365)</f>
        <v>46</v>
      </c>
      <c r="AC471" s="1185"/>
      <c r="AD471" s="1185"/>
      <c r="AE471" s="1185"/>
      <c r="AF471" s="1185"/>
      <c r="AG471" s="1185"/>
      <c r="AH471" s="1185"/>
      <c r="AI471" s="1185"/>
      <c r="AJ471" s="1185"/>
      <c r="AK471" s="1185"/>
      <c r="AL471" s="1185"/>
    </row>
    <row r="472" spans="1:39">
      <c r="A472" s="1232">
        <v>98</v>
      </c>
      <c r="B472" s="1233" t="s">
        <v>2212</v>
      </c>
      <c r="C472" s="1234" t="s">
        <v>22</v>
      </c>
      <c r="D472" s="1235">
        <v>3329804643</v>
      </c>
      <c r="E472" s="1236" t="s">
        <v>2213</v>
      </c>
      <c r="F472" s="1172" t="s">
        <v>759</v>
      </c>
      <c r="G472" s="1234"/>
      <c r="H472" s="1237"/>
      <c r="I472" s="1234"/>
      <c r="J472" s="1234"/>
      <c r="K472" s="1176" t="s">
        <v>315</v>
      </c>
      <c r="L472" s="1172" t="s">
        <v>1839</v>
      </c>
      <c r="M472" s="1228"/>
      <c r="N472" s="1228"/>
      <c r="O472" s="1238"/>
      <c r="P472" s="1239"/>
      <c r="Q472" s="1240"/>
      <c r="R472" s="1241"/>
      <c r="S472" s="1242"/>
      <c r="T472" s="1243"/>
      <c r="U472" s="1242"/>
      <c r="V472" s="1244"/>
      <c r="W472" s="1245"/>
      <c r="X472" s="1178"/>
      <c r="Y472" s="1246"/>
      <c r="Z472" s="1178"/>
      <c r="AA472" s="1244"/>
      <c r="AB472" s="1247"/>
      <c r="AC472" s="1244"/>
      <c r="AD472" s="1244"/>
      <c r="AE472" s="1244"/>
      <c r="AF472" s="1244"/>
      <c r="AG472" s="1244"/>
      <c r="AH472" s="1244"/>
      <c r="AI472" s="1248"/>
      <c r="AJ472" s="1248"/>
      <c r="AK472" s="1248"/>
      <c r="AL472" s="1248"/>
    </row>
    <row r="473" spans="1:39" ht="45">
      <c r="A473" s="980">
        <v>52</v>
      </c>
      <c r="B473" s="301" t="s">
        <v>2214</v>
      </c>
      <c r="C473" s="284" t="s">
        <v>22</v>
      </c>
      <c r="D473" s="527">
        <v>33229816040</v>
      </c>
      <c r="E473" s="1120" t="s">
        <v>2215</v>
      </c>
      <c r="F473" s="274" t="s">
        <v>759</v>
      </c>
      <c r="G473" s="284" t="s">
        <v>76</v>
      </c>
      <c r="H473" s="391"/>
      <c r="I473" s="284"/>
      <c r="J473" s="284"/>
      <c r="K473" s="275" t="s">
        <v>315</v>
      </c>
      <c r="L473" s="274" t="s">
        <v>108</v>
      </c>
      <c r="M473" s="272">
        <v>31640</v>
      </c>
      <c r="N473" s="272">
        <v>53570</v>
      </c>
      <c r="O473" s="400">
        <v>45194</v>
      </c>
      <c r="P473" s="279">
        <v>45452</v>
      </c>
      <c r="Q473" s="302">
        <v>45452</v>
      </c>
      <c r="R473" s="394" t="s">
        <v>2216</v>
      </c>
      <c r="S473" s="393"/>
      <c r="T473" s="403"/>
      <c r="U473" s="393"/>
      <c r="V473" s="383"/>
      <c r="W473" s="563"/>
      <c r="X473" s="79"/>
      <c r="Y473" s="395"/>
      <c r="Z473" s="79"/>
      <c r="AA473" s="383"/>
      <c r="AB473" s="282"/>
      <c r="AC473" s="383"/>
      <c r="AD473" s="383"/>
      <c r="AE473" s="383"/>
      <c r="AF473" s="383"/>
      <c r="AG473" s="383"/>
      <c r="AH473" s="383"/>
      <c r="AI473" s="384"/>
      <c r="AJ473" s="384"/>
      <c r="AK473" s="384"/>
      <c r="AL473" s="384"/>
    </row>
    <row r="474" spans="1:39" ht="15.75" customHeight="1">
      <c r="A474" s="898">
        <v>103</v>
      </c>
      <c r="B474" s="276" t="s">
        <v>2217</v>
      </c>
      <c r="C474" s="307" t="s">
        <v>31</v>
      </c>
      <c r="D474" s="677">
        <v>50205607073</v>
      </c>
      <c r="E474" s="303" t="s">
        <v>2218</v>
      </c>
      <c r="F474" s="685" t="s">
        <v>759</v>
      </c>
      <c r="G474" s="337" t="s">
        <v>78</v>
      </c>
      <c r="H474" s="303" t="s">
        <v>279</v>
      </c>
      <c r="I474" s="307">
        <v>9002071364</v>
      </c>
      <c r="J474" s="703">
        <v>8170034455</v>
      </c>
      <c r="K474" s="307" t="s">
        <v>253</v>
      </c>
      <c r="L474" s="398" t="s">
        <v>331</v>
      </c>
      <c r="M474" s="921">
        <v>31871</v>
      </c>
      <c r="N474" s="315">
        <v>53812</v>
      </c>
      <c r="O474" s="278">
        <v>45850</v>
      </c>
      <c r="P474" s="278">
        <v>45608</v>
      </c>
      <c r="Q474" s="272">
        <v>45563</v>
      </c>
      <c r="R474" s="285"/>
      <c r="S474" s="285"/>
      <c r="T474" s="339" t="s">
        <v>2219</v>
      </c>
      <c r="U474" s="339" t="s">
        <v>2219</v>
      </c>
      <c r="V474" s="425">
        <f>LEN(D474)</f>
        <v>11</v>
      </c>
      <c r="W474" s="90"/>
      <c r="X474" s="90"/>
      <c r="Y474" s="90"/>
      <c r="AB474" s="311">
        <f ca="1">INT((TODAY()-M474)/365)</f>
        <v>38</v>
      </c>
    </row>
    <row r="475" spans="1:39">
      <c r="A475" s="90"/>
      <c r="B475" s="1249"/>
      <c r="C475" s="89"/>
      <c r="F475" s="90"/>
      <c r="I475" s="90"/>
      <c r="J475" s="90"/>
      <c r="L475" s="90"/>
    </row>
    <row r="476" spans="1:39">
      <c r="A476" s="90"/>
      <c r="B476" s="1198" t="s">
        <v>2220</v>
      </c>
      <c r="C476" s="89"/>
      <c r="F476" s="90"/>
      <c r="I476" s="90"/>
      <c r="J476" s="90"/>
      <c r="L476" s="90"/>
    </row>
    <row r="477" spans="1:39">
      <c r="A477" s="574">
        <v>16</v>
      </c>
      <c r="B477" s="579" t="s">
        <v>2221</v>
      </c>
      <c r="C477" s="574" t="s">
        <v>12</v>
      </c>
      <c r="D477" s="3"/>
      <c r="E477" s="3"/>
      <c r="F477" s="574" t="s">
        <v>23</v>
      </c>
      <c r="G477" s="476">
        <v>23559</v>
      </c>
      <c r="H477" s="476">
        <v>45504</v>
      </c>
      <c r="I477" s="18">
        <v>6289820421</v>
      </c>
      <c r="J477" s="18" t="s">
        <v>76</v>
      </c>
      <c r="K477" s="90"/>
      <c r="L477" s="206"/>
      <c r="M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  <c r="AA477" s="206"/>
      <c r="AB477" s="206"/>
      <c r="AC477" s="206"/>
      <c r="AD477" s="206"/>
      <c r="AE477" s="206"/>
      <c r="AF477" s="206"/>
      <c r="AG477" s="206"/>
      <c r="AH477" s="206"/>
      <c r="AI477" s="206"/>
      <c r="AJ477" s="206"/>
      <c r="AK477" s="206"/>
      <c r="AL477" s="206"/>
      <c r="AM477" s="206"/>
    </row>
    <row r="478" spans="1:39" ht="15.75" customHeight="1">
      <c r="A478" s="1191">
        <v>8</v>
      </c>
      <c r="B478" s="293" t="s">
        <v>2222</v>
      </c>
      <c r="C478" s="275" t="s">
        <v>31</v>
      </c>
      <c r="D478" s="391">
        <v>27510320726</v>
      </c>
      <c r="E478" s="284" t="s">
        <v>2223</v>
      </c>
      <c r="F478" s="284" t="s">
        <v>759</v>
      </c>
      <c r="G478" s="306" t="s">
        <v>77</v>
      </c>
      <c r="H478" s="274" t="s">
        <v>279</v>
      </c>
      <c r="I478" s="284">
        <v>9002071231</v>
      </c>
      <c r="J478" s="306">
        <v>9002071231</v>
      </c>
      <c r="K478" s="275" t="s">
        <v>330</v>
      </c>
      <c r="L478" s="18" t="s">
        <v>55</v>
      </c>
      <c r="M478" s="289">
        <v>23549</v>
      </c>
      <c r="N478" s="289">
        <v>45473</v>
      </c>
      <c r="O478" s="272">
        <v>45148</v>
      </c>
      <c r="P478" s="279">
        <v>45487</v>
      </c>
      <c r="Q478" s="272">
        <v>45563</v>
      </c>
      <c r="T478" s="310" t="s">
        <v>2224</v>
      </c>
      <c r="U478" s="310" t="s">
        <v>2225</v>
      </c>
      <c r="V478" s="388">
        <f t="shared" ref="V478:V479" ca="1" si="85">INT((TODAY()-M478)/365)</f>
        <v>61</v>
      </c>
      <c r="W478" s="311"/>
      <c r="X478" s="311"/>
      <c r="Y478" s="311"/>
      <c r="Z478" s="311"/>
      <c r="AA478" s="311"/>
      <c r="AB478" s="311"/>
      <c r="AC478" s="311"/>
      <c r="AD478" s="311"/>
      <c r="AE478" s="311"/>
      <c r="AF478" s="311"/>
      <c r="AG478" s="311"/>
      <c r="AH478" s="311"/>
      <c r="AI478" s="311"/>
      <c r="AJ478" s="311"/>
      <c r="AK478" s="311"/>
      <c r="AL478" s="311"/>
    </row>
    <row r="479" spans="1:39" ht="15.75" customHeight="1">
      <c r="A479" s="1191">
        <v>11</v>
      </c>
      <c r="B479" s="293" t="s">
        <v>2226</v>
      </c>
      <c r="C479" s="275" t="s">
        <v>31</v>
      </c>
      <c r="D479" s="488">
        <v>50212108870</v>
      </c>
      <c r="E479" s="303" t="s">
        <v>2227</v>
      </c>
      <c r="F479" s="284" t="s">
        <v>759</v>
      </c>
      <c r="G479" s="385" t="s">
        <v>76</v>
      </c>
      <c r="H479" s="274" t="s">
        <v>279</v>
      </c>
      <c r="I479" s="275">
        <v>9002071832</v>
      </c>
      <c r="J479" s="539">
        <v>9002071832</v>
      </c>
      <c r="K479" s="275" t="s">
        <v>330</v>
      </c>
      <c r="L479" s="274" t="s">
        <v>342</v>
      </c>
      <c r="M479" s="272">
        <v>23538</v>
      </c>
      <c r="N479" s="272">
        <v>45473</v>
      </c>
      <c r="O479" s="272">
        <v>45107</v>
      </c>
      <c r="P479" s="279">
        <v>45527</v>
      </c>
      <c r="Q479" s="279">
        <v>45450</v>
      </c>
      <c r="T479" s="310" t="s">
        <v>2228</v>
      </c>
      <c r="U479" s="310" t="s">
        <v>2229</v>
      </c>
      <c r="V479" s="388">
        <f t="shared" ca="1" si="85"/>
        <v>61</v>
      </c>
      <c r="W479" s="311"/>
      <c r="X479" s="311"/>
      <c r="Y479" s="311"/>
      <c r="Z479" s="311"/>
      <c r="AA479" s="311"/>
      <c r="AB479" s="311"/>
      <c r="AC479" s="311"/>
      <c r="AD479" s="311"/>
      <c r="AE479" s="311"/>
      <c r="AF479" s="311"/>
      <c r="AG479" s="311"/>
      <c r="AH479" s="311"/>
      <c r="AI479" s="311"/>
      <c r="AJ479" s="311"/>
      <c r="AK479" s="311"/>
      <c r="AL479" s="311"/>
    </row>
    <row r="480" spans="1:39">
      <c r="A480" s="18">
        <v>1</v>
      </c>
      <c r="B480" s="474" t="s">
        <v>2230</v>
      </c>
      <c r="C480" s="18" t="s">
        <v>137</v>
      </c>
      <c r="D480" s="3"/>
      <c r="E480" s="475" t="s">
        <v>2231</v>
      </c>
      <c r="F480" s="18" t="s">
        <v>447</v>
      </c>
      <c r="G480" s="476">
        <v>23554</v>
      </c>
      <c r="H480" s="476">
        <v>45473</v>
      </c>
      <c r="I480" s="303" t="s">
        <v>315</v>
      </c>
      <c r="J480" s="18" t="s">
        <v>76</v>
      </c>
      <c r="K480" s="90"/>
      <c r="O480" s="847"/>
      <c r="P480" s="207"/>
    </row>
    <row r="481" spans="1:38" ht="15.75" customHeight="1">
      <c r="A481" s="18">
        <v>19</v>
      </c>
      <c r="B481" s="305" t="s">
        <v>2232</v>
      </c>
      <c r="C481" s="307" t="s">
        <v>31</v>
      </c>
      <c r="D481" s="675">
        <v>50205420880</v>
      </c>
      <c r="E481" s="674" t="s">
        <v>2233</v>
      </c>
      <c r="F481" s="306" t="s">
        <v>440</v>
      </c>
      <c r="G481" s="921">
        <v>26551</v>
      </c>
      <c r="H481" s="315">
        <v>48487</v>
      </c>
      <c r="I481" s="307" t="s">
        <v>253</v>
      </c>
      <c r="J481" s="703" t="s">
        <v>78</v>
      </c>
      <c r="K481" s="307" t="s">
        <v>253</v>
      </c>
      <c r="L481" s="307" t="s">
        <v>1016</v>
      </c>
      <c r="M481" s="921">
        <v>26551</v>
      </c>
      <c r="N481" s="315">
        <v>48487</v>
      </c>
      <c r="O481" s="278"/>
      <c r="P481" s="279">
        <v>45212</v>
      </c>
      <c r="Q481" s="302">
        <v>45177</v>
      </c>
      <c r="R481" s="285"/>
      <c r="S481" s="285"/>
      <c r="T481" s="318" t="s">
        <v>2234</v>
      </c>
      <c r="U481" s="318" t="s">
        <v>2234</v>
      </c>
      <c r="V481" s="285">
        <f>LEN(D481)</f>
        <v>11</v>
      </c>
      <c r="W481" s="3"/>
      <c r="X481" s="3"/>
      <c r="Y481" s="3"/>
      <c r="Z481" s="79"/>
      <c r="AA481" s="79"/>
      <c r="AB481" s="311">
        <f t="shared" ref="AB481:AB482" ca="1" si="86">INT((TODAY()-M481)/365)</f>
        <v>53</v>
      </c>
    </row>
    <row r="482" spans="1:38" ht="15.75" customHeight="1">
      <c r="A482" s="974">
        <v>8</v>
      </c>
      <c r="B482" s="301" t="s">
        <v>2235</v>
      </c>
      <c r="C482" s="323" t="s">
        <v>14</v>
      </c>
      <c r="D482" s="306">
        <v>50204768711</v>
      </c>
      <c r="E482" s="582" t="s">
        <v>2236</v>
      </c>
      <c r="F482" s="274" t="s">
        <v>759</v>
      </c>
      <c r="G482" s="284" t="s">
        <v>76</v>
      </c>
      <c r="H482" s="284" t="s">
        <v>279</v>
      </c>
      <c r="I482" s="391">
        <v>9002071678</v>
      </c>
      <c r="J482" s="391">
        <v>9002071678</v>
      </c>
      <c r="K482" s="274" t="s">
        <v>253</v>
      </c>
      <c r="L482" s="274" t="s">
        <v>1839</v>
      </c>
      <c r="M482" s="289">
        <v>24568</v>
      </c>
      <c r="N482" s="289">
        <v>46507</v>
      </c>
      <c r="O482" s="392">
        <v>45108</v>
      </c>
      <c r="P482" s="272">
        <v>45705</v>
      </c>
      <c r="Q482" s="302">
        <v>45705</v>
      </c>
      <c r="R482" s="482"/>
      <c r="S482" s="482"/>
      <c r="T482" s="1016" t="s">
        <v>2237</v>
      </c>
      <c r="U482" s="1250" t="s">
        <v>1269</v>
      </c>
      <c r="V482" s="384">
        <f>LEN(TEXT(D482,0))</f>
        <v>11</v>
      </c>
      <c r="W482" s="1186">
        <v>43242</v>
      </c>
      <c r="Y482" s="563"/>
      <c r="Z482" s="197" t="s">
        <v>84</v>
      </c>
      <c r="AA482" s="384"/>
      <c r="AB482" s="208">
        <f t="shared" ca="1" si="86"/>
        <v>58</v>
      </c>
      <c r="AC482" s="384"/>
      <c r="AD482" s="384"/>
      <c r="AE482" s="384"/>
      <c r="AF482" s="384"/>
      <c r="AG482" s="384"/>
      <c r="AH482" s="384"/>
      <c r="AI482" s="384"/>
      <c r="AJ482" s="384"/>
      <c r="AK482" s="384"/>
      <c r="AL482" s="384"/>
    </row>
    <row r="483" spans="1:38">
      <c r="A483" s="231">
        <v>6</v>
      </c>
      <c r="B483" s="232" t="s">
        <v>2238</v>
      </c>
      <c r="C483" s="233" t="s">
        <v>77</v>
      </c>
      <c r="D483" s="234" t="s">
        <v>137</v>
      </c>
      <c r="E483" s="235">
        <v>5783045</v>
      </c>
      <c r="F483" s="233" t="s">
        <v>2239</v>
      </c>
      <c r="G483" s="236">
        <v>45473</v>
      </c>
      <c r="H483" s="233" t="s">
        <v>2240</v>
      </c>
      <c r="I483" s="233" t="s">
        <v>2241</v>
      </c>
      <c r="J483" s="237" t="s">
        <v>146</v>
      </c>
      <c r="K483" s="238" t="s">
        <v>142</v>
      </c>
      <c r="L483" s="239"/>
    </row>
    <row r="484" spans="1:38">
      <c r="A484" s="231">
        <v>11</v>
      </c>
      <c r="B484" s="232" t="s">
        <v>2242</v>
      </c>
      <c r="C484" s="233" t="s">
        <v>76</v>
      </c>
      <c r="D484" s="234" t="s">
        <v>137</v>
      </c>
      <c r="E484" s="235">
        <v>937880</v>
      </c>
      <c r="F484" s="233" t="s">
        <v>2243</v>
      </c>
      <c r="G484" s="236">
        <v>45473</v>
      </c>
      <c r="H484" s="233" t="s">
        <v>2244</v>
      </c>
      <c r="I484" s="233" t="s">
        <v>2245</v>
      </c>
      <c r="J484" s="237" t="s">
        <v>146</v>
      </c>
      <c r="K484" s="238" t="s">
        <v>142</v>
      </c>
      <c r="L484" s="239"/>
    </row>
    <row r="485" spans="1:38">
      <c r="A485" s="90"/>
      <c r="C485" s="89"/>
      <c r="F485" s="90"/>
      <c r="I485" s="90"/>
      <c r="J485" s="90"/>
      <c r="L485" s="90"/>
    </row>
    <row r="486" spans="1:38" ht="29.25" customHeight="1">
      <c r="A486" s="1251">
        <v>34</v>
      </c>
      <c r="B486" s="1233" t="s">
        <v>2246</v>
      </c>
      <c r="C486" s="1176" t="s">
        <v>22</v>
      </c>
      <c r="D486" s="1252">
        <v>50205679096</v>
      </c>
      <c r="E486" s="1172" t="s">
        <v>986</v>
      </c>
      <c r="F486" s="1253" t="s">
        <v>759</v>
      </c>
      <c r="G486" s="1172" t="s">
        <v>76</v>
      </c>
      <c r="H486" s="1176"/>
      <c r="I486" s="1176">
        <v>7001094480</v>
      </c>
      <c r="J486" s="1176"/>
      <c r="K486" s="1176" t="s">
        <v>290</v>
      </c>
      <c r="L486" s="1172" t="s">
        <v>102</v>
      </c>
      <c r="M486" s="1228">
        <v>32883</v>
      </c>
      <c r="N486" s="1228">
        <v>54819</v>
      </c>
      <c r="O486" s="1254">
        <v>45121</v>
      </c>
      <c r="P486" s="1228">
        <v>46106</v>
      </c>
      <c r="Q486" s="1255">
        <v>45977</v>
      </c>
      <c r="R486" s="1256" t="s">
        <v>2247</v>
      </c>
      <c r="S486" s="1257"/>
      <c r="T486" s="1257"/>
      <c r="U486" s="1257"/>
      <c r="V486" s="1178">
        <f>LEN(D486)</f>
        <v>11</v>
      </c>
      <c r="W486" s="1185"/>
      <c r="X486" s="1258">
        <f ca="1">INT((TODAY()-M486)/365)</f>
        <v>36</v>
      </c>
      <c r="Y486" s="1184"/>
      <c r="Z486" s="1184"/>
      <c r="AA486" s="1184"/>
      <c r="AB486" s="1184"/>
      <c r="AC486" s="1184"/>
      <c r="AD486" s="1184"/>
      <c r="AE486" s="1184"/>
      <c r="AF486" s="1184"/>
      <c r="AG486" s="1184"/>
      <c r="AH486" s="1184"/>
      <c r="AI486" s="1184"/>
      <c r="AJ486" s="1184"/>
      <c r="AK486" s="1184"/>
      <c r="AL486" s="1184"/>
    </row>
    <row r="487" spans="1:38">
      <c r="A487" s="90"/>
      <c r="C487" s="89"/>
      <c r="F487" s="90"/>
      <c r="I487" s="90"/>
      <c r="J487" s="90"/>
      <c r="L487" s="90"/>
    </row>
    <row r="488" spans="1:38">
      <c r="A488" s="90"/>
      <c r="C488" s="89"/>
      <c r="F488" s="90"/>
      <c r="I488" s="90"/>
      <c r="J488" s="90"/>
      <c r="L488" s="90"/>
    </row>
    <row r="489" spans="1:38">
      <c r="A489" s="90"/>
      <c r="B489" s="1198" t="s">
        <v>2248</v>
      </c>
      <c r="C489" s="89"/>
      <c r="F489" s="90"/>
      <c r="I489" s="90"/>
      <c r="J489" s="90"/>
      <c r="L489" s="90"/>
    </row>
    <row r="490" spans="1:38" ht="15.75">
      <c r="A490" s="1066">
        <v>2</v>
      </c>
      <c r="B490" s="351" t="s">
        <v>2249</v>
      </c>
      <c r="C490" s="391" t="s">
        <v>14</v>
      </c>
      <c r="D490" s="306">
        <v>50205384618</v>
      </c>
      <c r="E490" s="18" t="s">
        <v>2250</v>
      </c>
      <c r="F490" s="274" t="s">
        <v>759</v>
      </c>
      <c r="G490" s="284" t="s">
        <v>76</v>
      </c>
      <c r="H490" s="284" t="s">
        <v>279</v>
      </c>
      <c r="I490" s="351">
        <v>9002071698</v>
      </c>
      <c r="J490" s="284">
        <v>9836260462</v>
      </c>
      <c r="K490" s="351" t="s">
        <v>334</v>
      </c>
      <c r="L490" s="1259" t="s">
        <v>103</v>
      </c>
      <c r="M490" s="390">
        <v>23569</v>
      </c>
      <c r="N490" s="289">
        <f>IF(ISBLANK(M490),"", DATE(YEAR(M490)+60,MONTH(M490),DAY(EOMONTH(M490,0))))</f>
        <v>45504</v>
      </c>
      <c r="O490" s="392">
        <v>45192</v>
      </c>
      <c r="P490" s="272">
        <v>45537</v>
      </c>
      <c r="Q490" s="272">
        <v>45563</v>
      </c>
      <c r="R490" s="482"/>
      <c r="S490" s="393"/>
      <c r="T490" s="394" t="s">
        <v>2251</v>
      </c>
      <c r="U490" s="394" t="s">
        <v>2252</v>
      </c>
      <c r="V490" s="383">
        <f>LEN(TEXT(D490,0))</f>
        <v>11</v>
      </c>
      <c r="W490" s="583">
        <v>44119</v>
      </c>
      <c r="X490" s="79"/>
      <c r="Y490" s="395"/>
      <c r="Z490" s="286" t="s">
        <v>84</v>
      </c>
      <c r="AA490" s="625" t="s">
        <v>2253</v>
      </c>
      <c r="AB490" s="208">
        <f t="shared" ref="AB490:AB492" ca="1" si="87">INT((TODAY()-M490)/365)</f>
        <v>61</v>
      </c>
      <c r="AC490" s="384"/>
      <c r="AD490" s="384"/>
      <c r="AE490" s="384"/>
      <c r="AF490" s="384"/>
      <c r="AG490" s="384"/>
      <c r="AH490" s="384"/>
      <c r="AI490" s="384"/>
      <c r="AJ490" s="384"/>
      <c r="AK490" s="384"/>
      <c r="AL490" s="384"/>
    </row>
    <row r="491" spans="1:38" ht="15.75" customHeight="1">
      <c r="A491" s="937">
        <v>21</v>
      </c>
      <c r="B491" s="276" t="s">
        <v>2254</v>
      </c>
      <c r="C491" s="307" t="s">
        <v>21</v>
      </c>
      <c r="D491" s="677">
        <v>50205522699</v>
      </c>
      <c r="E491" s="683" t="s">
        <v>2255</v>
      </c>
      <c r="F491" s="946" t="s">
        <v>759</v>
      </c>
      <c r="G491" s="875" t="s">
        <v>76</v>
      </c>
      <c r="H491" s="307"/>
      <c r="I491" s="307">
        <v>9002079069</v>
      </c>
      <c r="J491" s="307">
        <v>9002079069</v>
      </c>
      <c r="K491" s="274" t="s">
        <v>253</v>
      </c>
      <c r="L491" s="274" t="s">
        <v>103</v>
      </c>
      <c r="M491" s="278">
        <v>23575</v>
      </c>
      <c r="N491" s="315">
        <v>45504</v>
      </c>
      <c r="O491" s="278">
        <v>45155</v>
      </c>
      <c r="P491" s="278">
        <v>45562</v>
      </c>
      <c r="Q491" s="387">
        <v>45328</v>
      </c>
      <c r="R491" s="430"/>
      <c r="S491" s="339" t="s">
        <v>2256</v>
      </c>
      <c r="T491" s="441" t="s">
        <v>1269</v>
      </c>
      <c r="U491" s="430"/>
      <c r="V491" s="425"/>
      <c r="W491" s="90"/>
      <c r="X491" s="90"/>
      <c r="Y491" s="90"/>
      <c r="AB491" s="311">
        <f t="shared" ca="1" si="87"/>
        <v>61</v>
      </c>
    </row>
    <row r="492" spans="1:38" ht="15.75" customHeight="1">
      <c r="A492" s="898">
        <v>88</v>
      </c>
      <c r="B492" s="276" t="s">
        <v>2257</v>
      </c>
      <c r="C492" s="307" t="s">
        <v>31</v>
      </c>
      <c r="D492" s="677">
        <v>50205384515</v>
      </c>
      <c r="E492" s="303" t="s">
        <v>2258</v>
      </c>
      <c r="F492" s="685" t="s">
        <v>759</v>
      </c>
      <c r="G492" s="337" t="s">
        <v>76</v>
      </c>
      <c r="H492" s="303" t="s">
        <v>266</v>
      </c>
      <c r="I492" s="703">
        <v>9002071740</v>
      </c>
      <c r="J492" s="703">
        <v>9002071740</v>
      </c>
      <c r="K492" s="307" t="s">
        <v>253</v>
      </c>
      <c r="L492" s="537" t="s">
        <v>48</v>
      </c>
      <c r="M492" s="278">
        <v>23587</v>
      </c>
      <c r="N492" s="315">
        <v>45504</v>
      </c>
      <c r="O492" s="278">
        <v>45146</v>
      </c>
      <c r="P492" s="921">
        <v>42316</v>
      </c>
      <c r="Q492" s="302">
        <v>45481</v>
      </c>
      <c r="R492" s="285"/>
      <c r="S492" s="285"/>
      <c r="T492" s="318" t="s">
        <v>2259</v>
      </c>
      <c r="U492" s="318" t="s">
        <v>2259</v>
      </c>
      <c r="V492" s="285">
        <f>LEN(D492)</f>
        <v>11</v>
      </c>
      <c r="W492" s="90"/>
      <c r="X492" s="3"/>
      <c r="Y492" s="3"/>
      <c r="Z492" s="79"/>
      <c r="AA492" s="79"/>
      <c r="AB492" s="382">
        <f t="shared" ca="1" si="87"/>
        <v>61</v>
      </c>
      <c r="AC492" s="79"/>
      <c r="AD492" s="79"/>
      <c r="AE492" s="79"/>
    </row>
    <row r="493" spans="1:38" ht="15.75" customHeight="1">
      <c r="A493" s="936">
        <v>86</v>
      </c>
      <c r="B493" s="293" t="s">
        <v>2260</v>
      </c>
      <c r="C493" s="275" t="s">
        <v>31</v>
      </c>
      <c r="D493" s="604">
        <v>50212087221</v>
      </c>
      <c r="E493" s="274" t="s">
        <v>2261</v>
      </c>
      <c r="F493" s="274" t="s">
        <v>759</v>
      </c>
      <c r="G493" s="274" t="s">
        <v>77</v>
      </c>
      <c r="H493" s="274" t="s">
        <v>279</v>
      </c>
      <c r="I493" s="275">
        <v>9002071290</v>
      </c>
      <c r="J493" s="275"/>
      <c r="K493" s="275" t="s">
        <v>261</v>
      </c>
      <c r="L493" s="275" t="s">
        <v>102</v>
      </c>
      <c r="M493" s="289">
        <v>23575</v>
      </c>
      <c r="N493" s="289">
        <v>45504</v>
      </c>
      <c r="O493" s="272">
        <v>45125</v>
      </c>
      <c r="P493" s="279">
        <v>45720</v>
      </c>
      <c r="Q493" s="272">
        <v>45537</v>
      </c>
      <c r="R493" s="294"/>
      <c r="S493" s="295"/>
      <c r="T493" s="296" t="s">
        <v>2262</v>
      </c>
      <c r="U493" s="296" t="s">
        <v>2263</v>
      </c>
      <c r="V493" s="297">
        <f>LEN(TEXT(D493,0))</f>
        <v>11</v>
      </c>
      <c r="W493" s="208">
        <f ca="1">INT((TODAY()-M493)/365)</f>
        <v>61</v>
      </c>
      <c r="X493" s="298"/>
      <c r="Y493" s="298"/>
      <c r="Z493" s="298"/>
      <c r="AA493" s="298"/>
      <c r="AB493" s="298"/>
      <c r="AC493" s="298"/>
      <c r="AD493" s="298"/>
      <c r="AE493" s="298"/>
      <c r="AF493" s="298"/>
      <c r="AG493" s="298"/>
      <c r="AH493" s="298"/>
      <c r="AI493" s="298"/>
      <c r="AJ493" s="298"/>
      <c r="AK493" s="298"/>
      <c r="AL493" s="298"/>
    </row>
    <row r="494" spans="1:38" ht="15.75" customHeight="1">
      <c r="A494" s="898">
        <v>120</v>
      </c>
      <c r="B494" s="276" t="s">
        <v>2264</v>
      </c>
      <c r="C494" s="307" t="s">
        <v>31</v>
      </c>
      <c r="D494" s="677">
        <v>50205331730</v>
      </c>
      <c r="E494" s="1149" t="s">
        <v>2265</v>
      </c>
      <c r="F494" s="685" t="s">
        <v>759</v>
      </c>
      <c r="G494" s="337" t="s">
        <v>76</v>
      </c>
      <c r="H494" s="303" t="s">
        <v>279</v>
      </c>
      <c r="I494" s="645">
        <v>9002071647</v>
      </c>
      <c r="J494" s="307"/>
      <c r="K494" s="307" t="s">
        <v>253</v>
      </c>
      <c r="L494" s="1260" t="s">
        <v>299</v>
      </c>
      <c r="M494" s="278">
        <v>23565</v>
      </c>
      <c r="N494" s="278">
        <v>45504</v>
      </c>
      <c r="O494" s="278">
        <v>45136</v>
      </c>
      <c r="P494" s="278">
        <v>45891</v>
      </c>
      <c r="Q494" s="272">
        <v>45847</v>
      </c>
      <c r="R494" s="285"/>
      <c r="S494" s="285"/>
      <c r="T494" s="318" t="s">
        <v>2266</v>
      </c>
      <c r="U494" s="318" t="s">
        <v>2266</v>
      </c>
      <c r="V494" s="285"/>
      <c r="W494" s="90"/>
      <c r="X494" s="3"/>
      <c r="Y494" s="3"/>
      <c r="Z494" s="79"/>
      <c r="AA494" s="79"/>
      <c r="AB494" s="382">
        <f t="shared" ref="AB494:AB495" ca="1" si="88">INT((TODAY()-M494)/365)</f>
        <v>61</v>
      </c>
      <c r="AC494" s="382"/>
      <c r="AD494" s="382"/>
      <c r="AE494" s="382"/>
      <c r="AF494" s="382"/>
      <c r="AG494" s="382"/>
      <c r="AH494" s="382"/>
      <c r="AI494" s="311"/>
      <c r="AJ494" s="311"/>
      <c r="AK494" s="311"/>
      <c r="AL494" s="311"/>
    </row>
    <row r="495" spans="1:38" ht="15.75" customHeight="1">
      <c r="A495" s="937">
        <v>35</v>
      </c>
      <c r="B495" s="276" t="s">
        <v>2267</v>
      </c>
      <c r="C495" s="307" t="s">
        <v>21</v>
      </c>
      <c r="D495" s="677">
        <v>50205336375</v>
      </c>
      <c r="E495" s="860" t="s">
        <v>2268</v>
      </c>
      <c r="F495" s="685" t="s">
        <v>759</v>
      </c>
      <c r="G495" s="875" t="s">
        <v>76</v>
      </c>
      <c r="H495" s="307"/>
      <c r="I495" s="307">
        <v>9002071867</v>
      </c>
      <c r="J495" s="307"/>
      <c r="K495" s="274" t="s">
        <v>253</v>
      </c>
      <c r="L495" s="274" t="s">
        <v>102</v>
      </c>
      <c r="M495" s="315">
        <v>23571</v>
      </c>
      <c r="N495" s="315">
        <v>45504</v>
      </c>
      <c r="O495" s="315">
        <v>45168</v>
      </c>
      <c r="P495" s="279">
        <v>45204</v>
      </c>
      <c r="Q495" s="387">
        <v>45125</v>
      </c>
      <c r="R495" s="425"/>
      <c r="S495" s="339" t="s">
        <v>2269</v>
      </c>
      <c r="T495" s="425"/>
      <c r="U495" s="425"/>
      <c r="V495" s="425"/>
      <c r="W495" s="90"/>
      <c r="X495" s="90"/>
      <c r="Y495" s="90"/>
      <c r="AB495" s="311">
        <f t="shared" ca="1" si="88"/>
        <v>61</v>
      </c>
      <c r="AC495" s="311"/>
      <c r="AD495" s="311"/>
      <c r="AE495" s="311"/>
      <c r="AF495" s="311"/>
      <c r="AG495" s="311"/>
      <c r="AH495" s="311"/>
      <c r="AI495" s="311"/>
      <c r="AJ495" s="311"/>
      <c r="AK495" s="311"/>
      <c r="AL495" s="311"/>
    </row>
    <row r="496" spans="1:38" ht="15.75">
      <c r="A496" s="656">
        <v>2</v>
      </c>
      <c r="B496" s="276" t="s">
        <v>2270</v>
      </c>
      <c r="C496" s="1261" t="s">
        <v>14</v>
      </c>
      <c r="D496" s="677">
        <v>50210291520</v>
      </c>
      <c r="E496" s="18" t="s">
        <v>2271</v>
      </c>
      <c r="F496" s="970" t="s">
        <v>759</v>
      </c>
      <c r="G496" s="1165" t="s">
        <v>76</v>
      </c>
      <c r="H496" s="303" t="s">
        <v>279</v>
      </c>
      <c r="I496" s="307">
        <v>9002071564</v>
      </c>
      <c r="J496" s="690"/>
      <c r="K496" s="307" t="s">
        <v>253</v>
      </c>
      <c r="L496" s="303" t="s">
        <v>331</v>
      </c>
      <c r="M496" s="278">
        <v>23579</v>
      </c>
      <c r="N496" s="278">
        <v>45504</v>
      </c>
      <c r="O496" s="278">
        <v>45141</v>
      </c>
      <c r="P496" s="278">
        <v>45835</v>
      </c>
      <c r="Q496" s="302">
        <v>45369</v>
      </c>
      <c r="R496" s="449" t="s">
        <v>313</v>
      </c>
      <c r="S496" s="1061"/>
      <c r="T496" s="285"/>
      <c r="U496" s="318" t="s">
        <v>2272</v>
      </c>
      <c r="V496" s="285"/>
      <c r="W496" s="285">
        <f>LEN(TEXT(D496,0))</f>
        <v>11</v>
      </c>
      <c r="X496" s="532">
        <v>44116</v>
      </c>
      <c r="Y496" s="3"/>
      <c r="Z496" s="3"/>
      <c r="AA496" s="286" t="s">
        <v>84</v>
      </c>
      <c r="AB496" s="79"/>
      <c r="AC496" s="382">
        <f ca="1">INT((TODAY()-M496)/365)</f>
        <v>61</v>
      </c>
      <c r="AD496" s="199"/>
      <c r="AE496" s="199"/>
      <c r="AF496" s="199"/>
      <c r="AG496" s="199"/>
      <c r="AH496" s="199"/>
      <c r="AI496" s="199"/>
      <c r="AJ496" s="199"/>
      <c r="AK496" s="199"/>
      <c r="AL496" s="199"/>
    </row>
    <row r="497" spans="1:39" ht="15.75" customHeight="1">
      <c r="A497" s="1001">
        <v>51</v>
      </c>
      <c r="B497" s="197" t="s">
        <v>2273</v>
      </c>
      <c r="C497" s="18" t="s">
        <v>31</v>
      </c>
      <c r="D497" s="536">
        <v>50205355400</v>
      </c>
      <c r="E497" s="475" t="s">
        <v>2274</v>
      </c>
      <c r="F497" s="685" t="s">
        <v>759</v>
      </c>
      <c r="G497" s="337" t="s">
        <v>76</v>
      </c>
      <c r="H497" s="303" t="s">
        <v>266</v>
      </c>
      <c r="I497" s="79"/>
      <c r="J497" s="18"/>
      <c r="K497" s="275" t="s">
        <v>330</v>
      </c>
      <c r="L497" s="274" t="s">
        <v>43</v>
      </c>
      <c r="M497" s="466">
        <v>23567</v>
      </c>
      <c r="N497" s="466">
        <v>45504</v>
      </c>
      <c r="O497" s="278"/>
      <c r="P497" s="279"/>
      <c r="Q497" s="424">
        <v>45898</v>
      </c>
      <c r="R497" s="425"/>
      <c r="S497" s="425"/>
      <c r="T497" s="441"/>
      <c r="U497" s="1262" t="s">
        <v>2275</v>
      </c>
      <c r="V497" s="425"/>
      <c r="W497" s="90"/>
      <c r="X497" s="90"/>
      <c r="Y497" s="90"/>
      <c r="AB497" s="311"/>
    </row>
    <row r="498" spans="1:39" ht="15.75" customHeight="1">
      <c r="A498" s="1263">
        <v>10</v>
      </c>
      <c r="B498" s="293" t="s">
        <v>2276</v>
      </c>
      <c r="C498" s="539" t="s">
        <v>21</v>
      </c>
      <c r="D498" s="488">
        <v>50205349023</v>
      </c>
      <c r="E498" s="1004" t="s">
        <v>2277</v>
      </c>
      <c r="F498" s="624" t="s">
        <v>759</v>
      </c>
      <c r="G498" s="385" t="s">
        <v>76</v>
      </c>
      <c r="H498" s="275"/>
      <c r="I498" s="275">
        <v>9002071789</v>
      </c>
      <c r="J498" s="306">
        <v>7595922031</v>
      </c>
      <c r="K498" s="275" t="s">
        <v>330</v>
      </c>
      <c r="L498" s="275" t="s">
        <v>103</v>
      </c>
      <c r="M498" s="272">
        <v>23583</v>
      </c>
      <c r="N498" s="272">
        <v>45504</v>
      </c>
      <c r="O498" s="272">
        <v>45139</v>
      </c>
      <c r="P498" s="315">
        <v>45340</v>
      </c>
      <c r="Q498" s="302">
        <v>45186</v>
      </c>
      <c r="R498" s="998"/>
      <c r="S498" s="486" t="s">
        <v>2278</v>
      </c>
      <c r="T498" s="485"/>
      <c r="U498" s="485"/>
      <c r="V498" s="1189">
        <f ca="1">INT((TODAY()-M498)/365)</f>
        <v>61</v>
      </c>
      <c r="W498" s="382"/>
      <c r="X498" s="382"/>
      <c r="Y498" s="382"/>
      <c r="Z498" s="382"/>
      <c r="AA498" s="382"/>
      <c r="AB498" s="311"/>
      <c r="AC498" s="311"/>
      <c r="AD498" s="311"/>
      <c r="AE498" s="311"/>
      <c r="AF498" s="311"/>
      <c r="AG498" s="311"/>
      <c r="AH498" s="311"/>
      <c r="AI498" s="311"/>
      <c r="AJ498" s="311"/>
      <c r="AK498" s="311"/>
      <c r="AL498" s="311"/>
    </row>
    <row r="499" spans="1:39">
      <c r="A499" s="231">
        <v>7</v>
      </c>
      <c r="B499" s="1264" t="s">
        <v>2279</v>
      </c>
      <c r="C499" s="231" t="s">
        <v>76</v>
      </c>
      <c r="D499" s="234" t="s">
        <v>137</v>
      </c>
      <c r="E499" s="231">
        <v>9378959</v>
      </c>
      <c r="F499" s="231" t="s">
        <v>2280</v>
      </c>
      <c r="G499" s="1265">
        <v>45504</v>
      </c>
      <c r="H499" s="231" t="s">
        <v>2244</v>
      </c>
      <c r="I499" s="231" t="s">
        <v>2281</v>
      </c>
      <c r="J499" s="231" t="s">
        <v>146</v>
      </c>
      <c r="K499" s="238" t="s">
        <v>142</v>
      </c>
      <c r="L499" s="239"/>
    </row>
    <row r="500" spans="1:39">
      <c r="A500" s="231">
        <v>49</v>
      </c>
      <c r="B500" s="1266" t="s">
        <v>2282</v>
      </c>
      <c r="C500" s="274" t="s">
        <v>76</v>
      </c>
      <c r="D500" s="18" t="s">
        <v>137</v>
      </c>
      <c r="E500" s="209"/>
      <c r="F500" s="3"/>
      <c r="G500" s="167"/>
      <c r="H500" s="79"/>
      <c r="I500" s="79"/>
      <c r="J500" s="3"/>
      <c r="K500" s="3"/>
      <c r="L500" s="3"/>
    </row>
    <row r="501" spans="1:39">
      <c r="A501" s="90"/>
      <c r="C501" s="89"/>
      <c r="F501" s="90"/>
      <c r="I501" s="90"/>
      <c r="J501" s="90"/>
      <c r="L501" s="90"/>
    </row>
    <row r="502" spans="1:39">
      <c r="A502" s="90"/>
      <c r="B502" s="1198" t="s">
        <v>2283</v>
      </c>
      <c r="C502" s="89"/>
      <c r="F502" s="90"/>
      <c r="I502" s="90"/>
      <c r="J502" s="90"/>
      <c r="L502" s="90"/>
    </row>
    <row r="503" spans="1:39" ht="15.75" customHeight="1">
      <c r="A503" s="980">
        <v>27</v>
      </c>
      <c r="B503" s="301" t="s">
        <v>2284</v>
      </c>
      <c r="C503" s="303" t="s">
        <v>22</v>
      </c>
      <c r="D503" s="527">
        <v>50320140474</v>
      </c>
      <c r="E503" s="681" t="s">
        <v>2285</v>
      </c>
      <c r="F503" s="274" t="s">
        <v>759</v>
      </c>
      <c r="G503" s="284" t="s">
        <v>76</v>
      </c>
      <c r="H503" s="391"/>
      <c r="I503" s="284">
        <v>7980057763</v>
      </c>
      <c r="J503" s="284"/>
      <c r="K503" s="275" t="s">
        <v>315</v>
      </c>
      <c r="L503" s="275" t="s">
        <v>306</v>
      </c>
      <c r="M503" s="272">
        <v>30758</v>
      </c>
      <c r="N503" s="272">
        <v>52687</v>
      </c>
      <c r="O503" s="1267"/>
      <c r="P503" s="418">
        <v>45905</v>
      </c>
      <c r="Q503" s="302">
        <v>45741</v>
      </c>
      <c r="R503" s="1016" t="s">
        <v>2286</v>
      </c>
      <c r="S503" s="482"/>
      <c r="T503" s="1250"/>
      <c r="U503" s="482"/>
      <c r="V503" s="384"/>
      <c r="W503" s="563"/>
      <c r="Y503" s="90"/>
      <c r="AB503" s="311"/>
    </row>
    <row r="504" spans="1:39">
      <c r="A504" s="90"/>
      <c r="C504" s="89"/>
      <c r="F504" s="90"/>
      <c r="I504" s="90"/>
      <c r="J504" s="90"/>
      <c r="L504" s="90"/>
    </row>
    <row r="505" spans="1:39">
      <c r="A505" s="90"/>
      <c r="C505" s="89"/>
      <c r="F505" s="90"/>
      <c r="I505" s="90"/>
      <c r="J505" s="90"/>
      <c r="L505" s="90"/>
    </row>
    <row r="506" spans="1:39" ht="15.75" customHeight="1">
      <c r="A506" s="1268">
        <v>20</v>
      </c>
      <c r="B506" s="509" t="s">
        <v>2287</v>
      </c>
      <c r="C506" s="501" t="s">
        <v>31</v>
      </c>
      <c r="D506" s="510">
        <v>50200116555</v>
      </c>
      <c r="E506" s="499" t="s">
        <v>499</v>
      </c>
      <c r="F506" s="1269" t="s">
        <v>759</v>
      </c>
      <c r="G506" s="1270" t="s">
        <v>77</v>
      </c>
      <c r="H506" s="499" t="s">
        <v>279</v>
      </c>
      <c r="I506" s="501">
        <v>9002071000</v>
      </c>
      <c r="J506" s="501">
        <v>9002071000</v>
      </c>
      <c r="K506" s="484" t="s">
        <v>464</v>
      </c>
      <c r="L506" s="499" t="s">
        <v>115</v>
      </c>
      <c r="M506" s="511">
        <v>29256</v>
      </c>
      <c r="N506" s="512">
        <v>51195</v>
      </c>
      <c r="O506" s="513">
        <v>45232</v>
      </c>
      <c r="P506" s="503">
        <v>45720</v>
      </c>
      <c r="Q506" s="511">
        <v>45649</v>
      </c>
      <c r="R506" s="514"/>
      <c r="S506" s="515"/>
      <c r="T506" s="515"/>
      <c r="U506" s="516" t="s">
        <v>500</v>
      </c>
      <c r="V506" s="515">
        <f t="shared" ref="V506:V507" si="89">LEN(D506)</f>
        <v>11</v>
      </c>
      <c r="W506" s="508"/>
      <c r="X506" s="282">
        <f t="shared" ref="X506:X507" ca="1" si="90">INT((TODAY()-M506)/365)</f>
        <v>46</v>
      </c>
      <c r="Y506" s="507"/>
      <c r="Z506" s="507"/>
      <c r="AA506" s="507"/>
      <c r="AB506" s="508">
        <f ca="1">INT((TODAY()-M506)/365)</f>
        <v>46</v>
      </c>
      <c r="AC506" s="145"/>
      <c r="AD506" s="145"/>
      <c r="AE506" s="145"/>
      <c r="AF506" s="145"/>
      <c r="AG506" s="145"/>
      <c r="AH506" s="145"/>
      <c r="AI506" s="145"/>
      <c r="AJ506" s="145"/>
      <c r="AK506" s="145"/>
      <c r="AL506" s="145"/>
      <c r="AM506" s="145"/>
    </row>
    <row r="507" spans="1:39" ht="15.75" customHeight="1">
      <c r="A507" s="1167">
        <v>177</v>
      </c>
      <c r="B507" s="1222" t="s">
        <v>2288</v>
      </c>
      <c r="C507" s="1174" t="s">
        <v>31</v>
      </c>
      <c r="D507" s="1271">
        <v>50209776254</v>
      </c>
      <c r="E507" s="1174" t="s">
        <v>772</v>
      </c>
      <c r="F507" s="1272" t="s">
        <v>759</v>
      </c>
      <c r="G507" s="1174" t="s">
        <v>76</v>
      </c>
      <c r="H507" s="1172" t="s">
        <v>266</v>
      </c>
      <c r="I507" s="1176">
        <v>9002071699</v>
      </c>
      <c r="J507" s="1234">
        <v>9123363706</v>
      </c>
      <c r="K507" s="1172" t="s">
        <v>253</v>
      </c>
      <c r="L507" s="1172" t="s">
        <v>54</v>
      </c>
      <c r="M507" s="1228">
        <v>27081</v>
      </c>
      <c r="N507" s="1228">
        <v>49003</v>
      </c>
      <c r="O507" s="1228">
        <v>45457</v>
      </c>
      <c r="P507" s="1273">
        <v>45499</v>
      </c>
      <c r="Q507" s="1273">
        <v>45186</v>
      </c>
      <c r="R507" s="1274"/>
      <c r="S507" s="1230" t="s">
        <v>773</v>
      </c>
      <c r="T507" s="1230" t="s">
        <v>774</v>
      </c>
      <c r="U507" s="1275"/>
      <c r="V507" s="1275">
        <f t="shared" si="89"/>
        <v>11</v>
      </c>
      <c r="W507" s="1184"/>
      <c r="X507" s="1276">
        <f t="shared" ca="1" si="90"/>
        <v>52</v>
      </c>
      <c r="Y507" s="1277"/>
      <c r="Z507" s="1185"/>
      <c r="AA507" s="1185"/>
      <c r="AB507" s="1185"/>
      <c r="AC507" s="1185"/>
      <c r="AD507" s="1185"/>
      <c r="AE507" s="1185"/>
      <c r="AF507" s="1185"/>
      <c r="AG507" s="1185"/>
      <c r="AH507" s="1185"/>
      <c r="AI507" s="1185"/>
      <c r="AJ507" s="1185"/>
      <c r="AK507" s="1185"/>
      <c r="AL507" s="1185"/>
    </row>
    <row r="508" spans="1:39">
      <c r="A508" s="90"/>
      <c r="C508" s="89"/>
      <c r="F508" s="90"/>
      <c r="I508" s="90"/>
      <c r="J508" s="90"/>
      <c r="L508" s="90"/>
    </row>
    <row r="509" spans="1:39">
      <c r="A509" s="90"/>
      <c r="C509" s="89"/>
      <c r="F509" s="90"/>
      <c r="I509" s="90"/>
      <c r="J509" s="90"/>
      <c r="L509" s="90"/>
    </row>
    <row r="510" spans="1:39">
      <c r="A510" s="90"/>
      <c r="B510" s="1198" t="s">
        <v>2289</v>
      </c>
      <c r="C510" s="89"/>
      <c r="F510" s="90"/>
      <c r="I510" s="90"/>
      <c r="J510" s="90"/>
      <c r="L510" s="90"/>
    </row>
    <row r="511" spans="1:39">
      <c r="A511" s="574">
        <v>9</v>
      </c>
      <c r="B511" s="575" t="s">
        <v>2290</v>
      </c>
      <c r="C511" s="574" t="s">
        <v>36</v>
      </c>
      <c r="D511" s="576">
        <v>50205338979</v>
      </c>
      <c r="E511" s="18" t="s">
        <v>2291</v>
      </c>
      <c r="F511" s="574" t="s">
        <v>23</v>
      </c>
      <c r="G511" s="476">
        <v>23591</v>
      </c>
      <c r="H511" s="476">
        <v>45535</v>
      </c>
      <c r="I511" s="18">
        <v>9002071872</v>
      </c>
      <c r="J511" s="18" t="s">
        <v>76</v>
      </c>
      <c r="K511" s="90"/>
    </row>
    <row r="512" spans="1:39">
      <c r="A512" s="574">
        <v>12</v>
      </c>
      <c r="B512" s="575" t="s">
        <v>2292</v>
      </c>
      <c r="C512" s="574" t="s">
        <v>543</v>
      </c>
      <c r="D512" s="576">
        <v>50205326448</v>
      </c>
      <c r="E512" s="18" t="s">
        <v>2293</v>
      </c>
      <c r="F512" s="574" t="s">
        <v>23</v>
      </c>
      <c r="G512" s="476">
        <v>23607</v>
      </c>
      <c r="H512" s="476">
        <v>45535</v>
      </c>
      <c r="I512" s="18">
        <v>9002079693</v>
      </c>
      <c r="J512" s="18" t="s">
        <v>76</v>
      </c>
      <c r="K512" s="90"/>
    </row>
    <row r="513" spans="1:39" ht="15.75" customHeight="1">
      <c r="A513" s="574">
        <v>21</v>
      </c>
      <c r="B513" s="1278" t="s">
        <v>1514</v>
      </c>
      <c r="C513" s="581" t="s">
        <v>813</v>
      </c>
      <c r="D513" s="677">
        <v>50205349060</v>
      </c>
      <c r="E513" s="586" t="s">
        <v>2294</v>
      </c>
      <c r="F513" s="574" t="s">
        <v>23</v>
      </c>
      <c r="G513" s="278">
        <v>23621</v>
      </c>
      <c r="H513" s="315">
        <v>45535</v>
      </c>
      <c r="I513" s="307">
        <v>9002071198</v>
      </c>
      <c r="J513" s="337" t="s">
        <v>76</v>
      </c>
      <c r="K513" s="307" t="s">
        <v>253</v>
      </c>
      <c r="L513" s="307" t="s">
        <v>1144</v>
      </c>
      <c r="M513" s="79"/>
      <c r="O513" s="278">
        <v>44813</v>
      </c>
      <c r="P513" s="279">
        <v>45527</v>
      </c>
      <c r="Q513" s="302">
        <v>45397</v>
      </c>
      <c r="R513" s="285"/>
      <c r="S513" s="285"/>
      <c r="T513" s="318" t="s">
        <v>2295</v>
      </c>
      <c r="U513" s="318" t="s">
        <v>2295</v>
      </c>
      <c r="V513" s="285">
        <f t="shared" ref="V513:V514" si="91">LEN(D513)</f>
        <v>11</v>
      </c>
      <c r="W513" s="3"/>
      <c r="X513" s="3"/>
      <c r="Y513" s="3"/>
      <c r="Z513" s="79"/>
      <c r="AA513" s="79"/>
      <c r="AB513" s="311">
        <f ca="1">INT((TODAY()-G513)/365)</f>
        <v>61</v>
      </c>
    </row>
    <row r="514" spans="1:39" ht="15.75" customHeight="1">
      <c r="A514" s="18">
        <v>17</v>
      </c>
      <c r="B514" s="276" t="s">
        <v>2296</v>
      </c>
      <c r="C514" s="303" t="s">
        <v>31</v>
      </c>
      <c r="D514" s="677">
        <v>50205343161</v>
      </c>
      <c r="E514" s="970" t="s">
        <v>2297</v>
      </c>
      <c r="F514" s="18" t="s">
        <v>485</v>
      </c>
      <c r="G514" s="440">
        <v>23621</v>
      </c>
      <c r="H514" s="1102">
        <v>45535</v>
      </c>
      <c r="I514" s="275" t="s">
        <v>261</v>
      </c>
      <c r="J514" s="875" t="s">
        <v>76</v>
      </c>
      <c r="K514" s="275" t="s">
        <v>261</v>
      </c>
      <c r="L514" s="303" t="s">
        <v>1514</v>
      </c>
      <c r="M514" s="278">
        <v>23621</v>
      </c>
      <c r="N514" s="278">
        <v>45608</v>
      </c>
      <c r="O514" s="302">
        <v>45622</v>
      </c>
      <c r="Q514" s="307">
        <v>9002071108</v>
      </c>
      <c r="R514" s="982" t="s">
        <v>2298</v>
      </c>
      <c r="S514" s="318" t="s">
        <v>2299</v>
      </c>
      <c r="T514" s="317" t="s">
        <v>1269</v>
      </c>
      <c r="U514" s="285"/>
      <c r="V514" s="285">
        <f t="shared" si="91"/>
        <v>11</v>
      </c>
      <c r="W514" s="208">
        <f ca="1">INT((TODAY()-M514)/365)</f>
        <v>61</v>
      </c>
      <c r="X514" s="90"/>
      <c r="Y514" s="90"/>
      <c r="AH514" s="298"/>
      <c r="AI514" s="298"/>
      <c r="AJ514" s="298"/>
      <c r="AK514" s="298"/>
      <c r="AL514" s="298"/>
      <c r="AM514" s="298"/>
    </row>
    <row r="515" spans="1:39" ht="15.75" customHeight="1">
      <c r="A515" s="499">
        <v>1</v>
      </c>
      <c r="B515" s="542" t="s">
        <v>2300</v>
      </c>
      <c r="C515" s="1279" t="s">
        <v>14</v>
      </c>
      <c r="D515" s="543">
        <v>50204610155</v>
      </c>
      <c r="E515" s="1280" t="s">
        <v>2301</v>
      </c>
      <c r="F515" s="484" t="s">
        <v>759</v>
      </c>
      <c r="G515" s="520" t="s">
        <v>76</v>
      </c>
      <c r="H515" s="520" t="s">
        <v>279</v>
      </c>
      <c r="I515" s="547">
        <v>9002071109</v>
      </c>
      <c r="J515" s="520"/>
      <c r="K515" s="484" t="s">
        <v>253</v>
      </c>
      <c r="L515" s="496" t="s">
        <v>102</v>
      </c>
      <c r="M515" s="546">
        <v>23785</v>
      </c>
      <c r="N515" s="546">
        <f>IF(ISBLANK(M515),"", DATE(YEAR(M515)+60,MONTH(M515),DAY(EOMONTH(M515,0))))</f>
        <v>45716</v>
      </c>
      <c r="O515" s="1281">
        <v>45321</v>
      </c>
      <c r="P515" s="498">
        <v>45234</v>
      </c>
      <c r="Q515" s="498">
        <v>45873</v>
      </c>
      <c r="R515" s="549"/>
      <c r="S515" s="549"/>
      <c r="T515" s="550" t="s">
        <v>2302</v>
      </c>
      <c r="U515" s="550" t="s">
        <v>2302</v>
      </c>
      <c r="V515" s="551">
        <f>LEN(TEXT(D515,0))</f>
        <v>11</v>
      </c>
      <c r="W515" s="1282">
        <v>43243</v>
      </c>
      <c r="X515" s="522"/>
      <c r="Y515" s="552"/>
      <c r="Z515" s="587" t="s">
        <v>84</v>
      </c>
      <c r="AA515" s="551"/>
      <c r="AB515" s="208">
        <f ca="1">INT((TODAY()-M515)/365)</f>
        <v>61</v>
      </c>
      <c r="AC515" s="1283"/>
      <c r="AD515" s="1283"/>
      <c r="AE515" s="1283"/>
      <c r="AF515" s="1283"/>
      <c r="AG515" s="1283"/>
      <c r="AH515" s="1283"/>
      <c r="AI515" s="1283"/>
      <c r="AJ515" s="1283"/>
      <c r="AK515" s="1283"/>
      <c r="AL515" s="1283"/>
    </row>
    <row r="516" spans="1:39" ht="15.75" customHeight="1">
      <c r="A516" s="484">
        <v>55</v>
      </c>
      <c r="B516" s="293" t="s">
        <v>2303</v>
      </c>
      <c r="C516" s="275" t="s">
        <v>31</v>
      </c>
      <c r="D516" s="1284">
        <v>50212108716</v>
      </c>
      <c r="E516" s="421" t="s">
        <v>2304</v>
      </c>
      <c r="F516" s="137" t="s">
        <v>759</v>
      </c>
      <c r="G516" s="303" t="s">
        <v>76</v>
      </c>
      <c r="H516" s="274" t="s">
        <v>266</v>
      </c>
      <c r="I516" s="275">
        <v>9002071870</v>
      </c>
      <c r="J516" s="275">
        <v>9002071870</v>
      </c>
      <c r="K516" s="274" t="s">
        <v>464</v>
      </c>
      <c r="L516" s="274" t="s">
        <v>61</v>
      </c>
      <c r="M516" s="272">
        <v>23595</v>
      </c>
      <c r="N516" s="272">
        <v>45535</v>
      </c>
      <c r="O516" s="272">
        <v>45151</v>
      </c>
      <c r="P516" s="279">
        <v>45552</v>
      </c>
      <c r="Q516" s="272">
        <v>45450</v>
      </c>
      <c r="R516" s="79"/>
      <c r="S516" s="485"/>
      <c r="T516" s="486" t="s">
        <v>2305</v>
      </c>
      <c r="U516" s="486" t="s">
        <v>2305</v>
      </c>
      <c r="V516" s="382">
        <f t="shared" ref="V516:V517" si="92">LEN(D516)</f>
        <v>11</v>
      </c>
      <c r="W516" s="311"/>
      <c r="X516" s="208">
        <f t="shared" ref="X516:X517" ca="1" si="93">INT((TODAY()-M516)/365)</f>
        <v>61</v>
      </c>
      <c r="Y516" s="311"/>
      <c r="AB516" s="311"/>
      <c r="AC516" s="311"/>
      <c r="AD516" s="311"/>
      <c r="AE516" s="311"/>
      <c r="AF516" s="311"/>
      <c r="AG516" s="311"/>
      <c r="AH516" s="311"/>
      <c r="AI516" s="311"/>
      <c r="AJ516" s="311"/>
      <c r="AK516" s="311"/>
      <c r="AL516" s="311"/>
    </row>
    <row r="517" spans="1:39" ht="15.75" customHeight="1">
      <c r="A517" s="484">
        <v>12</v>
      </c>
      <c r="B517" s="301" t="s">
        <v>2306</v>
      </c>
      <c r="C517" s="275" t="s">
        <v>31</v>
      </c>
      <c r="D517" s="1284">
        <v>50205389409</v>
      </c>
      <c r="E517" s="303" t="s">
        <v>2307</v>
      </c>
      <c r="F517" s="18" t="s">
        <v>759</v>
      </c>
      <c r="G517" s="303" t="s">
        <v>76</v>
      </c>
      <c r="H517" s="274" t="s">
        <v>279</v>
      </c>
      <c r="I517" s="275">
        <v>9002071700</v>
      </c>
      <c r="J517" s="275"/>
      <c r="K517" s="274" t="s">
        <v>464</v>
      </c>
      <c r="L517" s="18" t="s">
        <v>62</v>
      </c>
      <c r="M517" s="289">
        <v>24259</v>
      </c>
      <c r="N517" s="272">
        <v>46173</v>
      </c>
      <c r="O517" s="272">
        <v>45115</v>
      </c>
      <c r="P517" s="279">
        <v>45552</v>
      </c>
      <c r="Q517" s="272">
        <v>45509</v>
      </c>
      <c r="R517" s="308"/>
      <c r="S517" s="309"/>
      <c r="T517" s="310" t="s">
        <v>2308</v>
      </c>
      <c r="U517" s="310" t="s">
        <v>2309</v>
      </c>
      <c r="V517" s="311">
        <f t="shared" si="92"/>
        <v>11</v>
      </c>
      <c r="W517" s="311"/>
      <c r="X517" s="208">
        <f t="shared" ca="1" si="93"/>
        <v>59</v>
      </c>
    </row>
    <row r="518" spans="1:39">
      <c r="A518" s="90"/>
      <c r="C518" s="89"/>
      <c r="F518" s="90"/>
      <c r="I518" s="90"/>
      <c r="J518" s="90"/>
      <c r="L518" s="90"/>
    </row>
    <row r="519" spans="1:39">
      <c r="A519" s="90"/>
      <c r="C519" s="89"/>
      <c r="F519" s="90"/>
      <c r="I519" s="90"/>
      <c r="J519" s="90"/>
      <c r="L519" s="90"/>
    </row>
    <row r="520" spans="1:39">
      <c r="A520" s="90"/>
      <c r="C520" s="89"/>
      <c r="F520" s="90"/>
      <c r="I520" s="90"/>
      <c r="J520" s="90"/>
      <c r="L520" s="90"/>
    </row>
    <row r="521" spans="1:39">
      <c r="A521" s="90"/>
      <c r="B521" s="1198" t="s">
        <v>2310</v>
      </c>
      <c r="C521" s="89"/>
      <c r="F521" s="90"/>
      <c r="I521" s="90"/>
      <c r="J521" s="90"/>
      <c r="L521" s="90"/>
    </row>
    <row r="522" spans="1:39" ht="15.75" customHeight="1">
      <c r="A522" s="18">
        <v>15</v>
      </c>
      <c r="B522" s="293" t="s">
        <v>2311</v>
      </c>
      <c r="C522" s="275" t="s">
        <v>31</v>
      </c>
      <c r="D522" s="306">
        <v>50205373542</v>
      </c>
      <c r="E522" s="303" t="s">
        <v>2312</v>
      </c>
      <c r="F522" s="18" t="s">
        <v>485</v>
      </c>
      <c r="G522" s="440">
        <v>23622</v>
      </c>
      <c r="H522" s="289">
        <v>45565</v>
      </c>
      <c r="I522" s="307" t="s">
        <v>253</v>
      </c>
      <c r="J522" s="303" t="s">
        <v>76</v>
      </c>
      <c r="K522" s="275" t="s">
        <v>261</v>
      </c>
      <c r="L522" s="275" t="s">
        <v>1043</v>
      </c>
      <c r="M522" s="272">
        <v>23622</v>
      </c>
      <c r="N522" s="289">
        <v>44680</v>
      </c>
      <c r="O522" s="289">
        <v>44717</v>
      </c>
      <c r="Q522" s="275">
        <v>9002071103</v>
      </c>
      <c r="R522" s="294"/>
      <c r="S522" s="295"/>
      <c r="T522" s="603" t="s">
        <v>2313</v>
      </c>
      <c r="U522" s="603" t="s">
        <v>2313</v>
      </c>
      <c r="V522" s="297">
        <f t="shared" ref="V522:V524" si="94">LEN(TEXT(D522,0))</f>
        <v>11</v>
      </c>
      <c r="W522" s="208">
        <f ca="1">INT((TODAY()-M522)/365)</f>
        <v>61</v>
      </c>
      <c r="X522" s="298"/>
      <c r="Y522" s="298"/>
      <c r="Z522" s="298"/>
      <c r="AA522" s="298"/>
      <c r="AB522" s="298"/>
      <c r="AC522" s="298"/>
      <c r="AD522" s="298"/>
      <c r="AE522" s="298"/>
      <c r="AF522" s="298"/>
      <c r="AG522" s="298"/>
      <c r="AH522" s="298"/>
      <c r="AI522" s="298"/>
      <c r="AJ522" s="298"/>
      <c r="AK522" s="298"/>
      <c r="AL522" s="298"/>
      <c r="AM522" s="298"/>
    </row>
    <row r="523" spans="1:39" ht="15.75" customHeight="1">
      <c r="A523" s="574">
        <v>32</v>
      </c>
      <c r="B523" s="509" t="s">
        <v>2314</v>
      </c>
      <c r="C523" s="274" t="s">
        <v>543</v>
      </c>
      <c r="D523" s="677">
        <v>50205384205</v>
      </c>
      <c r="E523" s="366" t="s">
        <v>2315</v>
      </c>
      <c r="F523" s="574" t="s">
        <v>23</v>
      </c>
      <c r="G523" s="278">
        <v>23627</v>
      </c>
      <c r="H523" s="315">
        <v>45565</v>
      </c>
      <c r="I523" s="307">
        <v>9002071660</v>
      </c>
      <c r="J523" s="337" t="s">
        <v>76</v>
      </c>
      <c r="K523" s="391" t="s">
        <v>334</v>
      </c>
      <c r="L523" s="307" t="s">
        <v>94</v>
      </c>
      <c r="M523" s="79"/>
      <c r="O523" s="278">
        <v>45021</v>
      </c>
      <c r="P523" s="278">
        <v>45667</v>
      </c>
      <c r="Q523" s="302">
        <v>45481</v>
      </c>
      <c r="R523" s="285"/>
      <c r="S523" s="285"/>
      <c r="T523" s="318" t="s">
        <v>2316</v>
      </c>
      <c r="U523" s="318" t="s">
        <v>2317</v>
      </c>
      <c r="V523" s="383">
        <f t="shared" si="94"/>
        <v>11</v>
      </c>
      <c r="W523" s="3"/>
      <c r="X523" s="3"/>
      <c r="Y523" s="3"/>
      <c r="Z523" s="79"/>
      <c r="AA523" s="79"/>
      <c r="AB523" s="311">
        <f ca="1">INT((TODAY()-G523)/365)</f>
        <v>61</v>
      </c>
      <c r="AC523" s="384"/>
      <c r="AD523" s="384"/>
      <c r="AE523" s="384"/>
      <c r="AF523" s="384"/>
      <c r="AG523" s="384"/>
      <c r="AH523" s="384"/>
      <c r="AI523" s="384"/>
      <c r="AJ523" s="384"/>
      <c r="AK523" s="384"/>
      <c r="AL523" s="384"/>
      <c r="AM523" s="384"/>
    </row>
    <row r="524" spans="1:39" ht="15.75" customHeight="1">
      <c r="A524" s="1066">
        <v>6</v>
      </c>
      <c r="B524" s="351" t="s">
        <v>2318</v>
      </c>
      <c r="C524" s="391" t="s">
        <v>14</v>
      </c>
      <c r="D524" s="543">
        <v>50212535631</v>
      </c>
      <c r="E524" s="582" t="s">
        <v>2319</v>
      </c>
      <c r="F524" s="686" t="s">
        <v>759</v>
      </c>
      <c r="G524" s="284" t="s">
        <v>76</v>
      </c>
      <c r="H524" s="284" t="s">
        <v>279</v>
      </c>
      <c r="I524" s="351">
        <v>9002079073</v>
      </c>
      <c r="J524" s="391"/>
      <c r="K524" s="307" t="s">
        <v>253</v>
      </c>
      <c r="L524" s="439" t="s">
        <v>299</v>
      </c>
      <c r="M524" s="390">
        <v>23651</v>
      </c>
      <c r="N524" s="289">
        <v>45565</v>
      </c>
      <c r="O524" s="392">
        <v>45205</v>
      </c>
      <c r="P524" s="272">
        <v>46074</v>
      </c>
      <c r="Q524" s="272">
        <v>45145</v>
      </c>
      <c r="R524" s="393"/>
      <c r="S524" s="393"/>
      <c r="T524" s="394" t="s">
        <v>2320</v>
      </c>
      <c r="U524" s="394" t="s">
        <v>2321</v>
      </c>
      <c r="V524" s="383">
        <f t="shared" si="94"/>
        <v>11</v>
      </c>
      <c r="W524" s="583">
        <v>44116</v>
      </c>
      <c r="X524" s="79"/>
      <c r="Y524" s="395"/>
      <c r="Z524" s="286" t="s">
        <v>84</v>
      </c>
      <c r="AA524" s="383"/>
      <c r="AB524" s="208">
        <f t="shared" ref="AB524:AB525" ca="1" si="95">INT((TODAY()-M524)/365)</f>
        <v>61</v>
      </c>
      <c r="AC524" s="384"/>
      <c r="AD524" s="384"/>
      <c r="AE524" s="384"/>
      <c r="AF524" s="384"/>
      <c r="AG524" s="384"/>
      <c r="AH524" s="384"/>
      <c r="AI524" s="384"/>
      <c r="AJ524" s="384"/>
      <c r="AK524" s="384"/>
    </row>
    <row r="525" spans="1:39" ht="15.75" customHeight="1">
      <c r="A525" s="898">
        <v>73</v>
      </c>
      <c r="B525" s="276" t="s">
        <v>2322</v>
      </c>
      <c r="C525" s="307" t="s">
        <v>31</v>
      </c>
      <c r="D525" s="677">
        <v>50205360560</v>
      </c>
      <c r="E525" s="303" t="s">
        <v>2323</v>
      </c>
      <c r="F525" s="685" t="s">
        <v>759</v>
      </c>
      <c r="G525" s="337" t="s">
        <v>76</v>
      </c>
      <c r="H525" s="303" t="s">
        <v>279</v>
      </c>
      <c r="I525" s="307">
        <v>9002071242</v>
      </c>
      <c r="J525" s="405">
        <v>9002071242</v>
      </c>
      <c r="K525" s="307" t="s">
        <v>253</v>
      </c>
      <c r="L525" s="274" t="s">
        <v>299</v>
      </c>
      <c r="M525" s="278">
        <v>23640</v>
      </c>
      <c r="N525" s="315">
        <v>45565</v>
      </c>
      <c r="O525" s="278">
        <v>45121</v>
      </c>
      <c r="P525" s="687">
        <v>45552</v>
      </c>
      <c r="Q525" s="272">
        <v>45563</v>
      </c>
      <c r="R525" s="285"/>
      <c r="S525" s="285"/>
      <c r="T525" s="285"/>
      <c r="U525" s="318" t="s">
        <v>2324</v>
      </c>
      <c r="V525" s="285">
        <f>LEN(D525)</f>
        <v>11</v>
      </c>
      <c r="W525" s="90"/>
      <c r="X525" s="90"/>
      <c r="Y525" s="90"/>
      <c r="AB525" s="311">
        <f t="shared" ca="1" si="95"/>
        <v>61</v>
      </c>
    </row>
    <row r="526" spans="1:39">
      <c r="A526" s="90"/>
      <c r="C526" s="89"/>
      <c r="F526" s="90"/>
      <c r="I526" s="90"/>
      <c r="J526" s="90"/>
      <c r="L526" s="90"/>
    </row>
    <row r="527" spans="1:39">
      <c r="A527" s="90"/>
      <c r="C527" s="89"/>
      <c r="F527" s="90"/>
      <c r="I527" s="90"/>
      <c r="J527" s="90"/>
      <c r="L527" s="90"/>
    </row>
    <row r="528" spans="1:39">
      <c r="A528" s="656">
        <v>21</v>
      </c>
      <c r="B528" s="1285" t="s">
        <v>2325</v>
      </c>
      <c r="C528" s="670" t="s">
        <v>689</v>
      </c>
      <c r="D528" s="327" t="s">
        <v>2326</v>
      </c>
      <c r="E528" s="79"/>
      <c r="F528" s="327" t="s">
        <v>682</v>
      </c>
      <c r="G528" s="671">
        <v>50205349114</v>
      </c>
      <c r="H528" s="904" t="s">
        <v>315</v>
      </c>
      <c r="I528" s="929" t="s">
        <v>578</v>
      </c>
      <c r="J528" s="329">
        <v>23667</v>
      </c>
      <c r="K528" s="329">
        <v>45596</v>
      </c>
    </row>
    <row r="529" spans="1:39">
      <c r="A529" s="90"/>
      <c r="C529" s="89"/>
      <c r="F529" s="90"/>
      <c r="I529" s="90"/>
      <c r="J529" s="90"/>
      <c r="L529" s="90"/>
    </row>
    <row r="530" spans="1:39">
      <c r="A530" s="90"/>
      <c r="C530" s="89"/>
      <c r="F530" s="90"/>
      <c r="I530" s="90"/>
      <c r="J530" s="90"/>
      <c r="L530" s="90"/>
    </row>
    <row r="531" spans="1:39">
      <c r="A531" s="90"/>
      <c r="B531" s="1198" t="s">
        <v>2327</v>
      </c>
      <c r="C531" s="89"/>
      <c r="F531" s="90"/>
      <c r="I531" s="90"/>
      <c r="J531" s="90"/>
      <c r="L531" s="90"/>
    </row>
    <row r="532" spans="1:39" ht="15.75" customHeight="1">
      <c r="A532" s="1066">
        <v>18</v>
      </c>
      <c r="B532" s="293" t="s">
        <v>2328</v>
      </c>
      <c r="C532" s="391" t="s">
        <v>14</v>
      </c>
      <c r="D532" s="488">
        <v>50205385726</v>
      </c>
      <c r="E532" s="421" t="s">
        <v>2329</v>
      </c>
      <c r="F532" s="274" t="s">
        <v>759</v>
      </c>
      <c r="G532" s="303" t="s">
        <v>76</v>
      </c>
      <c r="H532" s="274" t="s">
        <v>279</v>
      </c>
      <c r="I532" s="293">
        <v>9002071661</v>
      </c>
      <c r="J532" s="275"/>
      <c r="K532" s="351" t="s">
        <v>334</v>
      </c>
      <c r="L532" s="274" t="s">
        <v>112</v>
      </c>
      <c r="M532" s="272">
        <v>23682</v>
      </c>
      <c r="N532" s="289">
        <v>45596</v>
      </c>
      <c r="O532" s="272">
        <v>45234</v>
      </c>
      <c r="P532" s="418">
        <v>45388</v>
      </c>
      <c r="Q532" s="915">
        <v>45453</v>
      </c>
      <c r="R532" s="280"/>
      <c r="S532" s="295"/>
      <c r="T532" s="296" t="s">
        <v>2330</v>
      </c>
      <c r="U532" s="296" t="s">
        <v>2331</v>
      </c>
      <c r="V532" s="297">
        <f t="shared" ref="V532:V534" si="96">LEN(TEXT(D532,0))</f>
        <v>11</v>
      </c>
      <c r="W532" s="208">
        <f t="shared" ref="W532:W534" ca="1" si="97">INT((TODAY()-M532)/365)</f>
        <v>61</v>
      </c>
      <c r="X532" s="298"/>
      <c r="Y532" s="298"/>
      <c r="Z532" s="298"/>
      <c r="AA532" s="298"/>
      <c r="AB532" s="298"/>
      <c r="AC532" s="298"/>
      <c r="AD532" s="298"/>
      <c r="AE532" s="298"/>
      <c r="AF532" s="298"/>
      <c r="AG532" s="298"/>
      <c r="AH532" s="298"/>
      <c r="AI532" s="298"/>
      <c r="AJ532" s="298"/>
      <c r="AK532" s="298"/>
      <c r="AL532" s="298"/>
    </row>
    <row r="533" spans="1:39" ht="15.75" customHeight="1">
      <c r="A533" s="1286">
        <v>65</v>
      </c>
      <c r="B533" s="287" t="s">
        <v>2332</v>
      </c>
      <c r="C533" s="496" t="s">
        <v>31</v>
      </c>
      <c r="D533" s="604">
        <v>50205343010</v>
      </c>
      <c r="E533" s="484" t="s">
        <v>2333</v>
      </c>
      <c r="F533" s="484" t="s">
        <v>759</v>
      </c>
      <c r="G533" s="484" t="s">
        <v>77</v>
      </c>
      <c r="H533" s="484" t="s">
        <v>279</v>
      </c>
      <c r="I533" s="496">
        <v>9002071237</v>
      </c>
      <c r="J533" s="520">
        <v>8240251619</v>
      </c>
      <c r="K533" s="496" t="s">
        <v>261</v>
      </c>
      <c r="L533" s="496" t="s">
        <v>93</v>
      </c>
      <c r="M533" s="498">
        <v>23655</v>
      </c>
      <c r="N533" s="546">
        <v>45596</v>
      </c>
      <c r="O533" s="498">
        <v>45227</v>
      </c>
      <c r="P533" s="498">
        <v>46192</v>
      </c>
      <c r="Q533" s="498">
        <v>45901</v>
      </c>
      <c r="R533" s="1287"/>
      <c r="S533" s="1288"/>
      <c r="T533" s="1289" t="s">
        <v>2334</v>
      </c>
      <c r="U533" s="1289" t="s">
        <v>2334</v>
      </c>
      <c r="V533" s="1290">
        <f t="shared" si="96"/>
        <v>11</v>
      </c>
      <c r="W533" s="208">
        <f t="shared" ca="1" si="97"/>
        <v>61</v>
      </c>
      <c r="X533" s="1291"/>
      <c r="Y533" s="1291"/>
      <c r="Z533" s="1291"/>
      <c r="AA533" s="1291"/>
      <c r="AB533" s="1291"/>
      <c r="AC533" s="1291"/>
      <c r="AD533" s="1291"/>
      <c r="AE533" s="1291"/>
      <c r="AF533" s="1291"/>
      <c r="AG533" s="1291"/>
      <c r="AH533" s="1291"/>
      <c r="AI533" s="1291"/>
      <c r="AJ533" s="1291"/>
      <c r="AK533" s="1291"/>
      <c r="AL533" s="1291"/>
      <c r="AM533" s="145"/>
    </row>
    <row r="534" spans="1:39" ht="15.75" customHeight="1">
      <c r="A534" s="1286">
        <v>21</v>
      </c>
      <c r="B534" s="1200" t="s">
        <v>2335</v>
      </c>
      <c r="C534" s="496" t="s">
        <v>21</v>
      </c>
      <c r="D534" s="520">
        <v>50205373517</v>
      </c>
      <c r="E534" s="484" t="s">
        <v>2336</v>
      </c>
      <c r="F534" s="484" t="s">
        <v>759</v>
      </c>
      <c r="G534" s="484" t="s">
        <v>77</v>
      </c>
      <c r="H534" s="496"/>
      <c r="I534" s="496">
        <v>9002079005</v>
      </c>
      <c r="J534" s="496">
        <v>9002079005</v>
      </c>
      <c r="K534" s="496" t="s">
        <v>261</v>
      </c>
      <c r="L534" s="484" t="s">
        <v>65</v>
      </c>
      <c r="M534" s="546">
        <v>23913</v>
      </c>
      <c r="N534" s="546">
        <v>45838</v>
      </c>
      <c r="O534" s="498">
        <v>45360</v>
      </c>
      <c r="P534" s="503">
        <v>45204</v>
      </c>
      <c r="Q534" s="511">
        <v>45248</v>
      </c>
      <c r="R534" s="1292"/>
      <c r="S534" s="1293" t="s">
        <v>2337</v>
      </c>
      <c r="T534" s="1288"/>
      <c r="U534" s="1288"/>
      <c r="V534" s="1290">
        <f t="shared" si="96"/>
        <v>11</v>
      </c>
      <c r="W534" s="208">
        <f t="shared" ca="1" si="97"/>
        <v>60</v>
      </c>
      <c r="X534" s="1291"/>
      <c r="Y534" s="145"/>
      <c r="Z534" s="145"/>
      <c r="AA534" s="145"/>
      <c r="AB534" s="145"/>
      <c r="AC534" s="145"/>
      <c r="AD534" s="145"/>
      <c r="AE534" s="145"/>
      <c r="AF534" s="145"/>
      <c r="AG534" s="145"/>
      <c r="AH534" s="145"/>
      <c r="AI534" s="145"/>
      <c r="AJ534" s="145"/>
      <c r="AK534" s="145"/>
      <c r="AL534" s="145"/>
      <c r="AM534" s="145"/>
    </row>
    <row r="535" spans="1:39">
      <c r="A535" s="90"/>
      <c r="C535" s="89"/>
      <c r="F535" s="90"/>
      <c r="I535" s="90"/>
      <c r="J535" s="90"/>
      <c r="L535" s="90"/>
    </row>
    <row r="536" spans="1:39">
      <c r="A536" s="90"/>
      <c r="C536" s="89"/>
      <c r="F536" s="90"/>
      <c r="I536" s="90"/>
      <c r="J536" s="90"/>
      <c r="L536" s="90"/>
    </row>
    <row r="537" spans="1:39" ht="33.75" customHeight="1">
      <c r="A537" s="980">
        <v>115</v>
      </c>
      <c r="B537" s="1294" t="s">
        <v>2338</v>
      </c>
      <c r="C537" s="284" t="s">
        <v>22</v>
      </c>
      <c r="D537" s="527">
        <v>3329804898</v>
      </c>
      <c r="E537" s="527" t="s">
        <v>2339</v>
      </c>
      <c r="F537" s="274" t="s">
        <v>759</v>
      </c>
      <c r="G537" s="284"/>
      <c r="H537" s="391"/>
      <c r="I537" s="1295">
        <v>918423388891</v>
      </c>
      <c r="J537" s="284"/>
      <c r="K537" s="275" t="s">
        <v>315</v>
      </c>
      <c r="L537" s="1296" t="s">
        <v>351</v>
      </c>
      <c r="M537" s="272"/>
      <c r="N537" s="272"/>
      <c r="O537" s="400"/>
      <c r="P537" s="279"/>
      <c r="Q537" s="418"/>
      <c r="R537" s="338"/>
      <c r="S537" s="393"/>
      <c r="T537" s="403"/>
      <c r="U537" s="393"/>
      <c r="V537" s="383"/>
      <c r="W537" s="563"/>
      <c r="X537" s="79"/>
      <c r="Y537" s="395"/>
      <c r="Z537" s="79"/>
      <c r="AA537" s="383"/>
      <c r="AB537" s="282"/>
      <c r="AC537" s="383"/>
      <c r="AD537" s="383"/>
      <c r="AE537" s="383"/>
      <c r="AF537" s="383"/>
      <c r="AG537" s="383"/>
      <c r="AH537" s="383"/>
      <c r="AI537" s="384"/>
      <c r="AJ537" s="384"/>
      <c r="AK537" s="384"/>
      <c r="AL537" s="384"/>
      <c r="AM537" s="384"/>
    </row>
    <row r="538" spans="1:39">
      <c r="A538" s="90"/>
      <c r="C538" s="89"/>
      <c r="F538" s="90"/>
      <c r="I538" s="90"/>
      <c r="J538" s="90"/>
      <c r="L538" s="90"/>
    </row>
    <row r="539" spans="1:39">
      <c r="A539" s="90"/>
      <c r="C539" s="89"/>
      <c r="F539" s="90"/>
      <c r="I539" s="90"/>
      <c r="J539" s="90"/>
      <c r="L539" s="90"/>
    </row>
    <row r="540" spans="1:39">
      <c r="A540" s="90"/>
      <c r="B540" s="1198" t="s">
        <v>2340</v>
      </c>
      <c r="C540" s="89"/>
      <c r="F540" s="90"/>
      <c r="I540" s="90"/>
      <c r="J540" s="90"/>
      <c r="L540" s="90"/>
    </row>
    <row r="541" spans="1:39">
      <c r="A541" s="574">
        <v>7</v>
      </c>
      <c r="B541" s="575" t="s">
        <v>2341</v>
      </c>
      <c r="C541" s="574" t="s">
        <v>36</v>
      </c>
      <c r="D541" s="577">
        <v>50205419050</v>
      </c>
      <c r="E541" s="18" t="s">
        <v>2342</v>
      </c>
      <c r="F541" s="574" t="s">
        <v>23</v>
      </c>
      <c r="G541" s="476">
        <v>23701</v>
      </c>
      <c r="H541" s="476">
        <v>45626</v>
      </c>
      <c r="I541" s="18">
        <v>9002071711</v>
      </c>
      <c r="J541" s="18" t="s">
        <v>76</v>
      </c>
      <c r="K541" s="90"/>
    </row>
    <row r="542" spans="1:39">
      <c r="A542" s="574">
        <v>11</v>
      </c>
      <c r="B542" s="922" t="s">
        <v>2343</v>
      </c>
      <c r="C542" s="574" t="s">
        <v>36</v>
      </c>
      <c r="D542" s="577">
        <v>50205384576</v>
      </c>
      <c r="E542" s="18" t="s">
        <v>2344</v>
      </c>
      <c r="F542" s="574" t="s">
        <v>23</v>
      </c>
      <c r="G542" s="476">
        <v>23697</v>
      </c>
      <c r="H542" s="476">
        <v>45626</v>
      </c>
      <c r="I542" s="18">
        <v>9002071746</v>
      </c>
      <c r="J542" s="18" t="s">
        <v>76</v>
      </c>
      <c r="K542" s="90"/>
    </row>
    <row r="543" spans="1:39">
      <c r="A543" s="18">
        <v>9</v>
      </c>
      <c r="B543" s="286" t="s">
        <v>2345</v>
      </c>
      <c r="C543" s="18" t="s">
        <v>137</v>
      </c>
      <c r="D543" s="1161">
        <v>50205378758</v>
      </c>
      <c r="E543" s="475" t="s">
        <v>2346</v>
      </c>
      <c r="F543" s="18" t="s">
        <v>1775</v>
      </c>
      <c r="G543" s="476">
        <v>23701</v>
      </c>
      <c r="H543" s="476">
        <v>45626</v>
      </c>
      <c r="I543" s="307" t="s">
        <v>253</v>
      </c>
      <c r="J543" s="18" t="s">
        <v>76</v>
      </c>
      <c r="K543" s="90"/>
      <c r="L543" s="90"/>
    </row>
    <row r="544" spans="1:39" ht="15.75" customHeight="1">
      <c r="A544" s="1162">
        <v>33</v>
      </c>
      <c r="B544" s="1297" t="s">
        <v>2347</v>
      </c>
      <c r="C544" s="405" t="s">
        <v>31</v>
      </c>
      <c r="D544" s="675">
        <v>50205378783</v>
      </c>
      <c r="E544" s="857" t="s">
        <v>2348</v>
      </c>
      <c r="F544" s="685" t="s">
        <v>759</v>
      </c>
      <c r="G544" s="1156" t="s">
        <v>76</v>
      </c>
      <c r="H544" s="303" t="s">
        <v>279</v>
      </c>
      <c r="I544" s="1157">
        <v>9002071169</v>
      </c>
      <c r="J544" s="1157">
        <v>9002071169</v>
      </c>
      <c r="K544" s="307" t="s">
        <v>253</v>
      </c>
      <c r="L544" s="274" t="s">
        <v>64</v>
      </c>
      <c r="M544" s="1027">
        <v>23685</v>
      </c>
      <c r="N544" s="1158">
        <v>45626</v>
      </c>
      <c r="O544" s="1027">
        <v>45241</v>
      </c>
      <c r="P544" s="1298">
        <v>45835</v>
      </c>
      <c r="Q544" s="1028">
        <v>45845</v>
      </c>
      <c r="R544" s="338"/>
      <c r="S544" s="285"/>
      <c r="T544" s="318" t="s">
        <v>2349</v>
      </c>
      <c r="U544" s="318" t="s">
        <v>2349</v>
      </c>
      <c r="V544" s="285">
        <f t="shared" ref="V544:V546" si="98">LEN(D544)</f>
        <v>11</v>
      </c>
      <c r="W544" s="1032"/>
      <c r="X544" s="1032"/>
      <c r="Y544" s="1032"/>
      <c r="Z544" s="1034"/>
      <c r="AA544" s="1034"/>
      <c r="AB544" s="311">
        <f t="shared" ref="AB544:AB545" ca="1" si="99">INT((TODAY()-M544)/365)</f>
        <v>61</v>
      </c>
    </row>
    <row r="545" spans="1:39" ht="15.75" customHeight="1">
      <c r="A545" s="1162">
        <v>115</v>
      </c>
      <c r="B545" s="276" t="s">
        <v>2350</v>
      </c>
      <c r="C545" s="307" t="s">
        <v>31</v>
      </c>
      <c r="D545" s="675">
        <v>50212102891</v>
      </c>
      <c r="E545" s="303" t="s">
        <v>2351</v>
      </c>
      <c r="F545" s="685" t="s">
        <v>759</v>
      </c>
      <c r="G545" s="337" t="s">
        <v>76</v>
      </c>
      <c r="H545" s="303" t="s">
        <v>266</v>
      </c>
      <c r="I545" s="307">
        <v>9002079004</v>
      </c>
      <c r="J545" s="307"/>
      <c r="K545" s="307" t="s">
        <v>253</v>
      </c>
      <c r="L545" s="398" t="s">
        <v>256</v>
      </c>
      <c r="M545" s="278">
        <v>23686</v>
      </c>
      <c r="N545" s="315">
        <v>45626</v>
      </c>
      <c r="O545" s="278">
        <v>45245</v>
      </c>
      <c r="P545" s="687">
        <v>45552</v>
      </c>
      <c r="Q545" s="915">
        <v>45453</v>
      </c>
      <c r="R545" s="425"/>
      <c r="S545" s="425"/>
      <c r="T545" s="339" t="s">
        <v>2352</v>
      </c>
      <c r="U545" s="339" t="s">
        <v>2352</v>
      </c>
      <c r="V545" s="425">
        <f t="shared" si="98"/>
        <v>11</v>
      </c>
      <c r="W545" s="90"/>
      <c r="X545" s="90"/>
      <c r="Y545" s="90"/>
      <c r="AB545" s="311">
        <f t="shared" ca="1" si="99"/>
        <v>61</v>
      </c>
    </row>
    <row r="546" spans="1:39" ht="15.75" customHeight="1">
      <c r="A546" s="18">
        <v>20</v>
      </c>
      <c r="B546" s="313" t="s">
        <v>2353</v>
      </c>
      <c r="C546" s="307" t="s">
        <v>31</v>
      </c>
      <c r="D546" s="677">
        <v>50205343136</v>
      </c>
      <c r="E546" s="303" t="s">
        <v>2354</v>
      </c>
      <c r="F546" s="18" t="s">
        <v>485</v>
      </c>
      <c r="G546" s="278">
        <v>23712</v>
      </c>
      <c r="H546" s="315">
        <v>45626</v>
      </c>
      <c r="I546" s="307" t="s">
        <v>253</v>
      </c>
      <c r="J546" s="337" t="s">
        <v>76</v>
      </c>
      <c r="K546" s="307" t="s">
        <v>253</v>
      </c>
      <c r="L546" s="275" t="s">
        <v>102</v>
      </c>
      <c r="M546" s="307">
        <v>9002071633</v>
      </c>
      <c r="O546" s="278">
        <v>45282</v>
      </c>
      <c r="P546" s="418">
        <v>45388</v>
      </c>
      <c r="Q546" s="302">
        <v>45200</v>
      </c>
      <c r="R546" s="425"/>
      <c r="S546" s="425"/>
      <c r="T546" s="339" t="s">
        <v>1115</v>
      </c>
      <c r="U546" s="339" t="s">
        <v>1115</v>
      </c>
      <c r="V546" s="425">
        <f t="shared" si="98"/>
        <v>11</v>
      </c>
      <c r="W546" s="90"/>
      <c r="X546" s="90"/>
      <c r="Y546" s="90"/>
      <c r="AB546" s="311">
        <f ca="1">INT((TODAY()-G546)/365)</f>
        <v>61</v>
      </c>
    </row>
    <row r="547" spans="1:39" ht="15.75">
      <c r="A547" s="656">
        <v>16</v>
      </c>
      <c r="B547" s="327" t="s">
        <v>2355</v>
      </c>
      <c r="C547" s="659" t="s">
        <v>2356</v>
      </c>
      <c r="D547" s="334" t="s">
        <v>681</v>
      </c>
      <c r="E547" s="659"/>
      <c r="F547" s="327" t="s">
        <v>682</v>
      </c>
      <c r="G547" s="661">
        <v>50205521464</v>
      </c>
      <c r="H547" s="904" t="s">
        <v>253</v>
      </c>
      <c r="I547" s="929" t="s">
        <v>702</v>
      </c>
      <c r="J547" s="329">
        <v>28035</v>
      </c>
      <c r="K547" s="329">
        <v>49979</v>
      </c>
      <c r="L547" s="197" t="s">
        <v>2357</v>
      </c>
    </row>
    <row r="548" spans="1:39">
      <c r="A548" s="90"/>
      <c r="C548" s="89"/>
      <c r="F548" s="90"/>
      <c r="I548" s="90"/>
      <c r="J548" s="90"/>
      <c r="L548" s="90"/>
    </row>
    <row r="549" spans="1:39">
      <c r="A549" s="90"/>
      <c r="B549" s="197" t="s">
        <v>2358</v>
      </c>
      <c r="C549" s="89"/>
      <c r="F549" s="90"/>
      <c r="I549" s="90"/>
      <c r="J549" s="90"/>
      <c r="L549" s="90"/>
    </row>
    <row r="550" spans="1:39" ht="15.75">
      <c r="A550" s="656">
        <v>12</v>
      </c>
      <c r="B550" s="335" t="s">
        <v>2359</v>
      </c>
      <c r="C550" s="1299" t="s">
        <v>31</v>
      </c>
      <c r="D550" s="1211">
        <v>50205825106</v>
      </c>
      <c r="E550" s="3"/>
      <c r="F550" s="970" t="s">
        <v>759</v>
      </c>
      <c r="G550" s="168"/>
      <c r="H550" s="303" t="s">
        <v>279</v>
      </c>
      <c r="I550" s="18">
        <v>9163382190</v>
      </c>
      <c r="J550" s="79"/>
      <c r="K550" s="409" t="s">
        <v>261</v>
      </c>
      <c r="L550" s="1300" t="s">
        <v>43</v>
      </c>
      <c r="M550" s="326">
        <v>25086</v>
      </c>
      <c r="N550" s="656" t="s">
        <v>2360</v>
      </c>
      <c r="O550" s="79"/>
      <c r="P550" s="79"/>
      <c r="Q550" s="329"/>
      <c r="R550" s="449" t="s">
        <v>313</v>
      </c>
      <c r="S550" s="79"/>
      <c r="T550" s="331"/>
      <c r="U550" s="332"/>
      <c r="V550" s="334"/>
      <c r="W550" s="334"/>
      <c r="X550" s="334"/>
      <c r="Y550" s="334"/>
      <c r="Z550" s="334"/>
      <c r="AA550" s="334"/>
      <c r="AB550" s="334"/>
      <c r="AC550" s="334"/>
      <c r="AD550" s="199"/>
      <c r="AE550" s="199"/>
      <c r="AF550" s="199"/>
      <c r="AG550" s="199"/>
      <c r="AH550" s="199"/>
      <c r="AI550" s="199"/>
      <c r="AJ550" s="199"/>
      <c r="AK550" s="199"/>
      <c r="AL550" s="199"/>
    </row>
    <row r="551" spans="1:39">
      <c r="A551" s="90"/>
      <c r="C551" s="89"/>
      <c r="F551" s="90"/>
      <c r="I551" s="90"/>
      <c r="J551" s="90"/>
      <c r="L551" s="90"/>
    </row>
    <row r="552" spans="1:39" ht="30.75" customHeight="1">
      <c r="A552" s="1162">
        <v>19</v>
      </c>
      <c r="B552" s="305" t="s">
        <v>2361</v>
      </c>
      <c r="C552" s="1301" t="s">
        <v>31</v>
      </c>
      <c r="D552" s="677">
        <v>50205612366</v>
      </c>
      <c r="E552" s="1302" t="s">
        <v>2362</v>
      </c>
      <c r="F552" s="274" t="s">
        <v>759</v>
      </c>
      <c r="G552" s="875" t="s">
        <v>2363</v>
      </c>
      <c r="H552" s="274" t="s">
        <v>266</v>
      </c>
      <c r="I552" s="1303">
        <v>9002071194</v>
      </c>
      <c r="J552" s="703">
        <v>7980447745</v>
      </c>
      <c r="K552" s="274" t="s">
        <v>253</v>
      </c>
      <c r="L552" s="18" t="s">
        <v>55</v>
      </c>
      <c r="M552" s="278">
        <v>31500</v>
      </c>
      <c r="N552" s="315">
        <v>53417</v>
      </c>
      <c r="O552" s="278">
        <v>46014</v>
      </c>
      <c r="P552" s="278">
        <v>45475</v>
      </c>
      <c r="Q552" s="302">
        <v>45369</v>
      </c>
      <c r="R552" s="285"/>
      <c r="S552" s="317" t="s">
        <v>1269</v>
      </c>
      <c r="T552" s="318" t="s">
        <v>2364</v>
      </c>
      <c r="U552" s="285"/>
      <c r="V552" s="285">
        <f>LEN(D552)</f>
        <v>11</v>
      </c>
      <c r="W552" s="282">
        <f ca="1">INT((TODAY()-M552)/365)</f>
        <v>39</v>
      </c>
      <c r="X552" s="3"/>
      <c r="Y552" s="297"/>
      <c r="Z552" s="297"/>
      <c r="AA552" s="297"/>
      <c r="AB552" s="298"/>
      <c r="AC552" s="298"/>
      <c r="AD552" s="298"/>
      <c r="AE552" s="298"/>
      <c r="AF552" s="298"/>
      <c r="AG552" s="298"/>
      <c r="AH552" s="298"/>
      <c r="AI552" s="298"/>
      <c r="AJ552" s="298"/>
      <c r="AK552" s="298"/>
      <c r="AL552" s="298"/>
      <c r="AM552" s="298"/>
    </row>
    <row r="553" spans="1:39">
      <c r="A553" s="90"/>
      <c r="C553" s="89"/>
      <c r="F553" s="90"/>
      <c r="I553" s="90"/>
      <c r="J553" s="90"/>
      <c r="L553" s="90"/>
    </row>
    <row r="554" spans="1:39">
      <c r="A554" s="90"/>
      <c r="C554" s="89"/>
      <c r="F554" s="90"/>
      <c r="I554" s="90"/>
      <c r="J554" s="90"/>
      <c r="L554" s="90"/>
    </row>
    <row r="555" spans="1:39">
      <c r="B555" s="1198" t="s">
        <v>2365</v>
      </c>
      <c r="F555" s="90"/>
      <c r="J555" s="90"/>
    </row>
    <row r="556" spans="1:39">
      <c r="A556" s="574">
        <v>12</v>
      </c>
      <c r="B556" s="579" t="s">
        <v>2366</v>
      </c>
      <c r="C556" s="574" t="s">
        <v>12</v>
      </c>
      <c r="D556" s="1304">
        <v>50205331006</v>
      </c>
      <c r="E556" s="527" t="s">
        <v>2367</v>
      </c>
      <c r="F556" s="574" t="s">
        <v>23</v>
      </c>
      <c r="G556" s="476">
        <v>23722</v>
      </c>
      <c r="H556" s="476">
        <v>45657</v>
      </c>
      <c r="I556" s="18">
        <v>9002025059</v>
      </c>
      <c r="J556" s="18" t="s">
        <v>76</v>
      </c>
      <c r="K556" s="90"/>
      <c r="L556" s="206"/>
      <c r="M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  <c r="AA556" s="206"/>
      <c r="AB556" s="206"/>
      <c r="AC556" s="206"/>
      <c r="AD556" s="206"/>
      <c r="AE556" s="206"/>
      <c r="AF556" s="206"/>
      <c r="AG556" s="206"/>
      <c r="AH556" s="206"/>
      <c r="AI556" s="206"/>
      <c r="AJ556" s="206"/>
      <c r="AK556" s="206"/>
      <c r="AL556" s="206"/>
      <c r="AM556" s="206"/>
    </row>
    <row r="557" spans="1:39" ht="15.75" customHeight="1">
      <c r="A557" s="1125">
        <v>56</v>
      </c>
      <c r="B557" s="293" t="s">
        <v>2368</v>
      </c>
      <c r="C557" s="275" t="s">
        <v>31</v>
      </c>
      <c r="D557" s="304">
        <v>50212120406</v>
      </c>
      <c r="E557" s="274" t="s">
        <v>2369</v>
      </c>
      <c r="F557" s="18" t="s">
        <v>759</v>
      </c>
      <c r="G557" s="274" t="s">
        <v>78</v>
      </c>
      <c r="H557" s="274" t="s">
        <v>266</v>
      </c>
      <c r="I557" s="275">
        <v>9002071675</v>
      </c>
      <c r="J557" s="275">
        <v>9002071675</v>
      </c>
      <c r="K557" s="275" t="s">
        <v>290</v>
      </c>
      <c r="L557" s="274" t="s">
        <v>351</v>
      </c>
      <c r="M557" s="272">
        <v>23742</v>
      </c>
      <c r="N557" s="272">
        <v>45657</v>
      </c>
      <c r="O557" s="272">
        <v>45279</v>
      </c>
      <c r="P557" s="687">
        <v>45487</v>
      </c>
      <c r="Q557" s="272">
        <v>45450</v>
      </c>
      <c r="S557" s="309"/>
      <c r="T557" s="377" t="s">
        <v>2007</v>
      </c>
      <c r="U557" s="377" t="s">
        <v>2007</v>
      </c>
      <c r="V557" s="311">
        <f>LEN(D557)</f>
        <v>11</v>
      </c>
      <c r="W557" s="311"/>
      <c r="X557" s="1220">
        <f ca="1">INT((TODAY()-M557)/365)</f>
        <v>61</v>
      </c>
    </row>
    <row r="558" spans="1:39">
      <c r="A558" s="656">
        <v>1</v>
      </c>
      <c r="B558" s="335" t="s">
        <v>2370</v>
      </c>
      <c r="C558" s="1210" t="s">
        <v>81</v>
      </c>
      <c r="D558" s="1211">
        <v>50206499387</v>
      </c>
      <c r="E558" s="327"/>
      <c r="F558" s="18" t="s">
        <v>759</v>
      </c>
      <c r="G558" s="306" t="s">
        <v>77</v>
      </c>
      <c r="H558" s="303" t="s">
        <v>279</v>
      </c>
      <c r="I558" s="18">
        <v>9163382106</v>
      </c>
      <c r="J558" s="327"/>
      <c r="K558" s="328" t="s">
        <v>253</v>
      </c>
      <c r="L558" s="445" t="s">
        <v>57</v>
      </c>
      <c r="M558" s="1305">
        <v>23715</v>
      </c>
      <c r="N558" s="326">
        <v>45657</v>
      </c>
      <c r="O558" s="329"/>
      <c r="P558" s="330"/>
      <c r="Q558" s="331"/>
      <c r="R558" s="449" t="s">
        <v>313</v>
      </c>
      <c r="S558" s="332"/>
      <c r="T558" s="334"/>
      <c r="U558" s="332"/>
      <c r="V558" s="334"/>
      <c r="W558" s="334"/>
      <c r="X558" s="334"/>
      <c r="Y558" s="334"/>
      <c r="Z558" s="334"/>
      <c r="AA558" s="334"/>
      <c r="AB558" s="334"/>
      <c r="AC558" s="334"/>
      <c r="AD558" s="334"/>
      <c r="AE558" s="334"/>
      <c r="AF558" s="334"/>
      <c r="AG558" s="334"/>
      <c r="AH558" s="334"/>
      <c r="AI558" s="334"/>
      <c r="AJ558" s="199"/>
      <c r="AK558" s="199"/>
      <c r="AL558" s="199"/>
    </row>
    <row r="559" spans="1:39" ht="15.75">
      <c r="A559" s="656">
        <v>12</v>
      </c>
      <c r="B559" s="984" t="s">
        <v>2371</v>
      </c>
      <c r="C559" s="1164" t="s">
        <v>14</v>
      </c>
      <c r="D559" s="931">
        <v>50205335486</v>
      </c>
      <c r="E559" s="527" t="s">
        <v>2372</v>
      </c>
      <c r="F559" s="970" t="s">
        <v>759</v>
      </c>
      <c r="G559" s="1165" t="s">
        <v>77</v>
      </c>
      <c r="H559" s="303" t="s">
        <v>279</v>
      </c>
      <c r="I559" s="656">
        <v>9002071562</v>
      </c>
      <c r="J559" s="3"/>
      <c r="K559" s="328" t="s">
        <v>253</v>
      </c>
      <c r="L559" s="445" t="s">
        <v>121</v>
      </c>
      <c r="M559" s="913">
        <v>23743</v>
      </c>
      <c r="N559" s="978">
        <v>45657</v>
      </c>
      <c r="O559" s="326">
        <v>45206</v>
      </c>
      <c r="P559" s="933">
        <v>45144</v>
      </c>
      <c r="Q559" s="302">
        <v>45481</v>
      </c>
      <c r="R559" s="449" t="s">
        <v>313</v>
      </c>
      <c r="S559" s="332"/>
      <c r="T559" s="334"/>
      <c r="U559" s="916" t="s">
        <v>2373</v>
      </c>
      <c r="V559" s="334"/>
      <c r="W559" s="334"/>
      <c r="X559" s="334"/>
      <c r="Y559" s="334"/>
      <c r="Z559" s="334"/>
      <c r="AA559" s="335" t="s">
        <v>2374</v>
      </c>
      <c r="AB559" s="334"/>
      <c r="AC559" s="334"/>
      <c r="AD559" s="334"/>
      <c r="AE559" s="334"/>
      <c r="AF559" s="334"/>
      <c r="AG559" s="334"/>
      <c r="AH559" s="334"/>
      <c r="AI559" s="334"/>
      <c r="AJ559" s="199"/>
      <c r="AK559" s="199"/>
      <c r="AL559" s="199"/>
    </row>
    <row r="560" spans="1:39" ht="15.75" customHeight="1">
      <c r="A560" s="974">
        <v>2</v>
      </c>
      <c r="B560" s="351" t="s">
        <v>2375</v>
      </c>
      <c r="C560" s="323" t="s">
        <v>14</v>
      </c>
      <c r="D560" s="543">
        <v>50212104474</v>
      </c>
      <c r="E560" s="582" t="s">
        <v>2376</v>
      </c>
      <c r="F560" s="274" t="s">
        <v>759</v>
      </c>
      <c r="G560" s="284" t="s">
        <v>76</v>
      </c>
      <c r="H560" s="284" t="s">
        <v>279</v>
      </c>
      <c r="I560" s="391">
        <v>9002071705</v>
      </c>
      <c r="J560" s="480">
        <v>9002071705</v>
      </c>
      <c r="K560" s="274" t="s">
        <v>253</v>
      </c>
      <c r="L560" s="484" t="s">
        <v>93</v>
      </c>
      <c r="M560" s="390">
        <v>23739</v>
      </c>
      <c r="N560" s="289">
        <v>45657</v>
      </c>
      <c r="O560" s="392">
        <v>45288</v>
      </c>
      <c r="P560" s="272">
        <v>45234</v>
      </c>
      <c r="Q560" s="302">
        <v>45481</v>
      </c>
      <c r="R560" s="393"/>
      <c r="S560" s="393"/>
      <c r="T560" s="394" t="s">
        <v>2002</v>
      </c>
      <c r="U560" s="394" t="s">
        <v>2377</v>
      </c>
      <c r="V560" s="383">
        <f>LEN(TEXT(D560,0))</f>
        <v>11</v>
      </c>
      <c r="W560" s="584">
        <v>43265</v>
      </c>
      <c r="X560" s="79"/>
      <c r="Y560" s="395"/>
      <c r="Z560" s="286" t="s">
        <v>84</v>
      </c>
      <c r="AA560" s="384"/>
      <c r="AB560" s="282">
        <f t="shared" ref="AB560:AB561" ca="1" si="100">INT((TODAY()-M560)/365)</f>
        <v>61</v>
      </c>
      <c r="AC560" s="384"/>
      <c r="AD560" s="384"/>
      <c r="AE560" s="384"/>
      <c r="AF560" s="384"/>
      <c r="AG560" s="384"/>
      <c r="AH560" s="384"/>
      <c r="AI560" s="384"/>
      <c r="AJ560" s="384"/>
      <c r="AK560" s="384"/>
      <c r="AL560" s="384"/>
      <c r="AM560" s="384"/>
    </row>
    <row r="561" spans="1:39" ht="15.75" customHeight="1">
      <c r="A561" s="974">
        <v>8</v>
      </c>
      <c r="B561" s="276" t="s">
        <v>2378</v>
      </c>
      <c r="C561" s="405" t="s">
        <v>14</v>
      </c>
      <c r="D561" s="675">
        <v>50204610430</v>
      </c>
      <c r="E561" s="1123" t="s">
        <v>2379</v>
      </c>
      <c r="F561" s="946" t="s">
        <v>759</v>
      </c>
      <c r="G561" s="870" t="s">
        <v>76</v>
      </c>
      <c r="H561" s="303" t="s">
        <v>279</v>
      </c>
      <c r="I561" s="307">
        <v>9002071264</v>
      </c>
      <c r="J561" s="703">
        <v>7003264522</v>
      </c>
      <c r="K561" s="274" t="s">
        <v>253</v>
      </c>
      <c r="L561" s="275" t="s">
        <v>94</v>
      </c>
      <c r="M561" s="278">
        <v>23726</v>
      </c>
      <c r="N561" s="315">
        <v>45657</v>
      </c>
      <c r="O561" s="278">
        <v>45289</v>
      </c>
      <c r="P561" s="278">
        <v>45475</v>
      </c>
      <c r="Q561" s="302">
        <v>45789</v>
      </c>
      <c r="R561" s="285"/>
      <c r="S561" s="285"/>
      <c r="T561" s="318" t="s">
        <v>2380</v>
      </c>
      <c r="U561" s="318" t="s">
        <v>2380</v>
      </c>
      <c r="V561" s="285"/>
      <c r="W561" s="440">
        <v>41093</v>
      </c>
      <c r="X561" s="3"/>
      <c r="Y561" s="3"/>
      <c r="Z561" s="197" t="s">
        <v>84</v>
      </c>
      <c r="AB561" s="311">
        <f t="shared" ca="1" si="100"/>
        <v>61</v>
      </c>
    </row>
    <row r="562" spans="1:39">
      <c r="A562" s="231">
        <v>3</v>
      </c>
      <c r="B562" s="232" t="s">
        <v>2381</v>
      </c>
      <c r="C562" s="233" t="s">
        <v>76</v>
      </c>
      <c r="D562" s="234" t="s">
        <v>137</v>
      </c>
      <c r="E562" s="1306">
        <v>5343150</v>
      </c>
      <c r="F562" s="231" t="s">
        <v>2382</v>
      </c>
      <c r="G562" s="236">
        <v>45657</v>
      </c>
      <c r="H562" s="233" t="s">
        <v>2383</v>
      </c>
      <c r="I562" s="233" t="s">
        <v>1634</v>
      </c>
      <c r="J562" s="237" t="s">
        <v>1433</v>
      </c>
      <c r="K562" s="238" t="s">
        <v>142</v>
      </c>
      <c r="L562" s="239"/>
      <c r="M562" s="197">
        <v>50274867430</v>
      </c>
    </row>
    <row r="563" spans="1:39">
      <c r="A563" s="90"/>
      <c r="C563" s="89"/>
      <c r="F563" s="90"/>
      <c r="I563" s="90"/>
      <c r="J563" s="90"/>
      <c r="L563" s="90"/>
    </row>
    <row r="564" spans="1:39">
      <c r="A564" s="90"/>
      <c r="B564" s="197" t="s">
        <v>2384</v>
      </c>
      <c r="C564" s="89"/>
      <c r="F564" s="90"/>
      <c r="I564" s="90"/>
      <c r="J564" s="90"/>
      <c r="L564" s="90"/>
    </row>
    <row r="565" spans="1:39" ht="15.75" customHeight="1">
      <c r="A565" s="1131">
        <v>66</v>
      </c>
      <c r="B565" s="301" t="s">
        <v>2385</v>
      </c>
      <c r="C565" s="274" t="s">
        <v>21</v>
      </c>
      <c r="D565" s="416">
        <v>50205678146</v>
      </c>
      <c r="E565" s="303" t="s">
        <v>2386</v>
      </c>
      <c r="F565" s="674" t="s">
        <v>759</v>
      </c>
      <c r="G565" s="274" t="s">
        <v>76</v>
      </c>
      <c r="H565" s="275"/>
      <c r="I565" s="275">
        <v>9674336702</v>
      </c>
      <c r="J565" s="275"/>
      <c r="K565" s="274" t="s">
        <v>253</v>
      </c>
      <c r="L565" s="275" t="s">
        <v>44</v>
      </c>
      <c r="M565" s="272">
        <v>34287</v>
      </c>
      <c r="N565" s="272">
        <v>56218</v>
      </c>
      <c r="O565" s="277">
        <v>46515</v>
      </c>
      <c r="P565" s="272">
        <v>45996</v>
      </c>
      <c r="Q565" s="419">
        <v>45980</v>
      </c>
      <c r="R565" s="281" t="s">
        <v>2387</v>
      </c>
      <c r="S565" s="280"/>
      <c r="T565" s="280"/>
      <c r="U565" s="280"/>
      <c r="V565" s="280">
        <f>LEN(D565)</f>
        <v>11</v>
      </c>
      <c r="W565" s="208">
        <f ca="1">INT((TODAY()-M565)/365)</f>
        <v>32</v>
      </c>
      <c r="AC565" s="311"/>
      <c r="AD565" s="311"/>
      <c r="AE565" s="311"/>
      <c r="AF565" s="311"/>
      <c r="AG565" s="311"/>
      <c r="AH565" s="311"/>
      <c r="AI565" s="311"/>
      <c r="AJ565" s="311"/>
      <c r="AK565" s="311"/>
      <c r="AL565" s="311"/>
      <c r="AM565" s="311"/>
    </row>
    <row r="566" spans="1:39">
      <c r="A566" s="90"/>
      <c r="B566" s="197"/>
      <c r="C566" s="89"/>
      <c r="F566" s="90"/>
      <c r="I566" s="90"/>
      <c r="J566" s="90"/>
      <c r="L566" s="90"/>
    </row>
    <row r="567" spans="1:39">
      <c r="A567" s="90"/>
      <c r="B567" s="197" t="s">
        <v>2388</v>
      </c>
      <c r="C567" s="89"/>
      <c r="F567" s="90"/>
      <c r="I567" s="90"/>
      <c r="J567" s="90"/>
      <c r="L567" s="90"/>
    </row>
    <row r="568" spans="1:39" ht="31.5" customHeight="1">
      <c r="A568" s="980"/>
      <c r="B568" s="1096" t="s">
        <v>2389</v>
      </c>
      <c r="C568" s="284" t="s">
        <v>22</v>
      </c>
      <c r="D568" s="1307">
        <v>33229817081</v>
      </c>
      <c r="E568" s="1308" t="s">
        <v>2390</v>
      </c>
      <c r="F568" s="274" t="s">
        <v>759</v>
      </c>
      <c r="G568" s="284" t="s">
        <v>77</v>
      </c>
      <c r="H568" s="391"/>
      <c r="I568" s="1309">
        <v>7908796861</v>
      </c>
      <c r="J568" s="284"/>
      <c r="K568" s="274" t="s">
        <v>464</v>
      </c>
      <c r="L568" s="274" t="s">
        <v>52</v>
      </c>
      <c r="M568" s="272"/>
      <c r="N568" s="272"/>
      <c r="O568" s="400"/>
      <c r="P568" s="279"/>
      <c r="Q568" s="302"/>
      <c r="R568" s="1250"/>
      <c r="S568" s="482"/>
      <c r="T568" s="1250"/>
      <c r="U568" s="482"/>
      <c r="V568" s="384"/>
      <c r="W568" s="563"/>
      <c r="Y568" s="90"/>
      <c r="AB568" s="311"/>
      <c r="AC568" s="311"/>
      <c r="AD568" s="311"/>
      <c r="AE568" s="311"/>
      <c r="AF568" s="311"/>
      <c r="AG568" s="311"/>
      <c r="AH568" s="311"/>
      <c r="AI568" s="311"/>
      <c r="AJ568" s="311"/>
      <c r="AK568" s="311"/>
      <c r="AL568" s="311"/>
      <c r="AM568" s="311"/>
    </row>
    <row r="569" spans="1:39">
      <c r="A569" s="90"/>
      <c r="C569" s="89"/>
      <c r="F569" s="90"/>
      <c r="I569" s="90"/>
      <c r="J569" s="90"/>
      <c r="L569" s="90"/>
    </row>
    <row r="570" spans="1:39">
      <c r="A570" s="90"/>
      <c r="B570" s="1198" t="s">
        <v>2391</v>
      </c>
      <c r="C570" s="89"/>
      <c r="F570" s="90"/>
      <c r="I570" s="90"/>
      <c r="J570" s="90"/>
      <c r="L570" s="90"/>
    </row>
    <row r="571" spans="1:39" ht="15.75" customHeight="1">
      <c r="A571" s="1162">
        <v>40</v>
      </c>
      <c r="B571" s="276" t="s">
        <v>2392</v>
      </c>
      <c r="C571" s="1310" t="s">
        <v>31</v>
      </c>
      <c r="D571" s="675">
        <v>50209378893</v>
      </c>
      <c r="E571" s="303" t="s">
        <v>2393</v>
      </c>
      <c r="F571" s="685" t="s">
        <v>759</v>
      </c>
      <c r="G571" s="337" t="s">
        <v>76</v>
      </c>
      <c r="H571" s="303" t="s">
        <v>279</v>
      </c>
      <c r="I571" s="307">
        <v>9002079079</v>
      </c>
      <c r="J571" s="307">
        <v>9002079079</v>
      </c>
      <c r="K571" s="307" t="s">
        <v>253</v>
      </c>
      <c r="L571" s="275" t="s">
        <v>93</v>
      </c>
      <c r="M571" s="278">
        <v>23750</v>
      </c>
      <c r="N571" s="315">
        <v>45688</v>
      </c>
      <c r="O571" s="278">
        <v>44937</v>
      </c>
      <c r="P571" s="278">
        <v>45866</v>
      </c>
      <c r="Q571" s="302">
        <v>45397</v>
      </c>
      <c r="R571" s="285"/>
      <c r="S571" s="285"/>
      <c r="T571" s="318" t="s">
        <v>2394</v>
      </c>
      <c r="U571" s="318" t="s">
        <v>2394</v>
      </c>
      <c r="V571" s="285">
        <f t="shared" ref="V571:V573" si="101">LEN(D571)</f>
        <v>11</v>
      </c>
      <c r="W571" s="3"/>
      <c r="X571" s="90"/>
      <c r="Y571" s="3"/>
      <c r="Z571" s="79"/>
      <c r="AA571" s="79"/>
      <c r="AB571" s="311">
        <f t="shared" ref="AB571:AB573" ca="1" si="102">INT((TODAY()-M571)/365)</f>
        <v>61</v>
      </c>
    </row>
    <row r="572" spans="1:39" ht="15.75" customHeight="1">
      <c r="A572" s="1162">
        <v>88</v>
      </c>
      <c r="B572" s="276" t="s">
        <v>2395</v>
      </c>
      <c r="C572" s="1311" t="s">
        <v>31</v>
      </c>
      <c r="D572" s="675">
        <v>50209384029</v>
      </c>
      <c r="E572" s="303" t="s">
        <v>2396</v>
      </c>
      <c r="F572" s="685" t="s">
        <v>759</v>
      </c>
      <c r="G572" s="337" t="s">
        <v>76</v>
      </c>
      <c r="H572" s="303" t="s">
        <v>279</v>
      </c>
      <c r="I572" s="307">
        <v>9002071744</v>
      </c>
      <c r="J572" s="307">
        <v>9002071744</v>
      </c>
      <c r="K572" s="307" t="s">
        <v>253</v>
      </c>
      <c r="L572" s="274" t="s">
        <v>56</v>
      </c>
      <c r="M572" s="278">
        <v>23748</v>
      </c>
      <c r="N572" s="315">
        <v>45688</v>
      </c>
      <c r="O572" s="278">
        <v>45303</v>
      </c>
      <c r="P572" s="278">
        <v>45003</v>
      </c>
      <c r="Q572" s="302">
        <v>45232</v>
      </c>
      <c r="R572" s="285"/>
      <c r="S572" s="285"/>
      <c r="T572" s="318" t="s">
        <v>2397</v>
      </c>
      <c r="U572" s="318" t="s">
        <v>2398</v>
      </c>
      <c r="V572" s="285">
        <f t="shared" si="101"/>
        <v>11</v>
      </c>
      <c r="W572" s="3"/>
      <c r="X572" s="3"/>
      <c r="Y572" s="3"/>
      <c r="Z572" s="79"/>
      <c r="AA572" s="79"/>
      <c r="AB572" s="311">
        <f t="shared" ca="1" si="102"/>
        <v>61</v>
      </c>
      <c r="AC572" s="311"/>
      <c r="AD572" s="311"/>
      <c r="AE572" s="311"/>
      <c r="AF572" s="311"/>
    </row>
    <row r="573" spans="1:39" ht="15.75" customHeight="1">
      <c r="A573" s="1162">
        <v>120</v>
      </c>
      <c r="B573" s="276" t="s">
        <v>2399</v>
      </c>
      <c r="C573" s="1310" t="s">
        <v>31</v>
      </c>
      <c r="D573" s="677">
        <v>50205389392</v>
      </c>
      <c r="E573" s="303" t="s">
        <v>2400</v>
      </c>
      <c r="F573" s="685" t="s">
        <v>759</v>
      </c>
      <c r="G573" s="337" t="s">
        <v>76</v>
      </c>
      <c r="H573" s="303" t="s">
        <v>279</v>
      </c>
      <c r="I573" s="703">
        <v>9002071690</v>
      </c>
      <c r="J573" s="703">
        <v>9002071690</v>
      </c>
      <c r="K573" s="307" t="s">
        <v>253</v>
      </c>
      <c r="L573" s="274" t="s">
        <v>299</v>
      </c>
      <c r="M573" s="278">
        <v>23757</v>
      </c>
      <c r="N573" s="315">
        <v>45688</v>
      </c>
      <c r="O573" s="278">
        <v>45304</v>
      </c>
      <c r="P573" s="278">
        <v>45501</v>
      </c>
      <c r="Q573" s="302">
        <v>45397</v>
      </c>
      <c r="R573" s="285"/>
      <c r="S573" s="285"/>
      <c r="T573" s="318" t="s">
        <v>2401</v>
      </c>
      <c r="U573" s="318" t="s">
        <v>2402</v>
      </c>
      <c r="V573" s="285">
        <f t="shared" si="101"/>
        <v>11</v>
      </c>
      <c r="W573" s="90"/>
      <c r="X573" s="3"/>
      <c r="Y573" s="3"/>
      <c r="Z573" s="79"/>
      <c r="AA573" s="79"/>
      <c r="AB573" s="382">
        <f t="shared" ca="1" si="102"/>
        <v>61</v>
      </c>
      <c r="AC573" s="79"/>
      <c r="AD573" s="79"/>
      <c r="AE573" s="79"/>
      <c r="AF573" s="79"/>
      <c r="AG573" s="79"/>
      <c r="AH573" s="79"/>
    </row>
    <row r="574" spans="1:39" ht="15.75" customHeight="1">
      <c r="A574" s="936">
        <v>67</v>
      </c>
      <c r="B574" s="293" t="s">
        <v>2403</v>
      </c>
      <c r="C574" s="1082" t="s">
        <v>31</v>
      </c>
      <c r="D574" s="284">
        <v>50205316467</v>
      </c>
      <c r="E574" s="366" t="s">
        <v>2404</v>
      </c>
      <c r="F574" s="274" t="s">
        <v>759</v>
      </c>
      <c r="G574" s="274" t="s">
        <v>77</v>
      </c>
      <c r="H574" s="274" t="s">
        <v>279</v>
      </c>
      <c r="I574" s="275">
        <v>9002071326</v>
      </c>
      <c r="J574" s="284">
        <v>9088210413</v>
      </c>
      <c r="K574" s="275" t="s">
        <v>261</v>
      </c>
      <c r="L574" s="274" t="s">
        <v>299</v>
      </c>
      <c r="M574" s="289">
        <v>23759</v>
      </c>
      <c r="N574" s="289">
        <v>45688</v>
      </c>
      <c r="O574" s="272">
        <v>45324</v>
      </c>
      <c r="P574" s="278">
        <v>45115</v>
      </c>
      <c r="Q574" s="272">
        <v>45901</v>
      </c>
      <c r="R574" s="79"/>
      <c r="S574" s="295"/>
      <c r="T574" s="603" t="s">
        <v>2405</v>
      </c>
      <c r="U574" s="603" t="s">
        <v>2405</v>
      </c>
      <c r="V574" s="297">
        <f t="shared" ref="V574:V576" si="103">LEN(TEXT(D574,0))</f>
        <v>11</v>
      </c>
      <c r="W574" s="208">
        <f t="shared" ref="W574:W576" ca="1" si="104">INT((TODAY()-M574)/365)</f>
        <v>61</v>
      </c>
      <c r="X574" s="298"/>
      <c r="Y574" s="298"/>
      <c r="Z574" s="298"/>
      <c r="AA574" s="298"/>
      <c r="AB574" s="298"/>
      <c r="AC574" s="298"/>
      <c r="AD574" s="298"/>
      <c r="AE574" s="298"/>
      <c r="AF574" s="298"/>
      <c r="AG574" s="298"/>
      <c r="AH574" s="298"/>
      <c r="AI574" s="298"/>
      <c r="AJ574" s="298"/>
      <c r="AK574" s="298"/>
      <c r="AL574" s="298"/>
      <c r="AM574" s="298"/>
    </row>
    <row r="575" spans="1:39" ht="15.75" customHeight="1">
      <c r="A575" s="936">
        <v>81</v>
      </c>
      <c r="B575" s="1147" t="s">
        <v>44</v>
      </c>
      <c r="C575" s="1082" t="s">
        <v>31</v>
      </c>
      <c r="D575" s="284">
        <v>50204604623</v>
      </c>
      <c r="E575" s="274" t="s">
        <v>2406</v>
      </c>
      <c r="F575" s="274" t="s">
        <v>759</v>
      </c>
      <c r="G575" s="274" t="s">
        <v>77</v>
      </c>
      <c r="H575" s="274" t="s">
        <v>279</v>
      </c>
      <c r="I575" s="275">
        <v>9002071687</v>
      </c>
      <c r="J575" s="284">
        <v>9002071687</v>
      </c>
      <c r="K575" s="275" t="s">
        <v>261</v>
      </c>
      <c r="L575" s="656" t="s">
        <v>306</v>
      </c>
      <c r="M575" s="289">
        <v>23759</v>
      </c>
      <c r="N575" s="289">
        <v>45688</v>
      </c>
      <c r="O575" s="272">
        <v>45308</v>
      </c>
      <c r="P575" s="289">
        <v>45232</v>
      </c>
      <c r="Q575" s="272">
        <v>46076</v>
      </c>
      <c r="R575" s="294"/>
      <c r="S575" s="295"/>
      <c r="T575" s="603" t="s">
        <v>2407</v>
      </c>
      <c r="U575" s="603" t="s">
        <v>2407</v>
      </c>
      <c r="V575" s="297">
        <f t="shared" si="103"/>
        <v>11</v>
      </c>
      <c r="W575" s="208">
        <f t="shared" ca="1" si="104"/>
        <v>61</v>
      </c>
      <c r="X575" s="298"/>
      <c r="Y575" s="298"/>
      <c r="Z575" s="298"/>
      <c r="AA575" s="298"/>
      <c r="AB575" s="298"/>
      <c r="AC575" s="298"/>
      <c r="AD575" s="298"/>
      <c r="AE575" s="298"/>
      <c r="AF575" s="298"/>
      <c r="AG575" s="298"/>
    </row>
    <row r="576" spans="1:39" ht="15.75" customHeight="1">
      <c r="A576" s="936">
        <v>104</v>
      </c>
      <c r="B576" s="293" t="s">
        <v>2408</v>
      </c>
      <c r="C576" s="1082" t="s">
        <v>31</v>
      </c>
      <c r="D576" s="284">
        <v>50209380255</v>
      </c>
      <c r="E576" s="303" t="s">
        <v>2409</v>
      </c>
      <c r="F576" s="274" t="s">
        <v>759</v>
      </c>
      <c r="G576" s="303" t="s">
        <v>76</v>
      </c>
      <c r="H576" s="274" t="s">
        <v>279</v>
      </c>
      <c r="I576" s="275">
        <v>9002071896</v>
      </c>
      <c r="J576" s="284">
        <v>6290509549</v>
      </c>
      <c r="K576" s="275" t="s">
        <v>261</v>
      </c>
      <c r="L576" s="274" t="s">
        <v>331</v>
      </c>
      <c r="M576" s="289">
        <v>23764</v>
      </c>
      <c r="N576" s="289">
        <v>45688</v>
      </c>
      <c r="O576" s="272">
        <v>45338</v>
      </c>
      <c r="P576" s="687">
        <v>45552</v>
      </c>
      <c r="Q576" s="272">
        <v>45509</v>
      </c>
      <c r="R576" s="79"/>
      <c r="S576" s="79"/>
      <c r="T576" s="377" t="s">
        <v>2410</v>
      </c>
      <c r="U576" s="377" t="s">
        <v>2410</v>
      </c>
      <c r="V576" s="298">
        <f t="shared" si="103"/>
        <v>11</v>
      </c>
      <c r="W576" s="208">
        <f t="shared" ca="1" si="104"/>
        <v>61</v>
      </c>
      <c r="X576" s="298"/>
      <c r="Y576" s="298"/>
      <c r="Z576" s="298"/>
      <c r="AA576" s="298"/>
      <c r="AB576" s="298"/>
      <c r="AC576" s="298"/>
      <c r="AD576" s="298"/>
      <c r="AE576" s="298"/>
      <c r="AF576" s="298"/>
      <c r="AG576" s="298"/>
      <c r="AH576" s="298"/>
      <c r="AI576" s="298"/>
      <c r="AJ576" s="298"/>
      <c r="AK576" s="298"/>
      <c r="AL576" s="298"/>
      <c r="AM576" s="298"/>
    </row>
    <row r="577" spans="1:39">
      <c r="A577" s="1125">
        <v>35</v>
      </c>
      <c r="B577" s="293" t="s">
        <v>2411</v>
      </c>
      <c r="C577" s="1082" t="s">
        <v>31</v>
      </c>
      <c r="D577" s="304">
        <v>50205384175</v>
      </c>
      <c r="E577" s="303" t="s">
        <v>2412</v>
      </c>
      <c r="F577" s="18" t="s">
        <v>759</v>
      </c>
      <c r="G577" s="303" t="s">
        <v>76</v>
      </c>
      <c r="H577" s="274" t="s">
        <v>266</v>
      </c>
      <c r="I577" s="275">
        <v>9002071664</v>
      </c>
      <c r="J577" s="284">
        <v>7596820508</v>
      </c>
      <c r="K577" s="275" t="s">
        <v>290</v>
      </c>
      <c r="L577" s="274" t="s">
        <v>56</v>
      </c>
      <c r="M577" s="272">
        <v>23760</v>
      </c>
      <c r="N577" s="272">
        <v>45688</v>
      </c>
      <c r="O577" s="272">
        <v>45318</v>
      </c>
      <c r="P577" s="279">
        <v>45748</v>
      </c>
      <c r="Q577" s="272">
        <v>45674</v>
      </c>
      <c r="R577" s="79"/>
      <c r="S577" s="485"/>
      <c r="T577" s="603" t="s">
        <v>2413</v>
      </c>
      <c r="U577" s="603" t="s">
        <v>2413</v>
      </c>
      <c r="V577" s="382">
        <f>LEN(D577)</f>
        <v>11</v>
      </c>
      <c r="W577" s="311"/>
      <c r="X577" s="48">
        <f ca="1">INT((TODAY()-M577)/365)</f>
        <v>61</v>
      </c>
      <c r="Y577" s="382"/>
      <c r="Z577" s="382"/>
      <c r="AA577" s="382"/>
      <c r="AB577" s="382"/>
      <c r="AC577" s="382"/>
      <c r="AD577" s="382"/>
      <c r="AE577" s="382"/>
      <c r="AF577" s="382"/>
      <c r="AG577" s="382"/>
      <c r="AH577" s="382"/>
      <c r="AI577" s="311"/>
      <c r="AJ577" s="311"/>
      <c r="AK577" s="311"/>
      <c r="AL577" s="311"/>
      <c r="AM577" s="311"/>
    </row>
    <row r="578" spans="1:39" ht="15.75" customHeight="1">
      <c r="A578" s="1263">
        <v>5</v>
      </c>
      <c r="B578" s="287" t="s">
        <v>2414</v>
      </c>
      <c r="C578" s="1312" t="s">
        <v>21</v>
      </c>
      <c r="D578" s="488">
        <v>50209378935</v>
      </c>
      <c r="E578" s="1004" t="s">
        <v>2415</v>
      </c>
      <c r="F578" s="284" t="s">
        <v>759</v>
      </c>
      <c r="G578" s="385" t="s">
        <v>76</v>
      </c>
      <c r="H578" s="275"/>
      <c r="I578" s="275">
        <v>9002071736</v>
      </c>
      <c r="J578" s="415">
        <v>9002071736</v>
      </c>
      <c r="K578" s="275" t="s">
        <v>330</v>
      </c>
      <c r="L578" s="275" t="s">
        <v>43</v>
      </c>
      <c r="M578" s="272">
        <v>23744</v>
      </c>
      <c r="N578" s="272">
        <v>45688</v>
      </c>
      <c r="O578" s="272">
        <v>45192</v>
      </c>
      <c r="P578" s="279">
        <v>45522</v>
      </c>
      <c r="Q578" s="302">
        <v>45160</v>
      </c>
      <c r="R578" s="485"/>
      <c r="S578" s="486" t="s">
        <v>2416</v>
      </c>
      <c r="T578" s="485"/>
      <c r="U578" s="485"/>
      <c r="V578" s="388">
        <f t="shared" ref="V578:V579" ca="1" si="105">INT((TODAY()-M578)/365)</f>
        <v>61</v>
      </c>
      <c r="W578" s="311"/>
      <c r="X578" s="382"/>
      <c r="Y578" s="382"/>
      <c r="Z578" s="382"/>
      <c r="AA578" s="311"/>
      <c r="AB578" s="311"/>
      <c r="AC578" s="311"/>
      <c r="AD578" s="311"/>
      <c r="AE578" s="311"/>
      <c r="AF578" s="311"/>
      <c r="AG578" s="311"/>
      <c r="AH578" s="311"/>
      <c r="AI578" s="311"/>
      <c r="AJ578" s="311"/>
      <c r="AK578" s="311"/>
      <c r="AL578" s="311"/>
    </row>
    <row r="579" spans="1:39" ht="15.75" customHeight="1">
      <c r="A579" s="1263">
        <v>6</v>
      </c>
      <c r="B579" s="287" t="s">
        <v>2417</v>
      </c>
      <c r="C579" s="1312" t="s">
        <v>21</v>
      </c>
      <c r="D579" s="488">
        <v>50209381521</v>
      </c>
      <c r="E579" s="421" t="s">
        <v>2418</v>
      </c>
      <c r="F579" s="624" t="s">
        <v>759</v>
      </c>
      <c r="G579" s="385" t="s">
        <v>76</v>
      </c>
      <c r="H579" s="275"/>
      <c r="I579" s="275">
        <v>9002079612</v>
      </c>
      <c r="J579" s="690"/>
      <c r="K579" s="275" t="s">
        <v>330</v>
      </c>
      <c r="L579" s="274" t="s">
        <v>65</v>
      </c>
      <c r="M579" s="272">
        <v>23762</v>
      </c>
      <c r="N579" s="272">
        <v>45688</v>
      </c>
      <c r="O579" s="272">
        <v>45118</v>
      </c>
      <c r="P579" s="279">
        <v>45377</v>
      </c>
      <c r="Q579" s="302">
        <v>45160</v>
      </c>
      <c r="R579" s="485"/>
      <c r="S579" s="486" t="s">
        <v>2419</v>
      </c>
      <c r="T579" s="485"/>
      <c r="U579" s="485"/>
      <c r="V579" s="388">
        <f t="shared" ca="1" si="105"/>
        <v>61</v>
      </c>
      <c r="X579" s="311"/>
      <c r="Y579" s="382"/>
      <c r="Z579" s="382"/>
      <c r="AA579" s="311"/>
      <c r="AB579" s="311"/>
      <c r="AC579" s="311"/>
      <c r="AD579" s="311"/>
      <c r="AE579" s="311"/>
      <c r="AF579" s="311"/>
      <c r="AG579" s="311"/>
      <c r="AH579" s="311"/>
      <c r="AI579" s="311"/>
      <c r="AJ579" s="311"/>
      <c r="AK579" s="311"/>
      <c r="AL579" s="311"/>
    </row>
    <row r="580" spans="1:39">
      <c r="A580" s="574">
        <v>5</v>
      </c>
      <c r="B580" s="575" t="s">
        <v>2420</v>
      </c>
      <c r="C580" s="1313" t="s">
        <v>36</v>
      </c>
      <c r="D580" s="577">
        <v>50205342909</v>
      </c>
      <c r="E580" s="18" t="s">
        <v>2421</v>
      </c>
      <c r="F580" s="574" t="s">
        <v>23</v>
      </c>
      <c r="G580" s="476">
        <v>23760</v>
      </c>
      <c r="H580" s="476">
        <v>45688</v>
      </c>
      <c r="I580" s="18">
        <v>9002079726</v>
      </c>
      <c r="J580" s="18" t="s">
        <v>76</v>
      </c>
      <c r="K580" s="90"/>
    </row>
    <row r="581" spans="1:39" ht="15.75" customHeight="1">
      <c r="A581" s="574">
        <v>26</v>
      </c>
      <c r="B581" s="509" t="s">
        <v>2422</v>
      </c>
      <c r="C581" s="1314" t="s">
        <v>36</v>
      </c>
      <c r="D581" s="18">
        <v>50205355369</v>
      </c>
      <c r="E581" s="657" t="s">
        <v>2423</v>
      </c>
      <c r="F581" s="574" t="s">
        <v>23</v>
      </c>
      <c r="G581" s="1315">
        <v>23749</v>
      </c>
      <c r="H581" s="1316">
        <v>45688</v>
      </c>
      <c r="I581" s="307">
        <v>9002071262</v>
      </c>
      <c r="J581" s="337" t="s">
        <v>77</v>
      </c>
      <c r="K581" s="391" t="s">
        <v>334</v>
      </c>
      <c r="L581" s="303" t="s">
        <v>93</v>
      </c>
      <c r="M581" s="79"/>
      <c r="O581" s="278">
        <v>44959</v>
      </c>
      <c r="P581" s="279">
        <v>45527</v>
      </c>
      <c r="Q581" s="302">
        <v>45284</v>
      </c>
      <c r="R581" s="285"/>
      <c r="S581" s="285"/>
      <c r="T581" s="318" t="s">
        <v>2424</v>
      </c>
      <c r="U581" s="318" t="s">
        <v>2424</v>
      </c>
      <c r="V581" s="383">
        <f>LEN(TEXT(D581,0))</f>
        <v>11</v>
      </c>
      <c r="W581" s="3"/>
      <c r="X581" s="3"/>
      <c r="Y581" s="3"/>
      <c r="Z581" s="79"/>
      <c r="AA581" s="79"/>
      <c r="AB581" s="311">
        <f ca="1">INT((TODAY()-G581)/365)</f>
        <v>61</v>
      </c>
      <c r="AC581" s="384"/>
      <c r="AD581" s="384"/>
      <c r="AE581" s="384"/>
      <c r="AF581" s="384"/>
      <c r="AG581" s="384"/>
      <c r="AH581" s="384"/>
      <c r="AI581" s="384"/>
      <c r="AJ581" s="384"/>
      <c r="AK581" s="384"/>
      <c r="AL581" s="384"/>
      <c r="AM581" s="384"/>
    </row>
    <row r="582" spans="1:39">
      <c r="A582" s="574">
        <v>30</v>
      </c>
      <c r="B582" s="287" t="s">
        <v>2425</v>
      </c>
      <c r="C582" s="1317" t="s">
        <v>36</v>
      </c>
      <c r="D582" s="488">
        <v>50212108601</v>
      </c>
      <c r="E582" s="303" t="s">
        <v>2426</v>
      </c>
      <c r="F582" s="574" t="s">
        <v>23</v>
      </c>
      <c r="G582" s="289">
        <v>23774</v>
      </c>
      <c r="H582" s="289">
        <v>45688</v>
      </c>
      <c r="I582" s="284">
        <v>9002079013</v>
      </c>
      <c r="J582" s="385" t="s">
        <v>76</v>
      </c>
      <c r="K582" s="391" t="s">
        <v>334</v>
      </c>
      <c r="L582" s="274" t="s">
        <v>489</v>
      </c>
      <c r="O582" s="272">
        <v>45315</v>
      </c>
      <c r="P582" s="279">
        <v>45835</v>
      </c>
      <c r="Q582" s="279">
        <v>45842</v>
      </c>
      <c r="S582" s="309"/>
      <c r="T582" s="310" t="s">
        <v>2427</v>
      </c>
      <c r="U582" s="310" t="s">
        <v>2427</v>
      </c>
      <c r="V582" s="388">
        <f ca="1">INT((TODAY()-G582)/365)</f>
        <v>61</v>
      </c>
      <c r="W582" s="311"/>
      <c r="X582" s="311"/>
      <c r="Y582" s="311"/>
      <c r="Z582" s="311"/>
      <c r="AA582" s="311"/>
      <c r="AB582" s="311"/>
      <c r="AC582" s="311"/>
      <c r="AD582" s="311"/>
      <c r="AE582" s="311"/>
      <c r="AF582" s="311"/>
      <c r="AG582" s="311"/>
      <c r="AH582" s="311"/>
      <c r="AI582" s="311"/>
      <c r="AJ582" s="311"/>
      <c r="AK582" s="311"/>
      <c r="AL582" s="311"/>
      <c r="AM582" s="311"/>
    </row>
    <row r="583" spans="1:39">
      <c r="A583" s="18">
        <v>2</v>
      </c>
      <c r="B583" s="474" t="s">
        <v>2428</v>
      </c>
      <c r="C583" s="1318" t="s">
        <v>137</v>
      </c>
      <c r="D583" s="557">
        <v>50205384266</v>
      </c>
      <c r="E583" s="475" t="s">
        <v>2429</v>
      </c>
      <c r="F583" s="18" t="s">
        <v>447</v>
      </c>
      <c r="G583" s="476">
        <v>23757</v>
      </c>
      <c r="H583" s="476">
        <v>45688</v>
      </c>
      <c r="I583" s="307" t="s">
        <v>253</v>
      </c>
      <c r="J583" s="18" t="s">
        <v>76</v>
      </c>
      <c r="K583" s="137"/>
      <c r="L583" s="477"/>
    </row>
    <row r="584" spans="1:39" ht="15.75" customHeight="1">
      <c r="A584" s="18">
        <v>13</v>
      </c>
      <c r="B584" s="1319" t="s">
        <v>2430</v>
      </c>
      <c r="C584" s="1082" t="s">
        <v>31</v>
      </c>
      <c r="D584" s="306">
        <v>55020355310</v>
      </c>
      <c r="E584" s="303" t="s">
        <v>2431</v>
      </c>
      <c r="F584" s="18" t="s">
        <v>514</v>
      </c>
      <c r="G584" s="272">
        <v>23771</v>
      </c>
      <c r="H584" s="272">
        <v>45688</v>
      </c>
      <c r="I584" s="274" t="s">
        <v>261</v>
      </c>
      <c r="J584" s="303" t="s">
        <v>76</v>
      </c>
      <c r="K584" s="275" t="s">
        <v>261</v>
      </c>
      <c r="L584" s="275" t="s">
        <v>1043</v>
      </c>
      <c r="M584" s="289">
        <v>23771</v>
      </c>
      <c r="N584" s="279">
        <v>45487</v>
      </c>
      <c r="O584" s="915">
        <v>45453</v>
      </c>
      <c r="Q584" s="275">
        <v>9002071619</v>
      </c>
      <c r="R584" s="286" t="s">
        <v>1269</v>
      </c>
      <c r="S584" s="295"/>
      <c r="T584" s="603" t="s">
        <v>2432</v>
      </c>
      <c r="U584" s="603" t="s">
        <v>2432</v>
      </c>
      <c r="V584" s="297">
        <f>LEN(TEXT(D584,0))</f>
        <v>11</v>
      </c>
      <c r="W584" s="208">
        <f ca="1">INT((TODAY()-M584)/365)</f>
        <v>61</v>
      </c>
      <c r="X584" s="298"/>
      <c r="Y584" s="298"/>
      <c r="Z584" s="298"/>
      <c r="AA584" s="298"/>
      <c r="AB584" s="298"/>
      <c r="AC584" s="298"/>
      <c r="AD584" s="298"/>
      <c r="AE584" s="298"/>
      <c r="AF584" s="298"/>
      <c r="AG584" s="298"/>
      <c r="AH584" s="298"/>
      <c r="AI584" s="298"/>
      <c r="AJ584" s="298"/>
      <c r="AK584" s="298"/>
      <c r="AL584" s="298"/>
      <c r="AM584" s="298"/>
    </row>
    <row r="585" spans="1:39" ht="15.75">
      <c r="A585" s="656">
        <v>6</v>
      </c>
      <c r="B585" s="305" t="s">
        <v>2433</v>
      </c>
      <c r="C585" s="1320" t="s">
        <v>14</v>
      </c>
      <c r="D585" s="1321">
        <v>50210291544</v>
      </c>
      <c r="E585" s="18" t="s">
        <v>2434</v>
      </c>
      <c r="F585" s="970" t="s">
        <v>759</v>
      </c>
      <c r="G585" s="1165" t="s">
        <v>76</v>
      </c>
      <c r="H585" s="303" t="s">
        <v>279</v>
      </c>
      <c r="I585" s="307">
        <v>9163382045</v>
      </c>
      <c r="J585" s="307"/>
      <c r="K585" s="307" t="s">
        <v>253</v>
      </c>
      <c r="L585" s="274" t="s">
        <v>351</v>
      </c>
      <c r="M585" s="278">
        <v>23752</v>
      </c>
      <c r="N585" s="315">
        <v>45688</v>
      </c>
      <c r="O585" s="278">
        <v>45182</v>
      </c>
      <c r="P585" s="278">
        <v>45863</v>
      </c>
      <c r="Q585" s="302">
        <v>45705</v>
      </c>
      <c r="R585" s="449" t="s">
        <v>313</v>
      </c>
      <c r="S585" s="285"/>
      <c r="T585" s="285"/>
      <c r="U585" s="318" t="s">
        <v>2435</v>
      </c>
      <c r="V585" s="285"/>
      <c r="W585" s="285">
        <f>LEN(D585)</f>
        <v>11</v>
      </c>
      <c r="X585" s="532">
        <v>44117</v>
      </c>
      <c r="Y585" s="3"/>
      <c r="Z585" s="3"/>
      <c r="AA585" s="286" t="s">
        <v>84</v>
      </c>
      <c r="AB585" s="79"/>
      <c r="AC585" s="382">
        <f ca="1">INT((TODAY()-M585)/365)</f>
        <v>61</v>
      </c>
      <c r="AD585" s="199"/>
      <c r="AE585" s="199"/>
      <c r="AF585" s="199"/>
      <c r="AG585" s="199"/>
      <c r="AH585" s="199"/>
      <c r="AI585" s="199"/>
      <c r="AJ585" s="199"/>
      <c r="AK585" s="199"/>
      <c r="AL585" s="199"/>
    </row>
    <row r="586" spans="1:39" ht="15.75">
      <c r="A586" s="656">
        <v>2</v>
      </c>
      <c r="B586" s="524" t="s">
        <v>2436</v>
      </c>
      <c r="C586" s="1322" t="s">
        <v>31</v>
      </c>
      <c r="D586" s="526">
        <v>50212081383</v>
      </c>
      <c r="E586" s="527" t="s">
        <v>2437</v>
      </c>
      <c r="F586" s="970" t="s">
        <v>759</v>
      </c>
      <c r="G586" s="1323" t="s">
        <v>76</v>
      </c>
      <c r="H586" s="303" t="s">
        <v>266</v>
      </c>
      <c r="I586" s="18">
        <v>9002071138</v>
      </c>
      <c r="J586" s="1141"/>
      <c r="K586" s="409" t="s">
        <v>261</v>
      </c>
      <c r="L586" s="656" t="s">
        <v>62</v>
      </c>
      <c r="M586" s="528">
        <v>23747</v>
      </c>
      <c r="N586" s="529">
        <v>45688</v>
      </c>
      <c r="O586" s="1142"/>
      <c r="P586" s="1143"/>
      <c r="Q586" s="3"/>
      <c r="R586" s="449" t="s">
        <v>313</v>
      </c>
      <c r="S586" s="533"/>
      <c r="T586" s="533"/>
      <c r="U586" s="534" t="s">
        <v>2438</v>
      </c>
      <c r="V586" s="535" t="s">
        <v>2439</v>
      </c>
      <c r="W586" s="533"/>
      <c r="X586" s="533"/>
      <c r="Y586" s="533"/>
      <c r="Z586" s="334"/>
      <c r="AA586" s="334"/>
      <c r="AB586" s="334"/>
      <c r="AC586" s="334"/>
      <c r="AD586" s="199"/>
      <c r="AE586" s="199"/>
      <c r="AF586" s="199"/>
      <c r="AG586" s="199"/>
      <c r="AH586" s="199"/>
      <c r="AI586" s="199"/>
      <c r="AJ586" s="199"/>
      <c r="AK586" s="199"/>
      <c r="AL586" s="199"/>
    </row>
    <row r="587" spans="1:39" ht="15.75">
      <c r="A587" s="656">
        <v>9</v>
      </c>
      <c r="B587" s="659" t="s">
        <v>2440</v>
      </c>
      <c r="C587" s="327" t="s">
        <v>686</v>
      </c>
      <c r="D587" s="79"/>
      <c r="E587" s="327" t="s">
        <v>2441</v>
      </c>
      <c r="F587" s="327" t="s">
        <v>682</v>
      </c>
      <c r="G587" s="661">
        <v>50205337501</v>
      </c>
      <c r="H587" s="662" t="s">
        <v>253</v>
      </c>
      <c r="I587" s="663" t="s">
        <v>702</v>
      </c>
      <c r="J587" s="329">
        <v>23754</v>
      </c>
      <c r="K587" s="329">
        <v>45688</v>
      </c>
      <c r="S587" s="658"/>
    </row>
    <row r="588" spans="1:39" ht="15.75">
      <c r="A588" s="656">
        <v>10</v>
      </c>
      <c r="B588" s="1324" t="s">
        <v>2442</v>
      </c>
      <c r="C588" s="327" t="s">
        <v>689</v>
      </c>
      <c r="D588" s="79"/>
      <c r="E588" s="327" t="s">
        <v>2443</v>
      </c>
      <c r="F588" s="327" t="s">
        <v>682</v>
      </c>
      <c r="G588" s="661">
        <v>50207324170</v>
      </c>
      <c r="H588" s="662" t="s">
        <v>315</v>
      </c>
      <c r="I588" s="663"/>
      <c r="J588" s="329">
        <v>23761</v>
      </c>
      <c r="K588" s="329">
        <v>45688</v>
      </c>
    </row>
    <row r="589" spans="1:39" ht="16.5">
      <c r="A589" s="1325">
        <v>8</v>
      </c>
      <c r="B589" s="1326" t="s">
        <v>122</v>
      </c>
      <c r="C589" s="1327" t="s">
        <v>543</v>
      </c>
      <c r="D589" s="1328">
        <v>50205362921</v>
      </c>
      <c r="E589" s="1328" t="s">
        <v>2444</v>
      </c>
      <c r="F589" s="1329" t="s">
        <v>23</v>
      </c>
      <c r="G589" s="1330" t="s">
        <v>2445</v>
      </c>
      <c r="H589" s="1330" t="s">
        <v>2446</v>
      </c>
      <c r="I589" s="1329">
        <v>9002071404</v>
      </c>
      <c r="J589" s="1331"/>
      <c r="K589" s="1332"/>
      <c r="L589" s="1332"/>
      <c r="M589" s="1332"/>
      <c r="N589" s="1332"/>
      <c r="O589" s="1332"/>
      <c r="P589" s="1332"/>
      <c r="Q589" s="1332"/>
      <c r="R589" s="1332"/>
      <c r="S589" s="1332"/>
      <c r="T589" s="1332"/>
      <c r="U589" s="1332"/>
      <c r="V589" s="1332"/>
      <c r="W589" s="1332"/>
      <c r="X589" s="1332"/>
      <c r="Y589" s="1332"/>
      <c r="Z589" s="1332"/>
      <c r="AA589" s="1332"/>
    </row>
    <row r="590" spans="1:39" ht="16.5">
      <c r="A590" s="1325">
        <v>2</v>
      </c>
      <c r="B590" s="1326" t="s">
        <v>119</v>
      </c>
      <c r="C590" s="1327" t="s">
        <v>543</v>
      </c>
      <c r="D590" s="1328">
        <v>50204666653</v>
      </c>
      <c r="E590" s="1328" t="s">
        <v>2447</v>
      </c>
      <c r="F590" s="1329" t="s">
        <v>23</v>
      </c>
      <c r="G590" s="1333">
        <v>23863</v>
      </c>
      <c r="H590" s="1330" t="s">
        <v>2446</v>
      </c>
      <c r="I590" s="1329">
        <v>9002079470</v>
      </c>
      <c r="J590" s="1331"/>
      <c r="K590" s="1332"/>
      <c r="L590" s="1332"/>
      <c r="M590" s="1332"/>
      <c r="N590" s="1332"/>
      <c r="O590" s="1332"/>
      <c r="P590" s="1332"/>
      <c r="Q590" s="1332"/>
      <c r="R590" s="1332"/>
      <c r="S590" s="1332"/>
      <c r="T590" s="1332"/>
      <c r="U590" s="1332"/>
      <c r="V590" s="1332"/>
      <c r="W590" s="1332"/>
      <c r="X590" s="1332"/>
      <c r="Y590" s="1332"/>
      <c r="Z590" s="1332"/>
      <c r="AA590" s="1332"/>
    </row>
    <row r="591" spans="1:39">
      <c r="A591" s="231">
        <v>7</v>
      </c>
      <c r="B591" s="232" t="s">
        <v>2448</v>
      </c>
      <c r="C591" s="1334" t="s">
        <v>76</v>
      </c>
      <c r="D591" s="234" t="s">
        <v>137</v>
      </c>
      <c r="E591" s="235">
        <v>5395240</v>
      </c>
      <c r="F591" s="233" t="s">
        <v>2449</v>
      </c>
      <c r="G591" s="236">
        <v>45688</v>
      </c>
      <c r="H591" s="233" t="s">
        <v>149</v>
      </c>
      <c r="I591" s="233" t="s">
        <v>150</v>
      </c>
      <c r="J591" s="237" t="s">
        <v>146</v>
      </c>
      <c r="K591" s="238" t="s">
        <v>142</v>
      </c>
      <c r="L591" s="239"/>
    </row>
    <row r="592" spans="1:39" ht="15.75" customHeight="1">
      <c r="A592" s="1162">
        <v>57</v>
      </c>
      <c r="B592" s="276" t="s">
        <v>2450</v>
      </c>
      <c r="C592" s="405" t="s">
        <v>31</v>
      </c>
      <c r="D592" s="677">
        <v>50205331651</v>
      </c>
      <c r="E592" s="303" t="s">
        <v>2451</v>
      </c>
      <c r="F592" s="685" t="s">
        <v>759</v>
      </c>
      <c r="G592" s="337" t="s">
        <v>76</v>
      </c>
      <c r="H592" s="303" t="s">
        <v>279</v>
      </c>
      <c r="I592" s="307">
        <v>9002071213</v>
      </c>
      <c r="J592" s="79"/>
      <c r="K592" s="307" t="s">
        <v>253</v>
      </c>
      <c r="L592" s="274" t="s">
        <v>306</v>
      </c>
      <c r="M592" s="278">
        <v>24132</v>
      </c>
      <c r="N592" s="315">
        <v>46053</v>
      </c>
      <c r="O592" s="278">
        <v>45125</v>
      </c>
      <c r="P592" s="278">
        <v>45043</v>
      </c>
      <c r="Q592" s="302">
        <v>45992</v>
      </c>
      <c r="R592" s="285"/>
      <c r="S592" s="317"/>
      <c r="T592" s="318" t="s">
        <v>2452</v>
      </c>
      <c r="U592" s="318" t="s">
        <v>2452</v>
      </c>
      <c r="V592" s="285">
        <f>LEN(D592)</f>
        <v>11</v>
      </c>
      <c r="W592" s="3"/>
      <c r="X592" s="3"/>
      <c r="Y592" s="3"/>
      <c r="Z592" s="79"/>
      <c r="AA592" s="79"/>
      <c r="AB592" s="311">
        <f ca="1">INT((TODAY()-M592)/365)</f>
        <v>60</v>
      </c>
      <c r="AC592" s="311"/>
      <c r="AD592" s="311"/>
      <c r="AE592" s="311"/>
      <c r="AF592" s="311"/>
      <c r="AG592" s="311"/>
      <c r="AH592" s="311"/>
      <c r="AI592" s="311"/>
      <c r="AJ592" s="311"/>
      <c r="AK592" s="311"/>
      <c r="AL592" s="311"/>
      <c r="AM592" s="311"/>
    </row>
    <row r="593" spans="1:39">
      <c r="A593" s="90"/>
      <c r="C593" s="89"/>
      <c r="F593" s="90"/>
      <c r="I593" s="90"/>
      <c r="J593" s="90"/>
      <c r="L593" s="90"/>
    </row>
    <row r="594" spans="1:39">
      <c r="A594" s="90"/>
      <c r="C594" s="89"/>
      <c r="F594" s="90"/>
      <c r="I594" s="90"/>
      <c r="J594" s="90"/>
      <c r="L594" s="90"/>
    </row>
    <row r="595" spans="1:39">
      <c r="A595" s="90"/>
      <c r="C595" s="89"/>
      <c r="F595" s="90"/>
      <c r="I595" s="90"/>
      <c r="J595" s="90"/>
      <c r="L595" s="90"/>
    </row>
    <row r="596" spans="1:39">
      <c r="A596" s="90"/>
      <c r="B596" s="1198" t="s">
        <v>2453</v>
      </c>
      <c r="C596" s="89"/>
      <c r="F596" s="90"/>
      <c r="I596" s="90"/>
      <c r="J596" s="90"/>
      <c r="L596" s="90"/>
    </row>
    <row r="597" spans="1:39">
      <c r="A597" s="231">
        <v>48</v>
      </c>
      <c r="B597" s="1266" t="s">
        <v>2454</v>
      </c>
      <c r="C597" s="274" t="s">
        <v>76</v>
      </c>
      <c r="D597" s="18" t="s">
        <v>137</v>
      </c>
      <c r="E597" s="209"/>
      <c r="F597" s="79"/>
      <c r="G597" s="1335"/>
      <c r="H597" s="79"/>
      <c r="I597" s="79"/>
      <c r="J597" s="79"/>
      <c r="K597" s="3"/>
      <c r="L597" s="3"/>
    </row>
    <row r="598" spans="1:39">
      <c r="A598" s="231">
        <v>49</v>
      </c>
      <c r="B598" s="1266" t="s">
        <v>2455</v>
      </c>
      <c r="C598" s="274" t="s">
        <v>76</v>
      </c>
      <c r="D598" s="18" t="s">
        <v>137</v>
      </c>
      <c r="E598" s="209"/>
      <c r="F598" s="79"/>
      <c r="G598" s="1335"/>
      <c r="H598" s="79"/>
      <c r="I598" s="79"/>
      <c r="J598" s="79"/>
      <c r="K598" s="3"/>
      <c r="L598" s="3"/>
    </row>
    <row r="599" spans="1:39">
      <c r="A599" s="90"/>
      <c r="C599" s="89"/>
      <c r="F599" s="90"/>
      <c r="I599" s="90"/>
      <c r="J599" s="90"/>
      <c r="L599" s="90"/>
    </row>
    <row r="600" spans="1:39">
      <c r="A600" s="90"/>
      <c r="C600" s="89"/>
      <c r="F600" s="90"/>
      <c r="I600" s="90"/>
      <c r="J600" s="90"/>
      <c r="L600" s="90"/>
    </row>
    <row r="601" spans="1:39">
      <c r="A601" s="90"/>
      <c r="C601" s="89"/>
      <c r="F601" s="90"/>
      <c r="I601" s="90"/>
      <c r="J601" s="90"/>
      <c r="L601" s="90"/>
    </row>
    <row r="602" spans="1:39">
      <c r="A602" s="90"/>
      <c r="B602" s="1198" t="s">
        <v>2456</v>
      </c>
      <c r="C602" s="89"/>
      <c r="F602" s="90"/>
      <c r="I602" s="90"/>
      <c r="J602" s="90"/>
      <c r="L602" s="90"/>
    </row>
    <row r="603" spans="1:39">
      <c r="A603" s="656">
        <v>7</v>
      </c>
      <c r="B603" s="1336" t="s">
        <v>2457</v>
      </c>
      <c r="C603" s="1210" t="s">
        <v>81</v>
      </c>
      <c r="D603" s="1337">
        <v>50207313093</v>
      </c>
      <c r="E603" s="327"/>
      <c r="F603" s="18" t="s">
        <v>759</v>
      </c>
      <c r="G603" s="306"/>
      <c r="H603" s="303" t="s">
        <v>279</v>
      </c>
      <c r="I603" s="1338">
        <v>9163382176</v>
      </c>
      <c r="J603" s="334"/>
      <c r="K603" s="328" t="s">
        <v>253</v>
      </c>
      <c r="L603" s="445" t="s">
        <v>58</v>
      </c>
      <c r="M603" s="793">
        <v>23780</v>
      </c>
      <c r="N603" s="1212">
        <v>45716</v>
      </c>
      <c r="O603" s="329"/>
      <c r="P603" s="330"/>
      <c r="Q603" s="331"/>
      <c r="R603" s="449" t="s">
        <v>313</v>
      </c>
      <c r="S603" s="332"/>
      <c r="T603" s="334"/>
      <c r="U603" s="332"/>
      <c r="V603" s="334"/>
      <c r="W603" s="334"/>
      <c r="X603" s="334"/>
      <c r="Y603" s="334"/>
      <c r="Z603" s="334"/>
      <c r="AA603" s="334"/>
      <c r="AB603" s="334"/>
      <c r="AC603" s="334"/>
    </row>
    <row r="604" spans="1:39" ht="15.75">
      <c r="A604" s="656">
        <v>3</v>
      </c>
      <c r="B604" s="276" t="s">
        <v>2458</v>
      </c>
      <c r="C604" s="1261" t="s">
        <v>14</v>
      </c>
      <c r="D604" s="677">
        <v>50205330683</v>
      </c>
      <c r="E604" s="18" t="s">
        <v>2459</v>
      </c>
      <c r="F604" s="970" t="s">
        <v>759</v>
      </c>
      <c r="G604" s="1165" t="s">
        <v>76</v>
      </c>
      <c r="H604" s="499" t="s">
        <v>279</v>
      </c>
      <c r="I604" s="307">
        <v>9163382049</v>
      </c>
      <c r="J604" s="620">
        <v>8240730539</v>
      </c>
      <c r="K604" s="307" t="s">
        <v>253</v>
      </c>
      <c r="L604" s="274" t="s">
        <v>299</v>
      </c>
      <c r="M604" s="278">
        <v>23781</v>
      </c>
      <c r="N604" s="278">
        <v>45716</v>
      </c>
      <c r="O604" s="278">
        <v>45330</v>
      </c>
      <c r="P604" s="278">
        <v>45891</v>
      </c>
      <c r="Q604" s="302">
        <v>45397</v>
      </c>
      <c r="R604" s="449" t="s">
        <v>313</v>
      </c>
      <c r="S604" s="317"/>
      <c r="T604" s="285"/>
      <c r="U604" s="318" t="s">
        <v>2460</v>
      </c>
      <c r="V604" s="285"/>
      <c r="W604" s="285">
        <f>LEN(TEXT(D604,0))</f>
        <v>11</v>
      </c>
      <c r="X604" s="532">
        <v>44117</v>
      </c>
      <c r="Y604" s="3"/>
      <c r="Z604" s="3"/>
      <c r="AA604" s="286" t="s">
        <v>84</v>
      </c>
      <c r="AB604" s="79"/>
      <c r="AC604" s="382">
        <f ca="1">INT((TODAY()-M604)/365)</f>
        <v>61</v>
      </c>
      <c r="AD604" s="199"/>
      <c r="AE604" s="199"/>
      <c r="AF604" s="199"/>
      <c r="AG604" s="199"/>
      <c r="AH604" s="199"/>
      <c r="AI604" s="199"/>
      <c r="AJ604" s="199"/>
      <c r="AK604" s="199"/>
      <c r="AL604" s="199"/>
    </row>
    <row r="605" spans="1:39" ht="15.75" customHeight="1">
      <c r="A605" s="574">
        <v>18</v>
      </c>
      <c r="B605" s="287" t="s">
        <v>2461</v>
      </c>
      <c r="C605" s="589" t="s">
        <v>543</v>
      </c>
      <c r="D605" s="284">
        <v>50205385751</v>
      </c>
      <c r="E605" s="303" t="s">
        <v>2462</v>
      </c>
      <c r="F605" s="574" t="s">
        <v>23</v>
      </c>
      <c r="G605" s="289">
        <v>23798</v>
      </c>
      <c r="H605" s="289">
        <v>45716</v>
      </c>
      <c r="I605" s="275">
        <v>9002071244</v>
      </c>
      <c r="J605" s="303" t="s">
        <v>76</v>
      </c>
      <c r="K605" s="275" t="s">
        <v>261</v>
      </c>
      <c r="L605" s="274" t="s">
        <v>102</v>
      </c>
      <c r="M605" s="79"/>
      <c r="O605" s="272">
        <v>45156</v>
      </c>
      <c r="P605" s="289"/>
      <c r="Q605" s="272">
        <v>45847</v>
      </c>
      <c r="R605" s="294"/>
      <c r="S605" s="295"/>
      <c r="T605" s="296" t="s">
        <v>2463</v>
      </c>
      <c r="U605" s="296" t="s">
        <v>2463</v>
      </c>
      <c r="V605" s="297">
        <f>LEN(TEXT(D605,0))</f>
        <v>11</v>
      </c>
      <c r="W605" s="208">
        <f ca="1">INT((TODAY()-G605)/365)</f>
        <v>61</v>
      </c>
      <c r="X605" s="298"/>
      <c r="Y605" s="298"/>
      <c r="Z605" s="298"/>
      <c r="AA605" s="298"/>
      <c r="AB605" s="298"/>
      <c r="AC605" s="298"/>
      <c r="AD605" s="298"/>
      <c r="AE605" s="298"/>
      <c r="AF605" s="298"/>
      <c r="AG605" s="298"/>
      <c r="AH605" s="298"/>
      <c r="AI605" s="298"/>
      <c r="AJ605" s="298"/>
      <c r="AK605" s="298"/>
      <c r="AL605" s="298"/>
      <c r="AM605" s="298"/>
    </row>
    <row r="606" spans="1:39" ht="15.75" customHeight="1">
      <c r="A606" s="574">
        <v>34</v>
      </c>
      <c r="B606" s="287" t="s">
        <v>2464</v>
      </c>
      <c r="C606" s="344" t="s">
        <v>36</v>
      </c>
      <c r="D606" s="284">
        <v>50204664395</v>
      </c>
      <c r="E606" s="303" t="s">
        <v>2465</v>
      </c>
      <c r="F606" s="574" t="s">
        <v>23</v>
      </c>
      <c r="G606" s="272">
        <v>23777</v>
      </c>
      <c r="H606" s="272">
        <v>45716</v>
      </c>
      <c r="I606" s="275">
        <v>9002071641</v>
      </c>
      <c r="J606" s="385" t="s">
        <v>76</v>
      </c>
      <c r="K606" s="275" t="s">
        <v>330</v>
      </c>
      <c r="L606" s="274" t="s">
        <v>43</v>
      </c>
      <c r="O606" s="272">
        <v>45304</v>
      </c>
      <c r="P606" s="278">
        <v>45115</v>
      </c>
      <c r="Q606" s="687">
        <v>45874</v>
      </c>
      <c r="R606" s="862"/>
      <c r="S606" s="309"/>
      <c r="T606" s="310" t="s">
        <v>2466</v>
      </c>
      <c r="U606" s="310" t="s">
        <v>2467</v>
      </c>
      <c r="V606" s="388">
        <f ca="1">INT((TODAY()-G606)/365)</f>
        <v>61</v>
      </c>
      <c r="W606" s="90"/>
      <c r="X606" s="90"/>
    </row>
    <row r="607" spans="1:39" ht="15.75" customHeight="1">
      <c r="A607" s="1191">
        <v>29</v>
      </c>
      <c r="B607" s="293" t="s">
        <v>2468</v>
      </c>
      <c r="C607" s="275" t="s">
        <v>31</v>
      </c>
      <c r="D607" s="488">
        <v>50205360470</v>
      </c>
      <c r="E607" s="303" t="s">
        <v>2469</v>
      </c>
      <c r="F607" s="284" t="s">
        <v>759</v>
      </c>
      <c r="G607" s="385" t="s">
        <v>76</v>
      </c>
      <c r="H607" s="274" t="s">
        <v>266</v>
      </c>
      <c r="I607" s="275">
        <v>9002071273</v>
      </c>
      <c r="J607" s="690">
        <v>9002071273</v>
      </c>
      <c r="K607" s="275" t="s">
        <v>330</v>
      </c>
      <c r="L607" s="274" t="s">
        <v>108</v>
      </c>
      <c r="M607" s="272">
        <v>23793</v>
      </c>
      <c r="N607" s="272">
        <v>45716</v>
      </c>
      <c r="O607" s="272">
        <v>45105</v>
      </c>
      <c r="P607" s="279">
        <v>45720</v>
      </c>
      <c r="Q607" s="272">
        <v>45563</v>
      </c>
      <c r="R607" s="862"/>
      <c r="S607" s="309"/>
      <c r="T607" s="310" t="s">
        <v>2470</v>
      </c>
      <c r="U607" s="310" t="s">
        <v>2471</v>
      </c>
      <c r="V607" s="388">
        <f ca="1">INT((TODAY()-M607)/365)</f>
        <v>61</v>
      </c>
      <c r="W607" s="311"/>
      <c r="X607" s="311"/>
      <c r="Y607" s="311"/>
      <c r="Z607" s="311"/>
      <c r="AA607" s="311"/>
      <c r="AB607" s="311"/>
      <c r="AC607" s="311"/>
      <c r="AD607" s="311"/>
      <c r="AE607" s="311"/>
      <c r="AF607" s="311"/>
      <c r="AG607" s="311"/>
      <c r="AH607" s="311"/>
      <c r="AI607" s="311"/>
      <c r="AJ607" s="311"/>
      <c r="AK607" s="311"/>
      <c r="AL607" s="311"/>
    </row>
    <row r="608" spans="1:39">
      <c r="A608" s="656">
        <v>20</v>
      </c>
      <c r="B608" s="668" t="s">
        <v>2472</v>
      </c>
      <c r="C608" s="656" t="s">
        <v>689</v>
      </c>
      <c r="D608" s="79"/>
      <c r="E608" s="327" t="s">
        <v>2473</v>
      </c>
      <c r="F608" s="327" t="s">
        <v>682</v>
      </c>
      <c r="G608" s="671">
        <v>50206084497</v>
      </c>
      <c r="H608" s="665" t="s">
        <v>12</v>
      </c>
      <c r="I608" s="663" t="s">
        <v>578</v>
      </c>
      <c r="J608" s="329">
        <v>23775</v>
      </c>
      <c r="K608" s="329">
        <v>45716</v>
      </c>
    </row>
    <row r="609" spans="1:39">
      <c r="A609" s="231">
        <v>24</v>
      </c>
      <c r="B609" s="232" t="s">
        <v>2474</v>
      </c>
      <c r="C609" s="233" t="s">
        <v>76</v>
      </c>
      <c r="D609" s="234" t="s">
        <v>137</v>
      </c>
      <c r="E609" s="1264">
        <v>50212092721</v>
      </c>
      <c r="F609" s="1339">
        <v>23793</v>
      </c>
      <c r="G609" s="236">
        <v>45716</v>
      </c>
      <c r="H609" s="1095"/>
      <c r="I609" s="1095"/>
      <c r="J609" s="237" t="s">
        <v>810</v>
      </c>
      <c r="K609" s="238" t="s">
        <v>142</v>
      </c>
      <c r="L609" s="239"/>
    </row>
    <row r="610" spans="1:39">
      <c r="A610" s="90"/>
      <c r="C610" s="89"/>
      <c r="F610" s="90"/>
      <c r="I610" s="90"/>
      <c r="J610" s="90"/>
      <c r="L610" s="90"/>
    </row>
    <row r="611" spans="1:39">
      <c r="A611" s="90"/>
      <c r="B611" s="1198" t="s">
        <v>2475</v>
      </c>
      <c r="C611" s="89"/>
      <c r="F611" s="90"/>
      <c r="I611" s="90"/>
      <c r="J611" s="90"/>
      <c r="L611" s="90"/>
    </row>
    <row r="612" spans="1:39" ht="15.75" customHeight="1">
      <c r="A612" s="1340">
        <v>87</v>
      </c>
      <c r="B612" s="1222" t="s">
        <v>2476</v>
      </c>
      <c r="C612" s="1176" t="s">
        <v>31</v>
      </c>
      <c r="D612" s="1341">
        <v>50205335279</v>
      </c>
      <c r="E612" s="1174" t="s">
        <v>2477</v>
      </c>
      <c r="F612" s="1226" t="s">
        <v>759</v>
      </c>
      <c r="G612" s="1185"/>
      <c r="H612" s="1174" t="s">
        <v>279</v>
      </c>
      <c r="I612" s="1176">
        <v>9002071871</v>
      </c>
      <c r="J612" s="1174"/>
      <c r="K612" s="1176" t="s">
        <v>290</v>
      </c>
      <c r="L612" s="1172" t="s">
        <v>108</v>
      </c>
      <c r="M612" s="1228">
        <v>24213</v>
      </c>
      <c r="N612" s="1228">
        <v>46142</v>
      </c>
      <c r="O612" s="1228">
        <v>45463</v>
      </c>
      <c r="P612" s="1239">
        <v>45527</v>
      </c>
      <c r="Q612" s="1273">
        <v>45316</v>
      </c>
      <c r="R612" s="1185"/>
      <c r="S612" s="1342"/>
      <c r="T612" s="1343" t="s">
        <v>2478</v>
      </c>
      <c r="U612" s="1343" t="s">
        <v>2478</v>
      </c>
      <c r="V612" s="1184">
        <f>LEN(D612)</f>
        <v>11</v>
      </c>
      <c r="W612" s="1184"/>
      <c r="X612" s="1258">
        <f ca="1">INT((TODAY()-M612)/365)</f>
        <v>59</v>
      </c>
      <c r="Y612" s="1184"/>
      <c r="Z612" s="1185"/>
      <c r="AA612" s="1185"/>
      <c r="AB612" s="1184">
        <f ca="1">INT((TODAY()-M612)/365)</f>
        <v>59</v>
      </c>
      <c r="AC612" s="1185"/>
      <c r="AD612" s="1185"/>
      <c r="AE612" s="1185"/>
      <c r="AF612" s="1185"/>
      <c r="AG612" s="1185"/>
      <c r="AH612" s="1185"/>
      <c r="AI612" s="1185"/>
      <c r="AJ612" s="1185"/>
      <c r="AK612" s="1185"/>
      <c r="AL612" s="1185"/>
      <c r="AM612" s="1185"/>
    </row>
    <row r="613" spans="1:39">
      <c r="A613" s="90"/>
      <c r="C613" s="89"/>
      <c r="F613" s="90"/>
      <c r="I613" s="90"/>
      <c r="J613" s="90"/>
      <c r="L613" s="90"/>
    </row>
    <row r="614" spans="1:39">
      <c r="A614" s="90"/>
      <c r="B614" s="1198" t="s">
        <v>2479</v>
      </c>
      <c r="C614" s="89"/>
      <c r="F614" s="90"/>
      <c r="I614" s="90"/>
      <c r="J614" s="90"/>
      <c r="L614" s="90"/>
    </row>
    <row r="615" spans="1:39">
      <c r="A615" s="1344">
        <v>22</v>
      </c>
      <c r="B615" s="1345" t="s">
        <v>2480</v>
      </c>
      <c r="C615" s="1346" t="s">
        <v>31</v>
      </c>
      <c r="D615" s="1347">
        <v>50205330660</v>
      </c>
      <c r="E615" s="1348" t="s">
        <v>2481</v>
      </c>
      <c r="F615" s="1349" t="s">
        <v>759</v>
      </c>
      <c r="G615" s="1348" t="s">
        <v>76</v>
      </c>
      <c r="H615" s="1350" t="s">
        <v>279</v>
      </c>
      <c r="I615" s="1346">
        <v>9002071134</v>
      </c>
      <c r="J615" s="1346">
        <v>9002071134</v>
      </c>
      <c r="K615" s="1346" t="s">
        <v>290</v>
      </c>
      <c r="L615" s="1346" t="s">
        <v>94</v>
      </c>
      <c r="M615" s="1351">
        <v>24268</v>
      </c>
      <c r="N615" s="1351">
        <v>46203</v>
      </c>
      <c r="O615" s="1351">
        <v>45238</v>
      </c>
      <c r="P615" s="1352">
        <v>45748</v>
      </c>
      <c r="Q615" s="1351">
        <v>45563</v>
      </c>
      <c r="R615" s="1353"/>
      <c r="S615" s="1354"/>
      <c r="T615" s="1355" t="s">
        <v>2482</v>
      </c>
      <c r="U615" s="1356" t="s">
        <v>2482</v>
      </c>
      <c r="V615" s="1357">
        <f>LEN(D615)</f>
        <v>11</v>
      </c>
      <c r="W615" s="1357"/>
      <c r="X615" s="1358">
        <f ca="1">INT((TODAY()-M615)/365)</f>
        <v>59</v>
      </c>
      <c r="Y615" s="1357"/>
      <c r="Z615" s="1357"/>
      <c r="AA615" s="1357"/>
      <c r="AB615" s="1357"/>
      <c r="AC615" s="1357"/>
      <c r="AD615" s="1357"/>
      <c r="AE615" s="1357"/>
      <c r="AF615" s="1359"/>
      <c r="AG615" s="1359"/>
      <c r="AH615" s="1359"/>
      <c r="AI615" s="1359"/>
      <c r="AJ615" s="1359"/>
      <c r="AK615" s="1359"/>
      <c r="AL615" s="1359"/>
      <c r="AM615" s="1359"/>
    </row>
    <row r="617" spans="1:39">
      <c r="A617" s="90"/>
      <c r="C617" s="89"/>
      <c r="F617" s="90"/>
      <c r="I617" s="90"/>
      <c r="J617" s="90"/>
      <c r="L617" s="90"/>
    </row>
    <row r="618" spans="1:39">
      <c r="A618" s="90"/>
      <c r="B618" s="1198" t="s">
        <v>2483</v>
      </c>
      <c r="C618" s="89"/>
      <c r="F618" s="90"/>
      <c r="I618" s="90"/>
      <c r="J618" s="90"/>
      <c r="L618" s="90"/>
    </row>
    <row r="619" spans="1:39" ht="15.75" customHeight="1">
      <c r="A619" s="18">
        <v>22</v>
      </c>
      <c r="B619" s="1161" t="s">
        <v>2484</v>
      </c>
      <c r="C619" s="275" t="s">
        <v>31</v>
      </c>
      <c r="D619" s="284">
        <v>50205355230</v>
      </c>
      <c r="E619" s="303" t="s">
        <v>2485</v>
      </c>
      <c r="F619" s="18" t="s">
        <v>514</v>
      </c>
      <c r="G619" s="289">
        <v>23827</v>
      </c>
      <c r="H619" s="289">
        <v>45747</v>
      </c>
      <c r="I619" s="307" t="s">
        <v>253</v>
      </c>
      <c r="J619" s="275"/>
      <c r="K619" s="275" t="s">
        <v>261</v>
      </c>
      <c r="L619" s="274" t="s">
        <v>256</v>
      </c>
      <c r="M619" s="275">
        <v>9433112944</v>
      </c>
      <c r="O619" s="272">
        <v>45106</v>
      </c>
      <c r="P619" s="279">
        <v>45487</v>
      </c>
      <c r="Q619" s="302">
        <v>45284</v>
      </c>
      <c r="R619" s="79"/>
      <c r="S619" s="295"/>
      <c r="T619" s="603" t="s">
        <v>2486</v>
      </c>
      <c r="U619" s="603" t="s">
        <v>2486</v>
      </c>
      <c r="V619" s="297">
        <f>LEN(TEXT(D619,0))</f>
        <v>11</v>
      </c>
      <c r="W619" s="208">
        <f ca="1">INT((TODAY()-G619)/365)</f>
        <v>61</v>
      </c>
      <c r="X619" s="298"/>
      <c r="AH619" s="298"/>
      <c r="AI619" s="298"/>
      <c r="AJ619" s="298"/>
      <c r="AK619" s="298"/>
      <c r="AL619" s="298"/>
      <c r="AM619" s="298"/>
    </row>
    <row r="620" spans="1:39" ht="15.75" customHeight="1">
      <c r="A620" s="974">
        <v>4</v>
      </c>
      <c r="B620" s="276" t="s">
        <v>2487</v>
      </c>
      <c r="C620" s="405" t="s">
        <v>14</v>
      </c>
      <c r="D620" s="675">
        <v>50205407187</v>
      </c>
      <c r="E620" s="1360" t="s">
        <v>2488</v>
      </c>
      <c r="F620" s="946" t="s">
        <v>759</v>
      </c>
      <c r="G620" s="870" t="s">
        <v>77</v>
      </c>
      <c r="H620" s="1361" t="s">
        <v>279</v>
      </c>
      <c r="I620" s="703">
        <v>9002071741</v>
      </c>
      <c r="J620" s="703">
        <v>9002071741</v>
      </c>
      <c r="K620" s="274" t="s">
        <v>253</v>
      </c>
      <c r="L620" s="1362" t="s">
        <v>43</v>
      </c>
      <c r="M620" s="278">
        <v>23810</v>
      </c>
      <c r="N620" s="315">
        <v>45747</v>
      </c>
      <c r="O620" s="278">
        <v>45374</v>
      </c>
      <c r="P620" s="278">
        <v>45777</v>
      </c>
      <c r="Q620" s="302">
        <v>45902</v>
      </c>
      <c r="R620" s="285"/>
      <c r="S620" s="317"/>
      <c r="T620" s="318" t="s">
        <v>2489</v>
      </c>
      <c r="U620" s="1363" t="s">
        <v>2490</v>
      </c>
      <c r="V620" s="285"/>
      <c r="W620" s="532">
        <v>42703</v>
      </c>
      <c r="X620" s="3"/>
      <c r="Y620" s="3"/>
      <c r="Z620" s="286" t="s">
        <v>84</v>
      </c>
      <c r="AA620" s="79"/>
      <c r="AB620" s="311">
        <f t="shared" ref="AB620:AB621" ca="1" si="106">INT((TODAY()-M620)/365)</f>
        <v>61</v>
      </c>
    </row>
    <row r="621" spans="1:39" ht="15.75" customHeight="1">
      <c r="A621" s="898">
        <v>99</v>
      </c>
      <c r="B621" s="1364" t="s">
        <v>2491</v>
      </c>
      <c r="C621" s="1365" t="s">
        <v>14</v>
      </c>
      <c r="D621" s="1366">
        <v>27309376653</v>
      </c>
      <c r="E621" s="1123" t="s">
        <v>2492</v>
      </c>
      <c r="F621" s="958" t="s">
        <v>759</v>
      </c>
      <c r="G621" s="870" t="s">
        <v>76</v>
      </c>
      <c r="H621" s="303" t="s">
        <v>279</v>
      </c>
      <c r="I621" s="1367">
        <v>9002071653</v>
      </c>
      <c r="J621" s="1368"/>
      <c r="K621" s="351" t="s">
        <v>334</v>
      </c>
      <c r="L621" s="274" t="s">
        <v>61</v>
      </c>
      <c r="M621" s="315">
        <v>23803</v>
      </c>
      <c r="N621" s="315">
        <v>45747</v>
      </c>
      <c r="O621" s="315">
        <v>45372</v>
      </c>
      <c r="P621" s="315">
        <v>45283</v>
      </c>
      <c r="Q621" s="316">
        <v>45992</v>
      </c>
      <c r="R621" s="285"/>
      <c r="S621" s="285"/>
      <c r="T621" s="982" t="s">
        <v>2493</v>
      </c>
      <c r="U621" s="318" t="s">
        <v>2494</v>
      </c>
      <c r="V621" s="285">
        <f>LEN(D621)</f>
        <v>11</v>
      </c>
      <c r="W621" s="90"/>
      <c r="X621" s="440">
        <v>44111</v>
      </c>
      <c r="Y621" s="3"/>
      <c r="Z621" s="286" t="s">
        <v>84</v>
      </c>
      <c r="AA621" s="79"/>
      <c r="AB621" s="382">
        <f t="shared" ca="1" si="106"/>
        <v>61</v>
      </c>
      <c r="AC621" s="79"/>
      <c r="AD621" s="79"/>
      <c r="AE621" s="79"/>
      <c r="AF621" s="79"/>
      <c r="AG621" s="79"/>
      <c r="AH621" s="79"/>
    </row>
    <row r="622" spans="1:39" ht="16.5">
      <c r="A622" s="1325">
        <v>6</v>
      </c>
      <c r="B622" s="1369" t="s">
        <v>121</v>
      </c>
      <c r="C622" s="610" t="s">
        <v>543</v>
      </c>
      <c r="D622" s="609">
        <v>50204610880</v>
      </c>
      <c r="E622" s="609" t="s">
        <v>1847</v>
      </c>
      <c r="F622" s="610" t="s">
        <v>23</v>
      </c>
      <c r="G622" s="612">
        <v>23865</v>
      </c>
      <c r="H622" s="611" t="s">
        <v>2495</v>
      </c>
      <c r="I622" s="610">
        <v>9163382276</v>
      </c>
      <c r="J622" s="533"/>
      <c r="K622" s="1332"/>
      <c r="L622" s="1332"/>
      <c r="M622" s="1332"/>
      <c r="N622" s="1332"/>
      <c r="O622" s="1332"/>
      <c r="P622" s="1332"/>
      <c r="Q622" s="1332"/>
      <c r="R622" s="1332"/>
      <c r="S622" s="1332"/>
      <c r="T622" s="1332"/>
      <c r="U622" s="1332"/>
      <c r="V622" s="1332"/>
      <c r="W622" s="1332"/>
      <c r="X622" s="1332"/>
      <c r="Y622" s="1332"/>
      <c r="Z622" s="1332"/>
      <c r="AA622" s="1332"/>
    </row>
    <row r="623" spans="1:39">
      <c r="A623" s="90"/>
      <c r="C623" s="89"/>
      <c r="F623" s="90"/>
      <c r="I623" s="90"/>
      <c r="J623" s="90"/>
      <c r="L623" s="90"/>
    </row>
    <row r="624" spans="1:39">
      <c r="A624" s="90"/>
      <c r="B624" s="197" t="s">
        <v>2164</v>
      </c>
      <c r="C624" s="89"/>
      <c r="F624" s="90"/>
      <c r="I624" s="90"/>
      <c r="J624" s="90"/>
      <c r="L624" s="90"/>
    </row>
    <row r="625" spans="1:39" ht="15.75">
      <c r="A625" s="944">
        <v>28</v>
      </c>
      <c r="B625" s="971" t="s">
        <v>2496</v>
      </c>
      <c r="C625" s="18" t="s">
        <v>22</v>
      </c>
      <c r="D625" s="972">
        <v>3329804089</v>
      </c>
      <c r="E625" s="973" t="s">
        <v>2497</v>
      </c>
      <c r="F625" s="674" t="s">
        <v>759</v>
      </c>
      <c r="G625" s="18" t="s">
        <v>78</v>
      </c>
      <c r="H625" s="275"/>
      <c r="I625" s="18">
        <v>6375206035</v>
      </c>
      <c r="J625" s="18">
        <v>9887655517</v>
      </c>
      <c r="K625" s="274" t="s">
        <v>253</v>
      </c>
      <c r="L625" s="439" t="s">
        <v>54</v>
      </c>
      <c r="M625" s="418" t="s">
        <v>2498</v>
      </c>
      <c r="N625" s="418">
        <v>54727</v>
      </c>
      <c r="O625" s="440">
        <v>46515</v>
      </c>
      <c r="P625" s="418">
        <v>45459</v>
      </c>
      <c r="Q625" s="418">
        <v>45382</v>
      </c>
      <c r="R625" s="281" t="s">
        <v>2499</v>
      </c>
      <c r="S625" s="280"/>
      <c r="T625" s="280"/>
      <c r="U625" s="280"/>
      <c r="V625" s="280"/>
      <c r="W625" s="282" t="e">
        <f ca="1">INT((TODAY()-M625)/365)</f>
        <v>#VALUE!</v>
      </c>
      <c r="X625" s="79"/>
      <c r="Y625" s="79"/>
      <c r="Z625" s="79"/>
      <c r="AA625" s="79"/>
      <c r="AB625" s="79"/>
      <c r="AC625" s="382"/>
      <c r="AD625" s="382"/>
      <c r="AE625" s="382"/>
      <c r="AF625" s="311"/>
      <c r="AG625" s="311"/>
      <c r="AH625" s="311"/>
      <c r="AI625" s="311"/>
      <c r="AJ625" s="311"/>
      <c r="AK625" s="311"/>
      <c r="AL625" s="311"/>
      <c r="AM625" s="311"/>
    </row>
    <row r="626" spans="1:39" ht="15.75">
      <c r="A626" s="980">
        <v>121</v>
      </c>
      <c r="B626" s="426" t="s">
        <v>2500</v>
      </c>
      <c r="C626" s="18" t="s">
        <v>22</v>
      </c>
      <c r="D626" s="620">
        <v>3329805000</v>
      </c>
      <c r="E626" s="1370" t="s">
        <v>2501</v>
      </c>
      <c r="F626" s="674" t="s">
        <v>759</v>
      </c>
      <c r="G626" s="3"/>
      <c r="H626" s="3"/>
      <c r="I626" s="1295">
        <v>919616825176</v>
      </c>
      <c r="J626" s="79"/>
      <c r="K626" s="275" t="s">
        <v>315</v>
      </c>
      <c r="L626" s="18" t="s">
        <v>44</v>
      </c>
      <c r="M626" s="79"/>
      <c r="N626" s="79"/>
      <c r="O626" s="79"/>
      <c r="P626" s="602"/>
      <c r="Q626" s="602"/>
      <c r="R626" s="280"/>
      <c r="S626" s="280"/>
      <c r="T626" s="280"/>
      <c r="U626" s="280"/>
      <c r="V626" s="280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</row>
    <row r="627" spans="1:39" ht="15.75">
      <c r="A627" s="1371"/>
      <c r="B627" s="1219"/>
      <c r="C627" s="1372"/>
      <c r="D627" s="1373"/>
      <c r="E627" s="931"/>
      <c r="F627" s="527"/>
      <c r="G627" s="1269"/>
      <c r="H627" s="1374"/>
      <c r="I627" s="682"/>
      <c r="J627" s="1219"/>
      <c r="K627" s="522"/>
      <c r="L627" s="496"/>
      <c r="M627" s="1375"/>
      <c r="N627" s="1129"/>
      <c r="O627" s="913"/>
      <c r="P627" s="1376"/>
      <c r="Q627" s="1377"/>
      <c r="R627" s="1376"/>
      <c r="S627" s="1378"/>
      <c r="T627" s="522"/>
      <c r="U627" s="322"/>
      <c r="V627" s="1379"/>
      <c r="W627" s="1380"/>
      <c r="X627" s="1380"/>
      <c r="Y627" s="1380"/>
      <c r="Z627" s="1380"/>
      <c r="AA627" s="1380"/>
      <c r="AB627" s="1380"/>
      <c r="AC627" s="1380"/>
      <c r="AD627" s="1380"/>
      <c r="AE627" s="700"/>
      <c r="AF627" s="700"/>
      <c r="AG627" s="700"/>
      <c r="AH627" s="700"/>
      <c r="AI627" s="700"/>
      <c r="AJ627" s="700"/>
      <c r="AK627" s="700"/>
      <c r="AL627" s="700"/>
      <c r="AM627" s="700"/>
    </row>
    <row r="628" spans="1:39" ht="15.75">
      <c r="A628" s="1371"/>
      <c r="B628" s="1219" t="s">
        <v>2502</v>
      </c>
      <c r="C628" s="1372"/>
      <c r="D628" s="1373"/>
      <c r="E628" s="931"/>
      <c r="F628" s="527"/>
      <c r="G628" s="1269"/>
      <c r="H628" s="1374"/>
      <c r="I628" s="682"/>
      <c r="J628" s="1219"/>
      <c r="K628" s="522"/>
      <c r="L628" s="496"/>
      <c r="M628" s="1375"/>
      <c r="N628" s="1129"/>
      <c r="O628" s="913"/>
      <c r="P628" s="1376"/>
      <c r="Q628" s="1377"/>
      <c r="R628" s="1376"/>
      <c r="S628" s="1378"/>
      <c r="T628" s="522"/>
      <c r="U628" s="322"/>
      <c r="V628" s="1379"/>
      <c r="W628" s="1380"/>
      <c r="X628" s="1380"/>
      <c r="Y628" s="1380"/>
      <c r="Z628" s="1380"/>
      <c r="AA628" s="1380"/>
      <c r="AB628" s="1380"/>
      <c r="AC628" s="1380"/>
      <c r="AD628" s="1380"/>
      <c r="AE628" s="700"/>
      <c r="AF628" s="700"/>
      <c r="AG628" s="700"/>
      <c r="AH628" s="700"/>
      <c r="AI628" s="700"/>
      <c r="AJ628" s="700"/>
      <c r="AK628" s="700"/>
      <c r="AL628" s="700"/>
      <c r="AM628" s="700"/>
    </row>
    <row r="629" spans="1:39" ht="15.75">
      <c r="A629" s="656">
        <v>5</v>
      </c>
      <c r="B629" s="1381" t="s">
        <v>2503</v>
      </c>
      <c r="C629" s="1382" t="s">
        <v>21</v>
      </c>
      <c r="D629" s="1383">
        <v>50205561206</v>
      </c>
      <c r="E629" s="1235" t="s">
        <v>2504</v>
      </c>
      <c r="F629" s="970" t="s">
        <v>759</v>
      </c>
      <c r="G629" s="1384" t="s">
        <v>76</v>
      </c>
      <c r="H629" s="327"/>
      <c r="I629" s="656">
        <v>9163382258</v>
      </c>
      <c r="J629" s="79"/>
      <c r="K629" s="275" t="s">
        <v>290</v>
      </c>
      <c r="L629" s="445" t="s">
        <v>1514</v>
      </c>
      <c r="M629" s="1154">
        <v>31147</v>
      </c>
      <c r="N629" s="912">
        <v>53082</v>
      </c>
      <c r="O629" s="326">
        <v>46074</v>
      </c>
      <c r="P629" s="933">
        <v>45401</v>
      </c>
      <c r="Q629" s="915">
        <v>45178</v>
      </c>
      <c r="R629" s="449" t="s">
        <v>37</v>
      </c>
      <c r="S629" s="79"/>
      <c r="T629" s="373" t="s">
        <v>2505</v>
      </c>
      <c r="U629" s="916" t="s">
        <v>2506</v>
      </c>
      <c r="V629" s="334"/>
      <c r="X629" s="334"/>
      <c r="Y629" s="334"/>
      <c r="Z629" s="334"/>
      <c r="AA629" s="334"/>
      <c r="AB629" s="334"/>
      <c r="AC629" s="334"/>
      <c r="AD629" s="334"/>
      <c r="AE629" s="199"/>
      <c r="AF629" s="199"/>
      <c r="AG629" s="199"/>
      <c r="AH629" s="199"/>
      <c r="AI629" s="199"/>
      <c r="AJ629" s="199"/>
      <c r="AK629" s="199"/>
      <c r="AL629" s="199"/>
      <c r="AM629" s="199"/>
    </row>
    <row r="630" spans="1:39">
      <c r="A630" s="90"/>
      <c r="C630" s="89"/>
      <c r="F630" s="90"/>
      <c r="I630" s="90"/>
      <c r="J630" s="90"/>
      <c r="L630" s="90"/>
    </row>
    <row r="631" spans="1:39">
      <c r="A631" s="90"/>
      <c r="B631" s="1385" t="s">
        <v>2507</v>
      </c>
      <c r="C631" s="89"/>
      <c r="F631" s="90"/>
      <c r="I631" s="90"/>
      <c r="J631" s="90"/>
      <c r="L631" s="90"/>
    </row>
    <row r="632" spans="1:39" ht="15.75">
      <c r="A632" s="980">
        <v>112</v>
      </c>
      <c r="B632" s="301" t="s">
        <v>2008</v>
      </c>
      <c r="C632" s="284" t="s">
        <v>22</v>
      </c>
      <c r="D632" s="527">
        <v>3329804899</v>
      </c>
      <c r="E632" s="1386" t="s">
        <v>2508</v>
      </c>
      <c r="F632" s="274" t="s">
        <v>759</v>
      </c>
      <c r="G632" s="284"/>
      <c r="H632" s="391"/>
      <c r="I632" s="1295">
        <v>919140843226</v>
      </c>
      <c r="J632" s="284"/>
      <c r="K632" s="275" t="s">
        <v>315</v>
      </c>
      <c r="L632" s="1387" t="s">
        <v>93</v>
      </c>
      <c r="M632" s="272"/>
      <c r="N632" s="272"/>
      <c r="O632" s="400"/>
      <c r="P632" s="279"/>
      <c r="Q632" s="418"/>
      <c r="R632" s="338"/>
      <c r="S632" s="393"/>
      <c r="T632" s="403"/>
      <c r="U632" s="393"/>
      <c r="V632" s="383"/>
      <c r="W632" s="563"/>
      <c r="X632" s="79"/>
      <c r="Y632" s="395"/>
      <c r="Z632" s="79"/>
      <c r="AA632" s="383"/>
      <c r="AB632" s="282"/>
      <c r="AC632" s="383"/>
      <c r="AD632" s="383"/>
      <c r="AE632" s="383"/>
      <c r="AF632" s="383"/>
      <c r="AG632" s="383"/>
      <c r="AH632" s="383"/>
      <c r="AI632" s="384"/>
      <c r="AJ632" s="384"/>
      <c r="AK632" s="384"/>
      <c r="AL632" s="384"/>
      <c r="AM632" s="384"/>
    </row>
    <row r="633" spans="1:39">
      <c r="A633" s="90"/>
      <c r="B633" s="1385" t="s">
        <v>2509</v>
      </c>
      <c r="C633" s="89"/>
      <c r="F633" s="90"/>
      <c r="I633" s="90"/>
      <c r="J633" s="90"/>
      <c r="L633" s="90"/>
    </row>
    <row r="634" spans="1:39" ht="15.75" customHeight="1">
      <c r="A634" s="944">
        <v>33</v>
      </c>
      <c r="B634" s="426" t="s">
        <v>2510</v>
      </c>
      <c r="C634" s="18" t="s">
        <v>22</v>
      </c>
      <c r="D634" s="972">
        <v>3329804080</v>
      </c>
      <c r="E634" s="681" t="s">
        <v>2511</v>
      </c>
      <c r="F634" s="674" t="s">
        <v>759</v>
      </c>
      <c r="G634" s="18" t="s">
        <v>78</v>
      </c>
      <c r="H634" s="275"/>
      <c r="I634" s="462">
        <v>918696961041</v>
      </c>
      <c r="J634" s="431"/>
      <c r="K634" s="274" t="s">
        <v>253</v>
      </c>
      <c r="L634" s="303" t="s">
        <v>64</v>
      </c>
      <c r="M634" s="418">
        <v>34429</v>
      </c>
      <c r="N634" s="418">
        <v>56369</v>
      </c>
      <c r="O634" s="428">
        <v>46541</v>
      </c>
      <c r="P634" s="418">
        <v>45459</v>
      </c>
      <c r="Q634" s="418">
        <v>45513</v>
      </c>
      <c r="R634" s="281" t="s">
        <v>2512</v>
      </c>
      <c r="S634" s="280"/>
      <c r="T634" s="280"/>
      <c r="U634" s="280"/>
      <c r="V634" s="280"/>
      <c r="W634" s="282">
        <f ca="1">INT((TODAY()-M634)/365)</f>
        <v>31</v>
      </c>
      <c r="Y634" s="90"/>
      <c r="AB634" s="311"/>
    </row>
    <row r="635" spans="1:39">
      <c r="A635" s="90"/>
      <c r="B635" s="1385" t="s">
        <v>2513</v>
      </c>
      <c r="C635" s="89"/>
      <c r="F635" s="90"/>
      <c r="I635" s="90"/>
      <c r="J635" s="90"/>
      <c r="L635" s="90"/>
    </row>
    <row r="636" spans="1:39" ht="15.75" customHeight="1">
      <c r="A636" s="1388">
        <v>129</v>
      </c>
      <c r="B636" s="1389" t="s">
        <v>2514</v>
      </c>
      <c r="C636" s="1121" t="s">
        <v>22</v>
      </c>
      <c r="D636" s="1390">
        <v>6329801061</v>
      </c>
      <c r="E636" s="1391" t="s">
        <v>2515</v>
      </c>
      <c r="F636" s="674" t="s">
        <v>759</v>
      </c>
      <c r="G636" s="18" t="s">
        <v>76</v>
      </c>
      <c r="H636" s="275"/>
      <c r="I636" s="941">
        <v>9794762976</v>
      </c>
      <c r="J636" s="3"/>
      <c r="K636" s="275" t="s">
        <v>315</v>
      </c>
      <c r="L636" s="656" t="s">
        <v>37</v>
      </c>
      <c r="M636" s="418">
        <v>32479</v>
      </c>
      <c r="N636" s="418">
        <v>54423</v>
      </c>
      <c r="O636" s="428"/>
      <c r="P636" s="418"/>
      <c r="Q636" s="418"/>
      <c r="R636" s="449" t="s">
        <v>313</v>
      </c>
      <c r="S636" s="280"/>
      <c r="T636" s="280"/>
      <c r="U636" s="280"/>
      <c r="V636" s="280"/>
      <c r="W636" s="282"/>
      <c r="X636" s="79"/>
      <c r="Y636" s="395"/>
      <c r="Z636" s="79"/>
      <c r="AA636" s="383"/>
      <c r="AB636" s="208"/>
      <c r="AC636" s="384"/>
      <c r="AD636" s="384"/>
      <c r="AE636" s="384"/>
      <c r="AF636" s="384"/>
      <c r="AG636" s="384"/>
      <c r="AH636" s="384"/>
      <c r="AI636" s="384"/>
      <c r="AJ636" s="384"/>
      <c r="AK636" s="384"/>
      <c r="AL636" s="384"/>
    </row>
    <row r="637" spans="1:39">
      <c r="A637" s="90"/>
      <c r="C637" s="89"/>
      <c r="F637" s="90"/>
      <c r="I637" s="90"/>
      <c r="J637" s="90"/>
      <c r="L637" s="90"/>
    </row>
    <row r="638" spans="1:39">
      <c r="A638" s="90"/>
      <c r="B638" s="1198" t="s">
        <v>2516</v>
      </c>
      <c r="C638" s="89"/>
      <c r="F638" s="90"/>
      <c r="I638" s="90"/>
      <c r="J638" s="90"/>
      <c r="L638" s="90"/>
    </row>
    <row r="639" spans="1:39" ht="15.75" customHeight="1">
      <c r="A639" s="574">
        <v>16</v>
      </c>
      <c r="B639" s="287" t="s">
        <v>2517</v>
      </c>
      <c r="C639" s="581" t="s">
        <v>8</v>
      </c>
      <c r="D639" s="488">
        <v>50205384278</v>
      </c>
      <c r="E639" s="303" t="s">
        <v>2518</v>
      </c>
      <c r="F639" s="574" t="s">
        <v>23</v>
      </c>
      <c r="G639" s="272">
        <v>23834</v>
      </c>
      <c r="H639" s="272">
        <v>45777</v>
      </c>
      <c r="I639" s="275">
        <v>9002071207</v>
      </c>
      <c r="J639" s="303" t="s">
        <v>76</v>
      </c>
      <c r="K639" s="275" t="s">
        <v>330</v>
      </c>
      <c r="L639" s="275" t="s">
        <v>93</v>
      </c>
      <c r="M639" s="79"/>
      <c r="O639" s="272">
        <v>44651</v>
      </c>
      <c r="P639" s="279">
        <v>44678</v>
      </c>
      <c r="Q639" s="279">
        <v>44577</v>
      </c>
      <c r="R639" s="485"/>
      <c r="S639" s="485"/>
      <c r="T639" s="486" t="s">
        <v>2519</v>
      </c>
      <c r="U639" s="486" t="s">
        <v>2519</v>
      </c>
      <c r="V639" s="485">
        <f>LEN(TEXT(D639,0))</f>
        <v>11</v>
      </c>
      <c r="W639" s="388">
        <f ca="1">INT((TODAY()-G639)/365)</f>
        <v>61</v>
      </c>
      <c r="X639" s="3"/>
      <c r="Y639" s="3"/>
      <c r="Z639" s="79"/>
      <c r="AA639" s="79"/>
    </row>
    <row r="640" spans="1:39">
      <c r="A640" s="90"/>
      <c r="C640" s="89"/>
      <c r="F640" s="90"/>
      <c r="I640" s="90"/>
      <c r="J640" s="90"/>
      <c r="L640" s="90"/>
    </row>
    <row r="641" spans="1:39">
      <c r="A641" s="90"/>
      <c r="B641" s="1198" t="s">
        <v>2520</v>
      </c>
      <c r="C641" s="89"/>
      <c r="F641" s="90"/>
      <c r="I641" s="90"/>
      <c r="J641" s="90"/>
      <c r="L641" s="90"/>
    </row>
    <row r="642" spans="1:39" ht="15.75" customHeight="1">
      <c r="A642" s="936">
        <v>110</v>
      </c>
      <c r="B642" s="293" t="s">
        <v>2521</v>
      </c>
      <c r="C642" s="275" t="s">
        <v>31</v>
      </c>
      <c r="D642" s="284">
        <v>50205360614</v>
      </c>
      <c r="E642" s="274" t="s">
        <v>2522</v>
      </c>
      <c r="F642" s="686" t="s">
        <v>759</v>
      </c>
      <c r="G642" s="274" t="s">
        <v>77</v>
      </c>
      <c r="H642" s="274" t="s">
        <v>279</v>
      </c>
      <c r="I642" s="275">
        <v>9800481065</v>
      </c>
      <c r="J642" s="275"/>
      <c r="K642" s="275" t="s">
        <v>261</v>
      </c>
      <c r="L642" s="274" t="s">
        <v>351</v>
      </c>
      <c r="M642" s="289">
        <v>23879</v>
      </c>
      <c r="N642" s="289">
        <v>45808</v>
      </c>
      <c r="O642" s="272">
        <v>45127</v>
      </c>
      <c r="P642" s="279">
        <v>45487</v>
      </c>
      <c r="Q642" s="915">
        <v>45453</v>
      </c>
      <c r="R642" s="79"/>
      <c r="S642" s="295"/>
      <c r="T642" s="296" t="s">
        <v>2523</v>
      </c>
      <c r="U642" s="296" t="s">
        <v>2524</v>
      </c>
      <c r="V642" s="297">
        <f>LEN(TEXT(D642,0))</f>
        <v>11</v>
      </c>
      <c r="W642" s="208">
        <f ca="1">INT((TODAY()-M642)/365)</f>
        <v>60</v>
      </c>
      <c r="X642" s="298"/>
    </row>
    <row r="643" spans="1:39">
      <c r="A643" s="90"/>
      <c r="C643" s="89"/>
      <c r="F643" s="90"/>
      <c r="I643" s="90"/>
      <c r="J643" s="90"/>
      <c r="L643" s="90"/>
    </row>
    <row r="644" spans="1:39">
      <c r="A644" s="90"/>
      <c r="B644" s="1392" t="s">
        <v>2525</v>
      </c>
      <c r="C644" s="89"/>
      <c r="F644" s="90"/>
      <c r="I644" s="90"/>
      <c r="J644" s="90"/>
      <c r="L644" s="90"/>
    </row>
    <row r="645" spans="1:39" ht="15.75">
      <c r="A645" s="656">
        <v>27</v>
      </c>
      <c r="B645" s="335" t="s">
        <v>2526</v>
      </c>
      <c r="C645" s="1210" t="s">
        <v>22</v>
      </c>
      <c r="D645" s="1211">
        <v>6329800063</v>
      </c>
      <c r="E645" s="18" t="s">
        <v>2527</v>
      </c>
      <c r="F645" s="685" t="s">
        <v>759</v>
      </c>
      <c r="G645" s="1393" t="s">
        <v>76</v>
      </c>
      <c r="H645" s="327"/>
      <c r="I645" s="79"/>
      <c r="J645" s="79"/>
      <c r="K645" s="409" t="s">
        <v>315</v>
      </c>
      <c r="L645" s="274" t="s">
        <v>50</v>
      </c>
      <c r="M645" s="326">
        <v>32147</v>
      </c>
      <c r="N645" s="1394">
        <v>54088</v>
      </c>
      <c r="O645" s="329"/>
      <c r="P645" s="330"/>
      <c r="Q645" s="331"/>
      <c r="R645" s="449" t="s">
        <v>313</v>
      </c>
      <c r="S645" s="332"/>
      <c r="T645" s="334"/>
      <c r="U645" s="332"/>
      <c r="V645" s="334"/>
      <c r="W645" s="334"/>
      <c r="X645" s="334"/>
      <c r="Y645" s="334"/>
      <c r="Z645" s="334"/>
      <c r="AA645" s="334"/>
      <c r="AC645" s="334"/>
      <c r="AD645" s="334"/>
      <c r="AE645" s="334"/>
      <c r="AF645" s="334"/>
      <c r="AG645" s="334"/>
      <c r="AH645" s="334"/>
      <c r="AI645" s="334"/>
      <c r="AJ645" s="334"/>
      <c r="AK645" s="334"/>
      <c r="AL645" s="334"/>
      <c r="AM645" s="199"/>
    </row>
    <row r="646" spans="1:39">
      <c r="A646" s="90"/>
      <c r="C646" s="89"/>
      <c r="F646" s="90"/>
      <c r="I646" s="90"/>
      <c r="J646" s="90"/>
      <c r="L646" s="90"/>
    </row>
    <row r="647" spans="1:39">
      <c r="A647" s="90"/>
      <c r="B647" s="1198" t="s">
        <v>2528</v>
      </c>
      <c r="C647" s="89"/>
      <c r="F647" s="90"/>
      <c r="I647" s="90"/>
      <c r="J647" s="90"/>
      <c r="L647" s="90"/>
    </row>
    <row r="648" spans="1:39" ht="15.75" customHeight="1">
      <c r="A648" s="936">
        <v>101</v>
      </c>
      <c r="B648" s="293" t="s">
        <v>2529</v>
      </c>
      <c r="C648" s="275" t="s">
        <v>31</v>
      </c>
      <c r="D648" s="604">
        <v>50212115599</v>
      </c>
      <c r="E648" s="303" t="s">
        <v>2530</v>
      </c>
      <c r="F648" s="274" t="s">
        <v>759</v>
      </c>
      <c r="G648" s="303" t="s">
        <v>76</v>
      </c>
      <c r="H648" s="274" t="s">
        <v>279</v>
      </c>
      <c r="I648" s="275">
        <v>9002071894</v>
      </c>
      <c r="J648" s="275"/>
      <c r="K648" s="275" t="s">
        <v>261</v>
      </c>
      <c r="L648" s="274" t="s">
        <v>351</v>
      </c>
      <c r="M648" s="289">
        <v>23916</v>
      </c>
      <c r="N648" s="289">
        <v>45838</v>
      </c>
      <c r="O648" s="272">
        <v>45122</v>
      </c>
      <c r="P648" s="279">
        <v>45527</v>
      </c>
      <c r="Q648" s="302">
        <v>45481</v>
      </c>
      <c r="R648" s="280"/>
      <c r="S648" s="295"/>
      <c r="T648" s="296" t="s">
        <v>2531</v>
      </c>
      <c r="U648" s="296" t="s">
        <v>2532</v>
      </c>
      <c r="V648" s="297">
        <f t="shared" ref="V648:V649" si="107">LEN(TEXT(D648,0))</f>
        <v>11</v>
      </c>
      <c r="W648" s="208">
        <f t="shared" ref="W648:W649" ca="1" si="108">INT((TODAY()-M648)/365)</f>
        <v>60</v>
      </c>
      <c r="X648" s="298"/>
      <c r="Y648" s="298"/>
      <c r="Z648" s="298"/>
      <c r="AA648" s="298"/>
      <c r="AB648" s="298"/>
      <c r="AC648" s="298"/>
      <c r="AD648" s="298"/>
      <c r="AE648" s="298"/>
      <c r="AF648" s="298"/>
      <c r="AG648" s="298"/>
      <c r="AH648" s="298"/>
      <c r="AI648" s="298"/>
      <c r="AJ648" s="298"/>
      <c r="AK648" s="298"/>
      <c r="AL648" s="298"/>
      <c r="AM648" s="298"/>
    </row>
    <row r="649" spans="1:39" ht="15.75" customHeight="1">
      <c r="A649" s="936">
        <v>53</v>
      </c>
      <c r="B649" s="293" t="s">
        <v>2533</v>
      </c>
      <c r="C649" s="274" t="s">
        <v>31</v>
      </c>
      <c r="D649" s="284">
        <v>50210311749</v>
      </c>
      <c r="E649" s="686" t="s">
        <v>2534</v>
      </c>
      <c r="F649" s="274" t="s">
        <v>759</v>
      </c>
      <c r="G649" s="274" t="s">
        <v>76</v>
      </c>
      <c r="H649" s="274" t="s">
        <v>266</v>
      </c>
      <c r="I649" s="275">
        <v>9002071209</v>
      </c>
      <c r="J649" s="275"/>
      <c r="K649" s="275" t="s">
        <v>261</v>
      </c>
      <c r="L649" s="274" t="s">
        <v>113</v>
      </c>
      <c r="M649" s="289">
        <v>23923</v>
      </c>
      <c r="N649" s="289">
        <v>45838</v>
      </c>
      <c r="O649" s="272">
        <v>45355</v>
      </c>
      <c r="P649" s="272">
        <v>45398</v>
      </c>
      <c r="Q649" s="302">
        <v>45397</v>
      </c>
      <c r="R649" s="294"/>
      <c r="S649" s="295"/>
      <c r="T649" s="296" t="s">
        <v>2535</v>
      </c>
      <c r="U649" s="296" t="s">
        <v>2536</v>
      </c>
      <c r="V649" s="297">
        <f t="shared" si="107"/>
        <v>11</v>
      </c>
      <c r="W649" s="208">
        <f t="shared" ca="1" si="108"/>
        <v>60</v>
      </c>
      <c r="X649" s="298"/>
      <c r="Y649" s="298"/>
      <c r="Z649" s="298"/>
      <c r="AA649" s="298"/>
      <c r="AB649" s="298"/>
      <c r="AC649" s="298"/>
      <c r="AD649" s="298"/>
      <c r="AE649" s="298"/>
      <c r="AF649" s="298"/>
      <c r="AG649" s="298"/>
    </row>
    <row r="650" spans="1:39">
      <c r="A650" s="90"/>
      <c r="B650" s="197" t="s">
        <v>2537</v>
      </c>
      <c r="C650" s="89"/>
      <c r="F650" s="90"/>
      <c r="I650" s="90"/>
      <c r="J650" s="90"/>
      <c r="L650" s="90"/>
    </row>
    <row r="651" spans="1:39" ht="15.75" customHeight="1">
      <c r="A651" s="1051">
        <v>96</v>
      </c>
      <c r="B651" s="351" t="s">
        <v>2538</v>
      </c>
      <c r="C651" s="581" t="s">
        <v>20</v>
      </c>
      <c r="D651" s="543">
        <v>50207572876</v>
      </c>
      <c r="E651" s="703" t="s">
        <v>2539</v>
      </c>
      <c r="F651" s="946" t="s">
        <v>759</v>
      </c>
      <c r="G651" s="284" t="s">
        <v>78</v>
      </c>
      <c r="H651" s="284" t="s">
        <v>266</v>
      </c>
      <c r="I651" s="391">
        <v>9002071049</v>
      </c>
      <c r="J651" s="391"/>
      <c r="K651" s="275" t="s">
        <v>315</v>
      </c>
      <c r="L651" s="303" t="s">
        <v>64</v>
      </c>
      <c r="M651" s="289">
        <v>26308</v>
      </c>
      <c r="N651" s="289">
        <v>48244</v>
      </c>
      <c r="O651" s="392">
        <v>45667</v>
      </c>
      <c r="P651" s="272">
        <v>46070</v>
      </c>
      <c r="Q651" s="272">
        <v>45902</v>
      </c>
      <c r="R651" s="285"/>
      <c r="S651" s="393"/>
      <c r="T651" s="638" t="s">
        <v>2540</v>
      </c>
      <c r="U651" s="393"/>
      <c r="V651" s="285"/>
      <c r="W651" s="1395" t="s">
        <v>2541</v>
      </c>
      <c r="Y651" s="1395">
        <v>1</v>
      </c>
      <c r="Z651" s="197" t="s">
        <v>85</v>
      </c>
      <c r="AA651" s="384"/>
      <c r="AB651" s="311">
        <f ca="1">INT((TODAY()-M651)/365)</f>
        <v>54</v>
      </c>
    </row>
    <row r="652" spans="1:39">
      <c r="A652" s="90"/>
      <c r="B652" s="1249"/>
      <c r="C652" s="89"/>
      <c r="F652" s="90"/>
      <c r="I652" s="90"/>
      <c r="J652" s="90"/>
      <c r="L652" s="90"/>
    </row>
    <row r="653" spans="1:39">
      <c r="A653" s="90"/>
      <c r="B653" s="1249" t="s">
        <v>2542</v>
      </c>
      <c r="C653" s="89"/>
      <c r="F653" s="90"/>
      <c r="I653" s="90"/>
      <c r="J653" s="90"/>
      <c r="L653" s="90"/>
    </row>
    <row r="654" spans="1:39" ht="17.25">
      <c r="A654" s="1396">
        <v>72</v>
      </c>
      <c r="B654" s="1397" t="s">
        <v>2543</v>
      </c>
      <c r="C654" s="747" t="s">
        <v>878</v>
      </c>
      <c r="D654" s="1398" t="s">
        <v>882</v>
      </c>
      <c r="E654" s="747" t="s">
        <v>11</v>
      </c>
      <c r="F654" s="747">
        <v>3329805346</v>
      </c>
      <c r="G654" s="1399" t="s">
        <v>2544</v>
      </c>
      <c r="H654" s="816"/>
      <c r="I654" s="816"/>
      <c r="J654" s="816"/>
      <c r="K654" s="743"/>
      <c r="L654" s="743"/>
      <c r="M654" s="743"/>
      <c r="N654" s="743"/>
      <c r="O654" s="743"/>
      <c r="P654" s="743"/>
      <c r="Q654" s="743"/>
      <c r="R654" s="743"/>
      <c r="S654" s="743"/>
      <c r="T654" s="743"/>
      <c r="U654" s="743"/>
      <c r="V654" s="743"/>
      <c r="W654" s="743"/>
      <c r="X654" s="743"/>
      <c r="Y654" s="743"/>
      <c r="Z654" s="743"/>
      <c r="AA654" s="743"/>
      <c r="AB654" s="743"/>
      <c r="AC654" s="743"/>
      <c r="AD654" s="743"/>
      <c r="AE654" s="743"/>
      <c r="AF654" s="743"/>
      <c r="AG654" s="743"/>
      <c r="AH654" s="743"/>
      <c r="AI654" s="743"/>
      <c r="AJ654" s="743"/>
      <c r="AK654" s="743"/>
      <c r="AL654" s="743"/>
      <c r="AM654" s="743"/>
    </row>
    <row r="655" spans="1:39">
      <c r="A655" s="90"/>
      <c r="B655" s="1249"/>
      <c r="C655" s="89"/>
      <c r="F655" s="90"/>
      <c r="I655" s="90"/>
      <c r="J655" s="90"/>
      <c r="L655" s="90"/>
    </row>
    <row r="656" spans="1:39">
      <c r="A656" s="90"/>
      <c r="B656" s="1198" t="s">
        <v>2545</v>
      </c>
      <c r="C656" s="89"/>
      <c r="F656" s="90"/>
      <c r="I656" s="90"/>
      <c r="J656" s="90"/>
      <c r="L656" s="90"/>
    </row>
    <row r="657" spans="1:39" ht="15.75" customHeight="1">
      <c r="A657" s="1400">
        <v>13</v>
      </c>
      <c r="B657" s="1401" t="s">
        <v>2546</v>
      </c>
      <c r="C657" s="1402" t="s">
        <v>81</v>
      </c>
      <c r="D657" s="1403">
        <v>50204766600</v>
      </c>
      <c r="E657" s="1404" t="s">
        <v>2547</v>
      </c>
      <c r="F657" s="1400"/>
      <c r="G657" s="1405" t="s">
        <v>76</v>
      </c>
      <c r="H657" s="1406"/>
      <c r="I657" s="1402">
        <v>9002079604</v>
      </c>
      <c r="J657" s="1406"/>
      <c r="K657" s="1407" t="s">
        <v>334</v>
      </c>
      <c r="L657" s="1402"/>
      <c r="M657" s="1408">
        <v>23925</v>
      </c>
      <c r="N657" s="1408">
        <v>45869</v>
      </c>
      <c r="O657" s="1406"/>
      <c r="P657" s="1408">
        <v>45097</v>
      </c>
      <c r="Q657" s="1409">
        <v>45622</v>
      </c>
      <c r="S657" s="1410"/>
      <c r="T657" s="1411" t="s">
        <v>2548</v>
      </c>
      <c r="U657" s="1411" t="s">
        <v>2548</v>
      </c>
      <c r="V657" s="1410">
        <f>LEN(D657)</f>
        <v>11</v>
      </c>
      <c r="W657" s="1412"/>
      <c r="X657" s="1400" t="s">
        <v>1986</v>
      </c>
      <c r="Y657" s="1400">
        <v>1</v>
      </c>
      <c r="Z657" s="1413" t="s">
        <v>84</v>
      </c>
      <c r="AA657" s="1414"/>
      <c r="AB657" s="1415">
        <f ca="1">INT((TODAY()-M657)/365)</f>
        <v>60</v>
      </c>
      <c r="AC657" s="1406"/>
      <c r="AD657" s="1406"/>
      <c r="AE657" s="1406"/>
      <c r="AF657" s="1406"/>
      <c r="AG657" s="1406"/>
      <c r="AH657" s="1406"/>
      <c r="AI657" s="1406"/>
      <c r="AJ657" s="1406"/>
      <c r="AK657" s="1406"/>
      <c r="AL657" s="1406"/>
      <c r="AM657" s="1406"/>
    </row>
    <row r="658" spans="1:39" ht="15.75" customHeight="1">
      <c r="A658" s="574">
        <v>25</v>
      </c>
      <c r="B658" s="287" t="s">
        <v>115</v>
      </c>
      <c r="C658" s="274" t="s">
        <v>36</v>
      </c>
      <c r="D658" s="284">
        <v>50205376439</v>
      </c>
      <c r="E658" s="303" t="s">
        <v>2549</v>
      </c>
      <c r="F658" s="574" t="s">
        <v>23</v>
      </c>
      <c r="G658" s="272">
        <v>23955</v>
      </c>
      <c r="H658" s="289">
        <v>45869</v>
      </c>
      <c r="I658" s="275">
        <v>9002071612</v>
      </c>
      <c r="J658" s="303" t="s">
        <v>76</v>
      </c>
      <c r="K658" s="275" t="s">
        <v>261</v>
      </c>
      <c r="L658" s="303" t="s">
        <v>1514</v>
      </c>
      <c r="O658" s="272"/>
      <c r="P658" s="289"/>
      <c r="Q658" s="272">
        <v>45274</v>
      </c>
      <c r="R658" s="79"/>
      <c r="S658" s="295"/>
      <c r="T658" s="296" t="s">
        <v>2550</v>
      </c>
      <c r="U658" s="296" t="s">
        <v>2550</v>
      </c>
      <c r="V658" s="297">
        <f>LEN(TEXT(D658,0))</f>
        <v>11</v>
      </c>
      <c r="W658" s="208">
        <f ca="1">INT((TODAY()-G658)/365)</f>
        <v>60</v>
      </c>
      <c r="X658" s="298"/>
      <c r="Y658" s="298"/>
      <c r="Z658" s="298"/>
      <c r="AA658" s="298"/>
      <c r="AB658" s="298"/>
      <c r="AC658" s="298"/>
      <c r="AD658" s="298"/>
      <c r="AE658" s="298"/>
      <c r="AF658" s="298"/>
      <c r="AG658" s="298"/>
      <c r="AH658" s="298"/>
      <c r="AI658" s="298"/>
      <c r="AJ658" s="298"/>
      <c r="AK658" s="298"/>
      <c r="AL658" s="298"/>
      <c r="AM658" s="298"/>
    </row>
    <row r="659" spans="1:39">
      <c r="A659" s="231">
        <v>54</v>
      </c>
      <c r="B659" s="232" t="s">
        <v>2551</v>
      </c>
      <c r="C659" s="233" t="s">
        <v>76</v>
      </c>
      <c r="D659" s="883" t="s">
        <v>137</v>
      </c>
      <c r="E659" s="235">
        <v>5384539</v>
      </c>
      <c r="F659" s="1339">
        <v>23954</v>
      </c>
      <c r="G659" s="236">
        <v>45869</v>
      </c>
      <c r="H659" s="233" t="s">
        <v>2552</v>
      </c>
      <c r="I659" s="233" t="s">
        <v>140</v>
      </c>
      <c r="J659" s="237" t="s">
        <v>146</v>
      </c>
      <c r="K659" s="238" t="s">
        <v>142</v>
      </c>
      <c r="L659" s="239"/>
    </row>
    <row r="660" spans="1:39" ht="15.75">
      <c r="A660" s="656">
        <v>42</v>
      </c>
      <c r="B660" s="566" t="s">
        <v>2553</v>
      </c>
      <c r="C660" s="457" t="s">
        <v>20</v>
      </c>
      <c r="D660" s="567" t="s">
        <v>2554</v>
      </c>
      <c r="E660" s="1416"/>
      <c r="F660" s="674" t="s">
        <v>759</v>
      </c>
      <c r="G660" s="823" t="s">
        <v>76</v>
      </c>
      <c r="H660" s="457" t="s">
        <v>279</v>
      </c>
      <c r="K660" s="1417" t="s">
        <v>253</v>
      </c>
      <c r="L660" s="457" t="s">
        <v>1843</v>
      </c>
      <c r="M660" s="444">
        <v>23927</v>
      </c>
      <c r="N660" s="444">
        <v>45869</v>
      </c>
      <c r="O660" s="1418">
        <v>45875</v>
      </c>
      <c r="P660" s="1419">
        <v>46084</v>
      </c>
      <c r="Q660" s="1418">
        <v>46881</v>
      </c>
      <c r="R660" s="449" t="s">
        <v>37</v>
      </c>
      <c r="S660" s="332"/>
      <c r="T660" s="79"/>
      <c r="U660" s="572"/>
      <c r="V660" s="334"/>
      <c r="W660" s="334"/>
      <c r="X660" s="334"/>
      <c r="Y660" s="334"/>
      <c r="Z660" s="334"/>
      <c r="AA660" s="334"/>
      <c r="AB660" s="334"/>
      <c r="AE660" s="568" t="s">
        <v>2555</v>
      </c>
      <c r="AF660" s="568" t="s">
        <v>2556</v>
      </c>
      <c r="AH660" s="199"/>
      <c r="AI660" s="199"/>
      <c r="AJ660" s="199"/>
      <c r="AK660" s="199"/>
      <c r="AL660" s="199"/>
    </row>
    <row r="663" spans="1:39">
      <c r="A663" s="90"/>
      <c r="C663" s="89"/>
      <c r="F663" s="90"/>
      <c r="I663" s="90"/>
      <c r="J663" s="90"/>
      <c r="L663" s="90"/>
    </row>
    <row r="664" spans="1:39" ht="17.25">
      <c r="A664" s="1420">
        <v>33</v>
      </c>
      <c r="B664" s="1421" t="s">
        <v>2557</v>
      </c>
      <c r="C664" s="1422" t="s">
        <v>827</v>
      </c>
      <c r="D664" s="1423" t="s">
        <v>823</v>
      </c>
      <c r="E664" s="768" t="s">
        <v>11</v>
      </c>
      <c r="F664" s="768">
        <v>50209379344</v>
      </c>
      <c r="G664" s="1424" t="s">
        <v>2558</v>
      </c>
      <c r="H664" s="1425">
        <v>24047</v>
      </c>
      <c r="I664" s="1426">
        <v>45961</v>
      </c>
      <c r="J664" s="1427">
        <v>33960</v>
      </c>
      <c r="K664" s="1428" t="s">
        <v>2559</v>
      </c>
      <c r="L664" s="1429"/>
      <c r="M664" s="1429"/>
      <c r="N664" s="1429"/>
      <c r="O664" s="1429"/>
      <c r="P664" s="1429"/>
      <c r="Q664" s="1429"/>
      <c r="R664" s="1429"/>
      <c r="S664" s="1429"/>
      <c r="T664" s="1429"/>
      <c r="U664" s="1429"/>
      <c r="V664" s="1429"/>
      <c r="W664" s="1429"/>
      <c r="X664" s="1429"/>
      <c r="Y664" s="1429"/>
      <c r="Z664" s="1429"/>
      <c r="AA664" s="1429"/>
      <c r="AB664" s="1429"/>
      <c r="AC664" s="1429"/>
      <c r="AD664" s="1429"/>
      <c r="AE664" s="1429"/>
      <c r="AF664" s="1429"/>
      <c r="AG664" s="1429"/>
      <c r="AH664" s="1429"/>
      <c r="AI664" s="1429"/>
      <c r="AJ664" s="1429"/>
      <c r="AK664" s="1429"/>
      <c r="AL664" s="1429"/>
      <c r="AM664" s="1429"/>
    </row>
    <row r="665" spans="1:39" ht="17.25">
      <c r="A665" s="1420">
        <v>44</v>
      </c>
      <c r="B665" s="1421" t="s">
        <v>2560</v>
      </c>
      <c r="C665" s="768">
        <v>2627</v>
      </c>
      <c r="D665" s="1421" t="s">
        <v>924</v>
      </c>
      <c r="E665" s="768" t="s">
        <v>11</v>
      </c>
      <c r="F665" s="768" t="s">
        <v>2561</v>
      </c>
      <c r="G665" s="1424" t="s">
        <v>2562</v>
      </c>
      <c r="H665" s="1425">
        <v>24656</v>
      </c>
      <c r="I665" s="1426">
        <v>46599</v>
      </c>
      <c r="J665" s="1425">
        <v>32030</v>
      </c>
      <c r="K665" s="1428" t="s">
        <v>2559</v>
      </c>
      <c r="L665" s="1429"/>
      <c r="M665" s="1429"/>
      <c r="N665" s="1429"/>
      <c r="O665" s="1429"/>
      <c r="P665" s="1429"/>
      <c r="Q665" s="1429"/>
      <c r="R665" s="1429"/>
      <c r="S665" s="1429"/>
      <c r="T665" s="1429"/>
      <c r="U665" s="1429"/>
      <c r="V665" s="1429"/>
      <c r="W665" s="1429"/>
      <c r="X665" s="1429"/>
      <c r="Y665" s="1429"/>
      <c r="Z665" s="1429"/>
      <c r="AA665" s="1429"/>
      <c r="AB665" s="1429"/>
      <c r="AC665" s="1429"/>
      <c r="AD665" s="1429"/>
      <c r="AE665" s="1429"/>
      <c r="AF665" s="1429"/>
      <c r="AG665" s="1429"/>
      <c r="AH665" s="1429"/>
      <c r="AI665" s="1429"/>
      <c r="AJ665" s="1429"/>
      <c r="AK665" s="1429"/>
      <c r="AL665" s="1429"/>
      <c r="AM665" s="1429"/>
    </row>
    <row r="666" spans="1:39">
      <c r="A666" s="90"/>
      <c r="C666" s="89"/>
      <c r="F666" s="90"/>
      <c r="I666" s="90"/>
      <c r="J666" s="90"/>
      <c r="L666" s="90"/>
    </row>
    <row r="667" spans="1:39">
      <c r="A667" s="90"/>
      <c r="C667" s="89"/>
      <c r="F667" s="90"/>
      <c r="I667" s="90"/>
      <c r="J667" s="90"/>
      <c r="L667" s="90"/>
    </row>
    <row r="668" spans="1:39">
      <c r="A668" s="90"/>
      <c r="C668" s="89"/>
      <c r="F668" s="90"/>
      <c r="I668" s="90"/>
      <c r="J668" s="90"/>
      <c r="L668" s="90"/>
    </row>
    <row r="669" spans="1:39">
      <c r="A669" s="90"/>
      <c r="C669" s="89"/>
      <c r="F669" s="90"/>
      <c r="I669" s="90"/>
      <c r="J669" s="90"/>
      <c r="L669" s="90"/>
    </row>
    <row r="670" spans="1:39">
      <c r="A670" s="90"/>
      <c r="B670" s="1198" t="s">
        <v>2563</v>
      </c>
      <c r="C670" s="89"/>
      <c r="F670" s="90"/>
      <c r="I670" s="90"/>
      <c r="J670" s="90"/>
      <c r="L670" s="90"/>
    </row>
    <row r="671" spans="1:39">
      <c r="A671" s="231">
        <v>4</v>
      </c>
      <c r="B671" s="1264" t="s">
        <v>2564</v>
      </c>
      <c r="C671" s="231" t="s">
        <v>76</v>
      </c>
      <c r="D671" s="234" t="s">
        <v>137</v>
      </c>
      <c r="E671" s="1306">
        <v>5355461</v>
      </c>
      <c r="F671" s="231" t="s">
        <v>2565</v>
      </c>
      <c r="G671" s="236">
        <v>45900</v>
      </c>
      <c r="H671" s="233" t="s">
        <v>2566</v>
      </c>
      <c r="I671" s="233" t="s">
        <v>1634</v>
      </c>
      <c r="J671" s="237" t="s">
        <v>1433</v>
      </c>
      <c r="K671" s="238" t="s">
        <v>142</v>
      </c>
      <c r="L671" s="239"/>
    </row>
    <row r="672" spans="1:39" ht="15.75" customHeight="1">
      <c r="A672" s="936">
        <v>51</v>
      </c>
      <c r="B672" s="293" t="s">
        <v>2567</v>
      </c>
      <c r="C672" s="275" t="s">
        <v>31</v>
      </c>
      <c r="D672" s="562" t="s">
        <v>2568</v>
      </c>
      <c r="E672" s="274" t="s">
        <v>2569</v>
      </c>
      <c r="F672" s="274" t="s">
        <v>759</v>
      </c>
      <c r="G672" s="274" t="s">
        <v>77</v>
      </c>
      <c r="H672" s="274" t="s">
        <v>279</v>
      </c>
      <c r="I672" s="275">
        <v>9002071211</v>
      </c>
      <c r="J672" s="275"/>
      <c r="K672" s="275" t="s">
        <v>261</v>
      </c>
      <c r="L672" s="274" t="s">
        <v>55</v>
      </c>
      <c r="M672" s="272">
        <v>23965</v>
      </c>
      <c r="N672" s="289">
        <v>45900</v>
      </c>
      <c r="O672" s="272">
        <v>45168</v>
      </c>
      <c r="P672" s="279">
        <v>45835</v>
      </c>
      <c r="Q672" s="272">
        <v>45835</v>
      </c>
      <c r="R672" s="294"/>
      <c r="S672" s="295"/>
      <c r="T672" s="296" t="s">
        <v>2570</v>
      </c>
      <c r="U672" s="296" t="s">
        <v>2570</v>
      </c>
      <c r="V672" s="297">
        <f t="shared" ref="V672:V673" si="109">LEN(TEXT(D672,0))</f>
        <v>11</v>
      </c>
      <c r="W672" s="208">
        <f t="shared" ref="W672:W673" ca="1" si="110">INT((TODAY()-M672)/365)</f>
        <v>60</v>
      </c>
      <c r="X672" s="298"/>
      <c r="Y672" s="298"/>
      <c r="Z672" s="298"/>
      <c r="AA672" s="298"/>
      <c r="AB672" s="298"/>
      <c r="AC672" s="298"/>
      <c r="AD672" s="298"/>
      <c r="AE672" s="298"/>
      <c r="AF672" s="298"/>
      <c r="AG672" s="298"/>
      <c r="AH672" s="298"/>
      <c r="AI672" s="298"/>
      <c r="AJ672" s="298"/>
      <c r="AK672" s="298"/>
      <c r="AL672" s="298"/>
      <c r="AM672" s="298"/>
    </row>
    <row r="673" spans="1:39" ht="15.75" customHeight="1">
      <c r="A673" s="1430">
        <v>12</v>
      </c>
      <c r="B673" s="1431" t="s">
        <v>2571</v>
      </c>
      <c r="C673" s="1432" t="s">
        <v>31</v>
      </c>
      <c r="D673" s="1433" t="s">
        <v>2572</v>
      </c>
      <c r="E673" s="1434" t="s">
        <v>2573</v>
      </c>
      <c r="F673" s="1435" t="s">
        <v>759</v>
      </c>
      <c r="G673" s="1434" t="s">
        <v>76</v>
      </c>
      <c r="H673" s="1436"/>
      <c r="I673" s="1432">
        <v>9002071199</v>
      </c>
      <c r="J673" s="1437"/>
      <c r="K673" s="1432" t="s">
        <v>261</v>
      </c>
      <c r="L673" s="1434"/>
      <c r="M673" s="1438">
        <v>23964</v>
      </c>
      <c r="N673" s="1438">
        <v>45900</v>
      </c>
      <c r="O673" s="1436"/>
      <c r="P673" s="1439">
        <v>44680</v>
      </c>
      <c r="Q673" s="1439">
        <v>44717</v>
      </c>
      <c r="R673" s="1436"/>
      <c r="S673" s="1440"/>
      <c r="T673" s="1441" t="s">
        <v>2574</v>
      </c>
      <c r="U673" s="1441" t="s">
        <v>2574</v>
      </c>
      <c r="V673" s="1442">
        <f t="shared" si="109"/>
        <v>11</v>
      </c>
      <c r="W673" s="1443">
        <f t="shared" ca="1" si="110"/>
        <v>60</v>
      </c>
      <c r="X673" s="1444"/>
      <c r="Y673" s="1444"/>
      <c r="Z673" s="1444"/>
      <c r="AA673" s="1444"/>
      <c r="AB673" s="1444"/>
      <c r="AC673" s="1444"/>
      <c r="AD673" s="1444"/>
      <c r="AE673" s="1444"/>
      <c r="AF673" s="1444"/>
      <c r="AG673" s="1444"/>
      <c r="AH673" s="1444"/>
      <c r="AI673" s="1444"/>
      <c r="AJ673" s="1444"/>
      <c r="AK673" s="1444"/>
      <c r="AL673" s="1444"/>
      <c r="AM673" s="1444"/>
    </row>
    <row r="674" spans="1:39" ht="15.75">
      <c r="A674" s="656">
        <v>1</v>
      </c>
      <c r="B674" s="524" t="s">
        <v>2575</v>
      </c>
      <c r="C674" s="525" t="s">
        <v>31</v>
      </c>
      <c r="D674" s="1445" t="s">
        <v>2576</v>
      </c>
      <c r="E674" s="527" t="s">
        <v>2577</v>
      </c>
      <c r="F674" s="970" t="s">
        <v>759</v>
      </c>
      <c r="G674" s="1323" t="s">
        <v>76</v>
      </c>
      <c r="H674" s="303" t="s">
        <v>266</v>
      </c>
      <c r="I674" s="18">
        <v>9002071686</v>
      </c>
      <c r="J674" s="1141"/>
      <c r="K674" s="328" t="s">
        <v>253</v>
      </c>
      <c r="L674" s="18" t="s">
        <v>62</v>
      </c>
      <c r="M674" s="528">
        <v>23961</v>
      </c>
      <c r="N674" s="529">
        <v>45900</v>
      </c>
      <c r="O674" s="1142"/>
      <c r="P674" s="1143"/>
      <c r="Q674" s="1142"/>
      <c r="R674" s="449" t="s">
        <v>313</v>
      </c>
      <c r="S674" s="533"/>
      <c r="T674" s="1446"/>
      <c r="U674" s="1447" t="s">
        <v>2578</v>
      </c>
      <c r="V674" s="535" t="s">
        <v>2579</v>
      </c>
      <c r="W674" s="533"/>
      <c r="X674" s="533"/>
      <c r="Y674" s="533"/>
      <c r="Z674" s="334"/>
      <c r="AA674" s="334"/>
      <c r="AB674" s="334"/>
      <c r="AC674" s="334"/>
      <c r="AD674" s="199"/>
      <c r="AE674" s="199"/>
      <c r="AF674" s="199"/>
      <c r="AG674" s="199"/>
      <c r="AH674" s="199"/>
      <c r="AI674" s="199"/>
      <c r="AJ674" s="199"/>
      <c r="AK674" s="199"/>
      <c r="AL674" s="199"/>
    </row>
    <row r="675" spans="1:39" ht="30">
      <c r="A675" s="1001">
        <v>6</v>
      </c>
      <c r="B675" s="688" t="s">
        <v>2580</v>
      </c>
      <c r="C675" s="275" t="s">
        <v>31</v>
      </c>
      <c r="D675" s="1448" t="s">
        <v>2581</v>
      </c>
      <c r="E675" s="274" t="s">
        <v>2582</v>
      </c>
      <c r="F675" s="284" t="s">
        <v>759</v>
      </c>
      <c r="G675" s="1124" t="s">
        <v>77</v>
      </c>
      <c r="H675" s="274" t="s">
        <v>279</v>
      </c>
      <c r="I675" s="275">
        <v>9002071129</v>
      </c>
      <c r="J675" s="415">
        <v>9002071129</v>
      </c>
      <c r="K675" s="275" t="s">
        <v>330</v>
      </c>
      <c r="L675" s="274" t="s">
        <v>108</v>
      </c>
      <c r="M675" s="289">
        <v>23985</v>
      </c>
      <c r="N675" s="289">
        <v>45900</v>
      </c>
      <c r="O675" s="272">
        <v>45169</v>
      </c>
      <c r="P675" s="279">
        <v>45501</v>
      </c>
      <c r="Q675" s="302">
        <v>45481</v>
      </c>
      <c r="R675" s="309"/>
      <c r="S675" s="309"/>
      <c r="T675" s="310" t="s">
        <v>2583</v>
      </c>
      <c r="U675" s="310" t="s">
        <v>2583</v>
      </c>
      <c r="V675" s="388">
        <f t="shared" ref="V675:V677" ca="1" si="111">INT((TODAY()-M675)/365)</f>
        <v>60</v>
      </c>
      <c r="W675" s="311"/>
      <c r="X675" s="311"/>
      <c r="Y675" s="311"/>
      <c r="Z675" s="311"/>
      <c r="AA675" s="311"/>
      <c r="AB675" s="311"/>
      <c r="AC675" s="311"/>
      <c r="AD675" s="311"/>
      <c r="AE675" s="311"/>
      <c r="AF675" s="311"/>
      <c r="AG675" s="311"/>
      <c r="AH675" s="311"/>
      <c r="AI675" s="311"/>
      <c r="AJ675" s="311"/>
      <c r="AK675" s="311"/>
      <c r="AL675" s="311"/>
      <c r="AM675" s="311"/>
    </row>
    <row r="676" spans="1:39" ht="30">
      <c r="A676" s="1001">
        <v>15</v>
      </c>
      <c r="B676" s="293" t="s">
        <v>2584</v>
      </c>
      <c r="C676" s="539" t="s">
        <v>31</v>
      </c>
      <c r="D676" s="1448" t="s">
        <v>2585</v>
      </c>
      <c r="E676" s="1004" t="s">
        <v>2586</v>
      </c>
      <c r="F676" s="284" t="s">
        <v>759</v>
      </c>
      <c r="G676" s="385" t="s">
        <v>76</v>
      </c>
      <c r="H676" s="274" t="s">
        <v>279</v>
      </c>
      <c r="I676" s="275">
        <v>9002071204</v>
      </c>
      <c r="J676" s="690">
        <v>9002071204</v>
      </c>
      <c r="K676" s="275" t="s">
        <v>330</v>
      </c>
      <c r="L676" s="274" t="s">
        <v>108</v>
      </c>
      <c r="M676" s="272">
        <v>23962</v>
      </c>
      <c r="N676" s="272">
        <v>45900</v>
      </c>
      <c r="O676" s="272">
        <v>45115</v>
      </c>
      <c r="P676" s="279">
        <v>45720</v>
      </c>
      <c r="Q676" s="272">
        <v>45563</v>
      </c>
      <c r="S676" s="309"/>
      <c r="T676" s="486" t="s">
        <v>2587</v>
      </c>
      <c r="U676" s="486" t="s">
        <v>2588</v>
      </c>
      <c r="V676" s="388">
        <f t="shared" ca="1" si="111"/>
        <v>60</v>
      </c>
      <c r="W676" s="382"/>
      <c r="X676" s="382"/>
      <c r="Y676" s="382"/>
      <c r="Z676" s="382"/>
      <c r="AA676" s="311"/>
      <c r="AB676" s="311"/>
      <c r="AC676" s="311"/>
      <c r="AD676" s="311"/>
      <c r="AE676" s="311"/>
      <c r="AF676" s="311"/>
      <c r="AG676" s="311"/>
      <c r="AH676" s="311"/>
      <c r="AI676" s="311"/>
      <c r="AJ676" s="311"/>
      <c r="AK676" s="311"/>
      <c r="AL676" s="311"/>
      <c r="AM676" s="311"/>
    </row>
    <row r="677" spans="1:39" ht="15.75" customHeight="1">
      <c r="A677" s="1001">
        <v>27</v>
      </c>
      <c r="B677" s="688" t="s">
        <v>2589</v>
      </c>
      <c r="C677" s="275" t="s">
        <v>31</v>
      </c>
      <c r="D677" s="1448" t="s">
        <v>2590</v>
      </c>
      <c r="E677" s="303" t="s">
        <v>2591</v>
      </c>
      <c r="F677" s="284" t="s">
        <v>759</v>
      </c>
      <c r="G677" s="385" t="s">
        <v>76</v>
      </c>
      <c r="H677" s="274" t="s">
        <v>279</v>
      </c>
      <c r="I677" s="275">
        <v>9002071734</v>
      </c>
      <c r="J677" s="690">
        <v>9002071734</v>
      </c>
      <c r="K677" s="275" t="s">
        <v>330</v>
      </c>
      <c r="L677" s="274" t="s">
        <v>108</v>
      </c>
      <c r="M677" s="272">
        <v>23960</v>
      </c>
      <c r="N677" s="272">
        <v>45900</v>
      </c>
      <c r="O677" s="272">
        <v>45192</v>
      </c>
      <c r="P677" s="279">
        <v>45891</v>
      </c>
      <c r="Q677" s="279">
        <v>45898</v>
      </c>
      <c r="R677" s="309"/>
      <c r="S677" s="309"/>
      <c r="T677" s="310" t="s">
        <v>2592</v>
      </c>
      <c r="U677" s="310" t="s">
        <v>2592</v>
      </c>
      <c r="V677" s="388">
        <f t="shared" ca="1" si="111"/>
        <v>60</v>
      </c>
      <c r="W677" s="311"/>
      <c r="X677" s="311"/>
      <c r="Y677" s="311"/>
      <c r="Z677" s="311"/>
      <c r="AA677" s="311"/>
      <c r="AB677" s="311"/>
      <c r="AC677" s="311"/>
      <c r="AD677" s="311"/>
      <c r="AE677" s="311"/>
      <c r="AF677" s="311"/>
      <c r="AG677" s="311"/>
      <c r="AH677" s="311"/>
      <c r="AI677" s="311"/>
      <c r="AJ677" s="311"/>
      <c r="AK677" s="311"/>
      <c r="AL677" s="311"/>
      <c r="AM677" s="311"/>
    </row>
    <row r="678" spans="1:39">
      <c r="A678" s="90"/>
      <c r="C678" s="89"/>
      <c r="F678" s="90"/>
      <c r="I678" s="90"/>
      <c r="J678" s="90"/>
      <c r="L678" s="90"/>
    </row>
    <row r="679" spans="1:39">
      <c r="A679" s="90"/>
      <c r="C679" s="89"/>
      <c r="F679" s="90"/>
      <c r="I679" s="90"/>
      <c r="J679" s="90"/>
      <c r="L679" s="90"/>
    </row>
    <row r="680" spans="1:39">
      <c r="A680" s="90"/>
      <c r="B680" s="1198" t="s">
        <v>2593</v>
      </c>
      <c r="C680" s="89"/>
      <c r="F680" s="90"/>
      <c r="I680" s="90"/>
      <c r="J680" s="90"/>
      <c r="L680" s="90"/>
    </row>
    <row r="681" spans="1:39">
      <c r="A681" s="656">
        <v>8</v>
      </c>
      <c r="B681" s="327"/>
      <c r="C681" s="334" t="s">
        <v>2594</v>
      </c>
      <c r="D681" s="327" t="s">
        <v>681</v>
      </c>
      <c r="E681" s="334"/>
      <c r="F681" s="327" t="s">
        <v>682</v>
      </c>
      <c r="G681" s="657"/>
      <c r="H681" s="328" t="s">
        <v>12</v>
      </c>
      <c r="I681" s="656" t="s">
        <v>684</v>
      </c>
      <c r="J681" s="329">
        <v>45925</v>
      </c>
      <c r="K681" s="329">
        <v>45930</v>
      </c>
      <c r="S681" s="658"/>
    </row>
    <row r="682" spans="1:39" ht="15.75" customHeight="1">
      <c r="A682" s="1066">
        <v>17</v>
      </c>
      <c r="B682" s="293" t="s">
        <v>2595</v>
      </c>
      <c r="C682" s="391" t="s">
        <v>14</v>
      </c>
      <c r="D682" s="562" t="s">
        <v>2596</v>
      </c>
      <c r="E682" s="1449" t="s">
        <v>2597</v>
      </c>
      <c r="F682" s="274" t="s">
        <v>759</v>
      </c>
      <c r="G682" s="284" t="s">
        <v>77</v>
      </c>
      <c r="H682" s="274" t="s">
        <v>279</v>
      </c>
      <c r="I682" s="301">
        <v>9002071150</v>
      </c>
      <c r="J682" s="284">
        <v>9002071150</v>
      </c>
      <c r="K682" s="351" t="s">
        <v>334</v>
      </c>
      <c r="L682" s="1362" t="s">
        <v>44</v>
      </c>
      <c r="M682" s="289">
        <v>24015</v>
      </c>
      <c r="N682" s="289">
        <v>45930</v>
      </c>
      <c r="O682" s="272">
        <v>45198</v>
      </c>
      <c r="P682" s="272">
        <v>45863</v>
      </c>
      <c r="Q682" s="272">
        <v>45786</v>
      </c>
      <c r="R682" s="79"/>
      <c r="S682" s="295"/>
      <c r="T682" s="296" t="s">
        <v>2598</v>
      </c>
      <c r="U682" s="603" t="s">
        <v>2599</v>
      </c>
      <c r="V682" s="297">
        <f>LEN(TEXT(D682,0))</f>
        <v>11</v>
      </c>
      <c r="W682" s="208">
        <f ca="1">INT((TODAY()-M682)/365)</f>
        <v>60</v>
      </c>
      <c r="X682" s="298"/>
      <c r="AH682" s="298"/>
      <c r="AI682" s="298"/>
      <c r="AJ682" s="298"/>
      <c r="AK682" s="298"/>
      <c r="AL682" s="298"/>
      <c r="AM682" s="298"/>
    </row>
    <row r="683" spans="1:39" ht="15.75">
      <c r="A683" s="656">
        <v>78</v>
      </c>
      <c r="B683" s="1450" t="s">
        <v>2600</v>
      </c>
      <c r="C683" s="1451" t="s">
        <v>20</v>
      </c>
      <c r="D683" s="1452" t="s">
        <v>2601</v>
      </c>
      <c r="E683" s="1453"/>
      <c r="F683" s="674" t="s">
        <v>759</v>
      </c>
      <c r="G683" s="1451" t="s">
        <v>76</v>
      </c>
      <c r="H683" s="1454"/>
      <c r="K683" s="409" t="s">
        <v>290</v>
      </c>
      <c r="L683" s="457" t="s">
        <v>66</v>
      </c>
      <c r="M683" s="444">
        <v>23990</v>
      </c>
      <c r="N683" s="444">
        <v>45930</v>
      </c>
      <c r="O683" s="569">
        <v>45737</v>
      </c>
      <c r="P683" s="1455">
        <v>45066</v>
      </c>
      <c r="Q683" s="569">
        <v>45104</v>
      </c>
      <c r="R683" s="449" t="s">
        <v>37</v>
      </c>
      <c r="S683" s="332"/>
      <c r="T683" s="571"/>
      <c r="U683" s="572"/>
      <c r="V683" s="334"/>
      <c r="W683" s="334"/>
      <c r="X683" s="334"/>
      <c r="Y683" s="334"/>
      <c r="Z683" s="334"/>
      <c r="AA683" s="334"/>
      <c r="AB683" s="334"/>
      <c r="AE683" s="1456" t="s">
        <v>2602</v>
      </c>
      <c r="AF683" s="1456" t="s">
        <v>2603</v>
      </c>
      <c r="AH683" s="199"/>
      <c r="AI683" s="199"/>
      <c r="AJ683" s="199"/>
      <c r="AK683" s="199"/>
      <c r="AL683" s="199"/>
      <c r="AM683" s="199"/>
    </row>
    <row r="685" spans="1:39">
      <c r="A685" s="90"/>
      <c r="C685" s="89"/>
      <c r="F685" s="90"/>
      <c r="I685" s="90"/>
      <c r="J685" s="90"/>
      <c r="L685" s="90"/>
    </row>
    <row r="686" spans="1:39">
      <c r="A686" s="90"/>
      <c r="B686" s="1198" t="s">
        <v>2604</v>
      </c>
      <c r="C686" s="89"/>
      <c r="F686" s="90"/>
      <c r="I686" s="90"/>
      <c r="J686" s="90"/>
      <c r="L686" s="90"/>
    </row>
    <row r="687" spans="1:39" ht="15.75" customHeight="1">
      <c r="A687" s="18">
        <v>21</v>
      </c>
      <c r="B687" s="313" t="s">
        <v>2605</v>
      </c>
      <c r="C687" s="1301" t="s">
        <v>14</v>
      </c>
      <c r="D687" s="675">
        <v>50208341138</v>
      </c>
      <c r="E687" s="1123" t="s">
        <v>2606</v>
      </c>
      <c r="F687" s="18" t="s">
        <v>485</v>
      </c>
      <c r="G687" s="315">
        <v>24036</v>
      </c>
      <c r="H687" s="315">
        <v>45961</v>
      </c>
      <c r="I687" s="275" t="s">
        <v>315</v>
      </c>
      <c r="J687" s="303" t="s">
        <v>76</v>
      </c>
      <c r="K687" s="274" t="s">
        <v>253</v>
      </c>
      <c r="L687" s="275" t="s">
        <v>44</v>
      </c>
      <c r="M687" s="307">
        <v>9002079791</v>
      </c>
      <c r="O687" s="315">
        <v>45220</v>
      </c>
      <c r="P687" s="279">
        <v>45274</v>
      </c>
      <c r="Q687" s="272">
        <v>45537</v>
      </c>
      <c r="R687" s="425"/>
      <c r="S687" s="425"/>
      <c r="T687" s="339" t="s">
        <v>2607</v>
      </c>
      <c r="U687" s="425"/>
      <c r="V687" s="425"/>
      <c r="W687" s="90"/>
      <c r="X687" s="137" t="s">
        <v>1986</v>
      </c>
      <c r="Y687" s="137">
        <v>1</v>
      </c>
      <c r="Z687" s="197" t="s">
        <v>84</v>
      </c>
      <c r="AB687" s="311">
        <f ca="1">INT((TODAY()-G687)/365)</f>
        <v>60</v>
      </c>
      <c r="AC687" s="311"/>
      <c r="AD687" s="311"/>
      <c r="AE687" s="311"/>
      <c r="AF687" s="311"/>
      <c r="AG687" s="311"/>
      <c r="AH687" s="311"/>
    </row>
    <row r="688" spans="1:39" ht="15.75">
      <c r="A688" s="656">
        <v>88</v>
      </c>
      <c r="B688" s="1450" t="s">
        <v>2608</v>
      </c>
      <c r="C688" s="1451" t="s">
        <v>20</v>
      </c>
      <c r="D688" s="1452" t="s">
        <v>2609</v>
      </c>
      <c r="E688" s="1453"/>
      <c r="F688" s="674" t="s">
        <v>759</v>
      </c>
      <c r="G688" s="1451" t="s">
        <v>76</v>
      </c>
      <c r="H688" s="1454"/>
      <c r="K688" s="274" t="s">
        <v>464</v>
      </c>
      <c r="L688" s="457" t="s">
        <v>66</v>
      </c>
      <c r="M688" s="444">
        <v>24047</v>
      </c>
      <c r="N688" s="444">
        <v>45961</v>
      </c>
      <c r="O688" s="1418">
        <v>46009</v>
      </c>
      <c r="P688" s="1419">
        <v>46355</v>
      </c>
      <c r="Q688" s="1418">
        <v>46810</v>
      </c>
      <c r="R688" s="449" t="s">
        <v>37</v>
      </c>
      <c r="S688" s="332"/>
      <c r="T688" s="571"/>
      <c r="U688" s="1457"/>
      <c r="V688" s="334"/>
      <c r="W688" s="334"/>
      <c r="X688" s="334"/>
      <c r="Y688" s="334"/>
      <c r="Z688" s="334"/>
      <c r="AA688" s="334"/>
      <c r="AB688" s="334"/>
      <c r="AE688" s="1456" t="s">
        <v>2610</v>
      </c>
      <c r="AF688" s="1456" t="s">
        <v>2611</v>
      </c>
      <c r="AH688" s="199"/>
      <c r="AI688" s="199"/>
      <c r="AJ688" s="199"/>
      <c r="AK688" s="199"/>
      <c r="AL688" s="199"/>
      <c r="AM688" s="199"/>
    </row>
    <row r="689" spans="1:39" ht="45">
      <c r="A689" s="656">
        <v>2</v>
      </c>
      <c r="B689" s="276" t="s">
        <v>2612</v>
      </c>
      <c r="C689" s="1261" t="s">
        <v>14</v>
      </c>
      <c r="D689" s="1458" t="s">
        <v>2613</v>
      </c>
      <c r="E689" s="18" t="s">
        <v>2614</v>
      </c>
      <c r="F689" s="970" t="s">
        <v>759</v>
      </c>
      <c r="G689" s="1165" t="s">
        <v>76</v>
      </c>
      <c r="H689" s="499" t="s">
        <v>279</v>
      </c>
      <c r="I689" s="307">
        <v>9163382018</v>
      </c>
      <c r="J689" s="683">
        <v>9330088451</v>
      </c>
      <c r="K689" s="307" t="s">
        <v>253</v>
      </c>
      <c r="L689" s="274" t="s">
        <v>59</v>
      </c>
      <c r="M689" s="278">
        <v>24042</v>
      </c>
      <c r="N689" s="278">
        <v>45961</v>
      </c>
      <c r="O689" s="278">
        <v>45311</v>
      </c>
      <c r="P689" s="278">
        <v>45807</v>
      </c>
      <c r="Q689" s="302">
        <v>45316</v>
      </c>
      <c r="R689" s="449" t="s">
        <v>313</v>
      </c>
      <c r="S689" s="317"/>
      <c r="T689" s="571"/>
      <c r="U689" s="1459" t="s">
        <v>2615</v>
      </c>
      <c r="V689" s="285"/>
      <c r="W689" s="285">
        <f>LEN(TEXT(D689,0))</f>
        <v>11</v>
      </c>
      <c r="X689" s="18" t="s">
        <v>2616</v>
      </c>
      <c r="Y689" s="3"/>
      <c r="Z689" s="18">
        <v>1</v>
      </c>
      <c r="AA689" s="286" t="s">
        <v>85</v>
      </c>
      <c r="AB689" s="79"/>
      <c r="AC689" s="382">
        <f ca="1">INT((TODAY()-M689)/365)</f>
        <v>60</v>
      </c>
      <c r="AD689" s="199"/>
      <c r="AE689" s="199"/>
      <c r="AF689" s="199"/>
      <c r="AG689" s="199"/>
      <c r="AH689" s="199"/>
      <c r="AI689" s="199"/>
      <c r="AJ689" s="199"/>
      <c r="AK689" s="199"/>
      <c r="AL689" s="199"/>
      <c r="AM689" s="199"/>
    </row>
    <row r="690" spans="1:39" ht="15.75" customHeight="1">
      <c r="A690" s="974">
        <v>7</v>
      </c>
      <c r="B690" s="276" t="s">
        <v>2617</v>
      </c>
      <c r="C690" s="405" t="s">
        <v>14</v>
      </c>
      <c r="D690" s="1460" t="s">
        <v>2618</v>
      </c>
      <c r="E690" s="1123" t="s">
        <v>2619</v>
      </c>
      <c r="F690" s="946" t="s">
        <v>759</v>
      </c>
      <c r="G690" s="870" t="s">
        <v>76</v>
      </c>
      <c r="H690" s="303" t="s">
        <v>279</v>
      </c>
      <c r="I690" s="307">
        <v>9002071602</v>
      </c>
      <c r="J690" s="307">
        <v>9002071602</v>
      </c>
      <c r="K690" s="274" t="s">
        <v>253</v>
      </c>
      <c r="L690" s="274" t="s">
        <v>351</v>
      </c>
      <c r="M690" s="278">
        <v>24033</v>
      </c>
      <c r="N690" s="278">
        <v>45961</v>
      </c>
      <c r="O690" s="315">
        <v>45480</v>
      </c>
      <c r="P690" s="278">
        <v>45807</v>
      </c>
      <c r="Q690" s="302">
        <v>45622</v>
      </c>
      <c r="R690" s="285"/>
      <c r="S690" s="318" t="s">
        <v>2620</v>
      </c>
      <c r="T690" s="318" t="s">
        <v>2621</v>
      </c>
      <c r="U690" s="318" t="s">
        <v>2621</v>
      </c>
      <c r="V690" s="285"/>
      <c r="W690" s="440">
        <v>43243</v>
      </c>
      <c r="X690" s="3"/>
      <c r="Y690" s="3"/>
      <c r="Z690" s="197" t="s">
        <v>84</v>
      </c>
      <c r="AB690" s="311">
        <f t="shared" ref="AB690:AB691" ca="1" si="112">INT((TODAY()-M690)/365)</f>
        <v>60</v>
      </c>
    </row>
    <row r="691" spans="1:39" ht="15.75" customHeight="1">
      <c r="A691" s="1162">
        <v>7</v>
      </c>
      <c r="B691" s="1461" t="s">
        <v>2622</v>
      </c>
      <c r="C691" s="405" t="s">
        <v>31</v>
      </c>
      <c r="D691" s="1462" t="s">
        <v>2623</v>
      </c>
      <c r="E691" s="303" t="s">
        <v>2624</v>
      </c>
      <c r="F691" s="685" t="s">
        <v>759</v>
      </c>
      <c r="G691" s="337" t="s">
        <v>76</v>
      </c>
      <c r="H691" s="303" t="s">
        <v>279</v>
      </c>
      <c r="I691" s="307">
        <v>9002071100</v>
      </c>
      <c r="J691" s="307"/>
      <c r="K691" s="307" t="s">
        <v>253</v>
      </c>
      <c r="L691" s="18" t="s">
        <v>93</v>
      </c>
      <c r="M691" s="278">
        <v>24035</v>
      </c>
      <c r="N691" s="315">
        <v>45961</v>
      </c>
      <c r="O691" s="278">
        <v>45982</v>
      </c>
      <c r="P691" s="302">
        <v>45695</v>
      </c>
      <c r="Q691" s="302">
        <v>45649</v>
      </c>
      <c r="R691" s="285"/>
      <c r="S691" s="285"/>
      <c r="T691" s="318" t="s">
        <v>2625</v>
      </c>
      <c r="U691" s="318" t="s">
        <v>2625</v>
      </c>
      <c r="V691" s="285">
        <f>LEN(D691)</f>
        <v>11</v>
      </c>
      <c r="W691" s="90"/>
      <c r="X691" s="90"/>
      <c r="Y691" s="90"/>
      <c r="AB691" s="311">
        <f t="shared" ca="1" si="112"/>
        <v>60</v>
      </c>
    </row>
    <row r="692" spans="1:39">
      <c r="A692" s="90"/>
      <c r="C692" s="89"/>
      <c r="F692" s="90"/>
      <c r="I692" s="90"/>
      <c r="J692" s="90"/>
      <c r="L692" s="90"/>
    </row>
    <row r="693" spans="1:39">
      <c r="A693" s="90"/>
      <c r="C693" s="89"/>
      <c r="F693" s="90"/>
      <c r="I693" s="90"/>
      <c r="J693" s="90"/>
      <c r="L693" s="90"/>
    </row>
    <row r="694" spans="1:39">
      <c r="A694" s="90"/>
      <c r="B694" s="1198" t="s">
        <v>2626</v>
      </c>
      <c r="C694" s="89"/>
      <c r="F694" s="90"/>
      <c r="I694" s="90"/>
      <c r="J694" s="90"/>
      <c r="L694" s="90"/>
    </row>
    <row r="695" spans="1:39" ht="15.75">
      <c r="A695" s="656">
        <v>7</v>
      </c>
      <c r="B695" s="984" t="s">
        <v>2627</v>
      </c>
      <c r="C695" s="1164" t="s">
        <v>14</v>
      </c>
      <c r="D695" s="1463" t="s">
        <v>2628</v>
      </c>
      <c r="E695" s="527" t="s">
        <v>2629</v>
      </c>
      <c r="F695" s="970" t="s">
        <v>759</v>
      </c>
      <c r="G695" s="1165" t="s">
        <v>78</v>
      </c>
      <c r="H695" s="499" t="s">
        <v>279</v>
      </c>
      <c r="I695" s="656">
        <v>9163382002</v>
      </c>
      <c r="J695" s="79"/>
      <c r="K695" s="328" t="s">
        <v>253</v>
      </c>
      <c r="L695" s="445" t="s">
        <v>57</v>
      </c>
      <c r="M695" s="913">
        <v>24168</v>
      </c>
      <c r="N695" s="913">
        <v>46112</v>
      </c>
      <c r="O695" s="326">
        <v>45372</v>
      </c>
      <c r="P695" s="933">
        <v>45144</v>
      </c>
      <c r="Q695" s="915">
        <v>45481</v>
      </c>
      <c r="R695" s="449" t="s">
        <v>313</v>
      </c>
      <c r="S695" s="332"/>
      <c r="T695" s="450"/>
      <c r="U695" s="916" t="s">
        <v>2630</v>
      </c>
      <c r="V695" s="334"/>
      <c r="W695" s="334"/>
      <c r="X695" s="334"/>
      <c r="Y695" s="334"/>
      <c r="Z695" s="334"/>
      <c r="AA695" s="286" t="s">
        <v>84</v>
      </c>
      <c r="AB695" s="334"/>
      <c r="AC695" s="334"/>
      <c r="AD695" s="334"/>
      <c r="AE695" s="334"/>
      <c r="AF695" s="334"/>
      <c r="AG695" s="334"/>
      <c r="AH695" s="334"/>
      <c r="AI695" s="334"/>
      <c r="AJ695" s="199"/>
      <c r="AK695" s="199"/>
      <c r="AL695" s="199"/>
      <c r="AM695" s="199"/>
    </row>
    <row r="696" spans="1:39">
      <c r="A696" s="90"/>
      <c r="C696" s="89"/>
      <c r="F696" s="90"/>
      <c r="I696" s="90"/>
      <c r="J696" s="90"/>
      <c r="L696" s="90"/>
    </row>
    <row r="697" spans="1:39">
      <c r="A697" s="90"/>
      <c r="B697" s="1198" t="s">
        <v>2631</v>
      </c>
      <c r="C697" s="89"/>
      <c r="F697" s="90"/>
      <c r="I697" s="90"/>
      <c r="J697" s="90"/>
      <c r="L697" s="90"/>
    </row>
    <row r="698" spans="1:39" ht="18.75">
      <c r="A698" s="1464">
        <v>9</v>
      </c>
      <c r="B698" s="442" t="s">
        <v>2632</v>
      </c>
      <c r="C698" s="822" t="s">
        <v>22</v>
      </c>
      <c r="D698" s="443" t="s">
        <v>2633</v>
      </c>
      <c r="E698" s="79"/>
      <c r="F698" s="674" t="s">
        <v>759</v>
      </c>
      <c r="G698" s="337" t="s">
        <v>76</v>
      </c>
      <c r="H698" s="79"/>
      <c r="I698" s="79"/>
      <c r="J698" s="79"/>
      <c r="K698" s="274" t="s">
        <v>253</v>
      </c>
      <c r="L698" s="445" t="s">
        <v>57</v>
      </c>
      <c r="M698" s="444">
        <v>34196</v>
      </c>
      <c r="N698" s="444">
        <v>56127</v>
      </c>
      <c r="O698" s="446">
        <v>47182</v>
      </c>
      <c r="P698" s="447">
        <v>45966</v>
      </c>
      <c r="Q698" s="448">
        <v>46003</v>
      </c>
      <c r="R698" s="449" t="s">
        <v>37</v>
      </c>
      <c r="S698" s="332"/>
      <c r="T698" s="450"/>
      <c r="U698" s="332"/>
      <c r="V698" s="334"/>
      <c r="W698" s="334"/>
      <c r="AA698" s="451"/>
      <c r="AD698" s="451"/>
      <c r="AJ698" s="199"/>
      <c r="AK698" s="199"/>
      <c r="AL698" s="199"/>
      <c r="AM698" s="199"/>
    </row>
    <row r="700" spans="1:39">
      <c r="A700" s="90"/>
      <c r="C700" s="89"/>
      <c r="F700" s="90"/>
      <c r="I700" s="90"/>
      <c r="J700" s="90"/>
      <c r="L700" s="90"/>
    </row>
    <row r="701" spans="1:39">
      <c r="A701" s="90"/>
      <c r="C701" s="89"/>
      <c r="F701" s="90"/>
      <c r="I701" s="90"/>
      <c r="J701" s="90"/>
      <c r="L701" s="90"/>
    </row>
    <row r="702" spans="1:39">
      <c r="A702" s="90"/>
      <c r="C702" s="89"/>
      <c r="F702" s="90"/>
      <c r="I702" s="90"/>
      <c r="J702" s="90"/>
      <c r="L702" s="90"/>
    </row>
    <row r="703" spans="1:39">
      <c r="A703" s="90"/>
      <c r="C703" s="89"/>
      <c r="F703" s="90"/>
      <c r="I703" s="90"/>
      <c r="J703" s="90"/>
      <c r="L703" s="90"/>
    </row>
    <row r="704" spans="1:39">
      <c r="A704" s="90"/>
      <c r="B704" s="1198" t="s">
        <v>2634</v>
      </c>
      <c r="C704" s="89"/>
      <c r="F704" s="90"/>
      <c r="I704" s="90"/>
      <c r="J704" s="90"/>
      <c r="L704" s="90"/>
    </row>
    <row r="705" spans="1:39" ht="15.75" customHeight="1">
      <c r="A705" s="1066">
        <v>5</v>
      </c>
      <c r="B705" s="351" t="s">
        <v>2635</v>
      </c>
      <c r="C705" s="391" t="s">
        <v>14</v>
      </c>
      <c r="D705" s="564" t="s">
        <v>2636</v>
      </c>
      <c r="E705" s="1065" t="s">
        <v>2637</v>
      </c>
      <c r="F705" s="686" t="s">
        <v>759</v>
      </c>
      <c r="G705" s="284" t="s">
        <v>76</v>
      </c>
      <c r="H705" s="284" t="s">
        <v>279</v>
      </c>
      <c r="I705" s="351">
        <v>9002079305</v>
      </c>
      <c r="J705" s="284"/>
      <c r="K705" s="351" t="s">
        <v>334</v>
      </c>
      <c r="L705" s="274" t="s">
        <v>94</v>
      </c>
      <c r="M705" s="390">
        <v>24062</v>
      </c>
      <c r="N705" s="289">
        <v>45991</v>
      </c>
      <c r="O705" s="392">
        <v>45274</v>
      </c>
      <c r="P705" s="272">
        <v>46036</v>
      </c>
      <c r="Q705" s="302">
        <v>45397</v>
      </c>
      <c r="R705" s="403"/>
      <c r="S705" s="393"/>
      <c r="T705" s="1465" t="s">
        <v>2638</v>
      </c>
      <c r="U705" s="1465" t="s">
        <v>2639</v>
      </c>
      <c r="V705" s="383">
        <f t="shared" ref="V705:V707" si="113">LEN(TEXT(D705,0))</f>
        <v>11</v>
      </c>
      <c r="W705" s="583">
        <v>44119</v>
      </c>
      <c r="X705" s="79"/>
      <c r="Y705" s="395"/>
      <c r="Z705" s="286" t="s">
        <v>84</v>
      </c>
      <c r="AA705" s="625" t="s">
        <v>2640</v>
      </c>
      <c r="AB705" s="208">
        <f ca="1">INT((TODAY()-M705)/365)</f>
        <v>60</v>
      </c>
      <c r="AC705" s="384"/>
      <c r="AD705" s="384"/>
      <c r="AE705" s="384"/>
      <c r="AF705" s="384"/>
      <c r="AG705" s="384"/>
      <c r="AH705" s="384"/>
      <c r="AI705" s="384"/>
      <c r="AJ705" s="384"/>
      <c r="AK705" s="384"/>
      <c r="AL705" s="384"/>
      <c r="AM705" s="384"/>
    </row>
    <row r="706" spans="1:39" ht="14.25" customHeight="1">
      <c r="A706" s="936">
        <v>2</v>
      </c>
      <c r="B706" s="293" t="s">
        <v>2641</v>
      </c>
      <c r="C706" s="275" t="s">
        <v>31</v>
      </c>
      <c r="D706" s="1466" t="s">
        <v>2642</v>
      </c>
      <c r="E706" s="303" t="s">
        <v>2643</v>
      </c>
      <c r="F706" s="274" t="s">
        <v>759</v>
      </c>
      <c r="G706" s="303" t="s">
        <v>76</v>
      </c>
      <c r="H706" s="274" t="s">
        <v>279</v>
      </c>
      <c r="I706" s="275">
        <v>9002071803</v>
      </c>
      <c r="J706" s="284">
        <v>9433391144</v>
      </c>
      <c r="K706" s="275" t="s">
        <v>261</v>
      </c>
      <c r="L706" s="125" t="s">
        <v>69</v>
      </c>
      <c r="M706" s="272">
        <v>24048</v>
      </c>
      <c r="N706" s="418">
        <v>45991</v>
      </c>
      <c r="O706" s="272">
        <v>45266</v>
      </c>
      <c r="P706" s="278">
        <v>45608</v>
      </c>
      <c r="Q706" s="272">
        <v>45509</v>
      </c>
      <c r="R706" s="294"/>
      <c r="S706" s="295"/>
      <c r="T706" s="603" t="s">
        <v>2644</v>
      </c>
      <c r="U706" s="603" t="s">
        <v>2644</v>
      </c>
      <c r="V706" s="297">
        <f t="shared" si="113"/>
        <v>11</v>
      </c>
      <c r="W706" s="208">
        <f t="shared" ref="W706:W707" ca="1" si="114">INT((TODAY()-M706)/365)</f>
        <v>60</v>
      </c>
      <c r="X706" s="298"/>
      <c r="Y706" s="298"/>
      <c r="Z706" s="298"/>
      <c r="AA706" s="298"/>
      <c r="AB706" s="298"/>
      <c r="AC706" s="298"/>
      <c r="AD706" s="298"/>
      <c r="AE706" s="298"/>
      <c r="AF706" s="298"/>
      <c r="AG706" s="298"/>
      <c r="AH706" s="298"/>
      <c r="AI706" s="298"/>
      <c r="AJ706" s="298"/>
      <c r="AK706" s="298"/>
      <c r="AL706" s="298"/>
      <c r="AM706" s="298"/>
    </row>
    <row r="707" spans="1:39" ht="15.75" customHeight="1">
      <c r="A707" s="936">
        <v>42</v>
      </c>
      <c r="B707" s="688" t="s">
        <v>2645</v>
      </c>
      <c r="C707" s="275" t="s">
        <v>31</v>
      </c>
      <c r="D707" s="562" t="s">
        <v>2646</v>
      </c>
      <c r="E707" s="303" t="s">
        <v>2647</v>
      </c>
      <c r="F707" s="274" t="s">
        <v>759</v>
      </c>
      <c r="G707" s="303" t="s">
        <v>76</v>
      </c>
      <c r="H707" s="274" t="s">
        <v>279</v>
      </c>
      <c r="I707" s="275">
        <v>9002071727</v>
      </c>
      <c r="J707" s="284">
        <v>8240559101</v>
      </c>
      <c r="K707" s="275" t="s">
        <v>261</v>
      </c>
      <c r="L707" s="125" t="s">
        <v>69</v>
      </c>
      <c r="M707" s="272">
        <v>24077</v>
      </c>
      <c r="N707" s="289">
        <v>45991</v>
      </c>
      <c r="O707" s="272">
        <v>45266</v>
      </c>
      <c r="P707" s="279">
        <v>45527</v>
      </c>
      <c r="Q707" s="302">
        <v>45232</v>
      </c>
      <c r="R707" s="79"/>
      <c r="S707" s="295"/>
      <c r="T707" s="603" t="s">
        <v>2648</v>
      </c>
      <c r="U707" s="603" t="s">
        <v>2649</v>
      </c>
      <c r="V707" s="297">
        <f t="shared" si="113"/>
        <v>11</v>
      </c>
      <c r="W707" s="208">
        <f t="shared" ca="1" si="114"/>
        <v>60</v>
      </c>
      <c r="X707" s="298"/>
      <c r="Y707" s="298"/>
      <c r="Z707" s="298"/>
      <c r="AA707" s="298"/>
      <c r="AB707" s="298"/>
      <c r="AC707" s="298"/>
      <c r="AD707" s="298"/>
      <c r="AE707" s="298"/>
      <c r="AF707" s="298"/>
      <c r="AG707" s="298"/>
      <c r="AH707" s="298"/>
      <c r="AI707" s="298"/>
      <c r="AJ707" s="298"/>
      <c r="AK707" s="298"/>
      <c r="AL707" s="298"/>
      <c r="AM707" s="298"/>
    </row>
    <row r="708" spans="1:39" ht="15.75" customHeight="1">
      <c r="A708" s="574">
        <v>24</v>
      </c>
      <c r="B708" s="1278" t="s">
        <v>113</v>
      </c>
      <c r="C708" s="274" t="s">
        <v>36</v>
      </c>
      <c r="D708" s="677">
        <v>50207696760</v>
      </c>
      <c r="E708" s="1004" t="s">
        <v>2650</v>
      </c>
      <c r="F708" s="574" t="s">
        <v>23</v>
      </c>
      <c r="G708" s="278">
        <v>24048</v>
      </c>
      <c r="H708" s="1467">
        <v>45991</v>
      </c>
      <c r="I708" s="703">
        <v>9002071272</v>
      </c>
      <c r="J708" s="337" t="s">
        <v>76</v>
      </c>
      <c r="K708" s="307" t="s">
        <v>253</v>
      </c>
      <c r="L708" s="274" t="s">
        <v>93</v>
      </c>
      <c r="M708" s="79"/>
      <c r="O708" s="278">
        <v>45255</v>
      </c>
      <c r="P708" s="278">
        <v>45115</v>
      </c>
      <c r="Q708" s="302">
        <v>45731</v>
      </c>
      <c r="R708" s="285"/>
      <c r="S708" s="285"/>
      <c r="T708" s="281" t="s">
        <v>2651</v>
      </c>
      <c r="U708" s="281" t="s">
        <v>2651</v>
      </c>
      <c r="V708" s="285">
        <f>LEN(D708)</f>
        <v>11</v>
      </c>
      <c r="W708" s="3"/>
      <c r="X708" s="3"/>
      <c r="Y708" s="3"/>
      <c r="Z708" s="79"/>
      <c r="AA708" s="79"/>
      <c r="AB708" s="311">
        <f ca="1">INT((TODAY()-G708)/365)</f>
        <v>60</v>
      </c>
    </row>
    <row r="709" spans="1:39" ht="15.75">
      <c r="A709" s="656">
        <v>91</v>
      </c>
      <c r="B709" s="566" t="s">
        <v>2652</v>
      </c>
      <c r="C709" s="457" t="s">
        <v>20</v>
      </c>
      <c r="D709" s="567" t="s">
        <v>2653</v>
      </c>
      <c r="E709" s="1416"/>
      <c r="F709" s="674" t="s">
        <v>759</v>
      </c>
      <c r="G709" s="823" t="s">
        <v>77</v>
      </c>
      <c r="H709" s="1468" t="s">
        <v>279</v>
      </c>
      <c r="I709" s="79"/>
      <c r="J709" s="79"/>
      <c r="K709" s="274" t="s">
        <v>464</v>
      </c>
      <c r="L709" s="457" t="s">
        <v>1843</v>
      </c>
      <c r="M709" s="444">
        <v>24058</v>
      </c>
      <c r="N709" s="444">
        <v>45991</v>
      </c>
      <c r="O709" s="1418">
        <v>45976</v>
      </c>
      <c r="P709" s="1455">
        <v>45811</v>
      </c>
      <c r="Q709" s="1418">
        <v>46881</v>
      </c>
      <c r="R709" s="449" t="s">
        <v>37</v>
      </c>
      <c r="S709" s="332"/>
      <c r="T709" s="571"/>
      <c r="U709" s="572"/>
      <c r="V709" s="334"/>
      <c r="W709" s="334"/>
      <c r="X709" s="334"/>
      <c r="Y709" s="334"/>
      <c r="Z709" s="334"/>
      <c r="AA709" s="334"/>
      <c r="AB709" s="334"/>
      <c r="AE709" s="568" t="s">
        <v>2654</v>
      </c>
      <c r="AF709" s="568" t="s">
        <v>2655</v>
      </c>
      <c r="AH709" s="199"/>
      <c r="AI709" s="199"/>
      <c r="AJ709" s="199"/>
      <c r="AK709" s="199"/>
      <c r="AL709" s="199"/>
      <c r="AM709" s="199"/>
    </row>
    <row r="710" spans="1:39">
      <c r="A710" s="231">
        <v>2</v>
      </c>
      <c r="B710" s="232" t="s">
        <v>2656</v>
      </c>
      <c r="C710" s="233" t="s">
        <v>76</v>
      </c>
      <c r="D710" s="234" t="s">
        <v>137</v>
      </c>
      <c r="E710" s="1306">
        <v>5331080</v>
      </c>
      <c r="F710" s="231" t="s">
        <v>2657</v>
      </c>
      <c r="G710" s="236">
        <v>45991</v>
      </c>
      <c r="H710" s="233" t="s">
        <v>2658</v>
      </c>
      <c r="I710" s="233" t="s">
        <v>2659</v>
      </c>
      <c r="J710" s="237" t="s">
        <v>1433</v>
      </c>
      <c r="K710" s="238" t="s">
        <v>142</v>
      </c>
      <c r="L710" s="239"/>
    </row>
    <row r="711" spans="1:39">
      <c r="A711" s="90"/>
      <c r="C711" s="89"/>
      <c r="F711" s="90"/>
      <c r="I711" s="90"/>
      <c r="J711" s="90"/>
      <c r="L711" s="90"/>
    </row>
    <row r="712" spans="1:39">
      <c r="A712" s="90"/>
      <c r="B712" s="1198" t="s">
        <v>2660</v>
      </c>
      <c r="C712" s="89"/>
      <c r="F712" s="90"/>
      <c r="I712" s="90"/>
      <c r="J712" s="90"/>
      <c r="L712" s="90"/>
    </row>
    <row r="713" spans="1:39" ht="28.5" customHeight="1">
      <c r="A713" s="656">
        <v>6</v>
      </c>
      <c r="B713" s="984" t="s">
        <v>2661</v>
      </c>
      <c r="C713" s="1164" t="s">
        <v>14</v>
      </c>
      <c r="D713" s="1463" t="s">
        <v>2662</v>
      </c>
      <c r="E713" s="1370" t="s">
        <v>2663</v>
      </c>
      <c r="F713" s="970" t="s">
        <v>759</v>
      </c>
      <c r="G713" s="1165" t="s">
        <v>78</v>
      </c>
      <c r="H713" s="499" t="s">
        <v>279</v>
      </c>
      <c r="I713" s="656">
        <v>9002071534</v>
      </c>
      <c r="J713" s="334"/>
      <c r="K713" s="328" t="s">
        <v>253</v>
      </c>
      <c r="L713" s="125" t="s">
        <v>69</v>
      </c>
      <c r="M713" s="913">
        <v>25381</v>
      </c>
      <c r="N713" s="913">
        <v>47299</v>
      </c>
      <c r="O713" s="326">
        <v>45470</v>
      </c>
      <c r="P713" s="933">
        <v>45144</v>
      </c>
      <c r="Q713" s="915">
        <v>45004</v>
      </c>
      <c r="R713" s="449" t="s">
        <v>313</v>
      </c>
      <c r="S713" s="332"/>
      <c r="T713" s="450"/>
      <c r="U713" s="916" t="s">
        <v>2664</v>
      </c>
      <c r="V713" s="334"/>
      <c r="W713" s="334"/>
      <c r="X713" s="334"/>
      <c r="Y713" s="334"/>
      <c r="Z713" s="334"/>
      <c r="AA713" s="286" t="s">
        <v>84</v>
      </c>
      <c r="AB713" s="334"/>
      <c r="AC713" s="334"/>
      <c r="AD713" s="334"/>
      <c r="AE713" s="334"/>
      <c r="AF713" s="334"/>
      <c r="AG713" s="334"/>
      <c r="AH713" s="334"/>
      <c r="AI713" s="334"/>
      <c r="AJ713" s="199"/>
      <c r="AK713" s="199"/>
      <c r="AL713" s="199"/>
      <c r="AM713" s="199"/>
    </row>
    <row r="714" spans="1:39">
      <c r="A714" s="90"/>
      <c r="C714" s="89"/>
      <c r="F714" s="90"/>
      <c r="I714" s="90"/>
      <c r="J714" s="90"/>
      <c r="L714" s="90"/>
    </row>
    <row r="715" spans="1:39">
      <c r="A715" s="90"/>
      <c r="C715" s="89"/>
      <c r="F715" s="90"/>
      <c r="I715" s="90"/>
      <c r="J715" s="90"/>
      <c r="L715" s="90"/>
    </row>
    <row r="716" spans="1:39">
      <c r="A716" s="1469">
        <v>35</v>
      </c>
      <c r="B716" s="1470">
        <v>4</v>
      </c>
      <c r="C716" s="1471"/>
      <c r="D716" s="1472" t="s">
        <v>2665</v>
      </c>
      <c r="E716" s="1473" t="s">
        <v>77</v>
      </c>
      <c r="F716" s="1474" t="s">
        <v>1001</v>
      </c>
      <c r="G716" s="1473" t="s">
        <v>2666</v>
      </c>
      <c r="H716" s="1473" t="s">
        <v>2667</v>
      </c>
      <c r="I716" s="1475" t="s">
        <v>2668</v>
      </c>
      <c r="J716" s="1471"/>
      <c r="K716" s="1476" t="s">
        <v>2669</v>
      </c>
      <c r="L716" s="1471"/>
      <c r="M716" s="1469">
        <v>37</v>
      </c>
      <c r="N716" s="1471"/>
      <c r="O716" s="1477"/>
      <c r="P716" s="1478"/>
      <c r="Q716" s="1471"/>
    </row>
    <row r="717" spans="1:39">
      <c r="A717" s="90"/>
      <c r="C717" s="89"/>
      <c r="F717" s="90"/>
      <c r="I717" s="90"/>
      <c r="J717" s="90"/>
      <c r="L717" s="90"/>
    </row>
    <row r="718" spans="1:39">
      <c r="A718" s="90"/>
      <c r="C718" s="89"/>
      <c r="F718" s="90"/>
      <c r="I718" s="90"/>
      <c r="J718" s="90"/>
      <c r="L718" s="90"/>
    </row>
    <row r="719" spans="1:39">
      <c r="A719" s="90"/>
      <c r="C719" s="89"/>
      <c r="F719" s="90"/>
      <c r="I719" s="90"/>
      <c r="J719" s="90"/>
      <c r="L719" s="90"/>
    </row>
    <row r="720" spans="1:39">
      <c r="A720" s="90"/>
      <c r="B720" s="1198" t="s">
        <v>2670</v>
      </c>
      <c r="C720" s="89"/>
      <c r="F720" s="90"/>
      <c r="I720" s="90"/>
      <c r="J720" s="90"/>
      <c r="L720" s="90"/>
    </row>
    <row r="721" spans="1:39" ht="15.75" customHeight="1">
      <c r="A721" s="574">
        <v>19</v>
      </c>
      <c r="B721" s="313" t="s">
        <v>2671</v>
      </c>
      <c r="C721" s="589" t="s">
        <v>543</v>
      </c>
      <c r="D721" s="675">
        <v>50205384552</v>
      </c>
      <c r="E721" s="586" t="s">
        <v>2672</v>
      </c>
      <c r="F721" s="574" t="s">
        <v>23</v>
      </c>
      <c r="G721" s="1315">
        <v>24096</v>
      </c>
      <c r="H721" s="1479">
        <v>46022</v>
      </c>
      <c r="I721" s="307">
        <v>9002071730</v>
      </c>
      <c r="J721" s="303" t="s">
        <v>76</v>
      </c>
      <c r="K721" s="391" t="s">
        <v>334</v>
      </c>
      <c r="L721" s="303" t="s">
        <v>1514</v>
      </c>
      <c r="M721" s="79"/>
      <c r="O721" s="278">
        <v>45014</v>
      </c>
      <c r="P721" s="278">
        <v>45667</v>
      </c>
      <c r="Q721" s="302">
        <v>45481</v>
      </c>
      <c r="R721" s="285"/>
      <c r="S721" s="285"/>
      <c r="T721" s="318" t="s">
        <v>2673</v>
      </c>
      <c r="U721" s="318" t="s">
        <v>2673</v>
      </c>
      <c r="V721" s="383">
        <f>LEN(TEXT(D721,0))</f>
        <v>11</v>
      </c>
      <c r="W721" s="3"/>
      <c r="X721" s="3"/>
      <c r="Y721" s="3"/>
      <c r="Z721" s="79"/>
      <c r="AA721" s="79"/>
      <c r="AB721" s="311">
        <f ca="1">INT((TODAY()-G721)/365)</f>
        <v>60</v>
      </c>
      <c r="AC721" s="311"/>
      <c r="AD721" s="311"/>
      <c r="AE721" s="311"/>
      <c r="AF721" s="311"/>
      <c r="AG721" s="311"/>
      <c r="AH721" s="311"/>
      <c r="AI721" s="311"/>
      <c r="AJ721" s="311"/>
      <c r="AK721" s="311"/>
      <c r="AL721" s="311"/>
      <c r="AM721" s="311"/>
    </row>
    <row r="722" spans="1:39" ht="15.75" customHeight="1">
      <c r="A722" s="574">
        <v>16</v>
      </c>
      <c r="B722" s="287" t="s">
        <v>108</v>
      </c>
      <c r="C722" s="274" t="s">
        <v>8</v>
      </c>
      <c r="D722" s="488">
        <v>50205343021</v>
      </c>
      <c r="E722" s="303" t="s">
        <v>2674</v>
      </c>
      <c r="F722" s="574" t="s">
        <v>23</v>
      </c>
      <c r="G722" s="599">
        <v>24101</v>
      </c>
      <c r="H722" s="1479">
        <v>46022</v>
      </c>
      <c r="I722" s="275">
        <v>9002071629</v>
      </c>
      <c r="J722" s="303" t="s">
        <v>76</v>
      </c>
      <c r="K722" s="275" t="s">
        <v>330</v>
      </c>
      <c r="L722" s="275" t="s">
        <v>93</v>
      </c>
      <c r="M722" s="79"/>
      <c r="O722" s="272">
        <v>45989</v>
      </c>
      <c r="P722" s="279">
        <v>44968</v>
      </c>
      <c r="Q722" s="279">
        <v>45989</v>
      </c>
      <c r="R722" s="309"/>
      <c r="S722" s="309"/>
      <c r="T722" s="310" t="s">
        <v>2675</v>
      </c>
      <c r="U722" s="310" t="s">
        <v>2675</v>
      </c>
      <c r="V722" s="388">
        <f ca="1">INT((TODAY()-G722)/365)</f>
        <v>60</v>
      </c>
      <c r="W722" s="90"/>
      <c r="X722" s="90"/>
    </row>
    <row r="723" spans="1:39" ht="15.75" customHeight="1">
      <c r="A723" s="18">
        <v>16</v>
      </c>
      <c r="B723" s="287" t="s">
        <v>2676</v>
      </c>
      <c r="C723" s="275" t="s">
        <v>31</v>
      </c>
      <c r="D723" s="604" t="s">
        <v>2677</v>
      </c>
      <c r="E723" s="303" t="s">
        <v>2678</v>
      </c>
      <c r="F723" s="306" t="s">
        <v>485</v>
      </c>
      <c r="G723" s="289">
        <v>24103</v>
      </c>
      <c r="H723" s="289">
        <v>46022</v>
      </c>
      <c r="I723" s="303" t="s">
        <v>261</v>
      </c>
      <c r="J723" s="303" t="s">
        <v>76</v>
      </c>
      <c r="K723" s="275" t="s">
        <v>261</v>
      </c>
      <c r="L723" s="275" t="s">
        <v>306</v>
      </c>
      <c r="M723" s="293">
        <v>9002071217</v>
      </c>
      <c r="O723" s="272">
        <v>44936</v>
      </c>
      <c r="P723" s="272">
        <v>45748</v>
      </c>
      <c r="Q723" s="300">
        <v>45591</v>
      </c>
      <c r="S723" s="295"/>
      <c r="T723" s="296" t="s">
        <v>2679</v>
      </c>
      <c r="U723" s="296" t="s">
        <v>2680</v>
      </c>
      <c r="V723" s="297">
        <f>LEN(TEXT(D723,0))</f>
        <v>11</v>
      </c>
      <c r="W723" s="208">
        <f ca="1">INT((TODAY()-G723)/365)</f>
        <v>60</v>
      </c>
      <c r="X723" s="298"/>
      <c r="Y723" s="298"/>
      <c r="Z723" s="298"/>
      <c r="AA723" s="298"/>
      <c r="AB723" s="298"/>
      <c r="AC723" s="298"/>
      <c r="AD723" s="298"/>
      <c r="AE723" s="298"/>
      <c r="AF723" s="298"/>
      <c r="AG723" s="298"/>
      <c r="AH723" s="298"/>
      <c r="AI723" s="298"/>
      <c r="AJ723" s="298"/>
      <c r="AK723" s="298"/>
      <c r="AL723" s="298"/>
      <c r="AM723" s="298"/>
    </row>
    <row r="724" spans="1:39">
      <c r="A724" s="18">
        <v>8</v>
      </c>
      <c r="B724" s="286" t="s">
        <v>2681</v>
      </c>
      <c r="C724" s="18" t="s">
        <v>20</v>
      </c>
      <c r="D724" s="479">
        <v>50205392123</v>
      </c>
      <c r="E724" s="475" t="s">
        <v>2682</v>
      </c>
      <c r="F724" s="18" t="s">
        <v>440</v>
      </c>
      <c r="G724" s="476">
        <v>24102</v>
      </c>
      <c r="H724" s="476">
        <v>46022</v>
      </c>
      <c r="I724" s="275" t="s">
        <v>290</v>
      </c>
      <c r="J724" s="18" t="s">
        <v>76</v>
      </c>
      <c r="K724" s="90"/>
      <c r="L724" s="90"/>
    </row>
    <row r="725" spans="1:39" ht="21" customHeight="1">
      <c r="A725" s="936">
        <v>39</v>
      </c>
      <c r="B725" s="688" t="s">
        <v>2683</v>
      </c>
      <c r="C725" s="275" t="s">
        <v>31</v>
      </c>
      <c r="D725" s="562" t="s">
        <v>2684</v>
      </c>
      <c r="E725" s="686" t="s">
        <v>2685</v>
      </c>
      <c r="F725" s="274" t="s">
        <v>759</v>
      </c>
      <c r="G725" s="274" t="s">
        <v>77</v>
      </c>
      <c r="H725" s="274" t="s">
        <v>279</v>
      </c>
      <c r="I725" s="275">
        <v>9002071863</v>
      </c>
      <c r="J725" s="275">
        <v>9002071863</v>
      </c>
      <c r="K725" s="275" t="s">
        <v>261</v>
      </c>
      <c r="L725" s="274" t="s">
        <v>351</v>
      </c>
      <c r="M725" s="289">
        <v>24088</v>
      </c>
      <c r="N725" s="289">
        <v>46022</v>
      </c>
      <c r="O725" s="272">
        <v>45248</v>
      </c>
      <c r="P725" s="272">
        <v>45453</v>
      </c>
      <c r="Q725" s="915">
        <v>45453</v>
      </c>
      <c r="R725" s="294"/>
      <c r="S725" s="295"/>
      <c r="T725" s="296" t="s">
        <v>2686</v>
      </c>
      <c r="U725" s="296" t="s">
        <v>2686</v>
      </c>
      <c r="V725" s="297">
        <f>LEN(TEXT(D725,0))</f>
        <v>11</v>
      </c>
      <c r="W725" s="208">
        <f ca="1">INT((TODAY()-M725)/365)</f>
        <v>60</v>
      </c>
      <c r="X725" s="298"/>
      <c r="Y725" s="298"/>
      <c r="Z725" s="298"/>
      <c r="AA725" s="298"/>
      <c r="AB725" s="298"/>
      <c r="AC725" s="298"/>
      <c r="AD725" s="298"/>
      <c r="AE725" s="298"/>
      <c r="AF725" s="298"/>
      <c r="AG725" s="298"/>
      <c r="AH725" s="298"/>
      <c r="AI725" s="298"/>
      <c r="AJ725" s="298"/>
      <c r="AK725" s="298"/>
      <c r="AL725" s="298"/>
      <c r="AM725" s="298"/>
    </row>
    <row r="726" spans="1:39" ht="21" customHeight="1">
      <c r="A726" s="1162">
        <v>91</v>
      </c>
      <c r="B726" s="276" t="s">
        <v>2687</v>
      </c>
      <c r="C726" s="307" t="s">
        <v>31</v>
      </c>
      <c r="D726" s="1460" t="s">
        <v>2688</v>
      </c>
      <c r="E726" s="303" t="s">
        <v>2689</v>
      </c>
      <c r="F726" s="685" t="s">
        <v>759</v>
      </c>
      <c r="G726" s="337" t="s">
        <v>76</v>
      </c>
      <c r="H726" s="303" t="s">
        <v>279</v>
      </c>
      <c r="I726" s="703">
        <v>9002071606</v>
      </c>
      <c r="J726" s="703">
        <v>9002071606</v>
      </c>
      <c r="K726" s="307" t="s">
        <v>253</v>
      </c>
      <c r="L726" s="274" t="s">
        <v>417</v>
      </c>
      <c r="M726" s="278">
        <v>24101</v>
      </c>
      <c r="N726" s="315">
        <v>46022</v>
      </c>
      <c r="O726" s="278">
        <v>45135</v>
      </c>
      <c r="P726" s="278">
        <v>46165</v>
      </c>
      <c r="Q726" s="302">
        <v>45901</v>
      </c>
      <c r="R726" s="285"/>
      <c r="S726" s="285"/>
      <c r="T726" s="318" t="s">
        <v>2690</v>
      </c>
      <c r="U726" s="318" t="s">
        <v>2690</v>
      </c>
      <c r="V726" s="285">
        <f>LEN(D726)</f>
        <v>11</v>
      </c>
      <c r="W726" s="90"/>
      <c r="X726" s="90"/>
      <c r="Y726" s="90"/>
      <c r="AB726" s="311">
        <f ca="1">INT((TODAY()-M726)/365)</f>
        <v>60</v>
      </c>
      <c r="AC726" s="705"/>
      <c r="AD726" s="705"/>
    </row>
    <row r="727" spans="1:39" ht="22.5" customHeight="1">
      <c r="A727" s="231">
        <v>1</v>
      </c>
      <c r="B727" s="1480" t="s">
        <v>2691</v>
      </c>
      <c r="C727" s="233" t="s">
        <v>76</v>
      </c>
      <c r="D727" s="231" t="s">
        <v>20</v>
      </c>
      <c r="E727" s="1481">
        <v>50274867430</v>
      </c>
      <c r="F727" s="231" t="s">
        <v>2692</v>
      </c>
      <c r="G727" s="236">
        <v>46022</v>
      </c>
      <c r="H727" s="233" t="s">
        <v>2693</v>
      </c>
      <c r="I727" s="233" t="s">
        <v>2694</v>
      </c>
      <c r="J727" s="1482" t="s">
        <v>2695</v>
      </c>
      <c r="K727" s="1483" t="s">
        <v>2696</v>
      </c>
      <c r="L727" s="233" t="s">
        <v>2697</v>
      </c>
    </row>
    <row r="728" spans="1:39">
      <c r="A728" s="90"/>
      <c r="C728" s="89"/>
      <c r="F728" s="90"/>
      <c r="I728" s="90"/>
      <c r="J728" s="90"/>
      <c r="L728" s="90"/>
    </row>
    <row r="729" spans="1:39">
      <c r="A729" s="90"/>
      <c r="C729" s="89"/>
      <c r="F729" s="90"/>
      <c r="I729" s="90"/>
      <c r="J729" s="90"/>
      <c r="L729" s="90"/>
    </row>
    <row r="730" spans="1:39">
      <c r="A730" s="90"/>
      <c r="B730" s="1484" t="s">
        <v>2698</v>
      </c>
      <c r="C730" s="89"/>
      <c r="F730" s="90"/>
      <c r="I730" s="90"/>
      <c r="J730" s="90"/>
      <c r="L730" s="90"/>
    </row>
    <row r="731" spans="1:39" ht="15.75">
      <c r="A731" s="1485">
        <v>29</v>
      </c>
      <c r="B731" s="442" t="s">
        <v>2699</v>
      </c>
      <c r="C731" s="822" t="s">
        <v>22</v>
      </c>
      <c r="D731" s="443" t="s">
        <v>2700</v>
      </c>
      <c r="E731" s="79"/>
      <c r="F731" s="674" t="s">
        <v>759</v>
      </c>
      <c r="G731" s="1486" t="s">
        <v>78</v>
      </c>
      <c r="H731" s="79"/>
      <c r="I731" s="79"/>
      <c r="J731" s="79"/>
      <c r="K731" s="275" t="s">
        <v>290</v>
      </c>
      <c r="L731" s="822" t="s">
        <v>1843</v>
      </c>
      <c r="M731" s="444">
        <v>35294</v>
      </c>
      <c r="N731" s="444">
        <v>57223</v>
      </c>
      <c r="O731" s="446">
        <v>46315</v>
      </c>
      <c r="P731" s="447">
        <v>46176</v>
      </c>
      <c r="Q731" s="448">
        <v>46139</v>
      </c>
      <c r="R731" s="449" t="s">
        <v>37</v>
      </c>
      <c r="S731" s="332"/>
      <c r="T731" s="450"/>
      <c r="U731" s="332"/>
      <c r="V731" s="334"/>
      <c r="W731" s="334"/>
      <c r="AA731" s="451"/>
      <c r="AD731" s="452"/>
      <c r="AJ731" s="199"/>
      <c r="AK731" s="199"/>
      <c r="AL731" s="199"/>
      <c r="AM731" s="199"/>
    </row>
    <row r="732" spans="1:39">
      <c r="A732" s="1251">
        <v>56</v>
      </c>
      <c r="B732" s="1233" t="s">
        <v>2701</v>
      </c>
      <c r="C732" s="1234" t="s">
        <v>22</v>
      </c>
      <c r="D732" s="1487">
        <v>53120163321</v>
      </c>
      <c r="E732" s="1236" t="s">
        <v>2702</v>
      </c>
      <c r="F732" s="1488" t="s">
        <v>759</v>
      </c>
      <c r="G732" s="1234" t="s">
        <v>76</v>
      </c>
      <c r="H732" s="1237"/>
      <c r="I732" s="1234"/>
      <c r="J732" s="1234"/>
      <c r="K732" s="1176" t="s">
        <v>290</v>
      </c>
      <c r="L732" s="1489"/>
      <c r="M732" s="1228">
        <v>31025</v>
      </c>
      <c r="N732" s="1228">
        <v>52962</v>
      </c>
      <c r="O732" s="1238">
        <v>45346</v>
      </c>
      <c r="P732" s="1239">
        <v>45409</v>
      </c>
      <c r="Q732" s="1273">
        <v>45409</v>
      </c>
      <c r="R732" s="1490" t="s">
        <v>2703</v>
      </c>
      <c r="S732" s="1242"/>
      <c r="T732" s="1243"/>
      <c r="U732" s="1242"/>
      <c r="V732" s="1244"/>
      <c r="W732" s="1245"/>
      <c r="X732" s="1181"/>
      <c r="Y732" s="1246"/>
      <c r="Z732" s="1178"/>
      <c r="AA732" s="1244"/>
      <c r="AB732" s="1247"/>
      <c r="AC732" s="1244"/>
      <c r="AD732" s="1244"/>
      <c r="AE732" s="1244"/>
      <c r="AF732" s="1244"/>
      <c r="AG732" s="1244"/>
      <c r="AH732" s="1244"/>
      <c r="AI732" s="1248"/>
      <c r="AJ732" s="1248"/>
      <c r="AK732" s="1248"/>
      <c r="AL732" s="1248"/>
      <c r="AM732" s="1248"/>
    </row>
    <row r="733" spans="1:39">
      <c r="A733" s="90"/>
      <c r="C733" s="89"/>
      <c r="F733" s="90"/>
      <c r="I733" s="90"/>
      <c r="J733" s="90"/>
      <c r="L733" s="90"/>
    </row>
    <row r="734" spans="1:39">
      <c r="A734" s="90"/>
      <c r="C734" s="89"/>
      <c r="F734" s="90"/>
      <c r="I734" s="90"/>
      <c r="J734" s="90"/>
      <c r="L734" s="90"/>
    </row>
    <row r="735" spans="1:39">
      <c r="A735" s="90"/>
      <c r="B735" s="1484" t="s">
        <v>2704</v>
      </c>
      <c r="C735" s="89"/>
      <c r="F735" s="90"/>
      <c r="I735" s="90"/>
      <c r="J735" s="90"/>
      <c r="L735" s="90"/>
    </row>
    <row r="736" spans="1:39" ht="15.75">
      <c r="A736" s="1464">
        <v>34</v>
      </c>
      <c r="B736" s="442" t="s">
        <v>2705</v>
      </c>
      <c r="C736" s="822" t="s">
        <v>22</v>
      </c>
      <c r="D736" s="443" t="s">
        <v>2706</v>
      </c>
      <c r="E736" s="3"/>
      <c r="F736" s="674" t="s">
        <v>759</v>
      </c>
      <c r="G736" s="1486" t="s">
        <v>78</v>
      </c>
      <c r="H736" s="79"/>
      <c r="I736" s="79"/>
      <c r="J736" s="79"/>
      <c r="K736" s="274" t="s">
        <v>464</v>
      </c>
      <c r="L736" s="445" t="s">
        <v>57</v>
      </c>
      <c r="M736" s="444">
        <v>34481</v>
      </c>
      <c r="N736" s="444">
        <v>56400</v>
      </c>
      <c r="O736" s="446">
        <v>46314</v>
      </c>
      <c r="P736" s="447">
        <v>46176</v>
      </c>
      <c r="Q736" s="448">
        <v>46139</v>
      </c>
      <c r="R736" s="449" t="s">
        <v>37</v>
      </c>
      <c r="S736" s="332"/>
      <c r="T736" s="450"/>
      <c r="U736" s="332"/>
      <c r="V736" s="334"/>
      <c r="W736" s="334"/>
      <c r="AA736" s="451"/>
      <c r="AD736" s="452"/>
      <c r="AJ736" s="199"/>
      <c r="AK736" s="199"/>
      <c r="AL736" s="199"/>
      <c r="AM736" s="199"/>
    </row>
    <row r="737" spans="1:39">
      <c r="A737" s="90"/>
      <c r="C737" s="89"/>
      <c r="F737" s="90"/>
      <c r="I737" s="90"/>
      <c r="J737" s="90"/>
      <c r="L737" s="90"/>
    </row>
    <row r="738" spans="1:39">
      <c r="A738" s="90"/>
      <c r="C738" s="89"/>
      <c r="F738" s="90"/>
      <c r="I738" s="90"/>
      <c r="J738" s="90"/>
      <c r="L738" s="90"/>
    </row>
    <row r="739" spans="1:39">
      <c r="A739" s="90"/>
      <c r="B739" s="1198" t="s">
        <v>2707</v>
      </c>
      <c r="C739" s="89"/>
      <c r="F739" s="90"/>
      <c r="I739" s="90"/>
      <c r="J739" s="90"/>
      <c r="L739" s="90"/>
    </row>
    <row r="740" spans="1:39">
      <c r="A740" s="574">
        <v>1</v>
      </c>
      <c r="B740" s="575" t="s">
        <v>2708</v>
      </c>
      <c r="C740" s="574" t="s">
        <v>543</v>
      </c>
      <c r="D740" s="577" t="s">
        <v>2709</v>
      </c>
      <c r="E740" s="18" t="s">
        <v>2710</v>
      </c>
      <c r="F740" s="574" t="s">
        <v>23</v>
      </c>
      <c r="G740" s="476">
        <v>24122</v>
      </c>
      <c r="H740" s="1491">
        <v>46053</v>
      </c>
      <c r="I740" s="18">
        <v>9002071080</v>
      </c>
      <c r="J740" s="18" t="s">
        <v>76</v>
      </c>
      <c r="K740" s="90"/>
    </row>
    <row r="741" spans="1:39">
      <c r="A741" s="574">
        <v>2</v>
      </c>
      <c r="B741" s="575" t="s">
        <v>2711</v>
      </c>
      <c r="C741" s="574" t="s">
        <v>7</v>
      </c>
      <c r="D741" s="580">
        <v>50205373591</v>
      </c>
      <c r="E741" s="18" t="s">
        <v>2712</v>
      </c>
      <c r="F741" s="574" t="s">
        <v>23</v>
      </c>
      <c r="G741" s="476">
        <v>24115</v>
      </c>
      <c r="H741" s="1491">
        <v>46053</v>
      </c>
      <c r="I741" s="18">
        <v>9002071097</v>
      </c>
      <c r="J741" s="18" t="s">
        <v>76</v>
      </c>
      <c r="K741" s="90"/>
    </row>
    <row r="742" spans="1:39">
      <c r="A742" s="574">
        <v>4</v>
      </c>
      <c r="B742" s="575" t="s">
        <v>2713</v>
      </c>
      <c r="C742" s="574" t="s">
        <v>543</v>
      </c>
      <c r="D742" s="576">
        <v>50813490382</v>
      </c>
      <c r="E742" s="18" t="s">
        <v>2714</v>
      </c>
      <c r="F742" s="574" t="s">
        <v>23</v>
      </c>
      <c r="G742" s="440">
        <v>24121</v>
      </c>
      <c r="H742" s="1491">
        <v>46053</v>
      </c>
      <c r="I742" s="18">
        <v>9002071733</v>
      </c>
      <c r="J742" s="18" t="s">
        <v>76</v>
      </c>
      <c r="K742" s="90"/>
    </row>
    <row r="743" spans="1:39" ht="15.75" customHeight="1">
      <c r="A743" s="1131">
        <v>34</v>
      </c>
      <c r="B743" s="276" t="s">
        <v>2715</v>
      </c>
      <c r="C743" s="405" t="s">
        <v>21</v>
      </c>
      <c r="D743" s="1460" t="s">
        <v>2716</v>
      </c>
      <c r="E743" s="1132" t="s">
        <v>2717</v>
      </c>
      <c r="F743" s="685" t="s">
        <v>759</v>
      </c>
      <c r="G743" s="875" t="s">
        <v>76</v>
      </c>
      <c r="H743" s="307"/>
      <c r="I743" s="307">
        <v>9002071882</v>
      </c>
      <c r="J743" s="307"/>
      <c r="K743" s="274" t="s">
        <v>253</v>
      </c>
      <c r="L743" s="274" t="s">
        <v>65</v>
      </c>
      <c r="M743" s="315">
        <v>24112</v>
      </c>
      <c r="N743" s="315">
        <v>46053</v>
      </c>
      <c r="O743" s="278">
        <v>45353</v>
      </c>
      <c r="P743" s="278">
        <v>45653</v>
      </c>
      <c r="Q743" s="302">
        <v>45188</v>
      </c>
      <c r="R743" s="280"/>
      <c r="S743" s="982" t="s">
        <v>2718</v>
      </c>
      <c r="T743" s="317" t="s">
        <v>1269</v>
      </c>
      <c r="U743" s="317"/>
      <c r="V743" s="285"/>
      <c r="W743" s="382"/>
      <c r="X743" s="3"/>
      <c r="Y743" s="3"/>
      <c r="Z743" s="79"/>
      <c r="AA743" s="79"/>
      <c r="AB743" s="311">
        <f t="shared" ref="AB743:AB744" ca="1" si="115">INT((TODAY()-M743)/365)</f>
        <v>60</v>
      </c>
      <c r="AC743" s="311"/>
      <c r="AD743" s="311"/>
      <c r="AE743" s="311"/>
      <c r="AF743" s="311"/>
      <c r="AG743" s="311"/>
      <c r="AH743" s="311"/>
      <c r="AI743" s="311"/>
      <c r="AJ743" s="311"/>
      <c r="AK743" s="311"/>
      <c r="AL743" s="311"/>
      <c r="AM743" s="311"/>
    </row>
    <row r="744" spans="1:39" ht="18.75">
      <c r="A744" s="1131">
        <v>9</v>
      </c>
      <c r="B744" s="1461" t="s">
        <v>2719</v>
      </c>
      <c r="C744" s="307" t="s">
        <v>21</v>
      </c>
      <c r="D744" s="1458" t="s">
        <v>2720</v>
      </c>
      <c r="E744" s="683" t="s">
        <v>2721</v>
      </c>
      <c r="F744" s="946" t="s">
        <v>759</v>
      </c>
      <c r="G744" s="875" t="s">
        <v>76</v>
      </c>
      <c r="H744" s="307"/>
      <c r="I744" s="703">
        <v>9002071821</v>
      </c>
      <c r="J744" s="703">
        <v>9002071821</v>
      </c>
      <c r="K744" s="274" t="s">
        <v>253</v>
      </c>
      <c r="L744" s="274" t="s">
        <v>65</v>
      </c>
      <c r="M744" s="278">
        <v>24120</v>
      </c>
      <c r="N744" s="315">
        <v>46053</v>
      </c>
      <c r="O744" s="278">
        <v>45321</v>
      </c>
      <c r="P744" s="279">
        <v>45204</v>
      </c>
      <c r="Q744" s="302">
        <v>45188</v>
      </c>
      <c r="R744" s="280"/>
      <c r="S744" s="318" t="s">
        <v>2722</v>
      </c>
      <c r="T744" s="317" t="s">
        <v>1269</v>
      </c>
      <c r="U744" s="280"/>
      <c r="V744" s="285"/>
      <c r="W744" s="90"/>
      <c r="X744" s="90"/>
      <c r="Y744" s="90"/>
      <c r="AB744" s="311">
        <f t="shared" ca="1" si="115"/>
        <v>60</v>
      </c>
      <c r="AC744" s="384"/>
      <c r="AD744" s="384"/>
      <c r="AE744" s="384"/>
      <c r="AF744" s="384"/>
      <c r="AG744" s="384"/>
      <c r="AH744" s="384"/>
      <c r="AI744" s="384"/>
      <c r="AJ744" s="384"/>
      <c r="AK744" s="384"/>
      <c r="AL744" s="384"/>
      <c r="AM744" s="384"/>
    </row>
    <row r="745" spans="1:39" ht="15.75">
      <c r="A745" s="656">
        <v>4</v>
      </c>
      <c r="B745" s="524" t="s">
        <v>2723</v>
      </c>
      <c r="C745" s="525" t="s">
        <v>31</v>
      </c>
      <c r="D745" s="1445" t="s">
        <v>2724</v>
      </c>
      <c r="E745" s="527" t="s">
        <v>2725</v>
      </c>
      <c r="F745" s="970" t="s">
        <v>759</v>
      </c>
      <c r="G745" s="1323" t="s">
        <v>77</v>
      </c>
      <c r="H745" s="303" t="s">
        <v>266</v>
      </c>
      <c r="I745" s="18">
        <v>9002071873</v>
      </c>
      <c r="J745" s="1141"/>
      <c r="K745" s="409" t="s">
        <v>261</v>
      </c>
      <c r="L745" s="398" t="s">
        <v>256</v>
      </c>
      <c r="M745" s="528">
        <v>24131</v>
      </c>
      <c r="N745" s="529">
        <v>46053</v>
      </c>
      <c r="O745" s="1142"/>
      <c r="P745" s="1143"/>
      <c r="Q745" s="3"/>
      <c r="R745" s="449" t="s">
        <v>313</v>
      </c>
      <c r="S745" s="533"/>
      <c r="T745" s="1446"/>
      <c r="U745" s="534" t="s">
        <v>2726</v>
      </c>
      <c r="V745" s="1492"/>
      <c r="W745" s="1148" t="s">
        <v>2727</v>
      </c>
      <c r="X745" s="533"/>
      <c r="Y745" s="533"/>
      <c r="Z745" s="334"/>
      <c r="AA745" s="334"/>
      <c r="AB745" s="334"/>
      <c r="AC745" s="334"/>
      <c r="AD745" s="199"/>
      <c r="AE745" s="199"/>
      <c r="AF745" s="199"/>
      <c r="AG745" s="199"/>
      <c r="AH745" s="199"/>
      <c r="AI745" s="199"/>
      <c r="AJ745" s="199"/>
      <c r="AK745" s="199"/>
      <c r="AL745" s="199"/>
      <c r="AM745" s="199"/>
    </row>
    <row r="746" spans="1:39" ht="15.75" customHeight="1">
      <c r="A746" s="1162">
        <v>1</v>
      </c>
      <c r="B746" s="276" t="s">
        <v>2728</v>
      </c>
      <c r="C746" s="307" t="s">
        <v>31</v>
      </c>
      <c r="D746" s="1493" t="s">
        <v>2729</v>
      </c>
      <c r="E746" s="303" t="s">
        <v>2730</v>
      </c>
      <c r="F746" s="685" t="s">
        <v>759</v>
      </c>
      <c r="G746" s="337" t="s">
        <v>76</v>
      </c>
      <c r="H746" s="303" t="s">
        <v>279</v>
      </c>
      <c r="I746" s="307">
        <v>9002071693</v>
      </c>
      <c r="J746" s="703">
        <v>9830426470</v>
      </c>
      <c r="K746" s="307" t="s">
        <v>253</v>
      </c>
      <c r="L746" s="274" t="s">
        <v>61</v>
      </c>
      <c r="M746" s="278">
        <v>24120</v>
      </c>
      <c r="N746" s="315">
        <v>46053</v>
      </c>
      <c r="O746" s="278">
        <v>45339</v>
      </c>
      <c r="P746" s="921">
        <v>45232</v>
      </c>
      <c r="Q746" s="1494">
        <v>45873</v>
      </c>
      <c r="R746" s="285"/>
      <c r="S746" s="285"/>
      <c r="T746" s="318" t="s">
        <v>2731</v>
      </c>
      <c r="U746" s="318" t="s">
        <v>2732</v>
      </c>
      <c r="V746" s="285"/>
      <c r="W746" s="90"/>
      <c r="X746" s="90"/>
      <c r="Y746" s="90"/>
      <c r="AB746" s="311">
        <f ca="1">INT((TODAY()-M746)/365)</f>
        <v>60</v>
      </c>
    </row>
    <row r="747" spans="1:39" ht="15.75">
      <c r="A747" s="656">
        <v>9</v>
      </c>
      <c r="B747" s="967" t="s">
        <v>2733</v>
      </c>
      <c r="C747" s="1164" t="s">
        <v>14</v>
      </c>
      <c r="D747" s="1495" t="s">
        <v>2734</v>
      </c>
      <c r="E747" s="527" t="s">
        <v>2735</v>
      </c>
      <c r="F747" s="970" t="s">
        <v>759</v>
      </c>
      <c r="G747" s="1165" t="s">
        <v>76</v>
      </c>
      <c r="H747" s="499" t="s">
        <v>279</v>
      </c>
      <c r="I747" s="656">
        <v>9163382082</v>
      </c>
      <c r="J747" s="334"/>
      <c r="K747" s="328" t="s">
        <v>253</v>
      </c>
      <c r="L747" s="656" t="s">
        <v>69</v>
      </c>
      <c r="M747" s="912">
        <v>24109</v>
      </c>
      <c r="N747" s="913">
        <v>46053</v>
      </c>
      <c r="O747" s="326">
        <v>45295</v>
      </c>
      <c r="P747" s="933">
        <v>45144</v>
      </c>
      <c r="Q747" s="915">
        <v>46150</v>
      </c>
      <c r="R747" s="449" t="s">
        <v>313</v>
      </c>
      <c r="S747" s="332"/>
      <c r="T747" s="450"/>
      <c r="U747" s="916" t="s">
        <v>2736</v>
      </c>
      <c r="V747" s="334"/>
      <c r="W747" s="334"/>
      <c r="X747" s="334"/>
      <c r="Y747" s="334"/>
      <c r="Z747" s="334"/>
      <c r="AA747" s="286" t="s">
        <v>84</v>
      </c>
      <c r="AB747" s="334"/>
      <c r="AC747" s="334"/>
      <c r="AD747" s="334"/>
      <c r="AE747" s="334"/>
      <c r="AF747" s="334"/>
      <c r="AG747" s="334"/>
      <c r="AH747" s="334"/>
      <c r="AI747" s="334"/>
      <c r="AJ747" s="199"/>
      <c r="AK747" s="199"/>
      <c r="AL747" s="199"/>
      <c r="AM747" s="199"/>
    </row>
    <row r="748" spans="1:39" ht="15.75" customHeight="1">
      <c r="A748" s="1001">
        <v>22</v>
      </c>
      <c r="B748" s="293" t="s">
        <v>2737</v>
      </c>
      <c r="C748" s="275" t="s">
        <v>31</v>
      </c>
      <c r="D748" s="1448" t="s">
        <v>2738</v>
      </c>
      <c r="E748" s="303" t="s">
        <v>2739</v>
      </c>
      <c r="F748" s="284" t="s">
        <v>759</v>
      </c>
      <c r="G748" s="385" t="s">
        <v>76</v>
      </c>
      <c r="H748" s="274" t="s">
        <v>279</v>
      </c>
      <c r="I748" s="275">
        <v>9002071235</v>
      </c>
      <c r="J748" s="415">
        <v>9002071235</v>
      </c>
      <c r="K748" s="275" t="s">
        <v>330</v>
      </c>
      <c r="L748" s="275" t="s">
        <v>43</v>
      </c>
      <c r="M748" s="272">
        <v>24119</v>
      </c>
      <c r="N748" s="272">
        <v>46053</v>
      </c>
      <c r="O748" s="272">
        <v>45304</v>
      </c>
      <c r="P748" s="278">
        <v>45662</v>
      </c>
      <c r="Q748" s="300">
        <v>45591</v>
      </c>
      <c r="R748" s="309"/>
      <c r="S748" s="309"/>
      <c r="T748" s="310" t="s">
        <v>2740</v>
      </c>
      <c r="U748" s="310" t="s">
        <v>2741</v>
      </c>
      <c r="V748" s="388">
        <f ca="1">INT((TODAY()-M748)/365)</f>
        <v>60</v>
      </c>
      <c r="W748" s="311"/>
      <c r="X748" s="311"/>
      <c r="Y748" s="311"/>
      <c r="Z748" s="311"/>
      <c r="AA748" s="311"/>
      <c r="AB748" s="311"/>
      <c r="AC748" s="311"/>
      <c r="AD748" s="311"/>
      <c r="AE748" s="311"/>
      <c r="AF748" s="311"/>
      <c r="AG748" s="311"/>
      <c r="AH748" s="311"/>
      <c r="AI748" s="311"/>
      <c r="AJ748" s="311"/>
      <c r="AK748" s="311"/>
      <c r="AL748" s="311"/>
      <c r="AM748" s="311"/>
    </row>
    <row r="749" spans="1:39" ht="15.75" customHeight="1">
      <c r="A749" s="18">
        <v>21</v>
      </c>
      <c r="B749" s="509" t="s">
        <v>2742</v>
      </c>
      <c r="C749" s="307" t="s">
        <v>81</v>
      </c>
      <c r="D749" s="675">
        <v>50212535023</v>
      </c>
      <c r="E749" s="1123" t="s">
        <v>2743</v>
      </c>
      <c r="F749" s="18" t="s">
        <v>485</v>
      </c>
      <c r="G749" s="315">
        <v>24122</v>
      </c>
      <c r="H749" s="315">
        <v>46053</v>
      </c>
      <c r="I749" s="275" t="s">
        <v>315</v>
      </c>
      <c r="J749" s="18" t="s">
        <v>76</v>
      </c>
      <c r="K749" s="274" t="s">
        <v>253</v>
      </c>
      <c r="L749" s="274" t="s">
        <v>1839</v>
      </c>
      <c r="M749" s="307">
        <v>9002079045</v>
      </c>
      <c r="N749" s="1496">
        <v>9804164944</v>
      </c>
      <c r="O749" s="315">
        <v>45310</v>
      </c>
      <c r="P749" s="315">
        <v>45272</v>
      </c>
      <c r="Q749" s="424">
        <v>45537</v>
      </c>
      <c r="R749" s="425"/>
      <c r="S749" s="425"/>
      <c r="T749" s="339" t="s">
        <v>659</v>
      </c>
      <c r="U749" s="1151" t="s">
        <v>659</v>
      </c>
      <c r="V749" s="425"/>
      <c r="W749" s="90"/>
      <c r="X749" s="137" t="s">
        <v>1986</v>
      </c>
      <c r="Y749" s="137">
        <v>1</v>
      </c>
      <c r="Z749" s="197" t="s">
        <v>84</v>
      </c>
      <c r="AB749" s="311">
        <f ca="1">INT((TODAY()-G749)/365)</f>
        <v>60</v>
      </c>
    </row>
    <row r="750" spans="1:39" ht="15.75">
      <c r="A750" s="656">
        <v>84</v>
      </c>
      <c r="B750" s="566" t="s">
        <v>2744</v>
      </c>
      <c r="C750" s="457" t="s">
        <v>20</v>
      </c>
      <c r="D750" s="1497" t="s">
        <v>2745</v>
      </c>
      <c r="E750" s="1498"/>
      <c r="F750" s="674" t="s">
        <v>759</v>
      </c>
      <c r="G750" s="457" t="s">
        <v>77</v>
      </c>
      <c r="H750" s="1468" t="s">
        <v>279</v>
      </c>
      <c r="I750" s="79"/>
      <c r="J750" s="79"/>
      <c r="K750" s="274" t="s">
        <v>464</v>
      </c>
      <c r="L750" s="457" t="s">
        <v>1843</v>
      </c>
      <c r="M750" s="444">
        <v>24132</v>
      </c>
      <c r="N750" s="444">
        <v>46053</v>
      </c>
      <c r="O750" s="1418">
        <v>46091</v>
      </c>
      <c r="P750" s="1419">
        <v>46573</v>
      </c>
      <c r="Q750" s="1418">
        <v>46467</v>
      </c>
      <c r="R750" s="449" t="s">
        <v>37</v>
      </c>
      <c r="S750" s="332"/>
      <c r="T750" s="571"/>
      <c r="U750" s="572"/>
      <c r="V750" s="334"/>
      <c r="W750" s="334"/>
      <c r="X750" s="334"/>
      <c r="Y750" s="334"/>
      <c r="Z750" s="334"/>
      <c r="AA750" s="334"/>
      <c r="AB750" s="334"/>
      <c r="AE750" s="1499" t="s">
        <v>2746</v>
      </c>
      <c r="AF750" s="1499" t="s">
        <v>2747</v>
      </c>
      <c r="AH750" s="199"/>
      <c r="AI750" s="199"/>
      <c r="AJ750" s="199"/>
      <c r="AK750" s="199"/>
      <c r="AL750" s="199"/>
      <c r="AM750" s="199"/>
    </row>
    <row r="751" spans="1:39">
      <c r="A751" s="18">
        <v>3</v>
      </c>
      <c r="B751" s="474" t="s">
        <v>2748</v>
      </c>
      <c r="C751" s="18" t="s">
        <v>137</v>
      </c>
      <c r="D751" s="478">
        <v>50205384503</v>
      </c>
      <c r="E751" s="475" t="s">
        <v>2749</v>
      </c>
      <c r="F751" s="18" t="s">
        <v>440</v>
      </c>
      <c r="G751" s="476">
        <v>24113</v>
      </c>
      <c r="H751" s="476">
        <v>46053</v>
      </c>
      <c r="I751" s="391" t="s">
        <v>334</v>
      </c>
      <c r="J751" s="18" t="s">
        <v>76</v>
      </c>
      <c r="K751" s="137"/>
      <c r="L751" s="477"/>
    </row>
    <row r="752" spans="1:39" ht="15.75">
      <c r="A752" s="656">
        <v>11</v>
      </c>
      <c r="B752" s="659" t="s">
        <v>2750</v>
      </c>
      <c r="C752" s="327" t="s">
        <v>689</v>
      </c>
      <c r="D752" s="334"/>
      <c r="E752" s="327" t="s">
        <v>682</v>
      </c>
      <c r="F752" s="327" t="s">
        <v>2751</v>
      </c>
      <c r="G752" s="661">
        <v>50205307405</v>
      </c>
      <c r="H752" s="665" t="s">
        <v>12</v>
      </c>
      <c r="I752" s="663" t="s">
        <v>702</v>
      </c>
      <c r="J752" s="329">
        <v>24127</v>
      </c>
      <c r="K752" s="329">
        <v>46053</v>
      </c>
    </row>
    <row r="753" spans="1:28">
      <c r="A753" s="90"/>
      <c r="C753" s="89"/>
      <c r="F753" s="90"/>
      <c r="I753" s="90"/>
      <c r="J753" s="90"/>
      <c r="L753" s="90"/>
    </row>
    <row r="754" spans="1:28">
      <c r="A754" s="90"/>
      <c r="B754" s="1198" t="s">
        <v>2752</v>
      </c>
      <c r="C754" s="89"/>
      <c r="F754" s="90"/>
      <c r="I754" s="90"/>
      <c r="J754" s="90"/>
      <c r="L754" s="90"/>
    </row>
    <row r="755" spans="1:28" ht="15.75">
      <c r="A755" s="18">
        <v>1</v>
      </c>
      <c r="B755" s="474" t="s">
        <v>2753</v>
      </c>
      <c r="C755" s="18" t="s">
        <v>137</v>
      </c>
      <c r="D755" s="557">
        <v>50205390850</v>
      </c>
      <c r="E755" s="475" t="s">
        <v>2754</v>
      </c>
      <c r="F755" s="18" t="s">
        <v>440</v>
      </c>
      <c r="G755" s="476">
        <v>24165</v>
      </c>
      <c r="H755" s="476">
        <v>46081</v>
      </c>
      <c r="I755" s="307" t="s">
        <v>253</v>
      </c>
      <c r="J755" s="18" t="s">
        <v>76</v>
      </c>
      <c r="K755" s="472"/>
    </row>
    <row r="756" spans="1:28" ht="15.75">
      <c r="A756" s="1500">
        <v>47</v>
      </c>
      <c r="B756" s="1501" t="s">
        <v>2755</v>
      </c>
      <c r="C756" s="823" t="s">
        <v>21</v>
      </c>
      <c r="D756" s="1502" t="s">
        <v>2756</v>
      </c>
      <c r="E756" s="1503" t="s">
        <v>2757</v>
      </c>
      <c r="F756" s="699" t="s">
        <v>759</v>
      </c>
      <c r="G756" s="1504" t="s">
        <v>76</v>
      </c>
      <c r="H756" s="79"/>
      <c r="I756" s="79"/>
      <c r="J756" s="79"/>
      <c r="K756" s="275" t="s">
        <v>290</v>
      </c>
      <c r="L756" s="457" t="s">
        <v>1843</v>
      </c>
      <c r="M756" s="444">
        <v>24751</v>
      </c>
      <c r="N756" s="444">
        <v>46691</v>
      </c>
      <c r="O756" s="1505">
        <v>45955</v>
      </c>
      <c r="P756" s="1505">
        <v>46120</v>
      </c>
      <c r="Q756" s="1505">
        <v>46383</v>
      </c>
      <c r="R756" s="449" t="s">
        <v>37</v>
      </c>
      <c r="S756" s="79"/>
      <c r="T756" s="571"/>
      <c r="U756" s="280"/>
      <c r="V756" s="79"/>
      <c r="W756" s="79"/>
      <c r="AA756" s="1506"/>
      <c r="AB756" s="568"/>
    </row>
    <row r="757" spans="1:28">
      <c r="A757" s="90"/>
      <c r="C757" s="89"/>
      <c r="F757" s="90"/>
      <c r="I757" s="90"/>
      <c r="J757" s="90"/>
      <c r="L757" s="90"/>
    </row>
    <row r="758" spans="1:28">
      <c r="A758" s="90"/>
      <c r="C758" s="89"/>
      <c r="F758" s="90"/>
      <c r="I758" s="90"/>
      <c r="J758" s="90"/>
      <c r="L758" s="90"/>
    </row>
    <row r="759" spans="1:28">
      <c r="A759" s="90"/>
      <c r="C759" s="89"/>
      <c r="F759" s="90"/>
      <c r="I759" s="90"/>
      <c r="J759" s="90"/>
      <c r="L759" s="90"/>
    </row>
    <row r="760" spans="1:28">
      <c r="A760" s="90"/>
      <c r="C760" s="89"/>
      <c r="F760" s="90"/>
      <c r="I760" s="90"/>
      <c r="J760" s="90"/>
      <c r="L760" s="90"/>
    </row>
    <row r="761" spans="1:28">
      <c r="A761" s="90"/>
      <c r="C761" s="89"/>
      <c r="F761" s="90"/>
      <c r="I761" s="90"/>
      <c r="J761" s="90"/>
      <c r="L761" s="90"/>
    </row>
    <row r="762" spans="1:28">
      <c r="A762" s="90"/>
      <c r="C762" s="89"/>
      <c r="F762" s="90"/>
      <c r="I762" s="90"/>
      <c r="J762" s="90"/>
      <c r="L762" s="90"/>
    </row>
    <row r="763" spans="1:28">
      <c r="A763" s="90"/>
      <c r="C763" s="89"/>
      <c r="F763" s="90"/>
      <c r="I763" s="90"/>
      <c r="J763" s="90"/>
      <c r="L763" s="90"/>
    </row>
    <row r="764" spans="1:28">
      <c r="A764" s="90"/>
      <c r="C764" s="89"/>
      <c r="F764" s="90"/>
      <c r="I764" s="90"/>
      <c r="J764" s="90"/>
      <c r="L764" s="90"/>
    </row>
    <row r="765" spans="1:28">
      <c r="A765" s="90"/>
      <c r="C765" s="89"/>
      <c r="F765" s="90"/>
      <c r="I765" s="90"/>
      <c r="J765" s="90"/>
      <c r="L765" s="90"/>
    </row>
    <row r="766" spans="1:28">
      <c r="A766" s="90"/>
      <c r="C766" s="89"/>
      <c r="F766" s="90"/>
      <c r="I766" s="90"/>
      <c r="J766" s="90"/>
      <c r="L766" s="90"/>
    </row>
    <row r="767" spans="1:28">
      <c r="A767" s="90"/>
      <c r="C767" s="89"/>
      <c r="F767" s="90"/>
      <c r="I767" s="90"/>
      <c r="J767" s="90"/>
      <c r="L767" s="90"/>
    </row>
    <row r="768" spans="1:28">
      <c r="A768" s="90"/>
      <c r="C768" s="89"/>
      <c r="F768" s="90"/>
      <c r="I768" s="90"/>
      <c r="J768" s="90"/>
      <c r="L768" s="90"/>
    </row>
    <row r="769" spans="1:12">
      <c r="A769" s="90"/>
      <c r="C769" s="89"/>
      <c r="F769" s="90"/>
      <c r="I769" s="90"/>
      <c r="J769" s="90"/>
      <c r="L769" s="90"/>
    </row>
    <row r="770" spans="1:12">
      <c r="A770" s="90"/>
      <c r="C770" s="89"/>
      <c r="F770" s="90"/>
      <c r="I770" s="90"/>
      <c r="J770" s="90"/>
      <c r="L770" s="90"/>
    </row>
    <row r="771" spans="1:12">
      <c r="A771" s="90"/>
      <c r="C771" s="89"/>
      <c r="F771" s="90"/>
      <c r="I771" s="90"/>
      <c r="J771" s="90"/>
      <c r="L771" s="90"/>
    </row>
    <row r="772" spans="1:12">
      <c r="A772" s="90"/>
      <c r="C772" s="89"/>
      <c r="F772" s="90"/>
      <c r="I772" s="90"/>
      <c r="J772" s="90"/>
      <c r="L772" s="90"/>
    </row>
    <row r="773" spans="1:12">
      <c r="A773" s="90"/>
      <c r="C773" s="89"/>
      <c r="F773" s="90"/>
      <c r="I773" s="90"/>
      <c r="J773" s="90"/>
      <c r="L773" s="90"/>
    </row>
    <row r="774" spans="1:12">
      <c r="A774" s="90"/>
      <c r="C774" s="89"/>
      <c r="F774" s="90"/>
      <c r="I774" s="90"/>
      <c r="J774" s="90"/>
      <c r="L774" s="90"/>
    </row>
    <row r="775" spans="1:12">
      <c r="A775" s="90"/>
      <c r="C775" s="89"/>
      <c r="F775" s="90"/>
      <c r="I775" s="90"/>
      <c r="J775" s="90"/>
      <c r="L775" s="90"/>
    </row>
    <row r="776" spans="1:12">
      <c r="A776" s="90"/>
      <c r="C776" s="89"/>
      <c r="F776" s="90"/>
      <c r="I776" s="90"/>
      <c r="J776" s="90"/>
      <c r="L776" s="90"/>
    </row>
    <row r="777" spans="1:12">
      <c r="A777" s="90"/>
      <c r="C777" s="89"/>
      <c r="F777" s="90"/>
      <c r="I777" s="90"/>
      <c r="J777" s="90"/>
      <c r="L777" s="90"/>
    </row>
    <row r="778" spans="1:12">
      <c r="A778" s="90"/>
      <c r="C778" s="89"/>
      <c r="F778" s="90"/>
      <c r="I778" s="90"/>
      <c r="J778" s="90"/>
      <c r="L778" s="90"/>
    </row>
    <row r="779" spans="1:12">
      <c r="A779" s="90"/>
      <c r="C779" s="89"/>
      <c r="F779" s="90"/>
      <c r="I779" s="90"/>
      <c r="J779" s="90"/>
      <c r="L779" s="90"/>
    </row>
    <row r="780" spans="1:12">
      <c r="A780" s="90"/>
      <c r="C780" s="89"/>
      <c r="F780" s="90"/>
      <c r="I780" s="90"/>
      <c r="J780" s="90"/>
      <c r="L780" s="90"/>
    </row>
    <row r="781" spans="1:12">
      <c r="A781" s="90"/>
      <c r="C781" s="89"/>
      <c r="F781" s="90"/>
      <c r="I781" s="90"/>
      <c r="J781" s="90"/>
      <c r="L781" s="90"/>
    </row>
    <row r="782" spans="1:12">
      <c r="A782" s="90"/>
      <c r="C782" s="89"/>
      <c r="F782" s="90"/>
      <c r="I782" s="90"/>
      <c r="J782" s="90"/>
      <c r="L782" s="90"/>
    </row>
    <row r="783" spans="1:12">
      <c r="A783" s="90"/>
      <c r="C783" s="89"/>
      <c r="F783" s="90"/>
      <c r="I783" s="90"/>
      <c r="J783" s="90"/>
      <c r="L783" s="90"/>
    </row>
    <row r="784" spans="1:12">
      <c r="A784" s="90"/>
      <c r="C784" s="89"/>
      <c r="F784" s="90"/>
      <c r="I784" s="90"/>
      <c r="J784" s="90"/>
      <c r="L784" s="90"/>
    </row>
    <row r="785" spans="1:12">
      <c r="A785" s="90"/>
      <c r="C785" s="89"/>
      <c r="F785" s="90"/>
      <c r="I785" s="90"/>
      <c r="J785" s="90"/>
      <c r="L785" s="90"/>
    </row>
    <row r="786" spans="1:12">
      <c r="A786" s="90"/>
      <c r="C786" s="89"/>
      <c r="F786" s="90"/>
      <c r="I786" s="90"/>
      <c r="J786" s="90"/>
      <c r="L786" s="90"/>
    </row>
    <row r="787" spans="1:12">
      <c r="A787" s="90"/>
      <c r="C787" s="89"/>
      <c r="F787" s="90"/>
      <c r="I787" s="90"/>
      <c r="J787" s="90"/>
      <c r="L787" s="90"/>
    </row>
    <row r="788" spans="1:12">
      <c r="A788" s="90"/>
      <c r="C788" s="89"/>
      <c r="F788" s="90"/>
      <c r="I788" s="90"/>
      <c r="J788" s="90"/>
      <c r="L788" s="90"/>
    </row>
    <row r="789" spans="1:12">
      <c r="A789" s="90"/>
      <c r="C789" s="89"/>
      <c r="F789" s="90"/>
      <c r="I789" s="90"/>
      <c r="J789" s="90"/>
      <c r="L789" s="90"/>
    </row>
    <row r="790" spans="1:12">
      <c r="A790" s="90"/>
      <c r="C790" s="89"/>
      <c r="F790" s="90"/>
      <c r="I790" s="90"/>
      <c r="J790" s="90"/>
      <c r="L790" s="90"/>
    </row>
    <row r="791" spans="1:12">
      <c r="A791" s="90"/>
      <c r="C791" s="89"/>
      <c r="F791" s="90"/>
      <c r="I791" s="90"/>
      <c r="J791" s="90"/>
      <c r="L791" s="90"/>
    </row>
    <row r="792" spans="1:12">
      <c r="A792" s="90"/>
      <c r="C792" s="89"/>
      <c r="F792" s="90"/>
      <c r="I792" s="90"/>
      <c r="J792" s="90"/>
      <c r="L792" s="90"/>
    </row>
    <row r="793" spans="1:12">
      <c r="A793" s="90"/>
      <c r="C793" s="89"/>
      <c r="F793" s="90"/>
      <c r="I793" s="90"/>
      <c r="J793" s="90"/>
      <c r="L793" s="90"/>
    </row>
    <row r="794" spans="1:12">
      <c r="A794" s="90"/>
      <c r="C794" s="89"/>
      <c r="F794" s="90"/>
      <c r="I794" s="90"/>
      <c r="J794" s="90"/>
      <c r="L794" s="90"/>
    </row>
    <row r="795" spans="1:12">
      <c r="A795" s="90"/>
      <c r="C795" s="89"/>
      <c r="F795" s="90"/>
      <c r="I795" s="90"/>
      <c r="J795" s="90"/>
      <c r="L795" s="90"/>
    </row>
    <row r="796" spans="1:12">
      <c r="A796" s="90"/>
      <c r="C796" s="89"/>
      <c r="F796" s="90"/>
      <c r="I796" s="90"/>
      <c r="J796" s="90"/>
      <c r="L796" s="90"/>
    </row>
    <row r="797" spans="1:12">
      <c r="A797" s="90"/>
      <c r="C797" s="89"/>
      <c r="F797" s="90"/>
      <c r="I797" s="90"/>
      <c r="J797" s="90"/>
      <c r="L797" s="90"/>
    </row>
    <row r="798" spans="1:12">
      <c r="A798" s="90"/>
      <c r="C798" s="89"/>
      <c r="F798" s="90"/>
      <c r="I798" s="90"/>
      <c r="J798" s="90"/>
      <c r="L798" s="90"/>
    </row>
    <row r="799" spans="1:12">
      <c r="A799" s="90"/>
      <c r="C799" s="89"/>
      <c r="F799" s="90"/>
      <c r="I799" s="90"/>
      <c r="J799" s="90"/>
      <c r="L799" s="90"/>
    </row>
    <row r="800" spans="1:12">
      <c r="A800" s="90"/>
      <c r="C800" s="89"/>
      <c r="F800" s="90"/>
      <c r="I800" s="90"/>
      <c r="J800" s="90"/>
      <c r="L800" s="90"/>
    </row>
    <row r="801" spans="1:12">
      <c r="A801" s="90"/>
      <c r="C801" s="89"/>
      <c r="F801" s="90"/>
      <c r="I801" s="90"/>
      <c r="J801" s="90"/>
      <c r="L801" s="90"/>
    </row>
    <row r="802" spans="1:12">
      <c r="A802" s="90"/>
      <c r="C802" s="89"/>
      <c r="F802" s="90"/>
      <c r="I802" s="90"/>
      <c r="J802" s="90"/>
      <c r="L802" s="90"/>
    </row>
    <row r="803" spans="1:12">
      <c r="A803" s="90"/>
      <c r="C803" s="89"/>
      <c r="F803" s="90"/>
      <c r="I803" s="90"/>
      <c r="J803" s="90"/>
      <c r="L803" s="90"/>
    </row>
    <row r="804" spans="1:12">
      <c r="A804" s="90"/>
      <c r="C804" s="89"/>
      <c r="F804" s="90"/>
      <c r="I804" s="90"/>
      <c r="J804" s="90"/>
      <c r="L804" s="90"/>
    </row>
    <row r="805" spans="1:12">
      <c r="A805" s="90"/>
      <c r="C805" s="89"/>
      <c r="F805" s="90"/>
      <c r="I805" s="90"/>
      <c r="J805" s="90"/>
      <c r="L805" s="90"/>
    </row>
    <row r="806" spans="1:12">
      <c r="A806" s="90"/>
      <c r="C806" s="89"/>
      <c r="F806" s="90"/>
      <c r="I806" s="90"/>
      <c r="J806" s="90"/>
      <c r="L806" s="90"/>
    </row>
    <row r="807" spans="1:12">
      <c r="A807" s="90"/>
      <c r="C807" s="89"/>
      <c r="F807" s="90"/>
      <c r="I807" s="90"/>
      <c r="J807" s="90"/>
      <c r="L807" s="90"/>
    </row>
    <row r="808" spans="1:12">
      <c r="A808" s="90"/>
      <c r="C808" s="89"/>
      <c r="F808" s="90"/>
      <c r="I808" s="90"/>
      <c r="J808" s="90"/>
      <c r="L808" s="90"/>
    </row>
    <row r="809" spans="1:12">
      <c r="A809" s="90"/>
      <c r="C809" s="89"/>
      <c r="F809" s="90"/>
      <c r="I809" s="90"/>
      <c r="J809" s="90"/>
      <c r="L809" s="90"/>
    </row>
    <row r="810" spans="1:12">
      <c r="A810" s="90"/>
      <c r="C810" s="89"/>
      <c r="F810" s="90"/>
      <c r="I810" s="90"/>
      <c r="J810" s="90"/>
      <c r="L810" s="90"/>
    </row>
    <row r="811" spans="1:12">
      <c r="A811" s="90"/>
      <c r="C811" s="89"/>
      <c r="F811" s="90"/>
      <c r="I811" s="90"/>
      <c r="J811" s="90"/>
      <c r="L811" s="90"/>
    </row>
    <row r="812" spans="1:12">
      <c r="A812" s="90"/>
      <c r="C812" s="89"/>
      <c r="F812" s="90"/>
      <c r="I812" s="90"/>
      <c r="J812" s="90"/>
      <c r="L812" s="90"/>
    </row>
    <row r="813" spans="1:12">
      <c r="A813" s="90"/>
      <c r="C813" s="89"/>
      <c r="F813" s="90"/>
      <c r="I813" s="90"/>
      <c r="J813" s="90"/>
      <c r="L813" s="90"/>
    </row>
    <row r="814" spans="1:12">
      <c r="A814" s="90"/>
      <c r="C814" s="89"/>
      <c r="F814" s="90"/>
      <c r="I814" s="90"/>
      <c r="J814" s="90"/>
      <c r="L814" s="90"/>
    </row>
    <row r="815" spans="1:12">
      <c r="A815" s="90"/>
      <c r="C815" s="89"/>
      <c r="F815" s="90"/>
      <c r="I815" s="90"/>
      <c r="J815" s="90"/>
      <c r="L815" s="90"/>
    </row>
    <row r="816" spans="1:12">
      <c r="A816" s="90"/>
      <c r="C816" s="89"/>
      <c r="F816" s="90"/>
      <c r="I816" s="90"/>
      <c r="J816" s="90"/>
      <c r="L816" s="90"/>
    </row>
    <row r="817" spans="1:12">
      <c r="A817" s="90"/>
      <c r="C817" s="89"/>
      <c r="F817" s="90"/>
      <c r="I817" s="90"/>
      <c r="J817" s="90"/>
      <c r="L817" s="90"/>
    </row>
    <row r="818" spans="1:12">
      <c r="A818" s="90"/>
      <c r="C818" s="89"/>
      <c r="F818" s="90"/>
      <c r="I818" s="90"/>
      <c r="J818" s="90"/>
      <c r="L818" s="90"/>
    </row>
    <row r="819" spans="1:12">
      <c r="A819" s="90"/>
      <c r="C819" s="89"/>
      <c r="F819" s="90"/>
      <c r="I819" s="90"/>
      <c r="J819" s="90"/>
      <c r="L819" s="90"/>
    </row>
    <row r="820" spans="1:12">
      <c r="A820" s="90"/>
      <c r="C820" s="89"/>
      <c r="F820" s="90"/>
      <c r="I820" s="90"/>
      <c r="J820" s="90"/>
      <c r="L820" s="90"/>
    </row>
    <row r="821" spans="1:12">
      <c r="A821" s="90"/>
      <c r="C821" s="89"/>
      <c r="F821" s="90"/>
      <c r="I821" s="90"/>
      <c r="J821" s="90"/>
      <c r="L821" s="90"/>
    </row>
    <row r="822" spans="1:12">
      <c r="A822" s="90"/>
      <c r="C822" s="89"/>
      <c r="F822" s="90"/>
      <c r="I822" s="90"/>
      <c r="J822" s="90"/>
      <c r="L822" s="90"/>
    </row>
    <row r="823" spans="1:12">
      <c r="A823" s="90"/>
      <c r="C823" s="89"/>
      <c r="F823" s="90"/>
      <c r="I823" s="90"/>
      <c r="J823" s="90"/>
      <c r="L823" s="90"/>
    </row>
    <row r="824" spans="1:12">
      <c r="A824" s="90"/>
      <c r="C824" s="89"/>
      <c r="F824" s="90"/>
      <c r="I824" s="90"/>
      <c r="J824" s="90"/>
      <c r="L824" s="90"/>
    </row>
    <row r="825" spans="1:12">
      <c r="A825" s="90"/>
      <c r="C825" s="89"/>
      <c r="F825" s="90"/>
      <c r="I825" s="90"/>
      <c r="J825" s="90"/>
      <c r="L825" s="90"/>
    </row>
    <row r="826" spans="1:12">
      <c r="A826" s="90"/>
      <c r="C826" s="89"/>
      <c r="F826" s="90"/>
      <c r="I826" s="90"/>
      <c r="J826" s="90"/>
      <c r="L826" s="90"/>
    </row>
    <row r="827" spans="1:12">
      <c r="A827" s="90"/>
      <c r="C827" s="89"/>
      <c r="F827" s="90"/>
      <c r="I827" s="90"/>
      <c r="J827" s="90"/>
      <c r="L827" s="90"/>
    </row>
    <row r="828" spans="1:12">
      <c r="A828" s="90"/>
      <c r="C828" s="89"/>
      <c r="F828" s="90"/>
      <c r="I828" s="90"/>
      <c r="J828" s="90"/>
      <c r="L828" s="90"/>
    </row>
    <row r="829" spans="1:12">
      <c r="A829" s="90"/>
      <c r="C829" s="89"/>
      <c r="F829" s="90"/>
      <c r="I829" s="90"/>
      <c r="J829" s="90"/>
      <c r="L829" s="90"/>
    </row>
    <row r="830" spans="1:12">
      <c r="A830" s="90"/>
      <c r="C830" s="89"/>
      <c r="F830" s="90"/>
      <c r="I830" s="90"/>
      <c r="J830" s="90"/>
      <c r="L830" s="90"/>
    </row>
    <row r="831" spans="1:12">
      <c r="A831" s="90"/>
      <c r="C831" s="89"/>
      <c r="F831" s="90"/>
      <c r="I831" s="90"/>
      <c r="J831" s="90"/>
      <c r="L831" s="90"/>
    </row>
    <row r="832" spans="1:12">
      <c r="A832" s="90"/>
      <c r="C832" s="89"/>
      <c r="F832" s="90"/>
      <c r="I832" s="90"/>
      <c r="J832" s="90"/>
      <c r="L832" s="90"/>
    </row>
    <row r="833" spans="1:12">
      <c r="A833" s="90"/>
      <c r="C833" s="89"/>
      <c r="F833" s="90"/>
      <c r="I833" s="90"/>
      <c r="J833" s="90"/>
      <c r="L833" s="90"/>
    </row>
    <row r="834" spans="1:12">
      <c r="A834" s="90"/>
      <c r="C834" s="89"/>
      <c r="F834" s="90"/>
      <c r="I834" s="90"/>
      <c r="J834" s="90"/>
      <c r="L834" s="90"/>
    </row>
    <row r="835" spans="1:12">
      <c r="A835" s="90"/>
      <c r="C835" s="89"/>
      <c r="F835" s="90"/>
      <c r="I835" s="90"/>
      <c r="J835" s="90"/>
      <c r="L835" s="90"/>
    </row>
    <row r="836" spans="1:12">
      <c r="A836" s="90"/>
      <c r="C836" s="89"/>
      <c r="F836" s="90"/>
      <c r="I836" s="90"/>
      <c r="J836" s="90"/>
      <c r="L836" s="90"/>
    </row>
    <row r="837" spans="1:12">
      <c r="A837" s="90"/>
      <c r="C837" s="89"/>
      <c r="F837" s="90"/>
      <c r="I837" s="90"/>
      <c r="J837" s="90"/>
      <c r="L837" s="90"/>
    </row>
    <row r="838" spans="1:12">
      <c r="A838" s="90"/>
      <c r="C838" s="89"/>
      <c r="F838" s="90"/>
      <c r="I838" s="90"/>
      <c r="J838" s="90"/>
      <c r="L838" s="90"/>
    </row>
    <row r="839" spans="1:12">
      <c r="A839" s="90"/>
      <c r="C839" s="89"/>
      <c r="F839" s="90"/>
      <c r="I839" s="90"/>
      <c r="J839" s="90"/>
      <c r="L839" s="90"/>
    </row>
    <row r="840" spans="1:12">
      <c r="A840" s="90"/>
      <c r="C840" s="89"/>
      <c r="F840" s="90"/>
      <c r="I840" s="90"/>
      <c r="J840" s="90"/>
      <c r="L840" s="90"/>
    </row>
    <row r="841" spans="1:12">
      <c r="A841" s="90"/>
      <c r="C841" s="89"/>
      <c r="F841" s="90"/>
      <c r="I841" s="90"/>
      <c r="J841" s="90"/>
      <c r="L841" s="90"/>
    </row>
    <row r="842" spans="1:12">
      <c r="A842" s="90"/>
      <c r="C842" s="89"/>
      <c r="F842" s="90"/>
      <c r="I842" s="90"/>
      <c r="J842" s="90"/>
      <c r="L842" s="90"/>
    </row>
    <row r="843" spans="1:12">
      <c r="A843" s="90"/>
      <c r="C843" s="89"/>
      <c r="F843" s="90"/>
      <c r="I843" s="90"/>
      <c r="J843" s="90"/>
      <c r="L843" s="90"/>
    </row>
    <row r="844" spans="1:12">
      <c r="A844" s="90"/>
      <c r="C844" s="89"/>
      <c r="F844" s="90"/>
      <c r="I844" s="90"/>
      <c r="J844" s="90"/>
      <c r="L844" s="90"/>
    </row>
    <row r="845" spans="1:12">
      <c r="A845" s="90"/>
      <c r="C845" s="89"/>
      <c r="F845" s="90"/>
      <c r="I845" s="90"/>
      <c r="J845" s="90"/>
      <c r="L845" s="90"/>
    </row>
    <row r="846" spans="1:12">
      <c r="A846" s="90"/>
      <c r="C846" s="89"/>
      <c r="F846" s="90"/>
      <c r="I846" s="90"/>
      <c r="J846" s="90"/>
      <c r="L846" s="90"/>
    </row>
    <row r="847" spans="1:12">
      <c r="A847" s="90"/>
      <c r="C847" s="89"/>
      <c r="F847" s="90"/>
      <c r="I847" s="90"/>
      <c r="J847" s="90"/>
      <c r="L847" s="90"/>
    </row>
    <row r="848" spans="1:12">
      <c r="A848" s="90"/>
      <c r="C848" s="89"/>
      <c r="F848" s="90"/>
      <c r="I848" s="90"/>
      <c r="J848" s="90"/>
      <c r="L848" s="90"/>
    </row>
    <row r="849" spans="1:12">
      <c r="A849" s="90"/>
      <c r="C849" s="89"/>
      <c r="F849" s="90"/>
      <c r="I849" s="90"/>
      <c r="J849" s="90"/>
      <c r="L849" s="90"/>
    </row>
    <row r="850" spans="1:12">
      <c r="A850" s="90"/>
      <c r="C850" s="89"/>
      <c r="F850" s="90"/>
      <c r="I850" s="90"/>
      <c r="J850" s="90"/>
      <c r="L850" s="90"/>
    </row>
    <row r="851" spans="1:12">
      <c r="A851" s="90"/>
      <c r="C851" s="89"/>
      <c r="F851" s="90"/>
      <c r="I851" s="90"/>
      <c r="J851" s="90"/>
      <c r="L851" s="90"/>
    </row>
    <row r="852" spans="1:12">
      <c r="A852" s="90"/>
      <c r="C852" s="89"/>
      <c r="F852" s="90"/>
      <c r="I852" s="90"/>
      <c r="J852" s="90"/>
      <c r="L852" s="90"/>
    </row>
    <row r="853" spans="1:12">
      <c r="A853" s="90"/>
      <c r="C853" s="89"/>
      <c r="F853" s="90"/>
      <c r="I853" s="90"/>
      <c r="J853" s="90"/>
      <c r="L853" s="90"/>
    </row>
    <row r="854" spans="1:12">
      <c r="A854" s="90"/>
      <c r="C854" s="89"/>
      <c r="F854" s="90"/>
      <c r="I854" s="90"/>
      <c r="J854" s="90"/>
      <c r="L854" s="90"/>
    </row>
    <row r="855" spans="1:12">
      <c r="A855" s="90"/>
      <c r="C855" s="89"/>
      <c r="F855" s="90"/>
      <c r="I855" s="90"/>
      <c r="J855" s="90"/>
      <c r="L855" s="90"/>
    </row>
    <row r="856" spans="1:12">
      <c r="A856" s="90"/>
      <c r="C856" s="89"/>
      <c r="F856" s="90"/>
      <c r="I856" s="90"/>
      <c r="J856" s="90"/>
      <c r="L856" s="90"/>
    </row>
    <row r="857" spans="1:12">
      <c r="A857" s="90"/>
      <c r="C857" s="89"/>
      <c r="F857" s="90"/>
      <c r="I857" s="90"/>
      <c r="J857" s="90"/>
      <c r="L857" s="90"/>
    </row>
    <row r="858" spans="1:12">
      <c r="A858" s="90"/>
      <c r="C858" s="89"/>
      <c r="F858" s="90"/>
      <c r="I858" s="90"/>
      <c r="J858" s="90"/>
      <c r="L858" s="90"/>
    </row>
    <row r="859" spans="1:12">
      <c r="A859" s="90"/>
      <c r="C859" s="89"/>
      <c r="F859" s="90"/>
      <c r="I859" s="90"/>
      <c r="J859" s="90"/>
      <c r="L859" s="90"/>
    </row>
    <row r="860" spans="1:12">
      <c r="A860" s="90"/>
      <c r="C860" s="89"/>
      <c r="F860" s="90"/>
      <c r="I860" s="90"/>
      <c r="J860" s="90"/>
      <c r="L860" s="90"/>
    </row>
    <row r="861" spans="1:12">
      <c r="A861" s="90"/>
      <c r="C861" s="89"/>
      <c r="F861" s="90"/>
      <c r="I861" s="90"/>
      <c r="J861" s="90"/>
      <c r="L861" s="90"/>
    </row>
    <row r="862" spans="1:12">
      <c r="A862" s="90"/>
      <c r="C862" s="89"/>
      <c r="F862" s="90"/>
      <c r="I862" s="90"/>
      <c r="J862" s="90"/>
      <c r="L862" s="90"/>
    </row>
    <row r="863" spans="1:12">
      <c r="A863" s="90"/>
      <c r="C863" s="89"/>
      <c r="F863" s="90"/>
      <c r="I863" s="90"/>
      <c r="J863" s="90"/>
      <c r="L863" s="90"/>
    </row>
    <row r="864" spans="1:12">
      <c r="A864" s="90"/>
      <c r="C864" s="89"/>
      <c r="F864" s="90"/>
      <c r="I864" s="90"/>
      <c r="J864" s="90"/>
      <c r="L864" s="90"/>
    </row>
    <row r="865" spans="1:12">
      <c r="A865" s="90"/>
      <c r="C865" s="89"/>
      <c r="F865" s="90"/>
      <c r="I865" s="90"/>
      <c r="J865" s="90"/>
      <c r="L865" s="90"/>
    </row>
    <row r="866" spans="1:12">
      <c r="A866" s="90"/>
      <c r="C866" s="89"/>
      <c r="F866" s="90"/>
      <c r="I866" s="90"/>
      <c r="J866" s="90"/>
      <c r="L866" s="90"/>
    </row>
    <row r="867" spans="1:12">
      <c r="A867" s="90"/>
      <c r="C867" s="89"/>
      <c r="F867" s="90"/>
      <c r="I867" s="90"/>
      <c r="J867" s="90"/>
      <c r="L867" s="90"/>
    </row>
    <row r="868" spans="1:12">
      <c r="A868" s="90"/>
      <c r="C868" s="89"/>
      <c r="F868" s="90"/>
      <c r="I868" s="90"/>
      <c r="J868" s="90"/>
      <c r="L868" s="90"/>
    </row>
    <row r="869" spans="1:12">
      <c r="A869" s="90"/>
      <c r="C869" s="89"/>
      <c r="F869" s="90"/>
      <c r="I869" s="90"/>
      <c r="J869" s="90"/>
      <c r="L869" s="90"/>
    </row>
    <row r="870" spans="1:12">
      <c r="A870" s="90"/>
      <c r="C870" s="89"/>
      <c r="F870" s="90"/>
      <c r="I870" s="90"/>
      <c r="J870" s="90"/>
      <c r="L870" s="90"/>
    </row>
    <row r="871" spans="1:12">
      <c r="A871" s="90"/>
      <c r="C871" s="89"/>
      <c r="F871" s="90"/>
      <c r="I871" s="90"/>
      <c r="J871" s="90"/>
      <c r="L871" s="90"/>
    </row>
    <row r="872" spans="1:12">
      <c r="A872" s="90"/>
      <c r="C872" s="89"/>
      <c r="F872" s="90"/>
      <c r="I872" s="90"/>
      <c r="J872" s="90"/>
      <c r="L872" s="90"/>
    </row>
    <row r="873" spans="1:12">
      <c r="A873" s="90"/>
      <c r="C873" s="89"/>
      <c r="F873" s="90"/>
      <c r="I873" s="90"/>
      <c r="J873" s="90"/>
      <c r="L873" s="90"/>
    </row>
    <row r="874" spans="1:12">
      <c r="A874" s="90"/>
      <c r="C874" s="89"/>
      <c r="F874" s="90"/>
      <c r="I874" s="90"/>
      <c r="J874" s="90"/>
      <c r="L874" s="90"/>
    </row>
    <row r="875" spans="1:12">
      <c r="A875" s="90"/>
      <c r="C875" s="89"/>
      <c r="F875" s="90"/>
      <c r="I875" s="90"/>
      <c r="J875" s="90"/>
      <c r="L875" s="90"/>
    </row>
    <row r="876" spans="1:12">
      <c r="A876" s="90"/>
      <c r="C876" s="89"/>
      <c r="F876" s="90"/>
      <c r="I876" s="90"/>
      <c r="J876" s="90"/>
      <c r="L876" s="90"/>
    </row>
    <row r="877" spans="1:12">
      <c r="A877" s="90"/>
      <c r="C877" s="89"/>
      <c r="F877" s="90"/>
      <c r="I877" s="90"/>
      <c r="J877" s="90"/>
      <c r="L877" s="90"/>
    </row>
    <row r="878" spans="1:12">
      <c r="A878" s="90"/>
      <c r="C878" s="89"/>
      <c r="F878" s="90"/>
      <c r="I878" s="90"/>
      <c r="J878" s="90"/>
      <c r="L878" s="90"/>
    </row>
    <row r="879" spans="1:12">
      <c r="A879" s="90"/>
      <c r="C879" s="89"/>
      <c r="F879" s="90"/>
      <c r="I879" s="90"/>
      <c r="J879" s="90"/>
      <c r="L879" s="90"/>
    </row>
    <row r="880" spans="1:12">
      <c r="A880" s="90"/>
      <c r="C880" s="89"/>
      <c r="F880" s="90"/>
      <c r="I880" s="90"/>
      <c r="J880" s="90"/>
      <c r="L880" s="90"/>
    </row>
    <row r="881" spans="1:12">
      <c r="A881" s="90"/>
      <c r="C881" s="89"/>
      <c r="F881" s="90"/>
      <c r="I881" s="90"/>
      <c r="J881" s="90"/>
      <c r="L881" s="90"/>
    </row>
    <row r="882" spans="1:12">
      <c r="A882" s="90"/>
      <c r="C882" s="89"/>
      <c r="F882" s="90"/>
      <c r="I882" s="90"/>
      <c r="J882" s="90"/>
      <c r="L882" s="90"/>
    </row>
    <row r="883" spans="1:12">
      <c r="A883" s="90"/>
      <c r="C883" s="89"/>
      <c r="F883" s="90"/>
      <c r="I883" s="90"/>
      <c r="J883" s="90"/>
      <c r="L883" s="90"/>
    </row>
    <row r="884" spans="1:12">
      <c r="A884" s="90"/>
      <c r="C884" s="89"/>
      <c r="F884" s="90"/>
      <c r="I884" s="90"/>
      <c r="J884" s="90"/>
      <c r="L884" s="90"/>
    </row>
    <row r="885" spans="1:12">
      <c r="A885" s="90"/>
      <c r="C885" s="89"/>
      <c r="F885" s="90"/>
      <c r="I885" s="90"/>
      <c r="J885" s="90"/>
      <c r="L885" s="90"/>
    </row>
    <row r="886" spans="1:12">
      <c r="A886" s="90"/>
      <c r="C886" s="89"/>
      <c r="F886" s="90"/>
      <c r="I886" s="90"/>
      <c r="J886" s="90"/>
      <c r="L886" s="90"/>
    </row>
    <row r="887" spans="1:12">
      <c r="A887" s="90"/>
      <c r="C887" s="89"/>
      <c r="F887" s="90"/>
      <c r="I887" s="90"/>
      <c r="J887" s="90"/>
      <c r="L887" s="90"/>
    </row>
    <row r="888" spans="1:12">
      <c r="A888" s="90"/>
      <c r="C888" s="89"/>
      <c r="F888" s="90"/>
      <c r="I888" s="90"/>
      <c r="J888" s="90"/>
      <c r="L888" s="90"/>
    </row>
    <row r="889" spans="1:12">
      <c r="A889" s="90"/>
      <c r="C889" s="89"/>
      <c r="F889" s="90"/>
      <c r="I889" s="90"/>
      <c r="J889" s="90"/>
      <c r="L889" s="90"/>
    </row>
    <row r="890" spans="1:12">
      <c r="A890" s="90"/>
      <c r="C890" s="89"/>
      <c r="F890" s="90"/>
      <c r="I890" s="90"/>
      <c r="J890" s="90"/>
      <c r="L890" s="90"/>
    </row>
    <row r="891" spans="1:12">
      <c r="A891" s="90"/>
      <c r="C891" s="89"/>
      <c r="F891" s="90"/>
      <c r="I891" s="90"/>
      <c r="J891" s="90"/>
      <c r="L891" s="90"/>
    </row>
    <row r="892" spans="1:12">
      <c r="A892" s="90"/>
      <c r="C892" s="89"/>
      <c r="F892" s="90"/>
      <c r="I892" s="90"/>
      <c r="J892" s="90"/>
      <c r="L892" s="90"/>
    </row>
    <row r="893" spans="1:12">
      <c r="A893" s="90"/>
      <c r="C893" s="89"/>
      <c r="F893" s="90"/>
      <c r="I893" s="90"/>
      <c r="J893" s="90"/>
      <c r="L893" s="90"/>
    </row>
    <row r="894" spans="1:12">
      <c r="A894" s="90"/>
      <c r="C894" s="89"/>
      <c r="F894" s="90"/>
      <c r="I894" s="90"/>
      <c r="J894" s="90"/>
      <c r="L894" s="90"/>
    </row>
    <row r="895" spans="1:12">
      <c r="A895" s="90"/>
      <c r="C895" s="89"/>
      <c r="F895" s="90"/>
      <c r="I895" s="90"/>
      <c r="J895" s="90"/>
      <c r="L895" s="90"/>
    </row>
    <row r="896" spans="1:12">
      <c r="A896" s="90"/>
      <c r="C896" s="89"/>
      <c r="F896" s="90"/>
      <c r="I896" s="90"/>
      <c r="J896" s="90"/>
      <c r="L896" s="90"/>
    </row>
    <row r="897" spans="1:12">
      <c r="A897" s="90"/>
      <c r="C897" s="89"/>
      <c r="F897" s="90"/>
      <c r="I897" s="90"/>
      <c r="J897" s="90"/>
      <c r="L897" s="90"/>
    </row>
    <row r="898" spans="1:12">
      <c r="A898" s="90"/>
      <c r="C898" s="89"/>
      <c r="F898" s="90"/>
      <c r="I898" s="90"/>
      <c r="J898" s="90"/>
      <c r="L898" s="90"/>
    </row>
    <row r="899" spans="1:12">
      <c r="A899" s="90"/>
      <c r="C899" s="89"/>
      <c r="F899" s="90"/>
      <c r="I899" s="90"/>
      <c r="J899" s="90"/>
      <c r="L899" s="90"/>
    </row>
    <row r="900" spans="1:12">
      <c r="A900" s="90"/>
      <c r="C900" s="89"/>
      <c r="F900" s="90"/>
      <c r="I900" s="90"/>
      <c r="J900" s="90"/>
      <c r="L900" s="90"/>
    </row>
    <row r="901" spans="1:12">
      <c r="A901" s="90"/>
      <c r="C901" s="89"/>
      <c r="F901" s="90"/>
      <c r="I901" s="90"/>
      <c r="J901" s="90"/>
      <c r="L901" s="90"/>
    </row>
    <row r="902" spans="1:12">
      <c r="A902" s="90"/>
      <c r="C902" s="89"/>
      <c r="F902" s="90"/>
      <c r="I902" s="90"/>
      <c r="J902" s="90"/>
      <c r="L902" s="90"/>
    </row>
    <row r="903" spans="1:12">
      <c r="A903" s="90"/>
      <c r="C903" s="89"/>
      <c r="F903" s="90"/>
      <c r="I903" s="90"/>
      <c r="J903" s="90"/>
      <c r="L903" s="90"/>
    </row>
    <row r="904" spans="1:12">
      <c r="A904" s="90"/>
      <c r="C904" s="89"/>
      <c r="F904" s="90"/>
      <c r="I904" s="90"/>
      <c r="J904" s="90"/>
      <c r="L904" s="90"/>
    </row>
    <row r="905" spans="1:12">
      <c r="A905" s="90"/>
      <c r="C905" s="89"/>
      <c r="F905" s="90"/>
      <c r="I905" s="90"/>
      <c r="J905" s="90"/>
      <c r="L905" s="90"/>
    </row>
    <row r="906" spans="1:12">
      <c r="A906" s="90"/>
      <c r="C906" s="89"/>
      <c r="F906" s="90"/>
      <c r="I906" s="90"/>
      <c r="J906" s="90"/>
      <c r="L906" s="90"/>
    </row>
    <row r="907" spans="1:12">
      <c r="A907" s="90"/>
      <c r="C907" s="89"/>
      <c r="F907" s="90"/>
      <c r="I907" s="90"/>
      <c r="J907" s="90"/>
      <c r="L907" s="90"/>
    </row>
    <row r="908" spans="1:12">
      <c r="A908" s="90"/>
      <c r="C908" s="89"/>
      <c r="F908" s="90"/>
      <c r="I908" s="90"/>
      <c r="J908" s="90"/>
      <c r="L908" s="90"/>
    </row>
    <row r="909" spans="1:12">
      <c r="A909" s="90"/>
      <c r="C909" s="89"/>
      <c r="F909" s="90"/>
      <c r="I909" s="90"/>
      <c r="J909" s="90"/>
      <c r="L909" s="90"/>
    </row>
    <row r="910" spans="1:12">
      <c r="A910" s="90"/>
      <c r="C910" s="89"/>
      <c r="F910" s="90"/>
      <c r="I910" s="90"/>
      <c r="J910" s="90"/>
      <c r="L910" s="90"/>
    </row>
    <row r="911" spans="1:12">
      <c r="A911" s="90"/>
      <c r="C911" s="89"/>
      <c r="F911" s="90"/>
      <c r="I911" s="90"/>
      <c r="J911" s="90"/>
      <c r="L911" s="90"/>
    </row>
    <row r="912" spans="1:12">
      <c r="A912" s="90"/>
      <c r="C912" s="89"/>
      <c r="F912" s="90"/>
      <c r="I912" s="90"/>
      <c r="J912" s="90"/>
      <c r="L912" s="90"/>
    </row>
    <row r="913" spans="1:12">
      <c r="A913" s="90"/>
      <c r="C913" s="89"/>
      <c r="F913" s="90"/>
      <c r="I913" s="90"/>
      <c r="J913" s="90"/>
      <c r="L913" s="90"/>
    </row>
    <row r="914" spans="1:12">
      <c r="A914" s="90"/>
      <c r="C914" s="89"/>
      <c r="F914" s="90"/>
      <c r="I914" s="90"/>
      <c r="J914" s="90"/>
      <c r="L914" s="90"/>
    </row>
    <row r="915" spans="1:12">
      <c r="A915" s="90"/>
      <c r="C915" s="89"/>
      <c r="F915" s="90"/>
      <c r="I915" s="90"/>
      <c r="J915" s="90"/>
      <c r="L915" s="90"/>
    </row>
    <row r="916" spans="1:12">
      <c r="A916" s="90"/>
      <c r="C916" s="89"/>
      <c r="F916" s="90"/>
      <c r="I916" s="90"/>
      <c r="J916" s="90"/>
      <c r="L916" s="90"/>
    </row>
    <row r="917" spans="1:12">
      <c r="A917" s="90"/>
      <c r="C917" s="89"/>
      <c r="F917" s="90"/>
      <c r="I917" s="90"/>
      <c r="J917" s="90"/>
      <c r="L917" s="90"/>
    </row>
    <row r="918" spans="1:12">
      <c r="A918" s="90"/>
      <c r="C918" s="89"/>
      <c r="F918" s="90"/>
      <c r="I918" s="90"/>
      <c r="J918" s="90"/>
      <c r="L918" s="90"/>
    </row>
    <row r="919" spans="1:12">
      <c r="A919" s="90"/>
      <c r="C919" s="89"/>
      <c r="F919" s="90"/>
      <c r="I919" s="90"/>
      <c r="J919" s="90"/>
      <c r="L919" s="90"/>
    </row>
    <row r="920" spans="1:12">
      <c r="A920" s="90"/>
      <c r="C920" s="89"/>
      <c r="F920" s="90"/>
      <c r="I920" s="90"/>
      <c r="J920" s="90"/>
      <c r="L920" s="90"/>
    </row>
    <row r="921" spans="1:12">
      <c r="A921" s="90"/>
      <c r="C921" s="89"/>
      <c r="F921" s="90"/>
      <c r="I921" s="90"/>
      <c r="J921" s="90"/>
      <c r="L921" s="90"/>
    </row>
    <row r="922" spans="1:12">
      <c r="A922" s="90"/>
      <c r="C922" s="89"/>
      <c r="F922" s="90"/>
      <c r="I922" s="90"/>
      <c r="J922" s="90"/>
      <c r="L922" s="90"/>
    </row>
    <row r="923" spans="1:12">
      <c r="A923" s="90"/>
      <c r="C923" s="89"/>
      <c r="F923" s="90"/>
      <c r="I923" s="90"/>
      <c r="J923" s="90"/>
      <c r="L923" s="90"/>
    </row>
    <row r="924" spans="1:12">
      <c r="A924" s="90"/>
      <c r="C924" s="89"/>
      <c r="F924" s="90"/>
      <c r="I924" s="90"/>
      <c r="J924" s="90"/>
      <c r="L924" s="90"/>
    </row>
    <row r="925" spans="1:12">
      <c r="A925" s="90"/>
      <c r="C925" s="89"/>
      <c r="F925" s="90"/>
      <c r="I925" s="90"/>
      <c r="J925" s="90"/>
      <c r="L925" s="90"/>
    </row>
    <row r="926" spans="1:12">
      <c r="A926" s="90"/>
      <c r="C926" s="89"/>
      <c r="F926" s="90"/>
      <c r="I926" s="90"/>
      <c r="J926" s="90"/>
      <c r="L926" s="90"/>
    </row>
    <row r="927" spans="1:12">
      <c r="A927" s="90"/>
      <c r="C927" s="89"/>
      <c r="F927" s="90"/>
      <c r="I927" s="90"/>
      <c r="J927" s="90"/>
      <c r="L927" s="90"/>
    </row>
    <row r="928" spans="1:12">
      <c r="A928" s="90"/>
      <c r="C928" s="89"/>
      <c r="F928" s="90"/>
      <c r="I928" s="90"/>
      <c r="J928" s="90"/>
      <c r="L928" s="90"/>
    </row>
    <row r="929" spans="1:12">
      <c r="A929" s="90"/>
      <c r="C929" s="89"/>
      <c r="F929" s="90"/>
      <c r="I929" s="90"/>
      <c r="J929" s="90"/>
      <c r="L929" s="90"/>
    </row>
    <row r="930" spans="1:12">
      <c r="A930" s="90"/>
      <c r="C930" s="89"/>
      <c r="F930" s="90"/>
      <c r="I930" s="90"/>
      <c r="J930" s="90"/>
      <c r="L930" s="90"/>
    </row>
    <row r="931" spans="1:12">
      <c r="A931" s="90"/>
      <c r="C931" s="89"/>
      <c r="F931" s="90"/>
      <c r="I931" s="90"/>
      <c r="J931" s="90"/>
      <c r="L931" s="90"/>
    </row>
    <row r="932" spans="1:12">
      <c r="A932" s="90"/>
      <c r="C932" s="89"/>
      <c r="F932" s="90"/>
      <c r="I932" s="90"/>
      <c r="J932" s="90"/>
      <c r="L932" s="90"/>
    </row>
    <row r="933" spans="1:12">
      <c r="A933" s="90"/>
      <c r="C933" s="89"/>
      <c r="F933" s="90"/>
      <c r="I933" s="90"/>
      <c r="J933" s="90"/>
      <c r="L933" s="90"/>
    </row>
    <row r="934" spans="1:12">
      <c r="A934" s="90"/>
      <c r="C934" s="89"/>
      <c r="F934" s="90"/>
      <c r="I934" s="90"/>
      <c r="J934" s="90"/>
      <c r="L934" s="90"/>
    </row>
    <row r="935" spans="1:12">
      <c r="A935" s="90"/>
      <c r="C935" s="89"/>
      <c r="F935" s="90"/>
      <c r="I935" s="90"/>
      <c r="J935" s="90"/>
      <c r="L935" s="90"/>
    </row>
    <row r="936" spans="1:12">
      <c r="A936" s="90"/>
      <c r="C936" s="89"/>
      <c r="F936" s="90"/>
      <c r="I936" s="90"/>
      <c r="J936" s="90"/>
      <c r="L936" s="90"/>
    </row>
    <row r="937" spans="1:12">
      <c r="A937" s="90"/>
      <c r="C937" s="89"/>
      <c r="F937" s="90"/>
      <c r="I937" s="90"/>
      <c r="J937" s="90"/>
      <c r="L937" s="90"/>
    </row>
    <row r="938" spans="1:12">
      <c r="A938" s="90"/>
      <c r="C938" s="89"/>
      <c r="F938" s="90"/>
      <c r="I938" s="90"/>
      <c r="J938" s="90"/>
      <c r="L938" s="90"/>
    </row>
    <row r="939" spans="1:12">
      <c r="A939" s="90"/>
      <c r="C939" s="89"/>
      <c r="F939" s="90"/>
      <c r="I939" s="90"/>
      <c r="J939" s="90"/>
      <c r="L939" s="90"/>
    </row>
    <row r="940" spans="1:12">
      <c r="A940" s="90"/>
      <c r="C940" s="89"/>
      <c r="F940" s="90"/>
      <c r="I940" s="90"/>
      <c r="J940" s="90"/>
      <c r="L940" s="90"/>
    </row>
    <row r="941" spans="1:12">
      <c r="A941" s="90"/>
      <c r="C941" s="89"/>
      <c r="F941" s="90"/>
      <c r="I941" s="90"/>
      <c r="J941" s="90"/>
      <c r="L941" s="90"/>
    </row>
    <row r="942" spans="1:12">
      <c r="A942" s="90"/>
      <c r="C942" s="89"/>
      <c r="F942" s="90"/>
      <c r="I942" s="90"/>
      <c r="J942" s="90"/>
      <c r="L942" s="90"/>
    </row>
    <row r="943" spans="1:12">
      <c r="A943" s="90"/>
      <c r="C943" s="89"/>
      <c r="F943" s="90"/>
      <c r="I943" s="90"/>
      <c r="J943" s="90"/>
      <c r="L943" s="90"/>
    </row>
    <row r="944" spans="1:12">
      <c r="A944" s="90"/>
      <c r="C944" s="89"/>
      <c r="F944" s="90"/>
      <c r="I944" s="90"/>
      <c r="J944" s="90"/>
      <c r="L944" s="90"/>
    </row>
    <row r="945" spans="1:12">
      <c r="A945" s="90"/>
      <c r="C945" s="89"/>
      <c r="F945" s="90"/>
      <c r="I945" s="90"/>
      <c r="J945" s="90"/>
      <c r="L945" s="90"/>
    </row>
    <row r="946" spans="1:12">
      <c r="A946" s="90"/>
      <c r="C946" s="89"/>
      <c r="F946" s="90"/>
      <c r="I946" s="90"/>
      <c r="J946" s="90"/>
      <c r="L946" s="90"/>
    </row>
    <row r="947" spans="1:12">
      <c r="A947" s="90"/>
      <c r="C947" s="89"/>
      <c r="F947" s="90"/>
      <c r="I947" s="90"/>
      <c r="J947" s="90"/>
      <c r="L947" s="90"/>
    </row>
    <row r="948" spans="1:12">
      <c r="A948" s="90"/>
      <c r="C948" s="89"/>
      <c r="F948" s="90"/>
      <c r="I948" s="90"/>
      <c r="J948" s="90"/>
      <c r="L948" s="90"/>
    </row>
    <row r="949" spans="1:12">
      <c r="A949" s="90"/>
      <c r="C949" s="89"/>
      <c r="F949" s="90"/>
      <c r="I949" s="90"/>
      <c r="J949" s="90"/>
      <c r="L949" s="90"/>
    </row>
    <row r="950" spans="1:12">
      <c r="A950" s="90"/>
      <c r="C950" s="89"/>
      <c r="F950" s="90"/>
      <c r="I950" s="90"/>
      <c r="J950" s="90"/>
      <c r="L950" s="90"/>
    </row>
    <row r="951" spans="1:12">
      <c r="A951" s="90"/>
      <c r="C951" s="89"/>
      <c r="F951" s="90"/>
      <c r="I951" s="90"/>
      <c r="J951" s="90"/>
      <c r="L951" s="90"/>
    </row>
    <row r="952" spans="1:12">
      <c r="A952" s="90"/>
      <c r="C952" s="89"/>
      <c r="F952" s="90"/>
      <c r="I952" s="90"/>
      <c r="J952" s="90"/>
      <c r="L952" s="90"/>
    </row>
    <row r="953" spans="1:12">
      <c r="A953" s="90"/>
      <c r="C953" s="89"/>
      <c r="F953" s="90"/>
      <c r="I953" s="90"/>
      <c r="J953" s="90"/>
      <c r="L953" s="90"/>
    </row>
    <row r="954" spans="1:12">
      <c r="A954" s="90"/>
      <c r="C954" s="89"/>
      <c r="F954" s="90"/>
      <c r="I954" s="90"/>
      <c r="J954" s="90"/>
      <c r="L954" s="90"/>
    </row>
    <row r="955" spans="1:12">
      <c r="A955" s="90"/>
      <c r="C955" s="89"/>
      <c r="F955" s="90"/>
      <c r="I955" s="90"/>
      <c r="J955" s="90"/>
      <c r="L955" s="90"/>
    </row>
    <row r="956" spans="1:12">
      <c r="A956" s="90"/>
      <c r="C956" s="89"/>
      <c r="F956" s="90"/>
      <c r="I956" s="90"/>
      <c r="J956" s="90"/>
      <c r="L956" s="90"/>
    </row>
    <row r="957" spans="1:12">
      <c r="A957" s="90"/>
      <c r="C957" s="89"/>
      <c r="F957" s="90"/>
      <c r="I957" s="90"/>
      <c r="J957" s="90"/>
      <c r="L957" s="90"/>
    </row>
    <row r="958" spans="1:12">
      <c r="A958" s="90"/>
      <c r="C958" s="89"/>
      <c r="F958" s="90"/>
      <c r="I958" s="90"/>
      <c r="J958" s="90"/>
      <c r="L958" s="90"/>
    </row>
    <row r="959" spans="1:12">
      <c r="A959" s="90"/>
      <c r="C959" s="89"/>
      <c r="F959" s="90"/>
      <c r="I959" s="90"/>
      <c r="J959" s="90"/>
      <c r="L959" s="90"/>
    </row>
    <row r="960" spans="1:12">
      <c r="A960" s="90"/>
      <c r="C960" s="89"/>
      <c r="F960" s="90"/>
      <c r="I960" s="90"/>
      <c r="J960" s="90"/>
      <c r="L960" s="90"/>
    </row>
    <row r="961" spans="1:12">
      <c r="A961" s="90"/>
      <c r="C961" s="89"/>
      <c r="F961" s="90"/>
      <c r="I961" s="90"/>
      <c r="J961" s="90"/>
      <c r="L961" s="90"/>
    </row>
    <row r="962" spans="1:12">
      <c r="A962" s="90"/>
      <c r="C962" s="89"/>
      <c r="F962" s="90"/>
      <c r="I962" s="90"/>
      <c r="J962" s="90"/>
      <c r="L962" s="90"/>
    </row>
    <row r="963" spans="1:12">
      <c r="A963" s="90"/>
      <c r="C963" s="89"/>
      <c r="F963" s="90"/>
      <c r="I963" s="90"/>
      <c r="J963" s="90"/>
      <c r="L963" s="90"/>
    </row>
    <row r="964" spans="1:12">
      <c r="A964" s="90"/>
      <c r="C964" s="89"/>
      <c r="F964" s="90"/>
      <c r="I964" s="90"/>
      <c r="J964" s="90"/>
      <c r="L964" s="90"/>
    </row>
    <row r="965" spans="1:12">
      <c r="A965" s="90"/>
      <c r="C965" s="89"/>
      <c r="F965" s="90"/>
      <c r="I965" s="90"/>
      <c r="J965" s="90"/>
      <c r="L965" s="90"/>
    </row>
    <row r="966" spans="1:12">
      <c r="A966" s="90"/>
      <c r="C966" s="89"/>
      <c r="F966" s="90"/>
      <c r="I966" s="90"/>
      <c r="J966" s="90"/>
      <c r="L966" s="90"/>
    </row>
    <row r="967" spans="1:12">
      <c r="A967" s="90"/>
      <c r="C967" s="89"/>
      <c r="F967" s="90"/>
      <c r="I967" s="90"/>
      <c r="J967" s="90"/>
      <c r="L967" s="90"/>
    </row>
    <row r="968" spans="1:12">
      <c r="A968" s="90"/>
      <c r="C968" s="89"/>
      <c r="F968" s="90"/>
      <c r="I968" s="90"/>
      <c r="J968" s="90"/>
      <c r="L968" s="90"/>
    </row>
    <row r="969" spans="1:12">
      <c r="A969" s="90"/>
      <c r="C969" s="89"/>
      <c r="F969" s="90"/>
      <c r="I969" s="90"/>
      <c r="J969" s="90"/>
      <c r="L969" s="90"/>
    </row>
    <row r="970" spans="1:12">
      <c r="A970" s="90"/>
      <c r="C970" s="89"/>
      <c r="F970" s="90"/>
      <c r="I970" s="90"/>
      <c r="J970" s="90"/>
      <c r="L970" s="90"/>
    </row>
    <row r="971" spans="1:12">
      <c r="A971" s="90"/>
      <c r="C971" s="89"/>
      <c r="F971" s="90"/>
      <c r="I971" s="90"/>
      <c r="J971" s="90"/>
      <c r="L971" s="90"/>
    </row>
    <row r="972" spans="1:12">
      <c r="A972" s="90"/>
      <c r="C972" s="89"/>
      <c r="F972" s="90"/>
      <c r="I972" s="90"/>
      <c r="J972" s="90"/>
      <c r="L972" s="90"/>
    </row>
    <row r="973" spans="1:12">
      <c r="A973" s="90"/>
      <c r="C973" s="89"/>
      <c r="F973" s="90"/>
      <c r="I973" s="90"/>
      <c r="J973" s="90"/>
      <c r="L973" s="90"/>
    </row>
    <row r="974" spans="1:12">
      <c r="A974" s="90"/>
      <c r="C974" s="89"/>
      <c r="F974" s="90"/>
      <c r="I974" s="90"/>
      <c r="J974" s="90"/>
      <c r="L974" s="90"/>
    </row>
    <row r="975" spans="1:12">
      <c r="A975" s="90"/>
      <c r="C975" s="89"/>
      <c r="F975" s="90"/>
      <c r="I975" s="90"/>
      <c r="J975" s="90"/>
      <c r="L975" s="90"/>
    </row>
    <row r="976" spans="1:12">
      <c r="A976" s="90"/>
      <c r="C976" s="89"/>
      <c r="F976" s="90"/>
      <c r="I976" s="90"/>
      <c r="J976" s="90"/>
      <c r="L976" s="90"/>
    </row>
    <row r="977" spans="1:12">
      <c r="A977" s="90"/>
      <c r="C977" s="89"/>
      <c r="F977" s="90"/>
      <c r="I977" s="90"/>
      <c r="J977" s="90"/>
      <c r="L977" s="90"/>
    </row>
    <row r="978" spans="1:12">
      <c r="A978" s="90"/>
      <c r="C978" s="89"/>
      <c r="F978" s="90"/>
      <c r="I978" s="90"/>
      <c r="J978" s="90"/>
      <c r="L978" s="90"/>
    </row>
    <row r="979" spans="1:12">
      <c r="A979" s="90"/>
      <c r="C979" s="89"/>
      <c r="F979" s="90"/>
      <c r="I979" s="90"/>
      <c r="J979" s="90"/>
      <c r="L979" s="90"/>
    </row>
    <row r="980" spans="1:12">
      <c r="A980" s="90"/>
      <c r="C980" s="89"/>
      <c r="F980" s="90"/>
      <c r="I980" s="90"/>
      <c r="J980" s="90"/>
      <c r="L980" s="90"/>
    </row>
    <row r="981" spans="1:12">
      <c r="A981" s="90"/>
      <c r="C981" s="89"/>
      <c r="F981" s="90"/>
      <c r="I981" s="90"/>
      <c r="J981" s="90"/>
      <c r="L981" s="90"/>
    </row>
    <row r="982" spans="1:12">
      <c r="A982" s="90"/>
      <c r="C982" s="89"/>
      <c r="F982" s="90"/>
      <c r="I982" s="90"/>
      <c r="J982" s="90"/>
      <c r="L982" s="90"/>
    </row>
    <row r="983" spans="1:12">
      <c r="A983" s="90"/>
      <c r="C983" s="89"/>
      <c r="F983" s="90"/>
      <c r="I983" s="90"/>
      <c r="J983" s="90"/>
      <c r="L983" s="90"/>
    </row>
    <row r="984" spans="1:12">
      <c r="A984" s="90"/>
      <c r="C984" s="89"/>
      <c r="F984" s="90"/>
      <c r="I984" s="90"/>
      <c r="J984" s="90"/>
      <c r="L984" s="90"/>
    </row>
    <row r="985" spans="1:12">
      <c r="A985" s="90"/>
      <c r="C985" s="89"/>
      <c r="F985" s="90"/>
      <c r="I985" s="90"/>
      <c r="J985" s="90"/>
      <c r="L985" s="90"/>
    </row>
    <row r="986" spans="1:12">
      <c r="A986" s="90"/>
      <c r="C986" s="89"/>
      <c r="F986" s="90"/>
      <c r="I986" s="90"/>
      <c r="J986" s="90"/>
      <c r="L986" s="90"/>
    </row>
    <row r="987" spans="1:12">
      <c r="A987" s="90"/>
      <c r="C987" s="89"/>
      <c r="F987" s="90"/>
      <c r="I987" s="90"/>
      <c r="J987" s="90"/>
      <c r="L987" s="90"/>
    </row>
    <row r="988" spans="1:12">
      <c r="A988" s="90"/>
      <c r="C988" s="89"/>
      <c r="F988" s="90"/>
      <c r="I988" s="90"/>
      <c r="J988" s="90"/>
      <c r="L988" s="90"/>
    </row>
    <row r="989" spans="1:12">
      <c r="A989" s="90"/>
      <c r="C989" s="89"/>
      <c r="F989" s="90"/>
      <c r="I989" s="90"/>
      <c r="J989" s="90"/>
      <c r="L989" s="90"/>
    </row>
    <row r="990" spans="1:12">
      <c r="A990" s="90"/>
      <c r="C990" s="89"/>
      <c r="F990" s="90"/>
      <c r="I990" s="90"/>
      <c r="J990" s="90"/>
      <c r="L990" s="90"/>
    </row>
    <row r="991" spans="1:12">
      <c r="A991" s="90"/>
      <c r="C991" s="89"/>
      <c r="F991" s="90"/>
      <c r="I991" s="90"/>
      <c r="J991" s="90"/>
      <c r="L991" s="90"/>
    </row>
    <row r="992" spans="1:12">
      <c r="A992" s="90"/>
      <c r="C992" s="89"/>
      <c r="F992" s="90"/>
      <c r="I992" s="90"/>
      <c r="J992" s="90"/>
      <c r="L992" s="90"/>
    </row>
    <row r="993" spans="1:12">
      <c r="A993" s="90"/>
      <c r="C993" s="89"/>
      <c r="F993" s="90"/>
      <c r="I993" s="90"/>
      <c r="J993" s="90"/>
      <c r="L993" s="90"/>
    </row>
    <row r="994" spans="1:12">
      <c r="A994" s="90"/>
      <c r="C994" s="89"/>
      <c r="F994" s="90"/>
      <c r="I994" s="90"/>
      <c r="J994" s="90"/>
      <c r="L994" s="90"/>
    </row>
    <row r="995" spans="1:12">
      <c r="A995" s="90"/>
      <c r="C995" s="89"/>
      <c r="F995" s="90"/>
      <c r="I995" s="90"/>
      <c r="J995" s="90"/>
      <c r="L995" s="90"/>
    </row>
    <row r="996" spans="1:12">
      <c r="A996" s="90"/>
      <c r="C996" s="89"/>
      <c r="F996" s="90"/>
      <c r="I996" s="90"/>
      <c r="J996" s="90"/>
      <c r="L996" s="90"/>
    </row>
    <row r="997" spans="1:12">
      <c r="A997" s="90"/>
      <c r="C997" s="89"/>
      <c r="F997" s="90"/>
      <c r="I997" s="90"/>
      <c r="J997" s="90"/>
      <c r="L997" s="90"/>
    </row>
    <row r="998" spans="1:12">
      <c r="A998" s="90"/>
      <c r="C998" s="89"/>
      <c r="F998" s="90"/>
      <c r="I998" s="90"/>
      <c r="J998" s="90"/>
      <c r="L998" s="90"/>
    </row>
    <row r="999" spans="1:12">
      <c r="A999" s="90"/>
      <c r="C999" s="89"/>
      <c r="F999" s="90"/>
      <c r="I999" s="90"/>
      <c r="J999" s="90"/>
      <c r="L999" s="90"/>
    </row>
    <row r="1000" spans="1:12">
      <c r="A1000" s="90"/>
      <c r="C1000" s="89"/>
      <c r="F1000" s="90"/>
      <c r="I1000" s="90"/>
      <c r="J1000" s="90"/>
      <c r="L1000" s="90"/>
    </row>
    <row r="1001" spans="1:12">
      <c r="A1001" s="90"/>
      <c r="C1001" s="89"/>
      <c r="F1001" s="90"/>
      <c r="I1001" s="90"/>
      <c r="J1001" s="90"/>
      <c r="L1001" s="90"/>
    </row>
    <row r="1002" spans="1:12">
      <c r="A1002" s="90"/>
      <c r="C1002" s="89"/>
      <c r="F1002" s="90"/>
      <c r="I1002" s="90"/>
      <c r="J1002" s="90"/>
      <c r="L1002" s="90"/>
    </row>
    <row r="1003" spans="1:12">
      <c r="A1003" s="90"/>
      <c r="C1003" s="89"/>
      <c r="F1003" s="90"/>
      <c r="I1003" s="90"/>
      <c r="J1003" s="90"/>
      <c r="L1003" s="90"/>
    </row>
    <row r="1004" spans="1:12">
      <c r="A1004" s="90"/>
      <c r="C1004" s="89"/>
      <c r="F1004" s="90"/>
      <c r="I1004" s="90"/>
      <c r="J1004" s="90"/>
      <c r="L1004" s="90"/>
    </row>
    <row r="1005" spans="1:12">
      <c r="A1005" s="90"/>
      <c r="C1005" s="89"/>
      <c r="F1005" s="90"/>
      <c r="I1005" s="90"/>
      <c r="J1005" s="90"/>
      <c r="L1005" s="90"/>
    </row>
    <row r="1006" spans="1:12">
      <c r="A1006" s="90"/>
      <c r="C1006" s="89"/>
      <c r="F1006" s="90"/>
      <c r="I1006" s="90"/>
      <c r="J1006" s="90"/>
      <c r="L1006" s="90"/>
    </row>
    <row r="1007" spans="1:12">
      <c r="A1007" s="90"/>
      <c r="C1007" s="89"/>
      <c r="F1007" s="90"/>
      <c r="I1007" s="90"/>
      <c r="J1007" s="90"/>
      <c r="L1007" s="90"/>
    </row>
    <row r="1008" spans="1:12">
      <c r="A1008" s="90"/>
      <c r="C1008" s="89"/>
      <c r="F1008" s="90"/>
      <c r="I1008" s="90"/>
      <c r="J1008" s="90"/>
      <c r="L1008" s="90"/>
    </row>
    <row r="1009" spans="1:12">
      <c r="A1009" s="90"/>
      <c r="C1009" s="89"/>
      <c r="F1009" s="90"/>
      <c r="I1009" s="90"/>
      <c r="J1009" s="90"/>
      <c r="L1009" s="90"/>
    </row>
    <row r="1010" spans="1:12">
      <c r="A1010" s="90"/>
      <c r="C1010" s="89"/>
      <c r="F1010" s="90"/>
      <c r="I1010" s="90"/>
      <c r="J1010" s="90"/>
      <c r="L1010" s="90"/>
    </row>
  </sheetData>
  <mergeCells count="1">
    <mergeCell ref="A320:E320"/>
  </mergeCells>
  <conditionalFormatting sqref="F756">
    <cfRule type="containsText" dxfId="3847" priority="1" operator="containsText" text="F">
      <formula>NOT(ISERROR(SEARCH(("F"),(F756))))</formula>
    </cfRule>
  </conditionalFormatting>
  <conditionalFormatting sqref="P756 U756 L756">
    <cfRule type="expression" dxfId="3846" priority="2">
      <formula>AND(ISNUMBER(P756),TRUNC(P756)&lt;TODAY())</formula>
    </cfRule>
  </conditionalFormatting>
  <conditionalFormatting sqref="F750">
    <cfRule type="containsText" dxfId="3845" priority="3" operator="containsText" text="F">
      <formula>NOT(ISERROR(SEARCH(("F"),(F750))))</formula>
    </cfRule>
  </conditionalFormatting>
  <conditionalFormatting sqref="F750 G750">
    <cfRule type="containsText" dxfId="3844" priority="4" operator="containsText" text="F">
      <formula>NOT(ISERROR(SEARCH(("F"),(F750))))</formula>
    </cfRule>
  </conditionalFormatting>
  <conditionalFormatting sqref="P750:Q750 T750 L750">
    <cfRule type="expression" dxfId="3843" priority="5">
      <formula>AND(ISNUMBER(P750),TRUNC(P750)&lt;TODAY())</formula>
    </cfRule>
  </conditionalFormatting>
  <conditionalFormatting sqref="O749:Q749">
    <cfRule type="expression" dxfId="3842" priority="6">
      <formula>AND(ISNUMBER(O749),TRUNC(O749)&lt;TODAY())</formula>
    </cfRule>
  </conditionalFormatting>
  <conditionalFormatting sqref="Q748">
    <cfRule type="expression" dxfId="3841" priority="7">
      <formula>AND(ISNUMBER(Q748),TRUNC(Q748)&lt;TODAY())</formula>
    </cfRule>
  </conditionalFormatting>
  <conditionalFormatting sqref="P748">
    <cfRule type="expression" dxfId="3840" priority="8">
      <formula>AND(ISNUMBER(P748),TRUNC(P748)&lt;TODAY())</formula>
    </cfRule>
  </conditionalFormatting>
  <conditionalFormatting sqref="O748">
    <cfRule type="expression" dxfId="3839" priority="9">
      <formula>AND(ISNUMBER(O748),TRUNC(O748)&lt;TODAY())</formula>
    </cfRule>
  </conditionalFormatting>
  <conditionalFormatting sqref="F748">
    <cfRule type="containsText" dxfId="3838" priority="10" operator="containsText" text="F">
      <formula>NOT(ISERROR(SEARCH(("F"),(F748))))</formula>
    </cfRule>
  </conditionalFormatting>
  <conditionalFormatting sqref="F747">
    <cfRule type="containsText" dxfId="3837" priority="11" operator="containsText" text="F">
      <formula>NOT(ISERROR(SEARCH(("F"),(F747))))</formula>
    </cfRule>
  </conditionalFormatting>
  <conditionalFormatting sqref="N747:Q747">
    <cfRule type="expression" dxfId="3836" priority="12">
      <formula>AND(ISNUMBER(N747),TRUNC(N747)&lt;TODAY())</formula>
    </cfRule>
  </conditionalFormatting>
  <conditionalFormatting sqref="O746:Q746">
    <cfRule type="expression" dxfId="3835" priority="13">
      <formula>AND(ISNUMBER(O746),TRUNC(O746)&lt;TODAY())</formula>
    </cfRule>
  </conditionalFormatting>
  <conditionalFormatting sqref="F746">
    <cfRule type="containsText" dxfId="3834" priority="14" operator="containsText" text="F">
      <formula>NOT(ISERROR(SEARCH(("F"),(F746))))</formula>
    </cfRule>
  </conditionalFormatting>
  <conditionalFormatting sqref="F745">
    <cfRule type="containsText" dxfId="3833" priority="15" operator="containsText" text="F">
      <formula>NOT(ISERROR(SEARCH(("F"),(F745))))</formula>
    </cfRule>
  </conditionalFormatting>
  <conditionalFormatting sqref="N745:Q745">
    <cfRule type="expression" dxfId="3832" priority="16">
      <formula>AND(ISNUMBER(N745),TRUNC(N745)&lt;TODAY())</formula>
    </cfRule>
  </conditionalFormatting>
  <conditionalFormatting sqref="O744:Q744">
    <cfRule type="expression" dxfId="3831" priority="17">
      <formula>AND(ISNUMBER(O744),TRUNC(O744)&lt;TODAY())</formula>
    </cfRule>
  </conditionalFormatting>
  <conditionalFormatting sqref="Q744">
    <cfRule type="expression" dxfId="3830" priority="18">
      <formula>AND(ISNUMBER(Q744),TRUNC(Q744)&lt;TODAY())</formula>
    </cfRule>
  </conditionalFormatting>
  <conditionalFormatting sqref="F744">
    <cfRule type="containsText" dxfId="3829" priority="19" operator="containsText" text="F">
      <formula>NOT(ISERROR(SEARCH(("F"),(F744))))</formula>
    </cfRule>
  </conditionalFormatting>
  <conditionalFormatting sqref="Q743">
    <cfRule type="expression" dxfId="3828" priority="20">
      <formula>AND(ISNUMBER(Q743),TRUNC(Q743)&lt;TODAY())</formula>
    </cfRule>
  </conditionalFormatting>
  <conditionalFormatting sqref="P743">
    <cfRule type="expression" dxfId="3827" priority="21">
      <formula>AND(ISNUMBER(P743),TRUNC(P743)&lt;TODAY())</formula>
    </cfRule>
  </conditionalFormatting>
  <conditionalFormatting sqref="O743">
    <cfRule type="expression" dxfId="3826" priority="22">
      <formula>AND(ISNUMBER(O743),TRUNC(O743)&lt;TODAY())</formula>
    </cfRule>
  </conditionalFormatting>
  <conditionalFormatting sqref="V743">
    <cfRule type="notContainsBlanks" dxfId="3825" priority="23">
      <formula>LEN(TRIM(V743))&gt;0</formula>
    </cfRule>
  </conditionalFormatting>
  <conditionalFormatting sqref="F743">
    <cfRule type="containsText" dxfId="3824" priority="24" operator="containsText" text="F">
      <formula>NOT(ISERROR(SEARCH(("F"),(F743))))</formula>
    </cfRule>
  </conditionalFormatting>
  <conditionalFormatting sqref="P736:Q736 AH736">
    <cfRule type="expression" dxfId="3823" priority="25">
      <formula>AND(ISNUMBER(P736),TRUNC(P736)&lt;TODAY())</formula>
    </cfRule>
  </conditionalFormatting>
  <conditionalFormatting sqref="F736">
    <cfRule type="containsText" dxfId="3822" priority="26" operator="containsText" text="F">
      <formula>NOT(ISERROR(SEARCH(("F"),(F736))))</formula>
    </cfRule>
  </conditionalFormatting>
  <conditionalFormatting sqref="F713">
    <cfRule type="containsText" dxfId="3821" priority="27" operator="containsText" text="F">
      <formula>NOT(ISERROR(SEARCH(("F"),(F713))))</formula>
    </cfRule>
  </conditionalFormatting>
  <conditionalFormatting sqref="N713:Q713">
    <cfRule type="expression" dxfId="3820" priority="28">
      <formula>AND(ISNUMBER(N713),TRUNC(N713)&lt;TODAY())</formula>
    </cfRule>
  </conditionalFormatting>
  <conditionalFormatting sqref="F732">
    <cfRule type="containsText" dxfId="3819" priority="29" operator="containsText" text="F">
      <formula>NOT(ISERROR(SEARCH(("F"),(F732))))</formula>
    </cfRule>
  </conditionalFormatting>
  <conditionalFormatting sqref="O732:Q732">
    <cfRule type="expression" dxfId="3818" priority="30">
      <formula>AND(ISNUMBER(O732),TRUNC(O732)&lt;TODAY())</formula>
    </cfRule>
  </conditionalFormatting>
  <conditionalFormatting sqref="P731:Q731 AH731 L731">
    <cfRule type="expression" dxfId="3817" priority="31">
      <formula>AND(ISNUMBER(P731),TRUNC(P731)&lt;TODAY())</formula>
    </cfRule>
  </conditionalFormatting>
  <conditionalFormatting sqref="F731">
    <cfRule type="containsText" dxfId="3816" priority="32" operator="containsText" text="F">
      <formula>NOT(ISERROR(SEARCH(("F"),(F731))))</formula>
    </cfRule>
  </conditionalFormatting>
  <conditionalFormatting sqref="O726:Q726">
    <cfRule type="expression" dxfId="3815" priority="33">
      <formula>AND(ISNUMBER(O726),TRUNC(O726)&lt;TODAY())</formula>
    </cfRule>
  </conditionalFormatting>
  <conditionalFormatting sqref="F726">
    <cfRule type="containsText" dxfId="3814" priority="34" operator="containsText" text="F">
      <formula>NOT(ISERROR(SEARCH(("F"),(F726))))</formula>
    </cfRule>
  </conditionalFormatting>
  <conditionalFormatting sqref="O725:Q725">
    <cfRule type="expression" dxfId="3813" priority="35">
      <formula>AND(ISNUMBER(O725),TRUNC(O725)&lt;TODAY())</formula>
    </cfRule>
  </conditionalFormatting>
  <conditionalFormatting sqref="O723:Q723">
    <cfRule type="expression" dxfId="3812" priority="36">
      <formula>AND(ISNUMBER(O723),TRUNC(O723)&lt;TODAY())</formula>
    </cfRule>
  </conditionalFormatting>
  <conditionalFormatting sqref="P722">
    <cfRule type="expression" dxfId="3811" priority="37">
      <formula>AND(ISNUMBER(P722),TRUNC(P722)&lt;TODAY())</formula>
    </cfRule>
  </conditionalFormatting>
  <conditionalFormatting sqref="P722">
    <cfRule type="expression" dxfId="3810" priority="38">
      <formula>AND(ISNUMBER(P722),TRUNC(P722)&lt;TODAY())</formula>
    </cfRule>
  </conditionalFormatting>
  <conditionalFormatting sqref="O722">
    <cfRule type="expression" dxfId="3809" priority="39">
      <formula>AND(ISNUMBER(O722),TRUNC(O722)&lt;TODAY())</formula>
    </cfRule>
  </conditionalFormatting>
  <conditionalFormatting sqref="Q722">
    <cfRule type="expression" dxfId="3808" priority="40">
      <formula>AND(ISNUMBER(Q722),TRUNC(Q722)&lt;TODAY())</formula>
    </cfRule>
  </conditionalFormatting>
  <conditionalFormatting sqref="Q721">
    <cfRule type="expression" dxfId="3807" priority="41">
      <formula>AND(ISNUMBER(Q721),TRUNC(Q721)&lt;TODAY())</formula>
    </cfRule>
  </conditionalFormatting>
  <conditionalFormatting sqref="P721">
    <cfRule type="expression" dxfId="3806" priority="42">
      <formula>AND(ISNUMBER(P721),TRUNC(P721)&lt;TODAY())</formula>
    </cfRule>
  </conditionalFormatting>
  <conditionalFormatting sqref="O721">
    <cfRule type="expression" dxfId="3805" priority="43">
      <formula>AND(ISNUMBER(O721),TRUNC(O721)&lt;TODAY())</formula>
    </cfRule>
  </conditionalFormatting>
  <conditionalFormatting sqref="P709:Q709 T709 L709">
    <cfRule type="expression" dxfId="3804" priority="44">
      <formula>AND(ISNUMBER(P709),TRUNC(P709)&lt;TODAY())</formula>
    </cfRule>
  </conditionalFormatting>
  <conditionalFormatting sqref="F709">
    <cfRule type="containsText" dxfId="3803" priority="45" operator="containsText" text="F">
      <formula>NOT(ISERROR(SEARCH(("F"),(F709))))</formula>
    </cfRule>
  </conditionalFormatting>
  <conditionalFormatting sqref="F709 G709">
    <cfRule type="containsText" dxfId="3802" priority="46" operator="containsText" text="F">
      <formula>NOT(ISERROR(SEARCH(("F"),(F709))))</formula>
    </cfRule>
  </conditionalFormatting>
  <conditionalFormatting sqref="O708">
    <cfRule type="expression" dxfId="3801" priority="47">
      <formula>AND(ISNUMBER(O708),TRUNC(O708)&lt;TODAY())</formula>
    </cfRule>
  </conditionalFormatting>
  <conditionalFormatting sqref="Q708">
    <cfRule type="expression" dxfId="3800" priority="48">
      <formula>AND(ISNUMBER(Q708),TRUNC(Q708)&lt;TODAY())</formula>
    </cfRule>
  </conditionalFormatting>
  <conditionalFormatting sqref="P708">
    <cfRule type="expression" dxfId="3799" priority="49">
      <formula>AND(ISNUMBER(P708),TRUNC(P708)&lt;TODAY())</formula>
    </cfRule>
  </conditionalFormatting>
  <conditionalFormatting sqref="P707">
    <cfRule type="expression" dxfId="3798" priority="50">
      <formula>AND(ISNUMBER(P707),TRUNC(P707)&lt;TODAY())</formula>
    </cfRule>
  </conditionalFormatting>
  <conditionalFormatting sqref="Q707">
    <cfRule type="expression" dxfId="3797" priority="51">
      <formula>AND(ISNUMBER(Q707),TRUNC(Q707)&lt;TODAY())</formula>
    </cfRule>
  </conditionalFormatting>
  <conditionalFormatting sqref="O707:Q707">
    <cfRule type="expression" dxfId="3796" priority="52">
      <formula>AND(ISNUMBER(O707),TRUNC(O707)&lt;TODAY())</formula>
    </cfRule>
  </conditionalFormatting>
  <conditionalFormatting sqref="O706:Q706">
    <cfRule type="expression" dxfId="3795" priority="53">
      <formula>AND(ISNUMBER(O706),TRUNC(O706)&lt;TODAY())</formula>
    </cfRule>
  </conditionalFormatting>
  <conditionalFormatting sqref="Q705">
    <cfRule type="expression" dxfId="3794" priority="54">
      <formula>AND(ISNUMBER(Q705),TRUNC(Q705)&lt;TODAY())</formula>
    </cfRule>
  </conditionalFormatting>
  <conditionalFormatting sqref="O705">
    <cfRule type="expression" dxfId="3793" priority="55">
      <formula>AND(ISNUMBER(O705),TRUNC(O705)&lt;TODAY())</formula>
    </cfRule>
  </conditionalFormatting>
  <conditionalFormatting sqref="P705">
    <cfRule type="expression" dxfId="3792" priority="56">
      <formula>AND(ISNUMBER(P705),TRUNC(P705)&lt;TODAY())</formula>
    </cfRule>
  </conditionalFormatting>
  <conditionalFormatting sqref="F705">
    <cfRule type="containsText" dxfId="3791" priority="57" operator="containsText" text="F">
      <formula>NOT(ISERROR(SEARCH(("F"),(F705))))</formula>
    </cfRule>
  </conditionalFormatting>
  <conditionalFormatting sqref="P698:Q698 AH698">
    <cfRule type="expression" dxfId="3790" priority="58">
      <formula>AND(ISNUMBER(P698),TRUNC(P698)&lt;TODAY())</formula>
    </cfRule>
  </conditionalFormatting>
  <conditionalFormatting sqref="F698">
    <cfRule type="containsText" dxfId="3789" priority="59" operator="containsText" text="F">
      <formula>NOT(ISERROR(SEARCH(("F"),(F698))))</formula>
    </cfRule>
  </conditionalFormatting>
  <conditionalFormatting sqref="F695">
    <cfRule type="containsText" dxfId="3788" priority="60" operator="containsText" text="F">
      <formula>NOT(ISERROR(SEARCH(("F"),(F695))))</formula>
    </cfRule>
  </conditionalFormatting>
  <conditionalFormatting sqref="N695:Q695">
    <cfRule type="expression" dxfId="3787" priority="61">
      <formula>AND(ISNUMBER(N695),TRUNC(N695)&lt;TODAY())</formula>
    </cfRule>
  </conditionalFormatting>
  <conditionalFormatting sqref="F691">
    <cfRule type="containsText" dxfId="3786" priority="62" operator="containsText" text="F">
      <formula>NOT(ISERROR(SEARCH(("F"),(F691))))</formula>
    </cfRule>
  </conditionalFormatting>
  <conditionalFormatting sqref="O691:Q691">
    <cfRule type="expression" dxfId="3785" priority="63">
      <formula>AND(ISNUMBER(O691),TRUNC(O691)&lt;TODAY())</formula>
    </cfRule>
  </conditionalFormatting>
  <conditionalFormatting sqref="F690">
    <cfRule type="containsText" dxfId="3784" priority="64" operator="containsText" text="F">
      <formula>NOT(ISERROR(SEARCH(("F"),(F690))))</formula>
    </cfRule>
  </conditionalFormatting>
  <conditionalFormatting sqref="O690:Q690">
    <cfRule type="expression" dxfId="3783" priority="65">
      <formula>AND(ISNUMBER(O690),TRUNC(O690)&lt;TODAY())</formula>
    </cfRule>
  </conditionalFormatting>
  <conditionalFormatting sqref="N689:Q689">
    <cfRule type="expression" dxfId="3782" priority="66">
      <formula>AND(ISNUMBER(N689),TRUNC(N689)&lt;TODAY())</formula>
    </cfRule>
  </conditionalFormatting>
  <conditionalFormatting sqref="F689">
    <cfRule type="containsText" dxfId="3781" priority="67" operator="containsText" text="F">
      <formula>NOT(ISERROR(SEARCH(("F"),(F689))))</formula>
    </cfRule>
  </conditionalFormatting>
  <conditionalFormatting sqref="P688:Q688 T688 L688">
    <cfRule type="expression" dxfId="3780" priority="68">
      <formula>AND(ISNUMBER(P688),TRUNC(P688)&lt;TODAY())</formula>
    </cfRule>
  </conditionalFormatting>
  <conditionalFormatting sqref="F688">
    <cfRule type="containsText" dxfId="3779" priority="69" operator="containsText" text="F">
      <formula>NOT(ISERROR(SEARCH(("F"),(F688))))</formula>
    </cfRule>
  </conditionalFormatting>
  <conditionalFormatting sqref="F688 G688">
    <cfRule type="containsText" dxfId="3778" priority="70" operator="containsText" text="F">
      <formula>NOT(ISERROR(SEARCH(("F"),(F688))))</formula>
    </cfRule>
  </conditionalFormatting>
  <conditionalFormatting sqref="O687:Q687">
    <cfRule type="expression" dxfId="3777" priority="71">
      <formula>AND(ISNUMBER(O687),TRUNC(O687)&lt;TODAY())</formula>
    </cfRule>
  </conditionalFormatting>
  <conditionalFormatting sqref="P683:Q683 T683 L683">
    <cfRule type="expression" dxfId="3776" priority="72">
      <formula>AND(ISNUMBER(P683),TRUNC(P683)&lt;TODAY())</formula>
    </cfRule>
  </conditionalFormatting>
  <conditionalFormatting sqref="F683">
    <cfRule type="containsText" dxfId="3775" priority="73" operator="containsText" text="F">
      <formula>NOT(ISERROR(SEARCH(("F"),(F683))))</formula>
    </cfRule>
  </conditionalFormatting>
  <conditionalFormatting sqref="F683 G683">
    <cfRule type="containsText" dxfId="3774" priority="74" operator="containsText" text="F">
      <formula>NOT(ISERROR(SEARCH(("F"),(F683))))</formula>
    </cfRule>
  </conditionalFormatting>
  <conditionalFormatting sqref="O682:Q682">
    <cfRule type="expression" dxfId="3773" priority="75">
      <formula>AND(ISNUMBER(O682),TRUNC(O682)&lt;TODAY())</formula>
    </cfRule>
  </conditionalFormatting>
  <conditionalFormatting sqref="F677">
    <cfRule type="containsText" dxfId="3772" priority="76" operator="containsText" text="F">
      <formula>NOT(ISERROR(SEARCH(("F"),(F677))))</formula>
    </cfRule>
  </conditionalFormatting>
  <conditionalFormatting sqref="O677">
    <cfRule type="expression" dxfId="3771" priority="77">
      <formula>AND(ISNUMBER(O677),TRUNC(O677)&lt;TODAY())</formula>
    </cfRule>
  </conditionalFormatting>
  <conditionalFormatting sqref="Q677">
    <cfRule type="expression" dxfId="3770" priority="78">
      <formula>AND(ISNUMBER(Q677),TRUNC(Q677)&lt;TODAY())</formula>
    </cfRule>
  </conditionalFormatting>
  <conditionalFormatting sqref="P677">
    <cfRule type="expression" dxfId="3769" priority="79">
      <formula>AND(ISNUMBER(P677),TRUNC(P677)&lt;TODAY())</formula>
    </cfRule>
  </conditionalFormatting>
  <conditionalFormatting sqref="F676">
    <cfRule type="containsText" dxfId="3768" priority="80" operator="containsText" text="F">
      <formula>NOT(ISERROR(SEARCH(("F"),(F676))))</formula>
    </cfRule>
  </conditionalFormatting>
  <conditionalFormatting sqref="O676">
    <cfRule type="expression" dxfId="3767" priority="81">
      <formula>AND(ISNUMBER(O676),TRUNC(O676)&lt;TODAY())</formula>
    </cfRule>
  </conditionalFormatting>
  <conditionalFormatting sqref="Q676">
    <cfRule type="expression" dxfId="3766" priority="82">
      <formula>AND(ISNUMBER(Q676),TRUNC(Q676)&lt;TODAY())</formula>
    </cfRule>
  </conditionalFormatting>
  <conditionalFormatting sqref="P676">
    <cfRule type="expression" dxfId="3765" priority="83">
      <formula>AND(ISNUMBER(P676),TRUNC(P676)&lt;TODAY())</formula>
    </cfRule>
  </conditionalFormatting>
  <conditionalFormatting sqref="F675">
    <cfRule type="containsText" dxfId="3764" priority="84" operator="containsText" text="F">
      <formula>NOT(ISERROR(SEARCH(("F"),(F675))))</formula>
    </cfRule>
  </conditionalFormatting>
  <conditionalFormatting sqref="O675">
    <cfRule type="expression" dxfId="3763" priority="85">
      <formula>AND(ISNUMBER(O675),TRUNC(O675)&lt;TODAY())</formula>
    </cfRule>
  </conditionalFormatting>
  <conditionalFormatting sqref="Q675">
    <cfRule type="expression" dxfId="3762" priority="86">
      <formula>AND(ISNUMBER(Q675),TRUNC(Q675)&lt;TODAY())</formula>
    </cfRule>
  </conditionalFormatting>
  <conditionalFormatting sqref="P675">
    <cfRule type="expression" dxfId="3761" priority="87">
      <formula>AND(ISNUMBER(P675),TRUNC(P675)&lt;TODAY())</formula>
    </cfRule>
  </conditionalFormatting>
  <conditionalFormatting sqref="F674">
    <cfRule type="containsText" dxfId="3760" priority="88" operator="containsText" text="F">
      <formula>NOT(ISERROR(SEARCH(("F"),(F674))))</formula>
    </cfRule>
  </conditionalFormatting>
  <conditionalFormatting sqref="N674:Q674">
    <cfRule type="expression" dxfId="3759" priority="89">
      <formula>AND(ISNUMBER(N674),TRUNC(N674)&lt;TODAY())</formula>
    </cfRule>
  </conditionalFormatting>
  <conditionalFormatting sqref="N673 P673:Q673">
    <cfRule type="expression" dxfId="3758" priority="90">
      <formula>AND(ISNUMBER(N673),TRUNC(N673)&lt;TODAY())</formula>
    </cfRule>
  </conditionalFormatting>
  <conditionalFormatting sqref="O672:Q672">
    <cfRule type="expression" dxfId="3757" priority="91">
      <formula>AND(ISNUMBER(O672),TRUNC(O672)&lt;TODAY())</formula>
    </cfRule>
  </conditionalFormatting>
  <conditionalFormatting sqref="F660">
    <cfRule type="containsText" dxfId="3756" priority="92" operator="containsText" text="F">
      <formula>NOT(ISERROR(SEARCH(("F"),(F660))))</formula>
    </cfRule>
  </conditionalFormatting>
  <conditionalFormatting sqref="F660 G660">
    <cfRule type="containsText" dxfId="3755" priority="93" operator="containsText" text="F">
      <formula>NOT(ISERROR(SEARCH(("F"),(F660))))</formula>
    </cfRule>
  </conditionalFormatting>
  <conditionalFormatting sqref="P660:Q660 T660 L660">
    <cfRule type="expression" dxfId="3754" priority="94">
      <formula>AND(ISNUMBER(P660),TRUNC(P660)&lt;TODAY())</formula>
    </cfRule>
  </conditionalFormatting>
  <conditionalFormatting sqref="G627:G628 F629">
    <cfRule type="containsText" dxfId="3753" priority="95" operator="containsText" text="F">
      <formula>NOT(ISERROR(SEARCH(("F"),(G627))))</formula>
    </cfRule>
  </conditionalFormatting>
  <conditionalFormatting sqref="O627:R629 N629">
    <cfRule type="expression" dxfId="3752" priority="96">
      <formula>AND(ISNUMBER(O627),TRUNC(O627)&lt;TODAY())</formula>
    </cfRule>
  </conditionalFormatting>
  <conditionalFormatting sqref="O651:Q651">
    <cfRule type="expression" dxfId="3751" priority="97">
      <formula>AND(ISNUMBER(O651),TRUNC(O651)&lt;TODAY())</formula>
    </cfRule>
  </conditionalFormatting>
  <conditionalFormatting sqref="F651">
    <cfRule type="containsText" dxfId="3750" priority="98" operator="containsText" text="F">
      <formula>NOT(ISERROR(SEARCH(("F"),(F651))))</formula>
    </cfRule>
  </conditionalFormatting>
  <conditionalFormatting sqref="O658:Q658">
    <cfRule type="expression" dxfId="3749" priority="99">
      <formula>AND(ISNUMBER(O658),TRUNC(O658)&lt;TODAY())</formula>
    </cfRule>
  </conditionalFormatting>
  <conditionalFormatting sqref="Q657">
    <cfRule type="expression" dxfId="3748" priority="100">
      <formula>AND(ISNUMBER(Q657),TRUNC(Q657)&lt;TODAY())</formula>
    </cfRule>
  </conditionalFormatting>
  <conditionalFormatting sqref="Q657">
    <cfRule type="expression" dxfId="3747" priority="101">
      <formula>AND(ISNUMBER(Q657),TRUNC(Q657)&lt;TODAY())</formula>
    </cfRule>
  </conditionalFormatting>
  <conditionalFormatting sqref="P657">
    <cfRule type="expression" dxfId="3746" priority="102">
      <formula>AND(ISNUMBER(P657),TRUNC(P657)&lt;TODAY())</formula>
    </cfRule>
  </conditionalFormatting>
  <conditionalFormatting sqref="P649">
    <cfRule type="expression" dxfId="3745" priority="103">
      <formula>AND(ISNUMBER(P649),TRUNC(P649)&lt;TODAY())</formula>
    </cfRule>
  </conditionalFormatting>
  <conditionalFormatting sqref="O649:Q649">
    <cfRule type="expression" dxfId="3744" priority="104">
      <formula>AND(ISNUMBER(O649),TRUNC(O649)&lt;TODAY())</formula>
    </cfRule>
  </conditionalFormatting>
  <conditionalFormatting sqref="P648">
    <cfRule type="expression" dxfId="3743" priority="105">
      <formula>AND(ISNUMBER(P648),TRUNC(P648)&lt;TODAY())</formula>
    </cfRule>
  </conditionalFormatting>
  <conditionalFormatting sqref="O648:Q648">
    <cfRule type="expression" dxfId="3742" priority="106">
      <formula>AND(ISNUMBER(O648),TRUNC(O648)&lt;TODAY())</formula>
    </cfRule>
  </conditionalFormatting>
  <conditionalFormatting sqref="F645">
    <cfRule type="containsText" dxfId="3741" priority="107" operator="containsText" text="F">
      <formula>NOT(ISERROR(SEARCH(("F"),(F645))))</formula>
    </cfRule>
  </conditionalFormatting>
  <conditionalFormatting sqref="N645:R645">
    <cfRule type="expression" dxfId="3740" priority="108">
      <formula>AND(ISNUMBER(N645),TRUNC(N645)&lt;TODAY())</formula>
    </cfRule>
  </conditionalFormatting>
  <conditionalFormatting sqref="O642:Q642">
    <cfRule type="expression" dxfId="3739" priority="109">
      <formula>AND(ISNUMBER(O642),TRUNC(O642)&lt;TODAY())</formula>
    </cfRule>
  </conditionalFormatting>
  <conditionalFormatting sqref="F642">
    <cfRule type="containsText" dxfId="3738" priority="110" operator="containsText" text="F">
      <formula>NOT(ISERROR(SEARCH(("F"),(F642))))</formula>
    </cfRule>
  </conditionalFormatting>
  <conditionalFormatting sqref="O639">
    <cfRule type="expression" dxfId="3737" priority="111">
      <formula>AND(ISNUMBER(O639),TRUNC(O639)&lt;TODAY())</formula>
    </cfRule>
  </conditionalFormatting>
  <conditionalFormatting sqref="Q639">
    <cfRule type="expression" dxfId="3736" priority="112">
      <formula>AND(ISNUMBER(Q639),TRUNC(Q639)&lt;TODAY())</formula>
    </cfRule>
  </conditionalFormatting>
  <conditionalFormatting sqref="Q639">
    <cfRule type="expression" dxfId="3735" priority="113">
      <formula>AND(ISNUMBER(Q639),TRUNC(Q639)&lt;TODAY())</formula>
    </cfRule>
  </conditionalFormatting>
  <conditionalFormatting sqref="P639">
    <cfRule type="expression" dxfId="3734" priority="114">
      <formula>AND(ISNUMBER(P639),TRUNC(P639)&lt;TODAY())</formula>
    </cfRule>
  </conditionalFormatting>
  <conditionalFormatting sqref="P639">
    <cfRule type="expression" dxfId="3733" priority="115">
      <formula>AND(ISNUMBER(P639),TRUNC(P639)&lt;TODAY())</formula>
    </cfRule>
  </conditionalFormatting>
  <conditionalFormatting sqref="P636">
    <cfRule type="expression" dxfId="3732" priority="116">
      <formula>AND(ISNUMBER(P636),TRUNC(P636)&lt;TODAY())</formula>
    </cfRule>
  </conditionalFormatting>
  <conditionalFormatting sqref="F636">
    <cfRule type="containsText" dxfId="3731" priority="117" operator="containsText" text="F">
      <formula>NOT(ISERROR(SEARCH(("F"),(F636))))</formula>
    </cfRule>
  </conditionalFormatting>
  <conditionalFormatting sqref="O636">
    <cfRule type="expression" dxfId="3730" priority="118">
      <formula>AND(ISNUMBER(O636),TRUNC(O636)&lt;TODAY())</formula>
    </cfRule>
  </conditionalFormatting>
  <conditionalFormatting sqref="F634">
    <cfRule type="containsText" dxfId="3729" priority="119" operator="containsText" text="F">
      <formula>NOT(ISERROR(SEARCH(("F"),(F634))))</formula>
    </cfRule>
  </conditionalFormatting>
  <conditionalFormatting sqref="O634:Q634">
    <cfRule type="expression" dxfId="3728" priority="120">
      <formula>AND(ISNUMBER(O634),TRUNC(O634)&lt;TODAY())</formula>
    </cfRule>
  </conditionalFormatting>
  <conditionalFormatting sqref="O632:Q632">
    <cfRule type="expression" dxfId="3727" priority="121">
      <formula>AND(ISNUMBER(O632),TRUNC(O632)&lt;TODAY())</formula>
    </cfRule>
  </conditionalFormatting>
  <conditionalFormatting sqref="F632">
    <cfRule type="containsText" dxfId="3726" priority="122" operator="containsText" text="F">
      <formula>NOT(ISERROR(SEARCH(("F"),(F632))))</formula>
    </cfRule>
  </conditionalFormatting>
  <conditionalFormatting sqref="F550">
    <cfRule type="containsText" dxfId="3725" priority="123" operator="containsText" text="F">
      <formula>NOT(ISERROR(SEARCH(("F"),(F550))))</formula>
    </cfRule>
  </conditionalFormatting>
  <conditionalFormatting sqref="N550:Q550 T550">
    <cfRule type="expression" dxfId="3724" priority="124">
      <formula>AND(ISNUMBER(N550),TRUNC(N550)&lt;TODAY())</formula>
    </cfRule>
  </conditionalFormatting>
  <conditionalFormatting sqref="V592">
    <cfRule type="notContainsBlanks" dxfId="3723" priority="125">
      <formula>LEN(TRIM(V592))&gt;0</formula>
    </cfRule>
  </conditionalFormatting>
  <conditionalFormatting sqref="O592">
    <cfRule type="expression" dxfId="3722" priority="126">
      <formula>AND(ISNUMBER(O592),TRUNC(O592)&lt;TODAY())</formula>
    </cfRule>
  </conditionalFormatting>
  <conditionalFormatting sqref="Q592">
    <cfRule type="expression" dxfId="3721" priority="127">
      <formula>AND(ISNUMBER(Q592),TRUNC(Q592)&lt;TODAY())</formula>
    </cfRule>
  </conditionalFormatting>
  <conditionalFormatting sqref="P592">
    <cfRule type="expression" dxfId="3720" priority="128">
      <formula>AND(ISNUMBER(P592),TRUNC(P592)&lt;TODAY())</formula>
    </cfRule>
  </conditionalFormatting>
  <conditionalFormatting sqref="F592">
    <cfRule type="containsText" dxfId="3719" priority="129" operator="containsText" text="F">
      <formula>NOT(ISERROR(SEARCH(("F"),(F592))))</formula>
    </cfRule>
  </conditionalFormatting>
  <conditionalFormatting sqref="F626">
    <cfRule type="containsText" dxfId="3718" priority="130" operator="containsText" text="F">
      <formula>NOT(ISERROR(SEARCH(("F"),(F626))))</formula>
    </cfRule>
  </conditionalFormatting>
  <conditionalFormatting sqref="Q626 P626">
    <cfRule type="expression" dxfId="3717" priority="131">
      <formula>AND(ISNUMBER(Q626),TRUNC(Q626)&lt;TODAY())</formula>
    </cfRule>
  </conditionalFormatting>
  <conditionalFormatting sqref="O625:Q625">
    <cfRule type="expression" dxfId="3716" priority="132">
      <formula>AND(ISNUMBER(O625),TRUNC(O625)&lt;TODAY())</formula>
    </cfRule>
  </conditionalFormatting>
  <conditionalFormatting sqref="F625">
    <cfRule type="containsText" dxfId="3715" priority="133" operator="containsText" text="F">
      <formula>NOT(ISERROR(SEARCH(("F"),(F625))))</formula>
    </cfRule>
  </conditionalFormatting>
  <conditionalFormatting sqref="O621:Q621">
    <cfRule type="expression" dxfId="3714" priority="134">
      <formula>AND(ISNUMBER(O621),TRUNC(O621)&lt;TODAY())</formula>
    </cfRule>
  </conditionalFormatting>
  <conditionalFormatting sqref="F621">
    <cfRule type="containsText" dxfId="3713" priority="135" operator="containsText" text="F">
      <formula>NOT(ISERROR(SEARCH(("F"),(F621))))</formula>
    </cfRule>
  </conditionalFormatting>
  <conditionalFormatting sqref="O620:Q620">
    <cfRule type="expression" dxfId="3712" priority="136">
      <formula>AND(ISNUMBER(O620),TRUNC(O620)&lt;TODAY())</formula>
    </cfRule>
  </conditionalFormatting>
  <conditionalFormatting sqref="P620:Q620">
    <cfRule type="expression" dxfId="3711" priority="137">
      <formula>AND(ISNUMBER(P620),TRUNC(P620)&lt;TODAY())</formula>
    </cfRule>
  </conditionalFormatting>
  <conditionalFormatting sqref="F620">
    <cfRule type="containsText" dxfId="3710" priority="138" operator="containsText" text="F">
      <formula>NOT(ISERROR(SEARCH(("F"),(F620))))</formula>
    </cfRule>
  </conditionalFormatting>
  <conditionalFormatting sqref="O619:Q619">
    <cfRule type="expression" dxfId="3709" priority="139">
      <formula>AND(ISNUMBER(O619),TRUNC(O619)&lt;TODAY())</formula>
    </cfRule>
  </conditionalFormatting>
  <conditionalFormatting sqref="O615:Q615">
    <cfRule type="expression" dxfId="3708" priority="140">
      <formula>AND(ISNUMBER(O615),TRUNC(O615)&lt;TODAY())</formula>
    </cfRule>
  </conditionalFormatting>
  <conditionalFormatting sqref="F615">
    <cfRule type="containsText" dxfId="3707" priority="141" operator="containsText" text="F">
      <formula>NOT(ISERROR(SEARCH(("F"),(F615))))</formula>
    </cfRule>
  </conditionalFormatting>
  <conditionalFormatting sqref="F612">
    <cfRule type="containsText" dxfId="3706" priority="142" operator="containsText" text="F">
      <formula>NOT(ISERROR(SEARCH(("F"),(F612))))</formula>
    </cfRule>
  </conditionalFormatting>
  <conditionalFormatting sqref="O612:Q612">
    <cfRule type="expression" dxfId="3705" priority="143">
      <formula>AND(ISNUMBER(O612),TRUNC(O612)&lt;TODAY())</formula>
    </cfRule>
  </conditionalFormatting>
  <conditionalFormatting sqref="F607">
    <cfRule type="containsText" dxfId="3704" priority="144" operator="containsText" text="F">
      <formula>NOT(ISERROR(SEARCH(("F"),(F607))))</formula>
    </cfRule>
  </conditionalFormatting>
  <conditionalFormatting sqref="P607">
    <cfRule type="expression" dxfId="3703" priority="145">
      <formula>AND(ISNUMBER(P607),TRUNC(P607)&lt;TODAY())</formula>
    </cfRule>
  </conditionalFormatting>
  <conditionalFormatting sqref="Q607">
    <cfRule type="expression" dxfId="3702" priority="146">
      <formula>AND(ISNUMBER(Q607),TRUNC(Q607)&lt;TODAY())</formula>
    </cfRule>
  </conditionalFormatting>
  <conditionalFormatting sqref="O607">
    <cfRule type="expression" dxfId="3701" priority="147">
      <formula>AND(ISNUMBER(O607),TRUNC(O607)&lt;TODAY())</formula>
    </cfRule>
  </conditionalFormatting>
  <conditionalFormatting sqref="P606">
    <cfRule type="expression" dxfId="3700" priority="148">
      <formula>AND(ISNUMBER(P606),TRUNC(P606)&lt;TODAY())</formula>
    </cfRule>
  </conditionalFormatting>
  <conditionalFormatting sqref="O606">
    <cfRule type="expression" dxfId="3699" priority="149">
      <formula>AND(ISNUMBER(O606),TRUNC(O606)&lt;TODAY())</formula>
    </cfRule>
  </conditionalFormatting>
  <conditionalFormatting sqref="O605:Q605">
    <cfRule type="expression" dxfId="3698" priority="150">
      <formula>AND(ISNUMBER(O605),TRUNC(O605)&lt;TODAY())</formula>
    </cfRule>
  </conditionalFormatting>
  <conditionalFormatting sqref="F604">
    <cfRule type="containsText" dxfId="3697" priority="151" operator="containsText" text="F">
      <formula>NOT(ISERROR(SEARCH(("F"),(F604))))</formula>
    </cfRule>
  </conditionalFormatting>
  <conditionalFormatting sqref="O604:P604 Q604">
    <cfRule type="expression" dxfId="3696" priority="152">
      <formula>AND(ISNUMBER(O604),TRUNC(O604)&lt;TODAY())</formula>
    </cfRule>
  </conditionalFormatting>
  <conditionalFormatting sqref="F603">
    <cfRule type="containsText" dxfId="3695" priority="153" operator="containsText" text="F">
      <formula>NOT(ISERROR(SEARCH(("F"),(F603))))</formula>
    </cfRule>
  </conditionalFormatting>
  <conditionalFormatting sqref="P603 O603 U603">
    <cfRule type="expression" dxfId="3694" priority="154">
      <formula>AND(ISNUMBER(P603),TRUNC(P603)&lt;TODAY())</formula>
    </cfRule>
  </conditionalFormatting>
  <conditionalFormatting sqref="F565">
    <cfRule type="containsText" dxfId="3693" priority="155" operator="containsText" text="F">
      <formula>NOT(ISERROR(SEARCH(("F"),(F565))))</formula>
    </cfRule>
  </conditionalFormatting>
  <conditionalFormatting sqref="O565">
    <cfRule type="expression" dxfId="3692" priority="156">
      <formula>AND(ISNUMBER(O565),TRUNC(O565)&lt;TODAY())</formula>
    </cfRule>
  </conditionalFormatting>
  <conditionalFormatting sqref="Q565">
    <cfRule type="expression" dxfId="3691" priority="157">
      <formula>AND(ISNUMBER(Q565),TRUNC(Q565)&lt;TODAY())</formula>
    </cfRule>
  </conditionalFormatting>
  <conditionalFormatting sqref="P565">
    <cfRule type="expression" dxfId="3690" priority="158">
      <formula>AND(ISNUMBER(P565),TRUNC(P565)&lt;TODAY())</formula>
    </cfRule>
  </conditionalFormatting>
  <conditionalFormatting sqref="P565">
    <cfRule type="expression" dxfId="3689" priority="159">
      <formula>AND(ISNUMBER(P565),TRUNC(P565)&lt;TODAY())</formula>
    </cfRule>
  </conditionalFormatting>
  <conditionalFormatting sqref="P582">
    <cfRule type="expression" dxfId="3688" priority="160">
      <formula>AND(ISNUMBER(P582),TRUNC(P582)&lt;TODAY())</formula>
    </cfRule>
  </conditionalFormatting>
  <conditionalFormatting sqref="O582">
    <cfRule type="expression" dxfId="3687" priority="161">
      <formula>AND(ISNUMBER(O582),TRUNC(O582)&lt;TODAY())</formula>
    </cfRule>
  </conditionalFormatting>
  <conditionalFormatting sqref="Q582">
    <cfRule type="expression" dxfId="3686" priority="162">
      <formula>AND(ISNUMBER(Q582),TRUNC(Q582)&lt;TODAY())</formula>
    </cfRule>
  </conditionalFormatting>
  <conditionalFormatting sqref="F586">
    <cfRule type="containsText" dxfId="3685" priority="163" operator="containsText" text="F">
      <formula>NOT(ISERROR(SEARCH(("F"),(F586))))</formula>
    </cfRule>
  </conditionalFormatting>
  <conditionalFormatting sqref="N586:Q586">
    <cfRule type="expression" dxfId="3684" priority="164">
      <formula>AND(ISNUMBER(N586),TRUNC(N586)&lt;TODAY())</formula>
    </cfRule>
  </conditionalFormatting>
  <conditionalFormatting sqref="F585">
    <cfRule type="containsText" dxfId="3683" priority="165" operator="containsText" text="F">
      <formula>NOT(ISERROR(SEARCH(("F"),(F585))))</formula>
    </cfRule>
  </conditionalFormatting>
  <conditionalFormatting sqref="P585 O585 Q585 N585">
    <cfRule type="expression" dxfId="3682" priority="166">
      <formula>AND(ISNUMBER(P585),TRUNC(P585)&lt;TODAY())</formula>
    </cfRule>
  </conditionalFormatting>
  <conditionalFormatting sqref="H584 N584:O584">
    <cfRule type="expression" dxfId="3681" priority="167">
      <formula>AND(ISNUMBER(H584),TRUNC(H584)&lt;TODAY())</formula>
    </cfRule>
  </conditionalFormatting>
  <conditionalFormatting sqref="Q581">
    <cfRule type="expression" dxfId="3680" priority="168">
      <formula>AND(ISNUMBER(Q581),TRUNC(Q581)&lt;TODAY())</formula>
    </cfRule>
  </conditionalFormatting>
  <conditionalFormatting sqref="P581">
    <cfRule type="expression" dxfId="3679" priority="169">
      <formula>AND(ISNUMBER(P581),TRUNC(P581)&lt;TODAY())</formula>
    </cfRule>
  </conditionalFormatting>
  <conditionalFormatting sqref="O581">
    <cfRule type="expression" dxfId="3678" priority="170">
      <formula>AND(ISNUMBER(O581),TRUNC(O581)&lt;TODAY())</formula>
    </cfRule>
  </conditionalFormatting>
  <conditionalFormatting sqref="F579">
    <cfRule type="containsText" dxfId="3677" priority="171" operator="containsText" text="F">
      <formula>NOT(ISERROR(SEARCH(("F"),(F579))))</formula>
    </cfRule>
  </conditionalFormatting>
  <conditionalFormatting sqref="P579">
    <cfRule type="expression" dxfId="3676" priority="172">
      <formula>AND(ISNUMBER(P579),TRUNC(P579)&lt;TODAY())</formula>
    </cfRule>
  </conditionalFormatting>
  <conditionalFormatting sqref="P579">
    <cfRule type="expression" dxfId="3675" priority="173">
      <formula>AND(ISNUMBER(P579),TRUNC(P579)&lt;TODAY())</formula>
    </cfRule>
  </conditionalFormatting>
  <conditionalFormatting sqref="Q579">
    <cfRule type="expression" dxfId="3674" priority="174">
      <formula>AND(ISNUMBER(Q579),TRUNC(Q579)&lt;TODAY())</formula>
    </cfRule>
  </conditionalFormatting>
  <conditionalFormatting sqref="O579">
    <cfRule type="expression" dxfId="3673" priority="175">
      <formula>AND(ISNUMBER(O579),TRUNC(O579)&lt;TODAY())</formula>
    </cfRule>
  </conditionalFormatting>
  <conditionalFormatting sqref="F578">
    <cfRule type="containsText" dxfId="3672" priority="176" operator="containsText" text="F">
      <formula>NOT(ISERROR(SEARCH(("F"),(F578))))</formula>
    </cfRule>
  </conditionalFormatting>
  <conditionalFormatting sqref="O578">
    <cfRule type="expression" dxfId="3671" priority="177">
      <formula>AND(ISNUMBER(O578),TRUNC(O578)&lt;TODAY())</formula>
    </cfRule>
  </conditionalFormatting>
  <conditionalFormatting sqref="P578">
    <cfRule type="expression" dxfId="3670" priority="178">
      <formula>AND(ISNUMBER(P578),TRUNC(P578)&lt;TODAY())</formula>
    </cfRule>
  </conditionalFormatting>
  <conditionalFormatting sqref="Q578">
    <cfRule type="expression" dxfId="3669" priority="179">
      <formula>AND(ISNUMBER(Q578),TRUNC(Q578)&lt;TODAY())</formula>
    </cfRule>
  </conditionalFormatting>
  <conditionalFormatting sqref="O577:Q577">
    <cfRule type="expression" dxfId="3668" priority="180">
      <formula>AND(ISNUMBER(O577),TRUNC(O577)&lt;TODAY())</formula>
    </cfRule>
  </conditionalFormatting>
  <conditionalFormatting sqref="F577">
    <cfRule type="containsText" dxfId="3667" priority="181" operator="containsText" text="F">
      <formula>NOT(ISERROR(SEARCH(("F"),(F577))))</formula>
    </cfRule>
  </conditionalFormatting>
  <conditionalFormatting sqref="O576:Q576">
    <cfRule type="expression" dxfId="3666" priority="182">
      <formula>AND(ISNUMBER(O576),TRUNC(O576)&lt;TODAY())</formula>
    </cfRule>
  </conditionalFormatting>
  <conditionalFormatting sqref="Q575">
    <cfRule type="expression" dxfId="3665" priority="183">
      <formula>AND(ISNUMBER(Q575),TRUNC(Q575)&lt;TODAY())</formula>
    </cfRule>
  </conditionalFormatting>
  <conditionalFormatting sqref="O575:Q575">
    <cfRule type="expression" dxfId="3664" priority="184">
      <formula>AND(ISNUMBER(O575),TRUNC(O575)&lt;TODAY())</formula>
    </cfRule>
  </conditionalFormatting>
  <conditionalFormatting sqref="O574:Q574">
    <cfRule type="expression" dxfId="3663" priority="185">
      <formula>AND(ISNUMBER(O574),TRUNC(O574)&lt;TODAY())</formula>
    </cfRule>
  </conditionalFormatting>
  <conditionalFormatting sqref="O573:Q573">
    <cfRule type="expression" dxfId="3662" priority="186">
      <formula>AND(ISNUMBER(O573),TRUNC(O573)&lt;TODAY())</formula>
    </cfRule>
  </conditionalFormatting>
  <conditionalFormatting sqref="F573">
    <cfRule type="containsText" dxfId="3661" priority="187" operator="containsText" text="F">
      <formula>NOT(ISERROR(SEARCH(("F"),(F573))))</formula>
    </cfRule>
  </conditionalFormatting>
  <conditionalFormatting sqref="P572">
    <cfRule type="expression" dxfId="3660" priority="188">
      <formula>AND(ISNUMBER(P572),TRUNC(P572)&lt;TODAY())</formula>
    </cfRule>
  </conditionalFormatting>
  <conditionalFormatting sqref="P572:Q572">
    <cfRule type="expression" dxfId="3659" priority="189">
      <formula>AND(ISNUMBER(P572),TRUNC(P572)&lt;TODAY())</formula>
    </cfRule>
  </conditionalFormatting>
  <conditionalFormatting sqref="O572">
    <cfRule type="expression" dxfId="3658" priority="190">
      <formula>AND(ISNUMBER(O572),TRUNC(O572)&lt;TODAY())</formula>
    </cfRule>
  </conditionalFormatting>
  <conditionalFormatting sqref="F572">
    <cfRule type="containsText" dxfId="3657" priority="191" operator="containsText" text="F">
      <formula>NOT(ISERROR(SEARCH(("F"),(F572))))</formula>
    </cfRule>
  </conditionalFormatting>
  <conditionalFormatting sqref="F571">
    <cfRule type="containsText" dxfId="3656" priority="192" operator="containsText" text="F">
      <formula>NOT(ISERROR(SEARCH(("F"),(F571))))</formula>
    </cfRule>
  </conditionalFormatting>
  <conditionalFormatting sqref="O571:Q571">
    <cfRule type="expression" dxfId="3655" priority="193">
      <formula>AND(ISNUMBER(O571),TRUNC(O571)&lt;TODAY())</formula>
    </cfRule>
  </conditionalFormatting>
  <conditionalFormatting sqref="F568">
    <cfRule type="containsText" dxfId="3654" priority="194" operator="containsText" text="F">
      <formula>NOT(ISERROR(SEARCH(("F"),(F568))))</formula>
    </cfRule>
  </conditionalFormatting>
  <conditionalFormatting sqref="P568">
    <cfRule type="expression" dxfId="3653" priority="195">
      <formula>AND(ISNUMBER(P568),TRUNC(P568)&lt;TODAY())</formula>
    </cfRule>
  </conditionalFormatting>
  <conditionalFormatting sqref="Q568">
    <cfRule type="expression" dxfId="3652" priority="196">
      <formula>AND(ISNUMBER(Q568),TRUNC(Q568)&lt;TODAY())</formula>
    </cfRule>
  </conditionalFormatting>
  <conditionalFormatting sqref="O568">
    <cfRule type="expression" dxfId="3651" priority="197">
      <formula>AND(ISNUMBER(O568),TRUNC(O568)&lt;TODAY())</formula>
    </cfRule>
  </conditionalFormatting>
  <conditionalFormatting sqref="F561">
    <cfRule type="containsText" dxfId="3650" priority="198" operator="containsText" text="F">
      <formula>NOT(ISERROR(SEARCH(("F"),(F561))))</formula>
    </cfRule>
  </conditionalFormatting>
  <conditionalFormatting sqref="O561:Q561">
    <cfRule type="expression" dxfId="3649" priority="199">
      <formula>AND(ISNUMBER(O561),TRUNC(O561)&lt;TODAY())</formula>
    </cfRule>
  </conditionalFormatting>
  <conditionalFormatting sqref="O560:Q560">
    <cfRule type="expression" dxfId="3648" priority="200">
      <formula>AND(ISNUMBER(O560),TRUNC(O560)&lt;TODAY())</formula>
    </cfRule>
  </conditionalFormatting>
  <conditionalFormatting sqref="P560:Q560">
    <cfRule type="expression" dxfId="3647" priority="201">
      <formula>AND(ISNUMBER(P560),TRUNC(P560)&lt;TODAY())</formula>
    </cfRule>
  </conditionalFormatting>
  <conditionalFormatting sqref="F560">
    <cfRule type="containsText" dxfId="3646" priority="202" operator="containsText" text="F">
      <formula>NOT(ISERROR(SEARCH(("F"),(F560))))</formula>
    </cfRule>
  </conditionalFormatting>
  <conditionalFormatting sqref="F559">
    <cfRule type="containsText" dxfId="3645" priority="203" operator="containsText" text="F">
      <formula>NOT(ISERROR(SEARCH(("F"),(F559))))</formula>
    </cfRule>
  </conditionalFormatting>
  <conditionalFormatting sqref="P559 O559 Q559">
    <cfRule type="expression" dxfId="3644" priority="204">
      <formula>AND(ISNUMBER(P559),TRUNC(P559)&lt;TODAY())</formula>
    </cfRule>
  </conditionalFormatting>
  <conditionalFormatting sqref="F558">
    <cfRule type="containsText" dxfId="3643" priority="205" operator="containsText" text="F">
      <formula>NOT(ISERROR(SEARCH(("F"),(F558))))</formula>
    </cfRule>
  </conditionalFormatting>
  <conditionalFormatting sqref="Q558 P558">
    <cfRule type="expression" dxfId="3642" priority="206">
      <formula>AND(ISNUMBER(Q558),TRUNC(Q558)&lt;TODAY())</formula>
    </cfRule>
  </conditionalFormatting>
  <conditionalFormatting sqref="O557:Q557">
    <cfRule type="expression" dxfId="3641" priority="207">
      <formula>AND(ISNUMBER(O557),TRUNC(O557)&lt;TODAY())</formula>
    </cfRule>
  </conditionalFormatting>
  <conditionalFormatting sqref="F557">
    <cfRule type="containsText" dxfId="3640" priority="208" operator="containsText" text="F">
      <formula>NOT(ISERROR(SEARCH(("F"),(F557))))</formula>
    </cfRule>
  </conditionalFormatting>
  <conditionalFormatting sqref="O552">
    <cfRule type="expression" dxfId="3639" priority="209">
      <formula>AND(ISNUMBER(O552),TRUNC(O552)&lt;TODAY())</formula>
    </cfRule>
  </conditionalFormatting>
  <conditionalFormatting sqref="F552">
    <cfRule type="containsText" dxfId="3638" priority="210" operator="containsText" text="F">
      <formula>NOT(ISERROR(SEARCH(("F"),(F552))))</formula>
    </cfRule>
  </conditionalFormatting>
  <conditionalFormatting sqref="P552:Q552">
    <cfRule type="expression" dxfId="3637" priority="211">
      <formula>AND(ISNUMBER(P552),TRUNC(P552)&lt;TODAY())</formula>
    </cfRule>
  </conditionalFormatting>
  <conditionalFormatting sqref="V552">
    <cfRule type="notContainsBlanks" dxfId="3636" priority="212">
      <formula>LEN(TRIM(V552))&gt;0</formula>
    </cfRule>
  </conditionalFormatting>
  <conditionalFormatting sqref="P552">
    <cfRule type="expression" dxfId="3635" priority="213">
      <formula>AND(ISNUMBER(P552),TRUNC(P552)&lt;TODAY())</formula>
    </cfRule>
  </conditionalFormatting>
  <conditionalFormatting sqref="P546">
    <cfRule type="expression" dxfId="3634" priority="214">
      <formula>AND(ISNUMBER(P546),TRUNC(P546)&lt;TODAY())</formula>
    </cfRule>
  </conditionalFormatting>
  <conditionalFormatting sqref="O546">
    <cfRule type="expression" dxfId="3633" priority="215">
      <formula>AND(ISNUMBER(O546),TRUNC(O546)&lt;TODAY())</formula>
    </cfRule>
  </conditionalFormatting>
  <conditionalFormatting sqref="Q546">
    <cfRule type="expression" dxfId="3632" priority="216">
      <formula>AND(ISNUMBER(Q546),TRUNC(Q546)&lt;TODAY())</formula>
    </cfRule>
  </conditionalFormatting>
  <conditionalFormatting sqref="O545:Q545">
    <cfRule type="expression" dxfId="3631" priority="217">
      <formula>AND(ISNUMBER(O545),TRUNC(O545)&lt;TODAY())</formula>
    </cfRule>
  </conditionalFormatting>
  <conditionalFormatting sqref="F545">
    <cfRule type="containsText" dxfId="3630" priority="218" operator="containsText" text="F">
      <formula>NOT(ISERROR(SEARCH(("F"),(F545))))</formula>
    </cfRule>
  </conditionalFormatting>
  <conditionalFormatting sqref="O544">
    <cfRule type="expression" dxfId="3629" priority="219">
      <formula>AND(ISNUMBER(O544),TRUNC(O544)&lt;TODAY())</formula>
    </cfRule>
  </conditionalFormatting>
  <conditionalFormatting sqref="F544">
    <cfRule type="containsText" dxfId="3628" priority="220" operator="containsText" text="F">
      <formula>NOT(ISERROR(SEARCH(("F"),(F544))))</formula>
    </cfRule>
  </conditionalFormatting>
  <conditionalFormatting sqref="Q544:R544 P544">
    <cfRule type="expression" dxfId="3627" priority="221">
      <formula>AND(ISNUMBER(Q544),TRUNC(Q544)&lt;TODAY())</formula>
    </cfRule>
  </conditionalFormatting>
  <conditionalFormatting sqref="V544">
    <cfRule type="notContainsBlanks" dxfId="3626" priority="222">
      <formula>LEN(TRIM(V544))&gt;0</formula>
    </cfRule>
  </conditionalFormatting>
  <conditionalFormatting sqref="P544">
    <cfRule type="expression" dxfId="3625" priority="223">
      <formula>AND(ISNUMBER(P544),TRUNC(P544)&lt;TODAY())</formula>
    </cfRule>
  </conditionalFormatting>
  <conditionalFormatting sqref="O537:Q537">
    <cfRule type="expression" dxfId="3624" priority="224">
      <formula>AND(ISNUMBER(O537),TRUNC(O537)&lt;TODAY())</formula>
    </cfRule>
  </conditionalFormatting>
  <conditionalFormatting sqref="F537">
    <cfRule type="containsText" dxfId="3623" priority="225" operator="containsText" text="F">
      <formula>NOT(ISERROR(SEARCH(("F"),(F537))))</formula>
    </cfRule>
  </conditionalFormatting>
  <conditionalFormatting sqref="F534">
    <cfRule type="containsText" dxfId="3622" priority="226" operator="containsText" text="F">
      <formula>NOT(ISERROR(SEARCH(("F"),(F534))))</formula>
    </cfRule>
  </conditionalFormatting>
  <conditionalFormatting sqref="O534">
    <cfRule type="expression" dxfId="3621" priority="227">
      <formula>AND(ISNUMBER(O534),TRUNC(O534)&lt;TODAY())</formula>
    </cfRule>
  </conditionalFormatting>
  <conditionalFormatting sqref="P534:Q534">
    <cfRule type="expression" dxfId="3620" priority="228">
      <formula>AND(ISNUMBER(P534),TRUNC(P534)&lt;TODAY())</formula>
    </cfRule>
  </conditionalFormatting>
  <conditionalFormatting sqref="Q534">
    <cfRule type="expression" dxfId="3619" priority="229">
      <formula>AND(ISNUMBER(Q534),TRUNC(Q534)&lt;TODAY())</formula>
    </cfRule>
  </conditionalFormatting>
  <conditionalFormatting sqref="O533:Q533">
    <cfRule type="expression" dxfId="3618" priority="230">
      <formula>AND(ISNUMBER(O533),TRUNC(O533)&lt;TODAY())</formula>
    </cfRule>
  </conditionalFormatting>
  <conditionalFormatting sqref="O532:Q532">
    <cfRule type="expression" dxfId="3617" priority="231">
      <formula>AND(ISNUMBER(O532),TRUNC(O532)&lt;TODAY())</formula>
    </cfRule>
  </conditionalFormatting>
  <conditionalFormatting sqref="O525:Q525">
    <cfRule type="expression" dxfId="3616" priority="232">
      <formula>AND(ISNUMBER(O525),TRUNC(O525)&lt;TODAY())</formula>
    </cfRule>
  </conditionalFormatting>
  <conditionalFormatting sqref="F525">
    <cfRule type="containsText" dxfId="3615" priority="233" operator="containsText" text="F">
      <formula>NOT(ISERROR(SEARCH(("F"),(F525))))</formula>
    </cfRule>
  </conditionalFormatting>
  <conditionalFormatting sqref="V525">
    <cfRule type="notContainsBlanks" dxfId="3614" priority="234">
      <formula>LEN(TRIM(V525))&gt;0</formula>
    </cfRule>
  </conditionalFormatting>
  <conditionalFormatting sqref="O524">
    <cfRule type="expression" dxfId="3613" priority="235">
      <formula>AND(ISNUMBER(O524),TRUNC(O524)&lt;TODAY())</formula>
    </cfRule>
  </conditionalFormatting>
  <conditionalFormatting sqref="F524">
    <cfRule type="containsText" dxfId="3612" priority="236" operator="containsText" text="F">
      <formula>NOT(ISERROR(SEARCH(("F"),(F524))))</formula>
    </cfRule>
  </conditionalFormatting>
  <conditionalFormatting sqref="P524:Q524">
    <cfRule type="expression" dxfId="3611" priority="237">
      <formula>AND(ISNUMBER(P524),TRUNC(P524)&lt;TODAY())</formula>
    </cfRule>
  </conditionalFormatting>
  <conditionalFormatting sqref="Q524">
    <cfRule type="expression" dxfId="3610" priority="238">
      <formula>AND(ISNUMBER(Q524),TRUNC(Q524)&lt;TODAY())</formula>
    </cfRule>
  </conditionalFormatting>
  <conditionalFormatting sqref="P524">
    <cfRule type="expression" dxfId="3609" priority="239">
      <formula>AND(ISNUMBER(P524),TRUNC(P524)&lt;TODAY())</formula>
    </cfRule>
  </conditionalFormatting>
  <conditionalFormatting sqref="Q523">
    <cfRule type="expression" dxfId="3608" priority="240">
      <formula>AND(ISNUMBER(Q523),TRUNC(Q523)&lt;TODAY())</formula>
    </cfRule>
  </conditionalFormatting>
  <conditionalFormatting sqref="O523 Q523">
    <cfRule type="expression" dxfId="3607" priority="241">
      <formula>AND(ISNUMBER(O523),TRUNC(O523)&lt;TODAY())</formula>
    </cfRule>
  </conditionalFormatting>
  <conditionalFormatting sqref="P523">
    <cfRule type="expression" dxfId="3606" priority="242">
      <formula>AND(ISNUMBER(P523),TRUNC(P523)&lt;TODAY())</formula>
    </cfRule>
  </conditionalFormatting>
  <conditionalFormatting sqref="N522:O522">
    <cfRule type="expression" dxfId="3605" priority="243">
      <formula>AND(ISNUMBER(N522),TRUNC(N522)&lt;TODAY())</formula>
    </cfRule>
  </conditionalFormatting>
  <conditionalFormatting sqref="O517:Q517">
    <cfRule type="expression" dxfId="3604" priority="244">
      <formula>AND(ISNUMBER(O517),TRUNC(O517)&lt;TODAY())</formula>
    </cfRule>
  </conditionalFormatting>
  <conditionalFormatting sqref="F517">
    <cfRule type="containsText" dxfId="3603" priority="245" operator="containsText" text="F">
      <formula>NOT(ISERROR(SEARCH(("F"),(F517))))</formula>
    </cfRule>
  </conditionalFormatting>
  <conditionalFormatting sqref="P516">
    <cfRule type="expression" dxfId="3602" priority="246">
      <formula>AND(ISNUMBER(P516),TRUNC(P516)&lt;TODAY())</formula>
    </cfRule>
  </conditionalFormatting>
  <conditionalFormatting sqref="Q516">
    <cfRule type="expression" dxfId="3601" priority="247">
      <formula>AND(ISNUMBER(Q516),TRUNC(Q516)&lt;TODAY())</formula>
    </cfRule>
  </conditionalFormatting>
  <conditionalFormatting sqref="O516">
    <cfRule type="expression" dxfId="3600" priority="248">
      <formula>AND(ISNUMBER(O516),TRUNC(O516)&lt;TODAY())</formula>
    </cfRule>
  </conditionalFormatting>
  <conditionalFormatting sqref="F516">
    <cfRule type="containsText" dxfId="3599" priority="249" operator="containsText" text="F">
      <formula>NOT(ISERROR(SEARCH(("F"),(F516))))</formula>
    </cfRule>
  </conditionalFormatting>
  <conditionalFormatting sqref="O515">
    <cfRule type="expression" dxfId="3598" priority="250">
      <formula>AND(ISNUMBER(O515),TRUNC(O515)&lt;TODAY())</formula>
    </cfRule>
  </conditionalFormatting>
  <conditionalFormatting sqref="P515">
    <cfRule type="expression" dxfId="3597" priority="251">
      <formula>AND(ISNUMBER(P515),TRUNC(P515)&lt;TODAY())</formula>
    </cfRule>
  </conditionalFormatting>
  <conditionalFormatting sqref="P515">
    <cfRule type="expression" dxfId="3596" priority="252">
      <formula>AND(ISNUMBER(P515),TRUNC(P515)&lt;TODAY())</formula>
    </cfRule>
  </conditionalFormatting>
  <conditionalFormatting sqref="Q515">
    <cfRule type="expression" dxfId="3595" priority="253">
      <formula>AND(ISNUMBER(Q515),TRUNC(Q515)&lt;TODAY())</formula>
    </cfRule>
  </conditionalFormatting>
  <conditionalFormatting sqref="F515">
    <cfRule type="containsText" dxfId="3594" priority="254" operator="containsText" text="F">
      <formula>NOT(ISERROR(SEARCH(("F"),(F515))))</formula>
    </cfRule>
  </conditionalFormatting>
  <conditionalFormatting sqref="V515">
    <cfRule type="notContainsBlanks" dxfId="3593" priority="255">
      <formula>LEN(TRIM(V515))&gt;0</formula>
    </cfRule>
  </conditionalFormatting>
  <conditionalFormatting sqref="N514">
    <cfRule type="expression" dxfId="3592" priority="256">
      <formula>AND(ISNUMBER(N514),TRUNC(N514)&lt;TODAY())</formula>
    </cfRule>
  </conditionalFormatting>
  <conditionalFormatting sqref="N514:O514">
    <cfRule type="expression" dxfId="3591" priority="257">
      <formula>AND(ISNUMBER(N514),TRUNC(N514)&lt;TODAY())</formula>
    </cfRule>
  </conditionalFormatting>
  <conditionalFormatting sqref="P513">
    <cfRule type="expression" dxfId="3590" priority="258">
      <formula>AND(ISNUMBER(P513),TRUNC(P513)&lt;TODAY())</formula>
    </cfRule>
  </conditionalFormatting>
  <conditionalFormatting sqref="Q513">
    <cfRule type="expression" dxfId="3589" priority="259">
      <formula>AND(ISNUMBER(Q513),TRUNC(Q513)&lt;TODAY())</formula>
    </cfRule>
  </conditionalFormatting>
  <conditionalFormatting sqref="O513">
    <cfRule type="expression" dxfId="3588" priority="260">
      <formula>AND(ISNUMBER(O513),TRUNC(O513)&lt;TODAY())</formula>
    </cfRule>
  </conditionalFormatting>
  <conditionalFormatting sqref="O506:Q506">
    <cfRule type="expression" dxfId="3587" priority="261">
      <formula>AND(ISNUMBER(O506),TRUNC(O506)&lt;TODAY())</formula>
    </cfRule>
  </conditionalFormatting>
  <conditionalFormatting sqref="F506:F507">
    <cfRule type="containsText" dxfId="3586" priority="262" operator="containsText" text="F">
      <formula>NOT(ISERROR(SEARCH(("F"),(F506))))</formula>
    </cfRule>
  </conditionalFormatting>
  <conditionalFormatting sqref="O503:Q503">
    <cfRule type="expression" dxfId="3585" priority="263">
      <formula>AND(ISNUMBER(O503),TRUNC(O503)&lt;TODAY())</formula>
    </cfRule>
  </conditionalFormatting>
  <conditionalFormatting sqref="F503">
    <cfRule type="containsText" dxfId="3584" priority="264" operator="containsText" text="F">
      <formula>NOT(ISERROR(SEARCH(("F"),(F503))))</formula>
    </cfRule>
  </conditionalFormatting>
  <conditionalFormatting sqref="V498 V507">
    <cfRule type="notContainsBlanks" dxfId="3583" priority="265">
      <formula>LEN(TRIM(V498))&gt;0</formula>
    </cfRule>
  </conditionalFormatting>
  <conditionalFormatting sqref="Q498 P507">
    <cfRule type="expression" dxfId="3582" priority="266">
      <formula>AND(ISNUMBER(Q498),TRUNC(Q498)&lt;TODAY())</formula>
    </cfRule>
  </conditionalFormatting>
  <conditionalFormatting sqref="Q498">
    <cfRule type="expression" dxfId="3581" priority="267">
      <formula>AND(ISNUMBER(Q498),TRUNC(Q498)&lt;TODAY())</formula>
    </cfRule>
  </conditionalFormatting>
  <conditionalFormatting sqref="P498">
    <cfRule type="expression" dxfId="3580" priority="268">
      <formula>AND(ISNUMBER(P498),TRUNC(P498)&lt;TODAY())</formula>
    </cfRule>
  </conditionalFormatting>
  <conditionalFormatting sqref="O498">
    <cfRule type="expression" dxfId="3579" priority="269">
      <formula>AND(ISNUMBER(O498),TRUNC(O498)&lt;TODAY())</formula>
    </cfRule>
  </conditionalFormatting>
  <conditionalFormatting sqref="F498">
    <cfRule type="containsText" dxfId="3578" priority="270" operator="containsText" text="F">
      <formula>NOT(ISERROR(SEARCH(("F"),(F498))))</formula>
    </cfRule>
  </conditionalFormatting>
  <conditionalFormatting sqref="F497">
    <cfRule type="containsText" dxfId="3577" priority="271" operator="containsText" text="F">
      <formula>NOT(ISERROR(SEARCH(("F"),(F497))))</formula>
    </cfRule>
  </conditionalFormatting>
  <conditionalFormatting sqref="P497">
    <cfRule type="expression" dxfId="3576" priority="272">
      <formula>AND(ISNUMBER(P497),TRUNC(P497)&lt;TODAY())</formula>
    </cfRule>
  </conditionalFormatting>
  <conditionalFormatting sqref="O497">
    <cfRule type="expression" dxfId="3575" priority="273">
      <formula>AND(ISNUMBER(O497),TRUNC(O497)&lt;TODAY())</formula>
    </cfRule>
  </conditionalFormatting>
  <conditionalFormatting sqref="F496">
    <cfRule type="containsText" dxfId="3574" priority="274" operator="containsText" text="F">
      <formula>NOT(ISERROR(SEARCH(("F"),(F496))))</formula>
    </cfRule>
  </conditionalFormatting>
  <conditionalFormatting sqref="P496 O496 Q496">
    <cfRule type="expression" dxfId="3573" priority="275">
      <formula>AND(ISNUMBER(P496),TRUNC(P496)&lt;TODAY())</formula>
    </cfRule>
  </conditionalFormatting>
  <conditionalFormatting sqref="O495:Q495">
    <cfRule type="expression" dxfId="3572" priority="276">
      <formula>AND(ISNUMBER(O495),TRUNC(O495)&lt;TODAY())</formula>
    </cfRule>
  </conditionalFormatting>
  <conditionalFormatting sqref="F495">
    <cfRule type="containsText" dxfId="3571" priority="277" operator="containsText" text="F">
      <formula>NOT(ISERROR(SEARCH(("F"),(F495))))</formula>
    </cfRule>
  </conditionalFormatting>
  <conditionalFormatting sqref="O494:Q494">
    <cfRule type="expression" dxfId="3570" priority="278">
      <formula>AND(ISNUMBER(O494),TRUNC(O494)&lt;TODAY())</formula>
    </cfRule>
  </conditionalFormatting>
  <conditionalFormatting sqref="F494">
    <cfRule type="containsText" dxfId="3569" priority="279" operator="containsText" text="F">
      <formula>NOT(ISERROR(SEARCH(("F"),(F494))))</formula>
    </cfRule>
  </conditionalFormatting>
  <conditionalFormatting sqref="O493:Q493">
    <cfRule type="expression" dxfId="3568" priority="280">
      <formula>AND(ISNUMBER(O493),TRUNC(O493)&lt;TODAY())</formula>
    </cfRule>
  </conditionalFormatting>
  <conditionalFormatting sqref="F492">
    <cfRule type="containsText" dxfId="3567" priority="281" operator="containsText" text="F">
      <formula>NOT(ISERROR(SEARCH(("F"),(F492))))</formula>
    </cfRule>
  </conditionalFormatting>
  <conditionalFormatting sqref="P492">
    <cfRule type="expression" dxfId="3566" priority="282">
      <formula>AND(ISNUMBER(P492),TRUNC(P492)&lt;TODAY())</formula>
    </cfRule>
  </conditionalFormatting>
  <conditionalFormatting sqref="Q492">
    <cfRule type="expression" dxfId="3565" priority="283">
      <formula>AND(ISNUMBER(Q492),TRUNC(Q492)&lt;TODAY())</formula>
    </cfRule>
  </conditionalFormatting>
  <conditionalFormatting sqref="F491">
    <cfRule type="containsText" dxfId="3564" priority="284" operator="containsText" text="F">
      <formula>NOT(ISERROR(SEARCH(("F"),(F491))))</formula>
    </cfRule>
  </conditionalFormatting>
  <conditionalFormatting sqref="O491:Q491">
    <cfRule type="expression" dxfId="3563" priority="285">
      <formula>AND(ISNUMBER(O491),TRUNC(O491)&lt;TODAY())</formula>
    </cfRule>
  </conditionalFormatting>
  <conditionalFormatting sqref="F490">
    <cfRule type="containsText" dxfId="3562" priority="286" operator="containsText" text="F">
      <formula>NOT(ISERROR(SEARCH(("F"),(F490))))</formula>
    </cfRule>
  </conditionalFormatting>
  <conditionalFormatting sqref="O490">
    <cfRule type="expression" dxfId="3561" priority="287">
      <formula>AND(ISNUMBER(O490),TRUNC(O490)&lt;TODAY())</formula>
    </cfRule>
  </conditionalFormatting>
  <conditionalFormatting sqref="P490">
    <cfRule type="expression" dxfId="3560" priority="288">
      <formula>AND(ISNUMBER(P490),TRUNC(P490)&lt;TODAY())</formula>
    </cfRule>
  </conditionalFormatting>
  <conditionalFormatting sqref="Q490">
    <cfRule type="expression" dxfId="3559" priority="289">
      <formula>AND(ISNUMBER(Q490),TRUNC(Q490)&lt;TODAY())</formula>
    </cfRule>
  </conditionalFormatting>
  <conditionalFormatting sqref="P474:Q474">
    <cfRule type="expression" dxfId="3558" priority="290">
      <formula>AND(ISNUMBER(P474),TRUNC(P474)&lt;TODAY())</formula>
    </cfRule>
  </conditionalFormatting>
  <conditionalFormatting sqref="P474">
    <cfRule type="expression" dxfId="3557" priority="291">
      <formula>AND(ISNUMBER(P474),TRUNC(P474)&lt;TODAY())</formula>
    </cfRule>
  </conditionalFormatting>
  <conditionalFormatting sqref="Q474">
    <cfRule type="expression" dxfId="3556" priority="292">
      <formula>AND(ISNUMBER(Q474),TRUNC(Q474)&lt;TODAY())</formula>
    </cfRule>
  </conditionalFormatting>
  <conditionalFormatting sqref="O474">
    <cfRule type="expression" dxfId="3555" priority="293">
      <formula>AND(ISNUMBER(O474),TRUNC(O474)&lt;TODAY())</formula>
    </cfRule>
  </conditionalFormatting>
  <conditionalFormatting sqref="F474">
    <cfRule type="containsText" dxfId="3554" priority="294" operator="containsText" text="F">
      <formula>NOT(ISERROR(SEARCH(("F"),(F474))))</formula>
    </cfRule>
  </conditionalFormatting>
  <conditionalFormatting sqref="O486:Q486">
    <cfRule type="expression" dxfId="3553" priority="295">
      <formula>AND(ISNUMBER(O486),TRUNC(O486)&lt;TODAY())</formula>
    </cfRule>
  </conditionalFormatting>
  <conditionalFormatting sqref="F486">
    <cfRule type="containsText" dxfId="3552" priority="296" operator="containsText" text="F">
      <formula>NOT(ISERROR(SEARCH(("F"),(F486))))</formula>
    </cfRule>
  </conditionalFormatting>
  <conditionalFormatting sqref="O473:Q473">
    <cfRule type="expression" dxfId="3551" priority="297">
      <formula>AND(ISNUMBER(O473),TRUNC(O473)&lt;TODAY())</formula>
    </cfRule>
  </conditionalFormatting>
  <conditionalFormatting sqref="F473">
    <cfRule type="containsText" dxfId="3550" priority="298" operator="containsText" text="F">
      <formula>NOT(ISERROR(SEARCH(("F"),(F473))))</formula>
    </cfRule>
  </conditionalFormatting>
  <conditionalFormatting sqref="O472:Q472">
    <cfRule type="expression" dxfId="3549" priority="299">
      <formula>AND(ISNUMBER(O472),TRUNC(O472)&lt;TODAY())</formula>
    </cfRule>
  </conditionalFormatting>
  <conditionalFormatting sqref="F472">
    <cfRule type="containsText" dxfId="3548" priority="300" operator="containsText" text="F">
      <formula>NOT(ISERROR(SEARCH(("F"),(F472))))</formula>
    </cfRule>
  </conditionalFormatting>
  <conditionalFormatting sqref="Q471">
    <cfRule type="expression" dxfId="3547" priority="301">
      <formula>AND(ISNUMBER(Q471),TRUNC(Q471)&lt;TODAY())</formula>
    </cfRule>
  </conditionalFormatting>
  <conditionalFormatting sqref="O471">
    <cfRule type="expression" dxfId="3546" priority="302">
      <formula>AND(ISNUMBER(O471),TRUNC(O471)&lt;TODAY())</formula>
    </cfRule>
  </conditionalFormatting>
  <conditionalFormatting sqref="P471">
    <cfRule type="expression" dxfId="3545" priority="303">
      <formula>AND(ISNUMBER(P471),TRUNC(P471)&lt;TODAY())</formula>
    </cfRule>
  </conditionalFormatting>
  <conditionalFormatting sqref="P471">
    <cfRule type="expression" dxfId="3544" priority="304">
      <formula>AND(ISNUMBER(P471),TRUNC(P471)&lt;TODAY())</formula>
    </cfRule>
  </conditionalFormatting>
  <conditionalFormatting sqref="V471">
    <cfRule type="notContainsBlanks" dxfId="3543" priority="305">
      <formula>LEN(TRIM(V471))&gt;0</formula>
    </cfRule>
  </conditionalFormatting>
  <conditionalFormatting sqref="F471">
    <cfRule type="containsText" dxfId="3542" priority="306" operator="containsText" text="F">
      <formula>NOT(ISERROR(SEARCH(("F"),(F471))))</formula>
    </cfRule>
  </conditionalFormatting>
  <conditionalFormatting sqref="O482:Q482">
    <cfRule type="expression" dxfId="3541" priority="307">
      <formula>AND(ISNUMBER(O482),TRUNC(O482)&lt;TODAY())</formula>
    </cfRule>
  </conditionalFormatting>
  <conditionalFormatting sqref="P482:Q482">
    <cfRule type="expression" dxfId="3540" priority="308">
      <formula>AND(ISNUMBER(P482),TRUNC(P482)&lt;TODAY())</formula>
    </cfRule>
  </conditionalFormatting>
  <conditionalFormatting sqref="F482">
    <cfRule type="containsText" dxfId="3539" priority="309" operator="containsText" text="F">
      <formula>NOT(ISERROR(SEARCH(("F"),(F482))))</formula>
    </cfRule>
  </conditionalFormatting>
  <conditionalFormatting sqref="P481">
    <cfRule type="expression" dxfId="3538" priority="310">
      <formula>AND(ISNUMBER(P481),TRUNC(P481)&lt;TODAY())</formula>
    </cfRule>
  </conditionalFormatting>
  <conditionalFormatting sqref="O481">
    <cfRule type="expression" dxfId="3537" priority="311">
      <formula>AND(ISNUMBER(O481),TRUNC(O481)&lt;TODAY())</formula>
    </cfRule>
  </conditionalFormatting>
  <conditionalFormatting sqref="Q481">
    <cfRule type="expression" dxfId="3536" priority="312">
      <formula>AND(ISNUMBER(Q481),TRUNC(Q481)&lt;TODAY())</formula>
    </cfRule>
  </conditionalFormatting>
  <conditionalFormatting sqref="P479">
    <cfRule type="expression" dxfId="3535" priority="313">
      <formula>AND(ISNUMBER(P479),TRUNC(P479)&lt;TODAY())</formula>
    </cfRule>
  </conditionalFormatting>
  <conditionalFormatting sqref="Q479">
    <cfRule type="expression" dxfId="3534" priority="314">
      <formula>AND(ISNUMBER(Q479),TRUNC(Q479)&lt;TODAY())</formula>
    </cfRule>
  </conditionalFormatting>
  <conditionalFormatting sqref="O479">
    <cfRule type="expression" dxfId="3533" priority="315">
      <formula>AND(ISNUMBER(O479),TRUNC(O479)&lt;TODAY())</formula>
    </cfRule>
  </conditionalFormatting>
  <conditionalFormatting sqref="F479">
    <cfRule type="containsText" dxfId="3532" priority="316" operator="containsText" text="F">
      <formula>NOT(ISERROR(SEARCH(("F"),(F479))))</formula>
    </cfRule>
  </conditionalFormatting>
  <conditionalFormatting sqref="Q478">
    <cfRule type="expression" dxfId="3531" priority="317">
      <formula>AND(ISNUMBER(Q478),TRUNC(Q478)&lt;TODAY())</formula>
    </cfRule>
  </conditionalFormatting>
  <conditionalFormatting sqref="O478">
    <cfRule type="expression" dxfId="3530" priority="318">
      <formula>AND(ISNUMBER(O478),TRUNC(O478)&lt;TODAY())</formula>
    </cfRule>
  </conditionalFormatting>
  <conditionalFormatting sqref="F478">
    <cfRule type="containsText" dxfId="3529" priority="319" operator="containsText" text="F">
      <formula>NOT(ISERROR(SEARCH(("F"),(F478))))</formula>
    </cfRule>
  </conditionalFormatting>
  <conditionalFormatting sqref="P478">
    <cfRule type="expression" dxfId="3528" priority="320">
      <formula>AND(ISNUMBER(P478),TRUNC(P478)&lt;TODAY())</formula>
    </cfRule>
  </conditionalFormatting>
  <conditionalFormatting sqref="F469">
    <cfRule type="containsText" dxfId="3527" priority="321" operator="containsText" text="F">
      <formula>NOT(ISERROR(SEARCH(("F"),(F469))))</formula>
    </cfRule>
  </conditionalFormatting>
  <conditionalFormatting sqref="O469:Q469">
    <cfRule type="expression" dxfId="3526" priority="322">
      <formula>AND(ISNUMBER(O469),TRUNC(O469)&lt;TODAY())</formula>
    </cfRule>
  </conditionalFormatting>
  <conditionalFormatting sqref="O468:Q468">
    <cfRule type="expression" dxfId="3525" priority="323">
      <formula>AND(ISNUMBER(O468),TRUNC(O468)&lt;TODAY())</formula>
    </cfRule>
  </conditionalFormatting>
  <conditionalFormatting sqref="F468">
    <cfRule type="containsText" dxfId="3524" priority="324" operator="containsText" text="F">
      <formula>NOT(ISERROR(SEARCH(("F"),(F468))))</formula>
    </cfRule>
  </conditionalFormatting>
  <conditionalFormatting sqref="O466:Q466">
    <cfRule type="expression" dxfId="3523" priority="325">
      <formula>AND(ISNUMBER(O466),TRUNC(O466)&lt;TODAY())</formula>
    </cfRule>
  </conditionalFormatting>
  <conditionalFormatting sqref="F465">
    <cfRule type="containsText" dxfId="3522" priority="326" operator="containsText" text="F">
      <formula>NOT(ISERROR(SEARCH(("F"),(F465))))</formula>
    </cfRule>
  </conditionalFormatting>
  <conditionalFormatting sqref="O465:Q465">
    <cfRule type="expression" dxfId="3521" priority="327">
      <formula>AND(ISNUMBER(O465),TRUNC(O465)&lt;TODAY())</formula>
    </cfRule>
  </conditionalFormatting>
  <conditionalFormatting sqref="F464">
    <cfRule type="containsText" dxfId="3520" priority="328" operator="containsText" text="F">
      <formula>NOT(ISERROR(SEARCH(("F"),(F464))))</formula>
    </cfRule>
  </conditionalFormatting>
  <conditionalFormatting sqref="V464">
    <cfRule type="notContainsBlanks" dxfId="3519" priority="329">
      <formula>LEN(TRIM(V464))&gt;0</formula>
    </cfRule>
  </conditionalFormatting>
  <conditionalFormatting sqref="Q464">
    <cfRule type="expression" dxfId="3518" priority="330">
      <formula>AND(ISNUMBER(Q464),TRUNC(Q464)&lt;TODAY())</formula>
    </cfRule>
  </conditionalFormatting>
  <conditionalFormatting sqref="O464">
    <cfRule type="expression" dxfId="3517" priority="331">
      <formula>AND(ISNUMBER(O464),TRUNC(O464)&lt;TODAY())</formula>
    </cfRule>
  </conditionalFormatting>
  <conditionalFormatting sqref="P464">
    <cfRule type="expression" dxfId="3516" priority="332">
      <formula>AND(ISNUMBER(P464),TRUNC(P464)&lt;TODAY())</formula>
    </cfRule>
  </conditionalFormatting>
  <conditionalFormatting sqref="P464">
    <cfRule type="expression" dxfId="3515" priority="333">
      <formula>P464&lt;44043</formula>
    </cfRule>
  </conditionalFormatting>
  <conditionalFormatting sqref="O460:Q460">
    <cfRule type="expression" dxfId="3514" priority="334">
      <formula>AND(ISNUMBER(O460),TRUNC(O460)&lt;TODAY())</formula>
    </cfRule>
  </conditionalFormatting>
  <conditionalFormatting sqref="F460">
    <cfRule type="containsText" dxfId="3513" priority="335" operator="containsText" text="F">
      <formula>NOT(ISERROR(SEARCH(("F"),(F460))))</formula>
    </cfRule>
  </conditionalFormatting>
  <conditionalFormatting sqref="P459">
    <cfRule type="expression" dxfId="3512" priority="336">
      <formula>AND(ISNUMBER(P459),TRUNC(P459)&lt;TODAY())</formula>
    </cfRule>
  </conditionalFormatting>
  <conditionalFormatting sqref="Q459">
    <cfRule type="expression" dxfId="3511" priority="337">
      <formula>AND(ISNUMBER(Q459),TRUNC(Q459)&lt;TODAY())</formula>
    </cfRule>
  </conditionalFormatting>
  <conditionalFormatting sqref="O459">
    <cfRule type="expression" dxfId="3510" priority="338">
      <formula>AND(ISNUMBER(O459),TRUNC(O459)&lt;TODAY())</formula>
    </cfRule>
  </conditionalFormatting>
  <conditionalFormatting sqref="F459">
    <cfRule type="containsText" dxfId="3509" priority="339" operator="containsText" text="F">
      <formula>NOT(ISERROR(SEARCH(("F"),(F459))))</formula>
    </cfRule>
  </conditionalFormatting>
  <conditionalFormatting sqref="F455">
    <cfRule type="containsText" dxfId="3508" priority="340" operator="containsText" text="F">
      <formula>NOT(ISERROR(SEARCH(("F"),(F455))))</formula>
    </cfRule>
  </conditionalFormatting>
  <conditionalFormatting sqref="Q455 P455 N455 O455">
    <cfRule type="expression" dxfId="3507" priority="341">
      <formula>AND(ISNUMBER(Q455),TRUNC(Q455)&lt;TODAY())</formula>
    </cfRule>
  </conditionalFormatting>
  <conditionalFormatting sqref="P454">
    <cfRule type="expression" dxfId="3506" priority="342">
      <formula>AND(ISNUMBER(P454),TRUNC(P454)&lt;TODAY())</formula>
    </cfRule>
  </conditionalFormatting>
  <conditionalFormatting sqref="O454">
    <cfRule type="expression" dxfId="3505" priority="343">
      <formula>AND(ISNUMBER(O454),TRUNC(O454)&lt;TODAY())</formula>
    </cfRule>
  </conditionalFormatting>
  <conditionalFormatting sqref="Q454">
    <cfRule type="expression" dxfId="3504" priority="344">
      <formula>AND(ISNUMBER(Q454),TRUNC(Q454)&lt;TODAY())</formula>
    </cfRule>
  </conditionalFormatting>
  <conditionalFormatting sqref="O450:Q450">
    <cfRule type="expression" dxfId="3503" priority="345">
      <formula>AND(ISNUMBER(O450),TRUNC(O450)&lt;TODAY())</formula>
    </cfRule>
  </conditionalFormatting>
  <conditionalFormatting sqref="F450">
    <cfRule type="containsText" dxfId="3502" priority="346" operator="containsText" text="F">
      <formula>NOT(ISERROR(SEARCH(("F"),(F450))))</formula>
    </cfRule>
  </conditionalFormatting>
  <conditionalFormatting sqref="F447">
    <cfRule type="containsText" dxfId="3501" priority="347" operator="containsText" text="F">
      <formula>NOT(ISERROR(SEARCH(("F"),(F447))))</formula>
    </cfRule>
  </conditionalFormatting>
  <conditionalFormatting sqref="P447">
    <cfRule type="expression" dxfId="3500" priority="348">
      <formula>AND(ISNUMBER(P447),TRUNC(P447)&lt;TODAY())</formula>
    </cfRule>
  </conditionalFormatting>
  <conditionalFormatting sqref="Q447">
    <cfRule type="expression" dxfId="3499" priority="349">
      <formula>AND(ISNUMBER(Q447),TRUNC(Q447)&lt;TODAY())</formula>
    </cfRule>
  </conditionalFormatting>
  <conditionalFormatting sqref="O447">
    <cfRule type="expression" dxfId="3498" priority="350">
      <formula>AND(ISNUMBER(O447),TRUNC(O447)&lt;TODAY())</formula>
    </cfRule>
  </conditionalFormatting>
  <conditionalFormatting sqref="F446">
    <cfRule type="containsText" dxfId="3497" priority="351" operator="containsText" text="F">
      <formula>NOT(ISERROR(SEARCH(("F"),(F446))))</formula>
    </cfRule>
  </conditionalFormatting>
  <conditionalFormatting sqref="O446:Q446">
    <cfRule type="expression" dxfId="3496" priority="352">
      <formula>AND(ISNUMBER(O446),TRUNC(O446)&lt;TODAY())</formula>
    </cfRule>
  </conditionalFormatting>
  <conditionalFormatting sqref="Q442">
    <cfRule type="expression" dxfId="3495" priority="353">
      <formula>AND(ISNUMBER(Q442),TRUNC(Q442)&lt;TODAY())</formula>
    </cfRule>
  </conditionalFormatting>
  <conditionalFormatting sqref="P442">
    <cfRule type="expression" dxfId="3494" priority="354">
      <formula>P442&lt;44043</formula>
    </cfRule>
  </conditionalFormatting>
  <conditionalFormatting sqref="P442">
    <cfRule type="expression" dxfId="3493" priority="355">
      <formula>AND(ISNUMBER(P442),TRUNC(P442)&lt;TODAY())</formula>
    </cfRule>
  </conditionalFormatting>
  <conditionalFormatting sqref="O442:P442">
    <cfRule type="expression" dxfId="3492" priority="356">
      <formula>AND(ISNUMBER(O442),TRUNC(O442)&lt;TODAY())</formula>
    </cfRule>
  </conditionalFormatting>
  <conditionalFormatting sqref="O441:Q441">
    <cfRule type="expression" dxfId="3491" priority="357">
      <formula>AND(ISNUMBER(O441),TRUNC(O441)&lt;TODAY())</formula>
    </cfRule>
  </conditionalFormatting>
  <conditionalFormatting sqref="O440:Q440">
    <cfRule type="expression" dxfId="3490" priority="358">
      <formula>AND(ISNUMBER(O440),TRUNC(O440)&lt;TODAY())</formula>
    </cfRule>
  </conditionalFormatting>
  <conditionalFormatting sqref="F440">
    <cfRule type="containsText" dxfId="3489" priority="359" operator="containsText" text="F">
      <formula>NOT(ISERROR(SEARCH(("F"),(F440))))</formula>
    </cfRule>
  </conditionalFormatting>
  <conditionalFormatting sqref="O439:Q439">
    <cfRule type="expression" dxfId="3488" priority="360">
      <formula>AND(ISNUMBER(O439),TRUNC(O439)&lt;TODAY())</formula>
    </cfRule>
  </conditionalFormatting>
  <conditionalFormatting sqref="F439">
    <cfRule type="containsText" dxfId="3487" priority="361" operator="containsText" text="F">
      <formula>NOT(ISERROR(SEARCH(("F"),(F439))))</formula>
    </cfRule>
  </conditionalFormatting>
  <conditionalFormatting sqref="F315">
    <cfRule type="containsText" dxfId="3486" priority="362" operator="containsText" text="F">
      <formula>NOT(ISERROR(SEARCH(("F"),(F315))))</formula>
    </cfRule>
  </conditionalFormatting>
  <conditionalFormatting sqref="O315:Q315">
    <cfRule type="expression" dxfId="3485" priority="363">
      <formula>AND(ISNUMBER(O315),TRUNC(O315)&lt;TODAY())</formula>
    </cfRule>
  </conditionalFormatting>
  <conditionalFormatting sqref="F436">
    <cfRule type="containsText" dxfId="3484" priority="364" operator="containsText" text="F">
      <formula>NOT(ISERROR(SEARCH(("F"),(F436))))</formula>
    </cfRule>
  </conditionalFormatting>
  <conditionalFormatting sqref="O436:Q436">
    <cfRule type="expression" dxfId="3483" priority="365">
      <formula>AND(ISNUMBER(O436),TRUNC(O436)&lt;TODAY())</formula>
    </cfRule>
  </conditionalFormatting>
  <conditionalFormatting sqref="O435:Q435">
    <cfRule type="expression" dxfId="3482" priority="366">
      <formula>AND(ISNUMBER(O435),TRUNC(O435)&lt;TODAY())</formula>
    </cfRule>
  </conditionalFormatting>
  <conditionalFormatting sqref="F434">
    <cfRule type="containsText" dxfId="3481" priority="367" operator="containsText" text="F">
      <formula>NOT(ISERROR(SEARCH(("F"),(F434))))</formula>
    </cfRule>
  </conditionalFormatting>
  <conditionalFormatting sqref="O434:Q434">
    <cfRule type="expression" dxfId="3480" priority="368">
      <formula>AND(ISNUMBER(O434),TRUNC(O434)&lt;TODAY())</formula>
    </cfRule>
  </conditionalFormatting>
  <conditionalFormatting sqref="Q434">
    <cfRule type="expression" dxfId="3479" priority="369">
      <formula>AND(ISNUMBER(Q434),TRUNC(Q434)&lt;TODAY())</formula>
    </cfRule>
  </conditionalFormatting>
  <conditionalFormatting sqref="Q433">
    <cfRule type="expression" dxfId="3478" priority="370">
      <formula>AND(ISNUMBER(Q433),TRUNC(Q433)&lt;TODAY())</formula>
    </cfRule>
  </conditionalFormatting>
  <conditionalFormatting sqref="F433">
    <cfRule type="containsText" dxfId="3477" priority="371" operator="containsText" text="F">
      <formula>NOT(ISERROR(SEARCH(("F"),(F433))))</formula>
    </cfRule>
  </conditionalFormatting>
  <conditionalFormatting sqref="P433">
    <cfRule type="expression" dxfId="3476" priority="372">
      <formula>AND(ISNUMBER(P433),TRUNC(P433)&lt;TODAY())</formula>
    </cfRule>
  </conditionalFormatting>
  <conditionalFormatting sqref="Q433">
    <cfRule type="expression" dxfId="3475" priority="373">
      <formula>AND(ISNUMBER(Q433),TRUNC(Q433)&lt;TODAY())</formula>
    </cfRule>
  </conditionalFormatting>
  <conditionalFormatting sqref="O433 Q433">
    <cfRule type="expression" dxfId="3474" priority="374">
      <formula>AND(ISNUMBER(O433),TRUNC(O433)&lt;TODAY())</formula>
    </cfRule>
  </conditionalFormatting>
  <conditionalFormatting sqref="O433 O507">
    <cfRule type="expression" dxfId="3473" priority="375">
      <formula>AND(ISNUMBER(O433),TRUNC(O433)&lt;TODAY())</formula>
    </cfRule>
  </conditionalFormatting>
  <conditionalFormatting sqref="V433">
    <cfRule type="notContainsBlanks" dxfId="3472" priority="376">
      <formula>LEN(TRIM(V433))&gt;0</formula>
    </cfRule>
  </conditionalFormatting>
  <conditionalFormatting sqref="Q432">
    <cfRule type="expression" dxfId="3471" priority="377">
      <formula>AND(ISNUMBER(Q432),TRUNC(Q432)&lt;TODAY())</formula>
    </cfRule>
  </conditionalFormatting>
  <conditionalFormatting sqref="P432">
    <cfRule type="expression" dxfId="3470" priority="378">
      <formula>AND(ISNUMBER(P432),TRUNC(P432)&lt;TODAY())</formula>
    </cfRule>
  </conditionalFormatting>
  <conditionalFormatting sqref="Q432">
    <cfRule type="expression" dxfId="3469" priority="379">
      <formula>AND(ISNUMBER(Q432),TRUNC(Q432)&lt;TODAY())</formula>
    </cfRule>
  </conditionalFormatting>
  <conditionalFormatting sqref="V432">
    <cfRule type="notContainsBlanks" dxfId="3468" priority="380">
      <formula>LEN(TRIM(V432))&gt;0</formula>
    </cfRule>
  </conditionalFormatting>
  <conditionalFormatting sqref="O432">
    <cfRule type="expression" dxfId="3467" priority="381">
      <formula>AND(ISNUMBER(O432),TRUNC(O432)&lt;TODAY())</formula>
    </cfRule>
  </conditionalFormatting>
  <conditionalFormatting sqref="F432">
    <cfRule type="containsText" dxfId="3466" priority="382" operator="containsText" text="F">
      <formula>NOT(ISERROR(SEARCH(("F"),(F432))))</formula>
    </cfRule>
  </conditionalFormatting>
  <conditionalFormatting sqref="O431">
    <cfRule type="expression" dxfId="3465" priority="383">
      <formula>AND(ISNUMBER(O431),TRUNC(O431)&lt;TODAY())</formula>
    </cfRule>
  </conditionalFormatting>
  <conditionalFormatting sqref="F431">
    <cfRule type="containsText" dxfId="3464" priority="384" operator="containsText" text="F">
      <formula>NOT(ISERROR(SEARCH(("F"),(F431))))</formula>
    </cfRule>
  </conditionalFormatting>
  <conditionalFormatting sqref="Q431">
    <cfRule type="expression" dxfId="3463" priority="385">
      <formula>AND(ISNUMBER(Q431),TRUNC(Q431)&lt;TODAY())</formula>
    </cfRule>
  </conditionalFormatting>
  <conditionalFormatting sqref="P431">
    <cfRule type="expression" dxfId="3462" priority="386">
      <formula>AND(ISNUMBER(P431),TRUNC(P431)&lt;TODAY())</formula>
    </cfRule>
  </conditionalFormatting>
  <conditionalFormatting sqref="P431">
    <cfRule type="expression" dxfId="3461" priority="387">
      <formula>AND(ISNUMBER(P431),TRUNC(P431)&lt;TODAY())</formula>
    </cfRule>
  </conditionalFormatting>
  <conditionalFormatting sqref="F430">
    <cfRule type="containsText" dxfId="3460" priority="388" operator="containsText" text="F">
      <formula>NOT(ISERROR(SEARCH(("F"),(F430))))</formula>
    </cfRule>
  </conditionalFormatting>
  <conditionalFormatting sqref="P430:Q430">
    <cfRule type="expression" dxfId="3459" priority="389">
      <formula>AND(ISNUMBER(P430),TRUNC(P430)&lt;TODAY())</formula>
    </cfRule>
  </conditionalFormatting>
  <conditionalFormatting sqref="O430:Q430">
    <cfRule type="expression" dxfId="3458" priority="390">
      <formula>AND(ISNUMBER(O430),TRUNC(O430)&lt;TODAY())</formula>
    </cfRule>
  </conditionalFormatting>
  <conditionalFormatting sqref="O428:Q428">
    <cfRule type="expression" dxfId="3457" priority="391">
      <formula>AND(ISNUMBER(O428),TRUNC(O428)&lt;TODAY())</formula>
    </cfRule>
  </conditionalFormatting>
  <conditionalFormatting sqref="F428">
    <cfRule type="containsText" dxfId="3456" priority="392" operator="containsText" text="F">
      <formula>NOT(ISERROR(SEARCH(("F"),(F428))))</formula>
    </cfRule>
  </conditionalFormatting>
  <conditionalFormatting sqref="P427">
    <cfRule type="expression" dxfId="3455" priority="393">
      <formula>AND(ISNUMBER(P427),TRUNC(P427)&lt;TODAY())</formula>
    </cfRule>
  </conditionalFormatting>
  <conditionalFormatting sqref="O427">
    <cfRule type="expression" dxfId="3454" priority="394">
      <formula>AND(ISNUMBER(O427),TRUNC(O427)&lt;TODAY())</formula>
    </cfRule>
  </conditionalFormatting>
  <conditionalFormatting sqref="F427">
    <cfRule type="containsText" dxfId="3453" priority="395" operator="containsText" text="F">
      <formula>NOT(ISERROR(SEARCH(("F"),(F427))))</formula>
    </cfRule>
  </conditionalFormatting>
  <conditionalFormatting sqref="Q426">
    <cfRule type="expression" dxfId="3452" priority="396">
      <formula>AND(ISNUMBER(Q426),TRUNC(Q426)&lt;TODAY())</formula>
    </cfRule>
  </conditionalFormatting>
  <conditionalFormatting sqref="O426">
    <cfRule type="expression" dxfId="3451" priority="397">
      <formula>AND(ISNUMBER(O426),TRUNC(O426)&lt;TODAY())</formula>
    </cfRule>
  </conditionalFormatting>
  <conditionalFormatting sqref="P426">
    <cfRule type="expression" dxfId="3450" priority="398">
      <formula>AND(ISNUMBER(P426),TRUNC(P426)&lt;TODAY())</formula>
    </cfRule>
  </conditionalFormatting>
  <conditionalFormatting sqref="F426">
    <cfRule type="containsText" dxfId="3449" priority="399" operator="containsText" text="F">
      <formula>NOT(ISERROR(SEARCH(("F"),(F426))))</formula>
    </cfRule>
  </conditionalFormatting>
  <conditionalFormatting sqref="O422:Q422">
    <cfRule type="expression" dxfId="3448" priority="400">
      <formula>AND(ISNUMBER(O422),TRUNC(O422)&lt;TODAY())</formula>
    </cfRule>
  </conditionalFormatting>
  <conditionalFormatting sqref="F422">
    <cfRule type="containsText" dxfId="3447" priority="401" operator="containsText" text="F">
      <formula>NOT(ISERROR(SEARCH(("F"),(F422))))</formula>
    </cfRule>
  </conditionalFormatting>
  <conditionalFormatting sqref="O419:Q419">
    <cfRule type="expression" dxfId="3446" priority="402">
      <formula>AND(ISNUMBER(O419),TRUNC(O419)&lt;TODAY())</formula>
    </cfRule>
  </conditionalFormatting>
  <conditionalFormatting sqref="P411">
    <cfRule type="expression" dxfId="3445" priority="403">
      <formula>AND(ISNUMBER(P411),TRUNC(P411)&lt;TODAY())</formula>
    </cfRule>
  </conditionalFormatting>
  <conditionalFormatting sqref="O411">
    <cfRule type="expression" dxfId="3444" priority="404">
      <formula>AND(ISNUMBER(O411),TRUNC(O411)&lt;TODAY())</formula>
    </cfRule>
  </conditionalFormatting>
  <conditionalFormatting sqref="F411">
    <cfRule type="containsText" dxfId="3443" priority="405" operator="containsText" text="F">
      <formula>NOT(ISERROR(SEARCH(("F"),(F411))))</formula>
    </cfRule>
  </conditionalFormatting>
  <conditionalFormatting sqref="O410">
    <cfRule type="expression" dxfId="3442" priority="406">
      <formula>AND(ISNUMBER(O410),TRUNC(O410)&lt;TODAY())</formula>
    </cfRule>
  </conditionalFormatting>
  <conditionalFormatting sqref="Q410">
    <cfRule type="expression" dxfId="3441" priority="407">
      <formula>AND(ISNUMBER(Q410),TRUNC(Q410)&lt;TODAY())</formula>
    </cfRule>
  </conditionalFormatting>
  <conditionalFormatting sqref="P410">
    <cfRule type="expression" dxfId="3440" priority="408">
      <formula>AND(ISNUMBER(P410),TRUNC(P410)&lt;TODAY())</formula>
    </cfRule>
  </conditionalFormatting>
  <conditionalFormatting sqref="F410">
    <cfRule type="containsText" dxfId="3439" priority="409" operator="containsText" text="F">
      <formula>NOT(ISERROR(SEARCH(("F"),(F410))))</formula>
    </cfRule>
  </conditionalFormatting>
  <conditionalFormatting sqref="O409:Q409">
    <cfRule type="expression" dxfId="3438" priority="410">
      <formula>AND(ISNUMBER(O409),TRUNC(O409)&lt;TODAY())</formula>
    </cfRule>
  </conditionalFormatting>
  <conditionalFormatting sqref="F409">
    <cfRule type="containsText" dxfId="3437" priority="411" operator="containsText" text="F">
      <formula>NOT(ISERROR(SEARCH(("F"),(F409))))</formula>
    </cfRule>
  </conditionalFormatting>
  <conditionalFormatting sqref="F408">
    <cfRule type="containsText" dxfId="3436" priority="412" operator="containsText" text="F">
      <formula>NOT(ISERROR(SEARCH(("F"),(F408))))</formula>
    </cfRule>
  </conditionalFormatting>
  <conditionalFormatting sqref="O408:Q408">
    <cfRule type="expression" dxfId="3435" priority="413">
      <formula>AND(ISNUMBER(O408),TRUNC(O408)&lt;TODAY())</formula>
    </cfRule>
  </conditionalFormatting>
  <conditionalFormatting sqref="F407">
    <cfRule type="containsText" dxfId="3434" priority="414" operator="containsText" text="F">
      <formula>NOT(ISERROR(SEARCH(("F"),(F407))))</formula>
    </cfRule>
  </conditionalFormatting>
  <conditionalFormatting sqref="O407:Q407">
    <cfRule type="expression" dxfId="3433" priority="415">
      <formula>AND(ISNUMBER(O407),TRUNC(O407)&lt;TODAY())</formula>
    </cfRule>
  </conditionalFormatting>
  <conditionalFormatting sqref="F406">
    <cfRule type="containsText" dxfId="3432" priority="416" operator="containsText" text="F">
      <formula>NOT(ISERROR(SEARCH(("F"),(F406))))</formula>
    </cfRule>
  </conditionalFormatting>
  <conditionalFormatting sqref="P406">
    <cfRule type="expression" dxfId="3431" priority="417">
      <formula>AND(ISNUMBER(P406),TRUNC(P406)&lt;TODAY())</formula>
    </cfRule>
  </conditionalFormatting>
  <conditionalFormatting sqref="O406">
    <cfRule type="expression" dxfId="3430" priority="418">
      <formula>AND(ISNUMBER(O406),TRUNC(O406)&lt;TODAY())</formula>
    </cfRule>
  </conditionalFormatting>
  <conditionalFormatting sqref="Q406">
    <cfRule type="expression" dxfId="3429" priority="419">
      <formula>AND(ISNUMBER(Q406),TRUNC(Q406)&lt;TODAY())</formula>
    </cfRule>
  </conditionalFormatting>
  <conditionalFormatting sqref="O405:Q405">
    <cfRule type="expression" dxfId="3428" priority="420">
      <formula>AND(ISNUMBER(O405),TRUNC(O405)&lt;TODAY())</formula>
    </cfRule>
  </conditionalFormatting>
  <conditionalFormatting sqref="F404">
    <cfRule type="containsText" dxfId="3427" priority="421" operator="containsText" text="F">
      <formula>NOT(ISERROR(SEARCH(("F"),(F404))))</formula>
    </cfRule>
  </conditionalFormatting>
  <conditionalFormatting sqref="O403:Q403">
    <cfRule type="expression" dxfId="3426" priority="422">
      <formula>AND(ISNUMBER(O403),TRUNC(O403)&lt;TODAY())</formula>
    </cfRule>
  </conditionalFormatting>
  <conditionalFormatting sqref="F403">
    <cfRule type="containsText" dxfId="3425" priority="423" operator="containsText" text="F">
      <formula>NOT(ISERROR(SEARCH(("F"),(F403))))</formula>
    </cfRule>
  </conditionalFormatting>
  <conditionalFormatting sqref="P402">
    <cfRule type="expression" dxfId="3424" priority="424">
      <formula>AND(ISNUMBER(P402),TRUNC(P402)&lt;TODAY())</formula>
    </cfRule>
  </conditionalFormatting>
  <conditionalFormatting sqref="Q402">
    <cfRule type="expression" dxfId="3423" priority="425">
      <formula>AND(ISNUMBER(Q402),TRUNC(Q402)&lt;TODAY())</formula>
    </cfRule>
  </conditionalFormatting>
  <conditionalFormatting sqref="O402">
    <cfRule type="expression" dxfId="3422" priority="426">
      <formula>AND(ISNUMBER(O402),TRUNC(O402)&lt;TODAY())</formula>
    </cfRule>
  </conditionalFormatting>
  <conditionalFormatting sqref="Q402 P402">
    <cfRule type="expression" dxfId="3421" priority="427">
      <formula>AND(ISNUMBER(Q402),TRUNC(Q402)&lt;TODAY())</formula>
    </cfRule>
  </conditionalFormatting>
  <conditionalFormatting sqref="P402">
    <cfRule type="expression" dxfId="3420" priority="428">
      <formula>AND(ISNUMBER(P402),TRUNC(P402)&lt;TODAY())</formula>
    </cfRule>
  </conditionalFormatting>
  <conditionalFormatting sqref="F402">
    <cfRule type="containsText" dxfId="3419" priority="429" operator="containsText" text="F">
      <formula>NOT(ISERROR(SEARCH(("F"),(F402))))</formula>
    </cfRule>
  </conditionalFormatting>
  <conditionalFormatting sqref="V402">
    <cfRule type="notContainsBlanks" dxfId="3418" priority="430">
      <formula>LEN(TRIM(V402))&gt;0</formula>
    </cfRule>
  </conditionalFormatting>
  <conditionalFormatting sqref="O401:Q401">
    <cfRule type="expression" dxfId="3417" priority="431">
      <formula>AND(ISNUMBER(O401),TRUNC(O401)&lt;TODAY())</formula>
    </cfRule>
  </conditionalFormatting>
  <conditionalFormatting sqref="F401">
    <cfRule type="containsText" dxfId="3416" priority="432" operator="containsText" text="F">
      <formula>NOT(ISERROR(SEARCH(("F"),(F401))))</formula>
    </cfRule>
  </conditionalFormatting>
  <conditionalFormatting sqref="F400">
    <cfRule type="containsText" dxfId="3415" priority="433" operator="containsText" text="F">
      <formula>NOT(ISERROR(SEARCH(("F"),(F400))))</formula>
    </cfRule>
  </conditionalFormatting>
  <conditionalFormatting sqref="O400:Q400">
    <cfRule type="expression" dxfId="3414" priority="434">
      <formula>AND(ISNUMBER(O400),TRUNC(O400)&lt;TODAY())</formula>
    </cfRule>
  </conditionalFormatting>
  <conditionalFormatting sqref="O399:Q399">
    <cfRule type="expression" dxfId="3413" priority="435">
      <formula>AND(ISNUMBER(O399),TRUNC(O399)&lt;TODAY())</formula>
    </cfRule>
  </conditionalFormatting>
  <conditionalFormatting sqref="F399">
    <cfRule type="containsText" dxfId="3412" priority="436" operator="containsText" text="F">
      <formula>NOT(ISERROR(SEARCH(("F"),(F399))))</formula>
    </cfRule>
  </conditionalFormatting>
  <conditionalFormatting sqref="O398:Q398">
    <cfRule type="expression" dxfId="3411" priority="437">
      <formula>AND(ISNUMBER(O398),TRUNC(O398)&lt;TODAY())</formula>
    </cfRule>
  </conditionalFormatting>
  <conditionalFormatting sqref="F398">
    <cfRule type="containsText" dxfId="3410" priority="438" operator="containsText" text="F">
      <formula>NOT(ISERROR(SEARCH(("F"),(F398))))</formula>
    </cfRule>
  </conditionalFormatting>
  <conditionalFormatting sqref="P397">
    <cfRule type="expression" dxfId="3409" priority="439">
      <formula>AND(ISNUMBER(P397),TRUNC(P397)&lt;TODAY())</formula>
    </cfRule>
  </conditionalFormatting>
  <conditionalFormatting sqref="P397">
    <cfRule type="expression" dxfId="3408" priority="440">
      <formula>AND(ISNUMBER(P397),TRUNC(P397)&lt;TODAY())</formula>
    </cfRule>
  </conditionalFormatting>
  <conditionalFormatting sqref="Q397">
    <cfRule type="expression" dxfId="3407" priority="441">
      <formula>AND(ISNUMBER(Q397),TRUNC(Q397)&lt;TODAY())</formula>
    </cfRule>
  </conditionalFormatting>
  <conditionalFormatting sqref="O397">
    <cfRule type="expression" dxfId="3406" priority="442">
      <formula>AND(ISNUMBER(O397),TRUNC(O397)&lt;TODAY())</formula>
    </cfRule>
  </conditionalFormatting>
  <conditionalFormatting sqref="F397">
    <cfRule type="containsText" dxfId="3405" priority="443" operator="containsText" text="F">
      <formula>NOT(ISERROR(SEARCH(("F"),(F397))))</formula>
    </cfRule>
  </conditionalFormatting>
  <conditionalFormatting sqref="V397">
    <cfRule type="notContainsBlanks" dxfId="3404" priority="444">
      <formula>LEN(TRIM(V397))&gt;0</formula>
    </cfRule>
  </conditionalFormatting>
  <conditionalFormatting sqref="F393">
    <cfRule type="containsText" dxfId="3403" priority="445" operator="containsText" text="F">
      <formula>NOT(ISERROR(SEARCH(("F"),(F393))))</formula>
    </cfRule>
  </conditionalFormatting>
  <conditionalFormatting sqref="P393 O393 Q393">
    <cfRule type="expression" dxfId="3402" priority="446">
      <formula>AND(ISNUMBER(P393),TRUNC(P393)&lt;TODAY())</formula>
    </cfRule>
  </conditionalFormatting>
  <conditionalFormatting sqref="P392">
    <cfRule type="expression" dxfId="3401" priority="447">
      <formula>AND(ISNUMBER(P392),TRUNC(P392)&lt;TODAY())</formula>
    </cfRule>
  </conditionalFormatting>
  <conditionalFormatting sqref="O392:Q392">
    <cfRule type="expression" dxfId="3400" priority="448">
      <formula>AND(ISNUMBER(O392),TRUNC(O392)&lt;TODAY())</formula>
    </cfRule>
  </conditionalFormatting>
  <conditionalFormatting sqref="O389:Q389">
    <cfRule type="expression" dxfId="3399" priority="449">
      <formula>AND(ISNUMBER(O389),TRUNC(O389)&lt;TODAY())</formula>
    </cfRule>
  </conditionalFormatting>
  <conditionalFormatting sqref="F389">
    <cfRule type="containsText" dxfId="3398" priority="450" operator="containsText" text="F">
      <formula>NOT(ISERROR(SEARCH(("F"),(F389))))</formula>
    </cfRule>
  </conditionalFormatting>
  <conditionalFormatting sqref="O388:Q388">
    <cfRule type="expression" dxfId="3397" priority="451">
      <formula>AND(ISNUMBER(O388),TRUNC(O388)&lt;TODAY())</formula>
    </cfRule>
  </conditionalFormatting>
  <conditionalFormatting sqref="F388">
    <cfRule type="containsText" dxfId="3396" priority="452" operator="containsText" text="F">
      <formula>NOT(ISERROR(SEARCH(("F"),(F388))))</formula>
    </cfRule>
  </conditionalFormatting>
  <conditionalFormatting sqref="P387">
    <cfRule type="expression" dxfId="3395" priority="453">
      <formula>AND(ISNUMBER(P387),TRUNC(P387)&lt;TODAY())</formula>
    </cfRule>
  </conditionalFormatting>
  <conditionalFormatting sqref="Q387">
    <cfRule type="expression" dxfId="3394" priority="454">
      <formula>AND(ISNUMBER(Q387),TRUNC(Q387)&lt;TODAY())</formula>
    </cfRule>
  </conditionalFormatting>
  <conditionalFormatting sqref="P387">
    <cfRule type="expression" dxfId="3393" priority="455">
      <formula>AND(ISNUMBER(P387),TRUNC(P387)&lt;TODAY())</formula>
    </cfRule>
  </conditionalFormatting>
  <conditionalFormatting sqref="O387">
    <cfRule type="expression" dxfId="3392" priority="456">
      <formula>AND(ISNUMBER(O387),TRUNC(O387)&lt;TODAY())</formula>
    </cfRule>
  </conditionalFormatting>
  <conditionalFormatting sqref="V387">
    <cfRule type="notContainsBlanks" dxfId="3391" priority="457">
      <formula>LEN(TRIM(V387))&gt;0</formula>
    </cfRule>
  </conditionalFormatting>
  <conditionalFormatting sqref="F387">
    <cfRule type="containsText" dxfId="3390" priority="458" operator="containsText" text="F">
      <formula>NOT(ISERROR(SEARCH(("F"),(F387))))</formula>
    </cfRule>
  </conditionalFormatting>
  <conditionalFormatting sqref="Q386">
    <cfRule type="expression" dxfId="3389" priority="459">
      <formula>AND(ISNUMBER(Q386),TRUNC(Q386)&lt;TODAY())</formula>
    </cfRule>
  </conditionalFormatting>
  <conditionalFormatting sqref="O386">
    <cfRule type="expression" dxfId="3388" priority="460">
      <formula>AND(ISNUMBER(O386),TRUNC(O386)&lt;TODAY())</formula>
    </cfRule>
  </conditionalFormatting>
  <conditionalFormatting sqref="P386">
    <cfRule type="expression" dxfId="3387" priority="461">
      <formula>AND(ISNUMBER(P386),TRUNC(P386)&lt;TODAY())</formula>
    </cfRule>
  </conditionalFormatting>
  <conditionalFormatting sqref="F386">
    <cfRule type="containsText" dxfId="3386" priority="462" operator="containsText" text="F">
      <formula>NOT(ISERROR(SEARCH(("F"),(F386))))</formula>
    </cfRule>
  </conditionalFormatting>
  <conditionalFormatting sqref="O383">
    <cfRule type="expression" dxfId="3385" priority="463">
      <formula>AND(ISNUMBER(O383),TRUNC(O383)&lt;TODAY())</formula>
    </cfRule>
  </conditionalFormatting>
  <conditionalFormatting sqref="P383">
    <cfRule type="expression" dxfId="3384" priority="464">
      <formula>AND(ISNUMBER(P383),TRUNC(P383)&lt;TODAY())</formula>
    </cfRule>
  </conditionalFormatting>
  <conditionalFormatting sqref="Q383">
    <cfRule type="expression" dxfId="3383" priority="465">
      <formula>AND(ISNUMBER(Q383),TRUNC(Q383)&lt;TODAY())</formula>
    </cfRule>
  </conditionalFormatting>
  <conditionalFormatting sqref="F380">
    <cfRule type="containsText" dxfId="3382" priority="466" operator="containsText" text="F">
      <formula>NOT(ISERROR(SEARCH(("F"),(F380))))</formula>
    </cfRule>
  </conditionalFormatting>
  <conditionalFormatting sqref="O380:Q380">
    <cfRule type="expression" dxfId="3381" priority="467">
      <formula>AND(ISNUMBER(O380),TRUNC(O380)&lt;TODAY())</formula>
    </cfRule>
  </conditionalFormatting>
  <conditionalFormatting sqref="P378">
    <cfRule type="expression" dxfId="3380" priority="468">
      <formula>AND(ISNUMBER(P378),TRUNC(P378)&lt;TODAY())</formula>
    </cfRule>
  </conditionalFormatting>
  <conditionalFormatting sqref="O378:Q378">
    <cfRule type="expression" dxfId="3379" priority="469">
      <formula>AND(ISNUMBER(O378),TRUNC(O378)&lt;TODAY())</formula>
    </cfRule>
  </conditionalFormatting>
  <conditionalFormatting sqref="P376">
    <cfRule type="expression" dxfId="3378" priority="470">
      <formula>AND(ISNUMBER(P376),TRUNC(P376)&lt;TODAY())</formula>
    </cfRule>
  </conditionalFormatting>
  <conditionalFormatting sqref="O376">
    <cfRule type="expression" dxfId="3377" priority="471">
      <formula>O376&lt;44165</formula>
    </cfRule>
  </conditionalFormatting>
  <conditionalFormatting sqref="H375">
    <cfRule type="expression" dxfId="3376" priority="472">
      <formula>AND(ISNUMBER(H375),TRUNC(H375)&lt;TODAY())</formula>
    </cfRule>
  </conditionalFormatting>
  <conditionalFormatting sqref="O375:P375">
    <cfRule type="expression" dxfId="3375" priority="473">
      <formula>AND(ISNUMBER(O375),TRUNC(O375)&lt;TODAY())</formula>
    </cfRule>
  </conditionalFormatting>
  <conditionalFormatting sqref="O375:P375">
    <cfRule type="expression" dxfId="3374" priority="474">
      <formula>AND(ISNUMBER(O375),TRUNC(O375)&lt;TODAY())</formula>
    </cfRule>
  </conditionalFormatting>
  <conditionalFormatting sqref="O375">
    <cfRule type="expression" dxfId="3373" priority="475">
      <formula>AND(ISNUMBER(O375),TRUNC(O375)&lt;TODAY())</formula>
    </cfRule>
  </conditionalFormatting>
  <conditionalFormatting sqref="P375">
    <cfRule type="expression" dxfId="3372" priority="476">
      <formula>AND(ISNUMBER(P375),TRUNC(P375)&lt;TODAY())</formula>
    </cfRule>
  </conditionalFormatting>
  <conditionalFormatting sqref="O374:Q374">
    <cfRule type="expression" dxfId="3371" priority="477">
      <formula>AND(ISNUMBER(O374),TRUNC(O374)&lt;TODAY())</formula>
    </cfRule>
  </conditionalFormatting>
  <conditionalFormatting sqref="F374">
    <cfRule type="containsText" dxfId="3370" priority="478" operator="containsText" text="F">
      <formula>NOT(ISERROR(SEARCH(("F"),(F374))))</formula>
    </cfRule>
  </conditionalFormatting>
  <conditionalFormatting sqref="P373">
    <cfRule type="expression" dxfId="3369" priority="479">
      <formula>AND(ISNUMBER(P373),TRUNC(P373)&lt;TODAY())</formula>
    </cfRule>
  </conditionalFormatting>
  <conditionalFormatting sqref="Q373 P373">
    <cfRule type="expression" dxfId="3368" priority="480">
      <formula>AND(ISNUMBER(Q373),TRUNC(Q373)&lt;TODAY())</formula>
    </cfRule>
  </conditionalFormatting>
  <conditionalFormatting sqref="O373">
    <cfRule type="expression" dxfId="3367" priority="481">
      <formula>AND(ISNUMBER(O373),TRUNC(O373)&lt;TODAY())</formula>
    </cfRule>
  </conditionalFormatting>
  <conditionalFormatting sqref="F373">
    <cfRule type="containsText" dxfId="3366" priority="482" operator="containsText" text="F">
      <formula>NOT(ISERROR(SEARCH(("F"),(F373))))</formula>
    </cfRule>
  </conditionalFormatting>
  <conditionalFormatting sqref="V373">
    <cfRule type="notContainsBlanks" dxfId="3365" priority="483">
      <formula>LEN(TRIM(V373))&gt;0</formula>
    </cfRule>
  </conditionalFormatting>
  <conditionalFormatting sqref="F372">
    <cfRule type="containsText" dxfId="3364" priority="484" operator="containsText" text="F">
      <formula>NOT(ISERROR(SEARCH(("F"),(F372))))</formula>
    </cfRule>
  </conditionalFormatting>
  <conditionalFormatting sqref="V372">
    <cfRule type="notContainsBlanks" dxfId="3363" priority="485">
      <formula>LEN(TRIM(V372))&gt;0</formula>
    </cfRule>
  </conditionalFormatting>
  <conditionalFormatting sqref="O372">
    <cfRule type="expression" dxfId="3362" priority="486">
      <formula>AND(ISNUMBER(O372),TRUNC(O372)&lt;TODAY())</formula>
    </cfRule>
  </conditionalFormatting>
  <conditionalFormatting sqref="Q372 P372">
    <cfRule type="expression" dxfId="3361" priority="487">
      <formula>AND(ISNUMBER(Q372),TRUNC(Q372)&lt;TODAY())</formula>
    </cfRule>
  </conditionalFormatting>
  <conditionalFormatting sqref="P372">
    <cfRule type="expression" dxfId="3360" priority="488">
      <formula>AND(ISNUMBER(P372),TRUNC(P372)&lt;TODAY())</formula>
    </cfRule>
  </conditionalFormatting>
  <conditionalFormatting sqref="F371">
    <cfRule type="containsText" dxfId="3359" priority="489" operator="containsText" text="F">
      <formula>NOT(ISERROR(SEARCH(("F"),(F371))))</formula>
    </cfRule>
  </conditionalFormatting>
  <conditionalFormatting sqref="O371:Q371">
    <cfRule type="expression" dxfId="3358" priority="490">
      <formula>AND(ISNUMBER(O371),TRUNC(O371)&lt;TODAY())</formula>
    </cfRule>
  </conditionalFormatting>
  <conditionalFormatting sqref="O369:Q369">
    <cfRule type="expression" dxfId="3357" priority="491">
      <formula>AND(ISNUMBER(O369),TRUNC(O369)&lt;TODAY())</formula>
    </cfRule>
  </conditionalFormatting>
  <conditionalFormatting sqref="F369">
    <cfRule type="containsText" dxfId="3356" priority="492" operator="containsText" text="F">
      <formula>NOT(ISERROR(SEARCH(("F"),(F369))))</formula>
    </cfRule>
  </conditionalFormatting>
  <conditionalFormatting sqref="P367 O367 Q367 N367">
    <cfRule type="expression" dxfId="3355" priority="493">
      <formula>AND(ISNUMBER(P367),TRUNC(P367)&lt;TODAY())</formula>
    </cfRule>
  </conditionalFormatting>
  <conditionalFormatting sqref="F367">
    <cfRule type="containsText" dxfId="3354" priority="494" operator="containsText" text="F">
      <formula>NOT(ISERROR(SEARCH(("F"),(F367))))</formula>
    </cfRule>
  </conditionalFormatting>
  <conditionalFormatting sqref="F365">
    <cfRule type="containsText" dxfId="3353" priority="495" operator="containsText" text="F">
      <formula>NOT(ISERROR(SEARCH(("F"),(F365))))</formula>
    </cfRule>
  </conditionalFormatting>
  <conditionalFormatting sqref="O365:Q365">
    <cfRule type="expression" dxfId="3352" priority="496">
      <formula>AND(ISNUMBER(O365),TRUNC(O365)&lt;TODAY())</formula>
    </cfRule>
  </conditionalFormatting>
  <conditionalFormatting sqref="P365">
    <cfRule type="expression" dxfId="3351" priority="497">
      <formula>AND(ISNUMBER(P365),TRUNC(P365)&lt;TODAY())</formula>
    </cfRule>
  </conditionalFormatting>
  <conditionalFormatting sqref="O364">
    <cfRule type="expression" dxfId="3350" priority="498">
      <formula>AND(ISNUMBER(O364),TRUNC(O364)&lt;TODAY())</formula>
    </cfRule>
  </conditionalFormatting>
  <conditionalFormatting sqref="P363">
    <cfRule type="expression" dxfId="3349" priority="499">
      <formula>AND(ISNUMBER(P363),TRUNC(P363)&lt;TODAY())</formula>
    </cfRule>
  </conditionalFormatting>
  <conditionalFormatting sqref="Q363">
    <cfRule type="expression" dxfId="3348" priority="500">
      <formula>AND(ISNUMBER(Q363),TRUNC(Q363)&lt;TODAY())</formula>
    </cfRule>
  </conditionalFormatting>
  <conditionalFormatting sqref="O363">
    <cfRule type="expression" dxfId="3347" priority="501">
      <formula>AND(ISNUMBER(O363),TRUNC(O363)&lt;TODAY())</formula>
    </cfRule>
  </conditionalFormatting>
  <conditionalFormatting sqref="P363">
    <cfRule type="expression" dxfId="3346" priority="502">
      <formula>AND(ISNUMBER(P363),TRUNC(P363)&lt;TODAY())</formula>
    </cfRule>
  </conditionalFormatting>
  <conditionalFormatting sqref="O363">
    <cfRule type="expression" dxfId="3345" priority="503">
      <formula>AND(ISNUMBER(O363),TRUNC(O363)&lt;TODAY())</formula>
    </cfRule>
  </conditionalFormatting>
  <conditionalFormatting sqref="F363">
    <cfRule type="containsText" dxfId="3344" priority="504" operator="containsText" text="F">
      <formula>NOT(ISERROR(SEARCH(("F"),(F363))))</formula>
    </cfRule>
  </conditionalFormatting>
  <conditionalFormatting sqref="O361:Q361">
    <cfRule type="expression" dxfId="3343" priority="505">
      <formula>AND(ISNUMBER(O361),TRUNC(O361)&lt;TODAY())</formula>
    </cfRule>
  </conditionalFormatting>
  <conditionalFormatting sqref="Q360">
    <cfRule type="expression" dxfId="3342" priority="506">
      <formula>AND(ISNUMBER(Q360),TRUNC(Q360)&lt;TODAY())</formula>
    </cfRule>
  </conditionalFormatting>
  <conditionalFormatting sqref="O360:Q360">
    <cfRule type="expression" dxfId="3341" priority="507">
      <formula>AND(ISNUMBER(O360),TRUNC(O360)&lt;TODAY())</formula>
    </cfRule>
  </conditionalFormatting>
  <conditionalFormatting sqref="O359:Q359">
    <cfRule type="expression" dxfId="3340" priority="508">
      <formula>AND(ISNUMBER(O359),TRUNC(O359)&lt;TODAY())</formula>
    </cfRule>
  </conditionalFormatting>
  <conditionalFormatting sqref="F359">
    <cfRule type="containsText" dxfId="3339" priority="509" operator="containsText" text="F">
      <formula>NOT(ISERROR(SEARCH(("F"),(F359))))</formula>
    </cfRule>
  </conditionalFormatting>
  <conditionalFormatting sqref="F358">
    <cfRule type="containsText" dxfId="3338" priority="510" operator="containsText" text="F">
      <formula>NOT(ISERROR(SEARCH(("F"),(F358))))</formula>
    </cfRule>
  </conditionalFormatting>
  <conditionalFormatting sqref="O358">
    <cfRule type="expression" dxfId="3337" priority="511">
      <formula>AND(ISNUMBER(O358),TRUNC(O358)&lt;TODAY())</formula>
    </cfRule>
  </conditionalFormatting>
  <conditionalFormatting sqref="P358">
    <cfRule type="expression" dxfId="3336" priority="512">
      <formula>AND(ISNUMBER(P358),TRUNC(P358)&lt;TODAY())</formula>
    </cfRule>
  </conditionalFormatting>
  <conditionalFormatting sqref="Q358">
    <cfRule type="expression" dxfId="3335" priority="513">
      <formula>AND(ISNUMBER(Q358),TRUNC(Q358)&lt;TODAY())</formula>
    </cfRule>
  </conditionalFormatting>
  <conditionalFormatting sqref="F357">
    <cfRule type="containsText" dxfId="3334" priority="514" operator="containsText" text="F">
      <formula>NOT(ISERROR(SEARCH(("F"),(F357))))</formula>
    </cfRule>
  </conditionalFormatting>
  <conditionalFormatting sqref="P357">
    <cfRule type="expression" dxfId="3333" priority="515">
      <formula>AND(ISNUMBER(P357),TRUNC(P357)&lt;TODAY())</formula>
    </cfRule>
  </conditionalFormatting>
  <conditionalFormatting sqref="P357">
    <cfRule type="expression" dxfId="3332" priority="516">
      <formula>AND(ISNUMBER(P357),TRUNC(P357)&lt;TODAY())</formula>
    </cfRule>
  </conditionalFormatting>
  <conditionalFormatting sqref="O357">
    <cfRule type="expression" dxfId="3331" priority="517">
      <formula>AND(ISNUMBER(O357),TRUNC(O357)&lt;TODAY())</formula>
    </cfRule>
  </conditionalFormatting>
  <conditionalFormatting sqref="Q357">
    <cfRule type="expression" dxfId="3330" priority="518">
      <formula>AND(ISNUMBER(Q357),TRUNC(Q357)&lt;TODAY())</formula>
    </cfRule>
  </conditionalFormatting>
  <conditionalFormatting sqref="Q357">
    <cfRule type="expression" dxfId="3329" priority="519">
      <formula>AND(ISNUMBER(Q357),TRUNC(Q357)&lt;TODAY())</formula>
    </cfRule>
  </conditionalFormatting>
  <conditionalFormatting sqref="F355">
    <cfRule type="containsText" dxfId="3328" priority="520" operator="containsText" text="F">
      <formula>NOT(ISERROR(SEARCH(("F"),(F355))))</formula>
    </cfRule>
  </conditionalFormatting>
  <conditionalFormatting sqref="P355 O355 U355">
    <cfRule type="expression" dxfId="3327" priority="521">
      <formula>AND(ISNUMBER(P355),TRUNC(P355)&lt;TODAY())</formula>
    </cfRule>
  </conditionalFormatting>
  <conditionalFormatting sqref="O353 Q353">
    <cfRule type="expression" dxfId="3326" priority="522">
      <formula>AND(ISNUMBER(O353),TRUNC(O353)&lt;TODAY())</formula>
    </cfRule>
  </conditionalFormatting>
  <conditionalFormatting sqref="Q353">
    <cfRule type="expression" dxfId="3325" priority="523">
      <formula>AND(ISNUMBER(Q353),TRUNC(Q353)&lt;TODAY())</formula>
    </cfRule>
  </conditionalFormatting>
  <conditionalFormatting sqref="P353">
    <cfRule type="expression" dxfId="3324" priority="524">
      <formula>AND(ISNUMBER(P353),TRUNC(P353)&lt;TODAY())</formula>
    </cfRule>
  </conditionalFormatting>
  <conditionalFormatting sqref="P353">
    <cfRule type="expression" dxfId="3323" priority="525">
      <formula>AND(ISNUMBER(P353),TRUNC(P353)&lt;TODAY())</formula>
    </cfRule>
  </conditionalFormatting>
  <conditionalFormatting sqref="O353">
    <cfRule type="expression" dxfId="3322" priority="526">
      <formula>AND(ISNUMBER(O353),TRUNC(O353)&lt;TODAY())</formula>
    </cfRule>
  </conditionalFormatting>
  <conditionalFormatting sqref="F353">
    <cfRule type="containsText" dxfId="3321" priority="527" operator="containsText" text="F">
      <formula>NOT(ISERROR(SEARCH(("F"),(F353))))</formula>
    </cfRule>
  </conditionalFormatting>
  <conditionalFormatting sqref="F352">
    <cfRule type="containsText" dxfId="3320" priority="528" operator="containsText" text="F">
      <formula>NOT(ISERROR(SEARCH(("F"),(F352))))</formula>
    </cfRule>
  </conditionalFormatting>
  <conditionalFormatting sqref="P352">
    <cfRule type="expression" dxfId="3319" priority="529">
      <formula>AND(ISNUMBER(P352),TRUNC(P352)&lt;TODAY())</formula>
    </cfRule>
  </conditionalFormatting>
  <conditionalFormatting sqref="Q352">
    <cfRule type="expression" dxfId="3318" priority="530">
      <formula>AND(ISNUMBER(Q352),TRUNC(Q352)&lt;TODAY())</formula>
    </cfRule>
  </conditionalFormatting>
  <conditionalFormatting sqref="O352">
    <cfRule type="expression" dxfId="3317" priority="531">
      <formula>AND(ISNUMBER(O352),TRUNC(O352)&lt;TODAY())</formula>
    </cfRule>
  </conditionalFormatting>
  <conditionalFormatting sqref="O351:Q351">
    <cfRule type="expression" dxfId="3316" priority="532">
      <formula>AND(ISNUMBER(O351),TRUNC(O351)&lt;TODAY())</formula>
    </cfRule>
  </conditionalFormatting>
  <conditionalFormatting sqref="F351">
    <cfRule type="containsText" dxfId="3315" priority="533" operator="containsText" text="F">
      <formula>NOT(ISERROR(SEARCH(("F"),(F351))))</formula>
    </cfRule>
  </conditionalFormatting>
  <conditionalFormatting sqref="O350">
    <cfRule type="expression" dxfId="3314" priority="534">
      <formula>AND(ISNUMBER(O350),TRUNC(O350)&lt;TODAY())</formula>
    </cfRule>
  </conditionalFormatting>
  <conditionalFormatting sqref="P350">
    <cfRule type="expression" dxfId="3313" priority="535">
      <formula>AND(ISNUMBER(P350),TRUNC(P350)&lt;TODAY())</formula>
    </cfRule>
  </conditionalFormatting>
  <conditionalFormatting sqref="P350">
    <cfRule type="expression" dxfId="3312" priority="536">
      <formula>AND(ISNUMBER(P350),TRUNC(P350)&lt;TODAY())</formula>
    </cfRule>
  </conditionalFormatting>
  <conditionalFormatting sqref="Q350">
    <cfRule type="expression" dxfId="3311" priority="537">
      <formula>AND(ISNUMBER(Q350),TRUNC(Q350)&lt;TODAY())</formula>
    </cfRule>
  </conditionalFormatting>
  <conditionalFormatting sqref="F350">
    <cfRule type="containsText" dxfId="3310" priority="538" operator="containsText" text="F">
      <formula>NOT(ISERROR(SEARCH(("F"),(F350))))</formula>
    </cfRule>
  </conditionalFormatting>
  <conditionalFormatting sqref="F349">
    <cfRule type="containsText" dxfId="3309" priority="539" operator="containsText" text="F">
      <formula>NOT(ISERROR(SEARCH(("F"),(F349))))</formula>
    </cfRule>
  </conditionalFormatting>
  <conditionalFormatting sqref="O349:Q349">
    <cfRule type="expression" dxfId="3308" priority="540">
      <formula>AND(ISNUMBER(O349),TRUNC(O349)&lt;TODAY())</formula>
    </cfRule>
  </conditionalFormatting>
  <conditionalFormatting sqref="O347:Q347">
    <cfRule type="expression" dxfId="3307" priority="541">
      <formula>AND(ISNUMBER(O347),TRUNC(O347)&lt;TODAY())</formula>
    </cfRule>
  </conditionalFormatting>
  <conditionalFormatting sqref="P345">
    <cfRule type="expression" dxfId="3306" priority="542">
      <formula>AND(ISNUMBER(P345),TRUNC(P345)&lt;TODAY())</formula>
    </cfRule>
  </conditionalFormatting>
  <conditionalFormatting sqref="Q345">
    <cfRule type="expression" dxfId="3305" priority="543">
      <formula>AND(ISNUMBER(Q345),TRUNC(Q345)&lt;TODAY())</formula>
    </cfRule>
  </conditionalFormatting>
  <conditionalFormatting sqref="O345">
    <cfRule type="expression" dxfId="3304" priority="544">
      <formula>AND(ISNUMBER(O345),TRUNC(O345)&lt;TODAY())</formula>
    </cfRule>
  </conditionalFormatting>
  <conditionalFormatting sqref="F345">
    <cfRule type="containsText" dxfId="3303" priority="545" operator="containsText" text="F">
      <formula>NOT(ISERROR(SEARCH(("F"),(F345))))</formula>
    </cfRule>
  </conditionalFormatting>
  <conditionalFormatting sqref="P344 Q344">
    <cfRule type="expression" dxfId="3302" priority="546">
      <formula>AND(ISNUMBER(P344),TRUNC(P344)&lt;TODAY())</formula>
    </cfRule>
  </conditionalFormatting>
  <conditionalFormatting sqref="Q344">
    <cfRule type="expression" dxfId="3301" priority="547">
      <formula>AND(ISNUMBER(Q344),TRUNC(Q344)&lt;TODAY())</formula>
    </cfRule>
  </conditionalFormatting>
  <conditionalFormatting sqref="O344">
    <cfRule type="expression" dxfId="3300" priority="548">
      <formula>AND(ISNUMBER(O344),TRUNC(O344)&lt;TODAY())</formula>
    </cfRule>
  </conditionalFormatting>
  <conditionalFormatting sqref="F344">
    <cfRule type="containsText" dxfId="3299" priority="549" operator="containsText" text="F">
      <formula>NOT(ISERROR(SEARCH(("F"),(F344))))</formula>
    </cfRule>
  </conditionalFormatting>
  <conditionalFormatting sqref="P344">
    <cfRule type="expression" dxfId="3298" priority="550">
      <formula>AND(ISNUMBER(P344),TRUNC(P344)&lt;TODAY())</formula>
    </cfRule>
  </conditionalFormatting>
  <conditionalFormatting sqref="Q343">
    <cfRule type="expression" dxfId="3297" priority="551">
      <formula>AND(ISNUMBER(Q343),TRUNC(Q343)&lt;TODAY())</formula>
    </cfRule>
  </conditionalFormatting>
  <conditionalFormatting sqref="P343">
    <cfRule type="expression" dxfId="3296" priority="552">
      <formula>AND(ISNUMBER(P343),TRUNC(P343)&lt;TODAY())</formula>
    </cfRule>
  </conditionalFormatting>
  <conditionalFormatting sqref="O343">
    <cfRule type="expression" dxfId="3295" priority="553">
      <formula>AND(ISNUMBER(O343),TRUNC(O343)&lt;TODAY())</formula>
    </cfRule>
  </conditionalFormatting>
  <conditionalFormatting sqref="F343">
    <cfRule type="containsText" dxfId="3294" priority="554" operator="containsText" text="F">
      <formula>NOT(ISERROR(SEARCH(("F"),(F343))))</formula>
    </cfRule>
  </conditionalFormatting>
  <conditionalFormatting sqref="O342:Q342">
    <cfRule type="expression" dxfId="3293" priority="555">
      <formula>AND(ISNUMBER(O342),TRUNC(O342)&lt;TODAY())</formula>
    </cfRule>
  </conditionalFormatting>
  <conditionalFormatting sqref="F342">
    <cfRule type="containsText" dxfId="3292" priority="556" operator="containsText" text="F">
      <formula>NOT(ISERROR(SEARCH(("F"),(F342))))</formula>
    </cfRule>
  </conditionalFormatting>
  <conditionalFormatting sqref="P341">
    <cfRule type="expression" dxfId="3291" priority="557">
      <formula>AND(ISNUMBER(P341),TRUNC(P341)&lt;TODAY())</formula>
    </cfRule>
  </conditionalFormatting>
  <conditionalFormatting sqref="P341">
    <cfRule type="expression" dxfId="3290" priority="558">
      <formula>AND(ISNUMBER(P341),TRUNC(P341)&lt;TODAY())</formula>
    </cfRule>
  </conditionalFormatting>
  <conditionalFormatting sqref="O341">
    <cfRule type="expression" dxfId="3289" priority="559">
      <formula>AND(ISNUMBER(O341),TRUNC(O341)&lt;TODAY())</formula>
    </cfRule>
  </conditionalFormatting>
  <conditionalFormatting sqref="Q341">
    <cfRule type="expression" dxfId="3288" priority="560">
      <formula>AND(ISNUMBER(Q341),TRUNC(Q341)&lt;TODAY())</formula>
    </cfRule>
  </conditionalFormatting>
  <conditionalFormatting sqref="O340:Q340">
    <cfRule type="expression" dxfId="3287" priority="561">
      <formula>AND(ISNUMBER(O340),TRUNC(O340)&lt;TODAY())</formula>
    </cfRule>
  </conditionalFormatting>
  <conditionalFormatting sqref="O339:Q339">
    <cfRule type="expression" dxfId="3286" priority="562">
      <formula>AND(ISNUMBER(O339),TRUNC(O339)&lt;TODAY())</formula>
    </cfRule>
  </conditionalFormatting>
  <conditionalFormatting sqref="P338">
    <cfRule type="expression" dxfId="3285" priority="563">
      <formula>AND(ISNUMBER(P338),TRUNC(P338)&lt;TODAY())</formula>
    </cfRule>
  </conditionalFormatting>
  <conditionalFormatting sqref="O338">
    <cfRule type="expression" dxfId="3284" priority="564">
      <formula>AND(ISNUMBER(O338),TRUNC(O338)&lt;TODAY())</formula>
    </cfRule>
  </conditionalFormatting>
  <conditionalFormatting sqref="F338">
    <cfRule type="containsText" dxfId="3283" priority="565" operator="containsText" text="F">
      <formula>NOT(ISERROR(SEARCH(("F"),(F338))))</formula>
    </cfRule>
  </conditionalFormatting>
  <conditionalFormatting sqref="V338">
    <cfRule type="notContainsBlanks" dxfId="3282" priority="566">
      <formula>LEN(TRIM(V338))&gt;0</formula>
    </cfRule>
  </conditionalFormatting>
  <conditionalFormatting sqref="Q338">
    <cfRule type="expression" dxfId="3281" priority="567">
      <formula>AND(ISNUMBER(Q338),TRUNC(Q338)&lt;TODAY())</formula>
    </cfRule>
  </conditionalFormatting>
  <conditionalFormatting sqref="P338">
    <cfRule type="expression" dxfId="3280" priority="568">
      <formula>AND(ISNUMBER(P338),TRUNC(P338)&lt;TODAY())</formula>
    </cfRule>
  </conditionalFormatting>
  <conditionalFormatting sqref="Q337">
    <cfRule type="expression" dxfId="3279" priority="569">
      <formula>AND(ISNUMBER(Q337),TRUNC(Q337)&lt;TODAY())</formula>
    </cfRule>
  </conditionalFormatting>
  <conditionalFormatting sqref="F337">
    <cfRule type="containsText" dxfId="3278" priority="570" operator="containsText" text="F">
      <formula>NOT(ISERROR(SEARCH(("F"),(F337))))</formula>
    </cfRule>
  </conditionalFormatting>
  <conditionalFormatting sqref="P337">
    <cfRule type="expression" dxfId="3277" priority="571">
      <formula>AND(ISNUMBER(P337),TRUNC(P337)&lt;TODAY())</formula>
    </cfRule>
  </conditionalFormatting>
  <conditionalFormatting sqref="Q337">
    <cfRule type="expression" dxfId="3276" priority="572">
      <formula>AND(ISNUMBER(Q337),TRUNC(Q337)&lt;TODAY())</formula>
    </cfRule>
  </conditionalFormatting>
  <conditionalFormatting sqref="O337">
    <cfRule type="expression" dxfId="3275" priority="573">
      <formula>AND(ISNUMBER(O337),TRUNC(O337)&lt;TODAY())</formula>
    </cfRule>
  </conditionalFormatting>
  <conditionalFormatting sqref="F336">
    <cfRule type="containsText" dxfId="3274" priority="574" operator="containsText" text="F">
      <formula>NOT(ISERROR(SEARCH(("F"),(F336))))</formula>
    </cfRule>
  </conditionalFormatting>
  <conditionalFormatting sqref="N336:Q336">
    <cfRule type="expression" dxfId="3273" priority="575">
      <formula>AND(ISNUMBER(N336),TRUNC(N336)&lt;TODAY())</formula>
    </cfRule>
  </conditionalFormatting>
  <conditionalFormatting sqref="P334">
    <cfRule type="expression" dxfId="3272" priority="576">
      <formula>AND(ISNUMBER(P334),TRUNC(P334)&lt;TODAY())</formula>
    </cfRule>
  </conditionalFormatting>
  <conditionalFormatting sqref="F334">
    <cfRule type="containsText" dxfId="3271" priority="577" operator="containsText" text="F">
      <formula>NOT(ISERROR(SEARCH(("F"),(F334))))</formula>
    </cfRule>
  </conditionalFormatting>
  <conditionalFormatting sqref="O334:Q334">
    <cfRule type="expression" dxfId="3270" priority="578">
      <formula>AND(ISNUMBER(O334),TRUNC(O334)&lt;TODAY())</formula>
    </cfRule>
  </conditionalFormatting>
  <conditionalFormatting sqref="F332">
    <cfRule type="containsText" dxfId="3269" priority="579" operator="containsText" text="F">
      <formula>NOT(ISERROR(SEARCH(("F"),(F332))))</formula>
    </cfRule>
  </conditionalFormatting>
  <conditionalFormatting sqref="P332">
    <cfRule type="expression" dxfId="3268" priority="580">
      <formula>AND(ISNUMBER(P332),TRUNC(P332)&lt;TODAY())</formula>
    </cfRule>
  </conditionalFormatting>
  <conditionalFormatting sqref="O332">
    <cfRule type="expression" dxfId="3267" priority="581">
      <formula>AND(ISNUMBER(O332),TRUNC(O332)&lt;TODAY())</formula>
    </cfRule>
  </conditionalFormatting>
  <conditionalFormatting sqref="Q332">
    <cfRule type="expression" dxfId="3266" priority="582">
      <formula>AND(ISNUMBER(Q332),TRUNC(Q332)&lt;TODAY())</formula>
    </cfRule>
  </conditionalFormatting>
  <conditionalFormatting sqref="F331">
    <cfRule type="containsText" dxfId="3265" priority="583" operator="containsText" text="F">
      <formula>NOT(ISERROR(SEARCH(("F"),(F331))))</formula>
    </cfRule>
  </conditionalFormatting>
  <conditionalFormatting sqref="O331:Q331">
    <cfRule type="expression" dxfId="3264" priority="584">
      <formula>AND(ISNUMBER(O331),TRUNC(O331)&lt;TODAY())</formula>
    </cfRule>
  </conditionalFormatting>
  <conditionalFormatting sqref="V330">
    <cfRule type="notContainsBlanks" dxfId="3263" priority="585">
      <formula>LEN(TRIM(V330))&gt;0</formula>
    </cfRule>
  </conditionalFormatting>
  <conditionalFormatting sqref="P330">
    <cfRule type="expression" dxfId="3262" priority="586">
      <formula>P330&lt;44165</formula>
    </cfRule>
  </conditionalFormatting>
  <conditionalFormatting sqref="O330">
    <cfRule type="expression" dxfId="3261" priority="587">
      <formula>AND(ISNUMBER(O330),TRUNC(O330)&lt;TODAY())</formula>
    </cfRule>
  </conditionalFormatting>
  <conditionalFormatting sqref="Q330">
    <cfRule type="expression" dxfId="3260" priority="588">
      <formula>AND(ISNUMBER(Q330),TRUNC(Q330)&lt;TODAY())</formula>
    </cfRule>
  </conditionalFormatting>
  <conditionalFormatting sqref="F330">
    <cfRule type="containsText" dxfId="3259" priority="589" operator="containsText" text="F">
      <formula>NOT(ISERROR(SEARCH(("F"),(F330))))</formula>
    </cfRule>
  </conditionalFormatting>
  <conditionalFormatting sqref="F329">
    <cfRule type="containsText" dxfId="3258" priority="590" operator="containsText" text="F">
      <formula>NOT(ISERROR(SEARCH(("F"),(F329))))</formula>
    </cfRule>
  </conditionalFormatting>
  <conditionalFormatting sqref="Q329">
    <cfRule type="expression" dxfId="3257" priority="591">
      <formula>AND(ISNUMBER(Q329),TRUNC(Q329)&lt;TODAY())</formula>
    </cfRule>
  </conditionalFormatting>
  <conditionalFormatting sqref="P329">
    <cfRule type="expression" dxfId="3256" priority="592">
      <formula>AND(ISNUMBER(P329),TRUNC(P329)&lt;TODAY())</formula>
    </cfRule>
  </conditionalFormatting>
  <conditionalFormatting sqref="O329">
    <cfRule type="expression" dxfId="3255" priority="593">
      <formula>AND(ISNUMBER(O329),TRUNC(O329)&lt;TODAY())</formula>
    </cfRule>
  </conditionalFormatting>
  <conditionalFormatting sqref="O326">
    <cfRule type="expression" dxfId="3254" priority="594">
      <formula>AND(ISNUMBER(O326),TRUNC(O326)&lt;TODAY())</formula>
    </cfRule>
  </conditionalFormatting>
  <conditionalFormatting sqref="P326">
    <cfRule type="expression" dxfId="3253" priority="595">
      <formula>AND(ISNUMBER(P326),TRUNC(P326)&lt;TODAY())</formula>
    </cfRule>
  </conditionalFormatting>
  <conditionalFormatting sqref="F326">
    <cfRule type="containsText" dxfId="3252" priority="596" operator="containsText" text="F">
      <formula>NOT(ISERROR(SEARCH(("F"),(F326))))</formula>
    </cfRule>
  </conditionalFormatting>
  <conditionalFormatting sqref="Q326">
    <cfRule type="expression" dxfId="3251" priority="597">
      <formula>AND(ISNUMBER(Q326),TRUNC(Q326)&lt;TODAY())</formula>
    </cfRule>
  </conditionalFormatting>
  <conditionalFormatting sqref="V326">
    <cfRule type="notContainsBlanks" dxfId="3250" priority="598">
      <formula>LEN(TRIM(V326))&gt;0</formula>
    </cfRule>
  </conditionalFormatting>
  <conditionalFormatting sqref="Q325">
    <cfRule type="expression" dxfId="3249" priority="599">
      <formula>AND(ISNUMBER(Q325),TRUNC(Q325)&lt;TODAY())</formula>
    </cfRule>
  </conditionalFormatting>
  <conditionalFormatting sqref="O325">
    <cfRule type="expression" dxfId="3248" priority="600">
      <formula>AND(ISNUMBER(O325),TRUNC(O325)&lt;TODAY())</formula>
    </cfRule>
  </conditionalFormatting>
  <conditionalFormatting sqref="P325">
    <cfRule type="expression" dxfId="3247" priority="601">
      <formula>AND(ISNUMBER(P325),TRUNC(P325)&lt;TODAY())</formula>
    </cfRule>
  </conditionalFormatting>
  <conditionalFormatting sqref="F325">
    <cfRule type="containsText" dxfId="3246" priority="602" operator="containsText" text="F">
      <formula>NOT(ISERROR(SEARCH(("F"),(F325))))</formula>
    </cfRule>
  </conditionalFormatting>
  <conditionalFormatting sqref="P325">
    <cfRule type="expression" dxfId="3245" priority="603">
      <formula>AND(ISNUMBER(P325),TRUNC(P325)&lt;TODAY())</formula>
    </cfRule>
  </conditionalFormatting>
  <conditionalFormatting sqref="F322">
    <cfRule type="containsText" dxfId="3244" priority="604" operator="containsText" text="F">
      <formula>NOT(ISERROR(SEARCH(("F"),(F322))))</formula>
    </cfRule>
  </conditionalFormatting>
  <conditionalFormatting sqref="P322">
    <cfRule type="expression" dxfId="3243" priority="605">
      <formula>AND(ISNUMBER(P322),TRUNC(P322)&lt;TODAY())</formula>
    </cfRule>
  </conditionalFormatting>
  <conditionalFormatting sqref="O322">
    <cfRule type="expression" dxfId="3242" priority="606">
      <formula>AND(ISNUMBER(O322),TRUNC(O322)&lt;TODAY())</formula>
    </cfRule>
  </conditionalFormatting>
  <conditionalFormatting sqref="Q322">
    <cfRule type="expression" dxfId="3241" priority="607">
      <formula>AND(ISNUMBER(Q322),TRUNC(Q322)&lt;TODAY())</formula>
    </cfRule>
  </conditionalFormatting>
  <conditionalFormatting sqref="O321:Q321">
    <cfRule type="expression" dxfId="3240" priority="608">
      <formula>AND(ISNUMBER(O321),TRUNC(O321)&lt;TODAY())</formula>
    </cfRule>
  </conditionalFormatting>
  <conditionalFormatting sqref="F319">
    <cfRule type="containsText" dxfId="3239" priority="609" operator="containsText" text="F">
      <formula>NOT(ISERROR(SEARCH(("F"),(F319))))</formula>
    </cfRule>
  </conditionalFormatting>
  <conditionalFormatting sqref="P319 Q319">
    <cfRule type="expression" dxfId="3238" priority="610">
      <formula>AND(ISNUMBER(P319),TRUNC(P319)&lt;TODAY())</formula>
    </cfRule>
  </conditionalFormatting>
  <conditionalFormatting sqref="F318">
    <cfRule type="containsText" dxfId="3237" priority="611" operator="containsText" text="F">
      <formula>NOT(ISERROR(SEARCH(("F"),(F318))))</formula>
    </cfRule>
  </conditionalFormatting>
  <conditionalFormatting sqref="P318 O318 T318">
    <cfRule type="expression" dxfId="3236" priority="612">
      <formula>AND(ISNUMBER(P318),TRUNC(P318)&lt;TODAY())</formula>
    </cfRule>
  </conditionalFormatting>
  <conditionalFormatting sqref="O313:Q313">
    <cfRule type="expression" dxfId="3235" priority="613">
      <formula>AND(ISNUMBER(O313),TRUNC(O313)&lt;TODAY())</formula>
    </cfRule>
  </conditionalFormatting>
  <conditionalFormatting sqref="F313">
    <cfRule type="containsText" dxfId="3234" priority="614" operator="containsText" text="F">
      <formula>NOT(ISERROR(SEARCH(("F"),(F313))))</formula>
    </cfRule>
  </conditionalFormatting>
  <conditionalFormatting sqref="P312">
    <cfRule type="expression" dxfId="3233" priority="615">
      <formula>AND(ISNUMBER(P312),TRUNC(P312)&lt;TODAY())</formula>
    </cfRule>
  </conditionalFormatting>
  <conditionalFormatting sqref="O312">
    <cfRule type="expression" dxfId="3232" priority="616">
      <formula>AND(ISNUMBER(O312),TRUNC(O312)&lt;TODAY())</formula>
    </cfRule>
  </conditionalFormatting>
  <conditionalFormatting sqref="Q312">
    <cfRule type="expression" dxfId="3231" priority="617">
      <formula>AND(ISNUMBER(Q312),TRUNC(Q312)&lt;TODAY())</formula>
    </cfRule>
  </conditionalFormatting>
  <conditionalFormatting sqref="F312">
    <cfRule type="containsText" dxfId="3230" priority="618" operator="containsText" text="F">
      <formula>NOT(ISERROR(SEARCH(("F"),(F312))))</formula>
    </cfRule>
  </conditionalFormatting>
  <conditionalFormatting sqref="O311:Q311">
    <cfRule type="expression" dxfId="3229" priority="619">
      <formula>AND(ISNUMBER(O311),TRUNC(O311)&lt;TODAY())</formula>
    </cfRule>
  </conditionalFormatting>
  <conditionalFormatting sqref="Q310">
    <cfRule type="expression" dxfId="3228" priority="620">
      <formula>AND(ISNUMBER(Q310),TRUNC(Q310)&lt;TODAY())</formula>
    </cfRule>
  </conditionalFormatting>
  <conditionalFormatting sqref="O310:Q310">
    <cfRule type="expression" dxfId="3227" priority="621">
      <formula>AND(ISNUMBER(O310),TRUNC(O310)&lt;TODAY())</formula>
    </cfRule>
  </conditionalFormatting>
  <conditionalFormatting sqref="Q309">
    <cfRule type="expression" dxfId="3226" priority="622">
      <formula>AND(ISNUMBER(Q309),TRUNC(Q309)&lt;TODAY())</formula>
    </cfRule>
  </conditionalFormatting>
  <conditionalFormatting sqref="P309">
    <cfRule type="expression" dxfId="3225" priority="623">
      <formula>AND(ISNUMBER(P309),TRUNC(P309)&lt;TODAY())</formula>
    </cfRule>
  </conditionalFormatting>
  <conditionalFormatting sqref="O309:P309">
    <cfRule type="expression" dxfId="3224" priority="624">
      <formula>AND(ISNUMBER(O309),TRUNC(O309)&lt;TODAY())</formula>
    </cfRule>
  </conditionalFormatting>
  <conditionalFormatting sqref="F308">
    <cfRule type="containsText" dxfId="3223" priority="625" operator="containsText" text="F">
      <formula>NOT(ISERROR(SEARCH(("F"),(F308))))</formula>
    </cfRule>
  </conditionalFormatting>
  <conditionalFormatting sqref="V308">
    <cfRule type="notContainsBlanks" dxfId="3222" priority="626">
      <formula>LEN(TRIM(V308))&gt;0</formula>
    </cfRule>
  </conditionalFormatting>
  <conditionalFormatting sqref="O308">
    <cfRule type="expression" dxfId="3221" priority="627">
      <formula>AND(ISNUMBER(O308),TRUNC(O308)&lt;TODAY())</formula>
    </cfRule>
  </conditionalFormatting>
  <conditionalFormatting sqref="Q308">
    <cfRule type="expression" dxfId="3220" priority="628">
      <formula>AND(ISNUMBER(Q308),TRUNC(Q308)&lt;TODAY())</formula>
    </cfRule>
  </conditionalFormatting>
  <conditionalFormatting sqref="P308">
    <cfRule type="expression" dxfId="3219" priority="629">
      <formula>P308&lt;44165</formula>
    </cfRule>
  </conditionalFormatting>
  <conditionalFormatting sqref="P307">
    <cfRule type="expression" dxfId="3218" priority="630">
      <formula>AND(ISNUMBER(P307),TRUNC(P307)&lt;TODAY())</formula>
    </cfRule>
  </conditionalFormatting>
  <conditionalFormatting sqref="Q307">
    <cfRule type="expression" dxfId="3217" priority="631">
      <formula>AND(ISNUMBER(Q307),TRUNC(Q307)&lt;TODAY())</formula>
    </cfRule>
  </conditionalFormatting>
  <conditionalFormatting sqref="O307">
    <cfRule type="expression" dxfId="3216" priority="632">
      <formula>AND(ISNUMBER(O307),TRUNC(O307)&lt;TODAY())</formula>
    </cfRule>
  </conditionalFormatting>
  <conditionalFormatting sqref="F307">
    <cfRule type="containsText" dxfId="3215" priority="633" operator="containsText" text="F">
      <formula>NOT(ISERROR(SEARCH(("F"),(F307))))</formula>
    </cfRule>
  </conditionalFormatting>
  <conditionalFormatting sqref="O305:Q305">
    <cfRule type="expression" dxfId="3214" priority="634">
      <formula>AND(ISNUMBER(O305),TRUNC(O305)&lt;TODAY())</formula>
    </cfRule>
  </conditionalFormatting>
  <conditionalFormatting sqref="F305">
    <cfRule type="containsText" dxfId="3213" priority="635" operator="containsText" text="F">
      <formula>NOT(ISERROR(SEARCH(("F"),(F305))))</formula>
    </cfRule>
  </conditionalFormatting>
  <conditionalFormatting sqref="F304">
    <cfRule type="containsText" dxfId="3212" priority="636" operator="containsText" text="F">
      <formula>NOT(ISERROR(SEARCH(("F"),(F304))))</formula>
    </cfRule>
  </conditionalFormatting>
  <conditionalFormatting sqref="O304:Q304">
    <cfRule type="expression" dxfId="3211" priority="637">
      <formula>AND(ISNUMBER(O304),TRUNC(O304)&lt;TODAY())</formula>
    </cfRule>
  </conditionalFormatting>
  <conditionalFormatting sqref="O303">
    <cfRule type="expression" dxfId="3210" priority="638">
      <formula>AND(ISNUMBER(O303),TRUNC(O303)&lt;TODAY())</formula>
    </cfRule>
  </conditionalFormatting>
  <conditionalFormatting sqref="V303">
    <cfRule type="notContainsBlanks" dxfId="3209" priority="639">
      <formula>LEN(TRIM(V303))&gt;0</formula>
    </cfRule>
  </conditionalFormatting>
  <conditionalFormatting sqref="F303">
    <cfRule type="containsText" dxfId="3208" priority="640" operator="containsText" text="F">
      <formula>NOT(ISERROR(SEARCH(("F"),(F303))))</formula>
    </cfRule>
  </conditionalFormatting>
  <conditionalFormatting sqref="Q303">
    <cfRule type="expression" dxfId="3207" priority="641">
      <formula>AND(ISNUMBER(Q303),TRUNC(Q303)&lt;TODAY())</formula>
    </cfRule>
  </conditionalFormatting>
  <conditionalFormatting sqref="P303">
    <cfRule type="expression" dxfId="3206" priority="642">
      <formula>AND(ISNUMBER(P303),TRUNC(P303)&lt;TODAY())</formula>
    </cfRule>
  </conditionalFormatting>
  <conditionalFormatting sqref="O302:Q302">
    <cfRule type="expression" dxfId="3205" priority="643">
      <formula>AND(ISNUMBER(O302),TRUNC(O302)&lt;TODAY())</formula>
    </cfRule>
  </conditionalFormatting>
  <conditionalFormatting sqref="F302">
    <cfRule type="containsText" dxfId="3204" priority="644" operator="containsText" text="F">
      <formula>NOT(ISERROR(SEARCH(("F"),(F302))))</formula>
    </cfRule>
  </conditionalFormatting>
  <conditionalFormatting sqref="O296">
    <cfRule type="expression" dxfId="3203" priority="645">
      <formula>AND(ISNUMBER(O296),TRUNC(O296)&lt;TODAY())</formula>
    </cfRule>
  </conditionalFormatting>
  <conditionalFormatting sqref="Q296">
    <cfRule type="expression" dxfId="3202" priority="646">
      <formula>AND(ISNUMBER(Q296),TRUNC(Q296)&lt;TODAY())</formula>
    </cfRule>
  </conditionalFormatting>
  <conditionalFormatting sqref="P296">
    <cfRule type="expression" dxfId="3201" priority="647">
      <formula>AND(ISNUMBER(P296),TRUNC(P296)&lt;TODAY())</formula>
    </cfRule>
  </conditionalFormatting>
  <conditionalFormatting sqref="O295:Q295">
    <cfRule type="expression" dxfId="3200" priority="648">
      <formula>AND(ISNUMBER(O295),TRUNC(O295)&lt;TODAY())</formula>
    </cfRule>
  </conditionalFormatting>
  <conditionalFormatting sqref="F294">
    <cfRule type="containsText" dxfId="3199" priority="649" operator="containsText" text="F">
      <formula>NOT(ISERROR(SEARCH(("F"),(F294))))</formula>
    </cfRule>
  </conditionalFormatting>
  <conditionalFormatting sqref="O294">
    <cfRule type="expression" dxfId="3198" priority="650">
      <formula>AND(ISNUMBER(O294),TRUNC(O294)&lt;TODAY())</formula>
    </cfRule>
  </conditionalFormatting>
  <conditionalFormatting sqref="P294">
    <cfRule type="expression" dxfId="3197" priority="651">
      <formula>AND(ISNUMBER(P294),TRUNC(P294)&lt;TODAY())</formula>
    </cfRule>
  </conditionalFormatting>
  <conditionalFormatting sqref="P294">
    <cfRule type="expression" dxfId="3196" priority="652">
      <formula>AND(ISNUMBER(P294),TRUNC(P294)&lt;TODAY())</formula>
    </cfRule>
  </conditionalFormatting>
  <conditionalFormatting sqref="O290:Q290">
    <cfRule type="expression" dxfId="3195" priority="653">
      <formula>AND(ISNUMBER(O290),TRUNC(O290)&lt;TODAY())</formula>
    </cfRule>
  </conditionalFormatting>
  <conditionalFormatting sqref="F290">
    <cfRule type="containsText" dxfId="3194" priority="654" operator="containsText" text="F">
      <formula>NOT(ISERROR(SEARCH(("F"),(F290))))</formula>
    </cfRule>
  </conditionalFormatting>
  <conditionalFormatting sqref="F285">
    <cfRule type="containsText" dxfId="3193" priority="655" operator="containsText" text="F">
      <formula>NOT(ISERROR(SEARCH(("F"),(F285))))</formula>
    </cfRule>
  </conditionalFormatting>
  <conditionalFormatting sqref="P285:Q285">
    <cfRule type="expression" dxfId="3192" priority="656">
      <formula>AND(ISNUMBER(P285),TRUNC(P285)&lt;TODAY())</formula>
    </cfRule>
  </conditionalFormatting>
  <conditionalFormatting sqref="Q285">
    <cfRule type="expression" dxfId="3191" priority="657">
      <formula>AND(ISNUMBER(Q285),TRUNC(Q285)&lt;TODAY())</formula>
    </cfRule>
  </conditionalFormatting>
  <conditionalFormatting sqref="P285">
    <cfRule type="expression" dxfId="3190" priority="658">
      <formula>AND(ISNUMBER(P285),TRUNC(P285)&lt;TODAY())</formula>
    </cfRule>
  </conditionalFormatting>
  <conditionalFormatting sqref="O285">
    <cfRule type="expression" dxfId="3189" priority="659">
      <formula>AND(ISNUMBER(O285),TRUNC(O285)&lt;TODAY())</formula>
    </cfRule>
  </conditionalFormatting>
  <conditionalFormatting sqref="P284">
    <cfRule type="expression" dxfId="3188" priority="660">
      <formula>AND(ISNUMBER(P284),TRUNC(P284)&lt;TODAY())</formula>
    </cfRule>
  </conditionalFormatting>
  <conditionalFormatting sqref="O284:Q284">
    <cfRule type="expression" dxfId="3187" priority="661">
      <formula>AND(ISNUMBER(O284),TRUNC(O284)&lt;TODAY())</formula>
    </cfRule>
  </conditionalFormatting>
  <conditionalFormatting sqref="F284">
    <cfRule type="containsText" dxfId="3186" priority="662" operator="containsText" text="F">
      <formula>NOT(ISERROR(SEARCH(("F"),(F284))))</formula>
    </cfRule>
  </conditionalFormatting>
  <conditionalFormatting sqref="O283:Q283">
    <cfRule type="expression" dxfId="3185" priority="663">
      <formula>AND(ISNUMBER(O283),TRUNC(O283)&lt;TODAY())</formula>
    </cfRule>
  </conditionalFormatting>
  <conditionalFormatting sqref="O282:Q282">
    <cfRule type="expression" dxfId="3184" priority="664">
      <formula>AND(ISNUMBER(O282),TRUNC(O282)&lt;TODAY())</formula>
    </cfRule>
  </conditionalFormatting>
  <conditionalFormatting sqref="O281:Q281">
    <cfRule type="expression" dxfId="3183" priority="665">
      <formula>AND(ISNUMBER(O281),TRUNC(O281)&lt;TODAY())</formula>
    </cfRule>
  </conditionalFormatting>
  <conditionalFormatting sqref="O280">
    <cfRule type="expression" dxfId="3182" priority="666">
      <formula>AND(ISNUMBER(O280),TRUNC(O280)&lt;TODAY())</formula>
    </cfRule>
  </conditionalFormatting>
  <conditionalFormatting sqref="P280">
    <cfRule type="expression" dxfId="3181" priority="667">
      <formula>AND(ISNUMBER(P280),TRUNC(P280)&lt;TODAY())</formula>
    </cfRule>
  </conditionalFormatting>
  <conditionalFormatting sqref="Q280">
    <cfRule type="expression" dxfId="3180" priority="668">
      <formula>AND(ISNUMBER(Q280),TRUNC(Q280)&lt;TODAY())</formula>
    </cfRule>
  </conditionalFormatting>
  <conditionalFormatting sqref="F280">
    <cfRule type="containsText" dxfId="3179" priority="669" operator="containsText" text="F">
      <formula>NOT(ISERROR(SEARCH(("F"),(F280))))</formula>
    </cfRule>
  </conditionalFormatting>
  <conditionalFormatting sqref="P279">
    <cfRule type="expression" dxfId="3178" priority="670">
      <formula>P279&lt;44043</formula>
    </cfRule>
  </conditionalFormatting>
  <conditionalFormatting sqref="P279">
    <cfRule type="expression" dxfId="3177" priority="671">
      <formula>AND(ISNUMBER(P279),TRUNC(P279)&lt;TODAY())</formula>
    </cfRule>
  </conditionalFormatting>
  <conditionalFormatting sqref="Q279">
    <cfRule type="expression" dxfId="3176" priority="672">
      <formula>AND(ISNUMBER(Q279),TRUNC(Q279)&lt;TODAY())</formula>
    </cfRule>
  </conditionalFormatting>
  <conditionalFormatting sqref="O279">
    <cfRule type="expression" dxfId="3175" priority="673">
      <formula>AND(ISNUMBER(O279),TRUNC(O279)&lt;TODAY())</formula>
    </cfRule>
  </conditionalFormatting>
  <conditionalFormatting sqref="F279">
    <cfRule type="containsText" dxfId="3174" priority="674" operator="containsText" text="F">
      <formula>NOT(ISERROR(SEARCH(("F"),(F279))))</formula>
    </cfRule>
  </conditionalFormatting>
  <conditionalFormatting sqref="O278">
    <cfRule type="expression" dxfId="3173" priority="675">
      <formula>AND(ISNUMBER(O278),TRUNC(O278)&lt;TODAY())</formula>
    </cfRule>
  </conditionalFormatting>
  <conditionalFormatting sqref="Q278">
    <cfRule type="expression" dxfId="3172" priority="676">
      <formula>AND(ISNUMBER(Q278),TRUNC(Q278)&lt;TODAY())</formula>
    </cfRule>
  </conditionalFormatting>
  <conditionalFormatting sqref="P278">
    <cfRule type="expression" dxfId="3171" priority="677">
      <formula>AND(ISNUMBER(P278),TRUNC(P278)&lt;TODAY())</formula>
    </cfRule>
  </conditionalFormatting>
  <conditionalFormatting sqref="F278">
    <cfRule type="containsText" dxfId="3170" priority="678" operator="containsText" text="F">
      <formula>NOT(ISERROR(SEARCH(("F"),(F278))))</formula>
    </cfRule>
  </conditionalFormatting>
  <conditionalFormatting sqref="O277">
    <cfRule type="expression" dxfId="3169" priority="679">
      <formula>AND(ISNUMBER(O277),TRUNC(O277)&lt;TODAY())</formula>
    </cfRule>
  </conditionalFormatting>
  <conditionalFormatting sqref="P277:Q277">
    <cfRule type="expression" dxfId="3168" priority="680">
      <formula>AND(ISNUMBER(P277),TRUNC(P277)&lt;TODAY())</formula>
    </cfRule>
  </conditionalFormatting>
  <conditionalFormatting sqref="Q277">
    <cfRule type="expression" dxfId="3167" priority="681">
      <formula>AND(ISNUMBER(Q277),TRUNC(Q277)&lt;TODAY())</formula>
    </cfRule>
  </conditionalFormatting>
  <conditionalFormatting sqref="F277">
    <cfRule type="containsText" dxfId="3166" priority="682" operator="containsText" text="F">
      <formula>NOT(ISERROR(SEARCH(("F"),(F277))))</formula>
    </cfRule>
  </conditionalFormatting>
  <conditionalFormatting sqref="Q276">
    <cfRule type="expression" dxfId="3165" priority="683">
      <formula>AND(ISNUMBER(Q276),TRUNC(Q276)&lt;TODAY())</formula>
    </cfRule>
  </conditionalFormatting>
  <conditionalFormatting sqref="P276">
    <cfRule type="expression" dxfId="3164" priority="684">
      <formula>AND(ISNUMBER(P276),TRUNC(P276)&lt;TODAY())</formula>
    </cfRule>
  </conditionalFormatting>
  <conditionalFormatting sqref="P276">
    <cfRule type="expression" dxfId="3163" priority="685">
      <formula>AND(ISNUMBER(P276),TRUNC(P276)&lt;TODAY())</formula>
    </cfRule>
  </conditionalFormatting>
  <conditionalFormatting sqref="O276">
    <cfRule type="expression" dxfId="3162" priority="686">
      <formula>AND(ISNUMBER(O276),TRUNC(O276)&lt;TODAY())</formula>
    </cfRule>
  </conditionalFormatting>
  <conditionalFormatting sqref="F276">
    <cfRule type="containsText" dxfId="3161" priority="687" operator="containsText" text="F">
      <formula>NOT(ISERROR(SEARCH(("F"),(F276))))</formula>
    </cfRule>
  </conditionalFormatting>
  <conditionalFormatting sqref="Q275">
    <cfRule type="expression" dxfId="3160" priority="688">
      <formula>AND(ISNUMBER(Q275),TRUNC(Q275)&lt;TODAY())</formula>
    </cfRule>
  </conditionalFormatting>
  <conditionalFormatting sqref="O275">
    <cfRule type="expression" dxfId="3159" priority="689">
      <formula>AND(ISNUMBER(O275),TRUNC(O275)&lt;TODAY())</formula>
    </cfRule>
  </conditionalFormatting>
  <conditionalFormatting sqref="P275">
    <cfRule type="expression" dxfId="3158" priority="690">
      <formula>AND(ISNUMBER(P275),TRUNC(P275)&lt;TODAY())</formula>
    </cfRule>
  </conditionalFormatting>
  <conditionalFormatting sqref="F275">
    <cfRule type="containsText" dxfId="3157" priority="691" operator="containsText" text="F">
      <formula>NOT(ISERROR(SEARCH(("F"),(F275))))</formula>
    </cfRule>
  </conditionalFormatting>
  <conditionalFormatting sqref="P273 Q273">
    <cfRule type="expression" dxfId="3156" priority="692">
      <formula>AND(ISNUMBER(P273),TRUNC(P273)&lt;TODAY())</formula>
    </cfRule>
  </conditionalFormatting>
  <conditionalFormatting sqref="O273">
    <cfRule type="expression" dxfId="3155" priority="693">
      <formula>AND(ISNUMBER(O273),TRUNC(O273)&lt;TODAY())</formula>
    </cfRule>
  </conditionalFormatting>
  <conditionalFormatting sqref="P273">
    <cfRule type="expression" dxfId="3154" priority="694">
      <formula>AND(ISNUMBER(P273),TRUNC(P273)&lt;TODAY())</formula>
    </cfRule>
  </conditionalFormatting>
  <conditionalFormatting sqref="V273">
    <cfRule type="notContainsBlanks" dxfId="3153" priority="695">
      <formula>LEN(TRIM(V273))&gt;0</formula>
    </cfRule>
  </conditionalFormatting>
  <conditionalFormatting sqref="Q273">
    <cfRule type="expression" dxfId="3152" priority="696">
      <formula>AND(ISNUMBER(Q273),TRUNC(Q273)&lt;TODAY())</formula>
    </cfRule>
  </conditionalFormatting>
  <conditionalFormatting sqref="F273">
    <cfRule type="containsText" dxfId="3151" priority="697" operator="containsText" text="F">
      <formula>NOT(ISERROR(SEARCH(("F"),(F273))))</formula>
    </cfRule>
  </conditionalFormatting>
  <conditionalFormatting sqref="P272:Q272">
    <cfRule type="expression" dxfId="3150" priority="698">
      <formula>AND(ISNUMBER(P272),TRUNC(P272)&lt;TODAY())</formula>
    </cfRule>
  </conditionalFormatting>
  <conditionalFormatting sqref="P272">
    <cfRule type="expression" dxfId="3149" priority="699">
      <formula>AND(ISNUMBER(P272),TRUNC(P272)&lt;TODAY())</formula>
    </cfRule>
  </conditionalFormatting>
  <conditionalFormatting sqref="O272">
    <cfRule type="expression" dxfId="3148" priority="700">
      <formula>AND(ISNUMBER(O272),TRUNC(O272)&lt;TODAY())</formula>
    </cfRule>
  </conditionalFormatting>
  <conditionalFormatting sqref="F271">
    <cfRule type="containsText" dxfId="3147" priority="701" operator="containsText" text="F">
      <formula>NOT(ISERROR(SEARCH(("F"),(F271))))</formula>
    </cfRule>
  </conditionalFormatting>
  <conditionalFormatting sqref="O271:Q271">
    <cfRule type="expression" dxfId="3146" priority="702">
      <formula>AND(ISNUMBER(O271),TRUNC(O271)&lt;TODAY())</formula>
    </cfRule>
  </conditionalFormatting>
  <conditionalFormatting sqref="O270">
    <cfRule type="expression" dxfId="3145" priority="703">
      <formula>AND(ISNUMBER(O270),TRUNC(O270)&lt;TODAY())</formula>
    </cfRule>
  </conditionalFormatting>
  <conditionalFormatting sqref="P270">
    <cfRule type="expression" dxfId="3144" priority="704">
      <formula>AND(ISNUMBER(P270),TRUNC(P270)&lt;TODAY())</formula>
    </cfRule>
  </conditionalFormatting>
  <conditionalFormatting sqref="Q270">
    <cfRule type="expression" dxfId="3143" priority="705">
      <formula>AND(ISNUMBER(Q270),TRUNC(Q270)&lt;TODAY())</formula>
    </cfRule>
  </conditionalFormatting>
  <conditionalFormatting sqref="P270">
    <cfRule type="expression" dxfId="3142" priority="706">
      <formula>AND(ISNUMBER(P270),TRUNC(P270)&lt;TODAY())</formula>
    </cfRule>
  </conditionalFormatting>
  <conditionalFormatting sqref="F270">
    <cfRule type="containsText" dxfId="3141" priority="707" operator="containsText" text="F">
      <formula>NOT(ISERROR(SEARCH(("F"),(F270))))</formula>
    </cfRule>
  </conditionalFormatting>
  <conditionalFormatting sqref="O269">
    <cfRule type="expression" dxfId="3140" priority="708">
      <formula>AND(ISNUMBER(O269),TRUNC(O269)&lt;TODAY())</formula>
    </cfRule>
  </conditionalFormatting>
  <conditionalFormatting sqref="P269">
    <cfRule type="expression" dxfId="3139" priority="709">
      <formula>AND(ISNUMBER(P269),TRUNC(P269)&lt;TODAY())</formula>
    </cfRule>
  </conditionalFormatting>
  <conditionalFormatting sqref="Q269">
    <cfRule type="expression" dxfId="3138" priority="710">
      <formula>AND(ISNUMBER(Q269),TRUNC(Q269)&lt;TODAY())</formula>
    </cfRule>
  </conditionalFormatting>
  <conditionalFormatting sqref="F269">
    <cfRule type="containsText" dxfId="3137" priority="711" operator="containsText" text="F">
      <formula>NOT(ISERROR(SEARCH(("F"),(F269))))</formula>
    </cfRule>
  </conditionalFormatting>
  <conditionalFormatting sqref="O268:Q268">
    <cfRule type="expression" dxfId="3136" priority="712">
      <formula>AND(ISNUMBER(O268),TRUNC(O268)&lt;TODAY())</formula>
    </cfRule>
  </conditionalFormatting>
  <conditionalFormatting sqref="P268">
    <cfRule type="expression" dxfId="3135" priority="713">
      <formula>AND(ISNUMBER(P268),TRUNC(P268)&lt;TODAY())</formula>
    </cfRule>
  </conditionalFormatting>
  <conditionalFormatting sqref="O267:Q267">
    <cfRule type="expression" dxfId="3134" priority="714">
      <formula>AND(ISNUMBER(O267),TRUNC(O267)&lt;TODAY())</formula>
    </cfRule>
  </conditionalFormatting>
  <conditionalFormatting sqref="F266">
    <cfRule type="containsText" dxfId="3133" priority="715" operator="containsText" text="F">
      <formula>NOT(ISERROR(SEARCH(("F"),(F266))))</formula>
    </cfRule>
  </conditionalFormatting>
  <conditionalFormatting sqref="O266">
    <cfRule type="expression" dxfId="3132" priority="716">
      <formula>AND(ISNUMBER(O266),TRUNC(O266)&lt;TODAY())</formula>
    </cfRule>
  </conditionalFormatting>
  <conditionalFormatting sqref="Q266">
    <cfRule type="expression" dxfId="3131" priority="717">
      <formula>AND(ISNUMBER(Q266),TRUNC(Q266)&lt;TODAY())</formula>
    </cfRule>
  </conditionalFormatting>
  <conditionalFormatting sqref="P266">
    <cfRule type="expression" dxfId="3130" priority="718">
      <formula>AND(ISNUMBER(P266),TRUNC(P266)&lt;TODAY())</formula>
    </cfRule>
  </conditionalFormatting>
  <conditionalFormatting sqref="F265">
    <cfRule type="containsText" dxfId="3129" priority="719" operator="containsText" text="F">
      <formula>NOT(ISERROR(SEARCH(("F"),(F265))))</formula>
    </cfRule>
  </conditionalFormatting>
  <conditionalFormatting sqref="O265">
    <cfRule type="expression" dxfId="3128" priority="720">
      <formula>AND(ISNUMBER(O265),TRUNC(O265)&lt;TODAY())</formula>
    </cfRule>
  </conditionalFormatting>
  <conditionalFormatting sqref="P265">
    <cfRule type="expression" dxfId="3127" priority="721">
      <formula>AND(ISNUMBER(P265),TRUNC(P265)&lt;TODAY())</formula>
    </cfRule>
  </conditionalFormatting>
  <conditionalFormatting sqref="Q265 P265">
    <cfRule type="expression" dxfId="3126" priority="722">
      <formula>AND(ISNUMBER(Q265),TRUNC(Q265)&lt;TODAY())</formula>
    </cfRule>
  </conditionalFormatting>
  <conditionalFormatting sqref="V265">
    <cfRule type="notContainsBlanks" dxfId="3125" priority="723">
      <formula>LEN(TRIM(V265))&gt;0</formula>
    </cfRule>
  </conditionalFormatting>
  <conditionalFormatting sqref="O263:Q263">
    <cfRule type="expression" dxfId="3124" priority="724">
      <formula>AND(ISNUMBER(O263),TRUNC(O263)&lt;TODAY())</formula>
    </cfRule>
  </conditionalFormatting>
  <conditionalFormatting sqref="F263">
    <cfRule type="containsText" dxfId="3123" priority="725" operator="containsText" text="F">
      <formula>NOT(ISERROR(SEARCH(("F"),(F263))))</formula>
    </cfRule>
  </conditionalFormatting>
  <conditionalFormatting sqref="P261">
    <cfRule type="expression" dxfId="3122" priority="726">
      <formula>AND(ISNUMBER(P261),TRUNC(P261)&lt;TODAY())</formula>
    </cfRule>
  </conditionalFormatting>
  <conditionalFormatting sqref="O261">
    <cfRule type="expression" dxfId="3121" priority="727">
      <formula>AND(ISNUMBER(O261),TRUNC(O261)&lt;TODAY())</formula>
    </cfRule>
  </conditionalFormatting>
  <conditionalFormatting sqref="Q261">
    <cfRule type="expression" dxfId="3120" priority="728">
      <formula>AND(ISNUMBER(Q261),TRUNC(Q261)&lt;TODAY())</formula>
    </cfRule>
  </conditionalFormatting>
  <conditionalFormatting sqref="F261">
    <cfRule type="containsText" dxfId="3119" priority="729" operator="containsText" text="F">
      <formula>NOT(ISERROR(SEARCH(("F"),(F261))))</formula>
    </cfRule>
  </conditionalFormatting>
  <conditionalFormatting sqref="P259 O259 Q259 N259">
    <cfRule type="expression" dxfId="3118" priority="730">
      <formula>AND(ISNUMBER(P259),TRUNC(P259)&lt;TODAY())</formula>
    </cfRule>
  </conditionalFormatting>
  <conditionalFormatting sqref="F259">
    <cfRule type="containsText" dxfId="3117" priority="731" operator="containsText" text="F">
      <formula>NOT(ISERROR(SEARCH(("F"),(F259))))</formula>
    </cfRule>
  </conditionalFormatting>
  <conditionalFormatting sqref="O256:Q256">
    <cfRule type="expression" dxfId="3116" priority="732">
      <formula>AND(ISNUMBER(O256),TRUNC(O256)&lt;TODAY())</formula>
    </cfRule>
  </conditionalFormatting>
  <conditionalFormatting sqref="F256">
    <cfRule type="containsText" dxfId="3115" priority="733" operator="containsText" text="F">
      <formula>NOT(ISERROR(SEARCH(("F"),(F256))))</formula>
    </cfRule>
  </conditionalFormatting>
  <conditionalFormatting sqref="V254">
    <cfRule type="notContainsBlanks" dxfId="3114" priority="734">
      <formula>LEN(TRIM(V254))&gt;0</formula>
    </cfRule>
  </conditionalFormatting>
  <conditionalFormatting sqref="P254">
    <cfRule type="expression" dxfId="3113" priority="735">
      <formula>AND(ISNUMBER(P254),TRUNC(P254)&lt;TODAY())</formula>
    </cfRule>
  </conditionalFormatting>
  <conditionalFormatting sqref="Q254">
    <cfRule type="expression" dxfId="3112" priority="736">
      <formula>AND(ISNUMBER(Q254),TRUNC(Q254)&lt;TODAY())</formula>
    </cfRule>
  </conditionalFormatting>
  <conditionalFormatting sqref="F254">
    <cfRule type="containsText" dxfId="3111" priority="737" operator="containsText" text="F">
      <formula>NOT(ISERROR(SEARCH(("F"),(F254))))</formula>
    </cfRule>
  </conditionalFormatting>
  <conditionalFormatting sqref="O254">
    <cfRule type="expression" dxfId="3110" priority="738">
      <formula>AND(ISNUMBER(O254),TRUNC(O254)&lt;TODAY())</formula>
    </cfRule>
  </conditionalFormatting>
  <conditionalFormatting sqref="P253 O253 Q253 N253">
    <cfRule type="expression" dxfId="3109" priority="739">
      <formula>AND(ISNUMBER(P253),TRUNC(P253)&lt;TODAY())</formula>
    </cfRule>
  </conditionalFormatting>
  <conditionalFormatting sqref="F253">
    <cfRule type="containsText" dxfId="3108" priority="740" operator="containsText" text="F">
      <formula>NOT(ISERROR(SEARCH(("F"),(F253))))</formula>
    </cfRule>
  </conditionalFormatting>
  <conditionalFormatting sqref="O251">
    <cfRule type="expression" dxfId="3107" priority="741">
      <formula>AND(ISNUMBER(O251),TRUNC(O251)&lt;TODAY())</formula>
    </cfRule>
  </conditionalFormatting>
  <conditionalFormatting sqref="P251">
    <cfRule type="expression" dxfId="3106" priority="742">
      <formula>AND(ISNUMBER(P251),TRUNC(P251)&lt;TODAY())</formula>
    </cfRule>
  </conditionalFormatting>
  <conditionalFormatting sqref="F251">
    <cfRule type="containsText" dxfId="3105" priority="743" operator="containsText" text="F">
      <formula>NOT(ISERROR(SEARCH(("F"),(F251))))</formula>
    </cfRule>
  </conditionalFormatting>
  <conditionalFormatting sqref="O250:Q250">
    <cfRule type="expression" dxfId="3104" priority="744">
      <formula>AND(ISNUMBER(O250),TRUNC(O250)&lt;TODAY())</formula>
    </cfRule>
  </conditionalFormatting>
  <conditionalFormatting sqref="F250">
    <cfRule type="containsText" dxfId="3103" priority="745" operator="containsText" text="F">
      <formula>NOT(ISERROR(SEARCH(("F"),(F250))))</formula>
    </cfRule>
  </conditionalFormatting>
  <conditionalFormatting sqref="O249:Q249">
    <cfRule type="expression" dxfId="3102" priority="746">
      <formula>AND(ISNUMBER(O249),TRUNC(O249)&lt;TODAY())</formula>
    </cfRule>
  </conditionalFormatting>
  <conditionalFormatting sqref="F249">
    <cfRule type="containsText" dxfId="3101" priority="747" operator="containsText" text="F">
      <formula>NOT(ISERROR(SEARCH(("F"),(F249))))</formula>
    </cfRule>
  </conditionalFormatting>
  <conditionalFormatting sqref="P248">
    <cfRule type="expression" dxfId="3100" priority="748">
      <formula>AND(ISNUMBER(P248),TRUNC(P248)&lt;TODAY())</formula>
    </cfRule>
  </conditionalFormatting>
  <conditionalFormatting sqref="O248">
    <cfRule type="expression" dxfId="3099" priority="749">
      <formula>AND(ISNUMBER(O248),TRUNC(O248)&lt;TODAY())</formula>
    </cfRule>
  </conditionalFormatting>
  <conditionalFormatting sqref="F248">
    <cfRule type="containsText" dxfId="3098" priority="750" operator="containsText" text="F">
      <formula>NOT(ISERROR(SEARCH(("F"),(F248))))</formula>
    </cfRule>
  </conditionalFormatting>
  <conditionalFormatting sqref="Q247">
    <cfRule type="expression" dxfId="3097" priority="751">
      <formula>AND(ISNUMBER(Q247),TRUNC(Q247)&lt;TODAY())</formula>
    </cfRule>
  </conditionalFormatting>
  <conditionalFormatting sqref="P247">
    <cfRule type="expression" dxfId="3096" priority="752">
      <formula>AND(ISNUMBER(P247),TRUNC(P247)&lt;TODAY())</formula>
    </cfRule>
  </conditionalFormatting>
  <conditionalFormatting sqref="O247">
    <cfRule type="expression" dxfId="3095" priority="753">
      <formula>AND(ISNUMBER(O247),TRUNC(O247)&lt;TODAY())</formula>
    </cfRule>
  </conditionalFormatting>
  <conditionalFormatting sqref="F247">
    <cfRule type="containsText" dxfId="3094" priority="754" operator="containsText" text="F">
      <formula>NOT(ISERROR(SEARCH(("F"),(F247))))</formula>
    </cfRule>
  </conditionalFormatting>
  <conditionalFormatting sqref="V246">
    <cfRule type="notContainsBlanks" dxfId="3093" priority="755">
      <formula>LEN(TRIM(V246))&gt;0</formula>
    </cfRule>
  </conditionalFormatting>
  <conditionalFormatting sqref="Q246">
    <cfRule type="expression" dxfId="3092" priority="756">
      <formula>AND(ISNUMBER(Q246),TRUNC(Q246)&lt;TODAY())</formula>
    </cfRule>
  </conditionalFormatting>
  <conditionalFormatting sqref="Q246">
    <cfRule type="expression" dxfId="3091" priority="757">
      <formula>AND(ISNUMBER(Q246),TRUNC(Q246)&lt;TODAY())</formula>
    </cfRule>
  </conditionalFormatting>
  <conditionalFormatting sqref="F246">
    <cfRule type="containsText" dxfId="3090" priority="758" operator="containsText" text="F">
      <formula>NOT(ISERROR(SEARCH(("F"),(F246))))</formula>
    </cfRule>
  </conditionalFormatting>
  <conditionalFormatting sqref="P246">
    <cfRule type="expression" dxfId="3089" priority="759">
      <formula>P246&lt;44165</formula>
    </cfRule>
  </conditionalFormatting>
  <conditionalFormatting sqref="O246">
    <cfRule type="expression" dxfId="3088" priority="760">
      <formula>AND(ISNUMBER(O246),TRUNC(O246)&lt;TODAY())</formula>
    </cfRule>
  </conditionalFormatting>
  <conditionalFormatting sqref="F244">
    <cfRule type="containsText" dxfId="3087" priority="761" operator="containsText" text="F">
      <formula>NOT(ISERROR(SEARCH(("F"),(F244))))</formula>
    </cfRule>
  </conditionalFormatting>
  <conditionalFormatting sqref="O244:Q244">
    <cfRule type="expression" dxfId="3086" priority="762">
      <formula>AND(ISNUMBER(O244),TRUNC(O244)&lt;TODAY())</formula>
    </cfRule>
  </conditionalFormatting>
  <conditionalFormatting sqref="O242:Q242">
    <cfRule type="expression" dxfId="3085" priority="763">
      <formula>AND(ISNUMBER(O242),TRUNC(O242)&lt;TODAY())</formula>
    </cfRule>
  </conditionalFormatting>
  <conditionalFormatting sqref="O240:Q240">
    <cfRule type="expression" dxfId="3084" priority="764">
      <formula>AND(ISNUMBER(O240),TRUNC(O240)&lt;TODAY())</formula>
    </cfRule>
  </conditionalFormatting>
  <conditionalFormatting sqref="F240">
    <cfRule type="containsText" dxfId="3083" priority="765" operator="containsText" text="F">
      <formula>NOT(ISERROR(SEARCH(("F"),(F240))))</formula>
    </cfRule>
  </conditionalFormatting>
  <conditionalFormatting sqref="O238:Q238">
    <cfRule type="expression" dxfId="3082" priority="766">
      <formula>AND(ISNUMBER(O238),TRUNC(O238)&lt;TODAY())</formula>
    </cfRule>
  </conditionalFormatting>
  <conditionalFormatting sqref="F238">
    <cfRule type="containsText" dxfId="3081" priority="767" operator="containsText" text="F">
      <formula>NOT(ISERROR(SEARCH(("F"),(F238))))</formula>
    </cfRule>
  </conditionalFormatting>
  <conditionalFormatting sqref="F236">
    <cfRule type="containsText" dxfId="3080" priority="768" operator="containsText" text="F">
      <formula>NOT(ISERROR(SEARCH(("F"),(F236))))</formula>
    </cfRule>
  </conditionalFormatting>
  <conditionalFormatting sqref="P236 O236 Q236">
    <cfRule type="expression" dxfId="3079" priority="769">
      <formula>AND(ISNUMBER(P236),TRUNC(P236)&lt;TODAY())</formula>
    </cfRule>
  </conditionalFormatting>
  <conditionalFormatting sqref="O233:Q233">
    <cfRule type="expression" dxfId="3078" priority="770">
      <formula>AND(ISNUMBER(O233),TRUNC(O233)&lt;TODAY())</formula>
    </cfRule>
  </conditionalFormatting>
  <conditionalFormatting sqref="F233">
    <cfRule type="containsText" dxfId="3077" priority="771" operator="containsText" text="F">
      <formula>NOT(ISERROR(SEARCH(("F"),(F233))))</formula>
    </cfRule>
  </conditionalFormatting>
  <conditionalFormatting sqref="O232:Q232">
    <cfRule type="expression" dxfId="3076" priority="772">
      <formula>AND(ISNUMBER(O232),TRUNC(O232)&lt;TODAY())</formula>
    </cfRule>
  </conditionalFormatting>
  <conditionalFormatting sqref="F231">
    <cfRule type="containsText" dxfId="3075" priority="773" operator="containsText" text="F">
      <formula>NOT(ISERROR(SEARCH(("F"),(F231))))</formula>
    </cfRule>
  </conditionalFormatting>
  <conditionalFormatting sqref="Q231">
    <cfRule type="expression" dxfId="3074" priority="774">
      <formula>AND(ISNUMBER(Q231),TRUNC(Q231)&lt;TODAY())</formula>
    </cfRule>
  </conditionalFormatting>
  <conditionalFormatting sqref="P231">
    <cfRule type="expression" dxfId="3073" priority="775">
      <formula>AND(ISNUMBER(P231),TRUNC(P231)&lt;TODAY())</formula>
    </cfRule>
  </conditionalFormatting>
  <conditionalFormatting sqref="P231">
    <cfRule type="expression" dxfId="3072" priority="776">
      <formula>AND(ISNUMBER(P231),TRUNC(P231)&lt;TODAY())</formula>
    </cfRule>
  </conditionalFormatting>
  <conditionalFormatting sqref="O231">
    <cfRule type="expression" dxfId="3071" priority="777">
      <formula>AND(ISNUMBER(O231),TRUNC(O231)&lt;TODAY())</formula>
    </cfRule>
  </conditionalFormatting>
  <conditionalFormatting sqref="F230">
    <cfRule type="containsText" dxfId="3070" priority="778" operator="containsText" text="F">
      <formula>NOT(ISERROR(SEARCH(("F"),(F230))))</formula>
    </cfRule>
  </conditionalFormatting>
  <conditionalFormatting sqref="O230">
    <cfRule type="expression" dxfId="3069" priority="779">
      <formula>AND(ISNUMBER(O230),TRUNC(O230)&lt;TODAY())</formula>
    </cfRule>
  </conditionalFormatting>
  <conditionalFormatting sqref="P230:Q230">
    <cfRule type="expression" dxfId="3068" priority="780">
      <formula>AND(ISNUMBER(P230),TRUNC(P230)&lt;TODAY())</formula>
    </cfRule>
  </conditionalFormatting>
  <conditionalFormatting sqref="P230">
    <cfRule type="expression" dxfId="3067" priority="781">
      <formula>AND(ISNUMBER(P230),TRUNC(P230)&lt;TODAY())</formula>
    </cfRule>
  </conditionalFormatting>
  <conditionalFormatting sqref="F229">
    <cfRule type="containsText" dxfId="3066" priority="782" operator="containsText" text="F">
      <formula>NOT(ISERROR(SEARCH(("F"),(F229))))</formula>
    </cfRule>
  </conditionalFormatting>
  <conditionalFormatting sqref="P229">
    <cfRule type="expression" dxfId="3065" priority="783">
      <formula>AND(ISNUMBER(P229),TRUNC(P229)&lt;TODAY())</formula>
    </cfRule>
  </conditionalFormatting>
  <conditionalFormatting sqref="P229">
    <cfRule type="expression" dxfId="3064" priority="784">
      <formula>AND(ISNUMBER(P229),TRUNC(P229)&lt;TODAY())</formula>
    </cfRule>
  </conditionalFormatting>
  <conditionalFormatting sqref="Q229">
    <cfRule type="expression" dxfId="3063" priority="785">
      <formula>AND(ISNUMBER(Q229),TRUNC(Q229)&lt;TODAY())</formula>
    </cfRule>
  </conditionalFormatting>
  <conditionalFormatting sqref="O229">
    <cfRule type="expression" dxfId="3062" priority="786">
      <formula>AND(ISNUMBER(O229),TRUNC(O229)&lt;TODAY())</formula>
    </cfRule>
  </conditionalFormatting>
  <conditionalFormatting sqref="F226">
    <cfRule type="containsText" dxfId="3061" priority="787" operator="containsText" text="F">
      <formula>NOT(ISERROR(SEARCH(("F"),(F226))))</formula>
    </cfRule>
  </conditionalFormatting>
  <conditionalFormatting sqref="O226:Q226">
    <cfRule type="expression" dxfId="3060" priority="788">
      <formula>AND(ISNUMBER(O226),TRUNC(O226)&lt;TODAY())</formula>
    </cfRule>
  </conditionalFormatting>
  <conditionalFormatting sqref="F225">
    <cfRule type="containsText" dxfId="3059" priority="789" operator="containsText" text="F">
      <formula>NOT(ISERROR(SEARCH(("F"),(F225))))</formula>
    </cfRule>
  </conditionalFormatting>
  <conditionalFormatting sqref="O225:Q225">
    <cfRule type="expression" dxfId="3058" priority="790">
      <formula>AND(ISNUMBER(O225),TRUNC(O225)&lt;TODAY())</formula>
    </cfRule>
  </conditionalFormatting>
  <conditionalFormatting sqref="O224:Q224">
    <cfRule type="expression" dxfId="3057" priority="791">
      <formula>AND(ISNUMBER(O224),TRUNC(O224)&lt;TODAY())</formula>
    </cfRule>
  </conditionalFormatting>
  <conditionalFormatting sqref="O223:Q223">
    <cfRule type="expression" dxfId="3056" priority="792">
      <formula>AND(ISNUMBER(O223),TRUNC(O223)&lt;TODAY())</formula>
    </cfRule>
  </conditionalFormatting>
  <conditionalFormatting sqref="F223">
    <cfRule type="containsText" dxfId="3055" priority="793" operator="containsText" text="F">
      <formula>NOT(ISERROR(SEARCH(("F"),(F223))))</formula>
    </cfRule>
  </conditionalFormatting>
  <conditionalFormatting sqref="O222:Q222">
    <cfRule type="expression" dxfId="3054" priority="794">
      <formula>AND(ISNUMBER(O222),TRUNC(O222)&lt;TODAY())</formula>
    </cfRule>
  </conditionalFormatting>
  <conditionalFormatting sqref="F222">
    <cfRule type="containsText" dxfId="3053" priority="795" operator="containsText" text="F">
      <formula>NOT(ISERROR(SEARCH(("F"),(F222))))</formula>
    </cfRule>
  </conditionalFormatting>
  <conditionalFormatting sqref="O221:Q221">
    <cfRule type="expression" dxfId="3052" priority="796">
      <formula>AND(ISNUMBER(O221),TRUNC(O221)&lt;TODAY())</formula>
    </cfRule>
  </conditionalFormatting>
  <conditionalFormatting sqref="F221">
    <cfRule type="containsText" dxfId="3051" priority="797" operator="containsText" text="F">
      <formula>NOT(ISERROR(SEARCH(("F"),(F221))))</formula>
    </cfRule>
  </conditionalFormatting>
  <conditionalFormatting sqref="F219">
    <cfRule type="containsText" dxfId="3050" priority="798" operator="containsText" text="F">
      <formula>NOT(ISERROR(SEARCH(("F"),(F219))))</formula>
    </cfRule>
  </conditionalFormatting>
  <conditionalFormatting sqref="P219 O219 Q219">
    <cfRule type="expression" dxfId="3049" priority="799">
      <formula>AND(ISNUMBER(P219),TRUNC(P219)&lt;TODAY())</formula>
    </cfRule>
  </conditionalFormatting>
  <conditionalFormatting sqref="F218">
    <cfRule type="containsText" dxfId="3048" priority="800" operator="containsText" text="F">
      <formula>NOT(ISERROR(SEARCH(("F"),(F218))))</formula>
    </cfRule>
  </conditionalFormatting>
  <conditionalFormatting sqref="P218 O218 Q218">
    <cfRule type="expression" dxfId="3047" priority="801">
      <formula>AND(ISNUMBER(P218),TRUNC(P218)&lt;TODAY())</formula>
    </cfRule>
  </conditionalFormatting>
  <conditionalFormatting sqref="F217">
    <cfRule type="containsText" dxfId="3046" priority="802" operator="containsText" text="F">
      <formula>NOT(ISERROR(SEARCH(("F"),(F217))))</formula>
    </cfRule>
  </conditionalFormatting>
  <conditionalFormatting sqref="O217:Q217">
    <cfRule type="expression" dxfId="3045" priority="803">
      <formula>AND(ISNUMBER(O217),TRUNC(O217)&lt;TODAY())</formula>
    </cfRule>
  </conditionalFormatting>
  <conditionalFormatting sqref="F216">
    <cfRule type="containsText" dxfId="3044" priority="804" operator="containsText" text="F">
      <formula>NOT(ISERROR(SEARCH(("F"),(F216))))</formula>
    </cfRule>
  </conditionalFormatting>
  <conditionalFormatting sqref="P216">
    <cfRule type="expression" dxfId="3043" priority="805">
      <formula>AND(ISNUMBER(P216),TRUNC(P216)&lt;TODAY())</formula>
    </cfRule>
  </conditionalFormatting>
  <conditionalFormatting sqref="Q216">
    <cfRule type="expression" dxfId="3042" priority="806">
      <formula>AND(ISNUMBER(Q216),TRUNC(Q216)&lt;TODAY())</formula>
    </cfRule>
  </conditionalFormatting>
  <conditionalFormatting sqref="O216">
    <cfRule type="expression" dxfId="3041" priority="807">
      <formula>AND(ISNUMBER(O216),TRUNC(O216)&lt;TODAY())</formula>
    </cfRule>
  </conditionalFormatting>
  <conditionalFormatting sqref="F215">
    <cfRule type="containsText" dxfId="3040" priority="808" operator="containsText" text="F">
      <formula>NOT(ISERROR(SEARCH(("F"),(F215))))</formula>
    </cfRule>
  </conditionalFormatting>
  <conditionalFormatting sqref="O215:Q215">
    <cfRule type="expression" dxfId="3039" priority="809">
      <formula>AND(ISNUMBER(O215),TRUNC(O215)&lt;TODAY())</formula>
    </cfRule>
  </conditionalFormatting>
  <conditionalFormatting sqref="F214">
    <cfRule type="containsText" dxfId="3038" priority="810" operator="containsText" text="F">
      <formula>NOT(ISERROR(SEARCH(("F"),(F214))))</formula>
    </cfRule>
  </conditionalFormatting>
  <conditionalFormatting sqref="O214:Q214">
    <cfRule type="expression" dxfId="3037" priority="811">
      <formula>AND(ISNUMBER(O214),TRUNC(O214)&lt;TODAY())</formula>
    </cfRule>
  </conditionalFormatting>
  <conditionalFormatting sqref="F213">
    <cfRule type="containsText" dxfId="3036" priority="812" operator="containsText" text="F">
      <formula>NOT(ISERROR(SEARCH(("F"),(F213))))</formula>
    </cfRule>
  </conditionalFormatting>
  <conditionalFormatting sqref="O213:Q213">
    <cfRule type="expression" dxfId="3035" priority="813">
      <formula>AND(ISNUMBER(O213),TRUNC(O213)&lt;TODAY())</formula>
    </cfRule>
  </conditionalFormatting>
  <conditionalFormatting sqref="O212:Q212">
    <cfRule type="expression" dxfId="3034" priority="814">
      <formula>AND(ISNUMBER(O212),TRUNC(O212)&lt;TODAY())</formula>
    </cfRule>
  </conditionalFormatting>
  <conditionalFormatting sqref="O211">
    <cfRule type="expression" dxfId="3033" priority="815">
      <formula>AND(ISNUMBER(O211),TRUNC(O211)&lt;TODAY())</formula>
    </cfRule>
  </conditionalFormatting>
  <conditionalFormatting sqref="Q211">
    <cfRule type="expression" dxfId="3032" priority="816">
      <formula>AND(ISNUMBER(Q211),TRUNC(Q211)&lt;TODAY())</formula>
    </cfRule>
  </conditionalFormatting>
  <conditionalFormatting sqref="P211">
    <cfRule type="expression" dxfId="3031" priority="817">
      <formula>AND(ISNUMBER(P211),TRUNC(P211)&lt;TODAY())</formula>
    </cfRule>
  </conditionalFormatting>
  <conditionalFormatting sqref="P210">
    <cfRule type="expression" dxfId="3030" priority="818">
      <formula>AND(ISNUMBER(P210),TRUNC(P210)&lt;TODAY())</formula>
    </cfRule>
  </conditionalFormatting>
  <conditionalFormatting sqref="P210">
    <cfRule type="expression" dxfId="3029" priority="819">
      <formula>AND(ISNUMBER(P210),TRUNC(P210)&lt;TODAY())</formula>
    </cfRule>
  </conditionalFormatting>
  <conditionalFormatting sqref="Q210">
    <cfRule type="expression" dxfId="3028" priority="820">
      <formula>AND(ISNUMBER(Q210),TRUNC(Q210)&lt;TODAY())</formula>
    </cfRule>
  </conditionalFormatting>
  <conditionalFormatting sqref="O210">
    <cfRule type="expression" dxfId="3027" priority="821">
      <formula>AND(ISNUMBER(O210),TRUNC(O210)&lt;TODAY())</formula>
    </cfRule>
  </conditionalFormatting>
  <conditionalFormatting sqref="F210">
    <cfRule type="containsText" dxfId="3026" priority="822" operator="containsText" text="F">
      <formula>NOT(ISERROR(SEARCH(("F"),(F210))))</formula>
    </cfRule>
  </conditionalFormatting>
  <conditionalFormatting sqref="P209 Q209">
    <cfRule type="expression" dxfId="3025" priority="823">
      <formula>AND(ISNUMBER(P209),TRUNC(P209)&lt;TODAY())</formula>
    </cfRule>
  </conditionalFormatting>
  <conditionalFormatting sqref="Q209">
    <cfRule type="expression" dxfId="3024" priority="824">
      <formula>AND(ISNUMBER(Q209),TRUNC(Q209)&lt;TODAY())</formula>
    </cfRule>
  </conditionalFormatting>
  <conditionalFormatting sqref="P209">
    <cfRule type="expression" dxfId="3023" priority="825">
      <formula>AND(ISNUMBER(P209),TRUNC(P209)&lt;TODAY())</formula>
    </cfRule>
  </conditionalFormatting>
  <conditionalFormatting sqref="F209">
    <cfRule type="containsText" dxfId="3022" priority="826" operator="containsText" text="F">
      <formula>NOT(ISERROR(SEARCH(("F"),(F209))))</formula>
    </cfRule>
  </conditionalFormatting>
  <conditionalFormatting sqref="O209">
    <cfRule type="expression" dxfId="3021" priority="827">
      <formula>AND(ISNUMBER(O209),TRUNC(O209)&lt;TODAY())</formula>
    </cfRule>
  </conditionalFormatting>
  <conditionalFormatting sqref="Q208 P208">
    <cfRule type="expression" dxfId="3020" priority="828">
      <formula>AND(ISNUMBER(Q208),TRUNC(Q208)&lt;TODAY())</formula>
    </cfRule>
  </conditionalFormatting>
  <conditionalFormatting sqref="O208">
    <cfRule type="expression" dxfId="3019" priority="829">
      <formula>AND(ISNUMBER(O208),TRUNC(O208)&lt;TODAY())</formula>
    </cfRule>
  </conditionalFormatting>
  <conditionalFormatting sqref="V208">
    <cfRule type="notContainsBlanks" dxfId="3018" priority="830">
      <formula>LEN(TRIM(V208))&gt;0</formula>
    </cfRule>
  </conditionalFormatting>
  <conditionalFormatting sqref="P208">
    <cfRule type="expression" dxfId="3017" priority="831">
      <formula>AND(ISNUMBER(P208),TRUNC(P208)&lt;TODAY())</formula>
    </cfRule>
  </conditionalFormatting>
  <conditionalFormatting sqref="F208">
    <cfRule type="containsText" dxfId="3016" priority="832" operator="containsText" text="F">
      <formula>NOT(ISERROR(SEARCH(("F"),(F208))))</formula>
    </cfRule>
  </conditionalFormatting>
  <conditionalFormatting sqref="O206:Q206">
    <cfRule type="expression" dxfId="3015" priority="833">
      <formula>AND(ISNUMBER(O206),TRUNC(O206)&lt;TODAY())</formula>
    </cfRule>
  </conditionalFormatting>
  <conditionalFormatting sqref="P205">
    <cfRule type="expression" dxfId="3014" priority="834">
      <formula>AND(ISNUMBER(P205),TRUNC(P205)&lt;TODAY())</formula>
    </cfRule>
  </conditionalFormatting>
  <conditionalFormatting sqref="O205">
    <cfRule type="expression" dxfId="3013" priority="835">
      <formula>AND(ISNUMBER(O205),TRUNC(O205)&lt;TODAY())</formula>
    </cfRule>
  </conditionalFormatting>
  <conditionalFormatting sqref="Q205">
    <cfRule type="expression" dxfId="3012" priority="836">
      <formula>AND(ISNUMBER(Q205),TRUNC(Q205)&lt;TODAY())</formula>
    </cfRule>
  </conditionalFormatting>
  <conditionalFormatting sqref="F205">
    <cfRule type="containsText" dxfId="3011" priority="837" operator="containsText" text="F">
      <formula>NOT(ISERROR(SEARCH(("F"),(F205))))</formula>
    </cfRule>
  </conditionalFormatting>
  <conditionalFormatting sqref="O204">
    <cfRule type="expression" dxfId="3010" priority="838">
      <formula>AND(ISNUMBER(O204),TRUNC(O204)&lt;TODAY())</formula>
    </cfRule>
  </conditionalFormatting>
  <conditionalFormatting sqref="Q204">
    <cfRule type="expression" dxfId="3009" priority="839">
      <formula>AND(ISNUMBER(Q204),TRUNC(Q204)&lt;TODAY())</formula>
    </cfRule>
  </conditionalFormatting>
  <conditionalFormatting sqref="V204">
    <cfRule type="notContainsBlanks" dxfId="3008" priority="840">
      <formula>LEN(TRIM(V204))&gt;0</formula>
    </cfRule>
  </conditionalFormatting>
  <conditionalFormatting sqref="P204">
    <cfRule type="expression" dxfId="3007" priority="841">
      <formula>AND(ISNUMBER(P204),TRUNC(P204)&lt;TODAY())</formula>
    </cfRule>
  </conditionalFormatting>
  <conditionalFormatting sqref="F204">
    <cfRule type="containsText" dxfId="3006" priority="842" operator="containsText" text="F">
      <formula>NOT(ISERROR(SEARCH(("F"),(F204))))</formula>
    </cfRule>
  </conditionalFormatting>
  <conditionalFormatting sqref="N203">
    <cfRule type="expression" dxfId="3005" priority="843">
      <formula>AND(ISNUMBER(N203),TRUNC(N203)&lt;TODAY())</formula>
    </cfRule>
  </conditionalFormatting>
  <conditionalFormatting sqref="O203">
    <cfRule type="expression" dxfId="3004" priority="844">
      <formula>AND(ISNUMBER(O203),TRUNC(O203)&lt;TODAY())</formula>
    </cfRule>
  </conditionalFormatting>
  <conditionalFormatting sqref="P203">
    <cfRule type="expression" dxfId="3003" priority="845">
      <formula>AND(ISNUMBER(P203),TRUNC(P203)&lt;TODAY())</formula>
    </cfRule>
  </conditionalFormatting>
  <conditionalFormatting sqref="F199">
    <cfRule type="containsText" dxfId="3002" priority="846" operator="containsText" text="F">
      <formula>NOT(ISERROR(SEARCH(("F"),(F199))))</formula>
    </cfRule>
  </conditionalFormatting>
  <conditionalFormatting sqref="Q199">
    <cfRule type="expression" dxfId="3001" priority="847">
      <formula>AND(ISNUMBER(Q199),TRUNC(Q199)&lt;TODAY())</formula>
    </cfRule>
  </conditionalFormatting>
  <conditionalFormatting sqref="P199">
    <cfRule type="expression" dxfId="3000" priority="848">
      <formula>AND(ISNUMBER(P199),TRUNC(P199)&lt;TODAY())</formula>
    </cfRule>
  </conditionalFormatting>
  <conditionalFormatting sqref="O199">
    <cfRule type="expression" dxfId="2999" priority="849">
      <formula>AND(ISNUMBER(O199),TRUNC(O199)&lt;TODAY())</formula>
    </cfRule>
  </conditionalFormatting>
  <conditionalFormatting sqref="P198">
    <cfRule type="expression" dxfId="2998" priority="850">
      <formula>AND(ISNUMBER(P198),TRUNC(P198)&lt;TODAY())</formula>
    </cfRule>
  </conditionalFormatting>
  <conditionalFormatting sqref="O198">
    <cfRule type="expression" dxfId="2997" priority="851">
      <formula>AND(ISNUMBER(O198),TRUNC(O198)&lt;TODAY())</formula>
    </cfRule>
  </conditionalFormatting>
  <conditionalFormatting sqref="F198">
    <cfRule type="containsText" dxfId="2996" priority="852" operator="containsText" text="F">
      <formula>NOT(ISERROR(SEARCH(("F"),(F198))))</formula>
    </cfRule>
  </conditionalFormatting>
  <conditionalFormatting sqref="O197:Q197">
    <cfRule type="expression" dxfId="2995" priority="853">
      <formula>AND(ISNUMBER(O197),TRUNC(O197)&lt;TODAY())</formula>
    </cfRule>
  </conditionalFormatting>
  <conditionalFormatting sqref="P197">
    <cfRule type="expression" dxfId="2994" priority="854">
      <formula>AND(ISNUMBER(P197),TRUNC(P197)&lt;TODAY())</formula>
    </cfRule>
  </conditionalFormatting>
  <conditionalFormatting sqref="O196:Q196">
    <cfRule type="expression" dxfId="2993" priority="855">
      <formula>AND(ISNUMBER(O196),TRUNC(O196)&lt;TODAY())</formula>
    </cfRule>
  </conditionalFormatting>
  <conditionalFormatting sqref="F196">
    <cfRule type="containsText" dxfId="2992" priority="856" operator="containsText" text="F">
      <formula>NOT(ISERROR(SEARCH(("F"),(F196))))</formula>
    </cfRule>
  </conditionalFormatting>
  <conditionalFormatting sqref="F195">
    <cfRule type="containsText" dxfId="2991" priority="857" operator="containsText" text="F">
      <formula>NOT(ISERROR(SEARCH(("F"),(F195))))</formula>
    </cfRule>
  </conditionalFormatting>
  <conditionalFormatting sqref="J195">
    <cfRule type="expression" dxfId="2990" priority="858">
      <formula>AND(ISNUMBER(J195),TRUNC(J195)&lt;TODAY())</formula>
    </cfRule>
  </conditionalFormatting>
  <conditionalFormatting sqref="Q195:S195">
    <cfRule type="expression" dxfId="2989" priority="859">
      <formula>AND(ISNUMBER(Q195),TRUNC(Q195)&lt;TODAY())</formula>
    </cfRule>
  </conditionalFormatting>
  <conditionalFormatting sqref="F194">
    <cfRule type="containsText" dxfId="2988" priority="860" operator="containsText" text="F">
      <formula>NOT(ISERROR(SEARCH(("F"),(F194))))</formula>
    </cfRule>
  </conditionalFormatting>
  <conditionalFormatting sqref="J194">
    <cfRule type="expression" dxfId="2987" priority="861">
      <formula>AND(ISNUMBER(J194),TRUNC(J194)&lt;TODAY())</formula>
    </cfRule>
  </conditionalFormatting>
  <conditionalFormatting sqref="Q194:S194">
    <cfRule type="expression" dxfId="2986" priority="862">
      <formula>AND(ISNUMBER(Q194),TRUNC(Q194)&lt;TODAY())</formula>
    </cfRule>
  </conditionalFormatting>
  <conditionalFormatting sqref="F193">
    <cfRule type="containsText" dxfId="2985" priority="863" operator="containsText" text="F">
      <formula>NOT(ISERROR(SEARCH(("F"),(F193))))</formula>
    </cfRule>
  </conditionalFormatting>
  <conditionalFormatting sqref="J193">
    <cfRule type="expression" dxfId="2984" priority="864">
      <formula>AND(ISNUMBER(J193),TRUNC(J193)&lt;TODAY())</formula>
    </cfRule>
  </conditionalFormatting>
  <conditionalFormatting sqref="Q193:S193">
    <cfRule type="expression" dxfId="2983" priority="865">
      <formula>AND(ISNUMBER(Q193),TRUNC(Q193)&lt;TODAY())</formula>
    </cfRule>
  </conditionalFormatting>
  <conditionalFormatting sqref="Q192:S192">
    <cfRule type="expression" dxfId="2982" priority="866">
      <formula>AND(ISNUMBER(Q192),TRUNC(Q192)&lt;TODAY())</formula>
    </cfRule>
  </conditionalFormatting>
  <conditionalFormatting sqref="F192">
    <cfRule type="containsText" dxfId="2981" priority="867" operator="containsText" text="F">
      <formula>NOT(ISERROR(SEARCH(("F"),(F192))))</formula>
    </cfRule>
  </conditionalFormatting>
  <conditionalFormatting sqref="J192">
    <cfRule type="expression" dxfId="2980" priority="868">
      <formula>AND(ISNUMBER(J192),TRUNC(J192)&lt;TODAY())</formula>
    </cfRule>
  </conditionalFormatting>
  <conditionalFormatting sqref="F191">
    <cfRule type="containsText" dxfId="2979" priority="869" operator="containsText" text="F">
      <formula>NOT(ISERROR(SEARCH(("F"),(F191))))</formula>
    </cfRule>
  </conditionalFormatting>
  <conditionalFormatting sqref="Q191:S191">
    <cfRule type="expression" dxfId="2978" priority="870">
      <formula>AND(ISNUMBER(Q191),TRUNC(Q191)&lt;TODAY())</formula>
    </cfRule>
  </conditionalFormatting>
  <conditionalFormatting sqref="J191">
    <cfRule type="expression" dxfId="2977" priority="871">
      <formula>AND(ISNUMBER(J191),TRUNC(J191)&lt;TODAY())</formula>
    </cfRule>
  </conditionalFormatting>
  <conditionalFormatting sqref="F190">
    <cfRule type="containsText" dxfId="2976" priority="872" operator="containsText" text="F">
      <formula>NOT(ISERROR(SEARCH(("F"),(F190))))</formula>
    </cfRule>
  </conditionalFormatting>
  <conditionalFormatting sqref="Q190:S190">
    <cfRule type="expression" dxfId="2975" priority="873">
      <formula>AND(ISNUMBER(Q190),TRUNC(Q190)&lt;TODAY())</formula>
    </cfRule>
  </conditionalFormatting>
  <conditionalFormatting sqref="J190">
    <cfRule type="expression" dxfId="2974" priority="874">
      <formula>AND(ISNUMBER(J190),TRUNC(J190)&lt;TODAY())</formula>
    </cfRule>
  </conditionalFormatting>
  <conditionalFormatting sqref="F189">
    <cfRule type="containsText" dxfId="2973" priority="875" operator="containsText" text="F">
      <formula>NOT(ISERROR(SEARCH(("F"),(F189))))</formula>
    </cfRule>
  </conditionalFormatting>
  <conditionalFormatting sqref="Q189:S189">
    <cfRule type="expression" dxfId="2972" priority="876">
      <formula>AND(ISNUMBER(Q189),TRUNC(Q189)&lt;TODAY())</formula>
    </cfRule>
  </conditionalFormatting>
  <conditionalFormatting sqref="J189">
    <cfRule type="expression" dxfId="2971" priority="877">
      <formula>AND(ISNUMBER(J189),TRUNC(J189)&lt;TODAY())</formula>
    </cfRule>
  </conditionalFormatting>
  <conditionalFormatting sqref="F188">
    <cfRule type="containsText" dxfId="2970" priority="878" operator="containsText" text="F">
      <formula>NOT(ISERROR(SEARCH(("F"),(F188))))</formula>
    </cfRule>
  </conditionalFormatting>
  <conditionalFormatting sqref="J188">
    <cfRule type="expression" dxfId="2969" priority="879">
      <formula>AND(ISNUMBER(J188),TRUNC(J188)&lt;TODAY())</formula>
    </cfRule>
  </conditionalFormatting>
  <conditionalFormatting sqref="Q188:S188">
    <cfRule type="expression" dxfId="2968" priority="880">
      <formula>AND(ISNUMBER(Q188),TRUNC(Q188)&lt;TODAY())</formula>
    </cfRule>
  </conditionalFormatting>
  <conditionalFormatting sqref="S186">
    <cfRule type="expression" dxfId="2967" priority="881">
      <formula>AND(ISNUMBER(S186),TRUNC(S186)&lt;TODAY())</formula>
    </cfRule>
  </conditionalFormatting>
  <conditionalFormatting sqref="S186">
    <cfRule type="expression" dxfId="2966" priority="882">
      <formula>AND(ISNUMBER(S186),TRUNC(S186)&lt;TODAY())</formula>
    </cfRule>
  </conditionalFormatting>
  <conditionalFormatting sqref="Q186">
    <cfRule type="expression" dxfId="2965" priority="883">
      <formula>AND(ISNUMBER(Q186),TRUNC(Q186)&lt;TODAY())</formula>
    </cfRule>
  </conditionalFormatting>
  <conditionalFormatting sqref="R186">
    <cfRule type="expression" dxfId="2964" priority="884">
      <formula>AND(ISNUMBER(R186),TRUNC(R186)&lt;TODAY())</formula>
    </cfRule>
  </conditionalFormatting>
  <conditionalFormatting sqref="F186">
    <cfRule type="containsText" dxfId="2963" priority="885" operator="containsText" text="F">
      <formula>NOT(ISERROR(SEARCH(("F"),(F186))))</formula>
    </cfRule>
  </conditionalFormatting>
  <conditionalFormatting sqref="J186">
    <cfRule type="expression" dxfId="2962" priority="886">
      <formula>AND(ISNUMBER(J186),TRUNC(J186)&lt;TODAY())</formula>
    </cfRule>
  </conditionalFormatting>
  <conditionalFormatting sqref="F185">
    <cfRule type="containsText" dxfId="2961" priority="887" operator="containsText" text="F">
      <formula>NOT(ISERROR(SEARCH(("F"),(F185))))</formula>
    </cfRule>
  </conditionalFormatting>
  <conditionalFormatting sqref="J185">
    <cfRule type="expression" dxfId="2960" priority="888">
      <formula>AND(ISNUMBER(J185),TRUNC(J185)&lt;TODAY())</formula>
    </cfRule>
  </conditionalFormatting>
  <conditionalFormatting sqref="S185">
    <cfRule type="expression" dxfId="2959" priority="889">
      <formula>AND(ISNUMBER(S185),TRUNC(S185)&lt;TODAY())</formula>
    </cfRule>
  </conditionalFormatting>
  <conditionalFormatting sqref="Q185:S185">
    <cfRule type="expression" dxfId="2958" priority="890">
      <formula>AND(ISNUMBER(Q185),TRUNC(Q185)&lt;TODAY())</formula>
    </cfRule>
  </conditionalFormatting>
  <conditionalFormatting sqref="J184">
    <cfRule type="expression" dxfId="2957" priority="891">
      <formula>AND(ISNUMBER(J184),TRUNC(J184)&lt;TODAY())</formula>
    </cfRule>
  </conditionalFormatting>
  <conditionalFormatting sqref="Q184:S184">
    <cfRule type="expression" dxfId="2956" priority="892">
      <formula>AND(ISNUMBER(Q184),TRUNC(Q184)&lt;TODAY())</formula>
    </cfRule>
  </conditionalFormatting>
  <conditionalFormatting sqref="J183">
    <cfRule type="expression" dxfId="2955" priority="893">
      <formula>AND(ISNUMBER(J183),TRUNC(J183)&lt;TODAY())</formula>
    </cfRule>
  </conditionalFormatting>
  <conditionalFormatting sqref="Q183:S183">
    <cfRule type="expression" dxfId="2954" priority="894">
      <formula>AND(ISNUMBER(Q183),TRUNC(Q183)&lt;TODAY())</formula>
    </cfRule>
  </conditionalFormatting>
  <conditionalFormatting sqref="Q180:S180">
    <cfRule type="expression" dxfId="2953" priority="895">
      <formula>AND(ISNUMBER(Q180),TRUNC(Q180)&lt;TODAY())</formula>
    </cfRule>
  </conditionalFormatting>
  <conditionalFormatting sqref="F180">
    <cfRule type="containsText" dxfId="2952" priority="896" operator="containsText" text="F">
      <formula>NOT(ISERROR(SEARCH(("F"),(F180))))</formula>
    </cfRule>
  </conditionalFormatting>
  <conditionalFormatting sqref="J180">
    <cfRule type="expression" dxfId="2951" priority="897">
      <formula>AND(ISNUMBER(J180),TRUNC(J180)&lt;TODAY())</formula>
    </cfRule>
  </conditionalFormatting>
  <conditionalFormatting sqref="F179">
    <cfRule type="containsText" dxfId="2950" priority="898" operator="containsText" text="F">
      <formula>NOT(ISERROR(SEARCH(("F"),(F179))))</formula>
    </cfRule>
  </conditionalFormatting>
  <conditionalFormatting sqref="Q179:S179">
    <cfRule type="expression" dxfId="2949" priority="899">
      <formula>AND(ISNUMBER(Q179),TRUNC(Q179)&lt;TODAY())</formula>
    </cfRule>
  </conditionalFormatting>
  <conditionalFormatting sqref="J179">
    <cfRule type="expression" dxfId="2948" priority="900">
      <formula>AND(ISNUMBER(J179),TRUNC(J179)&lt;TODAY())</formula>
    </cfRule>
  </conditionalFormatting>
  <conditionalFormatting sqref="N178:O178 P178:Q178">
    <cfRule type="expression" dxfId="2947" priority="901">
      <formula>AND(ISNUMBER(N178),TRUNC(N178)&lt;TODAY())</formula>
    </cfRule>
  </conditionalFormatting>
  <conditionalFormatting sqref="F178">
    <cfRule type="containsText" dxfId="2946" priority="902" operator="containsText" text="F">
      <formula>NOT(ISERROR(SEARCH(("F"),(F178))))</formula>
    </cfRule>
  </conditionalFormatting>
  <conditionalFormatting sqref="Q177:S177">
    <cfRule type="expression" dxfId="2945" priority="903">
      <formula>AND(ISNUMBER(Q177),TRUNC(Q177)&lt;TODAY())</formula>
    </cfRule>
  </conditionalFormatting>
  <conditionalFormatting sqref="F177">
    <cfRule type="containsText" dxfId="2944" priority="904" operator="containsText" text="F">
      <formula>NOT(ISERROR(SEARCH(("F"),(F177))))</formula>
    </cfRule>
  </conditionalFormatting>
  <conditionalFormatting sqref="J177">
    <cfRule type="expression" dxfId="2943" priority="905">
      <formula>AND(ISNUMBER(J177),TRUNC(J177)&lt;TODAY())</formula>
    </cfRule>
  </conditionalFormatting>
  <conditionalFormatting sqref="Q172">
    <cfRule type="expression" dxfId="2942" priority="906">
      <formula>AND(ISNUMBER(Q172),TRUNC(Q172)&lt;TODAY())</formula>
    </cfRule>
  </conditionalFormatting>
  <conditionalFormatting sqref="S172">
    <cfRule type="expression" dxfId="2941" priority="907">
      <formula>AND(ISNUMBER(S172),TRUNC(S172)&lt;TODAY())</formula>
    </cfRule>
  </conditionalFormatting>
  <conditionalFormatting sqref="F172">
    <cfRule type="containsText" dxfId="2940" priority="908" operator="containsText" text="F">
      <formula>NOT(ISERROR(SEARCH(("F"),(F172))))</formula>
    </cfRule>
  </conditionalFormatting>
  <conditionalFormatting sqref="J172">
    <cfRule type="expression" dxfId="2939" priority="909">
      <formula>AND(ISNUMBER(J172),TRUNC(J172)&lt;TODAY())</formula>
    </cfRule>
  </conditionalFormatting>
  <conditionalFormatting sqref="R172">
    <cfRule type="expression" dxfId="2938" priority="910">
      <formula>AND(ISNUMBER(R172),TRUNC(R172)&lt;TODAY())</formula>
    </cfRule>
  </conditionalFormatting>
  <conditionalFormatting sqref="Q169">
    <cfRule type="expression" dxfId="2937" priority="911">
      <formula>AND(ISNUMBER(Q169),TRUNC(Q169)&lt;TODAY())</formula>
    </cfRule>
  </conditionalFormatting>
  <conditionalFormatting sqref="S169">
    <cfRule type="expression" dxfId="2936" priority="912">
      <formula>AND(ISNUMBER(S169),TRUNC(S169)&lt;TODAY())</formula>
    </cfRule>
  </conditionalFormatting>
  <conditionalFormatting sqref="F169">
    <cfRule type="containsText" dxfId="2935" priority="913" operator="containsText" text="F">
      <formula>NOT(ISERROR(SEARCH(("F"),(F169))))</formula>
    </cfRule>
  </conditionalFormatting>
  <conditionalFormatting sqref="J169">
    <cfRule type="expression" dxfId="2934" priority="914">
      <formula>AND(ISNUMBER(J169),TRUNC(J169)&lt;TODAY())</formula>
    </cfRule>
  </conditionalFormatting>
  <conditionalFormatting sqref="R169">
    <cfRule type="expression" dxfId="2933" priority="915">
      <formula>AND(ISNUMBER(R169),TRUNC(R169)&lt;TODAY())</formula>
    </cfRule>
  </conditionalFormatting>
  <conditionalFormatting sqref="N166:Q166">
    <cfRule type="expression" dxfId="2932" priority="916">
      <formula>AND(ISNUMBER(N166),TRUNC(N166)&lt;TODAY())</formula>
    </cfRule>
  </conditionalFormatting>
  <conditionalFormatting sqref="F166">
    <cfRule type="containsText" dxfId="2931" priority="917" operator="containsText" text="F">
      <formula>NOT(ISERROR(SEARCH(("F"),(F166))))</formula>
    </cfRule>
  </conditionalFormatting>
  <conditionalFormatting sqref="N165:O165 P165:Q165">
    <cfRule type="expression" dxfId="2930" priority="918">
      <formula>AND(ISNUMBER(N165),TRUNC(N165)&lt;TODAY())</formula>
    </cfRule>
  </conditionalFormatting>
  <conditionalFormatting sqref="F165">
    <cfRule type="containsText" dxfId="2929" priority="919" operator="containsText" text="F">
      <formula>NOT(ISERROR(SEARCH(("F"),(F165))))</formula>
    </cfRule>
  </conditionalFormatting>
  <conditionalFormatting sqref="F162">
    <cfRule type="containsText" dxfId="2928" priority="920" operator="containsText" text="F">
      <formula>NOT(ISERROR(SEARCH(("F"),(F162))))</formula>
    </cfRule>
  </conditionalFormatting>
  <conditionalFormatting sqref="O162:Q162">
    <cfRule type="expression" dxfId="2927" priority="921">
      <formula>AND(ISNUMBER(O162),TRUNC(O162)&lt;TODAY())</formula>
    </cfRule>
  </conditionalFormatting>
  <conditionalFormatting sqref="O161:Q161">
    <cfRule type="expression" dxfId="2926" priority="922">
      <formula>AND(ISNUMBER(O161),TRUNC(O161)&lt;TODAY())</formula>
    </cfRule>
  </conditionalFormatting>
  <conditionalFormatting sqref="F161">
    <cfRule type="containsText" dxfId="2925" priority="923" operator="containsText" text="F">
      <formula>NOT(ISERROR(SEARCH(("F"),(F161))))</formula>
    </cfRule>
  </conditionalFormatting>
  <conditionalFormatting sqref="P160 Q160">
    <cfRule type="expression" dxfId="2924" priority="924">
      <formula>AND(ISNUMBER(P160),TRUNC(P160)&lt;TODAY())</formula>
    </cfRule>
  </conditionalFormatting>
  <conditionalFormatting sqref="F160">
    <cfRule type="containsText" dxfId="2923" priority="925" operator="containsText" text="F">
      <formula>NOT(ISERROR(SEARCH(("F"),(F160))))</formula>
    </cfRule>
  </conditionalFormatting>
  <conditionalFormatting sqref="P160">
    <cfRule type="expression" dxfId="2922" priority="926">
      <formula>AND(ISNUMBER(P160),TRUNC(P160)&lt;TODAY())</formula>
    </cfRule>
  </conditionalFormatting>
  <conditionalFormatting sqref="O160">
    <cfRule type="expression" dxfId="2921" priority="927">
      <formula>AND(ISNUMBER(O160),TRUNC(O160)&lt;TODAY())</formula>
    </cfRule>
  </conditionalFormatting>
  <conditionalFormatting sqref="O159:Q159">
    <cfRule type="expression" dxfId="2920" priority="928">
      <formula>AND(ISNUMBER(O159),TRUNC(O159)&lt;TODAY())</formula>
    </cfRule>
  </conditionalFormatting>
  <conditionalFormatting sqref="O158:Q158">
    <cfRule type="expression" dxfId="2919" priority="929">
      <formula>AND(ISNUMBER(O158),TRUNC(O158)&lt;TODAY())</formula>
    </cfRule>
  </conditionalFormatting>
  <conditionalFormatting sqref="O157:Q157">
    <cfRule type="expression" dxfId="2918" priority="930">
      <formula>AND(ISNUMBER(O157),TRUNC(O157)&lt;TODAY())</formula>
    </cfRule>
  </conditionalFormatting>
  <conditionalFormatting sqref="O156:Q156">
    <cfRule type="expression" dxfId="2917" priority="931">
      <formula>AND(ISNUMBER(O156),TRUNC(O156)&lt;TODAY())</formula>
    </cfRule>
  </conditionalFormatting>
  <conditionalFormatting sqref="P155">
    <cfRule type="expression" dxfId="2916" priority="932">
      <formula>AND(ISNUMBER(P155),TRUNC(P155)&lt;TODAY())</formula>
    </cfRule>
  </conditionalFormatting>
  <conditionalFormatting sqref="O155">
    <cfRule type="expression" dxfId="2915" priority="933">
      <formula>AND(ISNUMBER(O155),TRUNC(O155)&lt;TODAY())</formula>
    </cfRule>
  </conditionalFormatting>
  <conditionalFormatting sqref="P155">
    <cfRule type="expression" dxfId="2914" priority="934">
      <formula>AND(ISNUMBER(P155),TRUNC(P155)&lt;TODAY())</formula>
    </cfRule>
  </conditionalFormatting>
  <conditionalFormatting sqref="F155">
    <cfRule type="containsText" dxfId="2913" priority="935" operator="containsText" text="F">
      <formula>NOT(ISERROR(SEARCH(("F"),(F155))))</formula>
    </cfRule>
  </conditionalFormatting>
  <conditionalFormatting sqref="Q155">
    <cfRule type="expression" dxfId="2912" priority="936">
      <formula>AND(ISNUMBER(Q155),TRUNC(Q155)&lt;TODAY())</formula>
    </cfRule>
  </conditionalFormatting>
  <conditionalFormatting sqref="P154">
    <cfRule type="expression" dxfId="2911" priority="937">
      <formula>AND(ISNUMBER(P154),TRUNC(P154)&lt;TODAY())</formula>
    </cfRule>
  </conditionalFormatting>
  <conditionalFormatting sqref="F154">
    <cfRule type="containsText" dxfId="2910" priority="938" operator="containsText" text="F">
      <formula>NOT(ISERROR(SEARCH(("F"),(F154))))</formula>
    </cfRule>
  </conditionalFormatting>
  <conditionalFormatting sqref="Q154">
    <cfRule type="expression" dxfId="2909" priority="939">
      <formula>AND(ISNUMBER(Q154),TRUNC(Q154)&lt;TODAY())</formula>
    </cfRule>
  </conditionalFormatting>
  <conditionalFormatting sqref="O154">
    <cfRule type="expression" dxfId="2908" priority="940">
      <formula>AND(ISNUMBER(O154),TRUNC(O154)&lt;TODAY())</formula>
    </cfRule>
  </conditionalFormatting>
  <conditionalFormatting sqref="P153">
    <cfRule type="expression" dxfId="2907" priority="941">
      <formula>AND(ISNUMBER(P153),TRUNC(P153)&lt;TODAY())</formula>
    </cfRule>
  </conditionalFormatting>
  <conditionalFormatting sqref="O153">
    <cfRule type="expression" dxfId="2906" priority="942">
      <formula>AND(ISNUMBER(O153),TRUNC(O153)&lt;TODAY())</formula>
    </cfRule>
  </conditionalFormatting>
  <conditionalFormatting sqref="Q153">
    <cfRule type="expression" dxfId="2905" priority="943">
      <formula>AND(ISNUMBER(Q153),TRUNC(Q153)&lt;TODAY())</formula>
    </cfRule>
  </conditionalFormatting>
  <conditionalFormatting sqref="F153">
    <cfRule type="containsText" dxfId="2904" priority="944" operator="containsText" text="F">
      <formula>NOT(ISERROR(SEARCH(("F"),(F153))))</formula>
    </cfRule>
  </conditionalFormatting>
  <conditionalFormatting sqref="P153">
    <cfRule type="expression" dxfId="2903" priority="945">
      <formula>AND(ISNUMBER(P153),TRUNC(P153)&lt;TODAY())</formula>
    </cfRule>
  </conditionalFormatting>
  <conditionalFormatting sqref="Q152">
    <cfRule type="expression" dxfId="2902" priority="946">
      <formula>AND(ISNUMBER(Q152),TRUNC(Q152)&lt;TODAY())</formula>
    </cfRule>
  </conditionalFormatting>
  <conditionalFormatting sqref="F152">
    <cfRule type="containsText" dxfId="2901" priority="947" operator="containsText" text="F">
      <formula>NOT(ISERROR(SEARCH(("F"),(F152))))</formula>
    </cfRule>
  </conditionalFormatting>
  <conditionalFormatting sqref="P152">
    <cfRule type="expression" dxfId="2900" priority="948">
      <formula>AND(ISNUMBER(P152),TRUNC(P152)&lt;TODAY())</formula>
    </cfRule>
  </conditionalFormatting>
  <conditionalFormatting sqref="O152">
    <cfRule type="expression" dxfId="2899" priority="949">
      <formula>AND(ISNUMBER(O152),TRUNC(O152)&lt;TODAY())</formula>
    </cfRule>
  </conditionalFormatting>
  <conditionalFormatting sqref="Q151">
    <cfRule type="expression" dxfId="2898" priority="950">
      <formula>AND(ISNUMBER(Q151),TRUNC(Q151)&lt;TODAY())</formula>
    </cfRule>
  </conditionalFormatting>
  <conditionalFormatting sqref="O151">
    <cfRule type="expression" dxfId="2897" priority="951">
      <formula>AND(ISNUMBER(O151),TRUNC(O151)&lt;TODAY())</formula>
    </cfRule>
  </conditionalFormatting>
  <conditionalFormatting sqref="F151">
    <cfRule type="containsText" dxfId="2896" priority="952" operator="containsText" text="F">
      <formula>NOT(ISERROR(SEARCH(("F"),(F151))))</formula>
    </cfRule>
  </conditionalFormatting>
  <conditionalFormatting sqref="P151:Q151">
    <cfRule type="expression" dxfId="2895" priority="953">
      <formula>AND(ISNUMBER(P151),TRUNC(P151)&lt;TODAY())</formula>
    </cfRule>
  </conditionalFormatting>
  <conditionalFormatting sqref="P151">
    <cfRule type="expression" dxfId="2894" priority="954">
      <formula>AND(ISNUMBER(P151),TRUNC(P151)&lt;TODAY())</formula>
    </cfRule>
  </conditionalFormatting>
  <conditionalFormatting sqref="O148:Q148">
    <cfRule type="expression" dxfId="2893" priority="955">
      <formula>AND(ISNUMBER(O148),TRUNC(O148)&lt;TODAY())</formula>
    </cfRule>
  </conditionalFormatting>
  <conditionalFormatting sqref="F148">
    <cfRule type="containsText" dxfId="2892" priority="956" operator="containsText" text="F">
      <formula>NOT(ISERROR(SEARCH(("F"),(F148))))</formula>
    </cfRule>
  </conditionalFormatting>
  <conditionalFormatting sqref="N133:Q133">
    <cfRule type="expression" dxfId="2891" priority="957">
      <formula>AND(ISNUMBER(N133),TRUNC(N133)&lt;TODAY())</formula>
    </cfRule>
  </conditionalFormatting>
  <conditionalFormatting sqref="F133">
    <cfRule type="containsText" dxfId="2890" priority="958" operator="containsText" text="F">
      <formula>NOT(ISERROR(SEARCH(("F"),(F133))))</formula>
    </cfRule>
  </conditionalFormatting>
  <conditionalFormatting sqref="O147:Q147">
    <cfRule type="expression" dxfId="2889" priority="959">
      <formula>AND(ISNUMBER(O147),TRUNC(O147)&lt;TODAY())</formula>
    </cfRule>
  </conditionalFormatting>
  <conditionalFormatting sqref="F147">
    <cfRule type="containsText" dxfId="2888" priority="960" operator="containsText" text="F">
      <formula>NOT(ISERROR(SEARCH(("F"),(F147))))</formula>
    </cfRule>
  </conditionalFormatting>
  <conditionalFormatting sqref="N145:Q145">
    <cfRule type="expression" dxfId="2887" priority="961">
      <formula>AND(ISNUMBER(N145),TRUNC(N145)&lt;TODAY())</formula>
    </cfRule>
  </conditionalFormatting>
  <conditionalFormatting sqref="F145">
    <cfRule type="containsText" dxfId="2886" priority="962" operator="containsText" text="F">
      <formula>NOT(ISERROR(SEARCH(("F"),(F145))))</formula>
    </cfRule>
  </conditionalFormatting>
  <conditionalFormatting sqref="P141">
    <cfRule type="expression" dxfId="2885" priority="963">
      <formula>AND(ISNUMBER(P141),TRUNC(P141)&lt;TODAY())</formula>
    </cfRule>
  </conditionalFormatting>
  <conditionalFormatting sqref="O141">
    <cfRule type="expression" dxfId="2884" priority="964">
      <formula>AND(ISNUMBER(O141),TRUNC(O141)&lt;TODAY())</formula>
    </cfRule>
  </conditionalFormatting>
  <conditionalFormatting sqref="F141">
    <cfRule type="containsText" dxfId="2883" priority="965" operator="containsText" text="F">
      <formula>NOT(ISERROR(SEARCH(("F"),(F141))))</formula>
    </cfRule>
  </conditionalFormatting>
  <conditionalFormatting sqref="Q141">
    <cfRule type="expression" dxfId="2882" priority="966">
      <formula>AND(ISNUMBER(Q141),TRUNC(Q141)&lt;TODAY())</formula>
    </cfRule>
  </conditionalFormatting>
  <conditionalFormatting sqref="O140:Q140">
    <cfRule type="expression" dxfId="2881" priority="967">
      <formula>AND(ISNUMBER(O140),TRUNC(O140)&lt;TODAY())</formula>
    </cfRule>
  </conditionalFormatting>
  <conditionalFormatting sqref="O139:Q139">
    <cfRule type="expression" dxfId="2880" priority="968">
      <formula>AND(ISNUMBER(O139),TRUNC(O139)&lt;TODAY())</formula>
    </cfRule>
  </conditionalFormatting>
  <conditionalFormatting sqref="F138">
    <cfRule type="containsText" dxfId="2879" priority="969" operator="containsText" text="F">
      <formula>NOT(ISERROR(SEARCH(("F"),(F138))))</formula>
    </cfRule>
  </conditionalFormatting>
  <conditionalFormatting sqref="P138">
    <cfRule type="expression" dxfId="2878" priority="970">
      <formula>AND(ISNUMBER(P138),TRUNC(P138)&lt;TODAY())</formula>
    </cfRule>
  </conditionalFormatting>
  <conditionalFormatting sqref="Q138">
    <cfRule type="expression" dxfId="2877" priority="971">
      <formula>AND(ISNUMBER(Q138),TRUNC(Q138)&lt;TODAY())</formula>
    </cfRule>
  </conditionalFormatting>
  <conditionalFormatting sqref="O138">
    <cfRule type="expression" dxfId="2876" priority="972">
      <formula>AND(ISNUMBER(O138),TRUNC(O138)&lt;TODAY())</formula>
    </cfRule>
  </conditionalFormatting>
  <conditionalFormatting sqref="P137">
    <cfRule type="expression" dxfId="2875" priority="973">
      <formula>AND(ISNUMBER(P137),TRUNC(P137)&lt;TODAY())</formula>
    </cfRule>
  </conditionalFormatting>
  <conditionalFormatting sqref="F137">
    <cfRule type="containsText" dxfId="2874" priority="974" operator="containsText" text="F">
      <formula>NOT(ISERROR(SEARCH(("F"),(F137))))</formula>
    </cfRule>
  </conditionalFormatting>
  <conditionalFormatting sqref="O137">
    <cfRule type="expression" dxfId="2873" priority="975">
      <formula>AND(ISNUMBER(O137),TRUNC(O137)&lt;TODAY())</formula>
    </cfRule>
  </conditionalFormatting>
  <conditionalFormatting sqref="Q137">
    <cfRule type="expression" dxfId="2872" priority="976">
      <formula>AND(ISNUMBER(Q137),TRUNC(Q137)&lt;TODAY())</formula>
    </cfRule>
  </conditionalFormatting>
  <conditionalFormatting sqref="O135:Q135">
    <cfRule type="expression" dxfId="2871" priority="977">
      <formula>AND(ISNUMBER(O135),TRUNC(O135)&lt;TODAY())</formula>
    </cfRule>
  </conditionalFormatting>
  <conditionalFormatting sqref="E135">
    <cfRule type="containsText" dxfId="2870" priority="978" operator="containsText" text="F">
      <formula>NOT(ISERROR(SEARCH(("F"),(E135))))</formula>
    </cfRule>
  </conditionalFormatting>
  <conditionalFormatting sqref="N132:O132 P132:Q132">
    <cfRule type="expression" dxfId="2869" priority="979">
      <formula>AND(ISNUMBER(N132),TRUNC(N132)&lt;TODAY())</formula>
    </cfRule>
  </conditionalFormatting>
  <conditionalFormatting sqref="N131:O131 P131:Q131">
    <cfRule type="expression" dxfId="2868" priority="980">
      <formula>AND(ISNUMBER(N131),TRUNC(N131)&lt;TODAY())</formula>
    </cfRule>
  </conditionalFormatting>
  <conditionalFormatting sqref="O130">
    <cfRule type="expression" dxfId="2867" priority="981">
      <formula>AND(ISNUMBER(O130),TRUNC(O130)&lt;TODAY())</formula>
    </cfRule>
  </conditionalFormatting>
  <conditionalFormatting sqref="P130">
    <cfRule type="expression" dxfId="2866" priority="982">
      <formula>AND(ISNUMBER(P130),TRUNC(P130)&lt;TODAY())</formula>
    </cfRule>
  </conditionalFormatting>
  <conditionalFormatting sqref="Q130">
    <cfRule type="expression" dxfId="2865" priority="983">
      <formula>AND(ISNUMBER(Q130),TRUNC(Q130)&lt;TODAY())</formula>
    </cfRule>
  </conditionalFormatting>
  <conditionalFormatting sqref="E130">
    <cfRule type="containsText" dxfId="2864" priority="984" operator="containsText" text="F">
      <formula>NOT(ISERROR(SEARCH(("F"),(E130))))</formula>
    </cfRule>
  </conditionalFormatting>
  <conditionalFormatting sqref="E129">
    <cfRule type="containsText" dxfId="2863" priority="985" operator="containsText" text="F">
      <formula>NOT(ISERROR(SEARCH(("F"),(E129))))</formula>
    </cfRule>
  </conditionalFormatting>
  <conditionalFormatting sqref="Q129">
    <cfRule type="expression" dxfId="2862" priority="986">
      <formula>AND(ISNUMBER(Q129),TRUNC(Q129)&lt;TODAY())</formula>
    </cfRule>
  </conditionalFormatting>
  <conditionalFormatting sqref="P129">
    <cfRule type="expression" dxfId="2861" priority="987">
      <formula>AND(ISNUMBER(P129),TRUNC(P129)&lt;TODAY())</formula>
    </cfRule>
  </conditionalFormatting>
  <conditionalFormatting sqref="P129">
    <cfRule type="expression" dxfId="2860" priority="988">
      <formula>P129&lt;44043</formula>
    </cfRule>
  </conditionalFormatting>
  <conditionalFormatting sqref="O129">
    <cfRule type="expression" dxfId="2859" priority="989">
      <formula>AND(ISNUMBER(O129),TRUNC(O129)&lt;TODAY())</formula>
    </cfRule>
  </conditionalFormatting>
  <conditionalFormatting sqref="E128">
    <cfRule type="containsText" dxfId="2858" priority="990" operator="containsText" text="F">
      <formula>NOT(ISERROR(SEARCH(("F"),(E128))))</formula>
    </cfRule>
  </conditionalFormatting>
  <conditionalFormatting sqref="O128">
    <cfRule type="expression" dxfId="2857" priority="991">
      <formula>AND(ISNUMBER(O128),TRUNC(O128)&lt;TODAY())</formula>
    </cfRule>
  </conditionalFormatting>
  <conditionalFormatting sqref="P128">
    <cfRule type="expression" dxfId="2856" priority="992">
      <formula>AND(ISNUMBER(P128),TRUNC(P128)&lt;TODAY())</formula>
    </cfRule>
  </conditionalFormatting>
  <conditionalFormatting sqref="Q128">
    <cfRule type="expression" dxfId="2855" priority="993">
      <formula>AND(ISNUMBER(Q128),TRUNC(Q128)&lt;TODAY())</formula>
    </cfRule>
  </conditionalFormatting>
  <conditionalFormatting sqref="O127:Q127">
    <cfRule type="expression" dxfId="2854" priority="994">
      <formula>AND(ISNUMBER(O127),TRUNC(O127)&lt;TODAY())</formula>
    </cfRule>
  </conditionalFormatting>
  <conditionalFormatting sqref="O126:Q126">
    <cfRule type="expression" dxfId="2853" priority="995">
      <formula>AND(ISNUMBER(O126),TRUNC(O126)&lt;TODAY())</formula>
    </cfRule>
  </conditionalFormatting>
  <conditionalFormatting sqref="Q125 P125">
    <cfRule type="expression" dxfId="2852" priority="996">
      <formula>AND(ISNUMBER(Q125),TRUNC(Q125)&lt;TODAY())</formula>
    </cfRule>
  </conditionalFormatting>
  <conditionalFormatting sqref="P125">
    <cfRule type="expression" dxfId="2851" priority="997">
      <formula>AND(ISNUMBER(P125),TRUNC(P125)&lt;TODAY())</formula>
    </cfRule>
  </conditionalFormatting>
  <conditionalFormatting sqref="O125">
    <cfRule type="expression" dxfId="2850" priority="998">
      <formula>AND(ISNUMBER(O125),TRUNC(O125)&lt;TODAY())</formula>
    </cfRule>
  </conditionalFormatting>
  <conditionalFormatting sqref="E125">
    <cfRule type="containsText" dxfId="2849" priority="999" operator="containsText" text="F">
      <formula>NOT(ISERROR(SEARCH(("F"),(E125))))</formula>
    </cfRule>
  </conditionalFormatting>
  <conditionalFormatting sqref="O123:Q123">
    <cfRule type="expression" dxfId="2848" priority="1000">
      <formula>AND(ISNUMBER(O123),TRUNC(O123)&lt;TODAY())</formula>
    </cfRule>
  </conditionalFormatting>
  <conditionalFormatting sqref="E123">
    <cfRule type="containsText" dxfId="2847" priority="1001" operator="containsText" text="F">
      <formula>NOT(ISERROR(SEARCH(("F"),(E123))))</formula>
    </cfRule>
  </conditionalFormatting>
  <conditionalFormatting sqref="O120:Q120">
    <cfRule type="expression" dxfId="2846" priority="1002">
      <formula>AND(ISNUMBER(O120),TRUNC(O120)&lt;TODAY())</formula>
    </cfRule>
  </conditionalFormatting>
  <conditionalFormatting sqref="P119">
    <cfRule type="expression" dxfId="2845" priority="1003">
      <formula>AND(ISNUMBER(P119),TRUNC(P119)&lt;TODAY())</formula>
    </cfRule>
  </conditionalFormatting>
  <conditionalFormatting sqref="O119">
    <cfRule type="expression" dxfId="2844" priority="1004">
      <formula>AND(ISNUMBER(O119),TRUNC(O119)&lt;TODAY())</formula>
    </cfRule>
  </conditionalFormatting>
  <conditionalFormatting sqref="Q118">
    <cfRule type="expression" dxfId="2843" priority="1005">
      <formula>AND(ISNUMBER(Q118),TRUNC(Q118)&lt;TODAY())</formula>
    </cfRule>
  </conditionalFormatting>
  <conditionalFormatting sqref="P118">
    <cfRule type="expression" dxfId="2842" priority="1006">
      <formula>AND(ISNUMBER(P118),TRUNC(P118)&lt;TODAY())</formula>
    </cfRule>
  </conditionalFormatting>
  <conditionalFormatting sqref="O118">
    <cfRule type="expression" dxfId="2841" priority="1007">
      <formula>AND(ISNUMBER(O118),TRUNC(O118)&lt;TODAY())</formula>
    </cfRule>
  </conditionalFormatting>
  <conditionalFormatting sqref="P117">
    <cfRule type="expression" dxfId="2840" priority="1008">
      <formula>P117&lt;44165</formula>
    </cfRule>
  </conditionalFormatting>
  <conditionalFormatting sqref="Q117">
    <cfRule type="expression" dxfId="2839" priority="1009">
      <formula>AND(ISNUMBER(Q117),TRUNC(Q117)&lt;TODAY())</formula>
    </cfRule>
  </conditionalFormatting>
  <conditionalFormatting sqref="P116">
    <cfRule type="expression" dxfId="2838" priority="1010">
      <formula>AND(ISNUMBER(P116),TRUNC(P116)&lt;TODAY())</formula>
    </cfRule>
  </conditionalFormatting>
  <conditionalFormatting sqref="P116">
    <cfRule type="expression" dxfId="2837" priority="1011">
      <formula>AND(ISNUMBER(P116),TRUNC(P116)&lt;TODAY())</formula>
    </cfRule>
  </conditionalFormatting>
  <conditionalFormatting sqref="O116">
    <cfRule type="expression" dxfId="2836" priority="1012">
      <formula>AND(ISNUMBER(O116),TRUNC(O116)&lt;TODAY())</formula>
    </cfRule>
  </conditionalFormatting>
  <conditionalFormatting sqref="Q115">
    <cfRule type="expression" dxfId="2835" priority="1013">
      <formula>AND(ISNUMBER(Q115),TRUNC(Q115)&lt;TODAY())</formula>
    </cfRule>
  </conditionalFormatting>
  <conditionalFormatting sqref="P115">
    <cfRule type="expression" dxfId="2834" priority="1014">
      <formula>AND(ISNUMBER(P115),TRUNC(P115)&lt;TODAY())</formula>
    </cfRule>
  </conditionalFormatting>
  <conditionalFormatting sqref="O115">
    <cfRule type="expression" dxfId="2833" priority="1015">
      <formula>AND(ISNUMBER(O115),TRUNC(O115)&lt;TODAY())</formula>
    </cfRule>
  </conditionalFormatting>
  <conditionalFormatting sqref="Q113">
    <cfRule type="expression" dxfId="2832" priority="1016">
      <formula>AND(ISNUMBER(Q113),TRUNC(Q113)&lt;TODAY())</formula>
    </cfRule>
  </conditionalFormatting>
  <conditionalFormatting sqref="E113">
    <cfRule type="containsText" dxfId="2831" priority="1017" operator="containsText" text="F">
      <formula>NOT(ISERROR(SEARCH(("F"),(E113))))</formula>
    </cfRule>
  </conditionalFormatting>
  <conditionalFormatting sqref="P113">
    <cfRule type="expression" dxfId="2830" priority="1018">
      <formula>AND(ISNUMBER(P113),TRUNC(P113)&lt;TODAY())</formula>
    </cfRule>
  </conditionalFormatting>
  <conditionalFormatting sqref="O113">
    <cfRule type="expression" dxfId="2829" priority="1019">
      <formula>AND(ISNUMBER(O113),TRUNC(O113)&lt;TODAY())</formula>
    </cfRule>
  </conditionalFormatting>
  <conditionalFormatting sqref="O112">
    <cfRule type="expression" dxfId="2828" priority="1020">
      <formula>AND(ISNUMBER(O112),TRUNC(O112)&lt;TODAY())</formula>
    </cfRule>
  </conditionalFormatting>
  <conditionalFormatting sqref="E112">
    <cfRule type="containsText" dxfId="2827" priority="1021" operator="containsText" text="F">
      <formula>NOT(ISERROR(SEARCH(("F"),(E112))))</formula>
    </cfRule>
  </conditionalFormatting>
  <conditionalFormatting sqref="Q112">
    <cfRule type="expression" dxfId="2826" priority="1022">
      <formula>AND(ISNUMBER(Q112),TRUNC(Q112)&lt;TODAY())</formula>
    </cfRule>
  </conditionalFormatting>
  <conditionalFormatting sqref="P112">
    <cfRule type="expression" dxfId="2825" priority="1023">
      <formula>AND(ISNUMBER(P112),TRUNC(P112)&lt;TODAY())</formula>
    </cfRule>
  </conditionalFormatting>
  <conditionalFormatting sqref="Q110">
    <cfRule type="expression" dxfId="2824" priority="1024">
      <formula>AND(ISNUMBER(Q110),TRUNC(Q110)&lt;TODAY())</formula>
    </cfRule>
  </conditionalFormatting>
  <conditionalFormatting sqref="P110">
    <cfRule type="expression" dxfId="2823" priority="1025">
      <formula>AND(ISNUMBER(P110),TRUNC(P110)&lt;TODAY())</formula>
    </cfRule>
  </conditionalFormatting>
  <conditionalFormatting sqref="O110">
    <cfRule type="expression" dxfId="2822" priority="1026">
      <formula>AND(ISNUMBER(O110),TRUNC(O110)&lt;TODAY())</formula>
    </cfRule>
  </conditionalFormatting>
  <conditionalFormatting sqref="E110">
    <cfRule type="containsText" dxfId="2821" priority="1027" operator="containsText" text="F">
      <formula>NOT(ISERROR(SEARCH(("F"),(E110))))</formula>
    </cfRule>
  </conditionalFormatting>
  <conditionalFormatting sqref="P109">
    <cfRule type="expression" dxfId="2820" priority="1028">
      <formula>P109&lt;44165</formula>
    </cfRule>
  </conditionalFormatting>
  <conditionalFormatting sqref="E109">
    <cfRule type="containsText" dxfId="2819" priority="1029" operator="containsText" text="F">
      <formula>NOT(ISERROR(SEARCH(("F"),(E109))))</formula>
    </cfRule>
  </conditionalFormatting>
  <conditionalFormatting sqref="Q109">
    <cfRule type="expression" dxfId="2818" priority="1030">
      <formula>AND(ISNUMBER(Q109),TRUNC(Q109)&lt;TODAY())</formula>
    </cfRule>
  </conditionalFormatting>
  <conditionalFormatting sqref="O109">
    <cfRule type="expression" dxfId="2817" priority="1031">
      <formula>AND(ISNUMBER(O109),TRUNC(O109)&lt;TODAY())</formula>
    </cfRule>
  </conditionalFormatting>
  <conditionalFormatting sqref="O108">
    <cfRule type="expression" dxfId="2816" priority="1032">
      <formula>AND(ISNUMBER(O108),TRUNC(O108)&lt;TODAY())</formula>
    </cfRule>
  </conditionalFormatting>
  <conditionalFormatting sqref="P108">
    <cfRule type="expression" dxfId="2815" priority="1033">
      <formula>P108&lt;44165</formula>
    </cfRule>
  </conditionalFormatting>
  <conditionalFormatting sqref="Q108">
    <cfRule type="expression" dxfId="2814" priority="1034">
      <formula>AND(ISNUMBER(Q108),TRUNC(Q108)&lt;TODAY())</formula>
    </cfRule>
  </conditionalFormatting>
  <conditionalFormatting sqref="O107">
    <cfRule type="expression" dxfId="2813" priority="1035">
      <formula>AND(ISNUMBER(O107),TRUNC(O107)&lt;TODAY())</formula>
    </cfRule>
  </conditionalFormatting>
  <conditionalFormatting sqref="P107">
    <cfRule type="expression" dxfId="2812" priority="1036">
      <formula>AND(ISNUMBER(P107),TRUNC(P107)&lt;TODAY())</formula>
    </cfRule>
  </conditionalFormatting>
  <conditionalFormatting sqref="O104">
    <cfRule type="expression" dxfId="2811" priority="1037">
      <formula>AND(ISNUMBER(O104),TRUNC(O104)&lt;TODAY())</formula>
    </cfRule>
  </conditionalFormatting>
  <conditionalFormatting sqref="P104">
    <cfRule type="expression" dxfId="2810" priority="1038">
      <formula>P104&lt;44165</formula>
    </cfRule>
  </conditionalFormatting>
  <conditionalFormatting sqref="Q104">
    <cfRule type="expression" dxfId="2809" priority="1039">
      <formula>AND(ISNUMBER(Q104),TRUNC(Q104)&lt;TODAY())</formula>
    </cfRule>
  </conditionalFormatting>
  <conditionalFormatting sqref="O101">
    <cfRule type="expression" dxfId="2808" priority="1040">
      <formula>AND(ISNUMBER(O101),TRUNC(O101)&lt;TODAY())</formula>
    </cfRule>
  </conditionalFormatting>
  <conditionalFormatting sqref="N101">
    <cfRule type="expression" dxfId="2807" priority="1041">
      <formula>AND(ISNUMBER(N101),TRUNC(N101)&lt;TODAY())</formula>
    </cfRule>
  </conditionalFormatting>
  <conditionalFormatting sqref="N97">
    <cfRule type="expression" dxfId="2806" priority="1042">
      <formula>AND(ISNUMBER(N97),TRUNC(N97)&lt;TODAY())</formula>
    </cfRule>
  </conditionalFormatting>
  <conditionalFormatting sqref="P97">
    <cfRule type="expression" dxfId="2805" priority="1043">
      <formula>AND(ISNUMBER(P97),TRUNC(P97)&lt;TODAY())</formula>
    </cfRule>
  </conditionalFormatting>
  <conditionalFormatting sqref="O97">
    <cfRule type="expression" dxfId="2804" priority="1044">
      <formula>AND(ISNUMBER(O97),TRUNC(O97)&lt;TODAY())</formula>
    </cfRule>
  </conditionalFormatting>
  <conditionalFormatting sqref="P96">
    <cfRule type="expression" dxfId="2803" priority="1045">
      <formula>AND(ISNUMBER(P96),TRUNC(P96)&lt;TODAY())</formula>
    </cfRule>
  </conditionalFormatting>
  <conditionalFormatting sqref="O96">
    <cfRule type="expression" dxfId="2802" priority="1046">
      <formula>O96&lt;44165</formula>
    </cfRule>
  </conditionalFormatting>
  <conditionalFormatting sqref="N96">
    <cfRule type="expression" dxfId="2801" priority="1047">
      <formula>AND(ISNUMBER(N96),TRUNC(N96)&lt;TODAY())</formula>
    </cfRule>
  </conditionalFormatting>
  <conditionalFormatting sqref="N95">
    <cfRule type="expression" dxfId="2800" priority="1048">
      <formula>AND(ISNUMBER(N95),TRUNC(N95)&lt;TODAY())</formula>
    </cfRule>
  </conditionalFormatting>
  <conditionalFormatting sqref="O95">
    <cfRule type="expression" dxfId="2799" priority="1049">
      <formula>O95&lt;44165</formula>
    </cfRule>
  </conditionalFormatting>
  <conditionalFormatting sqref="P95">
    <cfRule type="expression" dxfId="2798" priority="1050">
      <formula>AND(ISNUMBER(P95),TRUNC(P95)&lt;TODAY())</formula>
    </cfRule>
  </conditionalFormatting>
  <conditionalFormatting sqref="N92">
    <cfRule type="expression" dxfId="2797" priority="1051">
      <formula>AND(ISNUMBER(N92),TRUNC(N92)&lt;TODAY())</formula>
    </cfRule>
  </conditionalFormatting>
  <conditionalFormatting sqref="O92 P92">
    <cfRule type="expression" dxfId="2796" priority="1052">
      <formula>AND(ISNUMBER(O92),TRUNC(O92)&lt;TODAY())</formula>
    </cfRule>
  </conditionalFormatting>
  <conditionalFormatting sqref="P92">
    <cfRule type="expression" dxfId="2795" priority="1053">
      <formula>AND(ISNUMBER(P92),TRUNC(P92)&lt;TODAY())</formula>
    </cfRule>
  </conditionalFormatting>
  <conditionalFormatting sqref="P91">
    <cfRule type="expression" dxfId="2794" priority="1054">
      <formula>AND(ISNUMBER(P91),TRUNC(P91)&lt;TODAY())</formula>
    </cfRule>
  </conditionalFormatting>
  <conditionalFormatting sqref="N91">
    <cfRule type="expression" dxfId="2793" priority="1055">
      <formula>AND(ISNUMBER(N91),TRUNC(N91)&lt;TODAY())</formula>
    </cfRule>
  </conditionalFormatting>
  <conditionalFormatting sqref="O91">
    <cfRule type="expression" dxfId="2792" priority="1056">
      <formula>AND(ISNUMBER(O91),TRUNC(O91)&lt;TODAY())</formula>
    </cfRule>
  </conditionalFormatting>
  <conditionalFormatting sqref="N89">
    <cfRule type="expression" dxfId="2791" priority="1057">
      <formula>AND(ISNUMBER(N89),TRUNC(N89)&lt;TODAY())</formula>
    </cfRule>
  </conditionalFormatting>
  <conditionalFormatting sqref="O89">
    <cfRule type="expression" dxfId="2790" priority="1058">
      <formula>AND(ISNUMBER(O89),TRUNC(O89)&lt;TODAY())</formula>
    </cfRule>
  </conditionalFormatting>
  <conditionalFormatting sqref="N88">
    <cfRule type="expression" dxfId="2789" priority="1059">
      <formula>AND(ISNUMBER(N88),TRUNC(N88)&lt;TODAY())</formula>
    </cfRule>
  </conditionalFormatting>
  <conditionalFormatting sqref="O88">
    <cfRule type="expression" dxfId="2788" priority="1060">
      <formula>O88&lt;44165</formula>
    </cfRule>
  </conditionalFormatting>
  <conditionalFormatting sqref="N84">
    <cfRule type="expression" dxfId="2787" priority="1061">
      <formula>AND(ISNUMBER(N84),TRUNC(N84)&lt;TODAY())</formula>
    </cfRule>
  </conditionalFormatting>
  <conditionalFormatting sqref="O84">
    <cfRule type="expression" dxfId="2786" priority="1062">
      <formula>AND(ISNUMBER(O84),TRUNC(O84)&lt;TODAY())</formula>
    </cfRule>
  </conditionalFormatting>
  <conditionalFormatting sqref="O83">
    <cfRule type="expression" dxfId="2785" priority="1063">
      <formula>AND(ISNUMBER(O83),TRUNC(O83)&lt;TODAY())</formula>
    </cfRule>
  </conditionalFormatting>
  <conditionalFormatting sqref="N83">
    <cfRule type="expression" dxfId="2784" priority="1064">
      <formula>AND(ISNUMBER(N83),TRUNC(N83)&lt;TODAY())</formula>
    </cfRule>
  </conditionalFormatting>
  <conditionalFormatting sqref="O81">
    <cfRule type="expression" dxfId="2783" priority="1065">
      <formula>AND(ISNUMBER(O81),TRUNC(O81)&lt;TODAY())</formula>
    </cfRule>
  </conditionalFormatting>
  <conditionalFormatting sqref="N81">
    <cfRule type="expression" dxfId="2782" priority="1066">
      <formula>AND(ISNUMBER(N81),TRUNC(N81)&lt;TODAY())</formula>
    </cfRule>
  </conditionalFormatting>
  <conditionalFormatting sqref="N81">
    <cfRule type="expression" dxfId="2781" priority="1067">
      <formula>AND(ISNUMBER(N81),TRUNC(N81)&lt;TODAY())</formula>
    </cfRule>
  </conditionalFormatting>
  <conditionalFormatting sqref="M81">
    <cfRule type="expression" dxfId="2780" priority="1068">
      <formula>AND(ISNUMBER(M81),TRUNC(M81)&lt;TODAY())</formula>
    </cfRule>
  </conditionalFormatting>
  <conditionalFormatting sqref="N76">
    <cfRule type="expression" dxfId="2779" priority="1069">
      <formula>AND(ISNUMBER(N76),TRUNC(N76)&lt;TODAY())</formula>
    </cfRule>
  </conditionalFormatting>
  <conditionalFormatting sqref="L76">
    <cfRule type="expression" dxfId="2778" priority="1070">
      <formula>AND(ISNUMBER(L76),TRUNC(L76)&lt;TODAY())</formula>
    </cfRule>
  </conditionalFormatting>
  <conditionalFormatting sqref="M76">
    <cfRule type="expression" dxfId="2777" priority="1071">
      <formula>M76&lt;44165</formula>
    </cfRule>
  </conditionalFormatting>
  <conditionalFormatting sqref="N74">
    <cfRule type="expression" dxfId="2776" priority="1072">
      <formula>AND(ISNUMBER(N74),TRUNC(N74)&lt;TODAY())</formula>
    </cfRule>
  </conditionalFormatting>
  <conditionalFormatting sqref="M74">
    <cfRule type="expression" dxfId="2775" priority="1073">
      <formula>AND(ISNUMBER(M74),TRUNC(M74)&lt;TODAY())</formula>
    </cfRule>
  </conditionalFormatting>
  <conditionalFormatting sqref="L74">
    <cfRule type="expression" dxfId="2774" priority="1074">
      <formula>AND(ISNUMBER(L74),TRUNC(L74)&lt;TODAY())</formula>
    </cfRule>
  </conditionalFormatting>
  <conditionalFormatting sqref="L73">
    <cfRule type="expression" dxfId="2773" priority="1075">
      <formula>AND(ISNUMBER(L73),TRUNC(L73)&lt;TODAY())</formula>
    </cfRule>
  </conditionalFormatting>
  <conditionalFormatting sqref="M73">
    <cfRule type="expression" dxfId="2772" priority="1076">
      <formula>AND(ISNUMBER(M73),TRUNC(M73)&lt;TODAY())</formula>
    </cfRule>
  </conditionalFormatting>
  <conditionalFormatting sqref="N73">
    <cfRule type="expression" dxfId="2771" priority="1077">
      <formula>AND(ISNUMBER(N73),TRUNC(N73)&lt;TODAY())</formula>
    </cfRule>
  </conditionalFormatting>
  <conditionalFormatting sqref="N68">
    <cfRule type="expression" dxfId="2770" priority="1078">
      <formula>AND(ISNUMBER(N68),TRUNC(N68)&lt;TODAY())</formula>
    </cfRule>
  </conditionalFormatting>
  <conditionalFormatting sqref="L68">
    <cfRule type="expression" dxfId="2769" priority="1079">
      <formula>AND(ISNUMBER(L68),TRUNC(L68)&lt;TODAY())</formula>
    </cfRule>
  </conditionalFormatting>
  <conditionalFormatting sqref="M68">
    <cfRule type="expression" dxfId="2768" priority="1080">
      <formula>M68&lt;44165</formula>
    </cfRule>
  </conditionalFormatting>
  <conditionalFormatting sqref="L67">
    <cfRule type="expression" dxfId="2767" priority="1081">
      <formula>AND(ISNUMBER(L67),TRUNC(L67)&lt;TODAY())</formula>
    </cfRule>
  </conditionalFormatting>
  <conditionalFormatting sqref="N67">
    <cfRule type="expression" dxfId="2766" priority="1082">
      <formula>AND(ISNUMBER(N67),TRUNC(N67)&lt;TODAY())</formula>
    </cfRule>
  </conditionalFormatting>
  <conditionalFormatting sqref="M67">
    <cfRule type="expression" dxfId="2765" priority="1083">
      <formula>AND(ISNUMBER(M67),TRUNC(M67)&lt;TODAY())</formula>
    </cfRule>
  </conditionalFormatting>
  <conditionalFormatting sqref="N66">
    <cfRule type="expression" dxfId="2764" priority="1084">
      <formula>AND(ISNUMBER(N66),TRUNC(N66)&lt;TODAY())</formula>
    </cfRule>
  </conditionalFormatting>
  <conditionalFormatting sqref="L66">
    <cfRule type="expression" dxfId="2763" priority="1085">
      <formula>AND(ISNUMBER(L66),TRUNC(L66)&lt;TODAY())</formula>
    </cfRule>
  </conditionalFormatting>
  <conditionalFormatting sqref="M66">
    <cfRule type="expression" dxfId="2762" priority="1086">
      <formula>AND(ISNUMBER(M66),TRUNC(M66)&lt;TODAY())</formula>
    </cfRule>
  </conditionalFormatting>
  <conditionalFormatting sqref="L65">
    <cfRule type="expression" dxfId="2761" priority="1087">
      <formula>AND(ISNUMBER(L65),TRUNC(L65)&lt;TODAY())</formula>
    </cfRule>
  </conditionalFormatting>
  <conditionalFormatting sqref="N65">
    <cfRule type="expression" dxfId="2760" priority="1088">
      <formula>AND(ISNUMBER(N65),TRUNC(N65)&lt;TODAY())</formula>
    </cfRule>
  </conditionalFormatting>
  <conditionalFormatting sqref="M65">
    <cfRule type="expression" dxfId="2759" priority="1089">
      <formula>AND(ISNUMBER(M65),TRUNC(M65)&lt;TODAY())</formula>
    </cfRule>
  </conditionalFormatting>
  <conditionalFormatting sqref="L64">
    <cfRule type="expression" dxfId="2758" priority="1090">
      <formula>AND(ISNUMBER(L64),TRUNC(L64)&lt;TODAY())</formula>
    </cfRule>
  </conditionalFormatting>
  <conditionalFormatting sqref="N64">
    <cfRule type="expression" dxfId="2757" priority="1091">
      <formula>AND(ISNUMBER(N64),TRUNC(N64)&lt;TODAY())</formula>
    </cfRule>
  </conditionalFormatting>
  <conditionalFormatting sqref="M64">
    <cfRule type="expression" dxfId="2756" priority="1092">
      <formula>AND(ISNUMBER(M64),TRUNC(M64)&lt;TODAY())</formula>
    </cfRule>
  </conditionalFormatting>
  <conditionalFormatting sqref="M63">
    <cfRule type="expression" dxfId="2755" priority="1093">
      <formula>AND(ISNUMBER(M63),TRUNC(M63)&lt;TODAY())</formula>
    </cfRule>
  </conditionalFormatting>
  <conditionalFormatting sqref="L63">
    <cfRule type="expression" dxfId="2754" priority="1094">
      <formula>AND(ISNUMBER(L63),TRUNC(L63)&lt;TODAY())</formula>
    </cfRule>
  </conditionalFormatting>
  <conditionalFormatting sqref="N63">
    <cfRule type="expression" dxfId="2753" priority="1095">
      <formula>AND(ISNUMBER(N63),TRUNC(N63)&lt;TODAY())</formula>
    </cfRule>
  </conditionalFormatting>
  <conditionalFormatting sqref="M60">
    <cfRule type="expression" dxfId="2752" priority="1096">
      <formula>AND(ISNUMBER(M60),TRUNC(M60)&lt;TODAY())</formula>
    </cfRule>
  </conditionalFormatting>
  <conditionalFormatting sqref="N60">
    <cfRule type="expression" dxfId="2751" priority="1097">
      <formula>AND(ISNUMBER(N60),TRUNC(N60)&lt;TODAY())</formula>
    </cfRule>
  </conditionalFormatting>
  <conditionalFormatting sqref="M60">
    <cfRule type="expression" dxfId="2750" priority="1098">
      <formula>M60&lt;44165</formula>
    </cfRule>
  </conditionalFormatting>
  <conditionalFormatting sqref="L60">
    <cfRule type="expression" dxfId="2749" priority="1099">
      <formula>AND(ISNUMBER(L60),TRUNC(L60)&lt;TODAY())</formula>
    </cfRule>
  </conditionalFormatting>
  <conditionalFormatting sqref="N58">
    <cfRule type="expression" dxfId="2748" priority="1100">
      <formula>AND(ISNUMBER(N58),TRUNC(N58)&lt;TODAY())</formula>
    </cfRule>
  </conditionalFormatting>
  <conditionalFormatting sqref="L58">
    <cfRule type="expression" dxfId="2747" priority="1101">
      <formula>AND(ISNUMBER(L58),TRUNC(L58)&lt;TODAY())</formula>
    </cfRule>
  </conditionalFormatting>
  <conditionalFormatting sqref="M58">
    <cfRule type="expression" dxfId="2746" priority="1102">
      <formula>AND(ISNUMBER(M58),TRUNC(M58)&lt;TODAY())</formula>
    </cfRule>
  </conditionalFormatting>
  <conditionalFormatting sqref="M57">
    <cfRule type="expression" dxfId="2745" priority="1103">
      <formula>AND(ISNUMBER(M57),TRUNC(M57)&lt;TODAY())</formula>
    </cfRule>
  </conditionalFormatting>
  <conditionalFormatting sqref="N57">
    <cfRule type="expression" dxfId="2744" priority="1104">
      <formula>AND(ISNUMBER(N57),TRUNC(N57)&lt;TODAY())</formula>
    </cfRule>
  </conditionalFormatting>
  <conditionalFormatting sqref="L57">
    <cfRule type="expression" dxfId="2743" priority="1105">
      <formula>AND(ISNUMBER(L57),TRUNC(L57)&lt;TODAY())</formula>
    </cfRule>
  </conditionalFormatting>
  <conditionalFormatting sqref="N56">
    <cfRule type="expression" dxfId="2742" priority="1106">
      <formula>AND(ISNUMBER(N56),TRUNC(N56)&lt;TODAY())</formula>
    </cfRule>
  </conditionalFormatting>
  <conditionalFormatting sqref="M56">
    <cfRule type="expression" dxfId="2741" priority="1107">
      <formula>AND(ISNUMBER(M56),TRUNC(M56)&lt;TODAY())</formula>
    </cfRule>
  </conditionalFormatting>
  <conditionalFormatting sqref="L56">
    <cfRule type="expression" dxfId="2740" priority="1108">
      <formula>AND(ISNUMBER(L56),TRUNC(L56)&lt;TODAY())</formula>
    </cfRule>
  </conditionalFormatting>
  <conditionalFormatting sqref="L55">
    <cfRule type="expression" dxfId="2739" priority="1109">
      <formula>AND(ISNUMBER(L55),TRUNC(L55)&lt;TODAY())</formula>
    </cfRule>
  </conditionalFormatting>
  <conditionalFormatting sqref="M55">
    <cfRule type="expression" dxfId="2738" priority="1110">
      <formula>AND(ISNUMBER(M55),TRUNC(M55)&lt;TODAY())</formula>
    </cfRule>
  </conditionalFormatting>
  <conditionalFormatting sqref="L52 N54">
    <cfRule type="expression" dxfId="2737" priority="1111">
      <formula>AND(ISNUMBER(L52),TRUNC(L52)&lt;TODAY())</formula>
    </cfRule>
  </conditionalFormatting>
  <conditionalFormatting sqref="M52">
    <cfRule type="expression" dxfId="2736" priority="1112">
      <formula>M52&lt;44165</formula>
    </cfRule>
  </conditionalFormatting>
  <conditionalFormatting sqref="L51">
    <cfRule type="expression" dxfId="2735" priority="1113">
      <formula>AND(ISNUMBER(L51),TRUNC(L51)&lt;TODAY())</formula>
    </cfRule>
  </conditionalFormatting>
  <conditionalFormatting sqref="M51">
    <cfRule type="expression" dxfId="2734" priority="1114">
      <formula>AND(ISNUMBER(M51),TRUNC(M51)&lt;TODAY())</formula>
    </cfRule>
  </conditionalFormatting>
  <conditionalFormatting sqref="M50">
    <cfRule type="expression" dxfId="2733" priority="1115">
      <formula>M50&lt;44165</formula>
    </cfRule>
  </conditionalFormatting>
  <conditionalFormatting sqref="L50">
    <cfRule type="expression" dxfId="2732" priority="1116">
      <formula>AND(ISNUMBER(L50),TRUNC(L50)&lt;TODAY())</formula>
    </cfRule>
  </conditionalFormatting>
  <conditionalFormatting sqref="M49">
    <cfRule type="expression" dxfId="2731" priority="1117">
      <formula>M49&lt;44165</formula>
    </cfRule>
  </conditionalFormatting>
  <conditionalFormatting sqref="L49">
    <cfRule type="expression" dxfId="2730" priority="1118">
      <formula>AND(ISNUMBER(L49),TRUNC(L49)&lt;TODAY())</formula>
    </cfRule>
  </conditionalFormatting>
  <conditionalFormatting sqref="M48">
    <cfRule type="expression" dxfId="2729" priority="1119">
      <formula>AND(ISNUMBER(M48),TRUNC(M48)&lt;TODAY())</formula>
    </cfRule>
  </conditionalFormatting>
  <conditionalFormatting sqref="M47">
    <cfRule type="expression" dxfId="2728" priority="1120">
      <formula>AND(ISNUMBER(M47),TRUNC(M47)&lt;TODAY())</formula>
    </cfRule>
  </conditionalFormatting>
  <conditionalFormatting sqref="M46">
    <cfRule type="expression" dxfId="2727" priority="1121">
      <formula>M46&lt;44165</formula>
    </cfRule>
  </conditionalFormatting>
  <conditionalFormatting sqref="K44 L54">
    <cfRule type="expression" dxfId="2726" priority="1122">
      <formula>AND(ISNUMBER(K44),TRUNC(K44)&lt;TODAY())</formula>
    </cfRule>
  </conditionalFormatting>
  <conditionalFormatting sqref="L44">
    <cfRule type="expression" dxfId="2725" priority="1123">
      <formula>AND(ISNUMBER(L44),TRUNC(L44)&lt;TODAY())</formula>
    </cfRule>
  </conditionalFormatting>
  <conditionalFormatting sqref="M44">
    <cfRule type="expression" dxfId="2724" priority="1124">
      <formula>AND(ISNUMBER(M44),TRUNC(M44)&lt;TODAY())</formula>
    </cfRule>
  </conditionalFormatting>
  <conditionalFormatting sqref="L43">
    <cfRule type="expression" dxfId="2723" priority="1125">
      <formula>AND(ISNUMBER(L43),TRUNC(L43)&lt;TODAY())</formula>
    </cfRule>
  </conditionalFormatting>
  <conditionalFormatting sqref="M43">
    <cfRule type="expression" dxfId="2722" priority="1126">
      <formula>AND(ISNUMBER(M43),TRUNC(M43)&lt;TODAY())</formula>
    </cfRule>
  </conditionalFormatting>
  <conditionalFormatting sqref="L39">
    <cfRule type="expression" dxfId="2721" priority="1127">
      <formula>L39&lt;44043</formula>
    </cfRule>
  </conditionalFormatting>
  <conditionalFormatting sqref="K39">
    <cfRule type="expression" dxfId="2720" priority="1128">
      <formula>AND(ISNUMBER(K39),TRUNC(K39)&lt;TODAY())</formula>
    </cfRule>
  </conditionalFormatting>
  <conditionalFormatting sqref="M38">
    <cfRule type="expression" dxfId="2719" priority="1129">
      <formula>AND(ISNUMBER(M38),TRUNC(M38)&lt;TODAY())</formula>
    </cfRule>
  </conditionalFormatting>
  <conditionalFormatting sqref="L38">
    <cfRule type="expression" dxfId="2718" priority="1130">
      <formula>AND(ISNUMBER(L38),TRUNC(L38)&lt;TODAY())</formula>
    </cfRule>
  </conditionalFormatting>
  <conditionalFormatting sqref="K38">
    <cfRule type="expression" dxfId="2717" priority="1131">
      <formula>AND(ISNUMBER(K38),TRUNC(K38)&lt;TODAY())</formula>
    </cfRule>
  </conditionalFormatting>
  <conditionalFormatting sqref="M37">
    <cfRule type="expression" dxfId="2716" priority="1132">
      <formula>AND(ISNUMBER(M37),TRUNC(M37)&lt;TODAY())</formula>
    </cfRule>
  </conditionalFormatting>
  <conditionalFormatting sqref="K37">
    <cfRule type="expression" dxfId="2715" priority="1133">
      <formula>AND(ISNUMBER(K37),TRUNC(K37)&lt;TODAY())</formula>
    </cfRule>
  </conditionalFormatting>
  <conditionalFormatting sqref="L37">
    <cfRule type="expression" dxfId="2714" priority="1134">
      <formula>AND(ISNUMBER(L37),TRUNC(L37)&lt;TODAY())</formula>
    </cfRule>
  </conditionalFormatting>
  <conditionalFormatting sqref="L36">
    <cfRule type="expression" dxfId="2713" priority="1135">
      <formula>AND(ISNUMBER(L36),TRUNC(L36)&lt;TODAY())</formula>
    </cfRule>
  </conditionalFormatting>
  <conditionalFormatting sqref="K36">
    <cfRule type="expression" dxfId="2712" priority="1136">
      <formula>AND(ISNUMBER(K36),TRUNC(K36)&lt;TODAY())</formula>
    </cfRule>
  </conditionalFormatting>
  <conditionalFormatting sqref="M36">
    <cfRule type="expression" dxfId="2711" priority="1137">
      <formula>AND(ISNUMBER(M36),TRUNC(M36)&lt;TODAY())</formula>
    </cfRule>
  </conditionalFormatting>
  <conditionalFormatting sqref="L35">
    <cfRule type="expression" dxfId="2710" priority="1138">
      <formula>L35&lt;44043</formula>
    </cfRule>
  </conditionalFormatting>
  <conditionalFormatting sqref="K35">
    <cfRule type="expression" dxfId="2709" priority="1139">
      <formula>AND(ISNUMBER(K35),TRUNC(K35)&lt;TODAY())</formula>
    </cfRule>
  </conditionalFormatting>
  <conditionalFormatting sqref="L34">
    <cfRule type="expression" dxfId="2708" priority="1140">
      <formula>L34&lt;44043</formula>
    </cfRule>
  </conditionalFormatting>
  <conditionalFormatting sqref="K34">
    <cfRule type="expression" dxfId="2707" priority="1141">
      <formula>AND(ISNUMBER(K34),TRUNC(K34)&lt;TODAY())</formula>
    </cfRule>
  </conditionalFormatting>
  <conditionalFormatting sqref="K33">
    <cfRule type="expression" dxfId="2706" priority="1142">
      <formula>AND(ISNUMBER(K33),TRUNC(K33)&lt;TODAY())</formula>
    </cfRule>
  </conditionalFormatting>
  <conditionalFormatting sqref="L33">
    <cfRule type="expression" dxfId="2705" priority="1143">
      <formula>AND(ISNUMBER(L33),TRUNC(L33)&lt;TODAY())</formula>
    </cfRule>
  </conditionalFormatting>
  <conditionalFormatting sqref="M33">
    <cfRule type="expression" dxfId="2704" priority="1144">
      <formula>AND(ISNUMBER(M33),TRUNC(M33)&lt;TODAY())</formula>
    </cfRule>
  </conditionalFormatting>
  <conditionalFormatting sqref="L32">
    <cfRule type="expression" dxfId="2703" priority="1145">
      <formula>L32&lt;44043</formula>
    </cfRule>
  </conditionalFormatting>
  <conditionalFormatting sqref="K32">
    <cfRule type="expression" dxfId="2702" priority="1146">
      <formula>AND(ISNUMBER(K32),TRUNC(K32)&lt;TODAY())</formula>
    </cfRule>
  </conditionalFormatting>
  <conditionalFormatting sqref="M31">
    <cfRule type="expression" dxfId="2701" priority="1147">
      <formula>AND(ISNUMBER(M31),TRUNC(M31)&lt;TODAY())</formula>
    </cfRule>
  </conditionalFormatting>
  <conditionalFormatting sqref="K31">
    <cfRule type="expression" dxfId="2700" priority="1148">
      <formula>AND(ISNUMBER(K31),TRUNC(K31)&lt;TODAY())</formula>
    </cfRule>
  </conditionalFormatting>
  <conditionalFormatting sqref="L31">
    <cfRule type="expression" dxfId="2699" priority="1149">
      <formula>AND(ISNUMBER(L31),TRUNC(L31)&lt;TODAY())</formula>
    </cfRule>
  </conditionalFormatting>
  <conditionalFormatting sqref="L30">
    <cfRule type="expression" dxfId="2698" priority="1150">
      <formula>L30&lt;44043</formula>
    </cfRule>
  </conditionalFormatting>
  <conditionalFormatting sqref="K30">
    <cfRule type="expression" dxfId="2697" priority="1151">
      <formula>AND(ISNUMBER(K30),TRUNC(K30)&lt;TODAY())</formula>
    </cfRule>
  </conditionalFormatting>
  <conditionalFormatting sqref="L29">
    <cfRule type="expression" dxfId="2696" priority="1152">
      <formula>AND(ISNUMBER(L29),TRUNC(L29)&lt;TODAY())</formula>
    </cfRule>
  </conditionalFormatting>
  <conditionalFormatting sqref="K29">
    <cfRule type="expression" dxfId="2695" priority="1153">
      <formula>AND(ISNUMBER(K29),TRUNC(K29)&lt;TODAY())</formula>
    </cfRule>
  </conditionalFormatting>
  <conditionalFormatting sqref="M29">
    <cfRule type="expression" dxfId="2694" priority="1154">
      <formula>AND(ISNUMBER(M29),TRUNC(M29)&lt;TODAY())</formula>
    </cfRule>
  </conditionalFormatting>
  <conditionalFormatting sqref="L28">
    <cfRule type="expression" dxfId="2693" priority="1155">
      <formula>L28&lt;44043</formula>
    </cfRule>
  </conditionalFormatting>
  <conditionalFormatting sqref="K28">
    <cfRule type="expression" dxfId="2692" priority="1156">
      <formula>AND(ISNUMBER(K28),TRUNC(K28)&lt;TODAY())</formula>
    </cfRule>
  </conditionalFormatting>
  <conditionalFormatting sqref="L27">
    <cfRule type="expression" dxfId="2691" priority="1157">
      <formula>L27&lt;44043</formula>
    </cfRule>
  </conditionalFormatting>
  <conditionalFormatting sqref="K27">
    <cfRule type="expression" dxfId="2690" priority="1158">
      <formula>AND(ISNUMBER(K27),TRUNC(K27)&lt;TODAY())</formula>
    </cfRule>
  </conditionalFormatting>
  <conditionalFormatting sqref="L26">
    <cfRule type="expression" dxfId="2689" priority="1159">
      <formula>L26&lt;44043</formula>
    </cfRule>
  </conditionalFormatting>
  <conditionalFormatting sqref="K26">
    <cfRule type="expression" dxfId="2688" priority="1160">
      <formula>AND(ISNUMBER(K26),TRUNC(K26)&lt;TODAY())</formula>
    </cfRule>
  </conditionalFormatting>
  <conditionalFormatting sqref="L25">
    <cfRule type="expression" dxfId="2687" priority="1161">
      <formula>L25&lt;44043</formula>
    </cfRule>
  </conditionalFormatting>
  <conditionalFormatting sqref="K25">
    <cfRule type="expression" dxfId="2686" priority="1162">
      <formula>AND(ISNUMBER(K25),TRUNC(K25)&lt;TODAY())</formula>
    </cfRule>
  </conditionalFormatting>
  <conditionalFormatting sqref="L24">
    <cfRule type="expression" dxfId="2685" priority="1163">
      <formula>L24&lt;44043</formula>
    </cfRule>
  </conditionalFormatting>
  <conditionalFormatting sqref="K24">
    <cfRule type="expression" dxfId="2684" priority="1164">
      <formula>AND(ISNUMBER(K24),TRUNC(K24)&lt;TODAY())</formula>
    </cfRule>
  </conditionalFormatting>
  <conditionalFormatting sqref="L23">
    <cfRule type="expression" dxfId="2683" priority="1165">
      <formula>AND(ISNUMBER(L23),TRUNC(L23)&lt;TODAY())</formula>
    </cfRule>
  </conditionalFormatting>
  <conditionalFormatting sqref="K23">
    <cfRule type="expression" dxfId="2682" priority="1166">
      <formula>AND(ISNUMBER(K23),TRUNC(K23)&lt;TODAY())</formula>
    </cfRule>
  </conditionalFormatting>
  <conditionalFormatting sqref="M23">
    <cfRule type="expression" dxfId="2681" priority="1167">
      <formula>AND(ISNUMBER(M23),TRUNC(M23)&lt;TODAY())</formula>
    </cfRule>
  </conditionalFormatting>
  <conditionalFormatting sqref="M22">
    <cfRule type="expression" dxfId="2680" priority="1168">
      <formula>AND(ISNUMBER(M22),TRUNC(M22)&lt;TODAY())</formula>
    </cfRule>
  </conditionalFormatting>
  <conditionalFormatting sqref="K22">
    <cfRule type="expression" dxfId="2679" priority="1169">
      <formula>AND(ISNUMBER(K22),TRUNC(K22)&lt;TODAY())</formula>
    </cfRule>
  </conditionalFormatting>
  <conditionalFormatting sqref="L22">
    <cfRule type="expression" dxfId="2678" priority="1170">
      <formula>AND(ISNUMBER(L22),TRUNC(L22)&lt;TODAY())</formula>
    </cfRule>
  </conditionalFormatting>
  <conditionalFormatting sqref="L21">
    <cfRule type="expression" dxfId="2677" priority="1171">
      <formula>L21&lt;44043</formula>
    </cfRule>
  </conditionalFormatting>
  <conditionalFormatting sqref="K21">
    <cfRule type="expression" dxfId="2676" priority="1172">
      <formula>AND(ISNUMBER(K21),TRUNC(K21)&lt;TODAY())</formula>
    </cfRule>
  </conditionalFormatting>
  <conditionalFormatting sqref="M20">
    <cfRule type="expression" dxfId="2675" priority="1173">
      <formula>AND(ISNUMBER(M20),TRUNC(M20)&lt;TODAY())</formula>
    </cfRule>
  </conditionalFormatting>
  <conditionalFormatting sqref="K20">
    <cfRule type="expression" dxfId="2674" priority="1174">
      <formula>AND(ISNUMBER(K20),TRUNC(K20)&lt;TODAY())</formula>
    </cfRule>
  </conditionalFormatting>
  <conditionalFormatting sqref="L20">
    <cfRule type="expression" dxfId="2673" priority="1175">
      <formula>AND(ISNUMBER(L20),TRUNC(L20)&lt;TODAY())</formula>
    </cfRule>
  </conditionalFormatting>
  <conditionalFormatting sqref="M19">
    <cfRule type="expression" dxfId="2672" priority="1176">
      <formula>AND(ISNUMBER(M19),TRUNC(M19)&lt;TODAY())</formula>
    </cfRule>
  </conditionalFormatting>
  <conditionalFormatting sqref="K19">
    <cfRule type="expression" dxfId="2671" priority="1177">
      <formula>AND(ISNUMBER(K19),TRUNC(K19)&lt;TODAY())</formula>
    </cfRule>
  </conditionalFormatting>
  <conditionalFormatting sqref="L19">
    <cfRule type="expression" dxfId="2670" priority="1178">
      <formula>AND(ISNUMBER(L19),TRUNC(L19)&lt;TODAY())</formula>
    </cfRule>
  </conditionalFormatting>
  <conditionalFormatting sqref="M18">
    <cfRule type="expression" dxfId="2669" priority="1179">
      <formula>AND(ISNUMBER(M18),TRUNC(M18)&lt;TODAY())</formula>
    </cfRule>
  </conditionalFormatting>
  <conditionalFormatting sqref="L18">
    <cfRule type="expression" dxfId="2668" priority="1180">
      <formula>AND(ISNUMBER(L18),TRUNC(L18)&lt;TODAY())</formula>
    </cfRule>
  </conditionalFormatting>
  <conditionalFormatting sqref="K18">
    <cfRule type="expression" dxfId="2667" priority="1181">
      <formula>AND(ISNUMBER(K18),TRUNC(K18)&lt;TODAY())</formula>
    </cfRule>
  </conditionalFormatting>
  <conditionalFormatting sqref="K17">
    <cfRule type="expression" dxfId="2666" priority="1182">
      <formula>AND(ISNUMBER(K17),TRUNC(K17)&lt;TODAY())</formula>
    </cfRule>
  </conditionalFormatting>
  <conditionalFormatting sqref="L17">
    <cfRule type="expression" dxfId="2665" priority="1183">
      <formula>L17&lt;44043</formula>
    </cfRule>
  </conditionalFormatting>
  <conditionalFormatting sqref="K13">
    <cfRule type="expression" dxfId="2664" priority="1184">
      <formula>AND(ISNUMBER(K13),TRUNC(K13)&lt;TODAY())</formula>
    </cfRule>
  </conditionalFormatting>
  <conditionalFormatting sqref="L13">
    <cfRule type="expression" dxfId="2663" priority="1185">
      <formula>AND(ISNUMBER(L13),TRUNC(L13)&lt;TODAY())</formula>
    </cfRule>
  </conditionalFormatting>
  <conditionalFormatting sqref="M13">
    <cfRule type="expression" dxfId="2662" priority="1186">
      <formula>AND(ISNUMBER(M13),TRUNC(M13)&lt;TODAY())</formula>
    </cfRule>
  </conditionalFormatting>
  <conditionalFormatting sqref="L12">
    <cfRule type="expression" dxfId="2661" priority="1187">
      <formula>AND(ISNUMBER(L12),TRUNC(L12)&lt;TODAY())</formula>
    </cfRule>
  </conditionalFormatting>
  <conditionalFormatting sqref="M12">
    <cfRule type="expression" dxfId="2660" priority="1188">
      <formula>AND(ISNUMBER(M12),TRUNC(M12)&lt;TODAY())</formula>
    </cfRule>
  </conditionalFormatting>
  <conditionalFormatting sqref="K12">
    <cfRule type="expression" dxfId="2659" priority="1189">
      <formula>AND(ISNUMBER(K12),TRUNC(K12)&lt;TODAY())</formula>
    </cfRule>
  </conditionalFormatting>
  <conditionalFormatting sqref="K8">
    <cfRule type="expression" dxfId="2658" priority="1190">
      <formula>K8&lt;44012</formula>
    </cfRule>
  </conditionalFormatting>
  <conditionalFormatting sqref="L8">
    <cfRule type="expression" dxfId="2657" priority="1191">
      <formula>L8&lt;43982</formula>
    </cfRule>
  </conditionalFormatting>
  <conditionalFormatting sqref="M7">
    <cfRule type="expression" dxfId="2656" priority="1192">
      <formula>M7&lt;44012</formula>
    </cfRule>
  </conditionalFormatting>
  <conditionalFormatting sqref="K7">
    <cfRule type="expression" dxfId="2655" priority="1193">
      <formula>K7&lt;44012</formula>
    </cfRule>
  </conditionalFormatting>
  <dataValidations count="11">
    <dataValidation type="list" allowBlank="1" sqref="G83:G84 G88:G89 G91:G92 G95:G97 G101 H104 H108:H110 H112:H113 H115:H116 H118 H120 H123 H125:H130 H135 H137:H141 H147:H148 H151:H162 H169 H172 H177 H179:H180 H183:H186 H188:H199 H204:H206 H208:H217 H221 H223:H226 H229:H233 H238 H240 H242 H244 H246:H251 H254 H256 H261 H263 H265:H271 H273 H275:H285 H294:H296 H302:H305 H307:H313 H315 H321:H322 H325 H329:H332 H334 H336:H340 H342:H345 H347 H349:H353 H357:H361 H363 H365 H369 H371:H374 H380 H386:H389 H392:H393 H397:H411 H419 H422 H426:H428 H430:H435 H439:H441 H446:H447 H450 H455 H459:H460 H464:H466 H468:H469 H471:H474 H478:H479 H482 H486 H490:H498 H503 H506:H507 H515:H517 H524:H525 H532:H534 H537 H544:H545 H550 H552 H557:H561 H565 H568 H571:H579 H585:H586 H592 H603:H604 H607 H612 H615 H620:H621 H625 H632 H634 H636 H642 H648:H649 H651 H672 H674:H677 H682 H689:H691 H695 H705:H707 H713 H725:H726 H732 H743:H748">
      <formula1>"A,B,C"</formula1>
    </dataValidation>
    <dataValidation type="custom" allowBlank="1" showDropDown="1" showInputMessage="1" showErrorMessage="1" prompt="Enter a valid date" sqref="I1:M3 I6:M6 I7 M7 I8:M8 I12:M13 I17 M17 I18:M20 I21 L21:M21 I22:M23 I24:I28 I29:K29 I30 M24:M30 I31:M31 I32 M32 I33:M33 I34:I35 M34:M35 I36:M38 I39 M39 J43:M43 I44:M44 J46:M46 J47:J48 J49:M49 J50:L50 J51:M52 J54:N56 J57 N57 J58:N58 J60:L60 N60 J63:J64 N63:N64 J65:N66 J67 N67 J68:N68 J73:N74 J76:N76 K81:M81 O81 L83 L84:O84 L88:O89 L91 P91 L92:P92 L95:P96 L97 P97 L101:P101 M104:Q104 M107 P107 M108:Q109 M110 P110:Q110 M112:Q112 M113:O113 Q113 M115 Q115 M116:Q118 M119:P119 M120:Q120 M123:Q123 M125 Q125 M126:Q126 M127:O128 Q127:Q128 M129:Q129 M130 P130:Q130 M135:N135 P135:Q135 M137:M138 Q137:Q138 M139:Q140 M141 Q141 M147:N147 P147:Q147 M148:Q148 M151:M155 Q151:Q155 M156:Q162 I169 O169 S169 I172 O172 S172 R177:S177 O179:S179 R180:S180 O183:Q183 S183 O184:S186 O188:P188 R188:S189 O190:S190 O191:P191 R191:S191 O192:S195 M196 P196:Q196 M197:Q199 G203:H203 M203:P203 M204:M205 M206:O206 Q204:Q206 M208 M209:O209 Q208:Q209 M210:Q214 P215:Q215 M215:M216 Q216 M217:Q217 M221:Q226 M229:M231 Q229:Q231 M232:Q233 M238:N238 P238:Q238 M240:N240 P240:Q240 M242 Q242 M244:Q244 M246 Q246 M247:Q249 O250:Q250 M251 Q251 M254 Q254 M256 P256:Q256 M261:Q261 M263 O263:Q263 Q265 M265:M266 P266:Q266 M267:Q269 M270 P270 M271:Q271 G272:H272 O272:Q272 M273 Q273 P275:Q275 Q276:Q277 P278:Q278 M275:M280 Q279:Q280 M281:Q283 M284:O284 Q284 M285:Q285 M290:O290 Q290 M294 Q294 M295:Q295 M296 Q296 M302:Q305 M307:Q307 M308 M309:O309 Q308:Q309 M310:Q311 M312:O313 Q312:Q313 M315:Q315 Q318 M321:Q321 M322:O322 Q322 M325:Q325 M326 Q326 M329:M330 Q329:Q330 O331:Q331 M332:Q332 M334 O334:Q334 Q337 M337:M338 P338:Q338 M339:O340 G341:H341 O341 Q339:Q341 M342:Q343 M344 O344 Q344 M345:Q345 M347:O347 Q347 M349:M353 Q349:Q353 M357:M359 Q357:Q359 M360:Q361 M363:Q363 H364 M364:O364 M365:Q365 Q367 M369 O369:Q369 P371:Q371 M371:M373 Q372:Q373 M374:Q374 O375:Q375 G375:H376 M376:P376 G378:H378 O378 Q378 M380:Q380 G383:H383 O383:Q383 M386:Q386 P387:Q388 M387:M389 Q389 M392:Q392 M397:M398 Q397:Q398 M399:Q399 Q400 P401:Q401 Q402 P403:Q403 M400:M404 M405:O405 Q405 M406:Q410 P411 M419:Q419 M422:O422 Q422 M426:Q428 M430:O430 Q430 M431:M433 P431:Q433 M434:Q436 Q439 M439:M440 P440:Q440 M441:Q441 G442:H442 O442:Q442 M446:Q447 M450:Q450 G454 Q454 M459 Q459 M460:Q460 M464:M465 M466:O466 Q464:Q466 M468:Q468 M469:O469 Q469 M471:Q473 M474 Q474 M478:Q479 G481 M481 P481:Q481 M482:Q482 M486:Q486 M490:Q490 M491:M492 Q491:Q492 M493:Q493 Q494 P495:Q495 M494:M496 Q496 P497:Q497 M498:O498 Q498 M503:Q503 M506 P506:Q506 M507:O507 Q507 G513 P513:Q513 M514 O514 M515:Q517 H522 M522:O522 G523 Q523 M524:Q524 M525 P525:Q525 M532:P532 M533:Q534 M537:Q537 P544:Q544 M544:M545 P545 G546 P546:Q546 M552 Q552 M557:Q557 Q559 M560:Q560 M561 Q561 M565:Q565 M568:Q568 M571:M573 M574:O574 Q571:Q574 M575:Q579 G581 P581:Q581 G582:H582 O582:Q582 G584:H584 M584:N584 M585 Q585 M592 Q592 M604 Q604 O605:Q605 G605:H606 O606 Q606 M607:Q607 M612:Q612 M615:Q615 G619:H619 O619:Q619 M620:M621 Q620:Q621 M625:N625 P625:Q626 M632:Q632 M634:Q634 M636:Q636 G639:H639 O639:Q639 M642:P642 M648:Q649 M651:Q651 M657 Q657 G658:H658 O658:Q658 M672:Q672 M673:N673 P673:Q673 M675:Q677 M682:Q682 G687 P687:Q687 M689:M691 Q689:Q691 M705:Q705 M706:O706 Q706 M707:Q707 G708 Q708 G721 Q721 G722:H723 O722:Q723 M725:P725 M726 Q726 M732:Q732 Q743 M743:M744 P744:Q744 M746 Q746 M748:O748 G749 Q748:Q749">
      <formula1>OR(NOT(ISERROR(DATEVALUE(G1))), AND(ISNUMBER(G1), LEFT(CELL("format", G1))="D"))</formula1>
    </dataValidation>
    <dataValidation type="list" allowBlank="1" showInputMessage="1" showErrorMessage="1" prompt="Either M or F" sqref="E109:E110 E112:E113 E120 E123 E125:E130 F133 E135 F137:F141 F145 F147:F148 F151:F162 F165:F166 F169 F172 F177:F180 F183:F186 F188:F199 F204:F206 F208:F210 F212:F219 F221:F226 F229:F233 F236 F238 F240 F242 F244 F246:F251 F253:F254 F256 F259 F261 F263 F265:F271 F273 F275:F285 F290 F294:F295 F302:F305 F307:F313 F315 F318:F319 F321:F322 F325:F326 F329:F332 F334 F336:F340 F342:F345 F347 F349:F353 F355 F357:F361 F363 F365 F367 F369 F371:F374 F380 F386:F389 F392:F393 F397:F411 F419 F422 F426:F428 F430:F436 F439:F441 F446:F447 F450 F455 F459:F460 F464:F466 F468:F469 F471:F474 F478:F479 F482 F486 F490:F498 F503 F506:F507 F515:F517 F524:F525 F532:F534 F537 F544:F545 F550 F552 F557:F561 F565 F568 F571:F579 F585:F586 F592 F603:F604 F607 F612 F615 F620:F621 F625:F626 G627:G628 F629 F632 F634 F636 F642 F645 F648:F649 F651 F660:G660 F672:F677 F682 F683:G683 F688:G688 F689:F691 F695 F698 F705:F707 F709:G709 F713 F725:F726 F731:F732 F736 F743:F748 F750:G750 F756">
      <formula1>"M,F"</formula1>
    </dataValidation>
    <dataValidation type="list" allowBlank="1" showErrorMessage="1" sqref="R355 R367 R393 R455 R496 R550 R558:R559 R585:R586 R603:R604 S627:S628 R629 R636 R645 R660 R674 R683 R688:R689 R695 R698 R709 R713 R731 R736 R745 R747 R750 R756">
      <formula1>"Elect,DSL"</formula1>
    </dataValidation>
    <dataValidation type="list" allowBlank="1" sqref="H436">
      <formula1>"A,B,C"</formula1>
    </dataValidation>
    <dataValidation type="list" allowBlank="1" sqref="E43 E54 E58 E65 E84:F84 F92 F101 G112:G113 G123 G128:G129 G135 G147:G148 G161 G177 G179:G180 G188:G195 G209:G211 G214 G217 G221:G223 G226 G238 G240 G244 G247:G249 G253 G263 J272 G284 G290 G302:G305 G307 G315 G326 G334 G363 J364 G365 G369 J375 G380 J383 G386 G399 G407:G408 G422 G430 J442 G446:G447 G450 G455 G460 G471:G473 G482 G486 G490 G503 G515 G524 G537 G557:G558 G560 G565 G568 G603 G625:G626 G632 G634 G636 G651 G705 G732">
      <formula1>"UR,SC,ST"</formula1>
    </dataValidation>
    <dataValidation type="list" allowBlank="1" sqref="V204 V208 V246 V254 V265 V273 V303 V308 V326 V330 V338 V359 V371 V387 V397:V398 V400 V431:V433 V465 V491 V494:V495 V561 V620 V651 V687 V690 V743:V744 V749">
      <formula1>"YES,NO,DW"</formula1>
    </dataValidation>
    <dataValidation type="custom" allowBlank="1" showDropDown="1" showInputMessage="1" prompt="Enter a valid date" sqref="J169 J172 I177:J177 I179:J180 I183:J186 J188 I189:J195 I196">
      <formula1>OR(NOT(ISERROR(DATEVALUE(I169))), AND(ISNUMBER(I169), LEFT(CELL("format", I169))="D"))</formula1>
    </dataValidation>
    <dataValidation type="list" allowBlank="1" showErrorMessage="1" sqref="G436">
      <formula1>"UR,SC,ST"</formula1>
    </dataValidation>
    <dataValidation type="list" allowBlank="1" showErrorMessage="1" sqref="E46:E52 E55:E57 E60 E63:E64 E66:E68 E73:E74 E76 E81:F81 F83 E88:F89 F91 F95:F97 G104 G107:G110 G115:G116 G118:G120 G125:G127 G130 G137:G141 G151:G160 G162 G169 G172 G183:G186 G196:G199 G204:G206 G208 G212:G213 G215:G216 G224:G225 G229:G233 G242 G246 G250:G251 G254 G256 G261 G265:G271 G273 G275:G283 G285 G294:G296 J309 G308:G313 G321:G322 G325 G329:G332 G337:G340 J341 G342:G345 G347 G349:G353 G357:G361 G371:G374 J378 G387:G389 G392:G393 G397:G398 G400:G406 G409:G411 G419 G426:G428 G431:G435 G439:G441 J454 G459 G464:G466 G468:G469 G474 G478:G479 G491:G498 G506:G507 J513:J514 G516:G517 J522:J523 G525 G532:G534 G544:G545 J546 G552 G559 G561 G571:G579 J581:J582 J584 G585 G592 G604 J605:J606 G607 G615 G620:G621 J639 G642 G648:G649 G657 J658 G672:G673 G675:G677 G682 G689:G691 G695 G698 G706:G707 J708 G713 J721:J723 G725:G726 G743:G744 G746:G748">
      <formula1>"UR,SC,ST"</formula1>
    </dataValidation>
    <dataValidation type="custom" allowBlank="1" showDropDown="1" showErrorMessage="1" sqref="J7:L7 J17:L17 J21:K21 J24:L28 L29 J30:L30 J32:L32 J34:L35 J39:L39 K47:M48 M50 K57:M57 M60 K63:M64 K67:M67 N81 M83:O83 M91:O91 M97:O97 N107:O107 N110:O110 P113 N115:P115 N125:P125 P127:P128 N130:O130 N137:P138 N141:P141 N151:P155 P169:R169 P172:R172 R183 N196:O196 N204:P205 P206 N208:P208 P209 N215:O215 N216:P216 N229:P231 N242:P242 N246:P246 N251:P251 N254:P254 N256:O256 N263 N265:P265 N266:O266 N270:O270 N273:P273 N275:O275 N276:P277 N278:O278 N279:P280 P284 P290 N294:P294 N296:P296 N308:P308 P309 P312:P313 P322 N326:P326 N329:P330 N334 N337:P337 N338:O338 P339:P341 N344 P344 P347 N349:P353 N357:P359 N369 N371:O371 N372:P373 P378 N387:O388 N389:P389 N397:P398 N400:P400 N401:O401 N402:P402 N403:O403 N404 P405 O411 P422 P430 N431:O433 N439:P439 N440:O440 H454 O454:P454 N459:P459 N464:P465 P466 P469 N474:P474 H481 N481:O481 N491:P492 N494:P494 N495:O495 N496:P496 O497 P498 N506:O506 P507 O513 H513:H514 N514 H523 O523:P523 N525:O525 N544:O545 H546 O546 N552:P552 N561:P561 N571:P573 P574 H581 O581 N585:P585 N592:P592 N604:P604 P606 N620:P621 N657 P657 H687 O687 N689:P691 P706 H708 O708:P708 H721 O721:P721 N726:P726 N743:P743 N744:O744 N746:P746 P748 H749 O749:P749">
      <formula1>OR(NOT(ISERROR(DATEVALUE(H7))), AND(ISNUMBER(H7), LEFT(CELL("format", H7))="D"))</formula1>
    </dataValidation>
  </dataValidations>
  <hyperlinks>
    <hyperlink ref="P18" r:id="rId1"/>
    <hyperlink ref="Q18" r:id="rId2"/>
    <hyperlink ref="P20" r:id="rId3"/>
    <hyperlink ref="Q20" r:id="rId4"/>
    <hyperlink ref="P21" r:id="rId5"/>
    <hyperlink ref="P27" r:id="rId6"/>
    <hyperlink ref="Q27" r:id="rId7"/>
    <hyperlink ref="Q28" r:id="rId8"/>
    <hyperlink ref="Q29" r:id="rId9"/>
    <hyperlink ref="P30" r:id="rId10"/>
    <hyperlink ref="Q30" r:id="rId11"/>
    <hyperlink ref="Q31" r:id="rId12"/>
    <hyperlink ref="P32" r:id="rId13"/>
    <hyperlink ref="Q32" r:id="rId14"/>
    <hyperlink ref="P34" r:id="rId15"/>
    <hyperlink ref="Q34" r:id="rId16"/>
    <hyperlink ref="P37" r:id="rId17"/>
    <hyperlink ref="Q37" r:id="rId18"/>
    <hyperlink ref="P39" r:id="rId19"/>
    <hyperlink ref="Q39" r:id="rId20"/>
    <hyperlink ref="O43" r:id="rId21"/>
    <hyperlink ref="O44" r:id="rId22"/>
    <hyperlink ref="P46" r:id="rId23"/>
    <hyperlink ref="Q47" r:id="rId24"/>
    <hyperlink ref="R47" r:id="rId25"/>
    <hyperlink ref="Q48" r:id="rId26"/>
    <hyperlink ref="R48" r:id="rId27"/>
    <hyperlink ref="Q49" r:id="rId28"/>
    <hyperlink ref="R49" r:id="rId29"/>
    <hyperlink ref="Q50" r:id="rId30"/>
    <hyperlink ref="R50" r:id="rId31"/>
    <hyperlink ref="Q51" r:id="rId32"/>
    <hyperlink ref="R51" r:id="rId33"/>
    <hyperlink ref="Q52" r:id="rId34"/>
    <hyperlink ref="R52" r:id="rId35"/>
    <hyperlink ref="Q55" r:id="rId36"/>
    <hyperlink ref="R55" r:id="rId37"/>
    <hyperlink ref="Q56" r:id="rId38"/>
    <hyperlink ref="R56" r:id="rId39"/>
    <hyperlink ref="Q57" r:id="rId40"/>
    <hyperlink ref="R57" r:id="rId41"/>
    <hyperlink ref="O58" r:id="rId42"/>
    <hyperlink ref="Q60" r:id="rId43"/>
    <hyperlink ref="R60" r:id="rId44"/>
    <hyperlink ref="Q63" r:id="rId45"/>
    <hyperlink ref="R63" r:id="rId46"/>
    <hyperlink ref="Q64" r:id="rId47"/>
    <hyperlink ref="R64" r:id="rId48"/>
    <hyperlink ref="Q65" r:id="rId49"/>
    <hyperlink ref="R65" r:id="rId50"/>
    <hyperlink ref="Q66" r:id="rId51"/>
    <hyperlink ref="R66" r:id="rId52"/>
    <hyperlink ref="Q67" r:id="rId53"/>
    <hyperlink ref="R68" r:id="rId54"/>
    <hyperlink ref="Q73" r:id="rId55"/>
    <hyperlink ref="R73" r:id="rId56"/>
    <hyperlink ref="Q74" r:id="rId57"/>
    <hyperlink ref="R74" r:id="rId58"/>
    <hyperlink ref="Q76" r:id="rId59"/>
    <hyperlink ref="R76" r:id="rId60"/>
    <hyperlink ref="R81" r:id="rId61"/>
    <hyperlink ref="S81" r:id="rId62"/>
    <hyperlink ref="S83" r:id="rId63"/>
    <hyperlink ref="T83" r:id="rId64"/>
    <hyperlink ref="Q84" r:id="rId65"/>
    <hyperlink ref="S88" r:id="rId66"/>
    <hyperlink ref="T88" r:id="rId67"/>
    <hyperlink ref="S89" r:id="rId68"/>
    <hyperlink ref="T89" r:id="rId69"/>
    <hyperlink ref="S91" r:id="rId70"/>
    <hyperlink ref="Q92" r:id="rId71"/>
    <hyperlink ref="T94" r:id="rId72"/>
    <hyperlink ref="S95" r:id="rId73"/>
    <hyperlink ref="T95" r:id="rId74"/>
    <hyperlink ref="S96" r:id="rId75"/>
    <hyperlink ref="T96" r:id="rId76"/>
    <hyperlink ref="T97" r:id="rId77"/>
    <hyperlink ref="Q101" r:id="rId78"/>
    <hyperlink ref="T104" r:id="rId79"/>
    <hyperlink ref="U104" r:id="rId80"/>
    <hyperlink ref="T105" r:id="rId81"/>
    <hyperlink ref="S107" r:id="rId82"/>
    <hyperlink ref="T107" r:id="rId83"/>
    <hyperlink ref="T108" r:id="rId84"/>
    <hyperlink ref="U108" r:id="rId85"/>
    <hyperlink ref="T109" r:id="rId86"/>
    <hyperlink ref="U109" r:id="rId87"/>
    <hyperlink ref="S110" r:id="rId88"/>
    <hyperlink ref="R112" r:id="rId89"/>
    <hyperlink ref="R113" r:id="rId90"/>
    <hyperlink ref="T115" r:id="rId91"/>
    <hyperlink ref="U115" r:id="rId92"/>
    <hyperlink ref="T116" r:id="rId93"/>
    <hyperlink ref="U116" r:id="rId94"/>
    <hyperlink ref="S117" r:id="rId95"/>
    <hyperlink ref="T117" r:id="rId96"/>
    <hyperlink ref="T118" r:id="rId97"/>
    <hyperlink ref="U118" r:id="rId98"/>
    <hyperlink ref="S119" r:id="rId99"/>
    <hyperlink ref="T119" r:id="rId100"/>
    <hyperlink ref="T120" r:id="rId101"/>
    <hyperlink ref="U120" r:id="rId102"/>
    <hyperlink ref="R123" r:id="rId103"/>
    <hyperlink ref="T125" r:id="rId104"/>
    <hyperlink ref="U125" r:id="rId105"/>
    <hyperlink ref="U126" r:id="rId106"/>
    <hyperlink ref="T127" r:id="rId107"/>
    <hyperlink ref="U127" r:id="rId108"/>
    <hyperlink ref="T128" r:id="rId109"/>
    <hyperlink ref="U128" r:id="rId110"/>
    <hyperlink ref="T129" r:id="rId111"/>
    <hyperlink ref="S130" r:id="rId112"/>
    <hyperlink ref="T131" r:id="rId113"/>
    <hyperlink ref="T132" r:id="rId114"/>
    <hyperlink ref="T133" r:id="rId115"/>
    <hyperlink ref="R135" r:id="rId116"/>
    <hyperlink ref="T137" r:id="rId117"/>
    <hyperlink ref="U137" r:id="rId118"/>
    <hyperlink ref="T138" r:id="rId119"/>
    <hyperlink ref="U138" r:id="rId120"/>
    <hyperlink ref="T139" r:id="rId121"/>
    <hyperlink ref="U139" r:id="rId122"/>
    <hyperlink ref="T140" r:id="rId123"/>
    <hyperlink ref="U140" r:id="rId124"/>
    <hyperlink ref="T141" r:id="rId125"/>
    <hyperlink ref="U141" r:id="rId126"/>
    <hyperlink ref="T145" r:id="rId127"/>
    <hyperlink ref="R147" r:id="rId128"/>
    <hyperlink ref="R148" r:id="rId129"/>
    <hyperlink ref="U151" r:id="rId130"/>
    <hyperlink ref="T152" r:id="rId131"/>
    <hyperlink ref="U152" r:id="rId132"/>
    <hyperlink ref="T153" r:id="rId133"/>
    <hyperlink ref="U153" r:id="rId134"/>
    <hyperlink ref="T154" r:id="rId135"/>
    <hyperlink ref="U154" r:id="rId136"/>
    <hyperlink ref="T155" r:id="rId137"/>
    <hyperlink ref="U155" r:id="rId138"/>
    <hyperlink ref="S156" r:id="rId139"/>
    <hyperlink ref="T157" r:id="rId140"/>
    <hyperlink ref="U157" r:id="rId141"/>
    <hyperlink ref="T158" r:id="rId142"/>
    <hyperlink ref="U158" r:id="rId143"/>
    <hyperlink ref="T159" r:id="rId144"/>
    <hyperlink ref="U159" r:id="rId145"/>
    <hyperlink ref="S160" r:id="rId146"/>
    <hyperlink ref="T161" r:id="rId147"/>
    <hyperlink ref="U161" r:id="rId148"/>
    <hyperlink ref="U162" r:id="rId149"/>
    <hyperlink ref="T165" r:id="rId150"/>
    <hyperlink ref="T166" r:id="rId151"/>
    <hyperlink ref="U169" r:id="rId152"/>
    <hyperlink ref="V172" r:id="rId153"/>
    <hyperlink ref="W172" r:id="rId154"/>
    <hyperlink ref="T177" r:id="rId155"/>
    <hyperlink ref="T179" r:id="rId156"/>
    <hyperlink ref="T180" r:id="rId157"/>
    <hyperlink ref="V183" r:id="rId158"/>
    <hyperlink ref="W183" r:id="rId159"/>
    <hyperlink ref="V184" r:id="rId160"/>
    <hyperlink ref="W184" r:id="rId161"/>
    <hyperlink ref="W185" r:id="rId162"/>
    <hyperlink ref="V186" r:id="rId163"/>
    <hyperlink ref="W186" r:id="rId164"/>
    <hyperlink ref="T188" r:id="rId165"/>
    <hyperlink ref="T189" r:id="rId166"/>
    <hyperlink ref="T190" r:id="rId167"/>
    <hyperlink ref="T191" r:id="rId168"/>
    <hyperlink ref="T192" r:id="rId169"/>
    <hyperlink ref="T193" r:id="rId170"/>
    <hyperlink ref="T194" r:id="rId171"/>
    <hyperlink ref="T195" r:id="rId172"/>
    <hyperlink ref="R196" r:id="rId173"/>
    <hyperlink ref="T197" r:id="rId174"/>
    <hyperlink ref="U197" r:id="rId175"/>
    <hyperlink ref="T198" r:id="rId176"/>
    <hyperlink ref="U198" r:id="rId177"/>
    <hyperlink ref="S199" r:id="rId178"/>
    <hyperlink ref="S203" r:id="rId179"/>
    <hyperlink ref="T203" r:id="rId180"/>
    <hyperlink ref="S204" r:id="rId181"/>
    <hyperlink ref="T205" r:id="rId182"/>
    <hyperlink ref="U205" r:id="rId183"/>
    <hyperlink ref="T206" r:id="rId184"/>
    <hyperlink ref="U206" r:id="rId185"/>
    <hyperlink ref="T208" r:id="rId186"/>
    <hyperlink ref="U208" r:id="rId187"/>
    <hyperlink ref="T209" r:id="rId188"/>
    <hyperlink ref="U209" r:id="rId189"/>
    <hyperlink ref="S210" r:id="rId190"/>
    <hyperlink ref="T212" r:id="rId191"/>
    <hyperlink ref="U212" r:id="rId192"/>
    <hyperlink ref="R213" r:id="rId193"/>
    <hyperlink ref="T213" r:id="rId194"/>
    <hyperlink ref="R214" r:id="rId195"/>
    <hyperlink ref="U216" r:id="rId196"/>
    <hyperlink ref="R217" r:id="rId197"/>
    <hyperlink ref="T218" r:id="rId198"/>
    <hyperlink ref="T219" r:id="rId199"/>
    <hyperlink ref="R221" r:id="rId200"/>
    <hyperlink ref="R222" r:id="rId201"/>
    <hyperlink ref="R223" r:id="rId202"/>
    <hyperlink ref="T224" r:id="rId203"/>
    <hyperlink ref="U224" r:id="rId204"/>
    <hyperlink ref="T225" r:id="rId205"/>
    <hyperlink ref="U225" r:id="rId206"/>
    <hyperlink ref="R226" r:id="rId207"/>
    <hyperlink ref="T229" r:id="rId208"/>
    <hyperlink ref="U229" r:id="rId209"/>
    <hyperlink ref="T230" r:id="rId210"/>
    <hyperlink ref="U230" r:id="rId211"/>
    <hyperlink ref="T231" r:id="rId212"/>
    <hyperlink ref="U231" r:id="rId213"/>
    <hyperlink ref="T232" r:id="rId214"/>
    <hyperlink ref="U232" r:id="rId215"/>
    <hyperlink ref="T233" r:id="rId216"/>
    <hyperlink ref="U233" r:id="rId217"/>
    <hyperlink ref="T236" r:id="rId218"/>
    <hyperlink ref="R238" r:id="rId219"/>
    <hyperlink ref="R240" r:id="rId220"/>
    <hyperlink ref="U242" r:id="rId221"/>
    <hyperlink ref="R244" r:id="rId222"/>
    <hyperlink ref="T246" r:id="rId223"/>
    <hyperlink ref="T247" r:id="rId224"/>
    <hyperlink ref="T248" r:id="rId225"/>
    <hyperlink ref="T249" r:id="rId226"/>
    <hyperlink ref="U249" r:id="rId227"/>
    <hyperlink ref="T251" r:id="rId228"/>
    <hyperlink ref="U251" r:id="rId229"/>
    <hyperlink ref="R254" r:id="rId230"/>
    <hyperlink ref="T261" r:id="rId231"/>
    <hyperlink ref="U261" r:id="rId232"/>
    <hyperlink ref="T265" r:id="rId233"/>
    <hyperlink ref="U265" r:id="rId234"/>
    <hyperlink ref="T266" r:id="rId235"/>
    <hyperlink ref="U266" r:id="rId236"/>
    <hyperlink ref="T267" r:id="rId237"/>
    <hyperlink ref="U267" r:id="rId238"/>
    <hyperlink ref="T268" r:id="rId239"/>
    <hyperlink ref="U268" r:id="rId240"/>
    <hyperlink ref="T269" r:id="rId241"/>
    <hyperlink ref="U269" r:id="rId242"/>
    <hyperlink ref="T270" r:id="rId243"/>
    <hyperlink ref="U270" r:id="rId244"/>
    <hyperlink ref="T271" r:id="rId245"/>
    <hyperlink ref="U271" r:id="rId246"/>
    <hyperlink ref="T272" r:id="rId247"/>
    <hyperlink ref="U272" r:id="rId248"/>
    <hyperlink ref="T273" r:id="rId249"/>
    <hyperlink ref="U273" r:id="rId250"/>
    <hyperlink ref="T275" r:id="rId251"/>
    <hyperlink ref="U275" r:id="rId252"/>
    <hyperlink ref="T276" r:id="rId253"/>
    <hyperlink ref="U276" r:id="rId254"/>
    <hyperlink ref="T277" r:id="rId255"/>
    <hyperlink ref="U277" r:id="rId256"/>
    <hyperlink ref="T278" r:id="rId257"/>
    <hyperlink ref="U278" r:id="rId258"/>
    <hyperlink ref="T279" r:id="rId259"/>
    <hyperlink ref="U279" r:id="rId260"/>
    <hyperlink ref="T280" r:id="rId261"/>
    <hyperlink ref="U280" r:id="rId262"/>
    <hyperlink ref="T281" r:id="rId263"/>
    <hyperlink ref="U281" r:id="rId264"/>
    <hyperlink ref="T282" r:id="rId265"/>
    <hyperlink ref="U282" r:id="rId266"/>
    <hyperlink ref="T283" r:id="rId267"/>
    <hyperlink ref="U283" r:id="rId268"/>
    <hyperlink ref="T284" r:id="rId269"/>
    <hyperlink ref="U284" r:id="rId270"/>
    <hyperlink ref="T285" r:id="rId271"/>
    <hyperlink ref="U285" r:id="rId272"/>
    <hyperlink ref="S290" r:id="rId273"/>
    <hyperlink ref="T294" r:id="rId274"/>
    <hyperlink ref="U294" r:id="rId275"/>
    <hyperlink ref="T295" r:id="rId276"/>
    <hyperlink ref="U295" r:id="rId277"/>
    <hyperlink ref="T296" r:id="rId278"/>
    <hyperlink ref="U296" r:id="rId279"/>
    <hyperlink ref="R302" r:id="rId280"/>
    <hyperlink ref="R303" r:id="rId281"/>
    <hyperlink ref="R304" r:id="rId282"/>
    <hyperlink ref="R305" r:id="rId283"/>
    <hyperlink ref="T307" r:id="rId284"/>
    <hyperlink ref="U307" r:id="rId285"/>
    <hyperlink ref="T308" r:id="rId286"/>
    <hyperlink ref="U308" r:id="rId287"/>
    <hyperlink ref="T309" r:id="rId288"/>
    <hyperlink ref="U309" r:id="rId289"/>
    <hyperlink ref="T310" r:id="rId290"/>
    <hyperlink ref="U310" r:id="rId291"/>
    <hyperlink ref="S311" r:id="rId292"/>
    <hyperlink ref="S312" r:id="rId293"/>
    <hyperlink ref="T313" r:id="rId294"/>
    <hyperlink ref="U313" r:id="rId295"/>
    <hyperlink ref="R315" r:id="rId296"/>
    <hyperlink ref="T318" r:id="rId297"/>
    <hyperlink ref="T319" r:id="rId298"/>
    <hyperlink ref="S321" r:id="rId299"/>
    <hyperlink ref="T322" r:id="rId300"/>
    <hyperlink ref="U322" r:id="rId301"/>
    <hyperlink ref="T325" r:id="rId302"/>
    <hyperlink ref="U325" r:id="rId303"/>
    <hyperlink ref="S326" r:id="rId304"/>
    <hyperlink ref="T329" r:id="rId305"/>
    <hyperlink ref="U329" r:id="rId306"/>
    <hyperlink ref="T330" r:id="rId307"/>
    <hyperlink ref="U330" r:id="rId308"/>
    <hyperlink ref="S332" r:id="rId309"/>
    <hyperlink ref="T336" r:id="rId310"/>
    <hyperlink ref="U336" r:id="rId311"/>
    <hyperlink ref="T337" r:id="rId312"/>
    <hyperlink ref="U337" r:id="rId313"/>
    <hyperlink ref="T338" r:id="rId314"/>
    <hyperlink ref="U338" r:id="rId315"/>
    <hyperlink ref="S339" r:id="rId316"/>
    <hyperlink ref="S340" r:id="rId317"/>
    <hyperlink ref="T341" r:id="rId318"/>
    <hyperlink ref="U341" r:id="rId319"/>
    <hyperlink ref="T344" r:id="rId320"/>
    <hyperlink ref="U344" r:id="rId321"/>
    <hyperlink ref="T347" r:id="rId322"/>
    <hyperlink ref="U347" r:id="rId323"/>
    <hyperlink ref="T349" r:id="rId324"/>
    <hyperlink ref="U349" r:id="rId325"/>
    <hyperlink ref="T350" r:id="rId326"/>
    <hyperlink ref="U350" r:id="rId327"/>
    <hyperlink ref="T351" r:id="rId328"/>
    <hyperlink ref="U351" r:id="rId329"/>
    <hyperlink ref="T352" r:id="rId330"/>
    <hyperlink ref="U352" r:id="rId331"/>
    <hyperlink ref="T353" r:id="rId332"/>
    <hyperlink ref="U353" r:id="rId333"/>
    <hyperlink ref="U355" r:id="rId334"/>
    <hyperlink ref="T357" r:id="rId335"/>
    <hyperlink ref="U357" r:id="rId336"/>
    <hyperlink ref="T358" r:id="rId337"/>
    <hyperlink ref="U358" r:id="rId338"/>
    <hyperlink ref="T359" r:id="rId339"/>
    <hyperlink ref="U359" r:id="rId340"/>
    <hyperlink ref="T360" r:id="rId341"/>
    <hyperlink ref="U360" r:id="rId342"/>
    <hyperlink ref="T361" r:id="rId343"/>
    <hyperlink ref="U361" r:id="rId344"/>
    <hyperlink ref="T363" r:id="rId345"/>
    <hyperlink ref="U363" r:id="rId346"/>
    <hyperlink ref="T364" r:id="rId347"/>
    <hyperlink ref="U364" r:id="rId348"/>
    <hyperlink ref="R365" r:id="rId349"/>
    <hyperlink ref="U367" r:id="rId350"/>
    <hyperlink ref="T371" r:id="rId351"/>
    <hyperlink ref="T372" r:id="rId352"/>
    <hyperlink ref="U372" r:id="rId353"/>
    <hyperlink ref="T373" r:id="rId354"/>
    <hyperlink ref="U373" r:id="rId355"/>
    <hyperlink ref="T374" r:id="rId356"/>
    <hyperlink ref="U374" r:id="rId357"/>
    <hyperlink ref="T375" r:id="rId358"/>
    <hyperlink ref="U375" r:id="rId359"/>
    <hyperlink ref="S376" r:id="rId360"/>
    <hyperlink ref="T376" r:id="rId361"/>
    <hyperlink ref="T378" r:id="rId362"/>
    <hyperlink ref="U378" r:id="rId363"/>
    <hyperlink ref="T383" r:id="rId364"/>
    <hyperlink ref="U383" r:id="rId365"/>
    <hyperlink ref="T386" r:id="rId366"/>
    <hyperlink ref="U386" r:id="rId367"/>
    <hyperlink ref="S387" r:id="rId368"/>
    <hyperlink ref="T388" r:id="rId369"/>
    <hyperlink ref="U388" r:id="rId370"/>
    <hyperlink ref="T389" r:id="rId371"/>
    <hyperlink ref="U389" r:id="rId372"/>
    <hyperlink ref="U392" r:id="rId373"/>
    <hyperlink ref="U393" r:id="rId374"/>
    <hyperlink ref="T397" r:id="rId375"/>
    <hyperlink ref="T398" r:id="rId376"/>
    <hyperlink ref="U398" r:id="rId377"/>
    <hyperlink ref="T399" r:id="rId378"/>
    <hyperlink ref="T400" r:id="rId379"/>
    <hyperlink ref="T401" r:id="rId380"/>
    <hyperlink ref="U401" r:id="rId381"/>
    <hyperlink ref="T402" r:id="rId382"/>
    <hyperlink ref="U402" r:id="rId383"/>
    <hyperlink ref="T403" r:id="rId384"/>
    <hyperlink ref="U403" r:id="rId385"/>
    <hyperlink ref="S404" r:id="rId386"/>
    <hyperlink ref="T404" r:id="rId387"/>
    <hyperlink ref="T405" r:id="rId388"/>
    <hyperlink ref="U405" r:id="rId389"/>
    <hyperlink ref="T406" r:id="rId390"/>
    <hyperlink ref="U406" r:id="rId391"/>
    <hyperlink ref="T407" r:id="rId392"/>
    <hyperlink ref="U407" r:id="rId393"/>
    <hyperlink ref="T408" r:id="rId394"/>
    <hyperlink ref="U408" r:id="rId395"/>
    <hyperlink ref="S409" r:id="rId396"/>
    <hyperlink ref="T410" r:id="rId397"/>
    <hyperlink ref="U410" r:id="rId398"/>
    <hyperlink ref="T419" r:id="rId399"/>
    <hyperlink ref="U419" r:id="rId400"/>
    <hyperlink ref="T422" r:id="rId401"/>
    <hyperlink ref="U422" r:id="rId402"/>
    <hyperlink ref="T426" r:id="rId403"/>
    <hyperlink ref="U426" r:id="rId404"/>
    <hyperlink ref="T427" r:id="rId405"/>
    <hyperlink ref="U427" r:id="rId406"/>
    <hyperlink ref="T428" r:id="rId407"/>
    <hyperlink ref="U428" r:id="rId408"/>
    <hyperlink ref="T430" r:id="rId409"/>
    <hyperlink ref="U430" r:id="rId410"/>
    <hyperlink ref="T431" r:id="rId411"/>
    <hyperlink ref="U431" r:id="rId412"/>
    <hyperlink ref="S432" r:id="rId413"/>
    <hyperlink ref="S433" r:id="rId414"/>
    <hyperlink ref="T433" r:id="rId415"/>
    <hyperlink ref="S434" r:id="rId416"/>
    <hyperlink ref="T434" r:id="rId417"/>
    <hyperlink ref="T435" r:id="rId418"/>
    <hyperlink ref="U435" r:id="rId419"/>
    <hyperlink ref="T439" r:id="rId420"/>
    <hyperlink ref="U439" r:id="rId421"/>
    <hyperlink ref="T440" r:id="rId422"/>
    <hyperlink ref="U440" r:id="rId423"/>
    <hyperlink ref="T441" r:id="rId424"/>
    <hyperlink ref="U441" r:id="rId425"/>
    <hyperlink ref="T442" r:id="rId426"/>
    <hyperlink ref="U442" r:id="rId427"/>
    <hyperlink ref="T450" r:id="rId428"/>
    <hyperlink ref="U450" r:id="rId429"/>
    <hyperlink ref="T454" r:id="rId430"/>
    <hyperlink ref="U454" r:id="rId431"/>
    <hyperlink ref="S459" r:id="rId432"/>
    <hyperlink ref="T459" r:id="rId433"/>
    <hyperlink ref="T464" r:id="rId434"/>
    <hyperlink ref="U464" r:id="rId435"/>
    <hyperlink ref="T465" r:id="rId436"/>
    <hyperlink ref="U465" r:id="rId437"/>
    <hyperlink ref="T466" r:id="rId438"/>
    <hyperlink ref="U466" r:id="rId439"/>
    <hyperlink ref="T468" r:id="rId440"/>
    <hyperlink ref="U468" r:id="rId441"/>
    <hyperlink ref="S469" r:id="rId442"/>
    <hyperlink ref="T471" r:id="rId443"/>
    <hyperlink ref="U471" r:id="rId444"/>
    <hyperlink ref="R473" r:id="rId445"/>
    <hyperlink ref="T474" r:id="rId446"/>
    <hyperlink ref="U474" r:id="rId447"/>
    <hyperlink ref="T478" r:id="rId448"/>
    <hyperlink ref="U478" r:id="rId449"/>
    <hyperlink ref="T479" r:id="rId450"/>
    <hyperlink ref="U479" r:id="rId451"/>
    <hyperlink ref="T481" r:id="rId452"/>
    <hyperlink ref="U481" r:id="rId453"/>
    <hyperlink ref="T482" r:id="rId454"/>
    <hyperlink ref="R486" r:id="rId455"/>
    <hyperlink ref="T490" r:id="rId456"/>
    <hyperlink ref="U490" r:id="rId457"/>
    <hyperlink ref="AA490" r:id="rId458"/>
    <hyperlink ref="S491" r:id="rId459"/>
    <hyperlink ref="T492" r:id="rId460"/>
    <hyperlink ref="U492" r:id="rId461"/>
    <hyperlink ref="T493" r:id="rId462"/>
    <hyperlink ref="U493" r:id="rId463"/>
    <hyperlink ref="T494" r:id="rId464"/>
    <hyperlink ref="U494" r:id="rId465"/>
    <hyperlink ref="S495" r:id="rId466"/>
    <hyperlink ref="U496" r:id="rId467"/>
    <hyperlink ref="U497" r:id="rId468"/>
    <hyperlink ref="S498" r:id="rId469"/>
    <hyperlink ref="R503" r:id="rId470"/>
    <hyperlink ref="U506" r:id="rId471"/>
    <hyperlink ref="S507" r:id="rId472"/>
    <hyperlink ref="T507" r:id="rId473"/>
    <hyperlink ref="T513" r:id="rId474"/>
    <hyperlink ref="U513" r:id="rId475"/>
    <hyperlink ref="R514" r:id="rId476"/>
    <hyperlink ref="S514" r:id="rId477"/>
    <hyperlink ref="T515" r:id="rId478"/>
    <hyperlink ref="U515" r:id="rId479"/>
    <hyperlink ref="T516" r:id="rId480"/>
    <hyperlink ref="U516" r:id="rId481"/>
    <hyperlink ref="T517" r:id="rId482"/>
    <hyperlink ref="U517" r:id="rId483"/>
    <hyperlink ref="T522" r:id="rId484"/>
    <hyperlink ref="U522" r:id="rId485"/>
    <hyperlink ref="T523" r:id="rId486"/>
    <hyperlink ref="U523" r:id="rId487"/>
    <hyperlink ref="T524" r:id="rId488"/>
    <hyperlink ref="U524" r:id="rId489"/>
    <hyperlink ref="U525" r:id="rId490"/>
    <hyperlink ref="T532" r:id="rId491"/>
    <hyperlink ref="U532" r:id="rId492"/>
    <hyperlink ref="T533" r:id="rId493"/>
    <hyperlink ref="U533" r:id="rId494"/>
    <hyperlink ref="S534" r:id="rId495"/>
    <hyperlink ref="T544" r:id="rId496"/>
    <hyperlink ref="U544" r:id="rId497"/>
    <hyperlink ref="T545" r:id="rId498"/>
    <hyperlink ref="U545" r:id="rId499"/>
    <hyperlink ref="T546" r:id="rId500"/>
    <hyperlink ref="U546" r:id="rId501"/>
    <hyperlink ref="T552" r:id="rId502"/>
    <hyperlink ref="T557" r:id="rId503"/>
    <hyperlink ref="U557" r:id="rId504"/>
    <hyperlink ref="U559" r:id="rId505"/>
    <hyperlink ref="T560" r:id="rId506"/>
    <hyperlink ref="U560" r:id="rId507"/>
    <hyperlink ref="T561" r:id="rId508"/>
    <hyperlink ref="U561" r:id="rId509"/>
    <hyperlink ref="R565" r:id="rId510"/>
    <hyperlink ref="T571" r:id="rId511"/>
    <hyperlink ref="U571" r:id="rId512"/>
    <hyperlink ref="T572" r:id="rId513"/>
    <hyperlink ref="U572" r:id="rId514"/>
    <hyperlink ref="T573" r:id="rId515"/>
    <hyperlink ref="U573" r:id="rId516"/>
    <hyperlink ref="T574" r:id="rId517"/>
    <hyperlink ref="U574" r:id="rId518"/>
    <hyperlink ref="T575" r:id="rId519"/>
    <hyperlink ref="U575" r:id="rId520"/>
    <hyperlink ref="T576" r:id="rId521"/>
    <hyperlink ref="U576" r:id="rId522"/>
    <hyperlink ref="T577" r:id="rId523"/>
    <hyperlink ref="U577" r:id="rId524"/>
    <hyperlink ref="S578" r:id="rId525"/>
    <hyperlink ref="S579" r:id="rId526"/>
    <hyperlink ref="T581" r:id="rId527"/>
    <hyperlink ref="U581" r:id="rId528"/>
    <hyperlink ref="T582" r:id="rId529"/>
    <hyperlink ref="U582" r:id="rId530"/>
    <hyperlink ref="T584" r:id="rId531"/>
    <hyperlink ref="U584" r:id="rId532"/>
    <hyperlink ref="U585" r:id="rId533"/>
    <hyperlink ref="U586" r:id="rId534"/>
    <hyperlink ref="V586" r:id="rId535"/>
    <hyperlink ref="T592" r:id="rId536"/>
    <hyperlink ref="U592" r:id="rId537"/>
    <hyperlink ref="U604" r:id="rId538"/>
    <hyperlink ref="T605" r:id="rId539"/>
    <hyperlink ref="U605" r:id="rId540"/>
    <hyperlink ref="T606" r:id="rId541"/>
    <hyperlink ref="U606" r:id="rId542"/>
    <hyperlink ref="T607" r:id="rId543"/>
    <hyperlink ref="U607" r:id="rId544"/>
    <hyperlink ref="T612" r:id="rId545"/>
    <hyperlink ref="U612" r:id="rId546"/>
    <hyperlink ref="T615" r:id="rId547"/>
    <hyperlink ref="U615" r:id="rId548"/>
    <hyperlink ref="T619" r:id="rId549"/>
    <hyperlink ref="U619" r:id="rId550"/>
    <hyperlink ref="T620" r:id="rId551"/>
    <hyperlink ref="U620" r:id="rId552"/>
    <hyperlink ref="T621" r:id="rId553"/>
    <hyperlink ref="U621" r:id="rId554"/>
    <hyperlink ref="R625" r:id="rId555"/>
    <hyperlink ref="T629" r:id="rId556"/>
    <hyperlink ref="U629" r:id="rId557"/>
    <hyperlink ref="R634" r:id="rId558"/>
    <hyperlink ref="T639" r:id="rId559"/>
    <hyperlink ref="U639" r:id="rId560"/>
    <hyperlink ref="T642" r:id="rId561"/>
    <hyperlink ref="U642" r:id="rId562"/>
    <hyperlink ref="T648" r:id="rId563"/>
    <hyperlink ref="U648" r:id="rId564"/>
    <hyperlink ref="T649" r:id="rId565"/>
    <hyperlink ref="U649" r:id="rId566"/>
    <hyperlink ref="T651" r:id="rId567"/>
    <hyperlink ref="T657" r:id="rId568"/>
    <hyperlink ref="U657" r:id="rId569"/>
    <hyperlink ref="T658" r:id="rId570"/>
    <hyperlink ref="U658" r:id="rId571"/>
    <hyperlink ref="T672" r:id="rId572"/>
    <hyperlink ref="U672" r:id="rId573"/>
    <hyperlink ref="T673" r:id="rId574"/>
    <hyperlink ref="U673" r:id="rId575"/>
    <hyperlink ref="U674" r:id="rId576"/>
    <hyperlink ref="V674" r:id="rId577"/>
    <hyperlink ref="T675" r:id="rId578"/>
    <hyperlink ref="U675" r:id="rId579"/>
    <hyperlink ref="T676" r:id="rId580"/>
    <hyperlink ref="U676" r:id="rId581"/>
    <hyperlink ref="T677" r:id="rId582"/>
    <hyperlink ref="U677" r:id="rId583"/>
    <hyperlink ref="T682" r:id="rId584"/>
    <hyperlink ref="U682" r:id="rId585"/>
    <hyperlink ref="T687" r:id="rId586"/>
    <hyperlink ref="U689" r:id="rId587"/>
    <hyperlink ref="S690" r:id="rId588"/>
    <hyperlink ref="T690" r:id="rId589"/>
    <hyperlink ref="U690" r:id="rId590"/>
    <hyperlink ref="T691" r:id="rId591"/>
    <hyperlink ref="U691" r:id="rId592"/>
    <hyperlink ref="U695" r:id="rId593"/>
    <hyperlink ref="T705" r:id="rId594"/>
    <hyperlink ref="U705" r:id="rId595"/>
    <hyperlink ref="AA705" r:id="rId596"/>
    <hyperlink ref="T706" r:id="rId597"/>
    <hyperlink ref="U706" r:id="rId598"/>
    <hyperlink ref="T707" r:id="rId599"/>
    <hyperlink ref="U707" r:id="rId600"/>
    <hyperlink ref="T708" r:id="rId601"/>
    <hyperlink ref="U708" r:id="rId602"/>
    <hyperlink ref="U713" r:id="rId603"/>
    <hyperlink ref="T721" r:id="rId604"/>
    <hyperlink ref="U721" r:id="rId605"/>
    <hyperlink ref="T722" r:id="rId606"/>
    <hyperlink ref="U722" r:id="rId607"/>
    <hyperlink ref="T723" r:id="rId608"/>
    <hyperlink ref="U723" r:id="rId609"/>
    <hyperlink ref="T725" r:id="rId610"/>
    <hyperlink ref="U725" r:id="rId611"/>
    <hyperlink ref="T726" r:id="rId612"/>
    <hyperlink ref="U726" r:id="rId613"/>
    <hyperlink ref="R732" r:id="rId614"/>
    <hyperlink ref="S743" r:id="rId615"/>
    <hyperlink ref="S744" r:id="rId616"/>
    <hyperlink ref="U745" r:id="rId617"/>
    <hyperlink ref="T746" r:id="rId618"/>
    <hyperlink ref="U746" r:id="rId619"/>
    <hyperlink ref="U747" r:id="rId620"/>
    <hyperlink ref="T748" r:id="rId621"/>
    <hyperlink ref="U748" r:id="rId622"/>
    <hyperlink ref="T749" r:id="rId623"/>
    <hyperlink ref="U749" r:id="rId62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1">
    <outlinePr summaryBelow="0" summaryRight="0"/>
  </sheetPr>
  <dimension ref="A1:AM1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6.140625" customWidth="1"/>
    <col min="2" max="2" width="25.85546875" customWidth="1"/>
    <col min="3" max="3" width="11.140625" customWidth="1"/>
    <col min="4" max="4" width="17.85546875" customWidth="1"/>
    <col min="5" max="5" width="13.7109375" customWidth="1"/>
    <col min="6" max="6" width="7.5703125" customWidth="1"/>
    <col min="7" max="7" width="8.28515625" customWidth="1"/>
    <col min="8" max="8" width="9.28515625" customWidth="1"/>
    <col min="9" max="9" width="15.5703125" customWidth="1"/>
    <col min="11" max="11" width="14.28515625" customWidth="1"/>
    <col min="12" max="12" width="26.140625" customWidth="1"/>
    <col min="16" max="16" width="15.42578125" customWidth="1"/>
    <col min="17" max="17" width="19.42578125" customWidth="1"/>
  </cols>
  <sheetData>
    <row r="1" spans="1:39" ht="15.75">
      <c r="A1" s="1507" t="s">
        <v>2758</v>
      </c>
      <c r="B1" s="1508" t="s">
        <v>430</v>
      </c>
      <c r="C1" s="1509" t="s">
        <v>431</v>
      </c>
      <c r="D1" s="1510" t="s">
        <v>432</v>
      </c>
      <c r="E1" s="1511" t="s">
        <v>433</v>
      </c>
      <c r="F1" s="1512" t="s">
        <v>2759</v>
      </c>
      <c r="G1" s="1513" t="s">
        <v>15</v>
      </c>
      <c r="H1" s="652" t="s">
        <v>2760</v>
      </c>
      <c r="I1" s="1512" t="s">
        <v>2761</v>
      </c>
      <c r="J1" s="1005" t="s">
        <v>1006</v>
      </c>
      <c r="K1" s="652" t="s">
        <v>678</v>
      </c>
      <c r="L1" s="1005" t="s">
        <v>23</v>
      </c>
      <c r="M1" s="655" t="s">
        <v>435</v>
      </c>
      <c r="N1" s="1514" t="s">
        <v>130</v>
      </c>
      <c r="O1" s="655" t="s">
        <v>1007</v>
      </c>
      <c r="P1" s="655" t="s">
        <v>1008</v>
      </c>
      <c r="Q1" s="1515" t="s">
        <v>1009</v>
      </c>
      <c r="R1" s="1516"/>
      <c r="S1" s="1517" t="s">
        <v>2762</v>
      </c>
      <c r="T1" s="1518" t="s">
        <v>2763</v>
      </c>
      <c r="U1" s="1517" t="s">
        <v>2764</v>
      </c>
      <c r="V1" s="1519" t="s">
        <v>2765</v>
      </c>
      <c r="W1" s="1519" t="s">
        <v>2766</v>
      </c>
      <c r="X1" s="652" t="s">
        <v>2767</v>
      </c>
      <c r="Y1" s="652" t="s">
        <v>2768</v>
      </c>
      <c r="Z1" s="1520" t="s">
        <v>2769</v>
      </c>
      <c r="AA1" s="1519" t="s">
        <v>2770</v>
      </c>
      <c r="AB1" s="1519" t="s">
        <v>2771</v>
      </c>
      <c r="AC1" s="335" t="s">
        <v>2772</v>
      </c>
      <c r="AD1" s="199"/>
      <c r="AE1" s="199"/>
      <c r="AF1" s="199"/>
      <c r="AG1" s="199"/>
      <c r="AH1" s="199"/>
      <c r="AI1" s="199"/>
      <c r="AJ1" s="199"/>
      <c r="AK1" s="199"/>
      <c r="AL1" s="199"/>
      <c r="AM1" s="199"/>
    </row>
    <row r="2" spans="1:39" ht="15.75" hidden="1">
      <c r="A2" s="656">
        <v>1</v>
      </c>
      <c r="B2" s="1521" t="s">
        <v>2773</v>
      </c>
      <c r="C2" s="1522" t="s">
        <v>14</v>
      </c>
      <c r="D2" s="1463" t="s">
        <v>2774</v>
      </c>
      <c r="E2" s="527" t="s">
        <v>2775</v>
      </c>
      <c r="F2" s="1269" t="s">
        <v>759</v>
      </c>
      <c r="G2" s="1374" t="s">
        <v>78</v>
      </c>
      <c r="H2" s="499" t="s">
        <v>279</v>
      </c>
      <c r="I2" s="1219">
        <v>9163382040</v>
      </c>
      <c r="J2" s="522"/>
      <c r="K2" s="1417" t="s">
        <v>253</v>
      </c>
      <c r="L2" s="445" t="s">
        <v>61</v>
      </c>
      <c r="M2" s="1154">
        <v>24593</v>
      </c>
      <c r="N2" s="913">
        <v>46507</v>
      </c>
      <c r="O2" s="326">
        <v>45436</v>
      </c>
      <c r="P2" s="933">
        <v>45401</v>
      </c>
      <c r="Q2" s="915">
        <v>45817</v>
      </c>
      <c r="R2" s="449" t="s">
        <v>313</v>
      </c>
      <c r="S2" s="332"/>
      <c r="T2" s="450"/>
      <c r="U2" s="916" t="s">
        <v>2776</v>
      </c>
      <c r="V2" s="334"/>
      <c r="W2" s="334"/>
      <c r="X2" s="334"/>
      <c r="Y2" s="334"/>
      <c r="Z2" s="334"/>
      <c r="AA2" s="335" t="s">
        <v>1849</v>
      </c>
      <c r="AB2" s="334"/>
      <c r="AC2" s="334"/>
      <c r="AD2" s="199"/>
      <c r="AE2" s="199"/>
      <c r="AF2" s="199"/>
      <c r="AG2" s="199"/>
      <c r="AH2" s="199"/>
      <c r="AI2" s="199"/>
      <c r="AJ2" s="199"/>
      <c r="AK2" s="199"/>
      <c r="AL2" s="199"/>
      <c r="AM2" s="199"/>
    </row>
    <row r="3" spans="1:39" ht="15.75" hidden="1">
      <c r="A3" s="656">
        <v>3</v>
      </c>
      <c r="B3" s="276" t="s">
        <v>2777</v>
      </c>
      <c r="C3" s="1261" t="s">
        <v>14</v>
      </c>
      <c r="D3" s="1523" t="s">
        <v>2778</v>
      </c>
      <c r="E3" s="18" t="s">
        <v>2779</v>
      </c>
      <c r="F3" s="970" t="s">
        <v>759</v>
      </c>
      <c r="G3" s="1165" t="s">
        <v>78</v>
      </c>
      <c r="H3" s="499" t="s">
        <v>279</v>
      </c>
      <c r="I3" s="307">
        <v>9163382189</v>
      </c>
      <c r="J3" s="307"/>
      <c r="K3" s="307" t="s">
        <v>253</v>
      </c>
      <c r="L3" s="125" t="s">
        <v>69</v>
      </c>
      <c r="M3" s="278">
        <v>28390</v>
      </c>
      <c r="N3" s="278">
        <v>50313</v>
      </c>
      <c r="O3" s="278">
        <v>45557</v>
      </c>
      <c r="P3" s="278">
        <v>45777</v>
      </c>
      <c r="Q3" s="302">
        <v>44687</v>
      </c>
      <c r="R3" s="449" t="s">
        <v>313</v>
      </c>
      <c r="S3" s="317"/>
      <c r="T3" s="1524"/>
      <c r="U3" s="318" t="s">
        <v>2780</v>
      </c>
      <c r="V3" s="285"/>
      <c r="W3" s="285">
        <f>LEN(TEXT(D3,0))</f>
        <v>11</v>
      </c>
      <c r="X3" s="532">
        <v>44119</v>
      </c>
      <c r="Y3" s="3"/>
      <c r="Z3" s="3"/>
      <c r="AA3" s="286" t="s">
        <v>84</v>
      </c>
      <c r="AB3" s="1363" t="s">
        <v>2781</v>
      </c>
      <c r="AC3" s="382">
        <f t="shared" ref="AC3:AC5" ca="1" si="0">INT((TODAY()-M3)/365)</f>
        <v>48</v>
      </c>
      <c r="AD3" s="199"/>
      <c r="AE3" s="199"/>
      <c r="AF3" s="199"/>
      <c r="AG3" s="199"/>
      <c r="AH3" s="199"/>
      <c r="AI3" s="199"/>
      <c r="AJ3" s="199"/>
      <c r="AK3" s="199"/>
      <c r="AL3" s="199"/>
      <c r="AM3" s="199"/>
    </row>
    <row r="4" spans="1:39" ht="15.75" hidden="1">
      <c r="A4" s="656">
        <v>4</v>
      </c>
      <c r="B4" s="276" t="s">
        <v>2782</v>
      </c>
      <c r="C4" s="1261" t="s">
        <v>14</v>
      </c>
      <c r="D4" s="1458" t="s">
        <v>2783</v>
      </c>
      <c r="E4" s="18" t="s">
        <v>2784</v>
      </c>
      <c r="F4" s="970" t="s">
        <v>759</v>
      </c>
      <c r="G4" s="1165" t="s">
        <v>78</v>
      </c>
      <c r="H4" s="499" t="s">
        <v>279</v>
      </c>
      <c r="I4" s="307">
        <v>9002071269</v>
      </c>
      <c r="J4" s="703">
        <v>9163382169</v>
      </c>
      <c r="K4" s="307" t="s">
        <v>253</v>
      </c>
      <c r="L4" s="303" t="s">
        <v>351</v>
      </c>
      <c r="M4" s="278">
        <v>30163</v>
      </c>
      <c r="N4" s="315">
        <v>52078</v>
      </c>
      <c r="O4" s="278">
        <v>46369</v>
      </c>
      <c r="P4" s="278">
        <v>45777</v>
      </c>
      <c r="Q4" s="272">
        <v>45537</v>
      </c>
      <c r="R4" s="449" t="s">
        <v>313</v>
      </c>
      <c r="S4" s="285"/>
      <c r="T4" s="1524"/>
      <c r="U4" s="318" t="s">
        <v>2785</v>
      </c>
      <c r="V4" s="285"/>
      <c r="W4" s="285">
        <f>LEN(D4)</f>
        <v>11</v>
      </c>
      <c r="X4" s="532">
        <v>44116</v>
      </c>
      <c r="Y4" s="3"/>
      <c r="Z4" s="3"/>
      <c r="AA4" s="286" t="s">
        <v>84</v>
      </c>
      <c r="AB4" s="79"/>
      <c r="AC4" s="382">
        <f t="shared" ca="1" si="0"/>
        <v>43</v>
      </c>
      <c r="AD4" s="199"/>
      <c r="AE4" s="199"/>
      <c r="AF4" s="199"/>
      <c r="AG4" s="199"/>
      <c r="AH4" s="199"/>
      <c r="AI4" s="199"/>
      <c r="AJ4" s="199"/>
      <c r="AK4" s="199"/>
      <c r="AL4" s="199"/>
      <c r="AM4" s="199"/>
    </row>
    <row r="5" spans="1:39" ht="15.75" hidden="1">
      <c r="A5" s="656">
        <v>5</v>
      </c>
      <c r="B5" s="305" t="s">
        <v>2786</v>
      </c>
      <c r="C5" s="1261" t="s">
        <v>14</v>
      </c>
      <c r="D5" s="1458" t="s">
        <v>2787</v>
      </c>
      <c r="E5" s="18" t="s">
        <v>2788</v>
      </c>
      <c r="F5" s="970" t="s">
        <v>759</v>
      </c>
      <c r="G5" s="1165" t="s">
        <v>78</v>
      </c>
      <c r="H5" s="499" t="s">
        <v>279</v>
      </c>
      <c r="I5" s="307">
        <v>9163382253</v>
      </c>
      <c r="J5" s="683">
        <v>9163382253</v>
      </c>
      <c r="K5" s="703" t="s">
        <v>253</v>
      </c>
      <c r="L5" s="445" t="s">
        <v>61</v>
      </c>
      <c r="M5" s="278">
        <v>27851</v>
      </c>
      <c r="N5" s="278">
        <v>49765</v>
      </c>
      <c r="O5" s="278">
        <v>45753</v>
      </c>
      <c r="P5" s="278">
        <v>45919</v>
      </c>
      <c r="Q5" s="302">
        <v>44715</v>
      </c>
      <c r="R5" s="449" t="s">
        <v>313</v>
      </c>
      <c r="S5" s="317"/>
      <c r="T5" s="1524"/>
      <c r="U5" s="982" t="s">
        <v>2789</v>
      </c>
      <c r="V5" s="285"/>
      <c r="W5" s="285">
        <f>LEN(TEXT(D5,0))</f>
        <v>11</v>
      </c>
      <c r="X5" s="532">
        <v>44117</v>
      </c>
      <c r="Y5" s="3"/>
      <c r="Z5" s="3"/>
      <c r="AA5" s="286" t="s">
        <v>84</v>
      </c>
      <c r="AB5" s="79"/>
      <c r="AC5" s="382">
        <f t="shared" ca="1" si="0"/>
        <v>49</v>
      </c>
      <c r="AD5" s="311"/>
      <c r="AE5" s="311"/>
      <c r="AF5" s="311"/>
      <c r="AG5" s="311"/>
      <c r="AH5" s="311"/>
      <c r="AI5" s="311"/>
      <c r="AJ5" s="311"/>
      <c r="AK5" s="311"/>
      <c r="AL5" s="311"/>
      <c r="AM5" s="311"/>
    </row>
    <row r="6" spans="1:39" ht="15.75" hidden="1">
      <c r="A6" s="656">
        <v>8</v>
      </c>
      <c r="B6" s="984" t="s">
        <v>2790</v>
      </c>
      <c r="C6" s="1164" t="s">
        <v>14</v>
      </c>
      <c r="D6" s="1463" t="s">
        <v>2791</v>
      </c>
      <c r="E6" s="527" t="s">
        <v>2792</v>
      </c>
      <c r="F6" s="970" t="s">
        <v>759</v>
      </c>
      <c r="G6" s="1165" t="s">
        <v>78</v>
      </c>
      <c r="H6" s="499" t="s">
        <v>279</v>
      </c>
      <c r="I6" s="656">
        <v>9163382061</v>
      </c>
      <c r="J6" s="334"/>
      <c r="K6" s="328" t="s">
        <v>253</v>
      </c>
      <c r="L6" s="445" t="s">
        <v>50</v>
      </c>
      <c r="M6" s="913">
        <v>24839</v>
      </c>
      <c r="N6" s="913">
        <v>46783</v>
      </c>
      <c r="O6" s="326">
        <v>45294</v>
      </c>
      <c r="P6" s="933">
        <v>46169</v>
      </c>
      <c r="Q6" s="915">
        <v>45873</v>
      </c>
      <c r="R6" s="449" t="s">
        <v>313</v>
      </c>
      <c r="S6" s="332"/>
      <c r="T6" s="450"/>
      <c r="U6" s="916" t="s">
        <v>2793</v>
      </c>
      <c r="V6" s="334"/>
      <c r="W6" s="334"/>
      <c r="X6" s="334"/>
      <c r="Y6" s="334"/>
      <c r="Z6" s="334"/>
      <c r="AA6" s="335" t="s">
        <v>85</v>
      </c>
      <c r="AB6" s="334"/>
      <c r="AC6" s="334"/>
      <c r="AD6" s="334"/>
      <c r="AE6" s="334"/>
      <c r="AF6" s="334"/>
      <c r="AG6" s="334"/>
      <c r="AH6" s="334"/>
      <c r="AI6" s="334"/>
      <c r="AJ6" s="199"/>
      <c r="AK6" s="199"/>
      <c r="AL6" s="199"/>
      <c r="AM6" s="199"/>
    </row>
    <row r="7" spans="1:39" ht="21.75" hidden="1" customHeight="1">
      <c r="A7" s="656">
        <v>10</v>
      </c>
      <c r="B7" s="984" t="s">
        <v>2794</v>
      </c>
      <c r="C7" s="1164" t="s">
        <v>14</v>
      </c>
      <c r="D7" s="1463" t="s">
        <v>2795</v>
      </c>
      <c r="E7" s="527" t="s">
        <v>2796</v>
      </c>
      <c r="F7" s="970" t="s">
        <v>759</v>
      </c>
      <c r="G7" s="1165" t="s">
        <v>78</v>
      </c>
      <c r="H7" s="499" t="s">
        <v>279</v>
      </c>
      <c r="I7" s="666">
        <v>9163382075</v>
      </c>
      <c r="J7" s="334"/>
      <c r="K7" s="328" t="s">
        <v>253</v>
      </c>
      <c r="L7" s="445" t="s">
        <v>61</v>
      </c>
      <c r="M7" s="1129">
        <v>24534</v>
      </c>
      <c r="N7" s="913">
        <v>46477</v>
      </c>
      <c r="O7" s="326">
        <v>45361</v>
      </c>
      <c r="P7" s="933">
        <v>46070</v>
      </c>
      <c r="Q7" s="915">
        <v>45343</v>
      </c>
      <c r="R7" s="449" t="s">
        <v>313</v>
      </c>
      <c r="S7" s="332"/>
      <c r="T7" s="450"/>
      <c r="U7" s="916" t="s">
        <v>2797</v>
      </c>
      <c r="V7" s="334"/>
      <c r="W7" s="334"/>
      <c r="X7" s="334"/>
      <c r="Y7" s="334"/>
      <c r="Z7" s="334"/>
      <c r="AA7" s="286" t="s">
        <v>84</v>
      </c>
      <c r="AB7" s="334"/>
      <c r="AC7" s="334"/>
      <c r="AD7" s="334"/>
      <c r="AE7" s="334"/>
      <c r="AF7" s="334"/>
      <c r="AG7" s="334"/>
      <c r="AH7" s="334"/>
      <c r="AI7" s="334"/>
      <c r="AJ7" s="199"/>
      <c r="AK7" s="199"/>
      <c r="AL7" s="199"/>
      <c r="AM7" s="199"/>
    </row>
    <row r="8" spans="1:39" ht="23.25" hidden="1" customHeight="1">
      <c r="A8" s="656">
        <v>11</v>
      </c>
      <c r="B8" s="479" t="s">
        <v>2798</v>
      </c>
      <c r="C8" s="1164" t="s">
        <v>14</v>
      </c>
      <c r="D8" s="1463" t="s">
        <v>2799</v>
      </c>
      <c r="E8" s="527" t="s">
        <v>2800</v>
      </c>
      <c r="F8" s="970" t="s">
        <v>759</v>
      </c>
      <c r="G8" s="1165" t="s">
        <v>78</v>
      </c>
      <c r="H8" s="499" t="s">
        <v>279</v>
      </c>
      <c r="I8" s="656">
        <v>8420320503</v>
      </c>
      <c r="J8" s="334"/>
      <c r="K8" s="328" t="s">
        <v>253</v>
      </c>
      <c r="L8" s="445" t="s">
        <v>50</v>
      </c>
      <c r="M8" s="913">
        <v>28707</v>
      </c>
      <c r="N8" s="913">
        <v>50648</v>
      </c>
      <c r="O8" s="326">
        <v>45758</v>
      </c>
      <c r="P8" s="933">
        <v>45919</v>
      </c>
      <c r="Q8" s="915">
        <v>45817</v>
      </c>
      <c r="R8" s="449" t="s">
        <v>313</v>
      </c>
      <c r="S8" s="332"/>
      <c r="T8" s="450"/>
      <c r="U8" s="916" t="s">
        <v>2801</v>
      </c>
      <c r="V8" s="334"/>
      <c r="W8" s="334"/>
      <c r="X8" s="334"/>
      <c r="Y8" s="334"/>
      <c r="Z8" s="334"/>
      <c r="AA8" s="286" t="s">
        <v>84</v>
      </c>
      <c r="AB8" s="334"/>
      <c r="AC8" s="334"/>
      <c r="AD8" s="334"/>
      <c r="AE8" s="334"/>
      <c r="AF8" s="334"/>
      <c r="AG8" s="334"/>
      <c r="AH8" s="334"/>
      <c r="AI8" s="334"/>
      <c r="AJ8" s="199"/>
      <c r="AK8" s="199"/>
      <c r="AL8" s="199"/>
      <c r="AM8" s="199"/>
    </row>
    <row r="9" spans="1:39" hidden="1">
      <c r="A9" s="656">
        <v>12</v>
      </c>
      <c r="B9" s="335" t="s">
        <v>2802</v>
      </c>
      <c r="C9" s="1164" t="s">
        <v>14</v>
      </c>
      <c r="D9" s="1525" t="s">
        <v>2803</v>
      </c>
      <c r="E9" s="327"/>
      <c r="F9" s="18" t="s">
        <v>759</v>
      </c>
      <c r="G9" s="306" t="s">
        <v>77</v>
      </c>
      <c r="H9" s="499" t="s">
        <v>279</v>
      </c>
      <c r="I9" s="18">
        <v>9163382149</v>
      </c>
      <c r="J9" s="334"/>
      <c r="K9" s="328" t="s">
        <v>253</v>
      </c>
      <c r="L9" s="445" t="s">
        <v>61</v>
      </c>
      <c r="M9" s="793">
        <v>24353</v>
      </c>
      <c r="N9" s="326">
        <v>46295</v>
      </c>
      <c r="O9" s="329"/>
      <c r="P9" s="330"/>
      <c r="Q9" s="331"/>
      <c r="R9" s="449" t="s">
        <v>313</v>
      </c>
      <c r="S9" s="332"/>
      <c r="T9" s="450"/>
      <c r="U9" s="333" t="s">
        <v>2804</v>
      </c>
      <c r="V9" s="334"/>
      <c r="W9" s="334"/>
      <c r="X9" s="334"/>
      <c r="Y9" s="334"/>
      <c r="Z9" s="334"/>
      <c r="AA9" s="334"/>
      <c r="AB9" s="334"/>
      <c r="AC9" s="334"/>
      <c r="AD9" s="79"/>
      <c r="AE9" s="79"/>
      <c r="AF9" s="79"/>
      <c r="AG9" s="79"/>
      <c r="AH9" s="79"/>
      <c r="AI9" s="79"/>
    </row>
    <row r="10" spans="1:39" ht="15.75" hidden="1">
      <c r="A10" s="656">
        <v>3</v>
      </c>
      <c r="B10" s="524" t="s">
        <v>2805</v>
      </c>
      <c r="C10" s="1164" t="s">
        <v>14</v>
      </c>
      <c r="D10" s="1445" t="s">
        <v>2806</v>
      </c>
      <c r="E10" s="527" t="s">
        <v>2807</v>
      </c>
      <c r="F10" s="970" t="s">
        <v>759</v>
      </c>
      <c r="G10" s="1323" t="s">
        <v>77</v>
      </c>
      <c r="H10" s="303" t="s">
        <v>266</v>
      </c>
      <c r="I10" s="18">
        <v>9002071025</v>
      </c>
      <c r="J10" s="1526"/>
      <c r="K10" s="391" t="s">
        <v>334</v>
      </c>
      <c r="L10" s="18" t="s">
        <v>299</v>
      </c>
      <c r="M10" s="528">
        <v>24528</v>
      </c>
      <c r="N10" s="529">
        <v>46446</v>
      </c>
      <c r="O10" s="1142"/>
      <c r="P10" s="1143"/>
      <c r="Q10" s="3"/>
      <c r="R10" s="449" t="s">
        <v>313</v>
      </c>
      <c r="S10" s="533"/>
      <c r="T10" s="1446"/>
      <c r="U10" s="534" t="s">
        <v>2808</v>
      </c>
      <c r="V10" s="535" t="s">
        <v>2809</v>
      </c>
      <c r="W10" s="533"/>
      <c r="X10" s="533"/>
      <c r="Y10" s="533"/>
      <c r="Z10" s="334"/>
      <c r="AA10" s="334"/>
      <c r="AB10" s="334"/>
      <c r="AC10" s="334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</row>
    <row r="11" spans="1:39" ht="15.75" hidden="1">
      <c r="A11" s="656">
        <v>5</v>
      </c>
      <c r="B11" s="1527" t="s">
        <v>2810</v>
      </c>
      <c r="C11" s="525" t="s">
        <v>14</v>
      </c>
      <c r="D11" s="1528" t="s">
        <v>2811</v>
      </c>
      <c r="E11" s="527" t="s">
        <v>2812</v>
      </c>
      <c r="F11" s="970" t="s">
        <v>759</v>
      </c>
      <c r="G11" s="1393" t="s">
        <v>76</v>
      </c>
      <c r="H11" s="303" t="s">
        <v>279</v>
      </c>
      <c r="I11" s="18">
        <v>9002071668</v>
      </c>
      <c r="J11" s="334"/>
      <c r="K11" s="328" t="s">
        <v>253</v>
      </c>
      <c r="L11" s="656" t="s">
        <v>299</v>
      </c>
      <c r="M11" s="1529">
        <v>25464</v>
      </c>
      <c r="N11" s="1530">
        <v>47391</v>
      </c>
      <c r="O11" s="326">
        <v>45553</v>
      </c>
      <c r="P11" s="933">
        <v>45691</v>
      </c>
      <c r="Q11" s="915">
        <v>45509</v>
      </c>
      <c r="R11" s="449" t="s">
        <v>313</v>
      </c>
      <c r="S11" s="332"/>
      <c r="T11" s="450"/>
      <c r="U11" s="374"/>
      <c r="V11" s="333" t="s">
        <v>2813</v>
      </c>
      <c r="W11" s="334"/>
      <c r="X11" s="334"/>
      <c r="Y11" s="334"/>
      <c r="Z11" s="334"/>
      <c r="AA11" s="334"/>
      <c r="AB11" s="334"/>
      <c r="AC11" s="334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</row>
    <row r="12" spans="1:39" ht="15.75" hidden="1" customHeight="1">
      <c r="A12" s="656">
        <v>9</v>
      </c>
      <c r="B12" s="524" t="s">
        <v>2814</v>
      </c>
      <c r="C12" s="525" t="s">
        <v>14</v>
      </c>
      <c r="D12" s="1445" t="s">
        <v>2815</v>
      </c>
      <c r="E12" s="527" t="s">
        <v>2816</v>
      </c>
      <c r="F12" s="970" t="s">
        <v>759</v>
      </c>
      <c r="G12" s="1323" t="s">
        <v>77</v>
      </c>
      <c r="H12" s="303" t="s">
        <v>266</v>
      </c>
      <c r="I12" s="18">
        <v>9002079063</v>
      </c>
      <c r="J12" s="1141"/>
      <c r="K12" s="328" t="s">
        <v>253</v>
      </c>
      <c r="L12" s="445" t="s">
        <v>67</v>
      </c>
      <c r="M12" s="1526">
        <v>25558</v>
      </c>
      <c r="N12" s="529">
        <v>47483</v>
      </c>
      <c r="O12" s="1142"/>
      <c r="P12" s="1143"/>
      <c r="Q12" s="3"/>
      <c r="R12" s="449" t="s">
        <v>313</v>
      </c>
      <c r="S12" s="533"/>
      <c r="T12" s="1446"/>
      <c r="U12" s="534" t="s">
        <v>2817</v>
      </c>
      <c r="V12" s="535" t="s">
        <v>2818</v>
      </c>
      <c r="W12" s="533"/>
      <c r="X12" s="533"/>
      <c r="Y12" s="533"/>
      <c r="Z12" s="334"/>
      <c r="AA12" s="334"/>
      <c r="AB12" s="334"/>
      <c r="AC12" s="334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</row>
    <row r="13" spans="1:39" hidden="1">
      <c r="A13" s="656">
        <v>3</v>
      </c>
      <c r="B13" s="335" t="s">
        <v>2819</v>
      </c>
      <c r="C13" s="1210" t="s">
        <v>14</v>
      </c>
      <c r="D13" s="1531" t="s">
        <v>2820</v>
      </c>
      <c r="E13" s="327"/>
      <c r="F13" s="18" t="s">
        <v>759</v>
      </c>
      <c r="G13" s="306"/>
      <c r="H13" s="303" t="s">
        <v>279</v>
      </c>
      <c r="I13" s="18">
        <v>9163382145</v>
      </c>
      <c r="J13" s="334"/>
      <c r="K13" s="328" t="s">
        <v>253</v>
      </c>
      <c r="L13" s="445" t="s">
        <v>50</v>
      </c>
      <c r="M13" s="793">
        <v>24713</v>
      </c>
      <c r="N13" s="1212">
        <v>46630</v>
      </c>
      <c r="O13" s="329"/>
      <c r="P13" s="330"/>
      <c r="Q13" s="331"/>
      <c r="R13" s="449" t="s">
        <v>313</v>
      </c>
      <c r="S13" s="332"/>
      <c r="T13" s="450"/>
      <c r="U13" s="332"/>
      <c r="V13" s="334"/>
      <c r="W13" s="334"/>
      <c r="X13" s="334"/>
      <c r="Y13" s="334"/>
      <c r="Z13" s="334"/>
      <c r="AA13" s="334"/>
      <c r="AB13" s="334"/>
      <c r="AC13" s="334"/>
    </row>
    <row r="14" spans="1:39" hidden="1">
      <c r="A14" s="656">
        <v>1</v>
      </c>
      <c r="B14" s="335" t="s">
        <v>2821</v>
      </c>
      <c r="C14" s="1210" t="s">
        <v>14</v>
      </c>
      <c r="D14" s="1525" t="s">
        <v>2822</v>
      </c>
      <c r="E14" s="595" t="s">
        <v>2823</v>
      </c>
      <c r="F14" s="18" t="s">
        <v>759</v>
      </c>
      <c r="G14" s="306" t="s">
        <v>76</v>
      </c>
      <c r="H14" s="303" t="s">
        <v>279</v>
      </c>
      <c r="I14" s="18">
        <v>9163382130</v>
      </c>
      <c r="J14" s="334"/>
      <c r="K14" s="328" t="s">
        <v>253</v>
      </c>
      <c r="L14" s="445" t="s">
        <v>61</v>
      </c>
      <c r="M14" s="995">
        <v>25208</v>
      </c>
      <c r="N14" s="326">
        <v>47149</v>
      </c>
      <c r="O14" s="329"/>
      <c r="P14" s="330"/>
      <c r="Q14" s="331"/>
      <c r="R14" s="449" t="s">
        <v>313</v>
      </c>
      <c r="S14" s="332"/>
      <c r="T14" s="450"/>
      <c r="U14" s="332"/>
      <c r="V14" s="334"/>
      <c r="W14" s="334"/>
      <c r="X14" s="334"/>
      <c r="Y14" s="334"/>
      <c r="Z14" s="334"/>
      <c r="AA14" s="334"/>
      <c r="AB14" s="334"/>
      <c r="AC14" s="334"/>
      <c r="AD14" s="334"/>
      <c r="AE14" s="334"/>
      <c r="AF14" s="334"/>
      <c r="AG14" s="334"/>
      <c r="AH14" s="334"/>
      <c r="AI14" s="334"/>
      <c r="AJ14" s="199"/>
      <c r="AK14" s="199"/>
      <c r="AL14" s="199"/>
      <c r="AM14" s="199"/>
    </row>
    <row r="15" spans="1:39" hidden="1">
      <c r="A15" s="656">
        <v>2</v>
      </c>
      <c r="B15" s="335" t="s">
        <v>2824</v>
      </c>
      <c r="C15" s="1210" t="s">
        <v>14</v>
      </c>
      <c r="D15" s="1532" t="s">
        <v>2825</v>
      </c>
      <c r="E15" s="527" t="s">
        <v>2826</v>
      </c>
      <c r="F15" s="18" t="s">
        <v>759</v>
      </c>
      <c r="G15" s="306" t="s">
        <v>76</v>
      </c>
      <c r="H15" s="303" t="s">
        <v>279</v>
      </c>
      <c r="I15" s="18">
        <v>9163382150</v>
      </c>
      <c r="J15" s="334"/>
      <c r="K15" s="328" t="s">
        <v>253</v>
      </c>
      <c r="L15" s="445" t="s">
        <v>69</v>
      </c>
      <c r="M15" s="793">
        <v>24357</v>
      </c>
      <c r="N15" s="1212">
        <v>46295</v>
      </c>
      <c r="O15" s="329"/>
      <c r="P15" s="330"/>
      <c r="Q15" s="331"/>
      <c r="R15" s="449" t="s">
        <v>313</v>
      </c>
      <c r="S15" s="332"/>
      <c r="T15" s="450"/>
      <c r="U15" s="332"/>
      <c r="V15" s="334"/>
      <c r="W15" s="334"/>
      <c r="X15" s="334"/>
      <c r="Y15" s="334"/>
      <c r="Z15" s="334"/>
      <c r="AA15" s="334"/>
      <c r="AB15" s="334"/>
      <c r="AC15" s="334"/>
      <c r="AD15" s="1406"/>
      <c r="AE15" s="1406"/>
      <c r="AF15" s="1406"/>
      <c r="AG15" s="1406"/>
      <c r="AH15" s="1406"/>
      <c r="AI15" s="1406"/>
      <c r="AJ15" s="1406"/>
      <c r="AK15" s="1406"/>
      <c r="AL15" s="1406"/>
      <c r="AM15" s="1406"/>
    </row>
    <row r="16" spans="1:39" hidden="1">
      <c r="A16" s="656">
        <v>4</v>
      </c>
      <c r="B16" s="335" t="s">
        <v>2827</v>
      </c>
      <c r="C16" s="1210" t="s">
        <v>14</v>
      </c>
      <c r="D16" s="1531" t="s">
        <v>2828</v>
      </c>
      <c r="E16" s="327"/>
      <c r="F16" s="18" t="s">
        <v>759</v>
      </c>
      <c r="G16" s="306" t="s">
        <v>76</v>
      </c>
      <c r="H16" s="303" t="s">
        <v>279</v>
      </c>
      <c r="I16" s="18">
        <v>9163382157</v>
      </c>
      <c r="J16" s="334"/>
      <c r="K16" s="328" t="s">
        <v>253</v>
      </c>
      <c r="L16" s="274" t="s">
        <v>50</v>
      </c>
      <c r="M16" s="793">
        <v>24560</v>
      </c>
      <c r="N16" s="1212">
        <v>46477</v>
      </c>
      <c r="O16" s="329"/>
      <c r="P16" s="330"/>
      <c r="Q16" s="331"/>
      <c r="R16" s="449" t="s">
        <v>313</v>
      </c>
      <c r="S16" s="332"/>
      <c r="T16" s="450"/>
      <c r="U16" s="332"/>
      <c r="V16" s="334"/>
      <c r="W16" s="334"/>
      <c r="X16" s="334"/>
      <c r="Y16" s="334"/>
      <c r="Z16" s="334"/>
      <c r="AA16" s="334"/>
      <c r="AB16" s="334"/>
      <c r="AC16" s="334"/>
    </row>
    <row r="17" spans="1:39" hidden="1">
      <c r="A17" s="656">
        <v>6</v>
      </c>
      <c r="B17" s="1336" t="s">
        <v>2829</v>
      </c>
      <c r="C17" s="1210" t="s">
        <v>14</v>
      </c>
      <c r="D17" s="1531" t="s">
        <v>2830</v>
      </c>
      <c r="E17" s="327"/>
      <c r="F17" s="18" t="s">
        <v>759</v>
      </c>
      <c r="G17" s="306" t="s">
        <v>76</v>
      </c>
      <c r="H17" s="499" t="s">
        <v>266</v>
      </c>
      <c r="I17" s="1338">
        <v>9163382119</v>
      </c>
      <c r="J17" s="334"/>
      <c r="K17" s="328" t="s">
        <v>253</v>
      </c>
      <c r="L17" s="445" t="s">
        <v>61</v>
      </c>
      <c r="M17" s="793">
        <v>25421</v>
      </c>
      <c r="N17" s="1212">
        <v>47361</v>
      </c>
      <c r="O17" s="329"/>
      <c r="P17" s="330"/>
      <c r="Q17" s="331"/>
      <c r="R17" s="449" t="s">
        <v>313</v>
      </c>
      <c r="S17" s="332"/>
      <c r="T17" s="450"/>
      <c r="U17" s="332"/>
      <c r="V17" s="334"/>
      <c r="W17" s="334"/>
      <c r="X17" s="334"/>
      <c r="Y17" s="334"/>
      <c r="Z17" s="334"/>
      <c r="AA17" s="334"/>
      <c r="AB17" s="334"/>
      <c r="AC17" s="334"/>
    </row>
    <row r="18" spans="1:39" hidden="1">
      <c r="A18" s="656">
        <v>7</v>
      </c>
      <c r="B18" s="1336" t="s">
        <v>2831</v>
      </c>
      <c r="C18" s="1210" t="s">
        <v>14</v>
      </c>
      <c r="D18" s="1531" t="s">
        <v>2832</v>
      </c>
      <c r="E18" s="327"/>
      <c r="F18" s="18" t="s">
        <v>759</v>
      </c>
      <c r="G18" s="306" t="s">
        <v>76</v>
      </c>
      <c r="H18" s="303" t="s">
        <v>279</v>
      </c>
      <c r="I18" s="1338">
        <v>9163382158</v>
      </c>
      <c r="J18" s="334"/>
      <c r="K18" s="328" t="s">
        <v>253</v>
      </c>
      <c r="L18" s="445" t="s">
        <v>61</v>
      </c>
      <c r="M18" s="793">
        <v>26624</v>
      </c>
      <c r="N18" s="1533">
        <v>48548</v>
      </c>
      <c r="O18" s="329"/>
      <c r="P18" s="330"/>
      <c r="Q18" s="331"/>
      <c r="R18" s="449" t="s">
        <v>313</v>
      </c>
      <c r="S18" s="332"/>
      <c r="T18" s="450"/>
      <c r="U18" s="332"/>
      <c r="V18" s="334"/>
      <c r="W18" s="334"/>
      <c r="X18" s="334"/>
      <c r="Y18" s="334"/>
      <c r="Z18" s="334"/>
      <c r="AA18" s="334"/>
      <c r="AB18" s="334"/>
      <c r="AC18" s="334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</row>
    <row r="19" spans="1:39" ht="15.75" hidden="1">
      <c r="A19" s="656">
        <v>7</v>
      </c>
      <c r="B19" s="524" t="s">
        <v>2833</v>
      </c>
      <c r="C19" s="525" t="s">
        <v>31</v>
      </c>
      <c r="D19" s="1445" t="s">
        <v>2834</v>
      </c>
      <c r="E19" s="527" t="s">
        <v>2835</v>
      </c>
      <c r="F19" s="970" t="s">
        <v>759</v>
      </c>
      <c r="G19" s="1323" t="s">
        <v>77</v>
      </c>
      <c r="H19" s="303" t="s">
        <v>266</v>
      </c>
      <c r="I19" s="18">
        <v>9002079097</v>
      </c>
      <c r="J19" s="1141"/>
      <c r="K19" s="328" t="s">
        <v>253</v>
      </c>
      <c r="L19" s="445" t="s">
        <v>43</v>
      </c>
      <c r="M19" s="528">
        <v>25542</v>
      </c>
      <c r="N19" s="529">
        <v>47483</v>
      </c>
      <c r="O19" s="1142"/>
      <c r="P19" s="1143"/>
      <c r="Q19" s="3"/>
      <c r="R19" s="449" t="s">
        <v>313</v>
      </c>
      <c r="S19" s="533"/>
      <c r="T19" s="1446"/>
      <c r="U19" s="534" t="s">
        <v>2836</v>
      </c>
      <c r="V19" s="1492"/>
      <c r="W19" s="533"/>
      <c r="X19" s="533"/>
      <c r="Y19" s="533"/>
      <c r="Z19" s="334"/>
      <c r="AA19" s="334"/>
      <c r="AB19" s="334"/>
      <c r="AC19" s="334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</row>
    <row r="20" spans="1:39" ht="15.75" hidden="1" customHeight="1">
      <c r="A20" s="656">
        <v>8</v>
      </c>
      <c r="B20" s="335" t="s">
        <v>2837</v>
      </c>
      <c r="C20" s="525" t="s">
        <v>31</v>
      </c>
      <c r="D20" s="1525" t="s">
        <v>2838</v>
      </c>
      <c r="E20" s="527" t="s">
        <v>2839</v>
      </c>
      <c r="F20" s="970" t="s">
        <v>759</v>
      </c>
      <c r="G20" s="1299" t="s">
        <v>76</v>
      </c>
      <c r="H20" s="303" t="s">
        <v>266</v>
      </c>
      <c r="I20" s="18">
        <v>9330028451</v>
      </c>
      <c r="J20" s="334"/>
      <c r="K20" s="409" t="s">
        <v>261</v>
      </c>
      <c r="L20" s="18" t="s">
        <v>55</v>
      </c>
      <c r="M20" s="794">
        <v>24673</v>
      </c>
      <c r="N20" s="794">
        <v>46599</v>
      </c>
      <c r="O20" s="326">
        <v>45127</v>
      </c>
      <c r="P20" s="933">
        <v>45691</v>
      </c>
      <c r="Q20" s="532">
        <v>45654</v>
      </c>
      <c r="R20" s="449" t="s">
        <v>313</v>
      </c>
      <c r="S20" s="332"/>
      <c r="T20" s="450"/>
      <c r="U20" s="1534"/>
      <c r="V20" s="332"/>
      <c r="W20" s="334"/>
      <c r="X20" s="334"/>
      <c r="Y20" s="334"/>
      <c r="Z20" s="334"/>
      <c r="AA20" s="334"/>
      <c r="AB20" s="334"/>
      <c r="AC20" s="334"/>
      <c r="AD20" s="199"/>
      <c r="AE20" s="199"/>
      <c r="AF20" s="199"/>
      <c r="AG20" s="199"/>
      <c r="AH20" s="199"/>
      <c r="AI20" s="199"/>
      <c r="AJ20" s="199"/>
      <c r="AK20" s="199"/>
      <c r="AL20" s="199"/>
      <c r="AM20" s="199"/>
    </row>
    <row r="21" spans="1:39" ht="15.75" hidden="1">
      <c r="A21" s="656">
        <v>10</v>
      </c>
      <c r="B21" s="335" t="s">
        <v>2840</v>
      </c>
      <c r="C21" s="1299" t="s">
        <v>31</v>
      </c>
      <c r="D21" s="1525" t="s">
        <v>2841</v>
      </c>
      <c r="E21" s="18" t="s">
        <v>2842</v>
      </c>
      <c r="F21" s="970" t="s">
        <v>759</v>
      </c>
      <c r="G21" s="1535" t="s">
        <v>76</v>
      </c>
      <c r="H21" s="303" t="s">
        <v>266</v>
      </c>
      <c r="I21" s="18">
        <v>9163382133</v>
      </c>
      <c r="J21" s="79"/>
      <c r="K21" s="409" t="s">
        <v>261</v>
      </c>
      <c r="L21" s="274" t="s">
        <v>61</v>
      </c>
      <c r="M21" s="326">
        <v>26658</v>
      </c>
      <c r="N21" s="326">
        <v>48579</v>
      </c>
      <c r="O21" s="79"/>
      <c r="P21" s="79"/>
      <c r="Q21" s="3"/>
      <c r="R21" s="449" t="s">
        <v>313</v>
      </c>
      <c r="S21" s="79"/>
      <c r="T21" s="1536"/>
      <c r="U21" s="332"/>
      <c r="V21" s="334"/>
      <c r="W21" s="334"/>
      <c r="X21" s="334"/>
      <c r="Y21" s="334"/>
      <c r="Z21" s="334"/>
      <c r="AA21" s="334"/>
      <c r="AB21" s="334"/>
      <c r="AC21" s="334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</row>
    <row r="22" spans="1:39" ht="15.75" hidden="1">
      <c r="A22" s="656">
        <v>11</v>
      </c>
      <c r="B22" s="335" t="s">
        <v>2843</v>
      </c>
      <c r="C22" s="1299" t="s">
        <v>31</v>
      </c>
      <c r="D22" s="1537" t="s">
        <v>2844</v>
      </c>
      <c r="E22" s="18" t="s">
        <v>1696</v>
      </c>
      <c r="F22" s="970" t="s">
        <v>759</v>
      </c>
      <c r="G22" s="168"/>
      <c r="H22" s="303" t="s">
        <v>266</v>
      </c>
      <c r="I22" s="18">
        <v>9432970968</v>
      </c>
      <c r="J22" s="79"/>
      <c r="K22" s="409" t="s">
        <v>261</v>
      </c>
      <c r="L22" s="274" t="s">
        <v>44</v>
      </c>
      <c r="M22" s="326">
        <v>28764</v>
      </c>
      <c r="N22" s="326">
        <v>50678</v>
      </c>
      <c r="O22" s="79"/>
      <c r="P22" s="79"/>
      <c r="Q22" s="3"/>
      <c r="R22" s="449" t="s">
        <v>313</v>
      </c>
      <c r="S22" s="79"/>
      <c r="T22" s="1536"/>
      <c r="U22" s="332"/>
      <c r="V22" s="334"/>
      <c r="W22" s="334"/>
      <c r="X22" s="334"/>
      <c r="Y22" s="334"/>
      <c r="Z22" s="334"/>
      <c r="AA22" s="334"/>
      <c r="AB22" s="334"/>
      <c r="AC22" s="334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</row>
    <row r="23" spans="1:39" ht="15.75" hidden="1" customHeight="1">
      <c r="A23" s="656">
        <v>13</v>
      </c>
      <c r="B23" s="1538" t="s">
        <v>2845</v>
      </c>
      <c r="C23" s="525" t="s">
        <v>31</v>
      </c>
      <c r="D23" s="1445" t="s">
        <v>2846</v>
      </c>
      <c r="E23" s="527"/>
      <c r="F23" s="970" t="s">
        <v>759</v>
      </c>
      <c r="G23" s="1323"/>
      <c r="H23" s="303" t="s">
        <v>266</v>
      </c>
      <c r="I23" s="18">
        <v>9163382256</v>
      </c>
      <c r="J23" s="79"/>
      <c r="K23" s="409" t="s">
        <v>261</v>
      </c>
      <c r="L23" s="445" t="s">
        <v>43</v>
      </c>
      <c r="M23" s="1539">
        <v>26374</v>
      </c>
      <c r="N23" s="1540">
        <v>48304</v>
      </c>
      <c r="O23" s="1142"/>
      <c r="P23" s="1143"/>
      <c r="Q23" s="3"/>
      <c r="R23" s="449" t="s">
        <v>313</v>
      </c>
      <c r="S23" s="533"/>
      <c r="T23" s="1446"/>
      <c r="U23" s="1541"/>
      <c r="V23" s="1542"/>
      <c r="W23" s="533"/>
      <c r="X23" s="533"/>
      <c r="Y23" s="533"/>
      <c r="Z23" s="334"/>
      <c r="AA23" s="334"/>
      <c r="AB23" s="334"/>
      <c r="AC23" s="334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</row>
    <row r="24" spans="1:39" ht="15.75" hidden="1" customHeight="1">
      <c r="A24" s="656">
        <v>14</v>
      </c>
      <c r="B24" s="1538" t="s">
        <v>2847</v>
      </c>
      <c r="C24" s="525" t="s">
        <v>31</v>
      </c>
      <c r="D24" s="1445" t="s">
        <v>2848</v>
      </c>
      <c r="E24" s="527"/>
      <c r="F24" s="970" t="s">
        <v>759</v>
      </c>
      <c r="G24" s="1323"/>
      <c r="H24" s="303" t="s">
        <v>266</v>
      </c>
      <c r="I24" s="18">
        <v>9163382161</v>
      </c>
      <c r="J24" s="79"/>
      <c r="K24" s="328" t="s">
        <v>253</v>
      </c>
      <c r="L24" s="445" t="s">
        <v>56</v>
      </c>
      <c r="M24" s="1539">
        <v>25265</v>
      </c>
      <c r="N24" s="1540">
        <v>47208</v>
      </c>
      <c r="O24" s="1142"/>
      <c r="P24" s="1143"/>
      <c r="Q24" s="3"/>
      <c r="R24" s="449" t="s">
        <v>313</v>
      </c>
      <c r="S24" s="533"/>
      <c r="T24" s="1446"/>
      <c r="U24" s="1541"/>
      <c r="V24" s="1542"/>
      <c r="W24" s="533"/>
      <c r="X24" s="533"/>
      <c r="Y24" s="533"/>
      <c r="Z24" s="334"/>
      <c r="AA24" s="334"/>
      <c r="AB24" s="334"/>
      <c r="AC24" s="334"/>
      <c r="AD24" s="199"/>
      <c r="AE24" s="199"/>
      <c r="AF24" s="199"/>
      <c r="AG24" s="199"/>
      <c r="AH24" s="199"/>
      <c r="AI24" s="199"/>
      <c r="AJ24" s="199"/>
      <c r="AK24" s="199"/>
      <c r="AL24" s="199"/>
      <c r="AM24" s="199"/>
    </row>
    <row r="25" spans="1:39" ht="15.75" hidden="1" customHeight="1">
      <c r="A25" s="656">
        <v>15</v>
      </c>
      <c r="B25" s="1538" t="s">
        <v>2849</v>
      </c>
      <c r="C25" s="620" t="s">
        <v>31</v>
      </c>
      <c r="D25" s="1445" t="s">
        <v>2850</v>
      </c>
      <c r="E25" s="527"/>
      <c r="F25" s="970" t="s">
        <v>759</v>
      </c>
      <c r="G25" s="1323"/>
      <c r="H25" s="303" t="s">
        <v>266</v>
      </c>
      <c r="I25" s="18">
        <v>9163382168</v>
      </c>
      <c r="J25" s="79"/>
      <c r="K25" s="328" t="s">
        <v>253</v>
      </c>
      <c r="L25" s="274" t="s">
        <v>64</v>
      </c>
      <c r="M25" s="1539">
        <v>25540</v>
      </c>
      <c r="N25" s="1540">
        <v>47483</v>
      </c>
      <c r="O25" s="1142"/>
      <c r="P25" s="1143"/>
      <c r="Q25" s="3"/>
      <c r="R25" s="449" t="s">
        <v>313</v>
      </c>
      <c r="S25" s="533"/>
      <c r="T25" s="1446"/>
      <c r="U25" s="1541"/>
      <c r="V25" s="1542"/>
      <c r="W25" s="533"/>
      <c r="X25" s="533"/>
      <c r="Y25" s="533"/>
      <c r="Z25" s="334"/>
      <c r="AA25" s="334"/>
      <c r="AB25" s="334"/>
      <c r="AC25" s="334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</row>
    <row r="26" spans="1:39" ht="15.75" hidden="1" customHeight="1">
      <c r="A26" s="656">
        <v>16</v>
      </c>
      <c r="B26" s="1543" t="s">
        <v>2851</v>
      </c>
      <c r="C26" s="1544" t="s">
        <v>31</v>
      </c>
      <c r="D26" s="1545" t="s">
        <v>2852</v>
      </c>
      <c r="E26" s="1546"/>
      <c r="F26" s="1547" t="s">
        <v>759</v>
      </c>
      <c r="G26" s="631" t="s">
        <v>76</v>
      </c>
      <c r="H26" s="631" t="s">
        <v>266</v>
      </c>
      <c r="I26" s="18">
        <v>9163382182</v>
      </c>
      <c r="J26" s="79"/>
      <c r="K26" s="1548" t="s">
        <v>253</v>
      </c>
      <c r="L26" s="1549" t="s">
        <v>256</v>
      </c>
      <c r="M26" s="1550">
        <v>26022</v>
      </c>
      <c r="N26" s="1551">
        <v>47938</v>
      </c>
      <c r="O26" s="632"/>
      <c r="P26" s="330"/>
      <c r="Q26" s="334"/>
      <c r="R26" s="1552" t="s">
        <v>313</v>
      </c>
      <c r="S26" s="334"/>
      <c r="T26" s="450"/>
      <c r="U26" s="1553"/>
      <c r="V26" s="630"/>
      <c r="W26" s="334"/>
      <c r="X26" s="633"/>
      <c r="Y26" s="633"/>
      <c r="Z26" s="633"/>
      <c r="AA26" s="633"/>
      <c r="AB26" s="633"/>
      <c r="AC26" s="633"/>
      <c r="AD26" s="199"/>
      <c r="AE26" s="199"/>
      <c r="AF26" s="199"/>
      <c r="AG26" s="199"/>
      <c r="AH26" s="199"/>
      <c r="AI26" s="199"/>
      <c r="AJ26" s="199"/>
      <c r="AK26" s="199"/>
      <c r="AL26" s="199"/>
      <c r="AM26" s="199"/>
    </row>
    <row r="27" spans="1:39" ht="15.75" hidden="1" customHeight="1">
      <c r="A27" s="656">
        <v>17</v>
      </c>
      <c r="B27" s="1554" t="s">
        <v>2853</v>
      </c>
      <c r="C27" s="1544" t="s">
        <v>31</v>
      </c>
      <c r="D27" s="1555" t="s">
        <v>2854</v>
      </c>
      <c r="E27" s="1373" t="s">
        <v>2855</v>
      </c>
      <c r="F27" s="1556" t="s">
        <v>759</v>
      </c>
      <c r="G27" s="1557"/>
      <c r="H27" s="359" t="s">
        <v>266</v>
      </c>
      <c r="I27" s="18">
        <v>9163382234</v>
      </c>
      <c r="J27" s="79"/>
      <c r="K27" s="409" t="s">
        <v>261</v>
      </c>
      <c r="L27" s="1558" t="s">
        <v>256</v>
      </c>
      <c r="M27" s="356">
        <v>25565</v>
      </c>
      <c r="N27" s="357">
        <v>47483</v>
      </c>
      <c r="O27" s="363"/>
      <c r="P27" s="330"/>
      <c r="Q27" s="334"/>
      <c r="R27" s="1552" t="s">
        <v>313</v>
      </c>
      <c r="S27" s="334"/>
      <c r="T27" s="450"/>
      <c r="U27" s="1553"/>
      <c r="V27" s="630"/>
      <c r="W27" s="334"/>
      <c r="X27" s="358"/>
      <c r="Y27" s="358"/>
      <c r="Z27" s="358"/>
      <c r="AA27" s="358"/>
      <c r="AB27" s="358"/>
      <c r="AC27" s="358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</row>
    <row r="28" spans="1:39" ht="15.75" hidden="1" customHeight="1">
      <c r="A28" s="656">
        <v>19</v>
      </c>
      <c r="B28" s="1554" t="s">
        <v>2856</v>
      </c>
      <c r="C28" s="1559" t="s">
        <v>31</v>
      </c>
      <c r="D28" s="1531" t="s">
        <v>2857</v>
      </c>
      <c r="E28" s="1560"/>
      <c r="F28" s="1561" t="s">
        <v>759</v>
      </c>
      <c r="G28" s="1557"/>
      <c r="H28" s="359" t="s">
        <v>266</v>
      </c>
      <c r="I28" s="18">
        <v>9002071505</v>
      </c>
      <c r="J28" s="79"/>
      <c r="K28" s="361" t="s">
        <v>253</v>
      </c>
      <c r="L28" s="125" t="s">
        <v>67</v>
      </c>
      <c r="M28" s="356">
        <v>26846</v>
      </c>
      <c r="N28" s="357">
        <v>48760</v>
      </c>
      <c r="O28" s="363"/>
      <c r="P28" s="330"/>
      <c r="Q28" s="334"/>
      <c r="R28" s="1210" t="s">
        <v>313</v>
      </c>
      <c r="S28" s="334"/>
      <c r="T28" s="450"/>
      <c r="U28" s="1553"/>
      <c r="V28" s="630"/>
      <c r="W28" s="334"/>
      <c r="X28" s="358"/>
      <c r="Y28" s="358"/>
      <c r="Z28" s="358"/>
      <c r="AA28" s="358"/>
      <c r="AB28" s="358"/>
      <c r="AC28" s="358"/>
      <c r="AD28" s="199"/>
      <c r="AE28" s="199"/>
      <c r="AF28" s="199"/>
      <c r="AG28" s="199"/>
      <c r="AH28" s="199"/>
      <c r="AI28" s="199"/>
      <c r="AJ28" s="199"/>
      <c r="AK28" s="199"/>
      <c r="AL28" s="199"/>
      <c r="AM28" s="199"/>
    </row>
    <row r="29" spans="1:39" ht="15.75" hidden="1" customHeight="1">
      <c r="A29" s="656">
        <v>20</v>
      </c>
      <c r="B29" s="1554" t="s">
        <v>2858</v>
      </c>
      <c r="C29" s="1559" t="s">
        <v>31</v>
      </c>
      <c r="D29" s="1531" t="s">
        <v>2859</v>
      </c>
      <c r="E29" s="1560"/>
      <c r="F29" s="1561" t="s">
        <v>759</v>
      </c>
      <c r="G29" s="1557"/>
      <c r="H29" s="359" t="s">
        <v>266</v>
      </c>
      <c r="I29" s="18">
        <v>9772356451</v>
      </c>
      <c r="J29" s="79"/>
      <c r="K29" s="361" t="s">
        <v>253</v>
      </c>
      <c r="L29" s="125" t="s">
        <v>67</v>
      </c>
      <c r="M29" s="356">
        <v>28155</v>
      </c>
      <c r="N29" s="357">
        <v>50071</v>
      </c>
      <c r="O29" s="363"/>
      <c r="P29" s="330"/>
      <c r="Q29" s="334"/>
      <c r="R29" s="1210" t="s">
        <v>313</v>
      </c>
      <c r="S29" s="334"/>
      <c r="T29" s="450"/>
      <c r="U29" s="1553"/>
      <c r="V29" s="630"/>
      <c r="W29" s="334"/>
      <c r="X29" s="358"/>
      <c r="Y29" s="358"/>
      <c r="Z29" s="358"/>
      <c r="AA29" s="358"/>
      <c r="AB29" s="358"/>
      <c r="AC29" s="358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</row>
    <row r="30" spans="1:39" ht="15.75" hidden="1" customHeight="1">
      <c r="A30" s="656">
        <v>21</v>
      </c>
      <c r="B30" s="1554" t="s">
        <v>2860</v>
      </c>
      <c r="C30" s="1559" t="s">
        <v>31</v>
      </c>
      <c r="D30" s="1531" t="s">
        <v>2861</v>
      </c>
      <c r="E30" s="1560"/>
      <c r="F30" s="1561" t="s">
        <v>759</v>
      </c>
      <c r="G30" s="1557"/>
      <c r="H30" s="359" t="s">
        <v>266</v>
      </c>
      <c r="I30" s="18">
        <v>9163382215</v>
      </c>
      <c r="J30" s="79"/>
      <c r="K30" s="361" t="s">
        <v>253</v>
      </c>
      <c r="L30" s="398" t="s">
        <v>55</v>
      </c>
      <c r="M30" s="356">
        <v>26390</v>
      </c>
      <c r="N30" s="357">
        <v>48304</v>
      </c>
      <c r="O30" s="363"/>
      <c r="P30" s="330"/>
      <c r="Q30" s="334"/>
      <c r="R30" s="1210" t="s">
        <v>313</v>
      </c>
      <c r="S30" s="334"/>
      <c r="T30" s="450"/>
      <c r="U30" s="1553"/>
      <c r="V30" s="630"/>
      <c r="W30" s="334"/>
      <c r="X30" s="358"/>
      <c r="Y30" s="358"/>
      <c r="Z30" s="358"/>
      <c r="AA30" s="358"/>
      <c r="AB30" s="358"/>
      <c r="AC30" s="358"/>
      <c r="AD30" s="199"/>
      <c r="AE30" s="199"/>
      <c r="AF30" s="199"/>
      <c r="AG30" s="199"/>
      <c r="AH30" s="199"/>
      <c r="AI30" s="199"/>
      <c r="AJ30" s="199"/>
      <c r="AK30" s="199"/>
      <c r="AL30" s="199"/>
      <c r="AM30" s="199"/>
    </row>
    <row r="31" spans="1:39" ht="15.75" hidden="1" customHeight="1">
      <c r="A31" s="656">
        <v>22</v>
      </c>
      <c r="B31" s="1527" t="s">
        <v>2862</v>
      </c>
      <c r="C31" s="1559" t="s">
        <v>31</v>
      </c>
      <c r="D31" s="1531" t="s">
        <v>2863</v>
      </c>
      <c r="E31" s="1546"/>
      <c r="F31" s="1561" t="s">
        <v>759</v>
      </c>
      <c r="G31" s="1557"/>
      <c r="H31" s="359" t="s">
        <v>266</v>
      </c>
      <c r="I31" s="18">
        <v>9163382112</v>
      </c>
      <c r="J31" s="79"/>
      <c r="K31" s="409" t="s">
        <v>261</v>
      </c>
      <c r="L31" s="398" t="s">
        <v>44</v>
      </c>
      <c r="M31" s="356">
        <v>27731</v>
      </c>
      <c r="N31" s="357">
        <v>49674</v>
      </c>
      <c r="O31" s="363"/>
      <c r="P31" s="330"/>
      <c r="Q31" s="334"/>
      <c r="R31" s="1210" t="s">
        <v>313</v>
      </c>
      <c r="S31" s="334"/>
      <c r="T31" s="450"/>
      <c r="U31" s="1553"/>
      <c r="V31" s="630"/>
      <c r="W31" s="334"/>
      <c r="X31" s="358"/>
      <c r="Y31" s="358"/>
      <c r="Z31" s="358"/>
      <c r="AA31" s="358"/>
      <c r="AB31" s="358"/>
      <c r="AC31" s="358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</row>
    <row r="32" spans="1:39" ht="15.75" hidden="1" customHeight="1">
      <c r="A32" s="656">
        <v>23</v>
      </c>
      <c r="B32" s="1527" t="s">
        <v>2864</v>
      </c>
      <c r="C32" s="1559" t="s">
        <v>31</v>
      </c>
      <c r="D32" s="1562" t="s">
        <v>2865</v>
      </c>
      <c r="E32" s="1546"/>
      <c r="F32" s="1561" t="s">
        <v>759</v>
      </c>
      <c r="G32" s="1557"/>
      <c r="H32" s="359" t="s">
        <v>266</v>
      </c>
      <c r="I32" s="18">
        <v>9163382126</v>
      </c>
      <c r="J32" s="79"/>
      <c r="K32" s="409" t="s">
        <v>261</v>
      </c>
      <c r="L32" s="398" t="s">
        <v>55</v>
      </c>
      <c r="M32" s="356">
        <v>27250</v>
      </c>
      <c r="N32" s="357">
        <v>49187</v>
      </c>
      <c r="O32" s="363"/>
      <c r="P32" s="330"/>
      <c r="Q32" s="334"/>
      <c r="R32" s="1210" t="s">
        <v>313</v>
      </c>
      <c r="S32" s="334"/>
      <c r="T32" s="450"/>
      <c r="U32" s="1553"/>
      <c r="V32" s="630"/>
      <c r="W32" s="334"/>
      <c r="X32" s="358"/>
      <c r="Y32" s="358"/>
      <c r="Z32" s="358"/>
      <c r="AA32" s="358"/>
      <c r="AB32" s="358"/>
      <c r="AC32" s="358"/>
      <c r="AD32" s="199"/>
      <c r="AE32" s="199"/>
      <c r="AF32" s="199"/>
      <c r="AG32" s="199"/>
      <c r="AH32" s="199"/>
      <c r="AI32" s="199"/>
      <c r="AJ32" s="199"/>
      <c r="AK32" s="199"/>
      <c r="AL32" s="199"/>
      <c r="AM32" s="199"/>
    </row>
    <row r="33" spans="1:39" ht="15.75" hidden="1" customHeight="1">
      <c r="A33" s="656">
        <v>24</v>
      </c>
      <c r="B33" s="1527" t="s">
        <v>2866</v>
      </c>
      <c r="C33" s="1559" t="s">
        <v>31</v>
      </c>
      <c r="D33" s="636" t="s">
        <v>2867</v>
      </c>
      <c r="E33" s="527" t="s">
        <v>2868</v>
      </c>
      <c r="F33" s="1561" t="s">
        <v>759</v>
      </c>
      <c r="G33" s="1557"/>
      <c r="H33" s="359" t="s">
        <v>266</v>
      </c>
      <c r="I33" s="18">
        <v>9163382184</v>
      </c>
      <c r="J33" s="79"/>
      <c r="K33" s="409" t="s">
        <v>261</v>
      </c>
      <c r="L33" s="18" t="s">
        <v>55</v>
      </c>
      <c r="M33" s="356">
        <v>25985</v>
      </c>
      <c r="N33" s="357">
        <v>47907</v>
      </c>
      <c r="O33" s="363"/>
      <c r="P33" s="330"/>
      <c r="Q33" s="334"/>
      <c r="R33" s="449" t="s">
        <v>313</v>
      </c>
      <c r="S33" s="334"/>
      <c r="T33" s="450"/>
      <c r="U33" s="1553"/>
      <c r="V33" s="630"/>
      <c r="W33" s="334"/>
      <c r="X33" s="358"/>
      <c r="Y33" s="358"/>
      <c r="Z33" s="358"/>
      <c r="AA33" s="358"/>
      <c r="AB33" s="358"/>
      <c r="AC33" s="358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</row>
    <row r="34" spans="1:39" ht="15.75" hidden="1" customHeight="1">
      <c r="A34" s="656">
        <v>25</v>
      </c>
      <c r="B34" s="637" t="s">
        <v>2869</v>
      </c>
      <c r="C34" s="1559" t="s">
        <v>31</v>
      </c>
      <c r="D34" s="636" t="s">
        <v>2870</v>
      </c>
      <c r="E34" s="527" t="s">
        <v>2871</v>
      </c>
      <c r="F34" s="1561" t="s">
        <v>759</v>
      </c>
      <c r="G34" s="359" t="s">
        <v>76</v>
      </c>
      <c r="H34" s="359" t="s">
        <v>266</v>
      </c>
      <c r="I34" s="18">
        <v>9163382282</v>
      </c>
      <c r="J34" s="79"/>
      <c r="K34" s="328" t="s">
        <v>253</v>
      </c>
      <c r="L34" s="398" t="s">
        <v>256</v>
      </c>
      <c r="M34" s="356">
        <v>27406</v>
      </c>
      <c r="N34" s="357">
        <v>49340</v>
      </c>
      <c r="O34" s="363"/>
      <c r="P34" s="330"/>
      <c r="Q34" s="334"/>
      <c r="R34" s="1210" t="s">
        <v>313</v>
      </c>
      <c r="S34" s="334"/>
      <c r="T34" s="450"/>
      <c r="U34" s="1553"/>
      <c r="V34" s="630"/>
      <c r="W34" s="334"/>
      <c r="X34" s="358"/>
      <c r="Y34" s="358"/>
      <c r="Z34" s="358"/>
      <c r="AA34" s="358"/>
      <c r="AB34" s="358"/>
      <c r="AC34" s="358"/>
      <c r="AD34" s="199"/>
      <c r="AE34" s="199"/>
      <c r="AF34" s="199"/>
      <c r="AG34" s="199"/>
      <c r="AH34" s="199"/>
      <c r="AI34" s="199"/>
      <c r="AJ34" s="199"/>
      <c r="AK34" s="199"/>
      <c r="AL34" s="199"/>
      <c r="AM34" s="199"/>
    </row>
    <row r="35" spans="1:39" ht="15.75" hidden="1" customHeight="1">
      <c r="A35" s="656">
        <v>26</v>
      </c>
      <c r="B35" s="1563" t="s">
        <v>2872</v>
      </c>
      <c r="C35" s="1559" t="s">
        <v>31</v>
      </c>
      <c r="D35" s="438" t="s">
        <v>2873</v>
      </c>
      <c r="E35" s="1370" t="s">
        <v>2874</v>
      </c>
      <c r="F35" s="1561" t="s">
        <v>759</v>
      </c>
      <c r="G35" s="1557"/>
      <c r="H35" s="359" t="s">
        <v>266</v>
      </c>
      <c r="I35" s="18">
        <v>9163382254</v>
      </c>
      <c r="J35" s="79"/>
      <c r="K35" s="409" t="s">
        <v>261</v>
      </c>
      <c r="L35" s="398" t="s">
        <v>299</v>
      </c>
      <c r="M35" s="356">
        <v>30011</v>
      </c>
      <c r="N35" s="357">
        <v>51925</v>
      </c>
      <c r="O35" s="363"/>
      <c r="P35" s="330"/>
      <c r="Q35" s="334"/>
      <c r="R35" s="1210" t="s">
        <v>313</v>
      </c>
      <c r="S35" s="334"/>
      <c r="T35" s="450"/>
      <c r="U35" s="1553"/>
      <c r="V35" s="630"/>
      <c r="W35" s="334"/>
      <c r="X35" s="358"/>
      <c r="Y35" s="358"/>
      <c r="Z35" s="358"/>
      <c r="AA35" s="358"/>
      <c r="AB35" s="358"/>
      <c r="AC35" s="358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</row>
    <row r="36" spans="1:39" ht="15.75" hidden="1">
      <c r="A36" s="656">
        <v>27</v>
      </c>
      <c r="B36" s="334" t="s">
        <v>2875</v>
      </c>
      <c r="C36" s="1564" t="s">
        <v>31</v>
      </c>
      <c r="D36" s="438" t="s">
        <v>2876</v>
      </c>
      <c r="E36" s="656" t="s">
        <v>2877</v>
      </c>
      <c r="F36" s="1561" t="s">
        <v>759</v>
      </c>
      <c r="G36" s="327"/>
      <c r="H36" s="359" t="s">
        <v>266</v>
      </c>
      <c r="I36" s="18">
        <v>7980071320</v>
      </c>
      <c r="J36" s="79"/>
      <c r="K36" s="328" t="s">
        <v>261</v>
      </c>
      <c r="L36" s="327" t="s">
        <v>43</v>
      </c>
      <c r="M36" s="933">
        <v>27793</v>
      </c>
      <c r="N36" s="914">
        <v>49734</v>
      </c>
      <c r="O36" s="330"/>
      <c r="P36" s="330"/>
      <c r="Q36" s="1565"/>
      <c r="R36" s="1552" t="s">
        <v>313</v>
      </c>
      <c r="S36" s="334"/>
      <c r="T36" s="450"/>
      <c r="U36" s="332"/>
      <c r="V36" s="334"/>
      <c r="W36" s="334"/>
      <c r="X36" s="334"/>
      <c r="Y36" s="334"/>
      <c r="Z36" s="334"/>
      <c r="AA36" s="334"/>
      <c r="AB36" s="334"/>
      <c r="AC36" s="334"/>
      <c r="AD36" s="334"/>
      <c r="AE36" s="334"/>
      <c r="AF36" s="334"/>
      <c r="AG36" s="334"/>
      <c r="AH36" s="334"/>
      <c r="AI36" s="334"/>
      <c r="AJ36" s="334"/>
      <c r="AK36" s="199"/>
      <c r="AL36" s="199"/>
      <c r="AM36" s="199"/>
    </row>
    <row r="37" spans="1:39" ht="15.75" hidden="1" customHeight="1">
      <c r="A37" s="1125">
        <v>57</v>
      </c>
      <c r="B37" s="351" t="s">
        <v>2878</v>
      </c>
      <c r="C37" s="275" t="s">
        <v>31</v>
      </c>
      <c r="D37" s="304">
        <v>50205901900</v>
      </c>
      <c r="E37" s="345" t="s">
        <v>2879</v>
      </c>
      <c r="F37" s="137" t="s">
        <v>759</v>
      </c>
      <c r="G37" s="274" t="s">
        <v>77</v>
      </c>
      <c r="H37" s="274" t="s">
        <v>279</v>
      </c>
      <c r="I37" s="275">
        <v>9002071077</v>
      </c>
      <c r="J37" s="275"/>
      <c r="K37" s="275" t="s">
        <v>290</v>
      </c>
      <c r="L37" s="303" t="s">
        <v>52</v>
      </c>
      <c r="M37" s="272">
        <v>25163</v>
      </c>
      <c r="N37" s="272">
        <v>47087</v>
      </c>
      <c r="O37" s="272">
        <v>45148</v>
      </c>
      <c r="P37" s="278">
        <v>45115</v>
      </c>
      <c r="Q37" s="279">
        <v>46178</v>
      </c>
      <c r="R37" s="1552" t="s">
        <v>313</v>
      </c>
      <c r="S37" s="485"/>
      <c r="T37" s="486" t="s">
        <v>2880</v>
      </c>
      <c r="U37" s="486" t="s">
        <v>2881</v>
      </c>
      <c r="V37" s="382">
        <f t="shared" ref="V37:V39" si="1">LEN(D37)</f>
        <v>11</v>
      </c>
      <c r="W37" s="382"/>
      <c r="X37" s="48">
        <f t="shared" ref="X37:X39" ca="1" si="2">INT((TODAY()-M37)/365)</f>
        <v>57</v>
      </c>
      <c r="Y37" s="311"/>
      <c r="AB37" s="311"/>
      <c r="AC37" s="311"/>
      <c r="AD37" s="311"/>
      <c r="AE37" s="311"/>
      <c r="AF37" s="311"/>
      <c r="AG37" s="311"/>
      <c r="AH37" s="311"/>
      <c r="AI37" s="311"/>
      <c r="AJ37" s="311"/>
      <c r="AK37" s="311"/>
      <c r="AL37" s="311"/>
      <c r="AM37" s="311"/>
    </row>
    <row r="38" spans="1:39" ht="30" hidden="1">
      <c r="A38" s="1566">
        <v>4</v>
      </c>
      <c r="B38" s="401" t="s">
        <v>2882</v>
      </c>
      <c r="C38" s="275" t="s">
        <v>31</v>
      </c>
      <c r="D38" s="1567">
        <v>50205411865</v>
      </c>
      <c r="E38" s="274" t="s">
        <v>2883</v>
      </c>
      <c r="F38" s="18" t="s">
        <v>759</v>
      </c>
      <c r="G38" s="274" t="s">
        <v>77</v>
      </c>
      <c r="H38" s="274" t="s">
        <v>266</v>
      </c>
      <c r="I38" s="275">
        <v>9002071691</v>
      </c>
      <c r="J38" s="284">
        <v>9382713146</v>
      </c>
      <c r="K38" s="274" t="s">
        <v>464</v>
      </c>
      <c r="L38" s="303" t="s">
        <v>52</v>
      </c>
      <c r="M38" s="272">
        <v>27120</v>
      </c>
      <c r="N38" s="272">
        <v>49034</v>
      </c>
      <c r="O38" s="272">
        <v>45750</v>
      </c>
      <c r="P38" s="278">
        <v>45115</v>
      </c>
      <c r="Q38" s="279">
        <v>45109</v>
      </c>
      <c r="R38" s="1552" t="s">
        <v>313</v>
      </c>
      <c r="S38" s="485"/>
      <c r="T38" s="486" t="s">
        <v>2884</v>
      </c>
      <c r="U38" s="486" t="s">
        <v>2884</v>
      </c>
      <c r="V38" s="382">
        <f t="shared" si="1"/>
        <v>11</v>
      </c>
      <c r="W38" s="382"/>
      <c r="X38" s="282">
        <f t="shared" ca="1" si="2"/>
        <v>51</v>
      </c>
      <c r="Y38" s="382"/>
      <c r="Z38" s="382"/>
      <c r="AA38" s="382"/>
      <c r="AB38" s="382"/>
      <c r="AC38" s="382"/>
      <c r="AD38" s="382"/>
      <c r="AE38" s="382"/>
      <c r="AF38" s="382"/>
      <c r="AG38" s="382"/>
      <c r="AH38" s="382"/>
      <c r="AI38" s="311"/>
      <c r="AJ38" s="311"/>
      <c r="AK38" s="311"/>
      <c r="AL38" s="311"/>
      <c r="AM38" s="311"/>
    </row>
    <row r="39" spans="1:39" ht="15.75" hidden="1" customHeight="1">
      <c r="A39" s="1566">
        <v>6</v>
      </c>
      <c r="B39" s="401" t="s">
        <v>2885</v>
      </c>
      <c r="C39" s="275" t="s">
        <v>31</v>
      </c>
      <c r="D39" s="1284">
        <v>50205411853</v>
      </c>
      <c r="E39" s="274" t="s">
        <v>2886</v>
      </c>
      <c r="F39" s="18" t="s">
        <v>759</v>
      </c>
      <c r="G39" s="274" t="s">
        <v>77</v>
      </c>
      <c r="H39" s="274" t="s">
        <v>266</v>
      </c>
      <c r="I39" s="275">
        <v>9002071788</v>
      </c>
      <c r="J39" s="284">
        <v>9002071788</v>
      </c>
      <c r="K39" s="274" t="s">
        <v>464</v>
      </c>
      <c r="L39" s="274" t="s">
        <v>52</v>
      </c>
      <c r="M39" s="272">
        <v>24864</v>
      </c>
      <c r="N39" s="272">
        <v>46783</v>
      </c>
      <c r="O39" s="272">
        <v>45368</v>
      </c>
      <c r="P39" s="278">
        <v>45115</v>
      </c>
      <c r="Q39" s="279">
        <v>45078</v>
      </c>
      <c r="R39" s="1552" t="s">
        <v>313</v>
      </c>
      <c r="S39" s="485"/>
      <c r="T39" s="486" t="s">
        <v>2887</v>
      </c>
      <c r="U39" s="486" t="s">
        <v>2887</v>
      </c>
      <c r="V39" s="382">
        <f t="shared" si="1"/>
        <v>11</v>
      </c>
      <c r="W39" s="382"/>
      <c r="X39" s="282">
        <f t="shared" ca="1" si="2"/>
        <v>58</v>
      </c>
      <c r="Y39" s="79"/>
      <c r="Z39" s="79"/>
      <c r="AA39" s="311"/>
      <c r="AB39" s="311"/>
      <c r="AC39" s="311"/>
      <c r="AD39" s="311"/>
      <c r="AE39" s="311"/>
      <c r="AF39" s="311"/>
      <c r="AG39" s="311"/>
      <c r="AH39" s="311"/>
      <c r="AI39" s="311"/>
      <c r="AJ39" s="311"/>
      <c r="AK39" s="311"/>
      <c r="AL39" s="311"/>
      <c r="AM39" s="311"/>
    </row>
    <row r="40" spans="1:39" ht="15.75" hidden="1" customHeight="1">
      <c r="A40" s="1051">
        <v>71</v>
      </c>
      <c r="B40" s="351" t="s">
        <v>2888</v>
      </c>
      <c r="C40" s="525" t="s">
        <v>31</v>
      </c>
      <c r="D40" s="306">
        <v>50205618356</v>
      </c>
      <c r="E40" s="18" t="s">
        <v>2889</v>
      </c>
      <c r="F40" s="685" t="s">
        <v>759</v>
      </c>
      <c r="G40" s="284" t="s">
        <v>77</v>
      </c>
      <c r="H40" s="303" t="s">
        <v>1567</v>
      </c>
      <c r="I40" s="536">
        <v>9002071190</v>
      </c>
      <c r="J40" s="391">
        <v>9832861587</v>
      </c>
      <c r="K40" s="328" t="s">
        <v>253</v>
      </c>
      <c r="L40" s="274" t="s">
        <v>54</v>
      </c>
      <c r="M40" s="289">
        <v>32273</v>
      </c>
      <c r="N40" s="289">
        <v>54209</v>
      </c>
      <c r="O40" s="400">
        <v>46221</v>
      </c>
      <c r="P40" s="315">
        <v>45321</v>
      </c>
      <c r="Q40" s="302">
        <v>45276</v>
      </c>
      <c r="R40" s="449" t="s">
        <v>313</v>
      </c>
      <c r="S40" s="394" t="s">
        <v>2890</v>
      </c>
      <c r="T40" s="394" t="s">
        <v>2891</v>
      </c>
      <c r="U40" s="394" t="s">
        <v>2892</v>
      </c>
      <c r="V40" s="394" t="s">
        <v>2893</v>
      </c>
      <c r="W40" s="383">
        <f>LEN(TEXT(D40,0))</f>
        <v>11</v>
      </c>
      <c r="X40" s="395"/>
      <c r="Y40" s="48">
        <f ca="1">INT((TODAY()-M40)/365)</f>
        <v>37</v>
      </c>
      <c r="Z40" s="79"/>
      <c r="AA40" s="383"/>
      <c r="AB40" s="382">
        <f ca="1">INT((TODAY()-M40)/365)</f>
        <v>37</v>
      </c>
    </row>
    <row r="41" spans="1:39" ht="23.25" hidden="1" customHeight="1">
      <c r="A41" s="656">
        <v>9</v>
      </c>
      <c r="B41" s="1336" t="s">
        <v>2894</v>
      </c>
      <c r="C41" s="525" t="s">
        <v>31</v>
      </c>
      <c r="D41" s="1562" t="s">
        <v>2895</v>
      </c>
      <c r="E41" s="527" t="s">
        <v>2896</v>
      </c>
      <c r="F41" s="18" t="s">
        <v>759</v>
      </c>
      <c r="G41" s="306" t="s">
        <v>76</v>
      </c>
      <c r="H41" s="303" t="s">
        <v>266</v>
      </c>
      <c r="I41" s="1338">
        <v>9163382111</v>
      </c>
      <c r="J41" s="334"/>
      <c r="K41" s="409" t="s">
        <v>261</v>
      </c>
      <c r="L41" s="445" t="s">
        <v>67</v>
      </c>
      <c r="M41" s="1568">
        <v>24486</v>
      </c>
      <c r="N41" s="1533">
        <v>46418</v>
      </c>
      <c r="O41" s="329"/>
      <c r="P41" s="330"/>
      <c r="Q41" s="331"/>
      <c r="R41" s="449" t="s">
        <v>313</v>
      </c>
      <c r="S41" s="332"/>
      <c r="T41" s="450"/>
      <c r="U41" s="332"/>
      <c r="V41" s="1569" t="s">
        <v>2897</v>
      </c>
      <c r="W41" s="334"/>
      <c r="X41" s="334"/>
      <c r="Y41" s="334"/>
      <c r="Z41" s="334"/>
      <c r="AA41" s="334"/>
      <c r="AB41" s="334"/>
      <c r="AC41" s="334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/>
    </row>
    <row r="42" spans="1:39" ht="20.25" hidden="1" customHeight="1">
      <c r="A42" s="656">
        <v>27</v>
      </c>
      <c r="B42" s="223" t="s">
        <v>2898</v>
      </c>
      <c r="C42" s="525" t="s">
        <v>31</v>
      </c>
      <c r="D42" s="1570" t="s">
        <v>2899</v>
      </c>
      <c r="E42" s="18" t="s">
        <v>2900</v>
      </c>
      <c r="F42" s="685" t="s">
        <v>759</v>
      </c>
      <c r="G42" s="18" t="s">
        <v>76</v>
      </c>
      <c r="H42" s="18" t="s">
        <v>266</v>
      </c>
      <c r="I42" s="18">
        <v>8346898158</v>
      </c>
      <c r="J42" s="3"/>
      <c r="K42" s="409" t="s">
        <v>261</v>
      </c>
      <c r="L42" s="1464" t="s">
        <v>67</v>
      </c>
      <c r="M42" s="532">
        <v>33222</v>
      </c>
      <c r="N42" s="532">
        <v>55153</v>
      </c>
      <c r="O42" s="1571">
        <v>45918</v>
      </c>
      <c r="P42" s="1571">
        <v>46573</v>
      </c>
      <c r="Q42" s="1571">
        <v>46286</v>
      </c>
      <c r="R42" s="449" t="s">
        <v>313</v>
      </c>
      <c r="S42" s="3"/>
      <c r="T42" s="1572"/>
      <c r="U42" s="1573"/>
      <c r="V42" s="1574" t="s">
        <v>2901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90"/>
    </row>
    <row r="43" spans="1:39">
      <c r="A43" s="656">
        <v>5</v>
      </c>
      <c r="B43" s="1336" t="s">
        <v>2902</v>
      </c>
      <c r="C43" s="1210" t="s">
        <v>81</v>
      </c>
      <c r="D43" s="1575" t="s">
        <v>2903</v>
      </c>
      <c r="E43" s="327"/>
      <c r="F43" s="18" t="s">
        <v>759</v>
      </c>
      <c r="G43" s="306"/>
      <c r="H43" s="303" t="s">
        <v>279</v>
      </c>
      <c r="I43" s="18">
        <v>9163382283</v>
      </c>
      <c r="J43" s="334"/>
      <c r="K43" s="328" t="s">
        <v>253</v>
      </c>
      <c r="L43" s="274" t="s">
        <v>50</v>
      </c>
      <c r="M43" s="793">
        <v>24757</v>
      </c>
      <c r="N43" s="1533">
        <v>46691</v>
      </c>
      <c r="O43" s="329"/>
      <c r="P43" s="330"/>
      <c r="Q43" s="331"/>
      <c r="R43" s="449" t="s">
        <v>313</v>
      </c>
      <c r="S43" s="332"/>
      <c r="T43" s="450"/>
      <c r="U43" s="332"/>
      <c r="V43" s="334"/>
      <c r="W43" s="334"/>
      <c r="X43" s="334"/>
      <c r="Y43" s="334"/>
      <c r="Z43" s="334"/>
      <c r="AA43" s="334"/>
      <c r="AB43" s="334"/>
      <c r="AC43" s="334"/>
    </row>
    <row r="44" spans="1:39">
      <c r="A44" s="656">
        <v>8</v>
      </c>
      <c r="B44" s="1336" t="s">
        <v>2904</v>
      </c>
      <c r="C44" s="1210" t="s">
        <v>81</v>
      </c>
      <c r="D44" s="1531" t="s">
        <v>2905</v>
      </c>
      <c r="E44" s="527" t="s">
        <v>2906</v>
      </c>
      <c r="F44" s="18" t="s">
        <v>759</v>
      </c>
      <c r="G44" s="306" t="s">
        <v>76</v>
      </c>
      <c r="H44" s="303" t="s">
        <v>279</v>
      </c>
      <c r="I44" s="1338">
        <v>9163382134</v>
      </c>
      <c r="J44" s="334"/>
      <c r="K44" s="328" t="s">
        <v>253</v>
      </c>
      <c r="L44" s="445" t="s">
        <v>50</v>
      </c>
      <c r="M44" s="1568">
        <v>25433</v>
      </c>
      <c r="N44" s="1533">
        <v>47361</v>
      </c>
      <c r="O44" s="329"/>
      <c r="P44" s="330"/>
      <c r="Q44" s="331"/>
      <c r="R44" s="449" t="s">
        <v>313</v>
      </c>
      <c r="S44" s="332"/>
      <c r="T44" s="450"/>
      <c r="U44" s="332"/>
      <c r="V44" s="334"/>
      <c r="W44" s="334"/>
      <c r="X44" s="334"/>
      <c r="Y44" s="334"/>
      <c r="Z44" s="334"/>
      <c r="AA44" s="334"/>
      <c r="AB44" s="334"/>
      <c r="AC44" s="334"/>
      <c r="AD44" s="199"/>
      <c r="AE44" s="199"/>
      <c r="AF44" s="199"/>
      <c r="AG44" s="199"/>
      <c r="AH44" s="199"/>
      <c r="AI44" s="199"/>
      <c r="AJ44" s="199"/>
      <c r="AK44" s="199"/>
      <c r="AL44" s="199"/>
      <c r="AM44" s="199"/>
    </row>
    <row r="45" spans="1:39" ht="17.25" hidden="1" customHeight="1">
      <c r="A45" s="656">
        <v>10</v>
      </c>
      <c r="B45" s="1336" t="s">
        <v>2907</v>
      </c>
      <c r="C45" s="1210" t="s">
        <v>20</v>
      </c>
      <c r="D45" s="1562" t="s">
        <v>2908</v>
      </c>
      <c r="E45" s="527" t="s">
        <v>2909</v>
      </c>
      <c r="F45" s="18" t="s">
        <v>759</v>
      </c>
      <c r="G45" s="306" t="s">
        <v>77</v>
      </c>
      <c r="H45" s="303" t="s">
        <v>266</v>
      </c>
      <c r="I45" s="1576">
        <v>9163382251</v>
      </c>
      <c r="J45" s="334"/>
      <c r="K45" s="409" t="s">
        <v>464</v>
      </c>
      <c r="L45" s="536" t="s">
        <v>57</v>
      </c>
      <c r="M45" s="1568">
        <v>28887</v>
      </c>
      <c r="N45" s="1577">
        <v>50829</v>
      </c>
      <c r="O45" s="329"/>
      <c r="P45" s="330"/>
      <c r="Q45" s="331"/>
      <c r="R45" s="449" t="s">
        <v>313</v>
      </c>
      <c r="S45" s="332"/>
      <c r="T45" s="450"/>
      <c r="U45" s="332"/>
      <c r="V45" s="79"/>
      <c r="W45" s="334"/>
      <c r="X45" s="334"/>
      <c r="Y45" s="334"/>
      <c r="Z45" s="334"/>
      <c r="AA45" s="334"/>
      <c r="AB45" s="334"/>
      <c r="AC45" s="1578" t="s">
        <v>2910</v>
      </c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</row>
    <row r="46" spans="1:39" ht="15.75">
      <c r="A46" s="656">
        <v>11</v>
      </c>
      <c r="B46" s="1579" t="s">
        <v>2911</v>
      </c>
      <c r="C46" s="1210" t="s">
        <v>81</v>
      </c>
      <c r="D46" s="1532" t="s">
        <v>2912</v>
      </c>
      <c r="E46" s="595" t="s">
        <v>2913</v>
      </c>
      <c r="F46" s="970" t="s">
        <v>759</v>
      </c>
      <c r="G46" s="306" t="s">
        <v>76</v>
      </c>
      <c r="H46" s="303" t="s">
        <v>266</v>
      </c>
      <c r="I46" s="605">
        <v>9163382171</v>
      </c>
      <c r="J46" s="79"/>
      <c r="K46" s="328" t="s">
        <v>253</v>
      </c>
      <c r="L46" s="445" t="s">
        <v>61</v>
      </c>
      <c r="M46" s="1580">
        <v>26949</v>
      </c>
      <c r="N46" s="1581">
        <v>48883</v>
      </c>
      <c r="O46" s="326"/>
      <c r="P46" s="933"/>
      <c r="Q46" s="915"/>
      <c r="R46" s="449" t="s">
        <v>313</v>
      </c>
      <c r="S46" s="332"/>
      <c r="T46" s="450"/>
      <c r="U46" s="1582" t="s">
        <v>2914</v>
      </c>
      <c r="V46" s="334"/>
      <c r="W46" s="334"/>
      <c r="X46" s="334"/>
      <c r="Y46" s="334"/>
      <c r="Z46" s="334"/>
      <c r="AA46" s="335"/>
      <c r="AB46" s="334"/>
      <c r="AC46" s="334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</row>
    <row r="47" spans="1:39" ht="15.75" hidden="1" customHeight="1">
      <c r="A47" s="1131">
        <v>2</v>
      </c>
      <c r="B47" s="1583" t="s">
        <v>2915</v>
      </c>
      <c r="C47" s="274" t="s">
        <v>20</v>
      </c>
      <c r="D47" s="1284">
        <v>50200405763</v>
      </c>
      <c r="E47" s="620" t="s">
        <v>2916</v>
      </c>
      <c r="F47" s="946" t="s">
        <v>759</v>
      </c>
      <c r="G47" s="284" t="s">
        <v>77</v>
      </c>
      <c r="H47" s="1584"/>
      <c r="I47" s="1309">
        <v>7908477458</v>
      </c>
      <c r="J47" s="690">
        <v>8509379186</v>
      </c>
      <c r="K47" s="274" t="s">
        <v>464</v>
      </c>
      <c r="L47" s="18" t="s">
        <v>62</v>
      </c>
      <c r="M47" s="272">
        <v>32572</v>
      </c>
      <c r="N47" s="272">
        <v>54513</v>
      </c>
      <c r="O47" s="272">
        <v>45858</v>
      </c>
      <c r="P47" s="279">
        <v>45637</v>
      </c>
      <c r="Q47" s="279">
        <v>45602</v>
      </c>
      <c r="R47" s="449" t="s">
        <v>313</v>
      </c>
      <c r="S47" s="603" t="s">
        <v>2917</v>
      </c>
      <c r="T47" s="486" t="s">
        <v>2918</v>
      </c>
      <c r="U47" s="486" t="s">
        <v>2919</v>
      </c>
      <c r="V47" s="485"/>
      <c r="W47" s="285"/>
      <c r="X47" s="382"/>
      <c r="Y47" s="382"/>
      <c r="Z47" s="382"/>
      <c r="AA47" s="382"/>
      <c r="AB47" s="382"/>
      <c r="AC47" s="311"/>
      <c r="AD47" s="311"/>
      <c r="AE47" s="311"/>
      <c r="AF47" s="311"/>
      <c r="AG47" s="311"/>
      <c r="AH47" s="311"/>
      <c r="AI47" s="311"/>
      <c r="AJ47" s="311"/>
      <c r="AK47" s="311"/>
      <c r="AL47" s="311"/>
      <c r="AM47" s="311"/>
    </row>
    <row r="48" spans="1:39" ht="15.75" hidden="1" customHeight="1">
      <c r="A48" s="1051">
        <v>115</v>
      </c>
      <c r="B48" s="293" t="s">
        <v>2920</v>
      </c>
      <c r="C48" s="274" t="s">
        <v>20</v>
      </c>
      <c r="D48" s="1585" t="s">
        <v>2921</v>
      </c>
      <c r="E48" s="1004" t="s">
        <v>2922</v>
      </c>
      <c r="F48" s="946" t="s">
        <v>759</v>
      </c>
      <c r="G48" s="274" t="s">
        <v>76</v>
      </c>
      <c r="H48" s="274" t="s">
        <v>266</v>
      </c>
      <c r="I48" s="275">
        <v>7980312909</v>
      </c>
      <c r="J48" s="391"/>
      <c r="K48" s="275" t="s">
        <v>315</v>
      </c>
      <c r="L48" s="1362" t="s">
        <v>56</v>
      </c>
      <c r="M48" s="272">
        <v>29211</v>
      </c>
      <c r="N48" s="272">
        <v>51135</v>
      </c>
      <c r="O48" s="272">
        <v>45648</v>
      </c>
      <c r="P48" s="279">
        <v>45531</v>
      </c>
      <c r="Q48" s="302">
        <v>45506</v>
      </c>
      <c r="R48" s="449" t="s">
        <v>313</v>
      </c>
      <c r="S48" s="603" t="s">
        <v>2923</v>
      </c>
      <c r="T48" s="485"/>
      <c r="U48" s="485"/>
      <c r="V48" s="485"/>
      <c r="W48" s="285"/>
      <c r="X48" s="382"/>
      <c r="Y48" s="1586"/>
      <c r="Z48" s="382"/>
      <c r="AA48" s="382"/>
      <c r="AB48" s="382"/>
      <c r="AC48" s="384"/>
      <c r="AD48" s="384"/>
      <c r="AE48" s="384"/>
      <c r="AF48" s="384"/>
      <c r="AG48" s="384"/>
      <c r="AH48" s="384"/>
      <c r="AI48" s="384"/>
      <c r="AJ48" s="384"/>
      <c r="AK48" s="384"/>
    </row>
    <row r="49" spans="1:39" ht="15.75" hidden="1" customHeight="1">
      <c r="A49" s="1131">
        <v>13</v>
      </c>
      <c r="B49" s="399" t="s">
        <v>2924</v>
      </c>
      <c r="C49" s="303" t="s">
        <v>20</v>
      </c>
      <c r="D49" s="1587" t="s">
        <v>2925</v>
      </c>
      <c r="E49" s="703" t="s">
        <v>2926</v>
      </c>
      <c r="F49" s="274" t="s">
        <v>759</v>
      </c>
      <c r="G49" s="284" t="s">
        <v>77</v>
      </c>
      <c r="H49" s="275"/>
      <c r="I49" s="275">
        <v>7908531016</v>
      </c>
      <c r="J49" s="284">
        <v>7908531016</v>
      </c>
      <c r="K49" s="274" t="s">
        <v>253</v>
      </c>
      <c r="L49" s="274" t="s">
        <v>417</v>
      </c>
      <c r="M49" s="272">
        <v>28139</v>
      </c>
      <c r="N49" s="272">
        <v>50071</v>
      </c>
      <c r="O49" s="320">
        <v>45785</v>
      </c>
      <c r="P49" s="272">
        <v>45541</v>
      </c>
      <c r="Q49" s="419">
        <v>46032</v>
      </c>
      <c r="R49" s="449" t="s">
        <v>313</v>
      </c>
      <c r="S49" s="281" t="s">
        <v>2927</v>
      </c>
      <c r="T49" s="280"/>
      <c r="U49" s="280"/>
      <c r="V49" s="485"/>
      <c r="W49" s="285"/>
      <c r="Y49" s="208">
        <f ca="1">INT((TODAY()-M49)/365)</f>
        <v>49</v>
      </c>
      <c r="Z49" s="311"/>
      <c r="AA49" s="311"/>
      <c r="AB49" s="311"/>
    </row>
    <row r="50" spans="1:39" ht="20.25" hidden="1" customHeight="1">
      <c r="A50" s="656">
        <v>1</v>
      </c>
      <c r="B50" s="524" t="s">
        <v>2928</v>
      </c>
      <c r="C50" s="1210" t="s">
        <v>20</v>
      </c>
      <c r="D50" s="1445" t="s">
        <v>2929</v>
      </c>
      <c r="E50" s="527" t="s">
        <v>2930</v>
      </c>
      <c r="F50" s="970" t="s">
        <v>759</v>
      </c>
      <c r="G50" s="525" t="s">
        <v>77</v>
      </c>
      <c r="H50" s="656" t="s">
        <v>1567</v>
      </c>
      <c r="I50" s="334"/>
      <c r="J50" s="334"/>
      <c r="K50" s="275" t="s">
        <v>315</v>
      </c>
      <c r="L50" s="445" t="s">
        <v>57</v>
      </c>
      <c r="M50" s="1141">
        <v>29779</v>
      </c>
      <c r="N50" s="528">
        <v>51866</v>
      </c>
      <c r="O50" s="1588" t="s">
        <v>2931</v>
      </c>
      <c r="P50" s="447">
        <v>46434</v>
      </c>
      <c r="Q50" s="447">
        <v>46604</v>
      </c>
      <c r="R50" s="449" t="s">
        <v>37</v>
      </c>
      <c r="S50" s="533"/>
      <c r="T50" s="1589" t="s">
        <v>2932</v>
      </c>
      <c r="U50" s="1492"/>
      <c r="V50" s="533"/>
      <c r="W50" s="533"/>
      <c r="X50" s="533"/>
      <c r="Y50" s="533"/>
      <c r="Z50" s="334"/>
      <c r="AA50" s="334"/>
      <c r="AB50" s="334"/>
      <c r="AC50" s="334"/>
      <c r="AD50" s="334"/>
      <c r="AE50" s="334"/>
      <c r="AF50" s="334"/>
      <c r="AG50" s="334"/>
      <c r="AH50" s="334"/>
      <c r="AI50" s="334"/>
      <c r="AJ50" s="199"/>
      <c r="AK50" s="199"/>
      <c r="AL50" s="199"/>
      <c r="AM50" s="199"/>
    </row>
    <row r="51" spans="1:39" ht="20.25" hidden="1" customHeight="1">
      <c r="A51" s="656">
        <v>2</v>
      </c>
      <c r="B51" s="335" t="s">
        <v>2933</v>
      </c>
      <c r="C51" s="1210" t="s">
        <v>20</v>
      </c>
      <c r="D51" s="1525" t="s">
        <v>2934</v>
      </c>
      <c r="E51" s="527" t="s">
        <v>2935</v>
      </c>
      <c r="F51" s="970" t="s">
        <v>759</v>
      </c>
      <c r="G51" s="1393" t="s">
        <v>77</v>
      </c>
      <c r="H51" s="656" t="s">
        <v>1567</v>
      </c>
      <c r="I51" s="334"/>
      <c r="J51" s="334"/>
      <c r="K51" s="409" t="s">
        <v>464</v>
      </c>
      <c r="L51" s="1464" t="s">
        <v>1843</v>
      </c>
      <c r="M51" s="325">
        <v>29256</v>
      </c>
      <c r="N51" s="326">
        <v>51194</v>
      </c>
      <c r="O51" s="447">
        <v>46512</v>
      </c>
      <c r="P51" s="447">
        <v>46434</v>
      </c>
      <c r="Q51" s="447">
        <v>46607</v>
      </c>
      <c r="R51" s="449" t="s">
        <v>37</v>
      </c>
      <c r="S51" s="332"/>
      <c r="T51" s="1569" t="s">
        <v>2936</v>
      </c>
      <c r="U51" s="9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199"/>
      <c r="AK51" s="199"/>
      <c r="AL51" s="199"/>
      <c r="AM51" s="199"/>
    </row>
    <row r="52" spans="1:39" ht="20.25" hidden="1" customHeight="1">
      <c r="A52" s="656">
        <v>3</v>
      </c>
      <c r="B52" s="322" t="s">
        <v>2937</v>
      </c>
      <c r="C52" s="1210" t="s">
        <v>20</v>
      </c>
      <c r="D52" s="1525" t="s">
        <v>2938</v>
      </c>
      <c r="E52" s="1590" t="s">
        <v>2939</v>
      </c>
      <c r="F52" s="18" t="s">
        <v>759</v>
      </c>
      <c r="G52" s="306" t="s">
        <v>77</v>
      </c>
      <c r="H52" s="303" t="s">
        <v>1567</v>
      </c>
      <c r="I52" s="79"/>
      <c r="J52" s="79"/>
      <c r="K52" s="409" t="s">
        <v>315</v>
      </c>
      <c r="L52" s="1464" t="s">
        <v>2940</v>
      </c>
      <c r="M52" s="1591">
        <v>28474</v>
      </c>
      <c r="N52" s="532">
        <v>50405</v>
      </c>
      <c r="O52" s="447">
        <v>46375</v>
      </c>
      <c r="P52" s="447">
        <v>46434</v>
      </c>
      <c r="Q52" s="447">
        <v>46576</v>
      </c>
      <c r="R52" s="449" t="s">
        <v>37</v>
      </c>
      <c r="S52" s="332"/>
      <c r="T52" s="1569" t="s">
        <v>2941</v>
      </c>
      <c r="U52" s="332"/>
      <c r="V52" s="334"/>
      <c r="W52" s="334"/>
      <c r="X52" s="334"/>
      <c r="Y52" s="334"/>
      <c r="Z52" s="334"/>
      <c r="AA52" s="334"/>
      <c r="AB52" s="334"/>
      <c r="AC52" s="334"/>
      <c r="AD52" s="334"/>
      <c r="AE52" s="334"/>
      <c r="AF52" s="334"/>
      <c r="AG52" s="334"/>
      <c r="AH52" s="334"/>
      <c r="AI52" s="334"/>
      <c r="AJ52" s="199"/>
      <c r="AK52" s="199"/>
      <c r="AL52" s="199"/>
      <c r="AM52" s="199"/>
    </row>
    <row r="53" spans="1:39" ht="20.25" hidden="1" customHeight="1">
      <c r="A53" s="656">
        <v>4</v>
      </c>
      <c r="B53" s="322" t="s">
        <v>2942</v>
      </c>
      <c r="C53" s="1210" t="s">
        <v>20</v>
      </c>
      <c r="D53" s="1525" t="s">
        <v>2943</v>
      </c>
      <c r="E53" s="327"/>
      <c r="F53" s="18" t="s">
        <v>759</v>
      </c>
      <c r="G53" s="306" t="s">
        <v>77</v>
      </c>
      <c r="H53" s="303" t="s">
        <v>1567</v>
      </c>
      <c r="I53" s="327"/>
      <c r="J53" s="327"/>
      <c r="K53" s="409" t="s">
        <v>315</v>
      </c>
      <c r="L53" s="1464" t="s">
        <v>2940</v>
      </c>
      <c r="M53" s="1529">
        <v>29099</v>
      </c>
      <c r="N53" s="794">
        <v>51013</v>
      </c>
      <c r="O53" s="447">
        <v>46034</v>
      </c>
      <c r="P53" s="447">
        <v>46434</v>
      </c>
      <c r="Q53" s="447">
        <v>46837</v>
      </c>
      <c r="R53" s="449" t="s">
        <v>37</v>
      </c>
      <c r="S53" s="332"/>
      <c r="T53" s="1569" t="s">
        <v>2944</v>
      </c>
      <c r="U53" s="332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334"/>
      <c r="AG53" s="334"/>
      <c r="AH53" s="334"/>
      <c r="AI53" s="334"/>
      <c r="AJ53" s="199"/>
      <c r="AK53" s="199"/>
      <c r="AL53" s="199"/>
      <c r="AM53" s="199"/>
    </row>
    <row r="54" spans="1:39" ht="20.25" hidden="1" customHeight="1">
      <c r="A54" s="656">
        <v>7</v>
      </c>
      <c r="B54" s="322" t="s">
        <v>2945</v>
      </c>
      <c r="C54" s="1210" t="s">
        <v>20</v>
      </c>
      <c r="D54" s="1525" t="s">
        <v>2946</v>
      </c>
      <c r="E54" s="527" t="s">
        <v>2947</v>
      </c>
      <c r="F54" s="970" t="s">
        <v>759</v>
      </c>
      <c r="G54" s="1535" t="s">
        <v>77</v>
      </c>
      <c r="H54" s="303" t="s">
        <v>1567</v>
      </c>
      <c r="I54" s="18">
        <v>9230881664</v>
      </c>
      <c r="J54" s="334"/>
      <c r="K54" s="409" t="s">
        <v>315</v>
      </c>
      <c r="L54" s="398" t="s">
        <v>55</v>
      </c>
      <c r="M54" s="793">
        <v>27408</v>
      </c>
      <c r="N54" s="794">
        <v>49340</v>
      </c>
      <c r="O54" s="327"/>
      <c r="P54" s="330"/>
      <c r="Q54" s="331"/>
      <c r="R54" s="449" t="s">
        <v>313</v>
      </c>
      <c r="S54" s="332"/>
      <c r="T54" s="638" t="s">
        <v>2948</v>
      </c>
      <c r="U54" s="1592" t="s">
        <v>2949</v>
      </c>
      <c r="V54" s="334"/>
      <c r="W54" s="334"/>
      <c r="X54" s="334"/>
      <c r="Y54" s="334"/>
      <c r="Z54" s="334"/>
      <c r="AA54" s="334"/>
      <c r="AB54" s="334"/>
      <c r="AC54" s="334"/>
      <c r="AD54" s="199"/>
      <c r="AE54" s="199"/>
      <c r="AF54" s="199"/>
      <c r="AG54" s="199"/>
      <c r="AH54" s="199"/>
      <c r="AI54" s="199"/>
      <c r="AJ54" s="199"/>
      <c r="AK54" s="199"/>
      <c r="AL54" s="199"/>
      <c r="AM54" s="199"/>
    </row>
    <row r="55" spans="1:39" ht="20.25" hidden="1" customHeight="1">
      <c r="A55" s="656">
        <v>8</v>
      </c>
      <c r="B55" s="335" t="s">
        <v>2950</v>
      </c>
      <c r="C55" s="1210" t="s">
        <v>20</v>
      </c>
      <c r="D55" s="1525" t="s">
        <v>2951</v>
      </c>
      <c r="E55" s="527" t="s">
        <v>2952</v>
      </c>
      <c r="F55" s="970" t="s">
        <v>759</v>
      </c>
      <c r="G55" s="1535" t="s">
        <v>76</v>
      </c>
      <c r="H55" s="303" t="s">
        <v>266</v>
      </c>
      <c r="I55" s="327"/>
      <c r="J55" s="334"/>
      <c r="K55" s="275" t="s">
        <v>315</v>
      </c>
      <c r="L55" s="445" t="s">
        <v>57</v>
      </c>
      <c r="M55" s="793">
        <v>27414</v>
      </c>
      <c r="N55" s="794">
        <v>49340</v>
      </c>
      <c r="O55" s="446">
        <v>46214</v>
      </c>
      <c r="P55" s="447">
        <v>46490</v>
      </c>
      <c r="Q55" s="447">
        <v>46395</v>
      </c>
      <c r="R55" s="449" t="s">
        <v>37</v>
      </c>
      <c r="S55" s="332"/>
      <c r="T55" s="1569" t="s">
        <v>2953</v>
      </c>
      <c r="U55" s="1592" t="s">
        <v>2954</v>
      </c>
      <c r="V55" s="334"/>
      <c r="W55" s="334"/>
      <c r="X55" s="334"/>
      <c r="Y55" s="334"/>
      <c r="Z55" s="334"/>
      <c r="AA55" s="334"/>
      <c r="AB55" s="334"/>
      <c r="AC55" s="334"/>
      <c r="AD55" s="199"/>
      <c r="AE55" s="199"/>
      <c r="AF55" s="199"/>
      <c r="AG55" s="199"/>
      <c r="AH55" s="199"/>
      <c r="AI55" s="199"/>
      <c r="AJ55" s="199"/>
      <c r="AK55" s="199"/>
      <c r="AL55" s="199"/>
      <c r="AM55" s="199"/>
    </row>
    <row r="56" spans="1:39" ht="20.25" hidden="1" customHeight="1">
      <c r="A56" s="656">
        <v>9</v>
      </c>
      <c r="B56" s="335" t="s">
        <v>2955</v>
      </c>
      <c r="C56" s="1210" t="s">
        <v>20</v>
      </c>
      <c r="D56" s="1525" t="s">
        <v>2956</v>
      </c>
      <c r="E56" s="527" t="s">
        <v>2957</v>
      </c>
      <c r="F56" s="970" t="s">
        <v>759</v>
      </c>
      <c r="G56" s="1535" t="s">
        <v>77</v>
      </c>
      <c r="H56" s="303" t="s">
        <v>266</v>
      </c>
      <c r="I56" s="327"/>
      <c r="J56" s="334"/>
      <c r="K56" s="409" t="s">
        <v>464</v>
      </c>
      <c r="L56" s="1486" t="s">
        <v>1843</v>
      </c>
      <c r="M56" s="793">
        <v>27428</v>
      </c>
      <c r="N56" s="326">
        <v>49368</v>
      </c>
      <c r="O56" s="447">
        <v>46495</v>
      </c>
      <c r="P56" s="446">
        <v>46461</v>
      </c>
      <c r="Q56" s="447">
        <v>46398</v>
      </c>
      <c r="R56" s="449" t="s">
        <v>37</v>
      </c>
      <c r="S56" s="332"/>
      <c r="T56" s="1569" t="s">
        <v>2958</v>
      </c>
      <c r="U56" s="1592" t="s">
        <v>2959</v>
      </c>
      <c r="V56" s="334"/>
      <c r="W56" s="334"/>
      <c r="X56" s="334"/>
      <c r="Y56" s="334"/>
      <c r="Z56" s="334"/>
      <c r="AA56" s="334"/>
      <c r="AB56" s="334"/>
      <c r="AC56" s="334"/>
      <c r="AD56" s="199"/>
      <c r="AE56" s="199"/>
      <c r="AF56" s="199"/>
      <c r="AG56" s="199"/>
      <c r="AH56" s="199"/>
      <c r="AI56" s="199"/>
      <c r="AJ56" s="199"/>
      <c r="AK56" s="199"/>
      <c r="AL56" s="199"/>
      <c r="AM56" s="199"/>
    </row>
    <row r="57" spans="1:39" ht="20.25" hidden="1" customHeight="1">
      <c r="A57" s="656">
        <v>10</v>
      </c>
      <c r="B57" s="322" t="s">
        <v>2960</v>
      </c>
      <c r="C57" s="1210" t="s">
        <v>20</v>
      </c>
      <c r="D57" s="1525" t="s">
        <v>2961</v>
      </c>
      <c r="E57" s="527" t="s">
        <v>2962</v>
      </c>
      <c r="F57" s="970" t="s">
        <v>759</v>
      </c>
      <c r="G57" s="1535" t="s">
        <v>76</v>
      </c>
      <c r="H57" s="303" t="s">
        <v>266</v>
      </c>
      <c r="I57" s="327"/>
      <c r="J57" s="334"/>
      <c r="K57" s="275" t="s">
        <v>315</v>
      </c>
      <c r="L57" s="445" t="s">
        <v>58</v>
      </c>
      <c r="M57" s="793">
        <v>27157</v>
      </c>
      <c r="N57" s="326">
        <v>49095</v>
      </c>
      <c r="O57" s="447">
        <v>46288</v>
      </c>
      <c r="P57" s="447">
        <v>46461</v>
      </c>
      <c r="Q57" s="447">
        <v>46395</v>
      </c>
      <c r="R57" s="449" t="s">
        <v>37</v>
      </c>
      <c r="S57" s="332"/>
      <c r="T57" s="1569" t="s">
        <v>2963</v>
      </c>
      <c r="U57" s="1592" t="s">
        <v>2964</v>
      </c>
      <c r="V57" s="334"/>
      <c r="W57" s="334"/>
      <c r="X57" s="334"/>
      <c r="Y57" s="334"/>
      <c r="Z57" s="334"/>
      <c r="AA57" s="334"/>
      <c r="AB57" s="334"/>
      <c r="AC57" s="334"/>
      <c r="AD57" s="199"/>
      <c r="AE57" s="199"/>
      <c r="AF57" s="199"/>
      <c r="AG57" s="199"/>
      <c r="AH57" s="199"/>
      <c r="AI57" s="199"/>
      <c r="AJ57" s="199"/>
      <c r="AK57" s="199"/>
      <c r="AL57" s="199"/>
      <c r="AM57" s="199"/>
    </row>
    <row r="58" spans="1:39" ht="20.25" hidden="1" customHeight="1">
      <c r="A58" s="656">
        <v>11</v>
      </c>
      <c r="B58" s="1593" t="s">
        <v>2965</v>
      </c>
      <c r="C58" s="1210" t="s">
        <v>20</v>
      </c>
      <c r="D58" s="1594" t="s">
        <v>2966</v>
      </c>
      <c r="E58" s="527" t="s">
        <v>2967</v>
      </c>
      <c r="F58" s="970" t="s">
        <v>759</v>
      </c>
      <c r="G58" s="1595" t="s">
        <v>77</v>
      </c>
      <c r="H58" s="303" t="s">
        <v>1567</v>
      </c>
      <c r="I58" s="18">
        <v>9230881677</v>
      </c>
      <c r="J58" s="334"/>
      <c r="K58" s="409" t="s">
        <v>315</v>
      </c>
      <c r="L58" s="1486" t="s">
        <v>1843</v>
      </c>
      <c r="M58" s="1596">
        <v>27760</v>
      </c>
      <c r="N58" s="529">
        <v>49674</v>
      </c>
      <c r="O58" s="1142"/>
      <c r="P58" s="1143"/>
      <c r="Q58" s="1142"/>
      <c r="R58" s="449" t="s">
        <v>313</v>
      </c>
      <c r="S58" s="533"/>
      <c r="T58" s="1589" t="s">
        <v>2968</v>
      </c>
      <c r="U58" s="535" t="s">
        <v>2969</v>
      </c>
      <c r="V58" s="533"/>
      <c r="W58" s="533"/>
      <c r="X58" s="533"/>
      <c r="Y58" s="533"/>
      <c r="Z58" s="334"/>
      <c r="AA58" s="334"/>
      <c r="AB58" s="334"/>
      <c r="AC58" s="334"/>
      <c r="AD58" s="199"/>
      <c r="AE58" s="199"/>
      <c r="AF58" s="199"/>
      <c r="AG58" s="199"/>
      <c r="AH58" s="199"/>
      <c r="AI58" s="199"/>
      <c r="AJ58" s="199"/>
      <c r="AK58" s="199"/>
      <c r="AL58" s="199"/>
      <c r="AM58" s="199"/>
    </row>
    <row r="59" spans="1:39" ht="20.25" hidden="1" customHeight="1">
      <c r="A59" s="656">
        <v>12</v>
      </c>
      <c r="B59" s="1593" t="s">
        <v>2970</v>
      </c>
      <c r="C59" s="1210" t="s">
        <v>20</v>
      </c>
      <c r="D59" s="1594" t="s">
        <v>2971</v>
      </c>
      <c r="E59" s="527" t="s">
        <v>2972</v>
      </c>
      <c r="F59" s="970" t="s">
        <v>759</v>
      </c>
      <c r="G59" s="1595" t="s">
        <v>76</v>
      </c>
      <c r="H59" s="303" t="s">
        <v>1567</v>
      </c>
      <c r="I59" s="327"/>
      <c r="J59" s="334"/>
      <c r="K59" s="409" t="s">
        <v>315</v>
      </c>
      <c r="L59" s="445" t="s">
        <v>58</v>
      </c>
      <c r="M59" s="1596">
        <v>27881</v>
      </c>
      <c r="N59" s="529">
        <v>49705</v>
      </c>
      <c r="O59" s="447">
        <v>46150</v>
      </c>
      <c r="P59" s="447">
        <v>46573</v>
      </c>
      <c r="Q59" s="447">
        <v>46632</v>
      </c>
      <c r="R59" s="449" t="s">
        <v>37</v>
      </c>
      <c r="S59" s="533"/>
      <c r="T59" s="1589" t="s">
        <v>2973</v>
      </c>
      <c r="U59" s="1492"/>
      <c r="V59" s="533"/>
      <c r="W59" s="533"/>
      <c r="X59" s="533"/>
      <c r="Y59" s="533"/>
      <c r="Z59" s="334"/>
      <c r="AA59" s="334"/>
      <c r="AB59" s="334"/>
      <c r="AC59" s="334"/>
      <c r="AD59" s="199"/>
      <c r="AE59" s="199"/>
      <c r="AF59" s="199"/>
      <c r="AG59" s="199"/>
      <c r="AH59" s="199"/>
      <c r="AI59" s="199"/>
      <c r="AJ59" s="199"/>
      <c r="AK59" s="199"/>
      <c r="AL59" s="199"/>
      <c r="AM59" s="199"/>
    </row>
    <row r="60" spans="1:39" ht="20.25" hidden="1" customHeight="1">
      <c r="A60" s="656">
        <v>14</v>
      </c>
      <c r="B60" s="977" t="s">
        <v>2974</v>
      </c>
      <c r="C60" s="1210" t="s">
        <v>20</v>
      </c>
      <c r="D60" s="1495" t="s">
        <v>2975</v>
      </c>
      <c r="E60" s="527" t="s">
        <v>2976</v>
      </c>
      <c r="F60" s="970" t="s">
        <v>759</v>
      </c>
      <c r="G60" s="306" t="s">
        <v>77</v>
      </c>
      <c r="H60" s="449" t="s">
        <v>266</v>
      </c>
      <c r="I60" s="656">
        <v>9163382172</v>
      </c>
      <c r="J60" s="334"/>
      <c r="K60" s="274" t="s">
        <v>464</v>
      </c>
      <c r="L60" s="1486" t="s">
        <v>1843</v>
      </c>
      <c r="M60" s="912">
        <v>29662</v>
      </c>
      <c r="N60" s="912">
        <v>51591</v>
      </c>
      <c r="O60" s="447">
        <v>46098</v>
      </c>
      <c r="P60" s="447">
        <v>46232</v>
      </c>
      <c r="Q60" s="447">
        <v>46202</v>
      </c>
      <c r="R60" s="449" t="s">
        <v>37</v>
      </c>
      <c r="S60" s="1569" t="s">
        <v>2977</v>
      </c>
      <c r="T60" s="1597"/>
      <c r="U60" s="332"/>
      <c r="V60" s="334"/>
      <c r="W60" s="334"/>
      <c r="X60" s="334"/>
      <c r="Y60" s="334"/>
      <c r="Z60" s="335" t="s">
        <v>2978</v>
      </c>
      <c r="AA60" s="334"/>
      <c r="AB60" s="334"/>
      <c r="AC60" s="334"/>
      <c r="AD60" s="199"/>
      <c r="AE60" s="199"/>
      <c r="AF60" s="199"/>
      <c r="AG60" s="199"/>
      <c r="AH60" s="199"/>
    </row>
    <row r="61" spans="1:39" ht="20.25" hidden="1" customHeight="1">
      <c r="A61" s="656">
        <v>15</v>
      </c>
      <c r="B61" s="1372" t="s">
        <v>2979</v>
      </c>
      <c r="C61" s="1210" t="s">
        <v>20</v>
      </c>
      <c r="D61" s="1495" t="s">
        <v>2980</v>
      </c>
      <c r="E61" s="527" t="s">
        <v>2981</v>
      </c>
      <c r="F61" s="970" t="s">
        <v>759</v>
      </c>
      <c r="G61" s="306" t="s">
        <v>77</v>
      </c>
      <c r="H61" s="449" t="s">
        <v>1567</v>
      </c>
      <c r="I61" s="656">
        <v>9163382174</v>
      </c>
      <c r="J61" s="610"/>
      <c r="K61" s="275" t="s">
        <v>315</v>
      </c>
      <c r="L61" s="445" t="s">
        <v>58</v>
      </c>
      <c r="M61" s="912">
        <v>28955</v>
      </c>
      <c r="N61" s="912">
        <v>50890</v>
      </c>
      <c r="O61" s="447">
        <v>46373</v>
      </c>
      <c r="P61" s="447">
        <v>46206</v>
      </c>
      <c r="Q61" s="1598">
        <v>45829</v>
      </c>
      <c r="R61" s="449" t="s">
        <v>37</v>
      </c>
      <c r="S61" s="373" t="s">
        <v>2982</v>
      </c>
      <c r="T61" s="1597" t="s">
        <v>2983</v>
      </c>
      <c r="U61" s="332"/>
      <c r="V61" s="334"/>
      <c r="W61" s="334"/>
      <c r="X61" s="334"/>
      <c r="Y61" s="334"/>
      <c r="Z61" s="335" t="s">
        <v>2978</v>
      </c>
      <c r="AA61" s="334"/>
      <c r="AB61" s="334"/>
      <c r="AC61" s="334"/>
      <c r="AD61" s="199"/>
      <c r="AE61" s="199"/>
      <c r="AF61" s="199"/>
      <c r="AG61" s="199"/>
      <c r="AH61" s="199"/>
    </row>
    <row r="62" spans="1:39" ht="20.25" hidden="1" customHeight="1">
      <c r="A62" s="656">
        <v>16</v>
      </c>
      <c r="B62" s="977" t="s">
        <v>2984</v>
      </c>
      <c r="C62" s="1210" t="s">
        <v>20</v>
      </c>
      <c r="D62" s="1495" t="s">
        <v>2985</v>
      </c>
      <c r="E62" s="527" t="s">
        <v>2986</v>
      </c>
      <c r="F62" s="970" t="s">
        <v>759</v>
      </c>
      <c r="G62" s="306" t="s">
        <v>76</v>
      </c>
      <c r="H62" s="449" t="s">
        <v>266</v>
      </c>
      <c r="I62" s="656">
        <v>9163382188</v>
      </c>
      <c r="J62" s="610"/>
      <c r="K62" s="275" t="s">
        <v>315</v>
      </c>
      <c r="L62" s="1464" t="s">
        <v>2940</v>
      </c>
      <c r="M62" s="1166">
        <v>28079</v>
      </c>
      <c r="N62" s="1166">
        <v>50009</v>
      </c>
      <c r="O62" s="447">
        <v>45989</v>
      </c>
      <c r="P62" s="447">
        <v>46351</v>
      </c>
      <c r="Q62" s="447">
        <v>45977</v>
      </c>
      <c r="R62" s="449" t="s">
        <v>37</v>
      </c>
      <c r="S62" s="373" t="s">
        <v>2987</v>
      </c>
      <c r="T62" s="1597" t="s">
        <v>2988</v>
      </c>
      <c r="U62" s="332"/>
      <c r="V62" s="334"/>
      <c r="W62" s="334"/>
      <c r="X62" s="334"/>
      <c r="Y62" s="334"/>
      <c r="Z62" s="335" t="s">
        <v>2978</v>
      </c>
      <c r="AA62" s="334"/>
      <c r="AB62" s="334"/>
      <c r="AC62" s="334"/>
      <c r="AD62" s="199"/>
      <c r="AE62" s="199"/>
      <c r="AF62" s="199"/>
      <c r="AG62" s="199"/>
      <c r="AH62" s="199"/>
    </row>
    <row r="63" spans="1:39" ht="20.25" hidden="1" customHeight="1">
      <c r="A63" s="656">
        <v>17</v>
      </c>
      <c r="B63" s="1372" t="s">
        <v>2989</v>
      </c>
      <c r="C63" s="1210" t="s">
        <v>20</v>
      </c>
      <c r="D63" s="1495" t="s">
        <v>2990</v>
      </c>
      <c r="E63" s="527" t="s">
        <v>2991</v>
      </c>
      <c r="F63" s="970" t="s">
        <v>759</v>
      </c>
      <c r="G63" s="306" t="s">
        <v>77</v>
      </c>
      <c r="H63" s="449" t="s">
        <v>266</v>
      </c>
      <c r="I63" s="656">
        <v>9163382257</v>
      </c>
      <c r="J63" s="610"/>
      <c r="K63" s="275" t="s">
        <v>315</v>
      </c>
      <c r="L63" s="1464" t="s">
        <v>2940</v>
      </c>
      <c r="M63" s="912">
        <v>31239</v>
      </c>
      <c r="N63" s="912">
        <v>53174</v>
      </c>
      <c r="O63" s="447">
        <v>46069</v>
      </c>
      <c r="P63" s="447">
        <v>46573</v>
      </c>
      <c r="Q63" s="447">
        <v>45913</v>
      </c>
      <c r="R63" s="449" t="s">
        <v>37</v>
      </c>
      <c r="S63" s="373" t="s">
        <v>2992</v>
      </c>
      <c r="T63" s="1597" t="s">
        <v>2993</v>
      </c>
      <c r="U63" s="332"/>
      <c r="V63" s="334"/>
      <c r="W63" s="334"/>
      <c r="X63" s="334"/>
      <c r="Y63" s="334"/>
      <c r="Z63" s="335" t="s">
        <v>2978</v>
      </c>
      <c r="AA63" s="334"/>
      <c r="AB63" s="334"/>
      <c r="AC63" s="334"/>
      <c r="AD63" s="199"/>
      <c r="AE63" s="199"/>
      <c r="AF63" s="199"/>
      <c r="AG63" s="199"/>
      <c r="AH63" s="199"/>
    </row>
    <row r="64" spans="1:39" ht="20.25" hidden="1" customHeight="1">
      <c r="A64" s="656">
        <v>18</v>
      </c>
      <c r="B64" s="989" t="s">
        <v>2994</v>
      </c>
      <c r="C64" s="1210" t="s">
        <v>20</v>
      </c>
      <c r="D64" s="1599" t="s">
        <v>2995</v>
      </c>
      <c r="E64" s="1600" t="s">
        <v>2996</v>
      </c>
      <c r="F64" s="970" t="s">
        <v>759</v>
      </c>
      <c r="G64" s="306" t="s">
        <v>76</v>
      </c>
      <c r="H64" s="449" t="s">
        <v>266</v>
      </c>
      <c r="I64" s="992">
        <v>9163382191</v>
      </c>
      <c r="J64" s="610"/>
      <c r="K64" s="275" t="s">
        <v>290</v>
      </c>
      <c r="L64" s="445" t="s">
        <v>58</v>
      </c>
      <c r="M64" s="995">
        <v>27431</v>
      </c>
      <c r="N64" s="995">
        <v>49368</v>
      </c>
      <c r="O64" s="447">
        <v>46061</v>
      </c>
      <c r="P64" s="447">
        <v>46211</v>
      </c>
      <c r="Q64" s="1598">
        <v>45829</v>
      </c>
      <c r="R64" s="449" t="s">
        <v>37</v>
      </c>
      <c r="S64" s="334"/>
      <c r="T64" s="450"/>
      <c r="U64" s="332"/>
      <c r="V64" s="334"/>
      <c r="W64" s="334"/>
      <c r="X64" s="334"/>
      <c r="Y64" s="334"/>
      <c r="Z64" s="335" t="s">
        <v>2978</v>
      </c>
      <c r="AA64" s="334"/>
      <c r="AB64" s="334"/>
      <c r="AC64" s="334"/>
      <c r="AD64" s="199"/>
      <c r="AE64" s="199"/>
      <c r="AF64" s="199"/>
      <c r="AG64" s="199"/>
      <c r="AH64" s="199"/>
    </row>
    <row r="65" spans="1:39" ht="20.25" hidden="1" customHeight="1">
      <c r="A65" s="656">
        <v>19</v>
      </c>
      <c r="B65" s="322" t="s">
        <v>2997</v>
      </c>
      <c r="C65" s="1210" t="s">
        <v>20</v>
      </c>
      <c r="D65" s="1525" t="s">
        <v>2998</v>
      </c>
      <c r="E65" s="527" t="s">
        <v>2999</v>
      </c>
      <c r="F65" s="970" t="s">
        <v>759</v>
      </c>
      <c r="G65" s="306" t="s">
        <v>77</v>
      </c>
      <c r="H65" s="303" t="s">
        <v>266</v>
      </c>
      <c r="I65" s="18">
        <v>9002071614</v>
      </c>
      <c r="J65" s="334"/>
      <c r="K65" s="409" t="s">
        <v>315</v>
      </c>
      <c r="L65" s="18" t="s">
        <v>55</v>
      </c>
      <c r="M65" s="793">
        <v>28136</v>
      </c>
      <c r="N65" s="326">
        <v>50071</v>
      </c>
      <c r="O65" s="329"/>
      <c r="P65" s="330"/>
      <c r="Q65" s="331"/>
      <c r="R65" s="449" t="s">
        <v>313</v>
      </c>
      <c r="S65" s="332"/>
      <c r="T65" s="1569" t="s">
        <v>3000</v>
      </c>
      <c r="U65" s="1592" t="s">
        <v>3001</v>
      </c>
      <c r="V65" s="334"/>
      <c r="W65" s="334"/>
      <c r="X65" s="334"/>
      <c r="Y65" s="334"/>
      <c r="Z65" s="334"/>
      <c r="AA65" s="334"/>
      <c r="AB65" s="334"/>
      <c r="AC65" s="334"/>
      <c r="AD65" s="334"/>
      <c r="AE65" s="334"/>
      <c r="AF65" s="334"/>
      <c r="AG65" s="199"/>
      <c r="AH65" s="199"/>
      <c r="AI65" s="199"/>
      <c r="AJ65" s="199"/>
      <c r="AK65" s="199"/>
      <c r="AL65" s="199"/>
      <c r="AM65" s="199"/>
    </row>
    <row r="66" spans="1:39" ht="20.25" hidden="1" customHeight="1">
      <c r="A66" s="656">
        <v>20</v>
      </c>
      <c r="B66" s="335" t="s">
        <v>3002</v>
      </c>
      <c r="C66" s="1210" t="s">
        <v>20</v>
      </c>
      <c r="D66" s="1601" t="s">
        <v>3003</v>
      </c>
      <c r="E66" s="527" t="s">
        <v>3004</v>
      </c>
      <c r="F66" s="970" t="s">
        <v>759</v>
      </c>
      <c r="G66" s="306" t="s">
        <v>77</v>
      </c>
      <c r="H66" s="3"/>
      <c r="I66" s="327"/>
      <c r="J66" s="334"/>
      <c r="K66" s="275" t="s">
        <v>315</v>
      </c>
      <c r="L66" s="445" t="s">
        <v>58</v>
      </c>
      <c r="M66" s="793">
        <v>27408</v>
      </c>
      <c r="N66" s="794">
        <v>49340</v>
      </c>
      <c r="O66" s="446">
        <v>46488</v>
      </c>
      <c r="P66" s="447">
        <v>46351</v>
      </c>
      <c r="Q66" s="447">
        <v>46426</v>
      </c>
      <c r="R66" s="449" t="s">
        <v>37</v>
      </c>
      <c r="S66" s="332"/>
      <c r="T66" s="1569" t="s">
        <v>3005</v>
      </c>
      <c r="U66" s="1592" t="s">
        <v>3006</v>
      </c>
      <c r="V66" s="334"/>
      <c r="W66" s="334"/>
      <c r="X66" s="334"/>
      <c r="Y66" s="334"/>
      <c r="Z66" s="334"/>
      <c r="AA66" s="334"/>
      <c r="AB66" s="334"/>
      <c r="AC66" s="334"/>
      <c r="AD66" s="199"/>
      <c r="AE66" s="199"/>
      <c r="AF66" s="199"/>
      <c r="AG66" s="199"/>
      <c r="AH66" s="199"/>
      <c r="AI66" s="199"/>
      <c r="AJ66" s="199"/>
      <c r="AK66" s="199"/>
      <c r="AL66" s="199"/>
      <c r="AM66" s="199"/>
    </row>
    <row r="67" spans="1:39" ht="20.25" hidden="1" customHeight="1">
      <c r="A67" s="656">
        <v>21</v>
      </c>
      <c r="B67" s="322" t="s">
        <v>3007</v>
      </c>
      <c r="C67" s="1210" t="s">
        <v>20</v>
      </c>
      <c r="D67" s="1525" t="s">
        <v>3008</v>
      </c>
      <c r="E67" s="527" t="s">
        <v>3009</v>
      </c>
      <c r="F67" s="970" t="s">
        <v>759</v>
      </c>
      <c r="G67" s="306" t="s">
        <v>76</v>
      </c>
      <c r="H67" s="303" t="s">
        <v>1567</v>
      </c>
      <c r="I67" s="18">
        <v>9002071714</v>
      </c>
      <c r="J67" s="334"/>
      <c r="K67" s="409" t="s">
        <v>315</v>
      </c>
      <c r="L67" s="125" t="s">
        <v>69</v>
      </c>
      <c r="M67" s="793">
        <v>26491</v>
      </c>
      <c r="N67" s="794">
        <v>48426</v>
      </c>
      <c r="O67" s="327"/>
      <c r="P67" s="330"/>
      <c r="Q67" s="331"/>
      <c r="R67" s="449" t="s">
        <v>313</v>
      </c>
      <c r="S67" s="332"/>
      <c r="T67" s="1569" t="s">
        <v>3010</v>
      </c>
      <c r="U67" s="1592" t="s">
        <v>3011</v>
      </c>
      <c r="V67" s="334"/>
      <c r="W67" s="334"/>
      <c r="X67" s="334"/>
      <c r="Y67" s="334"/>
      <c r="Z67" s="334"/>
      <c r="AA67" s="334"/>
      <c r="AB67" s="334"/>
      <c r="AC67" s="334"/>
      <c r="AD67" s="334"/>
      <c r="AE67" s="334"/>
      <c r="AF67" s="334"/>
      <c r="AG67" s="199"/>
      <c r="AH67" s="199"/>
      <c r="AI67" s="199"/>
      <c r="AJ67" s="199"/>
      <c r="AK67" s="199"/>
      <c r="AL67" s="199"/>
      <c r="AM67" s="199"/>
    </row>
    <row r="68" spans="1:39" ht="20.25" hidden="1" customHeight="1">
      <c r="A68" s="656">
        <v>22</v>
      </c>
      <c r="B68" s="524" t="s">
        <v>3012</v>
      </c>
      <c r="C68" s="1210" t="s">
        <v>20</v>
      </c>
      <c r="D68" s="1445" t="s">
        <v>3013</v>
      </c>
      <c r="E68" s="527" t="s">
        <v>3014</v>
      </c>
      <c r="F68" s="970" t="s">
        <v>759</v>
      </c>
      <c r="G68" s="525" t="s">
        <v>77</v>
      </c>
      <c r="H68" s="303" t="s">
        <v>266</v>
      </c>
      <c r="I68" s="327"/>
      <c r="J68" s="334"/>
      <c r="K68" s="409" t="s">
        <v>290</v>
      </c>
      <c r="L68" s="1486" t="s">
        <v>2940</v>
      </c>
      <c r="M68" s="1526">
        <v>28854</v>
      </c>
      <c r="N68" s="528">
        <v>50770</v>
      </c>
      <c r="O68" s="447">
        <v>46117</v>
      </c>
      <c r="P68" s="447">
        <v>46434</v>
      </c>
      <c r="Q68" s="447">
        <v>46118</v>
      </c>
      <c r="R68" s="449" t="s">
        <v>37</v>
      </c>
      <c r="S68" s="533"/>
      <c r="T68" s="1589" t="s">
        <v>3015</v>
      </c>
      <c r="U68" s="280"/>
      <c r="V68" s="533"/>
      <c r="W68" s="533"/>
      <c r="X68" s="533"/>
      <c r="Y68" s="533"/>
      <c r="Z68" s="334"/>
      <c r="AA68" s="334"/>
      <c r="AB68" s="334"/>
      <c r="AC68" s="334"/>
      <c r="AD68" s="334"/>
      <c r="AE68" s="334"/>
      <c r="AF68" s="334"/>
      <c r="AG68" s="199"/>
      <c r="AH68" s="199"/>
      <c r="AI68" s="199"/>
      <c r="AJ68" s="199"/>
      <c r="AK68" s="199"/>
      <c r="AL68" s="199"/>
      <c r="AM68" s="199"/>
    </row>
    <row r="69" spans="1:39" ht="20.25" hidden="1" customHeight="1">
      <c r="A69" s="656">
        <v>23</v>
      </c>
      <c r="B69" s="1593" t="s">
        <v>3016</v>
      </c>
      <c r="C69" s="1210" t="s">
        <v>20</v>
      </c>
      <c r="D69" s="1594" t="s">
        <v>3017</v>
      </c>
      <c r="E69" s="527" t="s">
        <v>3018</v>
      </c>
      <c r="F69" s="970" t="s">
        <v>759</v>
      </c>
      <c r="G69" s="1595" t="s">
        <v>76</v>
      </c>
      <c r="H69" s="303" t="s">
        <v>266</v>
      </c>
      <c r="I69" s="334"/>
      <c r="J69" s="334"/>
      <c r="K69" s="409" t="s">
        <v>315</v>
      </c>
      <c r="L69" s="445" t="s">
        <v>57</v>
      </c>
      <c r="M69" s="1602">
        <v>28104</v>
      </c>
      <c r="N69" s="529">
        <v>49979</v>
      </c>
      <c r="O69" s="447">
        <v>45955</v>
      </c>
      <c r="P69" s="447">
        <v>46461</v>
      </c>
      <c r="Q69" s="447">
        <v>46576</v>
      </c>
      <c r="R69" s="449" t="s">
        <v>37</v>
      </c>
      <c r="S69" s="533"/>
      <c r="T69" s="1589" t="s">
        <v>3019</v>
      </c>
      <c r="U69" s="1492"/>
      <c r="V69" s="533"/>
      <c r="W69" s="533"/>
      <c r="X69" s="533"/>
      <c r="Y69" s="533"/>
      <c r="Z69" s="334"/>
      <c r="AA69" s="334"/>
      <c r="AB69" s="334"/>
      <c r="AC69" s="334"/>
      <c r="AD69" s="334"/>
      <c r="AE69" s="334"/>
      <c r="AF69" s="334"/>
      <c r="AG69" s="334"/>
      <c r="AH69" s="334"/>
      <c r="AI69" s="334"/>
      <c r="AJ69" s="199"/>
      <c r="AK69" s="199"/>
      <c r="AL69" s="199"/>
      <c r="AM69" s="199"/>
    </row>
    <row r="70" spans="1:39" ht="20.25" hidden="1" customHeight="1">
      <c r="A70" s="656">
        <v>24</v>
      </c>
      <c r="B70" s="1593" t="s">
        <v>3020</v>
      </c>
      <c r="C70" s="1210" t="s">
        <v>20</v>
      </c>
      <c r="D70" s="1594" t="s">
        <v>3021</v>
      </c>
      <c r="E70" s="1590" t="s">
        <v>3022</v>
      </c>
      <c r="F70" s="970" t="s">
        <v>759</v>
      </c>
      <c r="G70" s="1595" t="s">
        <v>76</v>
      </c>
      <c r="H70" s="303" t="s">
        <v>266</v>
      </c>
      <c r="I70" s="334"/>
      <c r="J70" s="334"/>
      <c r="K70" s="409" t="s">
        <v>315</v>
      </c>
      <c r="L70" s="445" t="s">
        <v>57</v>
      </c>
      <c r="M70" s="1596">
        <v>30007</v>
      </c>
      <c r="N70" s="529">
        <v>51925</v>
      </c>
      <c r="O70" s="447">
        <v>45937</v>
      </c>
      <c r="P70" s="447">
        <v>46734</v>
      </c>
      <c r="Q70" s="447">
        <v>46607</v>
      </c>
      <c r="R70" s="449" t="s">
        <v>37</v>
      </c>
      <c r="S70" s="533"/>
      <c r="T70" s="638" t="s">
        <v>3023</v>
      </c>
      <c r="U70" s="1492"/>
      <c r="V70" s="533"/>
      <c r="W70" s="533"/>
      <c r="X70" s="533"/>
      <c r="Y70" s="533"/>
      <c r="Z70" s="334"/>
      <c r="AA70" s="334"/>
      <c r="AB70" s="334"/>
      <c r="AC70" s="334"/>
      <c r="AD70" s="334"/>
      <c r="AE70" s="334"/>
      <c r="AF70" s="334"/>
      <c r="AG70" s="334"/>
      <c r="AH70" s="334"/>
      <c r="AI70" s="334"/>
      <c r="AJ70" s="199"/>
      <c r="AK70" s="199"/>
      <c r="AL70" s="199"/>
      <c r="AM70" s="199"/>
    </row>
    <row r="71" spans="1:39" ht="20.25" hidden="1" customHeight="1">
      <c r="A71" s="656">
        <v>25</v>
      </c>
      <c r="B71" s="1593" t="s">
        <v>3024</v>
      </c>
      <c r="C71" s="1210" t="s">
        <v>20</v>
      </c>
      <c r="D71" s="1445" t="s">
        <v>3025</v>
      </c>
      <c r="E71" s="527" t="s">
        <v>3026</v>
      </c>
      <c r="F71" s="970" t="s">
        <v>759</v>
      </c>
      <c r="G71" s="525" t="s">
        <v>77</v>
      </c>
      <c r="H71" s="303" t="s">
        <v>266</v>
      </c>
      <c r="I71" s="334"/>
      <c r="J71" s="334"/>
      <c r="K71" s="409" t="s">
        <v>315</v>
      </c>
      <c r="L71" s="445" t="s">
        <v>58</v>
      </c>
      <c r="M71" s="1526">
        <v>32441</v>
      </c>
      <c r="N71" s="528">
        <v>54362</v>
      </c>
      <c r="O71" s="447">
        <v>45951</v>
      </c>
      <c r="P71" s="447">
        <v>46490</v>
      </c>
      <c r="Q71" s="447">
        <v>46604</v>
      </c>
      <c r="R71" s="449" t="s">
        <v>37</v>
      </c>
      <c r="S71" s="533"/>
      <c r="T71" s="1589" t="s">
        <v>3027</v>
      </c>
      <c r="U71" s="280"/>
      <c r="V71" s="533"/>
      <c r="W71" s="533"/>
      <c r="X71" s="533"/>
      <c r="Y71" s="533"/>
      <c r="Z71" s="334"/>
      <c r="AA71" s="334"/>
      <c r="AB71" s="334"/>
      <c r="AC71" s="334"/>
      <c r="AD71" s="334"/>
      <c r="AE71" s="334"/>
      <c r="AF71" s="334"/>
      <c r="AG71" s="334"/>
      <c r="AH71" s="334"/>
      <c r="AI71" s="334"/>
      <c r="AJ71" s="199"/>
      <c r="AK71" s="199"/>
      <c r="AL71" s="199"/>
      <c r="AM71" s="199"/>
    </row>
    <row r="72" spans="1:39" ht="20.25" hidden="1" customHeight="1">
      <c r="A72" s="656">
        <v>26</v>
      </c>
      <c r="B72" s="335" t="s">
        <v>3028</v>
      </c>
      <c r="C72" s="1210" t="s">
        <v>20</v>
      </c>
      <c r="D72" s="1525" t="s">
        <v>3029</v>
      </c>
      <c r="E72" s="527" t="s">
        <v>3030</v>
      </c>
      <c r="F72" s="970" t="s">
        <v>759</v>
      </c>
      <c r="G72" s="1393" t="s">
        <v>77</v>
      </c>
      <c r="H72" s="303" t="s">
        <v>266</v>
      </c>
      <c r="I72" s="334"/>
      <c r="J72" s="334"/>
      <c r="K72" s="275" t="s">
        <v>315</v>
      </c>
      <c r="L72" s="445" t="s">
        <v>57</v>
      </c>
      <c r="M72" s="793">
        <v>29710</v>
      </c>
      <c r="N72" s="326">
        <v>51652</v>
      </c>
      <c r="O72" s="447">
        <v>46117</v>
      </c>
      <c r="P72" s="447">
        <v>46434</v>
      </c>
      <c r="Q72" s="447">
        <v>46604</v>
      </c>
      <c r="R72" s="449" t="s">
        <v>37</v>
      </c>
      <c r="S72" s="332"/>
      <c r="T72" s="1569" t="s">
        <v>3031</v>
      </c>
      <c r="U72" s="332"/>
      <c r="V72" s="334"/>
      <c r="W72" s="334"/>
      <c r="X72" s="334"/>
      <c r="Y72" s="334"/>
      <c r="Z72" s="334"/>
      <c r="AA72" s="334"/>
      <c r="AB72" s="334"/>
      <c r="AC72" s="334"/>
      <c r="AD72" s="334"/>
      <c r="AE72" s="334"/>
      <c r="AF72" s="334"/>
      <c r="AG72" s="334"/>
      <c r="AH72" s="334"/>
      <c r="AI72" s="334"/>
      <c r="AJ72" s="199"/>
      <c r="AK72" s="199"/>
      <c r="AL72" s="199"/>
      <c r="AM72" s="199"/>
    </row>
    <row r="73" spans="1:39" ht="20.25" hidden="1" customHeight="1">
      <c r="A73" s="656">
        <v>28</v>
      </c>
      <c r="B73" s="1593" t="s">
        <v>3032</v>
      </c>
      <c r="C73" s="1603" t="s">
        <v>20</v>
      </c>
      <c r="D73" s="1604" t="s">
        <v>3033</v>
      </c>
      <c r="E73" s="137" t="s">
        <v>3034</v>
      </c>
      <c r="F73" s="685" t="s">
        <v>759</v>
      </c>
      <c r="G73" s="18" t="s">
        <v>76</v>
      </c>
      <c r="H73" s="303" t="s">
        <v>266</v>
      </c>
      <c r="I73" s="1605">
        <v>9836052088</v>
      </c>
      <c r="J73" s="334"/>
      <c r="K73" s="275" t="s">
        <v>315</v>
      </c>
      <c r="L73" s="445" t="s">
        <v>57</v>
      </c>
      <c r="M73" s="1141">
        <v>27007</v>
      </c>
      <c r="N73" s="326">
        <v>48944</v>
      </c>
      <c r="O73" s="326"/>
      <c r="P73" s="933">
        <v>45373</v>
      </c>
      <c r="Q73" s="915">
        <v>45306</v>
      </c>
      <c r="R73" s="449" t="s">
        <v>313</v>
      </c>
      <c r="S73" s="1606" t="s">
        <v>3035</v>
      </c>
      <c r="T73" s="1607" t="s">
        <v>3036</v>
      </c>
      <c r="U73" s="332"/>
      <c r="V73" s="335"/>
      <c r="W73" s="334"/>
      <c r="X73" s="334"/>
      <c r="Y73" s="334"/>
      <c r="Z73" s="334"/>
      <c r="AA73" s="334"/>
      <c r="AB73" s="334"/>
      <c r="AC73" s="199"/>
      <c r="AD73" s="199"/>
      <c r="AE73" s="199"/>
      <c r="AF73" s="199"/>
      <c r="AG73" s="199"/>
      <c r="AH73" s="199"/>
    </row>
    <row r="74" spans="1:39" ht="20.25" hidden="1" customHeight="1">
      <c r="A74" s="656">
        <v>29</v>
      </c>
      <c r="B74" s="322" t="s">
        <v>3037</v>
      </c>
      <c r="C74" s="1603" t="s">
        <v>20</v>
      </c>
      <c r="D74" s="1525" t="s">
        <v>3038</v>
      </c>
      <c r="E74" s="527" t="s">
        <v>3039</v>
      </c>
      <c r="F74" s="970" t="s">
        <v>759</v>
      </c>
      <c r="G74" s="1393" t="s">
        <v>76</v>
      </c>
      <c r="H74" s="1608"/>
      <c r="I74" s="334"/>
      <c r="J74" s="334"/>
      <c r="K74" s="275" t="s">
        <v>315</v>
      </c>
      <c r="L74" s="303" t="s">
        <v>1843</v>
      </c>
      <c r="M74" s="1591">
        <v>28818</v>
      </c>
      <c r="N74" s="326">
        <v>50739</v>
      </c>
      <c r="O74" s="329"/>
      <c r="P74" s="330"/>
      <c r="Q74" s="331"/>
      <c r="R74" s="449" t="s">
        <v>313</v>
      </c>
      <c r="S74" s="332"/>
      <c r="T74" s="1569" t="s">
        <v>3040</v>
      </c>
      <c r="U74" s="333" t="s">
        <v>3041</v>
      </c>
      <c r="V74" s="334"/>
      <c r="W74" s="334"/>
      <c r="X74" s="334"/>
      <c r="Y74" s="334"/>
      <c r="Z74" s="334"/>
      <c r="AA74" s="334"/>
      <c r="AB74" s="334"/>
      <c r="AC74" s="334"/>
      <c r="AD74" s="199"/>
      <c r="AE74" s="199"/>
      <c r="AF74" s="199"/>
      <c r="AG74" s="199"/>
      <c r="AH74" s="199"/>
      <c r="AI74" s="199"/>
      <c r="AJ74" s="199"/>
      <c r="AK74" s="199"/>
      <c r="AL74" s="199"/>
      <c r="AM74" s="199"/>
    </row>
    <row r="75" spans="1:39" ht="20.25" hidden="1" customHeight="1">
      <c r="A75" s="656">
        <v>30</v>
      </c>
      <c r="B75" s="322" t="s">
        <v>3042</v>
      </c>
      <c r="C75" s="1603" t="s">
        <v>21</v>
      </c>
      <c r="D75" s="1525" t="s">
        <v>3043</v>
      </c>
      <c r="E75" s="527" t="s">
        <v>3044</v>
      </c>
      <c r="F75" s="970" t="s">
        <v>759</v>
      </c>
      <c r="G75" s="1393" t="s">
        <v>76</v>
      </c>
      <c r="H75" s="1608"/>
      <c r="I75" s="334"/>
      <c r="J75" s="334"/>
      <c r="K75" s="275" t="s">
        <v>290</v>
      </c>
      <c r="L75" s="445" t="s">
        <v>57</v>
      </c>
      <c r="M75" s="325">
        <v>28500</v>
      </c>
      <c r="N75" s="326">
        <v>50436</v>
      </c>
      <c r="O75" s="329"/>
      <c r="P75" s="330"/>
      <c r="Q75" s="331"/>
      <c r="R75" s="449" t="s">
        <v>313</v>
      </c>
      <c r="S75" s="332"/>
      <c r="T75" s="1569" t="s">
        <v>3045</v>
      </c>
      <c r="U75" s="333" t="s">
        <v>3046</v>
      </c>
      <c r="V75" s="334"/>
      <c r="W75" s="334"/>
      <c r="X75" s="334"/>
      <c r="Y75" s="334"/>
      <c r="Z75" s="334"/>
      <c r="AA75" s="334"/>
      <c r="AB75" s="334"/>
      <c r="AC75" s="334"/>
      <c r="AD75" s="334"/>
      <c r="AE75" s="334"/>
      <c r="AF75" s="334"/>
      <c r="AG75" s="199"/>
      <c r="AH75" s="199"/>
      <c r="AI75" s="199"/>
      <c r="AJ75" s="199"/>
      <c r="AK75" s="199"/>
      <c r="AL75" s="199"/>
      <c r="AM75" s="199"/>
    </row>
    <row r="76" spans="1:39" ht="20.25" hidden="1" customHeight="1">
      <c r="A76" s="656">
        <v>31</v>
      </c>
      <c r="B76" s="322" t="s">
        <v>3047</v>
      </c>
      <c r="C76" s="1603" t="s">
        <v>20</v>
      </c>
      <c r="D76" s="1525" t="s">
        <v>3048</v>
      </c>
      <c r="E76" s="527" t="s">
        <v>3049</v>
      </c>
      <c r="F76" s="970" t="s">
        <v>759</v>
      </c>
      <c r="G76" s="1393" t="s">
        <v>76</v>
      </c>
      <c r="H76" s="1608"/>
      <c r="I76" s="519">
        <v>9147917978</v>
      </c>
      <c r="J76" s="334"/>
      <c r="K76" s="275" t="s">
        <v>315</v>
      </c>
      <c r="L76" s="125" t="s">
        <v>69</v>
      </c>
      <c r="M76" s="1529">
        <v>32509</v>
      </c>
      <c r="N76" s="326">
        <v>54423</v>
      </c>
      <c r="O76" s="329"/>
      <c r="P76" s="330"/>
      <c r="Q76" s="331"/>
      <c r="R76" s="449" t="s">
        <v>313</v>
      </c>
      <c r="S76" s="332"/>
      <c r="T76" s="1569" t="s">
        <v>3050</v>
      </c>
      <c r="U76" s="333" t="s">
        <v>3051</v>
      </c>
      <c r="V76" s="334"/>
      <c r="W76" s="334"/>
      <c r="X76" s="334"/>
      <c r="Y76" s="334"/>
      <c r="Z76" s="334"/>
      <c r="AA76" s="334"/>
      <c r="AB76" s="334"/>
      <c r="AC76" s="334"/>
      <c r="AD76" s="334"/>
      <c r="AE76" s="334"/>
      <c r="AF76" s="334"/>
      <c r="AG76" s="199"/>
      <c r="AH76" s="199"/>
      <c r="AI76" s="199"/>
      <c r="AJ76" s="199"/>
      <c r="AK76" s="199"/>
      <c r="AL76" s="199"/>
      <c r="AM76" s="199"/>
    </row>
    <row r="77" spans="1:39" ht="20.25" hidden="1" customHeight="1">
      <c r="A77" s="656">
        <v>32</v>
      </c>
      <c r="B77" s="322" t="s">
        <v>242</v>
      </c>
      <c r="C77" s="1603" t="s">
        <v>20</v>
      </c>
      <c r="D77" s="1525" t="s">
        <v>3052</v>
      </c>
      <c r="E77" s="1370" t="s">
        <v>3053</v>
      </c>
      <c r="F77" s="18" t="s">
        <v>759</v>
      </c>
      <c r="G77" s="306" t="s">
        <v>76</v>
      </c>
      <c r="H77" s="1609"/>
      <c r="I77" s="327"/>
      <c r="J77" s="334"/>
      <c r="K77" s="275" t="s">
        <v>315</v>
      </c>
      <c r="L77" s="445" t="s">
        <v>56</v>
      </c>
      <c r="M77" s="1529">
        <v>32090</v>
      </c>
      <c r="N77" s="326">
        <v>54026</v>
      </c>
      <c r="O77" s="329"/>
      <c r="P77" s="330"/>
      <c r="Q77" s="331"/>
      <c r="R77" s="449" t="s">
        <v>313</v>
      </c>
      <c r="S77" s="332"/>
      <c r="T77" s="1569" t="s">
        <v>3054</v>
      </c>
      <c r="U77" s="333" t="s">
        <v>3055</v>
      </c>
      <c r="V77" s="334"/>
      <c r="W77" s="334"/>
      <c r="X77" s="334"/>
      <c r="Y77" s="334"/>
      <c r="Z77" s="334"/>
      <c r="AA77" s="334"/>
      <c r="AB77" s="334"/>
      <c r="AC77" s="334"/>
      <c r="AD77" s="334"/>
      <c r="AE77" s="334"/>
      <c r="AF77" s="334"/>
      <c r="AG77" s="199"/>
      <c r="AH77" s="199"/>
      <c r="AI77" s="199"/>
      <c r="AJ77" s="199"/>
      <c r="AK77" s="199"/>
      <c r="AL77" s="199"/>
      <c r="AM77" s="199"/>
    </row>
    <row r="78" spans="1:39" ht="20.25" hidden="1" customHeight="1">
      <c r="A78" s="656">
        <v>33</v>
      </c>
      <c r="B78" s="322" t="s">
        <v>3056</v>
      </c>
      <c r="C78" s="1210" t="s">
        <v>20</v>
      </c>
      <c r="D78" s="1531" t="s">
        <v>3057</v>
      </c>
      <c r="E78" s="527" t="s">
        <v>3058</v>
      </c>
      <c r="F78" s="18" t="s">
        <v>759</v>
      </c>
      <c r="G78" s="306" t="s">
        <v>76</v>
      </c>
      <c r="H78" s="1609" t="s">
        <v>279</v>
      </c>
      <c r="I78" s="79"/>
      <c r="J78" s="79"/>
      <c r="K78" s="409" t="s">
        <v>290</v>
      </c>
      <c r="L78" s="18" t="s">
        <v>417</v>
      </c>
      <c r="M78" s="325">
        <v>28734</v>
      </c>
      <c r="N78" s="440">
        <v>50648</v>
      </c>
      <c r="O78" s="329"/>
      <c r="P78" s="330"/>
      <c r="Q78" s="331"/>
      <c r="R78" s="449" t="s">
        <v>313</v>
      </c>
      <c r="S78" s="332"/>
      <c r="T78" s="1569" t="s">
        <v>3059</v>
      </c>
      <c r="U78" s="333" t="s">
        <v>3060</v>
      </c>
      <c r="V78" s="334"/>
      <c r="W78" s="334"/>
      <c r="X78" s="334"/>
      <c r="Y78" s="334"/>
      <c r="Z78" s="334"/>
      <c r="AA78" s="334"/>
      <c r="AB78" s="334"/>
      <c r="AC78" s="334"/>
      <c r="AD78" s="334"/>
      <c r="AE78" s="334"/>
      <c r="AF78" s="334"/>
      <c r="AG78" s="199"/>
      <c r="AH78" s="199"/>
      <c r="AI78" s="199"/>
      <c r="AJ78" s="199"/>
      <c r="AK78" s="199"/>
      <c r="AL78" s="199"/>
      <c r="AM78" s="199"/>
    </row>
    <row r="79" spans="1:39" ht="20.25" hidden="1" customHeight="1">
      <c r="A79" s="656">
        <v>34</v>
      </c>
      <c r="B79" s="322" t="s">
        <v>3061</v>
      </c>
      <c r="C79" s="1210" t="s">
        <v>20</v>
      </c>
      <c r="D79" s="1610" t="s">
        <v>3062</v>
      </c>
      <c r="E79" s="18" t="s">
        <v>3063</v>
      </c>
      <c r="F79" s="18" t="s">
        <v>759</v>
      </c>
      <c r="G79" s="306" t="s">
        <v>76</v>
      </c>
      <c r="H79" s="303" t="s">
        <v>279</v>
      </c>
      <c r="I79" s="79"/>
      <c r="J79" s="79"/>
      <c r="K79" s="274" t="s">
        <v>464</v>
      </c>
      <c r="L79" s="18" t="s">
        <v>299</v>
      </c>
      <c r="M79" s="325">
        <v>28687</v>
      </c>
      <c r="N79" s="440">
        <v>50617</v>
      </c>
      <c r="O79" s="329"/>
      <c r="P79" s="330"/>
      <c r="Q79" s="331"/>
      <c r="R79" s="449" t="s">
        <v>313</v>
      </c>
      <c r="S79" s="332"/>
      <c r="T79" s="1569" t="s">
        <v>3064</v>
      </c>
      <c r="U79" s="333" t="s">
        <v>3065</v>
      </c>
      <c r="V79" s="334"/>
      <c r="W79" s="334"/>
      <c r="X79" s="334"/>
      <c r="Y79" s="334"/>
      <c r="Z79" s="334"/>
      <c r="AA79" s="334"/>
      <c r="AB79" s="334"/>
      <c r="AC79" s="334"/>
      <c r="AD79" s="334"/>
      <c r="AE79" s="334"/>
      <c r="AF79" s="334"/>
      <c r="AG79" s="199"/>
      <c r="AH79" s="199"/>
      <c r="AI79" s="199"/>
      <c r="AJ79" s="199"/>
      <c r="AK79" s="199"/>
      <c r="AL79" s="199"/>
      <c r="AM79" s="199"/>
    </row>
    <row r="80" spans="1:39" ht="20.25" hidden="1" customHeight="1">
      <c r="A80" s="656">
        <v>35</v>
      </c>
      <c r="B80" s="322" t="s">
        <v>3066</v>
      </c>
      <c r="C80" s="1210" t="s">
        <v>20</v>
      </c>
      <c r="D80" s="1525" t="s">
        <v>3067</v>
      </c>
      <c r="E80" s="527" t="s">
        <v>3068</v>
      </c>
      <c r="F80" s="18" t="s">
        <v>759</v>
      </c>
      <c r="G80" s="306" t="s">
        <v>76</v>
      </c>
      <c r="H80" s="303" t="s">
        <v>279</v>
      </c>
      <c r="I80" s="327"/>
      <c r="J80" s="79"/>
      <c r="K80" s="409" t="s">
        <v>290</v>
      </c>
      <c r="L80" s="303" t="s">
        <v>52</v>
      </c>
      <c r="M80" s="325">
        <v>29043</v>
      </c>
      <c r="N80" s="440">
        <v>50982</v>
      </c>
      <c r="O80" s="329"/>
      <c r="P80" s="330"/>
      <c r="Q80" s="331"/>
      <c r="R80" s="449" t="s">
        <v>313</v>
      </c>
      <c r="S80" s="332"/>
      <c r="T80" s="1569" t="s">
        <v>3069</v>
      </c>
      <c r="U80" s="333" t="s">
        <v>3070</v>
      </c>
      <c r="V80" s="334"/>
      <c r="W80" s="334"/>
      <c r="X80" s="334"/>
      <c r="Y80" s="334"/>
      <c r="Z80" s="334"/>
      <c r="AA80" s="334"/>
      <c r="AB80" s="334"/>
      <c r="AC80" s="334"/>
      <c r="AD80" s="334"/>
      <c r="AE80" s="334"/>
      <c r="AF80" s="334"/>
      <c r="AG80" s="334"/>
      <c r="AH80" s="334"/>
      <c r="AI80" s="334"/>
      <c r="AJ80" s="199"/>
      <c r="AK80" s="199"/>
      <c r="AL80" s="199"/>
      <c r="AM80" s="199"/>
    </row>
    <row r="81" spans="1:39" ht="20.25" hidden="1" customHeight="1">
      <c r="A81" s="656">
        <v>36</v>
      </c>
      <c r="B81" s="322" t="s">
        <v>3071</v>
      </c>
      <c r="C81" s="1210" t="s">
        <v>20</v>
      </c>
      <c r="D81" s="1525" t="s">
        <v>3072</v>
      </c>
      <c r="E81" s="527" t="s">
        <v>3073</v>
      </c>
      <c r="F81" s="18" t="s">
        <v>759</v>
      </c>
      <c r="G81" s="306" t="s">
        <v>76</v>
      </c>
      <c r="H81" s="303" t="s">
        <v>279</v>
      </c>
      <c r="I81" s="79"/>
      <c r="J81" s="656"/>
      <c r="K81" s="409" t="s">
        <v>290</v>
      </c>
      <c r="L81" s="439" t="s">
        <v>417</v>
      </c>
      <c r="M81" s="444">
        <v>28075</v>
      </c>
      <c r="N81" s="1611">
        <v>50009</v>
      </c>
      <c r="O81" s="329"/>
      <c r="P81" s="330"/>
      <c r="Q81" s="331"/>
      <c r="R81" s="449" t="s">
        <v>313</v>
      </c>
      <c r="S81" s="332"/>
      <c r="T81" s="1569" t="s">
        <v>3074</v>
      </c>
      <c r="U81" s="333" t="s">
        <v>3075</v>
      </c>
      <c r="V81" s="334"/>
      <c r="W81" s="334"/>
      <c r="X81" s="334"/>
      <c r="Y81" s="334"/>
      <c r="Z81" s="334"/>
      <c r="AA81" s="334"/>
      <c r="AB81" s="334"/>
      <c r="AC81" s="334"/>
      <c r="AD81" s="334"/>
      <c r="AE81" s="334"/>
      <c r="AF81" s="334"/>
      <c r="AG81" s="334"/>
      <c r="AH81" s="334"/>
      <c r="AI81" s="334"/>
      <c r="AJ81" s="199"/>
      <c r="AK81" s="199"/>
      <c r="AL81" s="199"/>
      <c r="AM81" s="199"/>
    </row>
    <row r="82" spans="1:39" ht="20.25" hidden="1" customHeight="1">
      <c r="A82" s="656">
        <v>37</v>
      </c>
      <c r="B82" s="322" t="s">
        <v>3076</v>
      </c>
      <c r="C82" s="1210" t="s">
        <v>20</v>
      </c>
      <c r="D82" s="1525" t="s">
        <v>3077</v>
      </c>
      <c r="E82" s="527" t="s">
        <v>3078</v>
      </c>
      <c r="F82" s="18" t="s">
        <v>759</v>
      </c>
      <c r="G82" s="306" t="s">
        <v>76</v>
      </c>
      <c r="H82" s="303" t="s">
        <v>279</v>
      </c>
      <c r="I82" s="327"/>
      <c r="J82" s="327"/>
      <c r="K82" s="274" t="s">
        <v>464</v>
      </c>
      <c r="L82" s="18" t="s">
        <v>351</v>
      </c>
      <c r="M82" s="444">
        <v>27683</v>
      </c>
      <c r="N82" s="1611">
        <v>49613</v>
      </c>
      <c r="O82" s="329"/>
      <c r="P82" s="330"/>
      <c r="Q82" s="331"/>
      <c r="R82" s="449" t="s">
        <v>313</v>
      </c>
      <c r="S82" s="332"/>
      <c r="T82" s="1569" t="s">
        <v>3079</v>
      </c>
      <c r="U82" s="333" t="s">
        <v>3080</v>
      </c>
      <c r="V82" s="334"/>
      <c r="W82" s="334"/>
      <c r="X82" s="334"/>
      <c r="Y82" s="334"/>
      <c r="Z82" s="334"/>
      <c r="AA82" s="334"/>
      <c r="AB82" s="334"/>
      <c r="AC82" s="334"/>
      <c r="AD82" s="334"/>
      <c r="AE82" s="334"/>
      <c r="AF82" s="334"/>
      <c r="AG82" s="334"/>
      <c r="AH82" s="334"/>
      <c r="AI82" s="334"/>
      <c r="AJ82" s="199"/>
      <c r="AK82" s="199"/>
      <c r="AL82" s="199"/>
      <c r="AM82" s="199"/>
    </row>
    <row r="83" spans="1:39" ht="15.75" hidden="1" customHeight="1">
      <c r="A83" s="656">
        <v>38</v>
      </c>
      <c r="B83" s="1612" t="s">
        <v>3081</v>
      </c>
      <c r="C83" s="1210" t="s">
        <v>20</v>
      </c>
      <c r="D83" s="438" t="s">
        <v>3082</v>
      </c>
      <c r="E83" s="681" t="s">
        <v>3083</v>
      </c>
      <c r="F83" s="674" t="s">
        <v>759</v>
      </c>
      <c r="G83" s="18" t="s">
        <v>76</v>
      </c>
      <c r="H83" s="274" t="s">
        <v>1567</v>
      </c>
      <c r="I83" s="1613">
        <v>9002071539</v>
      </c>
      <c r="J83" s="433"/>
      <c r="K83" s="275" t="s">
        <v>315</v>
      </c>
      <c r="L83" s="303" t="s">
        <v>59</v>
      </c>
      <c r="M83" s="418">
        <v>34173</v>
      </c>
      <c r="N83" s="418">
        <v>56096</v>
      </c>
      <c r="O83" s="1614"/>
      <c r="P83" s="272"/>
      <c r="Q83" s="418"/>
      <c r="R83" s="449" t="s">
        <v>313</v>
      </c>
      <c r="S83" s="280"/>
      <c r="T83" s="571"/>
      <c r="U83" s="281" t="s">
        <v>3084</v>
      </c>
      <c r="V83" s="280"/>
      <c r="W83" s="282"/>
      <c r="X83" s="79"/>
      <c r="Y83" s="79"/>
      <c r="Z83" s="79"/>
      <c r="AA83" s="79"/>
      <c r="AB83" s="79"/>
    </row>
    <row r="84" spans="1:39" ht="15.75" hidden="1">
      <c r="A84" s="656">
        <v>39</v>
      </c>
      <c r="B84" s="1615" t="s">
        <v>3085</v>
      </c>
      <c r="C84" s="1616" t="s">
        <v>20</v>
      </c>
      <c r="D84" s="1617" t="s">
        <v>3086</v>
      </c>
      <c r="E84" s="1618"/>
      <c r="F84" s="674" t="s">
        <v>759</v>
      </c>
      <c r="G84" s="1619" t="s">
        <v>76</v>
      </c>
      <c r="H84" s="1616" t="s">
        <v>266</v>
      </c>
      <c r="I84" s="79"/>
      <c r="J84" s="79"/>
      <c r="K84" s="275" t="s">
        <v>315</v>
      </c>
      <c r="L84" s="1616" t="s">
        <v>1843</v>
      </c>
      <c r="M84" s="444">
        <v>25893</v>
      </c>
      <c r="N84" s="444">
        <v>47817</v>
      </c>
      <c r="O84" s="1418">
        <v>45982</v>
      </c>
      <c r="P84" s="1419">
        <v>46621</v>
      </c>
      <c r="Q84" s="1418">
        <v>46173</v>
      </c>
      <c r="R84" s="449" t="s">
        <v>37</v>
      </c>
      <c r="S84" s="332"/>
      <c r="T84" s="571"/>
      <c r="U84" s="572"/>
      <c r="V84" s="334"/>
      <c r="W84" s="334"/>
      <c r="X84" s="334"/>
      <c r="Y84" s="334"/>
      <c r="Z84" s="334"/>
      <c r="AA84" s="334"/>
      <c r="AB84" s="334"/>
      <c r="AE84" s="1620" t="s">
        <v>3087</v>
      </c>
      <c r="AF84" s="1620" t="s">
        <v>3088</v>
      </c>
      <c r="AH84" s="199"/>
      <c r="AI84" s="199"/>
      <c r="AJ84" s="199"/>
      <c r="AK84" s="199"/>
      <c r="AL84" s="199"/>
      <c r="AM84" s="199"/>
    </row>
    <row r="85" spans="1:39" ht="15.75" hidden="1">
      <c r="A85" s="656">
        <v>40</v>
      </c>
      <c r="B85" s="566" t="s">
        <v>3089</v>
      </c>
      <c r="C85" s="457" t="s">
        <v>20</v>
      </c>
      <c r="D85" s="567" t="s">
        <v>3090</v>
      </c>
      <c r="E85" s="568" t="s">
        <v>3091</v>
      </c>
      <c r="F85" s="674" t="s">
        <v>759</v>
      </c>
      <c r="G85" s="823" t="s">
        <v>76</v>
      </c>
      <c r="H85" s="457" t="s">
        <v>1567</v>
      </c>
      <c r="I85" s="79"/>
      <c r="J85" s="79"/>
      <c r="K85" s="275" t="s">
        <v>315</v>
      </c>
      <c r="L85" s="445" t="s">
        <v>57</v>
      </c>
      <c r="M85" s="444">
        <v>28112</v>
      </c>
      <c r="N85" s="444">
        <v>50040</v>
      </c>
      <c r="O85" s="1418">
        <v>45901</v>
      </c>
      <c r="P85" s="1419">
        <v>46658</v>
      </c>
      <c r="Q85" s="1418">
        <v>46590</v>
      </c>
      <c r="R85" s="449" t="s">
        <v>37</v>
      </c>
      <c r="S85" s="332"/>
      <c r="T85" s="571"/>
      <c r="U85" s="572"/>
      <c r="V85" s="334"/>
      <c r="W85" s="334"/>
      <c r="X85" s="334"/>
      <c r="Y85" s="334"/>
      <c r="Z85" s="334"/>
      <c r="AA85" s="334"/>
      <c r="AB85" s="334"/>
      <c r="AE85" s="1506">
        <v>38537</v>
      </c>
      <c r="AF85" s="1456" t="s">
        <v>3092</v>
      </c>
      <c r="AH85" s="199"/>
      <c r="AI85" s="199"/>
      <c r="AJ85" s="199"/>
      <c r="AK85" s="199"/>
      <c r="AL85" s="199"/>
      <c r="AM85" s="199"/>
    </row>
    <row r="86" spans="1:39" ht="15.75" hidden="1">
      <c r="A86" s="656">
        <v>43</v>
      </c>
      <c r="B86" s="566" t="s">
        <v>3093</v>
      </c>
      <c r="C86" s="457" t="s">
        <v>20</v>
      </c>
      <c r="D86" s="567" t="s">
        <v>3094</v>
      </c>
      <c r="E86" s="568" t="s">
        <v>3095</v>
      </c>
      <c r="F86" s="674" t="s">
        <v>759</v>
      </c>
      <c r="G86" s="457" t="s">
        <v>76</v>
      </c>
      <c r="H86" s="457" t="s">
        <v>1567</v>
      </c>
      <c r="I86" s="79"/>
      <c r="J86" s="79"/>
      <c r="K86" s="275" t="s">
        <v>315</v>
      </c>
      <c r="L86" s="457" t="s">
        <v>1843</v>
      </c>
      <c r="M86" s="444">
        <v>32569</v>
      </c>
      <c r="N86" s="444">
        <v>47208</v>
      </c>
      <c r="O86" s="1418">
        <v>46740</v>
      </c>
      <c r="P86" s="1419">
        <v>45986</v>
      </c>
      <c r="Q86" s="1418">
        <v>46619</v>
      </c>
      <c r="R86" s="449" t="s">
        <v>37</v>
      </c>
      <c r="S86" s="332"/>
      <c r="T86" s="571"/>
      <c r="U86" s="572"/>
      <c r="V86" s="334"/>
      <c r="W86" s="334"/>
      <c r="X86" s="334"/>
      <c r="Y86" s="334"/>
      <c r="Z86" s="334"/>
      <c r="AA86" s="334"/>
      <c r="AB86" s="334"/>
      <c r="AE86" s="1506">
        <v>42384</v>
      </c>
      <c r="AF86" s="568" t="s">
        <v>3096</v>
      </c>
      <c r="AH86" s="199"/>
      <c r="AI86" s="199"/>
      <c r="AJ86" s="199"/>
      <c r="AK86" s="199"/>
      <c r="AL86" s="199"/>
      <c r="AM86" s="199"/>
    </row>
    <row r="87" spans="1:39" ht="15.75" hidden="1">
      <c r="A87" s="656">
        <v>44</v>
      </c>
      <c r="B87" s="1450" t="s">
        <v>3097</v>
      </c>
      <c r="C87" s="1451" t="s">
        <v>20</v>
      </c>
      <c r="D87" s="1452" t="s">
        <v>3098</v>
      </c>
      <c r="E87" s="1453"/>
      <c r="F87" s="674" t="s">
        <v>759</v>
      </c>
      <c r="G87" s="1451" t="s">
        <v>76</v>
      </c>
      <c r="H87" s="1454"/>
      <c r="I87" s="79"/>
      <c r="J87" s="79"/>
      <c r="K87" s="1621" t="s">
        <v>315</v>
      </c>
      <c r="L87" s="457" t="s">
        <v>66</v>
      </c>
      <c r="M87" s="444">
        <v>24794</v>
      </c>
      <c r="N87" s="444">
        <v>46721</v>
      </c>
      <c r="O87" s="1418">
        <v>46094</v>
      </c>
      <c r="P87" s="1455">
        <v>45720</v>
      </c>
      <c r="Q87" s="1418">
        <v>46868</v>
      </c>
      <c r="R87" s="449" t="s">
        <v>37</v>
      </c>
      <c r="S87" s="332"/>
      <c r="T87" s="571"/>
      <c r="U87" s="572"/>
      <c r="V87" s="334"/>
      <c r="W87" s="334"/>
      <c r="X87" s="334"/>
      <c r="Y87" s="334"/>
      <c r="Z87" s="334"/>
      <c r="AA87" s="334"/>
      <c r="AB87" s="334"/>
      <c r="AE87" s="1456" t="s">
        <v>3099</v>
      </c>
      <c r="AF87" s="1456" t="s">
        <v>3100</v>
      </c>
      <c r="AH87" s="199"/>
      <c r="AI87" s="199"/>
      <c r="AJ87" s="199"/>
      <c r="AK87" s="199"/>
      <c r="AL87" s="199"/>
      <c r="AM87" s="199"/>
    </row>
    <row r="88" spans="1:39" ht="15.75" hidden="1">
      <c r="A88" s="656">
        <v>45</v>
      </c>
      <c r="B88" s="566" t="s">
        <v>3101</v>
      </c>
      <c r="C88" s="457" t="s">
        <v>20</v>
      </c>
      <c r="D88" s="567" t="s">
        <v>3102</v>
      </c>
      <c r="E88" s="1416"/>
      <c r="F88" s="674" t="s">
        <v>759</v>
      </c>
      <c r="G88" s="823" t="s">
        <v>76</v>
      </c>
      <c r="H88" s="457" t="s">
        <v>266</v>
      </c>
      <c r="I88" s="79"/>
      <c r="J88" s="79"/>
      <c r="K88" s="275" t="s">
        <v>315</v>
      </c>
      <c r="L88" s="457" t="s">
        <v>1843</v>
      </c>
      <c r="M88" s="444">
        <v>26692</v>
      </c>
      <c r="N88" s="444">
        <v>48610</v>
      </c>
      <c r="O88" s="1418">
        <v>46100</v>
      </c>
      <c r="P88" s="1419">
        <v>46601</v>
      </c>
      <c r="Q88" s="1418">
        <v>46426</v>
      </c>
      <c r="R88" s="449" t="s">
        <v>37</v>
      </c>
      <c r="S88" s="332"/>
      <c r="T88" s="571"/>
      <c r="U88" s="572"/>
      <c r="V88" s="334"/>
      <c r="W88" s="334"/>
      <c r="X88" s="334"/>
      <c r="Y88" s="334"/>
      <c r="Z88" s="334"/>
      <c r="AA88" s="334"/>
      <c r="AB88" s="334"/>
      <c r="AE88" s="568" t="s">
        <v>3103</v>
      </c>
      <c r="AF88" s="1622" t="s">
        <v>3104</v>
      </c>
      <c r="AH88" s="199"/>
      <c r="AI88" s="199"/>
      <c r="AJ88" s="199"/>
      <c r="AK88" s="199"/>
      <c r="AL88" s="199"/>
      <c r="AM88" s="199"/>
    </row>
    <row r="89" spans="1:39" ht="15.75" hidden="1">
      <c r="A89" s="656">
        <v>46</v>
      </c>
      <c r="B89" s="566" t="s">
        <v>3105</v>
      </c>
      <c r="C89" s="823" t="s">
        <v>20</v>
      </c>
      <c r="D89" s="1452" t="s">
        <v>3106</v>
      </c>
      <c r="E89" s="568" t="s">
        <v>3107</v>
      </c>
      <c r="F89" s="674" t="s">
        <v>759</v>
      </c>
      <c r="G89" s="823" t="s">
        <v>76</v>
      </c>
      <c r="H89" s="457" t="s">
        <v>1567</v>
      </c>
      <c r="I89" s="79"/>
      <c r="J89" s="79"/>
      <c r="K89" s="275" t="s">
        <v>315</v>
      </c>
      <c r="L89" s="445" t="s">
        <v>57</v>
      </c>
      <c r="M89" s="444">
        <v>28134</v>
      </c>
      <c r="N89" s="444">
        <v>50071</v>
      </c>
      <c r="O89" s="1418">
        <v>46163</v>
      </c>
      <c r="P89" s="1419">
        <v>45928</v>
      </c>
      <c r="Q89" s="1418">
        <v>46590</v>
      </c>
      <c r="R89" s="449" t="s">
        <v>37</v>
      </c>
      <c r="S89" s="332"/>
      <c r="T89" s="571"/>
      <c r="U89" s="572"/>
      <c r="V89" s="334"/>
      <c r="W89" s="334"/>
      <c r="X89" s="334"/>
      <c r="Y89" s="334"/>
      <c r="Z89" s="334"/>
      <c r="AA89" s="334"/>
      <c r="AB89" s="334"/>
      <c r="AE89" s="1506">
        <v>38138</v>
      </c>
      <c r="AF89" s="568" t="s">
        <v>3092</v>
      </c>
      <c r="AH89" s="199"/>
      <c r="AI89" s="199"/>
      <c r="AJ89" s="199"/>
      <c r="AK89" s="199"/>
      <c r="AL89" s="199"/>
      <c r="AM89" s="199"/>
    </row>
    <row r="90" spans="1:39" ht="15.75" hidden="1">
      <c r="A90" s="656">
        <v>47</v>
      </c>
      <c r="B90" s="566" t="s">
        <v>3108</v>
      </c>
      <c r="C90" s="823" t="s">
        <v>20</v>
      </c>
      <c r="D90" s="1452" t="s">
        <v>3109</v>
      </c>
      <c r="E90" s="568" t="s">
        <v>3110</v>
      </c>
      <c r="F90" s="674" t="s">
        <v>759</v>
      </c>
      <c r="G90" s="823" t="s">
        <v>77</v>
      </c>
      <c r="H90" s="457" t="s">
        <v>1567</v>
      </c>
      <c r="I90" s="79"/>
      <c r="J90" s="79"/>
      <c r="K90" s="275" t="s">
        <v>315</v>
      </c>
      <c r="L90" s="445" t="s">
        <v>57</v>
      </c>
      <c r="M90" s="444">
        <v>33049</v>
      </c>
      <c r="N90" s="444">
        <v>54969</v>
      </c>
      <c r="O90" s="1418">
        <v>46739</v>
      </c>
      <c r="P90" s="1419">
        <v>46070</v>
      </c>
      <c r="Q90" s="1418">
        <v>46619</v>
      </c>
      <c r="R90" s="449" t="s">
        <v>37</v>
      </c>
      <c r="S90" s="332"/>
      <c r="T90" s="571"/>
      <c r="U90" s="572"/>
      <c r="V90" s="334"/>
      <c r="W90" s="334"/>
      <c r="X90" s="334"/>
      <c r="Y90" s="334"/>
      <c r="Z90" s="334"/>
      <c r="AA90" s="334"/>
      <c r="AB90" s="334"/>
      <c r="AE90" s="1506">
        <v>42384</v>
      </c>
      <c r="AF90" s="568" t="s">
        <v>3111</v>
      </c>
      <c r="AH90" s="199"/>
      <c r="AI90" s="199"/>
      <c r="AJ90" s="199"/>
      <c r="AK90" s="199"/>
      <c r="AL90" s="199"/>
      <c r="AM90" s="199"/>
    </row>
    <row r="91" spans="1:39" ht="15.75" hidden="1">
      <c r="A91" s="656">
        <v>48</v>
      </c>
      <c r="B91" s="566" t="s">
        <v>3112</v>
      </c>
      <c r="C91" s="457" t="s">
        <v>20</v>
      </c>
      <c r="D91" s="567" t="s">
        <v>3113</v>
      </c>
      <c r="E91" s="1416"/>
      <c r="F91" s="674" t="s">
        <v>759</v>
      </c>
      <c r="G91" s="823" t="s">
        <v>76</v>
      </c>
      <c r="H91" s="457" t="s">
        <v>279</v>
      </c>
      <c r="I91" s="79"/>
      <c r="J91" s="79"/>
      <c r="K91" s="275" t="s">
        <v>315</v>
      </c>
      <c r="L91" s="445" t="s">
        <v>58</v>
      </c>
      <c r="M91" s="444">
        <v>24412</v>
      </c>
      <c r="N91" s="444">
        <v>46356</v>
      </c>
      <c r="O91" s="1418">
        <v>45959</v>
      </c>
      <c r="P91" s="1455">
        <v>45755</v>
      </c>
      <c r="Q91" s="1418">
        <v>46387</v>
      </c>
      <c r="R91" s="449" t="s">
        <v>37</v>
      </c>
      <c r="S91" s="332"/>
      <c r="T91" s="571"/>
      <c r="U91" s="572"/>
      <c r="V91" s="334"/>
      <c r="W91" s="334"/>
      <c r="X91" s="334"/>
      <c r="Y91" s="334"/>
      <c r="Z91" s="334"/>
      <c r="AA91" s="334"/>
      <c r="AB91" s="334"/>
      <c r="AE91" s="568" t="s">
        <v>3114</v>
      </c>
      <c r="AF91" s="568" t="s">
        <v>3115</v>
      </c>
      <c r="AH91" s="199"/>
      <c r="AI91" s="199"/>
      <c r="AJ91" s="199"/>
      <c r="AK91" s="199"/>
      <c r="AL91" s="199"/>
      <c r="AM91" s="199"/>
    </row>
    <row r="92" spans="1:39" ht="15.75" hidden="1">
      <c r="A92" s="656">
        <v>50</v>
      </c>
      <c r="B92" s="1450" t="s">
        <v>3116</v>
      </c>
      <c r="C92" s="1451" t="s">
        <v>20</v>
      </c>
      <c r="D92" s="1452" t="s">
        <v>3117</v>
      </c>
      <c r="E92" s="1453"/>
      <c r="F92" s="674" t="s">
        <v>759</v>
      </c>
      <c r="G92" s="1451" t="s">
        <v>77</v>
      </c>
      <c r="H92" s="1454"/>
      <c r="I92" s="79"/>
      <c r="J92" s="79"/>
      <c r="K92" s="275" t="s">
        <v>315</v>
      </c>
      <c r="L92" s="457" t="s">
        <v>66</v>
      </c>
      <c r="M92" s="444">
        <v>24928</v>
      </c>
      <c r="N92" s="444">
        <v>46843</v>
      </c>
      <c r="O92" s="569">
        <v>45016</v>
      </c>
      <c r="P92" s="1455">
        <v>45560</v>
      </c>
      <c r="Q92" s="569">
        <v>45450</v>
      </c>
      <c r="R92" s="449" t="s">
        <v>37</v>
      </c>
      <c r="S92" s="332"/>
      <c r="T92" s="571"/>
      <c r="U92" s="572"/>
      <c r="V92" s="334"/>
      <c r="W92" s="334"/>
      <c r="X92" s="334"/>
      <c r="Y92" s="334"/>
      <c r="Z92" s="334"/>
      <c r="AA92" s="334"/>
      <c r="AB92" s="334"/>
      <c r="AE92" s="1456" t="s">
        <v>3118</v>
      </c>
      <c r="AF92" s="1456" t="s">
        <v>3119</v>
      </c>
      <c r="AH92" s="199"/>
      <c r="AI92" s="199"/>
      <c r="AJ92" s="199"/>
      <c r="AK92" s="199"/>
      <c r="AL92" s="199"/>
      <c r="AM92" s="199"/>
    </row>
    <row r="93" spans="1:39" ht="15.75" hidden="1">
      <c r="A93" s="656">
        <v>51</v>
      </c>
      <c r="B93" s="1450" t="s">
        <v>3120</v>
      </c>
      <c r="C93" s="1451" t="s">
        <v>20</v>
      </c>
      <c r="D93" s="1452" t="s">
        <v>3121</v>
      </c>
      <c r="E93" s="1453"/>
      <c r="F93" s="674" t="s">
        <v>759</v>
      </c>
      <c r="G93" s="1451" t="s">
        <v>76</v>
      </c>
      <c r="H93" s="1454"/>
      <c r="I93" s="79"/>
      <c r="J93" s="79"/>
      <c r="K93" s="1621" t="s">
        <v>315</v>
      </c>
      <c r="L93" s="457" t="s">
        <v>66</v>
      </c>
      <c r="M93" s="444">
        <v>24783</v>
      </c>
      <c r="N93" s="444">
        <v>46721</v>
      </c>
      <c r="O93" s="1418">
        <v>46094</v>
      </c>
      <c r="P93" s="1455">
        <v>45755</v>
      </c>
      <c r="Q93" s="1418">
        <v>46868</v>
      </c>
      <c r="R93" s="449" t="s">
        <v>37</v>
      </c>
      <c r="S93" s="332"/>
      <c r="T93" s="571"/>
      <c r="U93" s="572"/>
      <c r="V93" s="334"/>
      <c r="W93" s="334"/>
      <c r="X93" s="334"/>
      <c r="Y93" s="334"/>
      <c r="Z93" s="334"/>
      <c r="AA93" s="334"/>
      <c r="AB93" s="334"/>
      <c r="AE93" s="1456" t="s">
        <v>3114</v>
      </c>
      <c r="AF93" s="1456" t="s">
        <v>3115</v>
      </c>
      <c r="AH93" s="199"/>
      <c r="AI93" s="199"/>
      <c r="AJ93" s="199"/>
      <c r="AK93" s="199"/>
      <c r="AL93" s="199"/>
      <c r="AM93" s="199"/>
    </row>
    <row r="94" spans="1:39" ht="15.75" hidden="1">
      <c r="A94" s="656">
        <v>54</v>
      </c>
      <c r="B94" s="566" t="s">
        <v>3122</v>
      </c>
      <c r="C94" s="457" t="s">
        <v>20</v>
      </c>
      <c r="D94" s="567" t="s">
        <v>3123</v>
      </c>
      <c r="E94" s="568" t="s">
        <v>3124</v>
      </c>
      <c r="F94" s="674" t="s">
        <v>759</v>
      </c>
      <c r="G94" s="823" t="s">
        <v>76</v>
      </c>
      <c r="H94" s="457" t="s">
        <v>1567</v>
      </c>
      <c r="I94" s="79"/>
      <c r="J94" s="79"/>
      <c r="K94" s="275" t="s">
        <v>315</v>
      </c>
      <c r="L94" s="445" t="s">
        <v>57</v>
      </c>
      <c r="M94" s="444">
        <v>34294</v>
      </c>
      <c r="N94" s="444">
        <v>56218</v>
      </c>
      <c r="O94" s="1418">
        <v>46739</v>
      </c>
      <c r="P94" s="1419">
        <v>45986</v>
      </c>
      <c r="Q94" s="1418">
        <v>46619</v>
      </c>
      <c r="R94" s="449" t="s">
        <v>37</v>
      </c>
      <c r="S94" s="332"/>
      <c r="T94" s="571"/>
      <c r="U94" s="572"/>
      <c r="V94" s="334"/>
      <c r="W94" s="334"/>
      <c r="X94" s="334"/>
      <c r="Y94" s="334"/>
      <c r="Z94" s="334"/>
      <c r="AA94" s="334"/>
      <c r="AB94" s="334"/>
      <c r="AE94" s="1506">
        <v>42384</v>
      </c>
      <c r="AF94" s="568" t="s">
        <v>3096</v>
      </c>
      <c r="AH94" s="199"/>
      <c r="AI94" s="199"/>
      <c r="AJ94" s="199"/>
      <c r="AK94" s="199"/>
      <c r="AL94" s="199"/>
      <c r="AM94" s="199"/>
    </row>
    <row r="95" spans="1:39" ht="15.75" hidden="1">
      <c r="A95" s="656">
        <v>55</v>
      </c>
      <c r="B95" s="566" t="s">
        <v>3125</v>
      </c>
      <c r="C95" s="823" t="s">
        <v>20</v>
      </c>
      <c r="D95" s="1452" t="s">
        <v>3126</v>
      </c>
      <c r="E95" s="568" t="s">
        <v>3127</v>
      </c>
      <c r="F95" s="674" t="s">
        <v>759</v>
      </c>
      <c r="G95" s="823" t="s">
        <v>76</v>
      </c>
      <c r="H95" s="457" t="s">
        <v>1567</v>
      </c>
      <c r="I95" s="79"/>
      <c r="J95" s="79"/>
      <c r="K95" s="275" t="s">
        <v>315</v>
      </c>
      <c r="L95" s="445" t="s">
        <v>57</v>
      </c>
      <c r="M95" s="444">
        <v>33350</v>
      </c>
      <c r="N95" s="444">
        <v>55273</v>
      </c>
      <c r="O95" s="1418">
        <v>46736</v>
      </c>
      <c r="P95" s="1419">
        <v>46133</v>
      </c>
      <c r="Q95" s="1418">
        <v>46562</v>
      </c>
      <c r="R95" s="449" t="s">
        <v>37</v>
      </c>
      <c r="S95" s="332"/>
      <c r="T95" s="571"/>
      <c r="U95" s="572"/>
      <c r="V95" s="334"/>
      <c r="W95" s="334"/>
      <c r="X95" s="334"/>
      <c r="Y95" s="334"/>
      <c r="Z95" s="334"/>
      <c r="AA95" s="334"/>
      <c r="AB95" s="334"/>
      <c r="AE95" s="1506">
        <v>42384</v>
      </c>
      <c r="AF95" s="568" t="s">
        <v>3096</v>
      </c>
      <c r="AH95" s="199"/>
      <c r="AI95" s="199"/>
      <c r="AJ95" s="199"/>
      <c r="AK95" s="199"/>
      <c r="AL95" s="199"/>
      <c r="AM95" s="199"/>
    </row>
    <row r="96" spans="1:39" ht="15.75" hidden="1">
      <c r="A96" s="656">
        <v>58</v>
      </c>
      <c r="B96" s="566" t="s">
        <v>3128</v>
      </c>
      <c r="C96" s="457" t="s">
        <v>20</v>
      </c>
      <c r="D96" s="567" t="s">
        <v>3129</v>
      </c>
      <c r="E96" s="568" t="s">
        <v>3130</v>
      </c>
      <c r="F96" s="674" t="s">
        <v>759</v>
      </c>
      <c r="G96" s="823" t="s">
        <v>78</v>
      </c>
      <c r="H96" s="457" t="s">
        <v>279</v>
      </c>
      <c r="I96" s="79"/>
      <c r="J96" s="79"/>
      <c r="K96" s="409" t="s">
        <v>315</v>
      </c>
      <c r="L96" s="457" t="s">
        <v>2940</v>
      </c>
      <c r="M96" s="444">
        <v>24533</v>
      </c>
      <c r="N96" s="444">
        <v>46477</v>
      </c>
      <c r="O96" s="1418">
        <v>46099</v>
      </c>
      <c r="P96" s="1419">
        <v>46260</v>
      </c>
      <c r="Q96" s="1418">
        <v>45963</v>
      </c>
      <c r="R96" s="449" t="s">
        <v>37</v>
      </c>
      <c r="S96" s="332"/>
      <c r="T96" s="571"/>
      <c r="U96" s="572"/>
      <c r="V96" s="334"/>
      <c r="W96" s="334"/>
      <c r="X96" s="334"/>
      <c r="Y96" s="334"/>
      <c r="Z96" s="334"/>
      <c r="AA96" s="334"/>
      <c r="AB96" s="334"/>
      <c r="AE96" s="568" t="s">
        <v>3131</v>
      </c>
      <c r="AF96" s="568" t="s">
        <v>3132</v>
      </c>
      <c r="AH96" s="199"/>
      <c r="AI96" s="199"/>
      <c r="AJ96" s="199"/>
      <c r="AK96" s="199"/>
      <c r="AL96" s="199"/>
      <c r="AM96" s="199"/>
    </row>
    <row r="97" spans="1:39" ht="15.75" hidden="1">
      <c r="A97" s="656">
        <v>59</v>
      </c>
      <c r="B97" s="566" t="s">
        <v>3133</v>
      </c>
      <c r="C97" s="457" t="s">
        <v>20</v>
      </c>
      <c r="D97" s="567" t="s">
        <v>3134</v>
      </c>
      <c r="E97" s="568" t="s">
        <v>3135</v>
      </c>
      <c r="F97" s="674" t="s">
        <v>759</v>
      </c>
      <c r="G97" s="823" t="s">
        <v>78</v>
      </c>
      <c r="H97" s="457" t="s">
        <v>279</v>
      </c>
      <c r="I97" s="79"/>
      <c r="J97" s="79"/>
      <c r="K97" s="409" t="s">
        <v>315</v>
      </c>
      <c r="L97" s="457" t="s">
        <v>2940</v>
      </c>
      <c r="M97" s="444">
        <v>25493</v>
      </c>
      <c r="N97" s="444">
        <v>47422</v>
      </c>
      <c r="O97" s="1418">
        <v>46016</v>
      </c>
      <c r="P97" s="1419">
        <v>46378</v>
      </c>
      <c r="Q97" s="1418">
        <v>46046</v>
      </c>
      <c r="R97" s="449" t="s">
        <v>37</v>
      </c>
      <c r="S97" s="332"/>
      <c r="T97" s="571"/>
      <c r="U97" s="572"/>
      <c r="V97" s="334"/>
      <c r="W97" s="334"/>
      <c r="X97" s="334"/>
      <c r="Y97" s="334"/>
      <c r="Z97" s="334"/>
      <c r="AA97" s="334"/>
      <c r="AB97" s="334"/>
      <c r="AE97" s="568" t="s">
        <v>3131</v>
      </c>
      <c r="AF97" s="568" t="s">
        <v>3136</v>
      </c>
      <c r="AH97" s="199"/>
      <c r="AI97" s="199"/>
      <c r="AJ97" s="199"/>
      <c r="AK97" s="199"/>
      <c r="AL97" s="199"/>
      <c r="AM97" s="199"/>
    </row>
    <row r="98" spans="1:39" ht="15.75" hidden="1">
      <c r="A98" s="656">
        <v>61</v>
      </c>
      <c r="B98" s="1450" t="s">
        <v>3137</v>
      </c>
      <c r="C98" s="1451" t="s">
        <v>20</v>
      </c>
      <c r="D98" s="1452" t="s">
        <v>3138</v>
      </c>
      <c r="E98" s="1456" t="s">
        <v>3139</v>
      </c>
      <c r="F98" s="674" t="s">
        <v>759</v>
      </c>
      <c r="G98" s="1451" t="s">
        <v>76</v>
      </c>
      <c r="H98" s="1454"/>
      <c r="I98" s="79"/>
      <c r="J98" s="79"/>
      <c r="K98" s="409" t="s">
        <v>315</v>
      </c>
      <c r="L98" s="457" t="s">
        <v>66</v>
      </c>
      <c r="M98" s="444">
        <v>24225</v>
      </c>
      <c r="N98" s="444">
        <v>46142</v>
      </c>
      <c r="O98" s="1418">
        <v>45974</v>
      </c>
      <c r="P98" s="1455">
        <v>42690</v>
      </c>
      <c r="Q98" s="569">
        <v>42641</v>
      </c>
      <c r="R98" s="449" t="s">
        <v>37</v>
      </c>
      <c r="S98" s="332"/>
      <c r="T98" s="571"/>
      <c r="U98" s="572"/>
      <c r="V98" s="334"/>
      <c r="W98" s="334"/>
      <c r="X98" s="334"/>
      <c r="Y98" s="334"/>
      <c r="Z98" s="334"/>
      <c r="AA98" s="334"/>
      <c r="AB98" s="334"/>
      <c r="AE98" s="1456" t="s">
        <v>3140</v>
      </c>
      <c r="AF98" s="1456" t="s">
        <v>2655</v>
      </c>
      <c r="AH98" s="199"/>
      <c r="AI98" s="199"/>
      <c r="AJ98" s="199"/>
      <c r="AK98" s="199"/>
      <c r="AL98" s="199"/>
      <c r="AM98" s="199"/>
    </row>
    <row r="99" spans="1:39" ht="15.75" hidden="1">
      <c r="A99" s="656">
        <v>62</v>
      </c>
      <c r="B99" s="566" t="s">
        <v>3141</v>
      </c>
      <c r="C99" s="457" t="s">
        <v>20</v>
      </c>
      <c r="D99" s="567" t="s">
        <v>3142</v>
      </c>
      <c r="E99" s="568" t="s">
        <v>3143</v>
      </c>
      <c r="F99" s="674" t="s">
        <v>759</v>
      </c>
      <c r="G99" s="823" t="s">
        <v>78</v>
      </c>
      <c r="H99" s="457" t="s">
        <v>279</v>
      </c>
      <c r="I99" s="79"/>
      <c r="J99" s="79"/>
      <c r="K99" s="409" t="s">
        <v>315</v>
      </c>
      <c r="L99" s="445" t="s">
        <v>58</v>
      </c>
      <c r="M99" s="444">
        <v>25584</v>
      </c>
      <c r="N99" s="444">
        <v>47514</v>
      </c>
      <c r="O99" s="1418">
        <v>46037</v>
      </c>
      <c r="P99" s="1419">
        <v>46779</v>
      </c>
      <c r="Q99" s="1418">
        <v>46762</v>
      </c>
      <c r="R99" s="449" t="s">
        <v>37</v>
      </c>
      <c r="S99" s="332"/>
      <c r="T99" s="571"/>
      <c r="U99" s="572"/>
      <c r="V99" s="334"/>
      <c r="W99" s="334"/>
      <c r="X99" s="334"/>
      <c r="Y99" s="334"/>
      <c r="Z99" s="334"/>
      <c r="AA99" s="334"/>
      <c r="AB99" s="334"/>
      <c r="AE99" s="568" t="s">
        <v>3131</v>
      </c>
      <c r="AF99" s="568" t="s">
        <v>3136</v>
      </c>
      <c r="AH99" s="199"/>
      <c r="AI99" s="199"/>
      <c r="AJ99" s="199"/>
      <c r="AK99" s="199"/>
      <c r="AL99" s="199"/>
      <c r="AM99" s="199"/>
    </row>
    <row r="100" spans="1:39" ht="15.75" hidden="1">
      <c r="A100" s="656">
        <v>63</v>
      </c>
      <c r="B100" s="566" t="s">
        <v>3144</v>
      </c>
      <c r="C100" s="457" t="s">
        <v>20</v>
      </c>
      <c r="D100" s="567" t="s">
        <v>3145</v>
      </c>
      <c r="E100" s="568" t="s">
        <v>3146</v>
      </c>
      <c r="F100" s="674" t="s">
        <v>759</v>
      </c>
      <c r="G100" s="823" t="s">
        <v>76</v>
      </c>
      <c r="H100" s="457" t="s">
        <v>266</v>
      </c>
      <c r="I100" s="79"/>
      <c r="J100" s="79"/>
      <c r="K100" s="409" t="s">
        <v>315</v>
      </c>
      <c r="L100" s="445" t="s">
        <v>57</v>
      </c>
      <c r="M100" s="444">
        <v>26268</v>
      </c>
      <c r="N100" s="444">
        <v>48213</v>
      </c>
      <c r="O100" s="1418">
        <v>46137</v>
      </c>
      <c r="P100" s="1419">
        <v>46514</v>
      </c>
      <c r="Q100" s="1418">
        <v>46464</v>
      </c>
      <c r="R100" s="449" t="s">
        <v>37</v>
      </c>
      <c r="S100" s="332"/>
      <c r="T100" s="571"/>
      <c r="U100" s="572"/>
      <c r="V100" s="334"/>
      <c r="W100" s="334"/>
      <c r="X100" s="334"/>
      <c r="Y100" s="334"/>
      <c r="Z100" s="334"/>
      <c r="AA100" s="334"/>
      <c r="AB100" s="334"/>
      <c r="AE100" s="568" t="s">
        <v>3147</v>
      </c>
      <c r="AF100" s="568" t="s">
        <v>3088</v>
      </c>
      <c r="AH100" s="199"/>
      <c r="AI100" s="199"/>
      <c r="AJ100" s="199"/>
      <c r="AK100" s="199"/>
      <c r="AL100" s="199"/>
      <c r="AM100" s="199"/>
    </row>
    <row r="101" spans="1:39" ht="15.75" hidden="1">
      <c r="A101" s="656">
        <v>67</v>
      </c>
      <c r="B101" s="566" t="s">
        <v>3148</v>
      </c>
      <c r="C101" s="457" t="s">
        <v>20</v>
      </c>
      <c r="D101" s="567" t="s">
        <v>3149</v>
      </c>
      <c r="E101" s="568" t="s">
        <v>3150</v>
      </c>
      <c r="F101" s="674" t="s">
        <v>759</v>
      </c>
      <c r="G101" s="823" t="s">
        <v>76</v>
      </c>
      <c r="H101" s="457" t="s">
        <v>266</v>
      </c>
      <c r="I101" s="79"/>
      <c r="J101" s="79"/>
      <c r="K101" s="409" t="s">
        <v>315</v>
      </c>
      <c r="L101" s="457" t="s">
        <v>2940</v>
      </c>
      <c r="M101" s="444">
        <v>29043</v>
      </c>
      <c r="N101" s="444">
        <v>50982</v>
      </c>
      <c r="O101" s="1418">
        <v>46324</v>
      </c>
      <c r="P101" s="1419">
        <v>46734</v>
      </c>
      <c r="Q101" s="1418">
        <v>46660</v>
      </c>
      <c r="R101" s="449" t="s">
        <v>37</v>
      </c>
      <c r="S101" s="332"/>
      <c r="T101" s="571"/>
      <c r="U101" s="572"/>
      <c r="V101" s="334"/>
      <c r="W101" s="334"/>
      <c r="X101" s="334"/>
      <c r="Y101" s="334"/>
      <c r="Z101" s="334"/>
      <c r="AA101" s="334"/>
      <c r="AB101" s="334"/>
      <c r="AE101" s="568" t="s">
        <v>3151</v>
      </c>
      <c r="AF101" s="568" t="s">
        <v>3088</v>
      </c>
      <c r="AH101" s="199"/>
      <c r="AI101" s="199"/>
      <c r="AJ101" s="199"/>
      <c r="AK101" s="199"/>
      <c r="AL101" s="199"/>
      <c r="AM101" s="199"/>
    </row>
    <row r="102" spans="1:39" ht="15.75" hidden="1">
      <c r="A102" s="656">
        <v>68</v>
      </c>
      <c r="B102" s="566" t="s">
        <v>3152</v>
      </c>
      <c r="C102" s="457" t="s">
        <v>20</v>
      </c>
      <c r="D102" s="567" t="s">
        <v>3153</v>
      </c>
      <c r="E102" s="568" t="s">
        <v>3154</v>
      </c>
      <c r="F102" s="674" t="s">
        <v>759</v>
      </c>
      <c r="G102" s="823" t="s">
        <v>76</v>
      </c>
      <c r="H102" s="457" t="s">
        <v>266</v>
      </c>
      <c r="I102" s="79"/>
      <c r="J102" s="79"/>
      <c r="K102" s="409" t="s">
        <v>315</v>
      </c>
      <c r="L102" s="445" t="s">
        <v>57</v>
      </c>
      <c r="M102" s="444">
        <v>27059</v>
      </c>
      <c r="N102" s="444">
        <v>48975</v>
      </c>
      <c r="O102" s="1418">
        <v>46379</v>
      </c>
      <c r="P102" s="1419">
        <v>46693</v>
      </c>
      <c r="Q102" s="1418">
        <v>46660</v>
      </c>
      <c r="R102" s="449" t="s">
        <v>37</v>
      </c>
      <c r="S102" s="332"/>
      <c r="T102" s="571"/>
      <c r="U102" s="572"/>
      <c r="V102" s="334"/>
      <c r="W102" s="334"/>
      <c r="X102" s="334"/>
      <c r="Y102" s="334"/>
      <c r="Z102" s="334"/>
      <c r="AA102" s="334"/>
      <c r="AB102" s="334"/>
      <c r="AE102" s="568" t="s">
        <v>3155</v>
      </c>
      <c r="AF102" s="568" t="s">
        <v>3088</v>
      </c>
      <c r="AH102" s="199"/>
      <c r="AI102" s="199"/>
      <c r="AJ102" s="199"/>
      <c r="AK102" s="199"/>
      <c r="AL102" s="199"/>
      <c r="AM102" s="199"/>
    </row>
    <row r="103" spans="1:39" ht="15.75" hidden="1">
      <c r="A103" s="656">
        <v>69</v>
      </c>
      <c r="B103" s="1450" t="s">
        <v>3156</v>
      </c>
      <c r="C103" s="1451" t="s">
        <v>20</v>
      </c>
      <c r="D103" s="1452" t="s">
        <v>3157</v>
      </c>
      <c r="E103" s="1456" t="s">
        <v>3158</v>
      </c>
      <c r="F103" s="674" t="s">
        <v>759</v>
      </c>
      <c r="G103" s="1451" t="s">
        <v>76</v>
      </c>
      <c r="H103" s="1623"/>
      <c r="I103" s="79"/>
      <c r="J103" s="79"/>
      <c r="K103" s="409" t="s">
        <v>315</v>
      </c>
      <c r="L103" s="457" t="s">
        <v>66</v>
      </c>
      <c r="M103" s="444">
        <v>24485</v>
      </c>
      <c r="N103" s="444">
        <v>46418</v>
      </c>
      <c r="O103" s="1418">
        <v>45990</v>
      </c>
      <c r="P103" s="1455">
        <v>44839</v>
      </c>
      <c r="Q103" s="569">
        <v>44687</v>
      </c>
      <c r="R103" s="449" t="s">
        <v>37</v>
      </c>
      <c r="S103" s="332"/>
      <c r="T103" s="571"/>
      <c r="U103" s="572"/>
      <c r="V103" s="334"/>
      <c r="W103" s="334"/>
      <c r="X103" s="334"/>
      <c r="Y103" s="334"/>
      <c r="Z103" s="334"/>
      <c r="AA103" s="334"/>
      <c r="AB103" s="334"/>
      <c r="AE103" s="1456" t="s">
        <v>3159</v>
      </c>
      <c r="AF103" s="1456" t="s">
        <v>3160</v>
      </c>
      <c r="AH103" s="199"/>
      <c r="AI103" s="199"/>
      <c r="AJ103" s="199"/>
      <c r="AK103" s="199"/>
      <c r="AL103" s="199"/>
      <c r="AM103" s="199"/>
    </row>
    <row r="104" spans="1:39" ht="15.75" hidden="1">
      <c r="A104" s="656">
        <v>70</v>
      </c>
      <c r="B104" s="566" t="s">
        <v>3161</v>
      </c>
      <c r="C104" s="457" t="s">
        <v>20</v>
      </c>
      <c r="D104" s="567" t="s">
        <v>3162</v>
      </c>
      <c r="E104" s="1416"/>
      <c r="F104" s="674" t="s">
        <v>759</v>
      </c>
      <c r="G104" s="823" t="s">
        <v>77</v>
      </c>
      <c r="H104" s="1468" t="s">
        <v>266</v>
      </c>
      <c r="I104" s="79"/>
      <c r="J104" s="79"/>
      <c r="K104" s="409" t="s">
        <v>290</v>
      </c>
      <c r="L104" s="445" t="s">
        <v>58</v>
      </c>
      <c r="M104" s="444">
        <v>25965</v>
      </c>
      <c r="N104" s="444">
        <v>47907</v>
      </c>
      <c r="O104" s="1418">
        <v>46062</v>
      </c>
      <c r="P104" s="1419">
        <v>46120</v>
      </c>
      <c r="Q104" s="1418">
        <v>46367</v>
      </c>
      <c r="R104" s="449" t="s">
        <v>37</v>
      </c>
      <c r="S104" s="332"/>
      <c r="T104" s="571"/>
      <c r="U104" s="572"/>
      <c r="V104" s="334"/>
      <c r="W104" s="334"/>
      <c r="X104" s="334"/>
      <c r="Y104" s="334"/>
      <c r="Z104" s="334"/>
      <c r="AA104" s="334"/>
      <c r="AB104" s="334"/>
      <c r="AE104" s="1416"/>
      <c r="AF104" s="1416"/>
      <c r="AH104" s="199"/>
      <c r="AI104" s="199"/>
      <c r="AJ104" s="199"/>
      <c r="AK104" s="199"/>
      <c r="AL104" s="199"/>
      <c r="AM104" s="199"/>
    </row>
    <row r="105" spans="1:39" ht="15.75" hidden="1">
      <c r="A105" s="656">
        <v>71</v>
      </c>
      <c r="B105" s="566" t="s">
        <v>3163</v>
      </c>
      <c r="C105" s="823" t="s">
        <v>20</v>
      </c>
      <c r="D105" s="1452" t="s">
        <v>3164</v>
      </c>
      <c r="E105" s="568" t="s">
        <v>3165</v>
      </c>
      <c r="F105" s="674" t="s">
        <v>759</v>
      </c>
      <c r="G105" s="1500" t="s">
        <v>77</v>
      </c>
      <c r="H105" s="1504" t="s">
        <v>1567</v>
      </c>
      <c r="I105" s="79"/>
      <c r="J105" s="79"/>
      <c r="K105" s="409" t="s">
        <v>290</v>
      </c>
      <c r="L105" s="445" t="s">
        <v>58</v>
      </c>
      <c r="M105" s="444">
        <v>33648</v>
      </c>
      <c r="N105" s="444">
        <v>55578</v>
      </c>
      <c r="O105" s="1418">
        <v>46735</v>
      </c>
      <c r="P105" s="1419">
        <v>46613</v>
      </c>
      <c r="Q105" s="1418">
        <v>46590</v>
      </c>
      <c r="R105" s="449" t="s">
        <v>313</v>
      </c>
      <c r="S105" s="332"/>
      <c r="T105" s="571"/>
      <c r="U105" s="1624" t="s">
        <v>3166</v>
      </c>
      <c r="V105" s="334"/>
      <c r="W105" s="334"/>
      <c r="X105" s="334"/>
      <c r="Y105" s="334"/>
      <c r="Z105" s="334"/>
      <c r="AA105" s="334"/>
      <c r="AB105" s="334"/>
      <c r="AE105" s="1506">
        <v>42384</v>
      </c>
      <c r="AF105" s="1506">
        <v>44776</v>
      </c>
      <c r="AH105" s="199"/>
      <c r="AI105" s="199"/>
      <c r="AJ105" s="199"/>
      <c r="AK105" s="199"/>
      <c r="AL105" s="199"/>
      <c r="AM105" s="199"/>
    </row>
    <row r="106" spans="1:39" ht="15.75" hidden="1">
      <c r="A106" s="656">
        <v>72</v>
      </c>
      <c r="B106" s="566" t="s">
        <v>3167</v>
      </c>
      <c r="C106" s="457" t="s">
        <v>20</v>
      </c>
      <c r="D106" s="567" t="s">
        <v>3168</v>
      </c>
      <c r="E106" s="1416"/>
      <c r="F106" s="674" t="s">
        <v>759</v>
      </c>
      <c r="G106" s="823" t="s">
        <v>76</v>
      </c>
      <c r="H106" s="1468" t="s">
        <v>266</v>
      </c>
      <c r="I106" s="79"/>
      <c r="J106" s="79"/>
      <c r="K106" s="409" t="s">
        <v>290</v>
      </c>
      <c r="L106" s="457" t="s">
        <v>2940</v>
      </c>
      <c r="M106" s="444">
        <v>25795</v>
      </c>
      <c r="N106" s="444">
        <v>47726</v>
      </c>
      <c r="O106" s="1418">
        <v>45870</v>
      </c>
      <c r="P106" s="1419">
        <v>46593</v>
      </c>
      <c r="Q106" s="1418">
        <v>46437</v>
      </c>
      <c r="R106" s="449" t="s">
        <v>37</v>
      </c>
      <c r="S106" s="332"/>
      <c r="T106" s="571"/>
      <c r="U106" s="572"/>
      <c r="V106" s="334"/>
      <c r="W106" s="334"/>
      <c r="X106" s="334"/>
      <c r="Y106" s="334"/>
      <c r="Z106" s="334"/>
      <c r="AA106" s="334"/>
      <c r="AB106" s="334"/>
      <c r="AE106" s="568" t="s">
        <v>3169</v>
      </c>
      <c r="AF106" s="568" t="s">
        <v>3170</v>
      </c>
      <c r="AH106" s="199"/>
      <c r="AI106" s="199"/>
      <c r="AJ106" s="199"/>
      <c r="AK106" s="199"/>
      <c r="AL106" s="199"/>
      <c r="AM106" s="199"/>
    </row>
    <row r="107" spans="1:39" ht="15.75" hidden="1">
      <c r="A107" s="656">
        <v>73</v>
      </c>
      <c r="B107" s="1450" t="s">
        <v>3171</v>
      </c>
      <c r="C107" s="1451" t="s">
        <v>20</v>
      </c>
      <c r="D107" s="1452" t="s">
        <v>3172</v>
      </c>
      <c r="E107" s="1453"/>
      <c r="F107" s="674" t="s">
        <v>759</v>
      </c>
      <c r="G107" s="1451" t="s">
        <v>76</v>
      </c>
      <c r="H107" s="1623"/>
      <c r="I107" s="79"/>
      <c r="J107" s="79"/>
      <c r="K107" s="409" t="s">
        <v>290</v>
      </c>
      <c r="L107" s="457" t="s">
        <v>66</v>
      </c>
      <c r="M107" s="444">
        <v>24711</v>
      </c>
      <c r="N107" s="444">
        <v>46630</v>
      </c>
      <c r="O107" s="569">
        <v>44029</v>
      </c>
      <c r="P107" s="1455">
        <v>43524</v>
      </c>
      <c r="Q107" s="569">
        <v>44580</v>
      </c>
      <c r="R107" s="449" t="s">
        <v>37</v>
      </c>
      <c r="S107" s="332"/>
      <c r="T107" s="571"/>
      <c r="U107" s="572"/>
      <c r="V107" s="334"/>
      <c r="W107" s="334"/>
      <c r="X107" s="334"/>
      <c r="Y107" s="334"/>
      <c r="Z107" s="334"/>
      <c r="AA107" s="334"/>
      <c r="AB107" s="334"/>
      <c r="AE107" s="1456" t="s">
        <v>3173</v>
      </c>
      <c r="AF107" s="1456" t="s">
        <v>3115</v>
      </c>
      <c r="AH107" s="199"/>
      <c r="AI107" s="199"/>
      <c r="AJ107" s="199"/>
      <c r="AK107" s="199"/>
      <c r="AL107" s="199"/>
      <c r="AM107" s="199"/>
    </row>
    <row r="108" spans="1:39" ht="15.75" hidden="1">
      <c r="A108" s="656">
        <v>74</v>
      </c>
      <c r="B108" s="566" t="s">
        <v>3174</v>
      </c>
      <c r="C108" s="457" t="s">
        <v>20</v>
      </c>
      <c r="D108" s="567" t="s">
        <v>3175</v>
      </c>
      <c r="E108" s="1416"/>
      <c r="F108" s="674" t="s">
        <v>759</v>
      </c>
      <c r="G108" s="823" t="s">
        <v>76</v>
      </c>
      <c r="H108" s="1468" t="s">
        <v>266</v>
      </c>
      <c r="I108" s="79"/>
      <c r="J108" s="79"/>
      <c r="K108" s="409" t="s">
        <v>290</v>
      </c>
      <c r="L108" s="457" t="s">
        <v>2940</v>
      </c>
      <c r="M108" s="444">
        <v>25131</v>
      </c>
      <c r="N108" s="444">
        <v>47057</v>
      </c>
      <c r="O108" s="1418">
        <v>46046</v>
      </c>
      <c r="P108" s="1419">
        <v>46573</v>
      </c>
      <c r="Q108" s="1418">
        <v>46584</v>
      </c>
      <c r="R108" s="449" t="s">
        <v>37</v>
      </c>
      <c r="S108" s="332"/>
      <c r="T108" s="571"/>
      <c r="U108" s="572"/>
      <c r="V108" s="334"/>
      <c r="W108" s="334"/>
      <c r="X108" s="334"/>
      <c r="Y108" s="334"/>
      <c r="Z108" s="334"/>
      <c r="AA108" s="334"/>
      <c r="AB108" s="334"/>
      <c r="AE108" s="568" t="s">
        <v>3176</v>
      </c>
      <c r="AF108" s="568" t="s">
        <v>3177</v>
      </c>
      <c r="AH108" s="199"/>
      <c r="AI108" s="199"/>
      <c r="AJ108" s="199"/>
      <c r="AK108" s="199"/>
      <c r="AL108" s="199"/>
      <c r="AM108" s="199"/>
    </row>
    <row r="109" spans="1:39" ht="15.75" hidden="1">
      <c r="A109" s="656">
        <v>75</v>
      </c>
      <c r="B109" s="566" t="s">
        <v>3178</v>
      </c>
      <c r="C109" s="457" t="s">
        <v>20</v>
      </c>
      <c r="D109" s="438" t="s">
        <v>3179</v>
      </c>
      <c r="E109" s="1499" t="s">
        <v>3180</v>
      </c>
      <c r="F109" s="674" t="s">
        <v>759</v>
      </c>
      <c r="G109" s="1625" t="s">
        <v>76</v>
      </c>
      <c r="H109" s="1468" t="s">
        <v>1567</v>
      </c>
      <c r="I109" s="79"/>
      <c r="J109" s="79"/>
      <c r="K109" s="409" t="s">
        <v>290</v>
      </c>
      <c r="L109" s="457" t="s">
        <v>2940</v>
      </c>
      <c r="M109" s="444">
        <v>33038</v>
      </c>
      <c r="N109" s="444">
        <v>54969</v>
      </c>
      <c r="O109" s="1418">
        <v>46755</v>
      </c>
      <c r="P109" s="1419">
        <v>45930</v>
      </c>
      <c r="Q109" s="1418">
        <v>46654</v>
      </c>
      <c r="R109" s="449" t="s">
        <v>313</v>
      </c>
      <c r="S109" s="332"/>
      <c r="T109" s="571"/>
      <c r="U109" s="1624" t="s">
        <v>3181</v>
      </c>
      <c r="V109" s="334"/>
      <c r="W109" s="334"/>
      <c r="X109" s="334"/>
      <c r="Y109" s="334"/>
      <c r="Z109" s="334"/>
      <c r="AA109" s="334"/>
      <c r="AB109" s="334"/>
      <c r="AE109" s="1626">
        <v>42384</v>
      </c>
      <c r="AF109" s="1499" t="s">
        <v>3182</v>
      </c>
      <c r="AH109" s="199"/>
      <c r="AI109" s="199"/>
      <c r="AJ109" s="199"/>
      <c r="AK109" s="199"/>
      <c r="AL109" s="199"/>
      <c r="AM109" s="199"/>
    </row>
    <row r="110" spans="1:39" ht="15.75" hidden="1">
      <c r="A110" s="656">
        <v>76</v>
      </c>
      <c r="B110" s="1450" t="s">
        <v>3183</v>
      </c>
      <c r="C110" s="1451" t="s">
        <v>20</v>
      </c>
      <c r="D110" s="1452" t="s">
        <v>3184</v>
      </c>
      <c r="E110" s="1453"/>
      <c r="F110" s="674" t="s">
        <v>759</v>
      </c>
      <c r="G110" s="1451" t="s">
        <v>77</v>
      </c>
      <c r="H110" s="1623"/>
      <c r="I110" s="79"/>
      <c r="J110" s="79"/>
      <c r="K110" s="409" t="s">
        <v>290</v>
      </c>
      <c r="L110" s="457" t="s">
        <v>66</v>
      </c>
      <c r="M110" s="444">
        <v>24442</v>
      </c>
      <c r="N110" s="444">
        <v>46387</v>
      </c>
      <c r="O110" s="1418">
        <v>46151</v>
      </c>
      <c r="P110" s="1455">
        <v>45340</v>
      </c>
      <c r="Q110" s="569">
        <v>45559</v>
      </c>
      <c r="R110" s="449" t="s">
        <v>37</v>
      </c>
      <c r="S110" s="332"/>
      <c r="T110" s="571"/>
      <c r="U110" s="572"/>
      <c r="V110" s="334"/>
      <c r="W110" s="334"/>
      <c r="X110" s="334"/>
      <c r="Y110" s="334"/>
      <c r="Z110" s="334"/>
      <c r="AA110" s="334"/>
      <c r="AB110" s="334"/>
      <c r="AE110" s="1456" t="s">
        <v>3185</v>
      </c>
      <c r="AF110" s="1456" t="s">
        <v>3186</v>
      </c>
      <c r="AH110" s="199"/>
      <c r="AI110" s="199"/>
      <c r="AJ110" s="199"/>
      <c r="AK110" s="199"/>
      <c r="AL110" s="199"/>
      <c r="AM110" s="199"/>
    </row>
    <row r="111" spans="1:39" ht="15.75" hidden="1">
      <c r="A111" s="656">
        <v>77</v>
      </c>
      <c r="B111" s="566" t="s">
        <v>3187</v>
      </c>
      <c r="C111" s="457" t="s">
        <v>20</v>
      </c>
      <c r="D111" s="567" t="s">
        <v>3188</v>
      </c>
      <c r="E111" s="1416"/>
      <c r="F111" s="674" t="s">
        <v>759</v>
      </c>
      <c r="G111" s="823" t="s">
        <v>76</v>
      </c>
      <c r="H111" s="1468" t="s">
        <v>266</v>
      </c>
      <c r="I111" s="79"/>
      <c r="J111" s="79"/>
      <c r="K111" s="409" t="s">
        <v>290</v>
      </c>
      <c r="L111" s="445" t="s">
        <v>58</v>
      </c>
      <c r="M111" s="444">
        <v>28484</v>
      </c>
      <c r="N111" s="444">
        <v>50405</v>
      </c>
      <c r="O111" s="1418">
        <v>46236</v>
      </c>
      <c r="P111" s="1419">
        <v>46000</v>
      </c>
      <c r="Q111" s="1418">
        <v>46367</v>
      </c>
      <c r="R111" s="449" t="s">
        <v>37</v>
      </c>
      <c r="S111" s="332"/>
      <c r="T111" s="571"/>
      <c r="U111" s="572"/>
      <c r="V111" s="334"/>
      <c r="W111" s="334"/>
      <c r="X111" s="334"/>
      <c r="Y111" s="334"/>
      <c r="Z111" s="334"/>
      <c r="AA111" s="334"/>
      <c r="AB111" s="334"/>
      <c r="AE111" s="1627"/>
      <c r="AF111" s="1627"/>
      <c r="AH111" s="199"/>
      <c r="AI111" s="199"/>
      <c r="AJ111" s="199"/>
      <c r="AK111" s="199"/>
      <c r="AL111" s="199"/>
      <c r="AM111" s="199"/>
    </row>
    <row r="112" spans="1:39" ht="15.75" hidden="1">
      <c r="A112" s="656">
        <v>80</v>
      </c>
      <c r="B112" s="566" t="s">
        <v>3189</v>
      </c>
      <c r="C112" s="457" t="s">
        <v>20</v>
      </c>
      <c r="D112" s="1497" t="s">
        <v>3190</v>
      </c>
      <c r="E112" s="1499" t="s">
        <v>3191</v>
      </c>
      <c r="F112" s="674" t="s">
        <v>759</v>
      </c>
      <c r="G112" s="1625" t="s">
        <v>76</v>
      </c>
      <c r="H112" s="1468" t="s">
        <v>1567</v>
      </c>
      <c r="I112" s="79"/>
      <c r="J112" s="79"/>
      <c r="K112" s="409" t="s">
        <v>290</v>
      </c>
      <c r="L112" s="445" t="s">
        <v>57</v>
      </c>
      <c r="M112" s="444">
        <v>33575</v>
      </c>
      <c r="N112" s="444">
        <v>55518</v>
      </c>
      <c r="O112" s="1418">
        <v>46755</v>
      </c>
      <c r="P112" s="1419">
        <v>46573</v>
      </c>
      <c r="Q112" s="1418">
        <v>46649</v>
      </c>
      <c r="R112" s="449" t="s">
        <v>313</v>
      </c>
      <c r="S112" s="332"/>
      <c r="T112" s="571"/>
      <c r="U112" s="1624" t="s">
        <v>3192</v>
      </c>
      <c r="V112" s="334"/>
      <c r="W112" s="334"/>
      <c r="X112" s="334"/>
      <c r="Y112" s="334"/>
      <c r="Z112" s="334"/>
      <c r="AA112" s="334"/>
      <c r="AB112" s="334"/>
      <c r="AE112" s="1626">
        <v>42384</v>
      </c>
      <c r="AF112" s="1499" t="s">
        <v>3182</v>
      </c>
      <c r="AH112" s="199"/>
      <c r="AI112" s="199"/>
      <c r="AJ112" s="199"/>
      <c r="AK112" s="199"/>
      <c r="AL112" s="199"/>
      <c r="AM112" s="199"/>
    </row>
    <row r="113" spans="1:39" ht="15.75" hidden="1">
      <c r="A113" s="656">
        <v>81</v>
      </c>
      <c r="B113" s="566" t="s">
        <v>3193</v>
      </c>
      <c r="C113" s="457" t="s">
        <v>20</v>
      </c>
      <c r="D113" s="567" t="s">
        <v>3194</v>
      </c>
      <c r="E113" s="1416"/>
      <c r="F113" s="674" t="s">
        <v>759</v>
      </c>
      <c r="G113" s="823" t="s">
        <v>76</v>
      </c>
      <c r="H113" s="1468" t="s">
        <v>266</v>
      </c>
      <c r="I113" s="79"/>
      <c r="J113" s="79"/>
      <c r="K113" s="409" t="s">
        <v>290</v>
      </c>
      <c r="L113" s="457" t="s">
        <v>2940</v>
      </c>
      <c r="M113" s="444">
        <v>27247</v>
      </c>
      <c r="N113" s="444">
        <v>49187</v>
      </c>
      <c r="O113" s="1418">
        <v>46234</v>
      </c>
      <c r="P113" s="1419">
        <v>46315</v>
      </c>
      <c r="Q113" s="1418">
        <v>46395</v>
      </c>
      <c r="R113" s="449" t="s">
        <v>37</v>
      </c>
      <c r="S113" s="332"/>
      <c r="T113" s="571"/>
      <c r="U113" s="572"/>
      <c r="V113" s="334"/>
      <c r="W113" s="334"/>
      <c r="X113" s="334"/>
      <c r="Y113" s="334"/>
      <c r="Z113" s="334"/>
      <c r="AA113" s="334"/>
      <c r="AB113" s="334"/>
      <c r="AE113" s="1627"/>
      <c r="AF113" s="1627"/>
      <c r="AH113" s="199"/>
      <c r="AI113" s="199"/>
      <c r="AJ113" s="199"/>
      <c r="AK113" s="199"/>
      <c r="AL113" s="199"/>
      <c r="AM113" s="199"/>
    </row>
    <row r="114" spans="1:39" ht="15.75" hidden="1">
      <c r="A114" s="656">
        <v>83</v>
      </c>
      <c r="B114" s="566" t="s">
        <v>1451</v>
      </c>
      <c r="C114" s="1628" t="s">
        <v>20</v>
      </c>
      <c r="D114" s="1629" t="s">
        <v>3195</v>
      </c>
      <c r="E114" s="1630"/>
      <c r="F114" s="674" t="s">
        <v>759</v>
      </c>
      <c r="G114" s="1628" t="s">
        <v>76</v>
      </c>
      <c r="H114" s="1468" t="s">
        <v>266</v>
      </c>
      <c r="I114" s="79"/>
      <c r="J114" s="79"/>
      <c r="K114" s="409" t="s">
        <v>290</v>
      </c>
      <c r="L114" s="457" t="s">
        <v>1843</v>
      </c>
      <c r="M114" s="444">
        <v>28426</v>
      </c>
      <c r="N114" s="444">
        <v>50344</v>
      </c>
      <c r="O114" s="1418">
        <v>45955</v>
      </c>
      <c r="P114" s="1419">
        <v>46028</v>
      </c>
      <c r="Q114" s="1418">
        <v>45981</v>
      </c>
      <c r="R114" s="449" t="s">
        <v>37</v>
      </c>
      <c r="S114" s="332"/>
      <c r="T114" s="571"/>
      <c r="U114" s="572"/>
      <c r="V114" s="334"/>
      <c r="W114" s="334"/>
      <c r="X114" s="334"/>
      <c r="Y114" s="334"/>
      <c r="Z114" s="334"/>
      <c r="AA114" s="334"/>
      <c r="AB114" s="334"/>
      <c r="AE114" s="1630"/>
      <c r="AF114" s="1630"/>
      <c r="AH114" s="199"/>
      <c r="AI114" s="199"/>
      <c r="AJ114" s="199"/>
      <c r="AK114" s="199"/>
      <c r="AL114" s="199"/>
      <c r="AM114" s="199"/>
    </row>
    <row r="115" spans="1:39" ht="15.75" hidden="1">
      <c r="A115" s="656">
        <v>90</v>
      </c>
      <c r="B115" s="566" t="s">
        <v>3196</v>
      </c>
      <c r="C115" s="457" t="s">
        <v>20</v>
      </c>
      <c r="D115" s="567" t="s">
        <v>3197</v>
      </c>
      <c r="E115" s="1416"/>
      <c r="F115" s="674" t="s">
        <v>759</v>
      </c>
      <c r="G115" s="823" t="s">
        <v>77</v>
      </c>
      <c r="H115" s="1468" t="s">
        <v>279</v>
      </c>
      <c r="I115" s="79"/>
      <c r="J115" s="79"/>
      <c r="K115" s="274" t="s">
        <v>464</v>
      </c>
      <c r="L115" s="445" t="s">
        <v>58</v>
      </c>
      <c r="M115" s="444">
        <v>24487</v>
      </c>
      <c r="N115" s="444">
        <v>46418</v>
      </c>
      <c r="O115" s="1418">
        <v>46074</v>
      </c>
      <c r="P115" s="1419">
        <v>46734</v>
      </c>
      <c r="Q115" s="1418">
        <v>46607</v>
      </c>
      <c r="R115" s="449" t="s">
        <v>37</v>
      </c>
      <c r="S115" s="332"/>
      <c r="T115" s="571"/>
      <c r="U115" s="572"/>
      <c r="V115" s="334"/>
      <c r="W115" s="334"/>
      <c r="X115" s="334"/>
      <c r="Y115" s="334"/>
      <c r="Z115" s="334"/>
      <c r="AA115" s="334"/>
      <c r="AB115" s="334"/>
      <c r="AE115" s="568" t="s">
        <v>3198</v>
      </c>
      <c r="AF115" s="568" t="s">
        <v>2747</v>
      </c>
      <c r="AH115" s="199"/>
      <c r="AI115" s="199"/>
      <c r="AJ115" s="199"/>
      <c r="AK115" s="199"/>
      <c r="AL115" s="199"/>
      <c r="AM115" s="199"/>
    </row>
    <row r="116" spans="1:39" ht="12.75" hidden="1" customHeight="1">
      <c r="A116" s="656">
        <v>1</v>
      </c>
      <c r="B116" s="1372" t="s">
        <v>3199</v>
      </c>
      <c r="C116" s="1210" t="s">
        <v>20</v>
      </c>
      <c r="D116" s="1495" t="s">
        <v>3200</v>
      </c>
      <c r="E116" s="527" t="s">
        <v>3201</v>
      </c>
      <c r="F116" s="970" t="s">
        <v>759</v>
      </c>
      <c r="G116" s="1384" t="s">
        <v>76</v>
      </c>
      <c r="H116" s="610"/>
      <c r="I116" s="656">
        <v>9163382246</v>
      </c>
      <c r="J116" s="79"/>
      <c r="K116" s="275" t="s">
        <v>315</v>
      </c>
      <c r="L116" s="445" t="s">
        <v>58</v>
      </c>
      <c r="M116" s="444">
        <v>30313</v>
      </c>
      <c r="N116" s="444">
        <v>52231</v>
      </c>
      <c r="O116" s="326">
        <v>46036</v>
      </c>
      <c r="P116" s="933">
        <v>45173</v>
      </c>
      <c r="Q116" s="1631" t="s">
        <v>3202</v>
      </c>
      <c r="R116" s="449" t="s">
        <v>37</v>
      </c>
      <c r="S116" s="332"/>
      <c r="T116" s="1578" t="s">
        <v>3203</v>
      </c>
      <c r="U116" s="572" t="s">
        <v>3204</v>
      </c>
      <c r="V116" s="334"/>
      <c r="W116" s="334"/>
      <c r="X116" s="334"/>
      <c r="Y116" s="334"/>
      <c r="Z116" s="334"/>
      <c r="AA116" s="334"/>
      <c r="AB116" s="334"/>
      <c r="AC116" s="334"/>
      <c r="AD116" s="199"/>
      <c r="AE116" s="199"/>
      <c r="AF116" s="199"/>
      <c r="AG116" s="199"/>
      <c r="AH116" s="199"/>
      <c r="AI116" s="199"/>
      <c r="AJ116" s="199"/>
      <c r="AK116" s="199"/>
      <c r="AL116" s="199"/>
      <c r="AM116" s="199"/>
    </row>
    <row r="117" spans="1:39" ht="15.75" hidden="1" customHeight="1">
      <c r="A117" s="656">
        <v>2</v>
      </c>
      <c r="B117" s="1372" t="s">
        <v>3205</v>
      </c>
      <c r="C117" s="1210" t="s">
        <v>20</v>
      </c>
      <c r="D117" s="1632" t="s">
        <v>3206</v>
      </c>
      <c r="E117" s="527" t="s">
        <v>3207</v>
      </c>
      <c r="F117" s="970" t="s">
        <v>759</v>
      </c>
      <c r="G117" s="1323" t="s">
        <v>77</v>
      </c>
      <c r="H117" s="610"/>
      <c r="I117" s="656">
        <v>8420320501</v>
      </c>
      <c r="J117" s="79"/>
      <c r="K117" s="275" t="s">
        <v>315</v>
      </c>
      <c r="L117" s="457" t="s">
        <v>1843</v>
      </c>
      <c r="M117" s="444">
        <v>28740</v>
      </c>
      <c r="N117" s="444">
        <v>50678</v>
      </c>
      <c r="O117" s="1418">
        <v>46450</v>
      </c>
      <c r="P117" s="1419">
        <v>46315</v>
      </c>
      <c r="Q117" s="1418">
        <v>46367</v>
      </c>
      <c r="R117" s="449" t="s">
        <v>37</v>
      </c>
      <c r="S117" s="332"/>
      <c r="T117" s="1578" t="s">
        <v>3208</v>
      </c>
      <c r="U117" s="572" t="s">
        <v>3209</v>
      </c>
      <c r="V117" s="334"/>
      <c r="W117" s="334"/>
      <c r="X117" s="334"/>
      <c r="Y117" s="334"/>
      <c r="Z117" s="334"/>
      <c r="AA117" s="334"/>
      <c r="AB117" s="334"/>
      <c r="AC117" s="334"/>
      <c r="AD117" s="199"/>
      <c r="AE117" s="199"/>
      <c r="AF117" s="199"/>
      <c r="AG117" s="199"/>
      <c r="AH117" s="199"/>
      <c r="AI117" s="199"/>
      <c r="AJ117" s="199"/>
      <c r="AK117" s="199"/>
      <c r="AL117" s="199"/>
      <c r="AM117" s="199"/>
    </row>
    <row r="118" spans="1:39" ht="23.25" hidden="1" customHeight="1">
      <c r="A118" s="656">
        <v>3</v>
      </c>
      <c r="B118" s="1372" t="s">
        <v>3210</v>
      </c>
      <c r="C118" s="1210" t="s">
        <v>20</v>
      </c>
      <c r="D118" s="1632" t="s">
        <v>3211</v>
      </c>
      <c r="E118" s="527" t="s">
        <v>3212</v>
      </c>
      <c r="F118" s="970" t="s">
        <v>759</v>
      </c>
      <c r="G118" s="1323" t="s">
        <v>77</v>
      </c>
      <c r="H118" s="610"/>
      <c r="I118" s="656">
        <v>9002071517</v>
      </c>
      <c r="J118" s="79"/>
      <c r="K118" s="275" t="s">
        <v>315</v>
      </c>
      <c r="L118" s="457" t="s">
        <v>1843</v>
      </c>
      <c r="M118" s="444">
        <v>29943</v>
      </c>
      <c r="N118" s="444">
        <v>51866</v>
      </c>
      <c r="O118" s="1418">
        <v>46078</v>
      </c>
      <c r="P118" s="1419">
        <v>46629</v>
      </c>
      <c r="Q118" s="1418">
        <v>46367</v>
      </c>
      <c r="R118" s="449" t="s">
        <v>37</v>
      </c>
      <c r="S118" s="332"/>
      <c r="T118" s="1578" t="s">
        <v>3213</v>
      </c>
      <c r="U118" s="572" t="s">
        <v>3214</v>
      </c>
      <c r="V118" s="334"/>
      <c r="W118" s="334"/>
      <c r="X118" s="334"/>
      <c r="Y118" s="334"/>
      <c r="Z118" s="334"/>
      <c r="AA118" s="334"/>
      <c r="AB118" s="334"/>
      <c r="AC118" s="334"/>
      <c r="AD118" s="199"/>
      <c r="AE118" s="199"/>
      <c r="AF118" s="199"/>
      <c r="AG118" s="199"/>
      <c r="AH118" s="199"/>
      <c r="AI118" s="199"/>
      <c r="AJ118" s="199"/>
      <c r="AK118" s="199"/>
      <c r="AL118" s="199"/>
      <c r="AM118" s="199"/>
    </row>
    <row r="119" spans="1:39" ht="24" hidden="1" customHeight="1">
      <c r="A119" s="656">
        <v>4</v>
      </c>
      <c r="B119" s="1372" t="s">
        <v>3215</v>
      </c>
      <c r="C119" s="1210" t="s">
        <v>20</v>
      </c>
      <c r="D119" s="1633" t="s">
        <v>3216</v>
      </c>
      <c r="E119" s="527" t="s">
        <v>3217</v>
      </c>
      <c r="F119" s="970" t="s">
        <v>759</v>
      </c>
      <c r="G119" s="1323" t="s">
        <v>77</v>
      </c>
      <c r="H119" s="610"/>
      <c r="I119" s="656">
        <v>8420320500</v>
      </c>
      <c r="J119" s="79"/>
      <c r="K119" s="275" t="s">
        <v>315</v>
      </c>
      <c r="L119" s="445" t="s">
        <v>57</v>
      </c>
      <c r="M119" s="444">
        <v>29773</v>
      </c>
      <c r="N119" s="444">
        <v>51713</v>
      </c>
      <c r="O119" s="1418">
        <v>46064</v>
      </c>
      <c r="P119" s="1419">
        <v>46490</v>
      </c>
      <c r="Q119" s="1418">
        <v>46367</v>
      </c>
      <c r="R119" s="449" t="s">
        <v>37</v>
      </c>
      <c r="S119" s="332"/>
      <c r="T119" s="1578" t="s">
        <v>3218</v>
      </c>
      <c r="U119" s="572" t="s">
        <v>3219</v>
      </c>
      <c r="V119" s="334"/>
      <c r="W119" s="334"/>
      <c r="X119" s="334"/>
      <c r="Y119" s="334"/>
      <c r="Z119" s="334"/>
      <c r="AA119" s="334"/>
      <c r="AB119" s="334"/>
      <c r="AC119" s="334"/>
      <c r="AD119" s="199"/>
      <c r="AE119" s="199"/>
      <c r="AF119" s="199"/>
      <c r="AG119" s="199"/>
      <c r="AH119" s="199"/>
      <c r="AI119" s="199"/>
      <c r="AJ119" s="199"/>
      <c r="AK119" s="199"/>
      <c r="AL119" s="199"/>
      <c r="AM119" s="199"/>
    </row>
    <row r="120" spans="1:39" ht="23.25" hidden="1" customHeight="1">
      <c r="A120" s="656">
        <v>6</v>
      </c>
      <c r="B120" s="1372" t="s">
        <v>3220</v>
      </c>
      <c r="C120" s="1210" t="s">
        <v>20</v>
      </c>
      <c r="D120" s="1495" t="s">
        <v>3221</v>
      </c>
      <c r="E120" s="527" t="s">
        <v>3222</v>
      </c>
      <c r="F120" s="970" t="s">
        <v>759</v>
      </c>
      <c r="G120" s="1384" t="s">
        <v>77</v>
      </c>
      <c r="H120" s="327"/>
      <c r="I120" s="656">
        <v>9163382259</v>
      </c>
      <c r="J120" s="79"/>
      <c r="K120" s="409" t="s">
        <v>290</v>
      </c>
      <c r="L120" s="445" t="s">
        <v>58</v>
      </c>
      <c r="M120" s="444">
        <v>30249</v>
      </c>
      <c r="N120" s="444">
        <v>52170</v>
      </c>
      <c r="O120" s="1418">
        <v>46064</v>
      </c>
      <c r="P120" s="1419">
        <v>46351</v>
      </c>
      <c r="Q120" s="1418">
        <v>46146</v>
      </c>
      <c r="R120" s="449" t="s">
        <v>37</v>
      </c>
      <c r="S120" s="332"/>
      <c r="T120" s="1569" t="s">
        <v>3223</v>
      </c>
      <c r="U120" s="916" t="s">
        <v>3224</v>
      </c>
      <c r="V120" s="334"/>
      <c r="W120" s="334"/>
      <c r="X120" s="334"/>
      <c r="Y120" s="334"/>
      <c r="Z120" s="334"/>
      <c r="AA120" s="334"/>
      <c r="AB120" s="334"/>
      <c r="AC120" s="334"/>
      <c r="AD120" s="199"/>
      <c r="AE120" s="199"/>
      <c r="AF120" s="199"/>
      <c r="AG120" s="199"/>
      <c r="AH120" s="199"/>
      <c r="AI120" s="199"/>
      <c r="AJ120" s="199"/>
      <c r="AK120" s="199"/>
      <c r="AL120" s="199"/>
      <c r="AM120" s="199"/>
    </row>
    <row r="121" spans="1:39" ht="24" hidden="1" customHeight="1">
      <c r="A121" s="656">
        <v>7</v>
      </c>
      <c r="B121" s="1372" t="s">
        <v>3225</v>
      </c>
      <c r="C121" s="1210" t="s">
        <v>20</v>
      </c>
      <c r="D121" s="1495" t="s">
        <v>3226</v>
      </c>
      <c r="E121" s="527" t="s">
        <v>3227</v>
      </c>
      <c r="F121" s="970" t="s">
        <v>759</v>
      </c>
      <c r="G121" s="1384" t="s">
        <v>77</v>
      </c>
      <c r="H121" s="327"/>
      <c r="I121" s="656">
        <v>9163382260</v>
      </c>
      <c r="J121" s="79"/>
      <c r="K121" s="409" t="s">
        <v>315</v>
      </c>
      <c r="L121" s="445" t="s">
        <v>57</v>
      </c>
      <c r="M121" s="444">
        <v>29535</v>
      </c>
      <c r="N121" s="444">
        <v>51470</v>
      </c>
      <c r="O121" s="1418">
        <v>45971</v>
      </c>
      <c r="P121" s="1419">
        <v>46260</v>
      </c>
      <c r="Q121" s="1418">
        <v>46146</v>
      </c>
      <c r="R121" s="449" t="s">
        <v>37</v>
      </c>
      <c r="S121" s="332"/>
      <c r="T121" s="1569" t="s">
        <v>3228</v>
      </c>
      <c r="U121" s="916" t="s">
        <v>3229</v>
      </c>
      <c r="V121" s="334"/>
      <c r="W121" s="334"/>
      <c r="X121" s="334"/>
      <c r="Y121" s="334"/>
      <c r="Z121" s="334"/>
      <c r="AA121" s="334"/>
      <c r="AB121" s="334"/>
      <c r="AC121" s="334"/>
      <c r="AD121" s="199"/>
      <c r="AE121" s="199"/>
      <c r="AF121" s="199"/>
      <c r="AG121" s="199"/>
      <c r="AH121" s="199"/>
      <c r="AI121" s="199"/>
      <c r="AJ121" s="199"/>
      <c r="AK121" s="199"/>
      <c r="AL121" s="199"/>
      <c r="AM121" s="199"/>
    </row>
    <row r="122" spans="1:39" ht="21.75" hidden="1" customHeight="1">
      <c r="A122" s="656">
        <v>8</v>
      </c>
      <c r="B122" s="1372" t="s">
        <v>3230</v>
      </c>
      <c r="C122" s="1210" t="s">
        <v>20</v>
      </c>
      <c r="D122" s="1495" t="s">
        <v>3231</v>
      </c>
      <c r="E122" s="527" t="s">
        <v>3232</v>
      </c>
      <c r="F122" s="970" t="s">
        <v>759</v>
      </c>
      <c r="G122" s="1384" t="s">
        <v>77</v>
      </c>
      <c r="H122" s="327"/>
      <c r="I122" s="656">
        <v>9163382261</v>
      </c>
      <c r="J122" s="79"/>
      <c r="K122" s="409" t="s">
        <v>315</v>
      </c>
      <c r="L122" s="457" t="s">
        <v>2940</v>
      </c>
      <c r="M122" s="444">
        <v>31602</v>
      </c>
      <c r="N122" s="444">
        <v>53539</v>
      </c>
      <c r="O122" s="1418">
        <v>46067</v>
      </c>
      <c r="P122" s="1419">
        <v>46260</v>
      </c>
      <c r="Q122" s="1418">
        <v>46146</v>
      </c>
      <c r="R122" s="449" t="s">
        <v>37</v>
      </c>
      <c r="S122" s="332"/>
      <c r="T122" s="1578" t="s">
        <v>3233</v>
      </c>
      <c r="U122" s="572" t="s">
        <v>3234</v>
      </c>
      <c r="V122" s="334"/>
      <c r="W122" s="334"/>
      <c r="X122" s="334"/>
      <c r="Y122" s="334"/>
      <c r="Z122" s="334"/>
      <c r="AA122" s="334"/>
      <c r="AB122" s="334"/>
      <c r="AC122" s="334"/>
      <c r="AD122" s="199"/>
      <c r="AE122" s="199"/>
      <c r="AF122" s="199"/>
      <c r="AG122" s="199"/>
      <c r="AH122" s="199"/>
      <c r="AI122" s="199"/>
      <c r="AJ122" s="199"/>
      <c r="AK122" s="199"/>
      <c r="AL122" s="199"/>
      <c r="AM122" s="199"/>
    </row>
    <row r="123" spans="1:39" ht="27.75" hidden="1" customHeight="1">
      <c r="A123" s="656">
        <v>9</v>
      </c>
      <c r="B123" s="1593" t="s">
        <v>3235</v>
      </c>
      <c r="C123" s="1210" t="s">
        <v>20</v>
      </c>
      <c r="D123" s="1604" t="s">
        <v>3236</v>
      </c>
      <c r="E123" s="527" t="s">
        <v>3237</v>
      </c>
      <c r="F123" s="970" t="s">
        <v>759</v>
      </c>
      <c r="G123" s="1393" t="s">
        <v>76</v>
      </c>
      <c r="H123" s="327"/>
      <c r="I123" s="992">
        <v>7980702552</v>
      </c>
      <c r="J123" s="79"/>
      <c r="K123" s="409" t="s">
        <v>315</v>
      </c>
      <c r="L123" s="445" t="s">
        <v>58</v>
      </c>
      <c r="M123" s="444">
        <v>28125</v>
      </c>
      <c r="N123" s="444">
        <v>50040</v>
      </c>
      <c r="O123" s="1418">
        <v>46037</v>
      </c>
      <c r="P123" s="1419">
        <v>46461</v>
      </c>
      <c r="Q123" s="1418">
        <v>46395</v>
      </c>
      <c r="R123" s="449" t="s">
        <v>37</v>
      </c>
      <c r="S123" s="332"/>
      <c r="T123" s="1578" t="s">
        <v>3238</v>
      </c>
      <c r="U123" s="1634" t="s">
        <v>3239</v>
      </c>
      <c r="V123" s="334"/>
      <c r="W123" s="334"/>
      <c r="X123" s="334"/>
      <c r="Y123" s="334"/>
      <c r="Z123" s="334"/>
      <c r="AA123" s="334"/>
      <c r="AB123" s="334"/>
      <c r="AC123" s="334"/>
      <c r="AD123" s="199"/>
      <c r="AE123" s="199"/>
      <c r="AF123" s="199"/>
      <c r="AG123" s="199"/>
      <c r="AH123" s="199"/>
      <c r="AI123" s="199"/>
      <c r="AJ123" s="199"/>
      <c r="AK123" s="199"/>
      <c r="AL123" s="199"/>
      <c r="AM123" s="199"/>
    </row>
    <row r="124" spans="1:39" ht="27" hidden="1" customHeight="1">
      <c r="A124" s="656">
        <v>10</v>
      </c>
      <c r="B124" s="1593" t="s">
        <v>3240</v>
      </c>
      <c r="C124" s="1210" t="s">
        <v>20</v>
      </c>
      <c r="D124" s="1604" t="s">
        <v>3241</v>
      </c>
      <c r="E124" s="527" t="s">
        <v>3242</v>
      </c>
      <c r="F124" s="970" t="s">
        <v>759</v>
      </c>
      <c r="G124" s="1323" t="s">
        <v>77</v>
      </c>
      <c r="H124" s="610"/>
      <c r="I124" s="992">
        <v>8388819506</v>
      </c>
      <c r="J124" s="79"/>
      <c r="K124" s="274" t="s">
        <v>464</v>
      </c>
      <c r="L124" s="457" t="s">
        <v>1843</v>
      </c>
      <c r="M124" s="444">
        <v>28854</v>
      </c>
      <c r="N124" s="444">
        <v>50770</v>
      </c>
      <c r="O124" s="1418">
        <v>46289</v>
      </c>
      <c r="P124" s="1419">
        <v>46288</v>
      </c>
      <c r="Q124" s="1418">
        <v>46395</v>
      </c>
      <c r="R124" s="449" t="s">
        <v>37</v>
      </c>
      <c r="S124" s="332"/>
      <c r="T124" s="1578" t="s">
        <v>3243</v>
      </c>
      <c r="U124" s="1634" t="s">
        <v>3244</v>
      </c>
      <c r="V124" s="334"/>
      <c r="W124" s="334"/>
      <c r="X124" s="334"/>
      <c r="Y124" s="334"/>
      <c r="Z124" s="334"/>
      <c r="AA124" s="334"/>
      <c r="AB124" s="334"/>
      <c r="AC124" s="334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</row>
    <row r="125" spans="1:39" ht="17.25" hidden="1" customHeight="1">
      <c r="A125" s="656">
        <v>11</v>
      </c>
      <c r="B125" s="1593" t="s">
        <v>3245</v>
      </c>
      <c r="C125" s="1210" t="s">
        <v>20</v>
      </c>
      <c r="D125" s="1604" t="s">
        <v>3246</v>
      </c>
      <c r="E125" s="527" t="s">
        <v>3247</v>
      </c>
      <c r="F125" s="970" t="s">
        <v>759</v>
      </c>
      <c r="G125" s="1323" t="s">
        <v>76</v>
      </c>
      <c r="H125" s="610"/>
      <c r="I125" s="992">
        <v>8420320509</v>
      </c>
      <c r="J125" s="79"/>
      <c r="K125" s="274" t="s">
        <v>464</v>
      </c>
      <c r="L125" s="457" t="s">
        <v>2940</v>
      </c>
      <c r="M125" s="444">
        <v>28120</v>
      </c>
      <c r="N125" s="444">
        <v>50040</v>
      </c>
      <c r="O125" s="1418">
        <v>46019</v>
      </c>
      <c r="P125" s="1419">
        <v>46288</v>
      </c>
      <c r="Q125" s="1418">
        <v>46395</v>
      </c>
      <c r="R125" s="449" t="s">
        <v>37</v>
      </c>
      <c r="S125" s="332"/>
      <c r="T125" s="1569" t="s">
        <v>3248</v>
      </c>
      <c r="U125" s="1592" t="s">
        <v>3249</v>
      </c>
      <c r="V125" s="79"/>
      <c r="W125" s="334"/>
      <c r="X125" s="334"/>
      <c r="Y125" s="334"/>
      <c r="Z125" s="334"/>
      <c r="AA125" s="334"/>
      <c r="AB125" s="334"/>
      <c r="AC125" s="334"/>
      <c r="AD125" s="199"/>
      <c r="AE125" s="199"/>
      <c r="AF125" s="199"/>
      <c r="AG125" s="199"/>
      <c r="AH125" s="199"/>
      <c r="AI125" s="199"/>
      <c r="AJ125" s="199"/>
      <c r="AK125" s="199"/>
      <c r="AL125" s="199"/>
      <c r="AM125" s="199"/>
    </row>
    <row r="126" spans="1:39" ht="16.5" hidden="1" customHeight="1">
      <c r="A126" s="656">
        <v>12</v>
      </c>
      <c r="B126" s="1593" t="s">
        <v>3250</v>
      </c>
      <c r="C126" s="1210" t="s">
        <v>20</v>
      </c>
      <c r="D126" s="1604" t="s">
        <v>3251</v>
      </c>
      <c r="E126" s="527" t="s">
        <v>3252</v>
      </c>
      <c r="F126" s="970" t="s">
        <v>759</v>
      </c>
      <c r="G126" s="1323" t="s">
        <v>77</v>
      </c>
      <c r="H126" s="610"/>
      <c r="I126" s="992">
        <v>9735344857</v>
      </c>
      <c r="J126" s="79"/>
      <c r="K126" s="274" t="s">
        <v>464</v>
      </c>
      <c r="L126" s="457" t="s">
        <v>2940</v>
      </c>
      <c r="M126" s="444">
        <v>27978</v>
      </c>
      <c r="N126" s="444">
        <v>49918</v>
      </c>
      <c r="O126" s="794">
        <v>45144</v>
      </c>
      <c r="P126" s="914">
        <v>45373</v>
      </c>
      <c r="Q126" s="915">
        <v>45312</v>
      </c>
      <c r="R126" s="449" t="s">
        <v>37</v>
      </c>
      <c r="S126" s="332"/>
      <c r="T126" s="1569" t="s">
        <v>3253</v>
      </c>
      <c r="U126" s="1592" t="s">
        <v>3254</v>
      </c>
      <c r="V126" s="79"/>
      <c r="W126" s="334"/>
      <c r="X126" s="334"/>
      <c r="Y126" s="334"/>
      <c r="Z126" s="334"/>
      <c r="AA126" s="334"/>
      <c r="AB126" s="334"/>
      <c r="AC126" s="334"/>
      <c r="AD126" s="199"/>
      <c r="AE126" s="199"/>
      <c r="AF126" s="199"/>
      <c r="AG126" s="199"/>
      <c r="AH126" s="199"/>
      <c r="AI126" s="199"/>
      <c r="AJ126" s="199"/>
      <c r="AK126" s="199"/>
      <c r="AL126" s="199"/>
      <c r="AM126" s="199"/>
    </row>
    <row r="127" spans="1:39" ht="23.25" hidden="1" customHeight="1">
      <c r="A127" s="656">
        <v>13</v>
      </c>
      <c r="B127" s="1593" t="s">
        <v>3255</v>
      </c>
      <c r="C127" s="1210" t="s">
        <v>20</v>
      </c>
      <c r="D127" s="1604" t="s">
        <v>3256</v>
      </c>
      <c r="E127" s="527" t="s">
        <v>3257</v>
      </c>
      <c r="F127" s="970" t="s">
        <v>3258</v>
      </c>
      <c r="G127" s="1323" t="s">
        <v>77</v>
      </c>
      <c r="H127" s="610"/>
      <c r="I127" s="992">
        <v>9002079483</v>
      </c>
      <c r="J127" s="79"/>
      <c r="K127" s="274" t="s">
        <v>464</v>
      </c>
      <c r="L127" s="457" t="s">
        <v>1843</v>
      </c>
      <c r="M127" s="444">
        <v>29595</v>
      </c>
      <c r="N127" s="444">
        <v>51532</v>
      </c>
      <c r="O127" s="1418">
        <v>45850</v>
      </c>
      <c r="P127" s="1419">
        <v>46693</v>
      </c>
      <c r="Q127" s="1418">
        <v>46398</v>
      </c>
      <c r="R127" s="449" t="s">
        <v>37</v>
      </c>
      <c r="S127" s="332"/>
      <c r="T127" s="1569" t="s">
        <v>3259</v>
      </c>
      <c r="U127" s="1592" t="s">
        <v>3260</v>
      </c>
      <c r="V127" s="334"/>
      <c r="W127" s="334"/>
      <c r="X127" s="334"/>
      <c r="Y127" s="334"/>
      <c r="Z127" s="334"/>
      <c r="AA127" s="334"/>
      <c r="AB127" s="334"/>
      <c r="AC127" s="334"/>
      <c r="AD127" s="199"/>
      <c r="AE127" s="199"/>
      <c r="AF127" s="199"/>
      <c r="AG127" s="199"/>
      <c r="AH127" s="199"/>
      <c r="AI127" s="199"/>
      <c r="AJ127" s="199"/>
      <c r="AK127" s="199"/>
      <c r="AL127" s="199"/>
      <c r="AM127" s="199"/>
    </row>
    <row r="128" spans="1:39" ht="22.5" hidden="1" customHeight="1">
      <c r="A128" s="656">
        <v>14</v>
      </c>
      <c r="B128" s="322" t="s">
        <v>3261</v>
      </c>
      <c r="C128" s="1210" t="s">
        <v>20</v>
      </c>
      <c r="D128" s="1570" t="s">
        <v>3262</v>
      </c>
      <c r="E128" s="527" t="s">
        <v>3263</v>
      </c>
      <c r="F128" s="970" t="s">
        <v>759</v>
      </c>
      <c r="G128" s="1323" t="s">
        <v>76</v>
      </c>
      <c r="H128" s="1140"/>
      <c r="I128" s="327"/>
      <c r="J128" s="334"/>
      <c r="K128" s="275" t="s">
        <v>315</v>
      </c>
      <c r="L128" s="445" t="s">
        <v>57</v>
      </c>
      <c r="M128" s="444">
        <v>26315</v>
      </c>
      <c r="N128" s="444">
        <v>48244</v>
      </c>
      <c r="O128" s="1418">
        <v>46404</v>
      </c>
      <c r="P128" s="1419">
        <v>46629</v>
      </c>
      <c r="Q128" s="1418">
        <v>46370</v>
      </c>
      <c r="R128" s="449" t="s">
        <v>37</v>
      </c>
      <c r="S128" s="332"/>
      <c r="T128" s="1569" t="s">
        <v>3264</v>
      </c>
      <c r="U128" s="1592" t="s">
        <v>3265</v>
      </c>
      <c r="V128" s="334"/>
      <c r="W128" s="334"/>
      <c r="X128" s="334"/>
      <c r="Y128" s="334"/>
      <c r="Z128" s="334"/>
      <c r="AA128" s="334"/>
      <c r="AB128" s="334"/>
      <c r="AC128" s="334"/>
      <c r="AD128" s="199"/>
      <c r="AE128" s="199"/>
      <c r="AF128" s="199"/>
      <c r="AG128" s="199"/>
      <c r="AH128" s="199"/>
      <c r="AI128" s="199"/>
      <c r="AJ128" s="199"/>
      <c r="AK128" s="199"/>
      <c r="AL128" s="199"/>
      <c r="AM128" s="199"/>
    </row>
    <row r="129" spans="1:39" ht="24.75" hidden="1" customHeight="1">
      <c r="A129" s="656">
        <v>15</v>
      </c>
      <c r="B129" s="322" t="s">
        <v>3266</v>
      </c>
      <c r="C129" s="1210" t="s">
        <v>20</v>
      </c>
      <c r="D129" s="1570" t="s">
        <v>3267</v>
      </c>
      <c r="E129" s="527" t="s">
        <v>3268</v>
      </c>
      <c r="F129" s="970" t="s">
        <v>759</v>
      </c>
      <c r="G129" s="1393" t="s">
        <v>77</v>
      </c>
      <c r="H129" s="327"/>
      <c r="I129" s="327"/>
      <c r="J129" s="334"/>
      <c r="K129" s="275" t="s">
        <v>315</v>
      </c>
      <c r="L129" s="457" t="s">
        <v>1843</v>
      </c>
      <c r="M129" s="444">
        <v>24422</v>
      </c>
      <c r="N129" s="444">
        <v>46356</v>
      </c>
      <c r="O129" s="1418">
        <v>45871</v>
      </c>
      <c r="P129" s="1419">
        <v>46315</v>
      </c>
      <c r="Q129" s="1418">
        <v>46367</v>
      </c>
      <c r="R129" s="449" t="s">
        <v>37</v>
      </c>
      <c r="S129" s="332"/>
      <c r="T129" s="1569" t="s">
        <v>3269</v>
      </c>
      <c r="U129" s="1592" t="s">
        <v>3270</v>
      </c>
      <c r="V129" s="334"/>
      <c r="W129" s="334"/>
      <c r="X129" s="334"/>
      <c r="Y129" s="334"/>
      <c r="Z129" s="334"/>
      <c r="AA129" s="334"/>
      <c r="AB129" s="334"/>
      <c r="AC129" s="334"/>
      <c r="AD129" s="199"/>
      <c r="AE129" s="199"/>
      <c r="AF129" s="199"/>
      <c r="AG129" s="199"/>
      <c r="AH129" s="199"/>
      <c r="AI129" s="199"/>
      <c r="AJ129" s="199"/>
      <c r="AK129" s="199"/>
      <c r="AL129" s="199"/>
      <c r="AM129" s="199"/>
    </row>
    <row r="130" spans="1:39" ht="24.75" hidden="1" customHeight="1">
      <c r="A130" s="656">
        <v>16</v>
      </c>
      <c r="B130" s="322" t="s">
        <v>3271</v>
      </c>
      <c r="C130" s="1210" t="s">
        <v>20</v>
      </c>
      <c r="D130" s="1601" t="s">
        <v>3272</v>
      </c>
      <c r="E130" s="527" t="s">
        <v>3273</v>
      </c>
      <c r="F130" s="970" t="s">
        <v>759</v>
      </c>
      <c r="G130" s="1535" t="s">
        <v>76</v>
      </c>
      <c r="H130" s="3"/>
      <c r="I130" s="327"/>
      <c r="J130" s="334"/>
      <c r="K130" s="409" t="s">
        <v>290</v>
      </c>
      <c r="L130" s="445" t="s">
        <v>58</v>
      </c>
      <c r="M130" s="444">
        <v>29237</v>
      </c>
      <c r="N130" s="444">
        <v>51166</v>
      </c>
      <c r="O130" s="1418">
        <v>46425</v>
      </c>
      <c r="P130" s="1419">
        <v>46351</v>
      </c>
      <c r="Q130" s="1418">
        <v>46493</v>
      </c>
      <c r="R130" s="449" t="s">
        <v>37</v>
      </c>
      <c r="S130" s="332"/>
      <c r="T130" s="1569" t="s">
        <v>3274</v>
      </c>
      <c r="U130" s="1592" t="s">
        <v>3275</v>
      </c>
      <c r="V130" s="334"/>
      <c r="W130" s="334"/>
      <c r="X130" s="334"/>
      <c r="Y130" s="334"/>
      <c r="Z130" s="334"/>
      <c r="AA130" s="334"/>
      <c r="AB130" s="334"/>
      <c r="AC130" s="334"/>
      <c r="AD130" s="199"/>
      <c r="AE130" s="199"/>
      <c r="AF130" s="199"/>
      <c r="AG130" s="199"/>
      <c r="AH130" s="199"/>
      <c r="AI130" s="199"/>
      <c r="AJ130" s="199"/>
      <c r="AK130" s="199"/>
      <c r="AL130" s="199"/>
      <c r="AM130" s="199"/>
    </row>
    <row r="131" spans="1:39" hidden="1">
      <c r="A131" s="1219">
        <v>27</v>
      </c>
      <c r="B131" s="322" t="s">
        <v>3276</v>
      </c>
      <c r="C131" s="1373" t="s">
        <v>20</v>
      </c>
      <c r="D131" s="1635" t="s">
        <v>3277</v>
      </c>
      <c r="E131" s="527" t="s">
        <v>3278</v>
      </c>
      <c r="F131" s="699" t="s">
        <v>759</v>
      </c>
      <c r="G131" s="1636" t="s">
        <v>77</v>
      </c>
      <c r="H131" s="499"/>
      <c r="I131" s="682"/>
      <c r="J131" s="682"/>
      <c r="K131" s="1417" t="s">
        <v>253</v>
      </c>
      <c r="L131" s="274" t="s">
        <v>62</v>
      </c>
      <c r="M131" s="444">
        <v>30545</v>
      </c>
      <c r="N131" s="444">
        <v>52474</v>
      </c>
      <c r="O131" s="1637"/>
      <c r="P131" s="1565"/>
      <c r="Q131" s="1637"/>
      <c r="R131" s="1378" t="s">
        <v>313</v>
      </c>
      <c r="S131" s="1638"/>
      <c r="T131" s="1639"/>
      <c r="U131" s="1638"/>
      <c r="V131" s="1380"/>
      <c r="W131" s="1380"/>
      <c r="X131" s="1380"/>
      <c r="Y131" s="1380"/>
      <c r="Z131" s="1380"/>
      <c r="AA131" s="1380"/>
      <c r="AB131" s="1380"/>
      <c r="AC131" s="1380"/>
      <c r="AD131" s="1380"/>
      <c r="AE131" s="1380"/>
      <c r="AF131" s="1380"/>
      <c r="AG131" s="1380"/>
      <c r="AH131" s="1380"/>
      <c r="AI131" s="1380"/>
      <c r="AJ131" s="700"/>
      <c r="AK131" s="700"/>
      <c r="AL131" s="700"/>
      <c r="AM131" s="700"/>
    </row>
    <row r="132" spans="1:39" ht="15.75" hidden="1" customHeight="1">
      <c r="A132" s="1036">
        <v>20</v>
      </c>
      <c r="B132" s="351" t="s">
        <v>3279</v>
      </c>
      <c r="C132" s="303" t="s">
        <v>20</v>
      </c>
      <c r="D132" s="1640" t="s">
        <v>3280</v>
      </c>
      <c r="E132" s="274" t="s">
        <v>3281</v>
      </c>
      <c r="F132" s="274" t="s">
        <v>759</v>
      </c>
      <c r="G132" s="274" t="s">
        <v>76</v>
      </c>
      <c r="H132" s="275"/>
      <c r="I132" s="197">
        <v>9230881729</v>
      </c>
      <c r="J132" s="293">
        <v>9674189299</v>
      </c>
      <c r="K132" s="284" t="s">
        <v>315</v>
      </c>
      <c r="L132" s="445" t="s">
        <v>57</v>
      </c>
      <c r="M132" s="272">
        <v>29640</v>
      </c>
      <c r="N132" s="272">
        <v>51560</v>
      </c>
      <c r="O132" s="320">
        <v>46074</v>
      </c>
      <c r="P132" s="315">
        <v>45187</v>
      </c>
      <c r="Q132" s="419">
        <v>45833</v>
      </c>
      <c r="R132" s="1378" t="s">
        <v>313</v>
      </c>
      <c r="S132" s="429" t="s">
        <v>2917</v>
      </c>
      <c r="T132" s="429" t="s">
        <v>3282</v>
      </c>
      <c r="U132" s="430"/>
      <c r="X132" s="79">
        <f t="shared" ref="X132:X133" si="3">LEN(D132)</f>
        <v>11</v>
      </c>
      <c r="AB132" s="208">
        <f t="shared" ref="AB132:AB133" ca="1" si="4">INT((TODAY()-M132)/365)</f>
        <v>45</v>
      </c>
      <c r="AF132" s="384"/>
      <c r="AG132" s="384"/>
      <c r="AH132" s="384"/>
      <c r="AI132" s="384"/>
      <c r="AJ132" s="384"/>
      <c r="AK132" s="384"/>
      <c r="AL132" s="384"/>
      <c r="AM132" s="384"/>
    </row>
    <row r="133" spans="1:39" ht="15.75" hidden="1" customHeight="1">
      <c r="A133" s="1036">
        <v>2</v>
      </c>
      <c r="B133" s="293" t="s">
        <v>3283</v>
      </c>
      <c r="C133" s="303" t="s">
        <v>20</v>
      </c>
      <c r="D133" s="1448" t="s">
        <v>3284</v>
      </c>
      <c r="E133" s="274" t="s">
        <v>3285</v>
      </c>
      <c r="F133" s="274" t="s">
        <v>759</v>
      </c>
      <c r="G133" s="274" t="s">
        <v>77</v>
      </c>
      <c r="H133" s="275"/>
      <c r="I133" s="293">
        <v>9735483485</v>
      </c>
      <c r="J133" s="690"/>
      <c r="K133" s="284" t="s">
        <v>315</v>
      </c>
      <c r="L133" s="274" t="s">
        <v>65</v>
      </c>
      <c r="M133" s="272">
        <v>28779</v>
      </c>
      <c r="N133" s="272">
        <v>50709</v>
      </c>
      <c r="O133" s="272">
        <v>45261</v>
      </c>
      <c r="P133" s="272">
        <v>45874</v>
      </c>
      <c r="Q133" s="279">
        <v>45833</v>
      </c>
      <c r="R133" s="1378" t="s">
        <v>313</v>
      </c>
      <c r="S133" s="603" t="s">
        <v>3286</v>
      </c>
      <c r="T133" s="486" t="s">
        <v>3287</v>
      </c>
      <c r="U133" s="485"/>
      <c r="X133" s="382">
        <f t="shared" si="3"/>
        <v>11</v>
      </c>
      <c r="Y133" s="382"/>
      <c r="Z133" s="382"/>
      <c r="AA133" s="382"/>
      <c r="AB133" s="208">
        <f t="shared" ca="1" si="4"/>
        <v>47</v>
      </c>
    </row>
    <row r="134" spans="1:39" hidden="1">
      <c r="A134" s="1051">
        <v>18</v>
      </c>
      <c r="B134" s="1641" t="s">
        <v>3288</v>
      </c>
      <c r="C134" s="274" t="s">
        <v>20</v>
      </c>
      <c r="D134" s="1642" t="s">
        <v>3289</v>
      </c>
      <c r="E134" s="18" t="s">
        <v>3290</v>
      </c>
      <c r="F134" s="18" t="s">
        <v>759</v>
      </c>
      <c r="G134" s="284" t="s">
        <v>77</v>
      </c>
      <c r="H134" s="303" t="s">
        <v>1567</v>
      </c>
      <c r="I134" s="1643">
        <v>8420320082</v>
      </c>
      <c r="J134" s="935">
        <v>8759248537</v>
      </c>
      <c r="K134" s="275" t="s">
        <v>315</v>
      </c>
      <c r="L134" s="274" t="s">
        <v>69</v>
      </c>
      <c r="M134" s="289">
        <v>30318</v>
      </c>
      <c r="N134" s="289">
        <v>52262</v>
      </c>
      <c r="O134" s="400">
        <v>46168</v>
      </c>
      <c r="P134" s="272">
        <v>45363</v>
      </c>
      <c r="Q134" s="272">
        <v>45307</v>
      </c>
      <c r="R134" s="1378" t="s">
        <v>313</v>
      </c>
      <c r="S134" s="394" t="s">
        <v>3291</v>
      </c>
      <c r="T134" s="394" t="s">
        <v>3292</v>
      </c>
      <c r="U134" s="394" t="s">
        <v>3293</v>
      </c>
      <c r="X134" s="383">
        <f>LEN(TEXT(D134,0))</f>
        <v>11</v>
      </c>
      <c r="Y134" s="312">
        <v>42</v>
      </c>
      <c r="Z134" s="311"/>
      <c r="AA134" s="311"/>
      <c r="AB134" s="311"/>
      <c r="AC134" s="311"/>
      <c r="AD134" s="311"/>
      <c r="AE134" s="311"/>
      <c r="AF134" s="311"/>
      <c r="AG134" s="311"/>
      <c r="AH134" s="311"/>
      <c r="AI134" s="311"/>
      <c r="AJ134" s="311"/>
      <c r="AK134" s="311"/>
      <c r="AL134" s="311"/>
      <c r="AM134" s="311"/>
    </row>
    <row r="135" spans="1:39" ht="18.75" hidden="1">
      <c r="A135" s="1051">
        <v>26</v>
      </c>
      <c r="B135" s="1461" t="s">
        <v>3294</v>
      </c>
      <c r="C135" s="274" t="s">
        <v>20</v>
      </c>
      <c r="D135" s="1585" t="s">
        <v>3295</v>
      </c>
      <c r="E135" s="943" t="s">
        <v>3296</v>
      </c>
      <c r="F135" s="946" t="s">
        <v>759</v>
      </c>
      <c r="G135" s="337" t="s">
        <v>77</v>
      </c>
      <c r="H135" s="303" t="s">
        <v>266</v>
      </c>
      <c r="I135" s="1644">
        <v>9002071260</v>
      </c>
      <c r="J135" s="307">
        <v>9883391698</v>
      </c>
      <c r="K135" s="275" t="s">
        <v>315</v>
      </c>
      <c r="L135" s="125" t="s">
        <v>67</v>
      </c>
      <c r="M135" s="315">
        <v>31385</v>
      </c>
      <c r="N135" s="315">
        <v>53327</v>
      </c>
      <c r="O135" s="278">
        <v>46231</v>
      </c>
      <c r="P135" s="272">
        <v>45363</v>
      </c>
      <c r="Q135" s="272">
        <v>45307</v>
      </c>
      <c r="R135" s="1378" t="s">
        <v>313</v>
      </c>
      <c r="S135" s="318" t="s">
        <v>3297</v>
      </c>
      <c r="T135" s="318" t="s">
        <v>3298</v>
      </c>
      <c r="U135" s="318" t="s">
        <v>3299</v>
      </c>
      <c r="X135" s="285">
        <f>LEN(D135)</f>
        <v>11</v>
      </c>
      <c r="Y135" s="3"/>
      <c r="Z135" s="208">
        <f ca="1">INT((TODAY()-M135)/365)</f>
        <v>40</v>
      </c>
      <c r="AB135" s="311">
        <f ca="1">INT((TODAY()-M135)/365)</f>
        <v>40</v>
      </c>
    </row>
    <row r="136" spans="1:39" ht="15.75" hidden="1" customHeight="1">
      <c r="A136" s="1036">
        <v>21</v>
      </c>
      <c r="B136" s="426" t="s">
        <v>3300</v>
      </c>
      <c r="C136" s="1301" t="s">
        <v>20</v>
      </c>
      <c r="D136" s="1645" t="s">
        <v>3301</v>
      </c>
      <c r="E136" s="1053" t="s">
        <v>3302</v>
      </c>
      <c r="F136" s="674" t="s">
        <v>759</v>
      </c>
      <c r="G136" s="18" t="s">
        <v>78</v>
      </c>
      <c r="H136" s="274" t="s">
        <v>1567</v>
      </c>
      <c r="I136" s="137">
        <v>8949642088</v>
      </c>
      <c r="J136" s="3"/>
      <c r="K136" s="275" t="s">
        <v>315</v>
      </c>
      <c r="L136" s="274" t="s">
        <v>299</v>
      </c>
      <c r="M136" s="418">
        <v>31818</v>
      </c>
      <c r="N136" s="418">
        <v>53751</v>
      </c>
      <c r="O136" s="428">
        <v>46142</v>
      </c>
      <c r="P136" s="272">
        <v>45363</v>
      </c>
      <c r="Q136" s="272">
        <v>45307</v>
      </c>
      <c r="R136" s="1378" t="s">
        <v>313</v>
      </c>
      <c r="S136" s="281" t="s">
        <v>3303</v>
      </c>
      <c r="T136" s="281" t="s">
        <v>3304</v>
      </c>
      <c r="U136" s="280"/>
      <c r="V136" s="285"/>
      <c r="W136" s="282">
        <f ca="1">INT((TODAY()-M136)/365)</f>
        <v>39</v>
      </c>
      <c r="X136" s="79"/>
      <c r="Y136" s="79"/>
      <c r="Z136" s="79"/>
      <c r="AA136" s="79"/>
    </row>
    <row r="137" spans="1:39" ht="15.75" hidden="1" customHeight="1">
      <c r="A137" s="1051">
        <v>97</v>
      </c>
      <c r="B137" s="293" t="s">
        <v>3305</v>
      </c>
      <c r="C137" s="1301" t="s">
        <v>20</v>
      </c>
      <c r="D137" s="1585" t="s">
        <v>3306</v>
      </c>
      <c r="E137" s="620" t="s">
        <v>3307</v>
      </c>
      <c r="F137" s="686" t="s">
        <v>759</v>
      </c>
      <c r="G137" s="284" t="s">
        <v>77</v>
      </c>
      <c r="H137" s="284" t="s">
        <v>266</v>
      </c>
      <c r="I137" s="275">
        <v>8583924881</v>
      </c>
      <c r="J137" s="79"/>
      <c r="K137" s="275" t="s">
        <v>315</v>
      </c>
      <c r="L137" s="274" t="s">
        <v>256</v>
      </c>
      <c r="M137" s="272">
        <v>28071</v>
      </c>
      <c r="N137" s="272">
        <v>50009</v>
      </c>
      <c r="O137" s="272">
        <v>45499</v>
      </c>
      <c r="P137" s="272">
        <v>45485</v>
      </c>
      <c r="Q137" s="316">
        <v>45468</v>
      </c>
      <c r="R137" s="1378" t="s">
        <v>313</v>
      </c>
      <c r="S137" s="603" t="s">
        <v>3308</v>
      </c>
      <c r="T137" s="486" t="s">
        <v>3309</v>
      </c>
      <c r="U137" s="486" t="s">
        <v>3310</v>
      </c>
      <c r="V137" s="285"/>
      <c r="W137" s="382"/>
      <c r="X137" s="79"/>
      <c r="Y137" s="1586"/>
      <c r="Z137" s="79"/>
      <c r="AA137" s="382"/>
      <c r="AB137" s="208">
        <f t="shared" ref="AB137:AB140" ca="1" si="5">INT((TODAY()-M137)/365)</f>
        <v>49</v>
      </c>
      <c r="AC137" s="311"/>
      <c r="AD137" s="311"/>
      <c r="AE137" s="311"/>
      <c r="AF137" s="311"/>
      <c r="AG137" s="311"/>
      <c r="AH137" s="311"/>
      <c r="AI137" s="311"/>
      <c r="AJ137" s="311"/>
      <c r="AK137" s="311"/>
      <c r="AL137" s="311"/>
      <c r="AM137" s="311"/>
    </row>
    <row r="138" spans="1:39" ht="18" hidden="1" customHeight="1">
      <c r="A138" s="1131">
        <v>62</v>
      </c>
      <c r="B138" s="293" t="s">
        <v>3311</v>
      </c>
      <c r="C138" s="561" t="s">
        <v>20</v>
      </c>
      <c r="D138" s="1646" t="s">
        <v>3312</v>
      </c>
      <c r="E138" s="1149" t="s">
        <v>3313</v>
      </c>
      <c r="F138" s="946" t="s">
        <v>759</v>
      </c>
      <c r="G138" s="284" t="s">
        <v>77</v>
      </c>
      <c r="H138" s="303" t="s">
        <v>266</v>
      </c>
      <c r="I138" s="275">
        <v>7029603003</v>
      </c>
      <c r="J138" s="690"/>
      <c r="K138" s="409" t="s">
        <v>290</v>
      </c>
      <c r="L138" s="502" t="s">
        <v>351</v>
      </c>
      <c r="M138" s="272">
        <v>29591</v>
      </c>
      <c r="N138" s="272">
        <v>51532</v>
      </c>
      <c r="O138" s="272">
        <v>45669</v>
      </c>
      <c r="P138" s="418">
        <v>45821</v>
      </c>
      <c r="Q138" s="316">
        <v>45832</v>
      </c>
      <c r="R138" s="1378" t="s">
        <v>313</v>
      </c>
      <c r="S138" s="603" t="s">
        <v>3314</v>
      </c>
      <c r="T138" s="486" t="s">
        <v>3315</v>
      </c>
      <c r="U138" s="486" t="s">
        <v>3316</v>
      </c>
      <c r="V138" s="285"/>
      <c r="W138" s="382"/>
      <c r="X138" s="311"/>
      <c r="Y138" s="90"/>
      <c r="AA138" s="311"/>
      <c r="AB138" s="311">
        <f t="shared" ca="1" si="5"/>
        <v>45</v>
      </c>
      <c r="AC138" s="311"/>
      <c r="AD138" s="311"/>
      <c r="AE138" s="311"/>
      <c r="AF138" s="311"/>
      <c r="AG138" s="311"/>
      <c r="AH138" s="311"/>
      <c r="AI138" s="311"/>
      <c r="AJ138" s="311"/>
      <c r="AK138" s="311"/>
      <c r="AL138" s="311"/>
      <c r="AM138" s="311"/>
    </row>
    <row r="139" spans="1:39" ht="15.75" hidden="1" customHeight="1">
      <c r="A139" s="1051">
        <v>90</v>
      </c>
      <c r="B139" s="293" t="s">
        <v>3317</v>
      </c>
      <c r="C139" s="274" t="s">
        <v>20</v>
      </c>
      <c r="D139" s="1585" t="s">
        <v>3318</v>
      </c>
      <c r="E139" s="620" t="s">
        <v>3319</v>
      </c>
      <c r="F139" s="274" t="s">
        <v>759</v>
      </c>
      <c r="G139" s="284" t="s">
        <v>77</v>
      </c>
      <c r="H139" s="303" t="s">
        <v>266</v>
      </c>
      <c r="I139" s="275">
        <v>7980913934</v>
      </c>
      <c r="J139" s="284">
        <v>8972398358</v>
      </c>
      <c r="K139" s="409" t="s">
        <v>290</v>
      </c>
      <c r="L139" s="274" t="s">
        <v>59</v>
      </c>
      <c r="M139" s="272">
        <v>31410</v>
      </c>
      <c r="N139" s="272">
        <v>53327</v>
      </c>
      <c r="O139" s="272">
        <v>46117</v>
      </c>
      <c r="P139" s="279">
        <v>45531</v>
      </c>
      <c r="Q139" s="302">
        <v>45506</v>
      </c>
      <c r="R139" s="1378" t="s">
        <v>313</v>
      </c>
      <c r="S139" s="603" t="s">
        <v>3320</v>
      </c>
      <c r="T139" s="486" t="s">
        <v>3321</v>
      </c>
      <c r="U139" s="486" t="s">
        <v>3322</v>
      </c>
      <c r="V139" s="285"/>
      <c r="W139" s="382"/>
      <c r="Y139" s="1647"/>
      <c r="AA139" s="311"/>
      <c r="AB139" s="208">
        <f t="shared" ca="1" si="5"/>
        <v>40</v>
      </c>
    </row>
    <row r="140" spans="1:39" hidden="1">
      <c r="A140" s="1051">
        <v>27</v>
      </c>
      <c r="B140" s="1648" t="s">
        <v>3323</v>
      </c>
      <c r="C140" s="274" t="s">
        <v>20</v>
      </c>
      <c r="D140" s="1642" t="s">
        <v>3324</v>
      </c>
      <c r="E140" s="18" t="s">
        <v>3325</v>
      </c>
      <c r="F140" s="946" t="s">
        <v>759</v>
      </c>
      <c r="G140" s="284" t="s">
        <v>77</v>
      </c>
      <c r="H140" s="303" t="s">
        <v>266</v>
      </c>
      <c r="I140" s="1644">
        <v>9002071200</v>
      </c>
      <c r="J140" s="391">
        <v>8016538796</v>
      </c>
      <c r="K140" s="275" t="s">
        <v>315</v>
      </c>
      <c r="L140" s="18" t="s">
        <v>55</v>
      </c>
      <c r="M140" s="289">
        <v>29521</v>
      </c>
      <c r="N140" s="289">
        <v>51440</v>
      </c>
      <c r="O140" s="392">
        <v>46238</v>
      </c>
      <c r="P140" s="272">
        <v>45363</v>
      </c>
      <c r="Q140" s="272">
        <v>45307</v>
      </c>
      <c r="R140" s="1378" t="s">
        <v>313</v>
      </c>
      <c r="S140" s="394" t="s">
        <v>3326</v>
      </c>
      <c r="T140" s="394" t="s">
        <v>3327</v>
      </c>
      <c r="U140" s="394" t="s">
        <v>3328</v>
      </c>
      <c r="V140" s="383">
        <f>LEN(TEXT(D140,0))</f>
        <v>11</v>
      </c>
      <c r="W140" s="395"/>
      <c r="Y140" s="298"/>
      <c r="Z140" s="298"/>
      <c r="AA140" s="298"/>
      <c r="AB140" s="311">
        <f t="shared" ca="1" si="5"/>
        <v>45</v>
      </c>
      <c r="AC140" s="384"/>
      <c r="AD140" s="384"/>
      <c r="AE140" s="384"/>
      <c r="AF140" s="384"/>
      <c r="AG140" s="384"/>
      <c r="AH140" s="384"/>
      <c r="AI140" s="384"/>
      <c r="AJ140" s="384"/>
      <c r="AK140" s="384"/>
      <c r="AL140" s="384"/>
      <c r="AM140" s="384"/>
    </row>
    <row r="141" spans="1:39" ht="15.75" hidden="1" customHeight="1">
      <c r="A141" s="936">
        <v>31</v>
      </c>
      <c r="B141" s="351" t="s">
        <v>3329</v>
      </c>
      <c r="C141" s="18" t="s">
        <v>20</v>
      </c>
      <c r="D141" s="1649" t="s">
        <v>3330</v>
      </c>
      <c r="E141" s="303" t="s">
        <v>3331</v>
      </c>
      <c r="F141" s="970" t="s">
        <v>759</v>
      </c>
      <c r="G141" s="274" t="s">
        <v>78</v>
      </c>
      <c r="H141" s="274" t="s">
        <v>1567</v>
      </c>
      <c r="I141" s="275">
        <v>9163983731</v>
      </c>
      <c r="J141" s="275"/>
      <c r="K141" s="275" t="s">
        <v>315</v>
      </c>
      <c r="L141" s="274" t="s">
        <v>44</v>
      </c>
      <c r="M141" s="272">
        <v>29236</v>
      </c>
      <c r="N141" s="272">
        <v>51166</v>
      </c>
      <c r="O141" s="320">
        <v>45673</v>
      </c>
      <c r="P141" s="272">
        <v>45363</v>
      </c>
      <c r="Q141" s="272">
        <v>45307</v>
      </c>
      <c r="R141" s="1378" t="s">
        <v>313</v>
      </c>
      <c r="S141" s="281" t="s">
        <v>3332</v>
      </c>
      <c r="T141" s="281" t="s">
        <v>3333</v>
      </c>
      <c r="U141" s="281" t="s">
        <v>3334</v>
      </c>
      <c r="V141" s="285"/>
      <c r="W141" s="282">
        <f ca="1">INT((TODAY()-M141)/365)</f>
        <v>46</v>
      </c>
      <c r="X141" s="79"/>
      <c r="Y141" s="1650"/>
      <c r="Z141" s="1650"/>
      <c r="AA141" s="1650"/>
      <c r="AB141" s="1650"/>
      <c r="AC141" s="1650"/>
      <c r="AD141" s="1650"/>
      <c r="AE141" s="1650"/>
      <c r="AF141" s="1650"/>
      <c r="AG141" s="1650"/>
      <c r="AH141" s="1049"/>
      <c r="AI141" s="1118"/>
      <c r="AJ141" s="1118"/>
      <c r="AK141" s="1118"/>
      <c r="AL141" s="1118"/>
      <c r="AM141" s="1118"/>
    </row>
    <row r="142" spans="1:39" ht="15.75" hidden="1" customHeight="1">
      <c r="A142" s="1263">
        <v>17</v>
      </c>
      <c r="B142" s="688" t="s">
        <v>3335</v>
      </c>
      <c r="C142" s="274" t="s">
        <v>20</v>
      </c>
      <c r="D142" s="1651" t="s">
        <v>3336</v>
      </c>
      <c r="E142" s="421" t="s">
        <v>3337</v>
      </c>
      <c r="F142" s="946" t="s">
        <v>759</v>
      </c>
      <c r="G142" s="274" t="s">
        <v>76</v>
      </c>
      <c r="H142" s="275"/>
      <c r="I142" s="274">
        <v>9543466728</v>
      </c>
      <c r="J142" s="274">
        <v>9543466728</v>
      </c>
      <c r="K142" s="274" t="s">
        <v>315</v>
      </c>
      <c r="L142" s="274" t="s">
        <v>58</v>
      </c>
      <c r="M142" s="272">
        <v>30149</v>
      </c>
      <c r="N142" s="272">
        <v>52078</v>
      </c>
      <c r="O142" s="272">
        <v>45549</v>
      </c>
      <c r="P142" s="418">
        <v>45348</v>
      </c>
      <c r="Q142" s="279">
        <v>45160</v>
      </c>
      <c r="R142" s="1378" t="s">
        <v>313</v>
      </c>
      <c r="S142" s="603" t="s">
        <v>3338</v>
      </c>
      <c r="T142" s="1592" t="s">
        <v>3339</v>
      </c>
      <c r="U142" s="1592" t="s">
        <v>3340</v>
      </c>
      <c r="V142" s="285"/>
      <c r="W142" s="382"/>
      <c r="X142" s="382"/>
      <c r="Y142" s="382"/>
      <c r="Z142" s="382"/>
      <c r="AA142" s="382"/>
      <c r="AB142" s="311">
        <f ca="1">INT((TODAY()-M142)/365)</f>
        <v>43</v>
      </c>
      <c r="AC142" s="311"/>
      <c r="AD142" s="311"/>
      <c r="AE142" s="311"/>
      <c r="AF142" s="311"/>
      <c r="AG142" s="311"/>
      <c r="AH142" s="311"/>
      <c r="AI142" s="311"/>
      <c r="AJ142" s="311"/>
      <c r="AK142" s="311"/>
      <c r="AL142" s="311"/>
      <c r="AM142" s="311"/>
    </row>
    <row r="143" spans="1:39" ht="16.5" hidden="1" customHeight="1">
      <c r="A143" s="1051">
        <v>65</v>
      </c>
      <c r="B143" s="351" t="s">
        <v>3341</v>
      </c>
      <c r="C143" s="274" t="s">
        <v>20</v>
      </c>
      <c r="D143" s="1585" t="s">
        <v>3342</v>
      </c>
      <c r="E143" s="18" t="s">
        <v>3343</v>
      </c>
      <c r="F143" s="274" t="s">
        <v>759</v>
      </c>
      <c r="G143" s="284" t="s">
        <v>76</v>
      </c>
      <c r="H143" s="303" t="s">
        <v>266</v>
      </c>
      <c r="I143" s="391">
        <v>9051956770</v>
      </c>
      <c r="J143" s="391"/>
      <c r="K143" s="275" t="s">
        <v>315</v>
      </c>
      <c r="L143" s="274" t="s">
        <v>55</v>
      </c>
      <c r="M143" s="289">
        <v>31490</v>
      </c>
      <c r="N143" s="289">
        <v>53417</v>
      </c>
      <c r="O143" s="392">
        <v>45977</v>
      </c>
      <c r="P143" s="424">
        <v>45363</v>
      </c>
      <c r="Q143" s="272">
        <v>45307</v>
      </c>
      <c r="R143" s="1378" t="s">
        <v>313</v>
      </c>
      <c r="S143" s="394" t="s">
        <v>3344</v>
      </c>
      <c r="T143" s="394" t="s">
        <v>3345</v>
      </c>
      <c r="U143" s="394" t="s">
        <v>3346</v>
      </c>
      <c r="V143" s="383">
        <f>LEN(TEXT(D143,0))</f>
        <v>11</v>
      </c>
      <c r="W143" s="395"/>
      <c r="Y143" s="311"/>
      <c r="Z143" s="311"/>
      <c r="AA143" s="311"/>
      <c r="AB143" s="311"/>
      <c r="AC143" s="311"/>
      <c r="AD143" s="311"/>
      <c r="AE143" s="311"/>
      <c r="AF143" s="311"/>
      <c r="AG143" s="311"/>
      <c r="AH143" s="311"/>
      <c r="AI143" s="311"/>
      <c r="AJ143" s="311"/>
      <c r="AK143" s="311"/>
      <c r="AL143" s="311"/>
      <c r="AM143" s="311"/>
    </row>
    <row r="144" spans="1:39" hidden="1">
      <c r="A144" s="1219">
        <v>28</v>
      </c>
      <c r="B144" s="322" t="s">
        <v>1281</v>
      </c>
      <c r="C144" s="1373" t="s">
        <v>21</v>
      </c>
      <c r="D144" s="636" t="s">
        <v>3347</v>
      </c>
      <c r="E144" s="527" t="s">
        <v>3348</v>
      </c>
      <c r="F144" s="699" t="s">
        <v>759</v>
      </c>
      <c r="G144" s="1636" t="s">
        <v>76</v>
      </c>
      <c r="H144" s="499"/>
      <c r="I144" s="682"/>
      <c r="J144" s="682"/>
      <c r="K144" s="1621" t="s">
        <v>290</v>
      </c>
      <c r="L144" s="484" t="s">
        <v>417</v>
      </c>
      <c r="M144" s="444">
        <v>29884</v>
      </c>
      <c r="N144" s="444">
        <v>51805</v>
      </c>
      <c r="O144" s="1637"/>
      <c r="P144" s="1565"/>
      <c r="Q144" s="1637"/>
      <c r="R144" s="1378" t="s">
        <v>313</v>
      </c>
      <c r="S144" s="1638"/>
      <c r="T144" s="1639"/>
      <c r="U144" s="1638"/>
      <c r="V144" s="1380"/>
      <c r="W144" s="1380"/>
      <c r="X144" s="1380"/>
      <c r="Y144" s="1380"/>
      <c r="Z144" s="1380"/>
      <c r="AA144" s="1380"/>
      <c r="AB144" s="1380"/>
      <c r="AC144" s="1380"/>
      <c r="AD144" s="1380"/>
      <c r="AE144" s="1380"/>
      <c r="AF144" s="1380"/>
      <c r="AG144" s="1380"/>
      <c r="AH144" s="1380"/>
      <c r="AI144" s="1380"/>
      <c r="AJ144" s="700"/>
      <c r="AK144" s="700"/>
      <c r="AL144" s="700"/>
      <c r="AM144" s="700"/>
    </row>
    <row r="145" spans="1:39" ht="25.5" hidden="1" customHeight="1">
      <c r="A145" s="1219">
        <v>29</v>
      </c>
      <c r="B145" s="322" t="s">
        <v>3349</v>
      </c>
      <c r="C145" s="1373" t="s">
        <v>20</v>
      </c>
      <c r="D145" s="1599" t="s">
        <v>3350</v>
      </c>
      <c r="E145" s="527" t="s">
        <v>3351</v>
      </c>
      <c r="F145" s="699" t="s">
        <v>759</v>
      </c>
      <c r="G145" s="1636" t="s">
        <v>77</v>
      </c>
      <c r="H145" s="499"/>
      <c r="I145" s="682"/>
      <c r="J145" s="682"/>
      <c r="K145" s="1621" t="s">
        <v>315</v>
      </c>
      <c r="L145" s="1652" t="s">
        <v>299</v>
      </c>
      <c r="M145" s="444">
        <v>34466</v>
      </c>
      <c r="N145" s="444">
        <v>56400</v>
      </c>
      <c r="O145" s="1637"/>
      <c r="P145" s="1565"/>
      <c r="Q145" s="1637"/>
      <c r="R145" s="1378" t="s">
        <v>313</v>
      </c>
      <c r="S145" s="1638"/>
      <c r="T145" s="1653" t="s">
        <v>3352</v>
      </c>
      <c r="U145" s="1638"/>
      <c r="V145" s="1380"/>
      <c r="W145" s="1380"/>
      <c r="X145" s="1380"/>
      <c r="Y145" s="1380"/>
      <c r="Z145" s="1380"/>
      <c r="AA145" s="1380"/>
      <c r="AB145" s="1380"/>
      <c r="AC145" s="1380"/>
      <c r="AD145" s="1380"/>
      <c r="AE145" s="1380"/>
      <c r="AF145" s="1380"/>
      <c r="AG145" s="1380"/>
      <c r="AH145" s="1380"/>
      <c r="AI145" s="1380"/>
      <c r="AJ145" s="700"/>
      <c r="AK145" s="700"/>
      <c r="AL145" s="700"/>
      <c r="AM145" s="700"/>
    </row>
    <row r="146" spans="1:39" ht="15.75" hidden="1">
      <c r="A146" s="1504">
        <v>1</v>
      </c>
      <c r="B146" s="1654" t="s">
        <v>3353</v>
      </c>
      <c r="C146" s="1373" t="s">
        <v>20</v>
      </c>
      <c r="D146" s="1502" t="s">
        <v>3354</v>
      </c>
      <c r="E146" s="1503" t="s">
        <v>3355</v>
      </c>
      <c r="F146" s="699" t="s">
        <v>759</v>
      </c>
      <c r="G146" s="1504" t="s">
        <v>76</v>
      </c>
      <c r="H146" s="79"/>
      <c r="I146" s="79"/>
      <c r="J146" s="79"/>
      <c r="K146" s="1621" t="s">
        <v>315</v>
      </c>
      <c r="L146" s="445" t="s">
        <v>57</v>
      </c>
      <c r="M146" s="444">
        <v>31206</v>
      </c>
      <c r="N146" s="444">
        <v>53143</v>
      </c>
      <c r="O146" s="1505">
        <v>46393</v>
      </c>
      <c r="P146" s="1505">
        <v>46070</v>
      </c>
      <c r="Q146" s="1505">
        <v>46562</v>
      </c>
      <c r="R146" s="1378" t="s">
        <v>313</v>
      </c>
      <c r="S146" s="79"/>
      <c r="T146" s="571"/>
      <c r="U146" s="281" t="s">
        <v>3356</v>
      </c>
      <c r="V146" s="79"/>
      <c r="W146" s="79"/>
      <c r="AA146" s="1655"/>
      <c r="AB146" s="1620"/>
    </row>
    <row r="147" spans="1:39" ht="15.75" hidden="1">
      <c r="A147" s="1500">
        <v>2</v>
      </c>
      <c r="B147" s="1501" t="s">
        <v>3357</v>
      </c>
      <c r="C147" s="1373" t="s">
        <v>20</v>
      </c>
      <c r="D147" s="1502" t="s">
        <v>3358</v>
      </c>
      <c r="E147" s="1503" t="s">
        <v>3359</v>
      </c>
      <c r="F147" s="699" t="s">
        <v>759</v>
      </c>
      <c r="G147" s="1504" t="s">
        <v>76</v>
      </c>
      <c r="H147" s="79"/>
      <c r="I147" s="79"/>
      <c r="J147" s="79"/>
      <c r="K147" s="1621" t="s">
        <v>315</v>
      </c>
      <c r="L147" s="457" t="s">
        <v>1843</v>
      </c>
      <c r="M147" s="444">
        <v>33536</v>
      </c>
      <c r="N147" s="444">
        <v>55457</v>
      </c>
      <c r="O147" s="1505">
        <v>46775</v>
      </c>
      <c r="P147" s="1505">
        <v>46720</v>
      </c>
      <c r="Q147" s="1505">
        <v>46681</v>
      </c>
      <c r="R147" s="449" t="s">
        <v>37</v>
      </c>
      <c r="S147" s="79"/>
      <c r="T147" s="571"/>
      <c r="U147" s="281" t="s">
        <v>3360</v>
      </c>
      <c r="V147" s="79"/>
      <c r="W147" s="79"/>
      <c r="AA147" s="1506"/>
      <c r="AB147" s="568"/>
    </row>
    <row r="148" spans="1:39" ht="15.75" hidden="1">
      <c r="A148" s="1500">
        <v>3</v>
      </c>
      <c r="B148" s="1501" t="s">
        <v>3361</v>
      </c>
      <c r="C148" s="1373" t="s">
        <v>20</v>
      </c>
      <c r="D148" s="1599" t="s">
        <v>3362</v>
      </c>
      <c r="E148" s="1503" t="s">
        <v>3363</v>
      </c>
      <c r="F148" s="699" t="s">
        <v>759</v>
      </c>
      <c r="G148" s="1504" t="s">
        <v>76</v>
      </c>
      <c r="H148" s="79"/>
      <c r="I148" s="79"/>
      <c r="J148" s="79"/>
      <c r="K148" s="1621" t="s">
        <v>315</v>
      </c>
      <c r="L148" s="457" t="s">
        <v>1843</v>
      </c>
      <c r="M148" s="444">
        <v>33243</v>
      </c>
      <c r="N148" s="444">
        <v>55184</v>
      </c>
      <c r="O148" s="1505">
        <v>46739</v>
      </c>
      <c r="P148" s="1505">
        <v>46161</v>
      </c>
      <c r="Q148" s="1656">
        <v>45833</v>
      </c>
      <c r="R148" s="449" t="s">
        <v>37</v>
      </c>
      <c r="T148" s="571"/>
      <c r="U148" s="280"/>
      <c r="V148" s="79"/>
      <c r="W148" s="79"/>
      <c r="AA148" s="568"/>
      <c r="AB148" s="1506"/>
    </row>
    <row r="149" spans="1:39" ht="15.75" hidden="1" customHeight="1">
      <c r="A149" s="1500">
        <v>4</v>
      </c>
      <c r="B149" s="1657" t="s">
        <v>3364</v>
      </c>
      <c r="C149" s="1451" t="s">
        <v>21</v>
      </c>
      <c r="D149" s="1502" t="s">
        <v>3365</v>
      </c>
      <c r="E149" s="1658"/>
      <c r="F149" s="699" t="s">
        <v>759</v>
      </c>
      <c r="G149" s="1659" t="s">
        <v>76</v>
      </c>
      <c r="H149" s="79"/>
      <c r="I149" s="79"/>
      <c r="J149" s="79"/>
      <c r="K149" s="1621" t="s">
        <v>290</v>
      </c>
      <c r="L149" s="457" t="s">
        <v>1843</v>
      </c>
      <c r="M149" s="444">
        <v>33445</v>
      </c>
      <c r="N149" s="444">
        <v>55365</v>
      </c>
      <c r="O149" s="1505">
        <v>46823</v>
      </c>
      <c r="P149" s="1505">
        <v>45915</v>
      </c>
      <c r="Q149" s="1505">
        <v>46421</v>
      </c>
      <c r="R149" s="449" t="s">
        <v>37</v>
      </c>
      <c r="S149" s="79"/>
      <c r="T149" s="638" t="s">
        <v>3366</v>
      </c>
      <c r="U149" s="280"/>
      <c r="V149" s="79"/>
      <c r="W149" s="79"/>
      <c r="AA149" s="1456"/>
      <c r="AB149" s="1456"/>
    </row>
    <row r="150" spans="1:39" ht="15.75" hidden="1">
      <c r="A150" s="1500">
        <v>5</v>
      </c>
      <c r="B150" s="1501" t="s">
        <v>3367</v>
      </c>
      <c r="C150" s="1373" t="s">
        <v>20</v>
      </c>
      <c r="D150" s="1660" t="s">
        <v>3368</v>
      </c>
      <c r="E150" s="1661"/>
      <c r="F150" s="699" t="s">
        <v>759</v>
      </c>
      <c r="G150" s="1504" t="s">
        <v>77</v>
      </c>
      <c r="H150" s="79"/>
      <c r="I150" s="79"/>
      <c r="J150" s="79"/>
      <c r="K150" s="1621" t="s">
        <v>315</v>
      </c>
      <c r="L150" s="457" t="s">
        <v>2940</v>
      </c>
      <c r="M150" s="444">
        <v>34405</v>
      </c>
      <c r="N150" s="444">
        <v>56339</v>
      </c>
      <c r="O150" s="1505">
        <v>46566</v>
      </c>
      <c r="P150" s="1505">
        <v>46133</v>
      </c>
      <c r="Q150" s="1505">
        <v>46369</v>
      </c>
      <c r="R150" s="449" t="s">
        <v>37</v>
      </c>
      <c r="S150" s="79"/>
      <c r="T150" s="571"/>
      <c r="U150" s="280"/>
      <c r="V150" s="79"/>
      <c r="W150" s="79"/>
      <c r="AA150" s="568"/>
      <c r="AB150" s="568"/>
    </row>
    <row r="151" spans="1:39" ht="15.75" hidden="1">
      <c r="A151" s="1500">
        <v>6</v>
      </c>
      <c r="B151" s="1501" t="s">
        <v>3369</v>
      </c>
      <c r="C151" s="1373" t="s">
        <v>20</v>
      </c>
      <c r="D151" s="567" t="s">
        <v>3370</v>
      </c>
      <c r="E151" s="1503" t="s">
        <v>3371</v>
      </c>
      <c r="F151" s="699" t="s">
        <v>759</v>
      </c>
      <c r="G151" s="1504" t="s">
        <v>77</v>
      </c>
      <c r="H151" s="79"/>
      <c r="I151" s="79"/>
      <c r="J151" s="79"/>
      <c r="K151" s="1621" t="s">
        <v>315</v>
      </c>
      <c r="L151" s="457" t="s">
        <v>1843</v>
      </c>
      <c r="M151" s="444">
        <v>29222</v>
      </c>
      <c r="N151" s="444">
        <v>51166</v>
      </c>
      <c r="O151" s="1505">
        <v>46389</v>
      </c>
      <c r="P151" s="1505">
        <v>46899</v>
      </c>
      <c r="Q151" s="1505">
        <v>46765</v>
      </c>
      <c r="R151" s="449" t="s">
        <v>37</v>
      </c>
      <c r="S151" s="79"/>
      <c r="T151" s="571"/>
      <c r="U151" s="280"/>
      <c r="V151" s="79"/>
      <c r="W151" s="79"/>
      <c r="AA151" s="568"/>
      <c r="AB151" s="1506"/>
    </row>
    <row r="152" spans="1:39" ht="15.75" hidden="1">
      <c r="A152" s="1500">
        <v>7</v>
      </c>
      <c r="B152" s="1501" t="s">
        <v>3372</v>
      </c>
      <c r="C152" s="1373" t="s">
        <v>20</v>
      </c>
      <c r="D152" s="1452" t="s">
        <v>3373</v>
      </c>
      <c r="E152" s="943" t="s">
        <v>3374</v>
      </c>
      <c r="F152" s="699" t="s">
        <v>3258</v>
      </c>
      <c r="G152" s="1504" t="s">
        <v>77</v>
      </c>
      <c r="H152" s="79"/>
      <c r="I152" s="79"/>
      <c r="J152" s="79"/>
      <c r="K152" s="1621" t="s">
        <v>315</v>
      </c>
      <c r="L152" s="457" t="s">
        <v>1843</v>
      </c>
      <c r="M152" s="444">
        <v>32416</v>
      </c>
      <c r="N152" s="444">
        <v>54331</v>
      </c>
      <c r="O152" s="1505">
        <v>46736</v>
      </c>
      <c r="P152" s="1505">
        <v>46720</v>
      </c>
      <c r="Q152" s="1505">
        <v>46619</v>
      </c>
      <c r="R152" s="449" t="s">
        <v>37</v>
      </c>
      <c r="S152" s="79"/>
      <c r="T152" s="571"/>
      <c r="U152" s="281" t="s">
        <v>3375</v>
      </c>
      <c r="V152" s="79"/>
      <c r="W152" s="79"/>
      <c r="AA152" s="1506"/>
      <c r="AB152" s="1506"/>
    </row>
    <row r="153" spans="1:39" ht="15.75" hidden="1">
      <c r="A153" s="1500">
        <v>8</v>
      </c>
      <c r="B153" s="1501" t="s">
        <v>3376</v>
      </c>
      <c r="C153" s="1373" t="s">
        <v>20</v>
      </c>
      <c r="D153" s="567" t="s">
        <v>3377</v>
      </c>
      <c r="E153" s="1503" t="s">
        <v>3378</v>
      </c>
      <c r="F153" s="699" t="s">
        <v>759</v>
      </c>
      <c r="G153" s="1504" t="s">
        <v>76</v>
      </c>
      <c r="H153" s="79"/>
      <c r="I153" s="79"/>
      <c r="J153" s="79"/>
      <c r="K153" s="1621" t="s">
        <v>315</v>
      </c>
      <c r="L153" s="445" t="s">
        <v>57</v>
      </c>
      <c r="M153" s="444">
        <v>31435</v>
      </c>
      <c r="N153" s="444">
        <v>53358</v>
      </c>
      <c r="O153" s="1505">
        <v>46369</v>
      </c>
      <c r="P153" s="1505">
        <v>46643</v>
      </c>
      <c r="Q153" s="1505">
        <v>45959</v>
      </c>
      <c r="R153" s="449" t="s">
        <v>37</v>
      </c>
      <c r="S153" s="79"/>
      <c r="T153" s="571"/>
      <c r="U153" s="280"/>
      <c r="V153" s="79"/>
      <c r="W153" s="79"/>
      <c r="AA153" s="568"/>
      <c r="AB153" s="1416"/>
    </row>
    <row r="154" spans="1:39" ht="15.75" hidden="1">
      <c r="A154" s="1500">
        <v>9</v>
      </c>
      <c r="B154" s="1657" t="s">
        <v>3379</v>
      </c>
      <c r="C154" s="1451" t="s">
        <v>20</v>
      </c>
      <c r="D154" s="1452" t="s">
        <v>3380</v>
      </c>
      <c r="E154" s="1662" t="s">
        <v>3381</v>
      </c>
      <c r="F154" s="699" t="s">
        <v>759</v>
      </c>
      <c r="G154" s="1659" t="s">
        <v>76</v>
      </c>
      <c r="H154" s="79"/>
      <c r="I154" s="79"/>
      <c r="J154" s="79"/>
      <c r="K154" s="1621" t="s">
        <v>315</v>
      </c>
      <c r="L154" s="457" t="s">
        <v>1843</v>
      </c>
      <c r="M154" s="444">
        <v>27404</v>
      </c>
      <c r="N154" s="444">
        <v>49340</v>
      </c>
      <c r="O154" s="1505">
        <v>46478</v>
      </c>
      <c r="P154" s="1505">
        <v>45915</v>
      </c>
      <c r="Q154" s="1663">
        <v>45693</v>
      </c>
      <c r="R154" s="449" t="s">
        <v>37</v>
      </c>
      <c r="S154" s="79"/>
      <c r="T154" s="571"/>
      <c r="U154" s="280"/>
      <c r="V154" s="79"/>
      <c r="W154" s="79"/>
      <c r="AA154" s="1456"/>
      <c r="AB154" s="1453"/>
    </row>
    <row r="155" spans="1:39" ht="15.75" hidden="1">
      <c r="A155" s="1500">
        <v>10</v>
      </c>
      <c r="B155" s="1501" t="s">
        <v>3382</v>
      </c>
      <c r="C155" s="1373" t="s">
        <v>20</v>
      </c>
      <c r="D155" s="567" t="s">
        <v>3383</v>
      </c>
      <c r="E155" s="1503" t="s">
        <v>3384</v>
      </c>
      <c r="F155" s="699" t="s">
        <v>759</v>
      </c>
      <c r="G155" s="1504" t="s">
        <v>76</v>
      </c>
      <c r="H155" s="79"/>
      <c r="I155" s="79"/>
      <c r="J155" s="79"/>
      <c r="K155" s="1621" t="s">
        <v>315</v>
      </c>
      <c r="L155" s="445" t="s">
        <v>58</v>
      </c>
      <c r="M155" s="444">
        <v>28141</v>
      </c>
      <c r="N155" s="444">
        <v>50071</v>
      </c>
      <c r="O155" s="1505">
        <v>46179</v>
      </c>
      <c r="P155" s="1505">
        <v>46679</v>
      </c>
      <c r="Q155" s="1505">
        <v>46173</v>
      </c>
      <c r="R155" s="449" t="s">
        <v>37</v>
      </c>
      <c r="S155" s="79"/>
      <c r="T155" s="571"/>
      <c r="U155" s="280"/>
      <c r="V155" s="79"/>
      <c r="W155" s="79"/>
      <c r="AA155" s="568"/>
      <c r="AB155" s="1416"/>
    </row>
    <row r="156" spans="1:39" ht="15.75" hidden="1">
      <c r="A156" s="1500">
        <v>11</v>
      </c>
      <c r="B156" s="1501" t="s">
        <v>3385</v>
      </c>
      <c r="C156" s="1373" t="s">
        <v>20</v>
      </c>
      <c r="D156" s="567" t="s">
        <v>3386</v>
      </c>
      <c r="E156" s="1503" t="s">
        <v>3387</v>
      </c>
      <c r="F156" s="699" t="s">
        <v>759</v>
      </c>
      <c r="G156" s="1504" t="s">
        <v>77</v>
      </c>
      <c r="H156" s="79"/>
      <c r="I156" s="79"/>
      <c r="J156" s="79"/>
      <c r="K156" s="1621" t="s">
        <v>315</v>
      </c>
      <c r="L156" s="445" t="s">
        <v>58</v>
      </c>
      <c r="M156" s="444">
        <v>30635</v>
      </c>
      <c r="N156" s="444">
        <v>52565</v>
      </c>
      <c r="O156" s="1505">
        <v>46531</v>
      </c>
      <c r="P156" s="1505">
        <v>46643</v>
      </c>
      <c r="Q156" s="1505">
        <v>45959</v>
      </c>
      <c r="R156" s="449" t="s">
        <v>37</v>
      </c>
      <c r="S156" s="79"/>
      <c r="T156" s="571"/>
      <c r="U156" s="280"/>
      <c r="V156" s="79"/>
      <c r="W156" s="79"/>
      <c r="AA156" s="568"/>
      <c r="AB156" s="1416"/>
    </row>
    <row r="157" spans="1:39" ht="15.75" hidden="1">
      <c r="A157" s="1500">
        <v>12</v>
      </c>
      <c r="B157" s="1501" t="s">
        <v>3388</v>
      </c>
      <c r="C157" s="1373" t="s">
        <v>20</v>
      </c>
      <c r="D157" s="438" t="s">
        <v>3389</v>
      </c>
      <c r="E157" s="1503" t="s">
        <v>3390</v>
      </c>
      <c r="F157" s="699" t="s">
        <v>759</v>
      </c>
      <c r="G157" s="1504" t="s">
        <v>77</v>
      </c>
      <c r="H157" s="79"/>
      <c r="I157" s="79"/>
      <c r="J157" s="79"/>
      <c r="K157" s="1621" t="s">
        <v>315</v>
      </c>
      <c r="L157" s="445" t="s">
        <v>57</v>
      </c>
      <c r="M157" s="444">
        <v>29550</v>
      </c>
      <c r="N157" s="444">
        <v>51470</v>
      </c>
      <c r="O157" s="1505">
        <v>45986</v>
      </c>
      <c r="P157" s="1505">
        <v>46133</v>
      </c>
      <c r="Q157" s="1505">
        <v>46451</v>
      </c>
      <c r="R157" s="449" t="s">
        <v>37</v>
      </c>
      <c r="S157" s="79"/>
      <c r="T157" s="571"/>
      <c r="U157" s="280"/>
      <c r="V157" s="79"/>
      <c r="W157" s="79"/>
      <c r="AA157" s="568"/>
      <c r="AB157" s="1416"/>
    </row>
    <row r="158" spans="1:39" ht="15.75" hidden="1">
      <c r="A158" s="1500">
        <v>13</v>
      </c>
      <c r="B158" s="1501" t="s">
        <v>3391</v>
      </c>
      <c r="C158" s="457" t="s">
        <v>21</v>
      </c>
      <c r="D158" s="1497" t="s">
        <v>3392</v>
      </c>
      <c r="E158" s="1664"/>
      <c r="F158" s="699" t="s">
        <v>759</v>
      </c>
      <c r="G158" s="1468" t="s">
        <v>76</v>
      </c>
      <c r="H158" s="79"/>
      <c r="I158" s="79"/>
      <c r="J158" s="79"/>
      <c r="K158" s="1621" t="s">
        <v>315</v>
      </c>
      <c r="L158" s="445" t="s">
        <v>58</v>
      </c>
      <c r="M158" s="444">
        <v>32331</v>
      </c>
      <c r="N158" s="444">
        <v>54270</v>
      </c>
      <c r="O158" s="1505">
        <v>46789</v>
      </c>
      <c r="P158" s="1505">
        <v>46720</v>
      </c>
      <c r="Q158" s="1505">
        <v>46734</v>
      </c>
      <c r="R158" s="449" t="s">
        <v>37</v>
      </c>
      <c r="S158" s="79"/>
      <c r="T158" s="571"/>
      <c r="U158" s="280"/>
      <c r="V158" s="79"/>
      <c r="W158" s="79"/>
      <c r="AA158" s="1499"/>
      <c r="AB158" s="1499"/>
    </row>
    <row r="159" spans="1:39" ht="15.75" hidden="1">
      <c r="A159" s="1500">
        <v>14</v>
      </c>
      <c r="B159" s="1501" t="s">
        <v>3393</v>
      </c>
      <c r="C159" s="1373" t="s">
        <v>20</v>
      </c>
      <c r="D159" s="1497" t="s">
        <v>3394</v>
      </c>
      <c r="E159" s="1664"/>
      <c r="F159" s="699" t="s">
        <v>759</v>
      </c>
      <c r="G159" s="1468" t="s">
        <v>77</v>
      </c>
      <c r="H159" s="79"/>
      <c r="I159" s="79"/>
      <c r="J159" s="79"/>
      <c r="K159" s="1621" t="s">
        <v>315</v>
      </c>
      <c r="L159" s="457" t="s">
        <v>1843</v>
      </c>
      <c r="M159" s="444">
        <v>34093</v>
      </c>
      <c r="N159" s="444">
        <v>56035</v>
      </c>
      <c r="O159" s="1505">
        <v>46573</v>
      </c>
      <c r="P159" s="1505">
        <v>46105</v>
      </c>
      <c r="Q159" s="1505">
        <v>46315</v>
      </c>
      <c r="R159" s="449" t="s">
        <v>37</v>
      </c>
      <c r="S159" s="79"/>
      <c r="T159" s="571"/>
      <c r="U159" s="280"/>
      <c r="V159" s="79"/>
      <c r="W159" s="79"/>
      <c r="AA159" s="1499"/>
      <c r="AB159" s="1499"/>
    </row>
    <row r="160" spans="1:39" ht="15.75" hidden="1">
      <c r="A160" s="1500">
        <v>15</v>
      </c>
      <c r="B160" s="1501" t="s">
        <v>3395</v>
      </c>
      <c r="C160" s="457" t="s">
        <v>21</v>
      </c>
      <c r="D160" s="438" t="s">
        <v>3396</v>
      </c>
      <c r="E160" s="1664"/>
      <c r="F160" s="699" t="s">
        <v>759</v>
      </c>
      <c r="G160" s="1468" t="s">
        <v>76</v>
      </c>
      <c r="H160" s="79"/>
      <c r="I160" s="79"/>
      <c r="J160" s="79"/>
      <c r="K160" s="1621" t="s">
        <v>315</v>
      </c>
      <c r="L160" s="445" t="s">
        <v>58</v>
      </c>
      <c r="M160" s="444">
        <v>32373</v>
      </c>
      <c r="N160" s="444">
        <v>54301</v>
      </c>
      <c r="O160" s="1505">
        <v>45938</v>
      </c>
      <c r="P160" s="1505">
        <v>46689</v>
      </c>
      <c r="Q160" s="1505">
        <v>46566</v>
      </c>
      <c r="R160" s="449" t="s">
        <v>37</v>
      </c>
      <c r="S160" s="79"/>
      <c r="T160" s="571"/>
      <c r="U160" s="280"/>
      <c r="V160" s="79"/>
      <c r="W160" s="79"/>
      <c r="AA160" s="1499"/>
      <c r="AB160" s="1499"/>
    </row>
    <row r="161" spans="1:28" ht="15.75" hidden="1">
      <c r="A161" s="1500">
        <v>16</v>
      </c>
      <c r="B161" s="1501" t="s">
        <v>3397</v>
      </c>
      <c r="C161" s="457" t="s">
        <v>21</v>
      </c>
      <c r="D161" s="1497" t="s">
        <v>3398</v>
      </c>
      <c r="E161" s="1664"/>
      <c r="F161" s="699" t="s">
        <v>759</v>
      </c>
      <c r="G161" s="1468" t="s">
        <v>76</v>
      </c>
      <c r="H161" s="79"/>
      <c r="I161" s="79"/>
      <c r="J161" s="79"/>
      <c r="K161" s="1621" t="s">
        <v>315</v>
      </c>
      <c r="L161" s="445" t="s">
        <v>57</v>
      </c>
      <c r="M161" s="444">
        <v>34137</v>
      </c>
      <c r="N161" s="444">
        <v>56065</v>
      </c>
      <c r="O161" s="1505">
        <v>46572</v>
      </c>
      <c r="P161" s="1505">
        <v>46161</v>
      </c>
      <c r="Q161" s="1505">
        <v>46369</v>
      </c>
      <c r="R161" s="449" t="s">
        <v>37</v>
      </c>
      <c r="S161" s="79"/>
      <c r="T161" s="571"/>
      <c r="U161" s="280"/>
      <c r="V161" s="79"/>
      <c r="W161" s="79"/>
      <c r="AA161" s="1499"/>
      <c r="AB161" s="1499"/>
    </row>
    <row r="162" spans="1:28" ht="15.75" hidden="1">
      <c r="A162" s="1500">
        <v>17</v>
      </c>
      <c r="B162" s="1501" t="s">
        <v>3399</v>
      </c>
      <c r="C162" s="1373" t="s">
        <v>20</v>
      </c>
      <c r="D162" s="1497" t="s">
        <v>3400</v>
      </c>
      <c r="E162" s="1664"/>
      <c r="F162" s="699" t="s">
        <v>759</v>
      </c>
      <c r="G162" s="1468" t="s">
        <v>77</v>
      </c>
      <c r="H162" s="79"/>
      <c r="I162" s="79"/>
      <c r="J162" s="79"/>
      <c r="K162" s="1621" t="s">
        <v>315</v>
      </c>
      <c r="L162" s="445" t="s">
        <v>58</v>
      </c>
      <c r="M162" s="444">
        <v>32344</v>
      </c>
      <c r="N162" s="444">
        <v>54270</v>
      </c>
      <c r="O162" s="1505">
        <v>46789</v>
      </c>
      <c r="P162" s="1505">
        <v>45986</v>
      </c>
      <c r="Q162" s="1505">
        <v>46369</v>
      </c>
      <c r="R162" s="449" t="s">
        <v>37</v>
      </c>
      <c r="S162" s="79"/>
      <c r="T162" s="571"/>
      <c r="U162" s="280"/>
      <c r="V162" s="79"/>
      <c r="W162" s="79"/>
      <c r="AA162" s="1499"/>
      <c r="AB162" s="1499"/>
    </row>
    <row r="163" spans="1:28" ht="15.75" hidden="1">
      <c r="A163" s="1500">
        <v>18</v>
      </c>
      <c r="B163" s="1501" t="s">
        <v>3401</v>
      </c>
      <c r="C163" s="1373" t="s">
        <v>20</v>
      </c>
      <c r="D163" s="567" t="s">
        <v>3402</v>
      </c>
      <c r="E163" s="1503" t="s">
        <v>3403</v>
      </c>
      <c r="F163" s="699" t="s">
        <v>759</v>
      </c>
      <c r="G163" s="1504" t="s">
        <v>76</v>
      </c>
      <c r="H163" s="79"/>
      <c r="I163" s="79"/>
      <c r="J163" s="79"/>
      <c r="K163" s="1621" t="s">
        <v>315</v>
      </c>
      <c r="L163" s="445" t="s">
        <v>57</v>
      </c>
      <c r="M163" s="444">
        <v>29467</v>
      </c>
      <c r="N163" s="444">
        <v>51409</v>
      </c>
      <c r="O163" s="1656">
        <v>45840</v>
      </c>
      <c r="P163" s="1505">
        <v>45915</v>
      </c>
      <c r="Q163" s="1505">
        <v>46765</v>
      </c>
      <c r="R163" s="449" t="s">
        <v>37</v>
      </c>
      <c r="S163" s="79"/>
      <c r="T163" s="571"/>
      <c r="U163" s="280"/>
      <c r="V163" s="79"/>
      <c r="W163" s="79"/>
      <c r="AA163" s="568"/>
      <c r="AB163" s="1416"/>
    </row>
    <row r="164" spans="1:28" ht="15.75" hidden="1">
      <c r="A164" s="1500">
        <v>19</v>
      </c>
      <c r="B164" s="1501" t="s">
        <v>3404</v>
      </c>
      <c r="C164" s="1373" t="s">
        <v>20</v>
      </c>
      <c r="D164" s="567" t="s">
        <v>3405</v>
      </c>
      <c r="E164" s="1503" t="s">
        <v>3406</v>
      </c>
      <c r="F164" s="699" t="s">
        <v>759</v>
      </c>
      <c r="G164" s="1504" t="s">
        <v>77</v>
      </c>
      <c r="H164" s="79"/>
      <c r="I164" s="79"/>
      <c r="J164" s="79"/>
      <c r="K164" s="1621" t="s">
        <v>315</v>
      </c>
      <c r="L164" s="445" t="s">
        <v>58</v>
      </c>
      <c r="M164" s="444">
        <v>28492</v>
      </c>
      <c r="N164" s="444">
        <v>50436</v>
      </c>
      <c r="O164" s="1505">
        <v>46397</v>
      </c>
      <c r="P164" s="1505">
        <v>46899</v>
      </c>
      <c r="Q164" s="1505">
        <v>45959</v>
      </c>
      <c r="R164" s="449" t="s">
        <v>37</v>
      </c>
      <c r="S164" s="79"/>
      <c r="T164" s="571"/>
      <c r="U164" s="280"/>
      <c r="V164" s="79"/>
      <c r="W164" s="79"/>
      <c r="AA164" s="568"/>
      <c r="AB164" s="1416"/>
    </row>
    <row r="165" spans="1:28" ht="15.75" hidden="1">
      <c r="A165" s="1500">
        <v>20</v>
      </c>
      <c r="B165" s="1501" t="s">
        <v>3407</v>
      </c>
      <c r="C165" s="1373" t="s">
        <v>20</v>
      </c>
      <c r="D165" s="567" t="s">
        <v>3408</v>
      </c>
      <c r="E165" s="1661"/>
      <c r="F165" s="699" t="s">
        <v>759</v>
      </c>
      <c r="G165" s="1504" t="s">
        <v>77</v>
      </c>
      <c r="H165" s="79"/>
      <c r="I165" s="79"/>
      <c r="J165" s="79"/>
      <c r="K165" s="1621" t="s">
        <v>315</v>
      </c>
      <c r="L165" s="457" t="s">
        <v>2940</v>
      </c>
      <c r="M165" s="444">
        <v>32995</v>
      </c>
      <c r="N165" s="444">
        <v>54939</v>
      </c>
      <c r="O165" s="1505">
        <v>46565</v>
      </c>
      <c r="P165" s="1505">
        <v>46105</v>
      </c>
      <c r="Q165" s="1505">
        <v>46369</v>
      </c>
      <c r="R165" s="449" t="s">
        <v>37</v>
      </c>
      <c r="S165" s="79"/>
      <c r="T165" s="571"/>
      <c r="U165" s="280"/>
      <c r="V165" s="79"/>
      <c r="W165" s="79"/>
      <c r="AA165" s="568"/>
      <c r="AB165" s="568"/>
    </row>
    <row r="166" spans="1:28" ht="15.75" hidden="1">
      <c r="A166" s="1500">
        <v>21</v>
      </c>
      <c r="B166" s="1501" t="s">
        <v>3409</v>
      </c>
      <c r="C166" s="823" t="s">
        <v>21</v>
      </c>
      <c r="D166" s="567" t="s">
        <v>3410</v>
      </c>
      <c r="E166" s="1503" t="s">
        <v>3411</v>
      </c>
      <c r="F166" s="699" t="s">
        <v>759</v>
      </c>
      <c r="G166" s="1504" t="s">
        <v>76</v>
      </c>
      <c r="H166" s="79"/>
      <c r="I166" s="79"/>
      <c r="J166" s="79"/>
      <c r="K166" s="1621" t="s">
        <v>315</v>
      </c>
      <c r="L166" s="445" t="s">
        <v>57</v>
      </c>
      <c r="M166" s="444">
        <v>28677</v>
      </c>
      <c r="N166" s="444">
        <v>50617</v>
      </c>
      <c r="O166" s="1656">
        <v>45840</v>
      </c>
      <c r="P166" s="1505">
        <v>45915</v>
      </c>
      <c r="Q166" s="1505">
        <v>46765</v>
      </c>
      <c r="R166" s="449" t="s">
        <v>37</v>
      </c>
      <c r="S166" s="79"/>
      <c r="T166" s="571"/>
      <c r="U166" s="280"/>
      <c r="V166" s="79"/>
      <c r="W166" s="79"/>
      <c r="AA166" s="568"/>
      <c r="AB166" s="1416"/>
    </row>
    <row r="167" spans="1:28" ht="17.25" hidden="1" customHeight="1">
      <c r="A167" s="1500">
        <v>22</v>
      </c>
      <c r="B167" s="1501" t="s">
        <v>3412</v>
      </c>
      <c r="C167" s="823" t="s">
        <v>21</v>
      </c>
      <c r="D167" s="567" t="s">
        <v>3413</v>
      </c>
      <c r="E167" s="595" t="s">
        <v>3414</v>
      </c>
      <c r="F167" s="699" t="s">
        <v>759</v>
      </c>
      <c r="G167" s="1504" t="s">
        <v>76</v>
      </c>
      <c r="H167" s="79"/>
      <c r="I167" s="79"/>
      <c r="J167" s="79"/>
      <c r="K167" s="1621" t="s">
        <v>290</v>
      </c>
      <c r="L167" s="457" t="s">
        <v>1843</v>
      </c>
      <c r="M167" s="444">
        <v>33485</v>
      </c>
      <c r="N167" s="444">
        <v>55426</v>
      </c>
      <c r="O167" s="1505">
        <v>46790</v>
      </c>
      <c r="P167" s="1505">
        <v>45915</v>
      </c>
      <c r="Q167" s="1505">
        <v>46421</v>
      </c>
      <c r="R167" s="449" t="s">
        <v>37</v>
      </c>
      <c r="S167" s="79"/>
      <c r="T167" s="638" t="s">
        <v>3415</v>
      </c>
      <c r="U167" s="280"/>
      <c r="V167" s="79"/>
      <c r="W167" s="79"/>
      <c r="AA167" s="823"/>
      <c r="AB167" s="823"/>
    </row>
    <row r="168" spans="1:28" ht="15.75" hidden="1">
      <c r="A168" s="1500">
        <v>23</v>
      </c>
      <c r="B168" s="1501" t="s">
        <v>3416</v>
      </c>
      <c r="C168" s="1373" t="s">
        <v>20</v>
      </c>
      <c r="D168" s="567" t="s">
        <v>3417</v>
      </c>
      <c r="E168" s="595" t="s">
        <v>3418</v>
      </c>
      <c r="F168" s="699" t="s">
        <v>759</v>
      </c>
      <c r="G168" s="1504" t="s">
        <v>77</v>
      </c>
      <c r="H168" s="79"/>
      <c r="I168" s="79"/>
      <c r="J168" s="79"/>
      <c r="K168" s="1621" t="s">
        <v>315</v>
      </c>
      <c r="L168" s="445" t="s">
        <v>57</v>
      </c>
      <c r="M168" s="444">
        <v>34309</v>
      </c>
      <c r="N168" s="444">
        <v>56249</v>
      </c>
      <c r="O168" s="1505">
        <v>46790</v>
      </c>
      <c r="P168" s="1505">
        <v>46504</v>
      </c>
      <c r="Q168" s="1505">
        <v>46421</v>
      </c>
      <c r="R168" s="449" t="s">
        <v>37</v>
      </c>
      <c r="S168" s="79"/>
      <c r="T168" s="571"/>
      <c r="U168" s="280"/>
      <c r="V168" s="79"/>
      <c r="W168" s="79"/>
      <c r="AA168" s="823"/>
      <c r="AB168" s="823"/>
    </row>
    <row r="169" spans="1:28" ht="15.75" hidden="1">
      <c r="A169" s="1500">
        <v>24</v>
      </c>
      <c r="B169" s="1501" t="s">
        <v>3419</v>
      </c>
      <c r="C169" s="1373" t="s">
        <v>20</v>
      </c>
      <c r="D169" s="1599" t="s">
        <v>3420</v>
      </c>
      <c r="E169" s="1503" t="s">
        <v>3421</v>
      </c>
      <c r="F169" s="699" t="s">
        <v>759</v>
      </c>
      <c r="G169" s="1504" t="s">
        <v>77</v>
      </c>
      <c r="H169" s="79"/>
      <c r="I169" s="79"/>
      <c r="J169" s="79"/>
      <c r="K169" s="1621" t="s">
        <v>315</v>
      </c>
      <c r="L169" s="445" t="s">
        <v>57</v>
      </c>
      <c r="M169" s="444">
        <v>28145</v>
      </c>
      <c r="N169" s="444">
        <v>50071</v>
      </c>
      <c r="O169" s="1505">
        <v>46045</v>
      </c>
      <c r="P169" s="1505">
        <v>46898</v>
      </c>
      <c r="Q169" s="1656">
        <v>45833</v>
      </c>
      <c r="R169" s="449" t="s">
        <v>37</v>
      </c>
      <c r="S169" s="79"/>
      <c r="T169" s="571"/>
      <c r="U169" s="280"/>
      <c r="V169" s="79"/>
      <c r="W169" s="79"/>
      <c r="AA169" s="568"/>
      <c r="AB169" s="1506"/>
    </row>
    <row r="170" spans="1:28" ht="15.75" hidden="1">
      <c r="A170" s="1500">
        <v>25</v>
      </c>
      <c r="B170" s="1501" t="s">
        <v>3422</v>
      </c>
      <c r="C170" s="1373" t="s">
        <v>20</v>
      </c>
      <c r="D170" s="1599" t="s">
        <v>3423</v>
      </c>
      <c r="E170" s="1503" t="s">
        <v>3424</v>
      </c>
      <c r="F170" s="699" t="s">
        <v>759</v>
      </c>
      <c r="G170" s="1504" t="s">
        <v>76</v>
      </c>
      <c r="H170" s="79"/>
      <c r="I170" s="79"/>
      <c r="J170" s="79"/>
      <c r="K170" s="1621" t="s">
        <v>315</v>
      </c>
      <c r="L170" s="445" t="s">
        <v>57</v>
      </c>
      <c r="M170" s="444">
        <v>28946</v>
      </c>
      <c r="N170" s="444">
        <v>50890</v>
      </c>
      <c r="O170" s="1505">
        <v>46131</v>
      </c>
      <c r="P170" s="1505">
        <v>46679</v>
      </c>
      <c r="Q170" s="1656">
        <v>45833</v>
      </c>
      <c r="R170" s="449" t="s">
        <v>37</v>
      </c>
      <c r="S170" s="79"/>
      <c r="T170" s="571"/>
      <c r="U170" s="280"/>
      <c r="V170" s="79"/>
      <c r="W170" s="79"/>
      <c r="AA170" s="568"/>
      <c r="AB170" s="1506"/>
    </row>
    <row r="171" spans="1:28" ht="16.5" hidden="1" customHeight="1">
      <c r="A171" s="1500">
        <v>26</v>
      </c>
      <c r="B171" s="1501" t="s">
        <v>3425</v>
      </c>
      <c r="C171" s="1373" t="s">
        <v>20</v>
      </c>
      <c r="D171" s="1502" t="s">
        <v>3426</v>
      </c>
      <c r="E171" s="1503" t="s">
        <v>3427</v>
      </c>
      <c r="F171" s="699" t="s">
        <v>3258</v>
      </c>
      <c r="G171" s="1504" t="s">
        <v>76</v>
      </c>
      <c r="H171" s="79"/>
      <c r="I171" s="79"/>
      <c r="J171" s="79"/>
      <c r="K171" s="1621" t="s">
        <v>315</v>
      </c>
      <c r="L171" s="445" t="s">
        <v>58</v>
      </c>
      <c r="M171" s="444">
        <v>33126</v>
      </c>
      <c r="N171" s="444">
        <v>55061</v>
      </c>
      <c r="O171" s="1505">
        <v>46736</v>
      </c>
      <c r="P171" s="1505">
        <v>46720</v>
      </c>
      <c r="Q171" s="1505">
        <v>46619</v>
      </c>
      <c r="R171" s="1378" t="s">
        <v>313</v>
      </c>
      <c r="S171" s="79"/>
      <c r="T171" s="571"/>
      <c r="U171" s="281" t="s">
        <v>3428</v>
      </c>
      <c r="V171" s="79"/>
      <c r="W171" s="79"/>
      <c r="AA171" s="1506"/>
      <c r="AB171" s="568"/>
    </row>
    <row r="172" spans="1:28" ht="15.75" hidden="1">
      <c r="A172" s="1500">
        <v>27</v>
      </c>
      <c r="B172" s="1501" t="s">
        <v>3429</v>
      </c>
      <c r="C172" s="823" t="s">
        <v>21</v>
      </c>
      <c r="D172" s="1660" t="s">
        <v>3430</v>
      </c>
      <c r="E172" s="1661"/>
      <c r="F172" s="699" t="s">
        <v>759</v>
      </c>
      <c r="G172" s="1504" t="s">
        <v>76</v>
      </c>
      <c r="H172" s="79"/>
      <c r="I172" s="79"/>
      <c r="J172" s="79"/>
      <c r="K172" s="1621" t="s">
        <v>315</v>
      </c>
      <c r="L172" s="445" t="s">
        <v>57</v>
      </c>
      <c r="M172" s="444">
        <v>34440</v>
      </c>
      <c r="N172" s="444">
        <v>56369</v>
      </c>
      <c r="O172" s="1505">
        <v>46564</v>
      </c>
      <c r="P172" s="1505">
        <v>46161</v>
      </c>
      <c r="Q172" s="1505">
        <v>46369</v>
      </c>
      <c r="R172" s="449" t="s">
        <v>37</v>
      </c>
      <c r="S172" s="79"/>
      <c r="T172" s="571"/>
      <c r="U172" s="280"/>
      <c r="V172" s="79"/>
      <c r="W172" s="79"/>
      <c r="AA172" s="568"/>
      <c r="AB172" s="568"/>
    </row>
    <row r="173" spans="1:28" ht="15.75" hidden="1">
      <c r="A173" s="1500">
        <v>28</v>
      </c>
      <c r="B173" s="1501" t="s">
        <v>3431</v>
      </c>
      <c r="C173" s="1373" t="s">
        <v>20</v>
      </c>
      <c r="D173" s="1660" t="s">
        <v>3432</v>
      </c>
      <c r="E173" s="1503" t="s">
        <v>3433</v>
      </c>
      <c r="F173" s="699" t="s">
        <v>759</v>
      </c>
      <c r="G173" s="1504" t="s">
        <v>77</v>
      </c>
      <c r="H173" s="79"/>
      <c r="I173" s="79"/>
      <c r="J173" s="79"/>
      <c r="K173" s="1621" t="s">
        <v>315</v>
      </c>
      <c r="L173" s="445" t="s">
        <v>58</v>
      </c>
      <c r="M173" s="444">
        <v>28225</v>
      </c>
      <c r="N173" s="444">
        <v>50160</v>
      </c>
      <c r="O173" s="1505">
        <v>46108</v>
      </c>
      <c r="P173" s="1505">
        <v>46679</v>
      </c>
      <c r="Q173" s="1505">
        <v>46590</v>
      </c>
      <c r="R173" s="449" t="s">
        <v>37</v>
      </c>
      <c r="S173" s="79"/>
      <c r="T173" s="571"/>
      <c r="U173" s="280"/>
      <c r="V173" s="79"/>
      <c r="W173" s="79"/>
      <c r="AA173" s="568"/>
      <c r="AB173" s="1416"/>
    </row>
    <row r="174" spans="1:28" ht="15.75" hidden="1">
      <c r="A174" s="1500">
        <v>29</v>
      </c>
      <c r="B174" s="1657" t="s">
        <v>3434</v>
      </c>
      <c r="C174" s="1373" t="s">
        <v>20</v>
      </c>
      <c r="D174" s="1502" t="s">
        <v>3435</v>
      </c>
      <c r="E174" s="1662" t="s">
        <v>3436</v>
      </c>
      <c r="F174" s="699" t="s">
        <v>759</v>
      </c>
      <c r="G174" s="1659" t="s">
        <v>76</v>
      </c>
      <c r="H174" s="79"/>
      <c r="I174" s="79"/>
      <c r="J174" s="79"/>
      <c r="K174" s="275" t="s">
        <v>315</v>
      </c>
      <c r="L174" s="457" t="s">
        <v>66</v>
      </c>
      <c r="M174" s="444">
        <v>32544</v>
      </c>
      <c r="N174" s="444">
        <v>54482</v>
      </c>
      <c r="O174" s="1505">
        <v>47090</v>
      </c>
      <c r="P174" s="1663">
        <v>44814</v>
      </c>
      <c r="Q174" s="1505">
        <v>45893</v>
      </c>
      <c r="R174" s="449" t="s">
        <v>37</v>
      </c>
      <c r="S174" s="79"/>
      <c r="T174" s="571"/>
      <c r="U174" s="280"/>
      <c r="V174" s="79"/>
      <c r="W174" s="79"/>
      <c r="AA174" s="1456"/>
      <c r="AB174" s="1665"/>
    </row>
    <row r="175" spans="1:28" ht="15.75" hidden="1">
      <c r="A175" s="1500">
        <v>30</v>
      </c>
      <c r="B175" s="1501" t="s">
        <v>3437</v>
      </c>
      <c r="C175" s="1373" t="s">
        <v>20</v>
      </c>
      <c r="D175" s="1660" t="s">
        <v>3438</v>
      </c>
      <c r="E175" s="1661"/>
      <c r="F175" s="699" t="s">
        <v>759</v>
      </c>
      <c r="G175" s="1504" t="s">
        <v>77</v>
      </c>
      <c r="H175" s="79"/>
      <c r="I175" s="79"/>
      <c r="J175" s="79"/>
      <c r="K175" s="275" t="s">
        <v>315</v>
      </c>
      <c r="L175" s="457" t="s">
        <v>2940</v>
      </c>
      <c r="M175" s="444">
        <v>32431</v>
      </c>
      <c r="N175" s="444">
        <v>54362</v>
      </c>
      <c r="O175" s="1505">
        <v>46566</v>
      </c>
      <c r="P175" s="1505">
        <v>46161</v>
      </c>
      <c r="Q175" s="1505">
        <v>46369</v>
      </c>
      <c r="R175" s="449" t="s">
        <v>37</v>
      </c>
      <c r="S175" s="79"/>
      <c r="T175" s="571"/>
      <c r="U175" s="280"/>
      <c r="V175" s="79"/>
      <c r="W175" s="79"/>
      <c r="AA175" s="568"/>
      <c r="AB175" s="568"/>
    </row>
    <row r="176" spans="1:28" ht="15.75" hidden="1">
      <c r="A176" s="1500">
        <v>31</v>
      </c>
      <c r="B176" s="1666" t="s">
        <v>3439</v>
      </c>
      <c r="C176" s="1373" t="s">
        <v>20</v>
      </c>
      <c r="D176" s="1599" t="s">
        <v>3440</v>
      </c>
      <c r="E176" s="1503" t="s">
        <v>3441</v>
      </c>
      <c r="F176" s="699" t="s">
        <v>759</v>
      </c>
      <c r="G176" s="1504" t="s">
        <v>76</v>
      </c>
      <c r="H176" s="79"/>
      <c r="I176" s="79"/>
      <c r="J176" s="79"/>
      <c r="K176" s="1621" t="s">
        <v>315</v>
      </c>
      <c r="L176" s="823" t="s">
        <v>2940</v>
      </c>
      <c r="M176" s="444">
        <v>33017</v>
      </c>
      <c r="N176" s="444">
        <v>54939</v>
      </c>
      <c r="O176" s="1505">
        <v>46781</v>
      </c>
      <c r="P176" s="1505">
        <v>46000</v>
      </c>
      <c r="Q176" s="1505">
        <v>46681</v>
      </c>
      <c r="R176" s="449" t="s">
        <v>37</v>
      </c>
      <c r="S176" s="79"/>
      <c r="T176" s="571"/>
      <c r="U176" s="281" t="s">
        <v>3442</v>
      </c>
      <c r="V176" s="79"/>
      <c r="W176" s="79"/>
      <c r="AA176" s="1506"/>
      <c r="AB176" s="568"/>
    </row>
    <row r="177" spans="1:28" ht="15.75" hidden="1">
      <c r="A177" s="1500">
        <v>32</v>
      </c>
      <c r="B177" s="1666" t="s">
        <v>3443</v>
      </c>
      <c r="C177" s="1373" t="s">
        <v>20</v>
      </c>
      <c r="D177" s="1599" t="s">
        <v>3444</v>
      </c>
      <c r="E177" s="1503" t="s">
        <v>3445</v>
      </c>
      <c r="F177" s="699" t="s">
        <v>759</v>
      </c>
      <c r="G177" s="1504" t="s">
        <v>76</v>
      </c>
      <c r="H177" s="79"/>
      <c r="I177" s="79"/>
      <c r="J177" s="79"/>
      <c r="K177" s="1621" t="s">
        <v>315</v>
      </c>
      <c r="L177" s="823" t="s">
        <v>1843</v>
      </c>
      <c r="M177" s="444">
        <v>32404</v>
      </c>
      <c r="N177" s="444">
        <v>54331</v>
      </c>
      <c r="O177" s="1505">
        <v>46761</v>
      </c>
      <c r="P177" s="1505">
        <v>46203</v>
      </c>
      <c r="Q177" s="1505">
        <v>46646</v>
      </c>
      <c r="R177" s="449" t="s">
        <v>37</v>
      </c>
      <c r="S177" s="79"/>
      <c r="T177" s="571"/>
      <c r="U177" s="280"/>
      <c r="V177" s="79"/>
      <c r="W177" s="79"/>
      <c r="AA177" s="1506"/>
      <c r="AB177" s="568"/>
    </row>
    <row r="178" spans="1:28" ht="15.75" hidden="1">
      <c r="A178" s="1500">
        <v>33</v>
      </c>
      <c r="B178" s="1666" t="s">
        <v>3446</v>
      </c>
      <c r="C178" s="1373" t="s">
        <v>20</v>
      </c>
      <c r="D178" s="1502" t="s">
        <v>3447</v>
      </c>
      <c r="E178" s="1503" t="s">
        <v>3448</v>
      </c>
      <c r="F178" s="699" t="s">
        <v>759</v>
      </c>
      <c r="G178" s="1504" t="s">
        <v>76</v>
      </c>
      <c r="H178" s="79"/>
      <c r="I178" s="79"/>
      <c r="J178" s="79"/>
      <c r="K178" s="1621" t="s">
        <v>315</v>
      </c>
      <c r="L178" s="823" t="s">
        <v>1843</v>
      </c>
      <c r="M178" s="444">
        <v>33025</v>
      </c>
      <c r="N178" s="444">
        <v>54969</v>
      </c>
      <c r="O178" s="1505">
        <v>46903</v>
      </c>
      <c r="P178" s="1505">
        <v>46351</v>
      </c>
      <c r="Q178" s="1656">
        <v>45833</v>
      </c>
      <c r="R178" s="449" t="s">
        <v>37</v>
      </c>
      <c r="S178" s="79"/>
      <c r="T178" s="571"/>
      <c r="U178" s="280"/>
      <c r="V178" s="79"/>
      <c r="W178" s="79"/>
      <c r="AA178" s="568"/>
      <c r="AB178" s="1506"/>
    </row>
    <row r="179" spans="1:28" ht="15.75" hidden="1">
      <c r="A179" s="1500">
        <v>34</v>
      </c>
      <c r="B179" s="1666" t="s">
        <v>3449</v>
      </c>
      <c r="C179" s="1373" t="s">
        <v>20</v>
      </c>
      <c r="D179" s="1599" t="s">
        <v>3450</v>
      </c>
      <c r="E179" s="1503" t="s">
        <v>3451</v>
      </c>
      <c r="F179" s="699" t="s">
        <v>759</v>
      </c>
      <c r="G179" s="1504" t="s">
        <v>76</v>
      </c>
      <c r="H179" s="79"/>
      <c r="I179" s="79"/>
      <c r="J179" s="79"/>
      <c r="K179" s="1621" t="s">
        <v>315</v>
      </c>
      <c r="L179" s="823" t="s">
        <v>1843</v>
      </c>
      <c r="M179" s="444">
        <v>31603</v>
      </c>
      <c r="N179" s="444">
        <v>53539</v>
      </c>
      <c r="O179" s="1505">
        <v>46749</v>
      </c>
      <c r="P179" s="1505">
        <v>46231</v>
      </c>
      <c r="Q179" s="1656">
        <v>45833</v>
      </c>
      <c r="R179" s="449" t="s">
        <v>37</v>
      </c>
      <c r="S179" s="79"/>
      <c r="T179" s="571"/>
      <c r="U179" s="280"/>
      <c r="V179" s="79"/>
      <c r="W179" s="79"/>
      <c r="AA179" s="568"/>
      <c r="AB179" s="1506"/>
    </row>
    <row r="180" spans="1:28" ht="15.75" hidden="1">
      <c r="A180" s="1500">
        <v>35</v>
      </c>
      <c r="B180" s="1666" t="s">
        <v>3452</v>
      </c>
      <c r="C180" s="1373" t="s">
        <v>20</v>
      </c>
      <c r="D180" s="1599" t="s">
        <v>3453</v>
      </c>
      <c r="E180" s="1503" t="s">
        <v>3454</v>
      </c>
      <c r="F180" s="699" t="s">
        <v>759</v>
      </c>
      <c r="G180" s="1504" t="s">
        <v>76</v>
      </c>
      <c r="H180" s="79"/>
      <c r="I180" s="79"/>
      <c r="J180" s="79"/>
      <c r="K180" s="1621" t="s">
        <v>315</v>
      </c>
      <c r="L180" s="823" t="s">
        <v>1843</v>
      </c>
      <c r="M180" s="444">
        <v>32361</v>
      </c>
      <c r="N180" s="444">
        <v>54301</v>
      </c>
      <c r="O180" s="1505">
        <v>46907</v>
      </c>
      <c r="P180" s="1505">
        <v>46231</v>
      </c>
      <c r="Q180" s="1656">
        <v>45833</v>
      </c>
      <c r="R180" s="449" t="s">
        <v>37</v>
      </c>
      <c r="S180" s="79"/>
      <c r="T180" s="571"/>
      <c r="U180" s="280"/>
      <c r="V180" s="79"/>
      <c r="W180" s="79"/>
      <c r="AA180" s="568"/>
      <c r="AB180" s="1506"/>
    </row>
    <row r="181" spans="1:28" ht="15.75" hidden="1">
      <c r="A181" s="1500">
        <v>36</v>
      </c>
      <c r="B181" s="1666" t="s">
        <v>3455</v>
      </c>
      <c r="C181" s="1373" t="s">
        <v>20</v>
      </c>
      <c r="D181" s="1502" t="s">
        <v>3456</v>
      </c>
      <c r="E181" s="1503" t="s">
        <v>3457</v>
      </c>
      <c r="F181" s="699" t="s">
        <v>759</v>
      </c>
      <c r="G181" s="1504" t="s">
        <v>76</v>
      </c>
      <c r="H181" s="79"/>
      <c r="I181" s="79"/>
      <c r="J181" s="79"/>
      <c r="K181" s="1621" t="s">
        <v>315</v>
      </c>
      <c r="L181" s="445" t="s">
        <v>57</v>
      </c>
      <c r="M181" s="444">
        <v>33449</v>
      </c>
      <c r="N181" s="444">
        <v>55365</v>
      </c>
      <c r="O181" s="1505">
        <v>46740</v>
      </c>
      <c r="P181" s="1505">
        <v>45881</v>
      </c>
      <c r="Q181" s="1505">
        <v>46646</v>
      </c>
      <c r="R181" s="449" t="s">
        <v>37</v>
      </c>
      <c r="S181" s="79"/>
      <c r="T181" s="571"/>
      <c r="U181" s="281" t="s">
        <v>3458</v>
      </c>
      <c r="V181" s="79"/>
      <c r="W181" s="79"/>
      <c r="AA181" s="1506"/>
      <c r="AB181" s="1506"/>
    </row>
    <row r="182" spans="1:28" ht="15.75" hidden="1">
      <c r="A182" s="1500">
        <v>37</v>
      </c>
      <c r="B182" s="1666" t="s">
        <v>3459</v>
      </c>
      <c r="C182" s="1373" t="s">
        <v>20</v>
      </c>
      <c r="D182" s="1599" t="s">
        <v>3460</v>
      </c>
      <c r="E182" s="1503" t="s">
        <v>3461</v>
      </c>
      <c r="F182" s="699" t="s">
        <v>759</v>
      </c>
      <c r="G182" s="1504" t="s">
        <v>76</v>
      </c>
      <c r="H182" s="79"/>
      <c r="I182" s="79"/>
      <c r="J182" s="79"/>
      <c r="K182" s="1621" t="s">
        <v>315</v>
      </c>
      <c r="L182" s="823" t="s">
        <v>1843</v>
      </c>
      <c r="M182" s="444">
        <v>31751</v>
      </c>
      <c r="N182" s="444">
        <v>53692</v>
      </c>
      <c r="O182" s="1505">
        <v>47216</v>
      </c>
      <c r="P182" s="1505">
        <v>46378</v>
      </c>
      <c r="Q182" s="1505">
        <v>45959</v>
      </c>
      <c r="R182" s="449" t="s">
        <v>37</v>
      </c>
      <c r="S182" s="79"/>
      <c r="T182" s="571"/>
      <c r="U182" s="280"/>
      <c r="V182" s="79"/>
      <c r="W182" s="79"/>
      <c r="AA182" s="568"/>
      <c r="AB182" s="1416"/>
    </row>
    <row r="183" spans="1:28" ht="15.75" hidden="1">
      <c r="A183" s="1500">
        <v>38</v>
      </c>
      <c r="B183" s="1666" t="s">
        <v>3462</v>
      </c>
      <c r="C183" s="1373" t="s">
        <v>20</v>
      </c>
      <c r="D183" s="1599" t="s">
        <v>3463</v>
      </c>
      <c r="E183" s="1503" t="s">
        <v>3464</v>
      </c>
      <c r="F183" s="699" t="s">
        <v>759</v>
      </c>
      <c r="G183" s="1504" t="s">
        <v>76</v>
      </c>
      <c r="H183" s="79"/>
      <c r="I183" s="79"/>
      <c r="J183" s="79"/>
      <c r="K183" s="1621" t="s">
        <v>315</v>
      </c>
      <c r="L183" s="445" t="s">
        <v>58</v>
      </c>
      <c r="M183" s="444">
        <v>27035</v>
      </c>
      <c r="N183" s="444">
        <v>48975</v>
      </c>
      <c r="O183" s="1505">
        <v>45897</v>
      </c>
      <c r="P183" s="1505">
        <v>45881</v>
      </c>
      <c r="Q183" s="1505">
        <v>46411</v>
      </c>
      <c r="R183" s="449" t="s">
        <v>37</v>
      </c>
      <c r="S183" s="79"/>
      <c r="T183" s="571"/>
      <c r="U183" s="280"/>
      <c r="V183" s="79"/>
      <c r="W183" s="79"/>
      <c r="AA183" s="568"/>
      <c r="AB183" s="1416"/>
    </row>
    <row r="184" spans="1:28" ht="15.75" hidden="1">
      <c r="A184" s="1500">
        <v>39</v>
      </c>
      <c r="B184" s="1666" t="s">
        <v>3465</v>
      </c>
      <c r="C184" s="1373" t="s">
        <v>20</v>
      </c>
      <c r="D184" s="1502" t="s">
        <v>3466</v>
      </c>
      <c r="E184" s="1503" t="s">
        <v>3467</v>
      </c>
      <c r="F184" s="699" t="s">
        <v>759</v>
      </c>
      <c r="G184" s="1504" t="s">
        <v>77</v>
      </c>
      <c r="H184" s="79"/>
      <c r="I184" s="79"/>
      <c r="J184" s="79"/>
      <c r="K184" s="1621" t="s">
        <v>315</v>
      </c>
      <c r="L184" s="445" t="s">
        <v>58</v>
      </c>
      <c r="M184" s="444">
        <v>31793</v>
      </c>
      <c r="N184" s="444">
        <v>53723</v>
      </c>
      <c r="O184" s="1505">
        <v>46761</v>
      </c>
      <c r="P184" s="1505">
        <v>46000</v>
      </c>
      <c r="Q184" s="1505">
        <v>46681</v>
      </c>
      <c r="R184" s="449" t="s">
        <v>37</v>
      </c>
      <c r="S184" s="79"/>
      <c r="T184" s="571"/>
      <c r="U184" s="280"/>
      <c r="V184" s="79"/>
      <c r="W184" s="79"/>
      <c r="AA184" s="1506"/>
      <c r="AB184" s="568"/>
    </row>
    <row r="185" spans="1:28" ht="15.75" hidden="1">
      <c r="A185" s="1500">
        <v>40</v>
      </c>
      <c r="B185" s="1666" t="s">
        <v>3468</v>
      </c>
      <c r="C185" s="1373" t="s">
        <v>20</v>
      </c>
      <c r="D185" s="1599" t="s">
        <v>3469</v>
      </c>
      <c r="E185" s="1503" t="s">
        <v>3470</v>
      </c>
      <c r="F185" s="699" t="s">
        <v>759</v>
      </c>
      <c r="G185" s="1504" t="s">
        <v>76</v>
      </c>
      <c r="H185" s="79"/>
      <c r="I185" s="79"/>
      <c r="J185" s="79"/>
      <c r="K185" s="1621" t="s">
        <v>315</v>
      </c>
      <c r="L185" s="445" t="s">
        <v>58</v>
      </c>
      <c r="M185" s="444">
        <v>33278</v>
      </c>
      <c r="N185" s="444">
        <v>55212</v>
      </c>
      <c r="O185" s="1505">
        <v>46763</v>
      </c>
      <c r="P185" s="1505">
        <v>46203</v>
      </c>
      <c r="Q185" s="1505">
        <v>46681</v>
      </c>
      <c r="R185" s="449" t="s">
        <v>37</v>
      </c>
      <c r="S185" s="79"/>
      <c r="T185" s="571"/>
      <c r="U185" s="280"/>
      <c r="V185" s="79"/>
      <c r="W185" s="79"/>
      <c r="AA185" s="1506"/>
      <c r="AB185" s="568"/>
    </row>
    <row r="186" spans="1:28" ht="15.75" hidden="1">
      <c r="A186" s="1500">
        <v>41</v>
      </c>
      <c r="B186" s="1666" t="s">
        <v>3471</v>
      </c>
      <c r="C186" s="1373" t="s">
        <v>20</v>
      </c>
      <c r="D186" s="1502" t="s">
        <v>3472</v>
      </c>
      <c r="E186" s="1503" t="s">
        <v>3473</v>
      </c>
      <c r="F186" s="699" t="s">
        <v>759</v>
      </c>
      <c r="G186" s="1504" t="s">
        <v>76</v>
      </c>
      <c r="H186" s="79"/>
      <c r="I186" s="79"/>
      <c r="J186" s="79"/>
      <c r="K186" s="1621" t="s">
        <v>315</v>
      </c>
      <c r="L186" s="823" t="s">
        <v>2940</v>
      </c>
      <c r="M186" s="444">
        <v>32821</v>
      </c>
      <c r="N186" s="444">
        <v>54757</v>
      </c>
      <c r="O186" s="1505">
        <v>46757</v>
      </c>
      <c r="P186" s="1505">
        <v>46000</v>
      </c>
      <c r="Q186" s="1505">
        <v>46620</v>
      </c>
      <c r="R186" s="449" t="s">
        <v>37</v>
      </c>
      <c r="S186" s="79"/>
      <c r="T186" s="571"/>
      <c r="U186" s="281" t="s">
        <v>3474</v>
      </c>
      <c r="V186" s="79"/>
      <c r="W186" s="79"/>
      <c r="AA186" s="1506"/>
      <c r="AB186" s="568"/>
    </row>
    <row r="187" spans="1:28" ht="15.75" hidden="1">
      <c r="A187" s="1500">
        <v>42</v>
      </c>
      <c r="B187" s="1666" t="s">
        <v>3475</v>
      </c>
      <c r="C187" s="1373" t="s">
        <v>20</v>
      </c>
      <c r="D187" s="1599" t="s">
        <v>3476</v>
      </c>
      <c r="E187" s="1503" t="s">
        <v>3477</v>
      </c>
      <c r="F187" s="699" t="s">
        <v>759</v>
      </c>
      <c r="G187" s="1504" t="s">
        <v>76</v>
      </c>
      <c r="H187" s="79"/>
      <c r="I187" s="79"/>
      <c r="J187" s="79"/>
      <c r="K187" s="1621" t="s">
        <v>315</v>
      </c>
      <c r="L187" s="823" t="s">
        <v>1843</v>
      </c>
      <c r="M187" s="444">
        <v>33003</v>
      </c>
      <c r="N187" s="444">
        <v>54939</v>
      </c>
      <c r="O187" s="1505">
        <v>46904</v>
      </c>
      <c r="P187" s="1505">
        <v>46260</v>
      </c>
      <c r="Q187" s="1667" t="s">
        <v>3478</v>
      </c>
      <c r="R187" s="449" t="s">
        <v>37</v>
      </c>
      <c r="S187" s="79"/>
      <c r="T187" s="571"/>
      <c r="U187" s="280"/>
      <c r="V187" s="79"/>
      <c r="W187" s="79"/>
      <c r="AA187" s="568"/>
      <c r="AB187" s="1506"/>
    </row>
    <row r="188" spans="1:28" ht="15.75" hidden="1">
      <c r="A188" s="1500">
        <v>43</v>
      </c>
      <c r="B188" s="1501" t="s">
        <v>3479</v>
      </c>
      <c r="C188" s="1373" t="s">
        <v>20</v>
      </c>
      <c r="D188" s="1660" t="s">
        <v>3480</v>
      </c>
      <c r="E188" s="1503" t="s">
        <v>3481</v>
      </c>
      <c r="F188" s="699" t="s">
        <v>759</v>
      </c>
      <c r="G188" s="1504" t="s">
        <v>76</v>
      </c>
      <c r="H188" s="79"/>
      <c r="I188" s="79"/>
      <c r="J188" s="79"/>
      <c r="K188" s="275" t="s">
        <v>290</v>
      </c>
      <c r="L188" s="457" t="s">
        <v>2940</v>
      </c>
      <c r="M188" s="444">
        <v>29601</v>
      </c>
      <c r="N188" s="444">
        <v>51532</v>
      </c>
      <c r="O188" s="1505">
        <v>45914</v>
      </c>
      <c r="P188" s="1505">
        <v>45915</v>
      </c>
      <c r="Q188" s="1656">
        <v>45833</v>
      </c>
      <c r="R188" s="449" t="s">
        <v>313</v>
      </c>
      <c r="S188" s="79"/>
      <c r="T188" s="571"/>
      <c r="U188" s="280"/>
      <c r="V188" s="79"/>
      <c r="W188" s="79"/>
      <c r="AA188" s="568"/>
      <c r="AB188" s="1416"/>
    </row>
    <row r="189" spans="1:28" ht="15.75" hidden="1">
      <c r="A189" s="1500">
        <v>44</v>
      </c>
      <c r="B189" s="1501" t="s">
        <v>3482</v>
      </c>
      <c r="C189" s="1373" t="s">
        <v>20</v>
      </c>
      <c r="D189" s="1660" t="s">
        <v>3483</v>
      </c>
      <c r="E189" s="1503" t="s">
        <v>3484</v>
      </c>
      <c r="F189" s="699" t="s">
        <v>759</v>
      </c>
      <c r="G189" s="1504" t="s">
        <v>76</v>
      </c>
      <c r="H189" s="79"/>
      <c r="I189" s="79"/>
      <c r="J189" s="79"/>
      <c r="K189" s="275" t="s">
        <v>290</v>
      </c>
      <c r="L189" s="445" t="s">
        <v>58</v>
      </c>
      <c r="M189" s="444">
        <v>28131</v>
      </c>
      <c r="N189" s="444">
        <v>50071</v>
      </c>
      <c r="O189" s="1505">
        <v>46121</v>
      </c>
      <c r="P189" s="1505">
        <v>46397</v>
      </c>
      <c r="Q189" s="1505">
        <v>46451</v>
      </c>
      <c r="R189" s="449" t="s">
        <v>37</v>
      </c>
      <c r="S189" s="79"/>
      <c r="T189" s="571"/>
      <c r="U189" s="280"/>
      <c r="V189" s="79"/>
      <c r="W189" s="79"/>
      <c r="AA189" s="568"/>
      <c r="AB189" s="1416"/>
    </row>
    <row r="190" spans="1:28" ht="15.75" hidden="1">
      <c r="A190" s="1500">
        <v>45</v>
      </c>
      <c r="B190" s="1501" t="s">
        <v>3485</v>
      </c>
      <c r="C190" s="1373" t="s">
        <v>20</v>
      </c>
      <c r="D190" s="1599" t="s">
        <v>3486</v>
      </c>
      <c r="E190" s="1668" t="s">
        <v>3487</v>
      </c>
      <c r="F190" s="699" t="s">
        <v>759</v>
      </c>
      <c r="G190" s="1468" t="s">
        <v>76</v>
      </c>
      <c r="H190" s="79"/>
      <c r="I190" s="79"/>
      <c r="J190" s="79"/>
      <c r="K190" s="275" t="s">
        <v>290</v>
      </c>
      <c r="L190" s="457" t="s">
        <v>2940</v>
      </c>
      <c r="M190" s="444">
        <v>28452</v>
      </c>
      <c r="N190" s="444">
        <v>50374</v>
      </c>
      <c r="O190" s="1505">
        <v>46129</v>
      </c>
      <c r="P190" s="1505">
        <v>46070</v>
      </c>
      <c r="Q190" s="1656">
        <v>45833</v>
      </c>
      <c r="R190" s="449" t="s">
        <v>313</v>
      </c>
      <c r="S190" s="79"/>
      <c r="T190" s="571"/>
      <c r="U190" s="281" t="s">
        <v>3488</v>
      </c>
      <c r="V190" s="79"/>
      <c r="W190" s="79"/>
      <c r="AA190" s="1499"/>
      <c r="AB190" s="1626"/>
    </row>
    <row r="191" spans="1:28" ht="15.75" hidden="1">
      <c r="A191" s="1500">
        <v>46</v>
      </c>
      <c r="B191" s="1501" t="s">
        <v>3489</v>
      </c>
      <c r="C191" s="823" t="s">
        <v>21</v>
      </c>
      <c r="D191" s="1669" t="s">
        <v>3490</v>
      </c>
      <c r="E191" s="1664"/>
      <c r="F191" s="699" t="s">
        <v>759</v>
      </c>
      <c r="G191" s="1468" t="s">
        <v>76</v>
      </c>
      <c r="H191" s="79"/>
      <c r="I191" s="79"/>
      <c r="J191" s="79"/>
      <c r="K191" s="275" t="s">
        <v>290</v>
      </c>
      <c r="L191" s="445" t="s">
        <v>57</v>
      </c>
      <c r="M191" s="444">
        <v>29192</v>
      </c>
      <c r="N191" s="444">
        <v>51135</v>
      </c>
      <c r="O191" s="1505">
        <v>46397</v>
      </c>
      <c r="P191" s="1505">
        <v>46105</v>
      </c>
      <c r="Q191" s="1505">
        <v>46175</v>
      </c>
      <c r="R191" s="449" t="s">
        <v>37</v>
      </c>
      <c r="S191" s="79"/>
      <c r="T191" s="571"/>
      <c r="U191" s="280"/>
      <c r="V191" s="79"/>
      <c r="W191" s="79"/>
      <c r="AA191" s="1499"/>
      <c r="AB191" s="1499"/>
    </row>
    <row r="192" spans="1:28" ht="15.75" hidden="1">
      <c r="A192" s="1500">
        <v>48</v>
      </c>
      <c r="B192" s="1657" t="s">
        <v>3491</v>
      </c>
      <c r="C192" s="1451" t="s">
        <v>21</v>
      </c>
      <c r="D192" s="1502" t="s">
        <v>3492</v>
      </c>
      <c r="E192" s="1662" t="s">
        <v>3493</v>
      </c>
      <c r="F192" s="699" t="s">
        <v>759</v>
      </c>
      <c r="G192" s="1659" t="s">
        <v>78</v>
      </c>
      <c r="H192" s="79"/>
      <c r="I192" s="286">
        <v>9163382233</v>
      </c>
      <c r="J192" s="79"/>
      <c r="K192" s="275" t="s">
        <v>290</v>
      </c>
      <c r="L192" s="1451" t="s">
        <v>3494</v>
      </c>
      <c r="M192" s="444">
        <v>28726</v>
      </c>
      <c r="N192" s="444">
        <v>50648</v>
      </c>
      <c r="O192" s="1663">
        <v>45162</v>
      </c>
      <c r="P192" s="1663">
        <v>44172</v>
      </c>
      <c r="Q192" s="1663">
        <v>45228</v>
      </c>
      <c r="R192" s="449" t="s">
        <v>37</v>
      </c>
      <c r="S192" s="338" t="s">
        <v>3495</v>
      </c>
      <c r="T192" s="571"/>
      <c r="U192" s="1160" t="s">
        <v>3496</v>
      </c>
      <c r="V192" s="79"/>
      <c r="W192" s="79"/>
      <c r="AA192" s="1665"/>
      <c r="AB192" s="1665"/>
    </row>
    <row r="193" spans="1:28" ht="15.75" hidden="1">
      <c r="A193" s="1500">
        <v>49</v>
      </c>
      <c r="B193" s="1501" t="s">
        <v>3497</v>
      </c>
      <c r="C193" s="1373" t="s">
        <v>20</v>
      </c>
      <c r="D193" s="1599" t="s">
        <v>3498</v>
      </c>
      <c r="E193" s="1503" t="s">
        <v>3499</v>
      </c>
      <c r="F193" s="699" t="s">
        <v>759</v>
      </c>
      <c r="G193" s="1504" t="s">
        <v>77</v>
      </c>
      <c r="H193" s="79"/>
      <c r="I193" s="79"/>
      <c r="J193" s="79"/>
      <c r="K193" s="275" t="s">
        <v>290</v>
      </c>
      <c r="L193" s="457" t="s">
        <v>2940</v>
      </c>
      <c r="M193" s="444">
        <v>31868</v>
      </c>
      <c r="N193" s="444">
        <v>53812</v>
      </c>
      <c r="O193" s="1505">
        <v>46923</v>
      </c>
      <c r="P193" s="1505">
        <v>46315</v>
      </c>
      <c r="Q193" s="1505">
        <v>46087</v>
      </c>
      <c r="R193" s="449" t="s">
        <v>37</v>
      </c>
      <c r="S193" s="79"/>
      <c r="T193" s="571"/>
      <c r="U193" s="280"/>
      <c r="V193" s="79"/>
      <c r="W193" s="79"/>
      <c r="AA193" s="568"/>
      <c r="AB193" s="1416"/>
    </row>
    <row r="194" spans="1:28" ht="15.75" hidden="1">
      <c r="A194" s="1500">
        <v>50</v>
      </c>
      <c r="B194" s="1501" t="s">
        <v>3500</v>
      </c>
      <c r="C194" s="823" t="s">
        <v>20</v>
      </c>
      <c r="D194" s="1599" t="s">
        <v>3501</v>
      </c>
      <c r="E194" s="1503" t="s">
        <v>3502</v>
      </c>
      <c r="F194" s="699" t="s">
        <v>3258</v>
      </c>
      <c r="G194" s="1504" t="s">
        <v>76</v>
      </c>
      <c r="H194" s="79"/>
      <c r="I194" s="79"/>
      <c r="J194" s="79"/>
      <c r="K194" s="275" t="s">
        <v>290</v>
      </c>
      <c r="L194" s="445" t="s">
        <v>57</v>
      </c>
      <c r="M194" s="444">
        <v>32497</v>
      </c>
      <c r="N194" s="444">
        <v>54423</v>
      </c>
      <c r="O194" s="1505">
        <v>46007</v>
      </c>
      <c r="P194" s="1505">
        <v>46658</v>
      </c>
      <c r="Q194" s="1505">
        <v>46709</v>
      </c>
      <c r="R194" s="449" t="s">
        <v>37</v>
      </c>
      <c r="S194" s="79"/>
      <c r="T194" s="571"/>
      <c r="U194" s="280"/>
      <c r="V194" s="79"/>
      <c r="W194" s="79"/>
      <c r="AA194" s="1506"/>
      <c r="AB194" s="568"/>
    </row>
    <row r="195" spans="1:28" ht="15.75" hidden="1">
      <c r="A195" s="1500">
        <v>51</v>
      </c>
      <c r="B195" s="1501" t="s">
        <v>3503</v>
      </c>
      <c r="C195" s="823" t="s">
        <v>20</v>
      </c>
      <c r="D195" s="1660" t="s">
        <v>3504</v>
      </c>
      <c r="E195" s="1503" t="s">
        <v>3505</v>
      </c>
      <c r="F195" s="699" t="s">
        <v>759</v>
      </c>
      <c r="G195" s="1504" t="s">
        <v>76</v>
      </c>
      <c r="H195" s="79"/>
      <c r="I195" s="79"/>
      <c r="J195" s="79"/>
      <c r="K195" s="275" t="s">
        <v>290</v>
      </c>
      <c r="L195" s="457" t="s">
        <v>2940</v>
      </c>
      <c r="M195" s="444">
        <v>30540</v>
      </c>
      <c r="N195" s="444">
        <v>52474</v>
      </c>
      <c r="O195" s="1505">
        <v>45920</v>
      </c>
      <c r="P195" s="1505">
        <v>46397</v>
      </c>
      <c r="Q195" s="1656">
        <v>45833</v>
      </c>
      <c r="R195" s="449" t="s">
        <v>313</v>
      </c>
      <c r="S195" s="79"/>
      <c r="T195" s="571"/>
      <c r="U195" s="281" t="s">
        <v>3506</v>
      </c>
      <c r="V195" s="79"/>
      <c r="W195" s="79"/>
      <c r="AA195" s="568"/>
      <c r="AB195" s="1416"/>
    </row>
    <row r="196" spans="1:28" ht="15.75" hidden="1">
      <c r="A196" s="1500">
        <v>52</v>
      </c>
      <c r="B196" s="1501" t="s">
        <v>3507</v>
      </c>
      <c r="C196" s="823" t="s">
        <v>20</v>
      </c>
      <c r="D196" s="1599" t="s">
        <v>3508</v>
      </c>
      <c r="E196" s="1503" t="s">
        <v>3509</v>
      </c>
      <c r="F196" s="699" t="s">
        <v>759</v>
      </c>
      <c r="G196" s="1504" t="s">
        <v>76</v>
      </c>
      <c r="H196" s="79"/>
      <c r="I196" s="79"/>
      <c r="J196" s="79"/>
      <c r="K196" s="275" t="s">
        <v>290</v>
      </c>
      <c r="L196" s="445" t="s">
        <v>57</v>
      </c>
      <c r="M196" s="444">
        <v>28144</v>
      </c>
      <c r="N196" s="444">
        <v>50071</v>
      </c>
      <c r="O196" s="1505">
        <v>46046</v>
      </c>
      <c r="P196" s="1505">
        <v>45874</v>
      </c>
      <c r="Q196" s="1656">
        <v>45833</v>
      </c>
      <c r="R196" s="449" t="s">
        <v>313</v>
      </c>
      <c r="S196" s="79"/>
      <c r="T196" s="571"/>
      <c r="U196" s="281" t="s">
        <v>3510</v>
      </c>
      <c r="V196" s="79"/>
      <c r="W196" s="79"/>
      <c r="AA196" s="568"/>
      <c r="AB196" s="1506"/>
    </row>
    <row r="197" spans="1:28" ht="15.75" hidden="1">
      <c r="A197" s="1500">
        <v>53</v>
      </c>
      <c r="B197" s="1501" t="s">
        <v>3511</v>
      </c>
      <c r="C197" s="823" t="s">
        <v>20</v>
      </c>
      <c r="D197" s="1660" t="s">
        <v>3512</v>
      </c>
      <c r="E197" s="1503" t="s">
        <v>3513</v>
      </c>
      <c r="F197" s="699" t="s">
        <v>759</v>
      </c>
      <c r="G197" s="1504" t="s">
        <v>77</v>
      </c>
      <c r="H197" s="79"/>
      <c r="I197" s="79"/>
      <c r="J197" s="79"/>
      <c r="K197" s="275" t="s">
        <v>290</v>
      </c>
      <c r="L197" s="457" t="s">
        <v>2940</v>
      </c>
      <c r="M197" s="444">
        <v>28734</v>
      </c>
      <c r="N197" s="444">
        <v>50678</v>
      </c>
      <c r="O197" s="1505">
        <v>46076</v>
      </c>
      <c r="P197" s="1505">
        <v>46629</v>
      </c>
      <c r="Q197" s="1505">
        <v>46590</v>
      </c>
      <c r="R197" s="449" t="s">
        <v>37</v>
      </c>
      <c r="S197" s="79"/>
      <c r="T197" s="571"/>
      <c r="U197" s="280"/>
      <c r="V197" s="79"/>
      <c r="W197" s="79"/>
      <c r="AA197" s="568"/>
      <c r="AB197" s="1416"/>
    </row>
    <row r="198" spans="1:28" ht="15.75" hidden="1">
      <c r="A198" s="1500">
        <v>54</v>
      </c>
      <c r="B198" s="1501" t="s">
        <v>3514</v>
      </c>
      <c r="C198" s="823" t="s">
        <v>21</v>
      </c>
      <c r="D198" s="1502" t="s">
        <v>3515</v>
      </c>
      <c r="E198" s="1503" t="s">
        <v>3516</v>
      </c>
      <c r="F198" s="699" t="s">
        <v>759</v>
      </c>
      <c r="G198" s="1504" t="s">
        <v>76</v>
      </c>
      <c r="H198" s="79"/>
      <c r="I198" s="79"/>
      <c r="J198" s="79"/>
      <c r="K198" s="275" t="s">
        <v>290</v>
      </c>
      <c r="L198" s="457" t="s">
        <v>2940</v>
      </c>
      <c r="M198" s="444">
        <v>27605</v>
      </c>
      <c r="N198" s="444">
        <v>49521</v>
      </c>
      <c r="O198" s="1505">
        <v>46089</v>
      </c>
      <c r="P198" s="1505">
        <v>46000</v>
      </c>
      <c r="Q198" s="1505">
        <v>45913</v>
      </c>
      <c r="R198" s="449" t="s">
        <v>37</v>
      </c>
      <c r="S198" s="79"/>
      <c r="T198" s="571"/>
      <c r="U198" s="280"/>
      <c r="V198" s="79"/>
      <c r="W198" s="79"/>
      <c r="AA198" s="1506"/>
      <c r="AB198" s="568"/>
    </row>
    <row r="199" spans="1:28" ht="15.75" hidden="1">
      <c r="A199" s="1500">
        <v>55</v>
      </c>
      <c r="B199" s="1501" t="s">
        <v>3517</v>
      </c>
      <c r="C199" s="823" t="s">
        <v>20</v>
      </c>
      <c r="D199" s="1660" t="s">
        <v>3518</v>
      </c>
      <c r="E199" s="1503" t="s">
        <v>3519</v>
      </c>
      <c r="F199" s="699" t="s">
        <v>759</v>
      </c>
      <c r="G199" s="1504" t="s">
        <v>77</v>
      </c>
      <c r="H199" s="79"/>
      <c r="I199" s="79"/>
      <c r="J199" s="79"/>
      <c r="K199" s="275" t="s">
        <v>290</v>
      </c>
      <c r="L199" s="457" t="s">
        <v>2940</v>
      </c>
      <c r="M199" s="444">
        <v>29607</v>
      </c>
      <c r="N199" s="444">
        <v>51532</v>
      </c>
      <c r="O199" s="1505">
        <v>46043</v>
      </c>
      <c r="P199" s="1505">
        <v>46616</v>
      </c>
      <c r="Q199" s="1505">
        <v>46213</v>
      </c>
      <c r="R199" s="449" t="s">
        <v>37</v>
      </c>
      <c r="S199" s="79"/>
      <c r="T199" s="571"/>
      <c r="U199" s="280"/>
      <c r="V199" s="79"/>
      <c r="W199" s="79"/>
      <c r="AA199" s="568"/>
      <c r="AB199" s="1416"/>
    </row>
    <row r="200" spans="1:28" ht="15.75" hidden="1">
      <c r="A200" s="1500">
        <v>56</v>
      </c>
      <c r="B200" s="1501" t="s">
        <v>3520</v>
      </c>
      <c r="C200" s="823" t="s">
        <v>21</v>
      </c>
      <c r="D200" s="1599" t="s">
        <v>3521</v>
      </c>
      <c r="E200" s="1668" t="s">
        <v>3522</v>
      </c>
      <c r="F200" s="699" t="s">
        <v>759</v>
      </c>
      <c r="G200" s="1468" t="s">
        <v>76</v>
      </c>
      <c r="H200" s="79"/>
      <c r="I200" s="79"/>
      <c r="J200" s="79"/>
      <c r="K200" s="275" t="s">
        <v>290</v>
      </c>
      <c r="L200" s="445" t="s">
        <v>58</v>
      </c>
      <c r="M200" s="444">
        <v>28764</v>
      </c>
      <c r="N200" s="444">
        <v>50709</v>
      </c>
      <c r="O200" s="1663">
        <v>45788</v>
      </c>
      <c r="P200" s="1505">
        <v>46658</v>
      </c>
      <c r="Q200" s="1505">
        <v>46590</v>
      </c>
      <c r="R200" s="449" t="s">
        <v>37</v>
      </c>
      <c r="S200" s="79"/>
      <c r="T200" s="571"/>
      <c r="U200" s="280"/>
      <c r="V200" s="79"/>
      <c r="W200" s="79"/>
      <c r="AA200" s="1626"/>
      <c r="AB200" s="1670"/>
    </row>
    <row r="201" spans="1:28" ht="15.75" hidden="1">
      <c r="A201" s="1500">
        <v>57</v>
      </c>
      <c r="B201" s="1657" t="s">
        <v>3523</v>
      </c>
      <c r="C201" s="823" t="s">
        <v>20</v>
      </c>
      <c r="D201" s="1502" t="s">
        <v>3524</v>
      </c>
      <c r="E201" s="1662" t="s">
        <v>3525</v>
      </c>
      <c r="F201" s="699" t="s">
        <v>759</v>
      </c>
      <c r="G201" s="1659" t="s">
        <v>76</v>
      </c>
      <c r="H201" s="79"/>
      <c r="I201" s="79"/>
      <c r="J201" s="79"/>
      <c r="K201" s="275" t="s">
        <v>290</v>
      </c>
      <c r="L201" s="457" t="s">
        <v>66</v>
      </c>
      <c r="M201" s="444">
        <v>28494</v>
      </c>
      <c r="N201" s="444">
        <v>50436</v>
      </c>
      <c r="O201" s="1505">
        <v>46197</v>
      </c>
      <c r="P201" s="1663">
        <v>44979</v>
      </c>
      <c r="Q201" s="1505">
        <v>45893</v>
      </c>
      <c r="R201" s="449" t="s">
        <v>37</v>
      </c>
      <c r="S201" s="79"/>
      <c r="T201" s="571"/>
      <c r="U201" s="280"/>
      <c r="V201" s="79"/>
      <c r="W201" s="79"/>
      <c r="AA201" s="1456"/>
      <c r="AB201" s="1453"/>
    </row>
    <row r="202" spans="1:28" ht="15.75" hidden="1">
      <c r="A202" s="1500">
        <v>58</v>
      </c>
      <c r="B202" s="1501" t="s">
        <v>3526</v>
      </c>
      <c r="C202" s="823" t="s">
        <v>20</v>
      </c>
      <c r="D202" s="1660" t="s">
        <v>3527</v>
      </c>
      <c r="E202" s="1503" t="s">
        <v>3528</v>
      </c>
      <c r="F202" s="699" t="s">
        <v>759</v>
      </c>
      <c r="G202" s="1504" t="s">
        <v>76</v>
      </c>
      <c r="H202" s="79"/>
      <c r="I202" s="79"/>
      <c r="J202" s="79"/>
      <c r="K202" s="275" t="s">
        <v>290</v>
      </c>
      <c r="L202" s="445" t="s">
        <v>57</v>
      </c>
      <c r="M202" s="444">
        <v>29416</v>
      </c>
      <c r="N202" s="444">
        <v>51348</v>
      </c>
      <c r="O202" s="1505">
        <v>46464</v>
      </c>
      <c r="P202" s="1505">
        <v>45881</v>
      </c>
      <c r="Q202" s="1505">
        <v>45959</v>
      </c>
      <c r="R202" s="449" t="s">
        <v>37</v>
      </c>
      <c r="S202" s="79"/>
      <c r="T202" s="571"/>
      <c r="U202" s="280"/>
      <c r="V202" s="79"/>
      <c r="W202" s="79"/>
      <c r="AA202" s="568"/>
      <c r="AB202" s="1416"/>
    </row>
    <row r="203" spans="1:28" ht="15.75" hidden="1">
      <c r="A203" s="1500">
        <v>59</v>
      </c>
      <c r="B203" s="1501" t="s">
        <v>3529</v>
      </c>
      <c r="C203" s="823" t="s">
        <v>20</v>
      </c>
      <c r="D203" s="1660" t="s">
        <v>3530</v>
      </c>
      <c r="E203" s="1503" t="s">
        <v>3531</v>
      </c>
      <c r="F203" s="699" t="s">
        <v>759</v>
      </c>
      <c r="G203" s="1504" t="s">
        <v>76</v>
      </c>
      <c r="H203" s="79"/>
      <c r="I203" s="79"/>
      <c r="J203" s="79"/>
      <c r="K203" s="275" t="s">
        <v>290</v>
      </c>
      <c r="L203" s="445" t="s">
        <v>57</v>
      </c>
      <c r="M203" s="444">
        <v>34254</v>
      </c>
      <c r="N203" s="444">
        <v>56188</v>
      </c>
      <c r="O203" s="1505">
        <v>46617</v>
      </c>
      <c r="P203" s="1505">
        <v>46829</v>
      </c>
      <c r="Q203" s="1505">
        <v>46087</v>
      </c>
      <c r="R203" s="449" t="s">
        <v>37</v>
      </c>
      <c r="S203" s="79"/>
      <c r="T203" s="571"/>
      <c r="U203" s="280"/>
      <c r="V203" s="79"/>
      <c r="W203" s="79"/>
      <c r="AA203" s="568"/>
      <c r="AB203" s="1416"/>
    </row>
    <row r="204" spans="1:28" ht="15.75" hidden="1">
      <c r="A204" s="1500">
        <v>60</v>
      </c>
      <c r="B204" s="1666" t="s">
        <v>3532</v>
      </c>
      <c r="C204" s="1373" t="s">
        <v>20</v>
      </c>
      <c r="D204" s="567" t="s">
        <v>3533</v>
      </c>
      <c r="E204" s="1503" t="s">
        <v>3534</v>
      </c>
      <c r="F204" s="699" t="s">
        <v>759</v>
      </c>
      <c r="G204" s="1504" t="s">
        <v>76</v>
      </c>
      <c r="H204" s="79"/>
      <c r="I204" s="79"/>
      <c r="J204" s="79"/>
      <c r="K204" s="274" t="s">
        <v>464</v>
      </c>
      <c r="L204" s="457" t="s">
        <v>1843</v>
      </c>
      <c r="M204" s="444">
        <v>28920</v>
      </c>
      <c r="N204" s="444">
        <v>50860</v>
      </c>
      <c r="O204" s="1505">
        <v>46310</v>
      </c>
      <c r="P204" s="1505">
        <v>46574</v>
      </c>
      <c r="Q204" s="1505">
        <v>46002</v>
      </c>
      <c r="R204" s="449" t="s">
        <v>37</v>
      </c>
      <c r="S204" s="79"/>
      <c r="T204" s="571"/>
      <c r="U204" s="280"/>
      <c r="V204" s="79"/>
      <c r="W204" s="79"/>
      <c r="AA204" s="568"/>
      <c r="AB204" s="1416"/>
    </row>
    <row r="205" spans="1:28" ht="15.75" hidden="1">
      <c r="A205" s="1500">
        <v>61</v>
      </c>
      <c r="B205" s="1666" t="s">
        <v>3535</v>
      </c>
      <c r="C205" s="1373" t="s">
        <v>20</v>
      </c>
      <c r="D205" s="1452" t="s">
        <v>3536</v>
      </c>
      <c r="E205" s="1503" t="s">
        <v>3537</v>
      </c>
      <c r="F205" s="699" t="s">
        <v>759</v>
      </c>
      <c r="G205" s="1504" t="s">
        <v>77</v>
      </c>
      <c r="H205" s="79"/>
      <c r="I205" s="79"/>
      <c r="J205" s="79"/>
      <c r="K205" s="274" t="s">
        <v>464</v>
      </c>
      <c r="L205" s="445" t="s">
        <v>57</v>
      </c>
      <c r="M205" s="444">
        <v>33138</v>
      </c>
      <c r="N205" s="444">
        <v>55061</v>
      </c>
      <c r="O205" s="1505">
        <v>46760</v>
      </c>
      <c r="P205" s="1505">
        <v>46545</v>
      </c>
      <c r="Q205" s="1505">
        <v>46590</v>
      </c>
      <c r="R205" s="449" t="s">
        <v>37</v>
      </c>
      <c r="S205" s="79"/>
      <c r="T205" s="571"/>
      <c r="U205" s="281" t="s">
        <v>3538</v>
      </c>
      <c r="V205" s="79"/>
      <c r="W205" s="79"/>
      <c r="AA205" s="1506"/>
      <c r="AB205" s="1506"/>
    </row>
    <row r="206" spans="1:28" ht="14.25" hidden="1" customHeight="1">
      <c r="A206" s="1500">
        <v>62</v>
      </c>
      <c r="B206" s="1666" t="s">
        <v>3539</v>
      </c>
      <c r="C206" s="823" t="s">
        <v>21</v>
      </c>
      <c r="D206" s="1671" t="s">
        <v>3540</v>
      </c>
      <c r="E206" s="1664"/>
      <c r="F206" s="699" t="s">
        <v>759</v>
      </c>
      <c r="G206" s="1504" t="s">
        <v>76</v>
      </c>
      <c r="H206" s="79"/>
      <c r="I206" s="79"/>
      <c r="J206" s="79"/>
      <c r="K206" s="274" t="s">
        <v>464</v>
      </c>
      <c r="L206" s="445" t="s">
        <v>58</v>
      </c>
      <c r="M206" s="444">
        <v>33107</v>
      </c>
      <c r="N206" s="444">
        <v>55031</v>
      </c>
      <c r="O206" s="1505">
        <v>46573</v>
      </c>
      <c r="P206" s="1505">
        <v>46133</v>
      </c>
      <c r="Q206" s="1505">
        <v>46035</v>
      </c>
      <c r="R206" s="449" t="s">
        <v>37</v>
      </c>
      <c r="S206" s="79"/>
      <c r="T206" s="638" t="s">
        <v>3541</v>
      </c>
      <c r="U206" s="280"/>
      <c r="V206" s="79"/>
      <c r="W206" s="79"/>
      <c r="AA206" s="1499"/>
      <c r="AB206" s="1499"/>
    </row>
    <row r="207" spans="1:28" ht="15.75" hidden="1">
      <c r="A207" s="1500">
        <v>63</v>
      </c>
      <c r="B207" s="1666" t="s">
        <v>3542</v>
      </c>
      <c r="C207" s="1373" t="s">
        <v>20</v>
      </c>
      <c r="D207" s="1660" t="s">
        <v>3543</v>
      </c>
      <c r="E207" s="1503" t="s">
        <v>3544</v>
      </c>
      <c r="F207" s="699" t="s">
        <v>759</v>
      </c>
      <c r="G207" s="1504" t="s">
        <v>77</v>
      </c>
      <c r="H207" s="79"/>
      <c r="I207" s="79"/>
      <c r="J207" s="79"/>
      <c r="K207" s="274" t="s">
        <v>464</v>
      </c>
      <c r="L207" s="457" t="s">
        <v>2940</v>
      </c>
      <c r="M207" s="444">
        <v>30722</v>
      </c>
      <c r="N207" s="444">
        <v>52656</v>
      </c>
      <c r="O207" s="1505">
        <v>46004</v>
      </c>
      <c r="P207" s="1505">
        <v>46829</v>
      </c>
      <c r="Q207" s="1505">
        <v>46765</v>
      </c>
      <c r="R207" s="449" t="s">
        <v>37</v>
      </c>
      <c r="S207" s="79"/>
      <c r="T207" s="571"/>
      <c r="U207" s="281" t="s">
        <v>3545</v>
      </c>
      <c r="V207" s="79"/>
      <c r="W207" s="79"/>
      <c r="AA207" s="568"/>
      <c r="AB207" s="1416"/>
    </row>
    <row r="208" spans="1:28" ht="15.75" hidden="1">
      <c r="A208" s="1500">
        <v>64</v>
      </c>
      <c r="B208" s="1666" t="s">
        <v>3546</v>
      </c>
      <c r="C208" s="1373" t="s">
        <v>20</v>
      </c>
      <c r="D208" s="1599" t="s">
        <v>3547</v>
      </c>
      <c r="E208" s="1503" t="s">
        <v>3548</v>
      </c>
      <c r="F208" s="699" t="s">
        <v>3258</v>
      </c>
      <c r="G208" s="1504" t="s">
        <v>76</v>
      </c>
      <c r="H208" s="79"/>
      <c r="I208" s="79"/>
      <c r="J208" s="79"/>
      <c r="K208" s="274" t="s">
        <v>464</v>
      </c>
      <c r="L208" s="457" t="s">
        <v>1843</v>
      </c>
      <c r="M208" s="444">
        <v>33449</v>
      </c>
      <c r="N208" s="444">
        <v>55365</v>
      </c>
      <c r="O208" s="1505">
        <v>46764</v>
      </c>
      <c r="P208" s="1505">
        <v>46070</v>
      </c>
      <c r="Q208" s="1505">
        <v>46681</v>
      </c>
      <c r="R208" s="449" t="s">
        <v>37</v>
      </c>
      <c r="S208" s="79"/>
      <c r="T208" s="571"/>
      <c r="U208" s="281" t="s">
        <v>3549</v>
      </c>
      <c r="V208" s="79"/>
      <c r="W208" s="79"/>
      <c r="AA208" s="1506"/>
      <c r="AB208" s="1506"/>
    </row>
    <row r="209" spans="1:39" ht="15.75" hidden="1">
      <c r="A209" s="1500">
        <v>65</v>
      </c>
      <c r="B209" s="1666" t="s">
        <v>3550</v>
      </c>
      <c r="C209" s="1373" t="s">
        <v>20</v>
      </c>
      <c r="D209" s="1502" t="s">
        <v>3551</v>
      </c>
      <c r="E209" s="1503" t="s">
        <v>3552</v>
      </c>
      <c r="F209" s="699" t="s">
        <v>759</v>
      </c>
      <c r="G209" s="1504" t="s">
        <v>77</v>
      </c>
      <c r="H209" s="79"/>
      <c r="I209" s="79"/>
      <c r="J209" s="79"/>
      <c r="K209" s="274" t="s">
        <v>464</v>
      </c>
      <c r="L209" s="457" t="s">
        <v>1843</v>
      </c>
      <c r="M209" s="444">
        <v>32070</v>
      </c>
      <c r="N209" s="444">
        <v>53996</v>
      </c>
      <c r="O209" s="1505">
        <v>46760</v>
      </c>
      <c r="P209" s="1505">
        <v>46545</v>
      </c>
      <c r="Q209" s="1505">
        <v>46590</v>
      </c>
      <c r="R209" s="449" t="s">
        <v>37</v>
      </c>
      <c r="S209" s="79"/>
      <c r="T209" s="571"/>
      <c r="U209" s="281" t="s">
        <v>3553</v>
      </c>
      <c r="V209" s="79"/>
      <c r="W209" s="79"/>
      <c r="AA209" s="1506"/>
      <c r="AB209" s="1506"/>
    </row>
    <row r="210" spans="1:39" ht="15.75" hidden="1">
      <c r="A210" s="1500">
        <v>66</v>
      </c>
      <c r="B210" s="1666" t="s">
        <v>3554</v>
      </c>
      <c r="C210" s="823" t="s">
        <v>21</v>
      </c>
      <c r="D210" s="567" t="s">
        <v>3555</v>
      </c>
      <c r="E210" s="1503" t="s">
        <v>3556</v>
      </c>
      <c r="F210" s="699" t="s">
        <v>759</v>
      </c>
      <c r="G210" s="1504" t="s">
        <v>76</v>
      </c>
      <c r="H210" s="79"/>
      <c r="I210" s="79"/>
      <c r="J210" s="79"/>
      <c r="K210" s="274" t="s">
        <v>464</v>
      </c>
      <c r="L210" s="457" t="s">
        <v>2940</v>
      </c>
      <c r="M210" s="444">
        <v>33072</v>
      </c>
      <c r="N210" s="444">
        <v>55000</v>
      </c>
      <c r="O210" s="1505">
        <v>46760</v>
      </c>
      <c r="P210" s="1505">
        <v>46070</v>
      </c>
      <c r="Q210" s="1656">
        <v>45833</v>
      </c>
      <c r="R210" s="449" t="s">
        <v>37</v>
      </c>
      <c r="S210" s="79"/>
      <c r="T210" s="571"/>
      <c r="U210" s="280"/>
      <c r="V210" s="79"/>
      <c r="W210" s="79"/>
      <c r="AA210" s="568"/>
      <c r="AB210" s="1506"/>
    </row>
    <row r="211" spans="1:39" ht="15.75" hidden="1">
      <c r="A211" s="1500">
        <v>67</v>
      </c>
      <c r="B211" s="1666" t="s">
        <v>3557</v>
      </c>
      <c r="C211" s="823" t="s">
        <v>21</v>
      </c>
      <c r="D211" s="567" t="s">
        <v>3558</v>
      </c>
      <c r="E211" s="1503" t="s">
        <v>3559</v>
      </c>
      <c r="F211" s="699" t="s">
        <v>759</v>
      </c>
      <c r="G211" s="1504" t="s">
        <v>76</v>
      </c>
      <c r="H211" s="79"/>
      <c r="I211" s="79"/>
      <c r="J211" s="79"/>
      <c r="K211" s="274" t="s">
        <v>464</v>
      </c>
      <c r="L211" s="457" t="s">
        <v>1843</v>
      </c>
      <c r="M211" s="444">
        <v>28473</v>
      </c>
      <c r="N211" s="444">
        <v>50405</v>
      </c>
      <c r="O211" s="1505">
        <v>46375</v>
      </c>
      <c r="P211" s="1505">
        <v>46203</v>
      </c>
      <c r="Q211" s="1672">
        <v>46178</v>
      </c>
      <c r="R211" s="449" t="s">
        <v>37</v>
      </c>
      <c r="S211" s="79"/>
      <c r="T211" s="571"/>
      <c r="U211" s="280"/>
      <c r="V211" s="79"/>
      <c r="W211" s="79"/>
      <c r="AA211" s="568"/>
      <c r="AB211" s="1416"/>
    </row>
    <row r="212" spans="1:39" ht="15.75" hidden="1" customHeight="1">
      <c r="A212" s="944">
        <v>34</v>
      </c>
      <c r="B212" s="426" t="s">
        <v>3560</v>
      </c>
      <c r="C212" s="274" t="s">
        <v>21</v>
      </c>
      <c r="D212" s="420" t="s">
        <v>3561</v>
      </c>
      <c r="E212" s="18" t="s">
        <v>3562</v>
      </c>
      <c r="F212" s="18" t="s">
        <v>759</v>
      </c>
      <c r="G212" s="18" t="s">
        <v>77</v>
      </c>
      <c r="H212" s="275"/>
      <c r="I212" s="407">
        <v>919668425893</v>
      </c>
      <c r="J212" s="433"/>
      <c r="K212" s="391" t="s">
        <v>334</v>
      </c>
      <c r="L212" s="457" t="s">
        <v>1843</v>
      </c>
      <c r="M212" s="418">
        <v>31961</v>
      </c>
      <c r="N212" s="418">
        <v>53904</v>
      </c>
      <c r="O212" s="428">
        <v>45964</v>
      </c>
      <c r="P212" s="418">
        <v>45517</v>
      </c>
      <c r="Q212" s="418">
        <v>46060</v>
      </c>
      <c r="R212" s="449" t="s">
        <v>37</v>
      </c>
      <c r="S212" s="281" t="s">
        <v>3563</v>
      </c>
      <c r="T212" s="281" t="s">
        <v>3564</v>
      </c>
      <c r="U212" s="280"/>
      <c r="V212" s="280"/>
      <c r="W212" s="79"/>
      <c r="X212" s="208">
        <f t="shared" ref="X212:X213" ca="1" si="6">INT((TODAY()-M212)/365)</f>
        <v>38</v>
      </c>
    </row>
    <row r="213" spans="1:39" hidden="1">
      <c r="A213" s="944">
        <v>21</v>
      </c>
      <c r="B213" s="426" t="s">
        <v>3565</v>
      </c>
      <c r="C213" s="18" t="s">
        <v>21</v>
      </c>
      <c r="D213" s="427" t="s">
        <v>3566</v>
      </c>
      <c r="E213" s="681" t="s">
        <v>3567</v>
      </c>
      <c r="F213" s="137" t="s">
        <v>759</v>
      </c>
      <c r="G213" s="18" t="s">
        <v>77</v>
      </c>
      <c r="H213" s="275"/>
      <c r="I213" s="18">
        <v>7980067598</v>
      </c>
      <c r="J213" s="3"/>
      <c r="K213" s="391" t="s">
        <v>334</v>
      </c>
      <c r="L213" s="274" t="s">
        <v>58</v>
      </c>
      <c r="M213" s="418">
        <v>29660</v>
      </c>
      <c r="N213" s="418">
        <v>51591</v>
      </c>
      <c r="O213" s="428">
        <v>45964</v>
      </c>
      <c r="P213" s="418">
        <v>45199</v>
      </c>
      <c r="Q213" s="418">
        <v>45745</v>
      </c>
      <c r="R213" s="449" t="s">
        <v>37</v>
      </c>
      <c r="S213" s="429" t="s">
        <v>3568</v>
      </c>
      <c r="T213" s="429" t="s">
        <v>3569</v>
      </c>
      <c r="U213" s="280"/>
      <c r="V213" s="430"/>
      <c r="X213" s="208">
        <f t="shared" ca="1" si="6"/>
        <v>45</v>
      </c>
    </row>
    <row r="214" spans="1:39" ht="15.75" hidden="1" customHeight="1">
      <c r="A214" s="944">
        <v>49</v>
      </c>
      <c r="B214" s="286" t="s">
        <v>3570</v>
      </c>
      <c r="C214" s="1121" t="s">
        <v>21</v>
      </c>
      <c r="D214" s="427" t="s">
        <v>3571</v>
      </c>
      <c r="E214" s="1136" t="s">
        <v>3572</v>
      </c>
      <c r="F214" s="674" t="s">
        <v>759</v>
      </c>
      <c r="G214" s="18" t="s">
        <v>76</v>
      </c>
      <c r="H214" s="275"/>
      <c r="I214" s="432">
        <v>9734583165</v>
      </c>
      <c r="J214" s="18">
        <v>9734583165</v>
      </c>
      <c r="K214" s="275" t="s">
        <v>330</v>
      </c>
      <c r="L214" s="125" t="s">
        <v>69</v>
      </c>
      <c r="M214" s="272">
        <v>34507</v>
      </c>
      <c r="N214" s="272">
        <v>56430</v>
      </c>
      <c r="O214" s="428">
        <v>45518</v>
      </c>
      <c r="P214" s="418">
        <v>45145</v>
      </c>
      <c r="Q214" s="418">
        <v>46032</v>
      </c>
      <c r="R214" s="449" t="s">
        <v>313</v>
      </c>
      <c r="S214" s="281" t="s">
        <v>3573</v>
      </c>
      <c r="T214" s="281" t="s">
        <v>3574</v>
      </c>
      <c r="U214" s="280"/>
      <c r="V214" s="280"/>
      <c r="W214" s="282">
        <f t="shared" ref="W214:W215" ca="1" si="7">INT((TODAY()-M214)/365)</f>
        <v>31</v>
      </c>
      <c r="X214" s="79"/>
      <c r="Y214" s="79"/>
      <c r="Z214" s="79"/>
      <c r="AA214" s="79"/>
    </row>
    <row r="215" spans="1:39" ht="15.75" hidden="1" customHeight="1">
      <c r="A215" s="944">
        <v>39</v>
      </c>
      <c r="B215" s="426" t="s">
        <v>3575</v>
      </c>
      <c r="C215" s="539" t="s">
        <v>21</v>
      </c>
      <c r="D215" s="427" t="s">
        <v>3576</v>
      </c>
      <c r="E215" s="681" t="s">
        <v>3577</v>
      </c>
      <c r="F215" s="970" t="s">
        <v>759</v>
      </c>
      <c r="G215" s="18" t="s">
        <v>76</v>
      </c>
      <c r="H215" s="275"/>
      <c r="I215" s="432">
        <v>7980550419</v>
      </c>
      <c r="J215" s="3"/>
      <c r="K215" s="275" t="s">
        <v>315</v>
      </c>
      <c r="L215" s="18" t="s">
        <v>69</v>
      </c>
      <c r="M215" s="418">
        <v>32086</v>
      </c>
      <c r="N215" s="418">
        <v>54026</v>
      </c>
      <c r="O215" s="428">
        <v>45936</v>
      </c>
      <c r="P215" s="418">
        <v>46106</v>
      </c>
      <c r="Q215" s="418">
        <v>46063</v>
      </c>
      <c r="R215" s="449" t="s">
        <v>313</v>
      </c>
      <c r="S215" s="281" t="s">
        <v>3578</v>
      </c>
      <c r="T215" s="281" t="s">
        <v>3579</v>
      </c>
      <c r="U215" s="280"/>
      <c r="V215" s="280"/>
      <c r="W215" s="282">
        <f t="shared" ca="1" si="7"/>
        <v>38</v>
      </c>
      <c r="X215" s="79"/>
      <c r="Y215" s="79"/>
      <c r="Z215" s="79"/>
      <c r="AA215" s="79"/>
      <c r="AB215" s="79"/>
      <c r="AC215" s="382"/>
      <c r="AD215" s="382"/>
      <c r="AE215" s="382"/>
      <c r="AF215" s="382"/>
      <c r="AG215" s="382"/>
      <c r="AH215" s="382"/>
      <c r="AI215" s="311"/>
      <c r="AJ215" s="311"/>
      <c r="AK215" s="311"/>
      <c r="AL215" s="311"/>
      <c r="AM215" s="311"/>
    </row>
    <row r="216" spans="1:39" ht="15.75" hidden="1" customHeight="1">
      <c r="A216" s="1006">
        <v>38</v>
      </c>
      <c r="B216" s="426" t="s">
        <v>3580</v>
      </c>
      <c r="C216" s="275" t="s">
        <v>21</v>
      </c>
      <c r="D216" s="427" t="s">
        <v>3581</v>
      </c>
      <c r="E216" s="18" t="s">
        <v>3582</v>
      </c>
      <c r="F216" s="1007" t="s">
        <v>759</v>
      </c>
      <c r="G216" s="18" t="s">
        <v>76</v>
      </c>
      <c r="H216" s="275"/>
      <c r="I216" s="1643">
        <v>9163382273</v>
      </c>
      <c r="J216" s="433"/>
      <c r="K216" s="275" t="s">
        <v>290</v>
      </c>
      <c r="L216" s="303" t="s">
        <v>60</v>
      </c>
      <c r="M216" s="418">
        <v>33239</v>
      </c>
      <c r="N216" s="418">
        <v>55153</v>
      </c>
      <c r="O216" s="428">
        <v>45353</v>
      </c>
      <c r="P216" s="418">
        <v>45905</v>
      </c>
      <c r="Q216" s="418">
        <v>45916</v>
      </c>
      <c r="R216" s="449" t="s">
        <v>313</v>
      </c>
      <c r="S216" s="429" t="s">
        <v>3583</v>
      </c>
      <c r="T216" s="281" t="s">
        <v>3584</v>
      </c>
      <c r="U216" s="280"/>
      <c r="V216" s="79"/>
      <c r="X216" s="1220">
        <f ca="1">INT((TODAY()-M216)/365)</f>
        <v>35</v>
      </c>
      <c r="Y216" s="311"/>
      <c r="Z216" s="311"/>
      <c r="AA216" s="311"/>
      <c r="AB216" s="311"/>
      <c r="AC216" s="311"/>
      <c r="AD216" s="311"/>
      <c r="AE216" s="311"/>
      <c r="AF216" s="311"/>
      <c r="AG216" s="311"/>
      <c r="AH216" s="311"/>
      <c r="AI216" s="311"/>
      <c r="AJ216" s="311"/>
      <c r="AK216" s="311"/>
      <c r="AL216" s="311"/>
      <c r="AM216" s="311"/>
    </row>
    <row r="217" spans="1:39" ht="15.75" hidden="1" customHeight="1">
      <c r="A217" s="974"/>
      <c r="B217" s="1145" t="s">
        <v>3585</v>
      </c>
      <c r="C217" s="1121" t="s">
        <v>21</v>
      </c>
      <c r="D217" s="1460" t="s">
        <v>3586</v>
      </c>
      <c r="E217" s="1064" t="s">
        <v>3587</v>
      </c>
      <c r="F217" s="946" t="s">
        <v>759</v>
      </c>
      <c r="G217" s="870" t="s">
        <v>78</v>
      </c>
      <c r="H217" s="499"/>
      <c r="I217" s="303">
        <v>9204578043</v>
      </c>
      <c r="J217" s="307"/>
      <c r="K217" s="274" t="s">
        <v>253</v>
      </c>
      <c r="L217" s="274" t="s">
        <v>54</v>
      </c>
      <c r="M217" s="511">
        <v>33587</v>
      </c>
      <c r="N217" s="272">
        <f>EOMONTH(M217,(12*60))</f>
        <v>55518</v>
      </c>
      <c r="O217" s="511"/>
      <c r="P217" s="511"/>
      <c r="Q217" s="498"/>
      <c r="R217" s="449" t="s">
        <v>313</v>
      </c>
      <c r="S217" s="516" t="s">
        <v>3588</v>
      </c>
      <c r="T217" s="516" t="s">
        <v>3589</v>
      </c>
      <c r="U217" s="441"/>
      <c r="V217" s="425"/>
      <c r="W217" s="1673"/>
      <c r="X217" s="90"/>
      <c r="Y217" s="90"/>
      <c r="Z217" s="197"/>
      <c r="AB217" s="311"/>
    </row>
    <row r="218" spans="1:39" ht="15.75" hidden="1" customHeight="1">
      <c r="A218" s="944">
        <v>52</v>
      </c>
      <c r="B218" s="426" t="s">
        <v>3590</v>
      </c>
      <c r="C218" s="274" t="s">
        <v>21</v>
      </c>
      <c r="D218" s="1570" t="s">
        <v>3591</v>
      </c>
      <c r="E218" s="137" t="s">
        <v>3592</v>
      </c>
      <c r="F218" s="946" t="s">
        <v>759</v>
      </c>
      <c r="G218" s="18" t="s">
        <v>76</v>
      </c>
      <c r="H218" s="275"/>
      <c r="I218" s="1674">
        <v>917978618869</v>
      </c>
      <c r="J218" s="3"/>
      <c r="K218" s="391" t="s">
        <v>334</v>
      </c>
      <c r="L218" s="18" t="s">
        <v>59</v>
      </c>
      <c r="M218" s="418">
        <v>29804</v>
      </c>
      <c r="N218" s="440">
        <v>51744</v>
      </c>
      <c r="O218" s="418">
        <v>46059</v>
      </c>
      <c r="P218" s="428">
        <v>45517</v>
      </c>
      <c r="Q218" s="418">
        <v>45693</v>
      </c>
      <c r="R218" s="449" t="s">
        <v>313</v>
      </c>
      <c r="S218" s="280"/>
      <c r="T218" s="1363" t="s">
        <v>3593</v>
      </c>
      <c r="U218" s="281" t="s">
        <v>3594</v>
      </c>
      <c r="V218" s="382">
        <f>LEN(D218)</f>
        <v>11</v>
      </c>
      <c r="W218" s="79"/>
      <c r="X218" s="79"/>
      <c r="Y218" s="79"/>
      <c r="Z218" s="79"/>
      <c r="AA218" s="79"/>
      <c r="AB218" s="311">
        <f t="shared" ref="AB218:AB219" ca="1" si="8">INT((TODAY()-M218)/365)</f>
        <v>44</v>
      </c>
    </row>
    <row r="219" spans="1:39" ht="15.75" hidden="1" customHeight="1">
      <c r="A219" s="944">
        <v>38</v>
      </c>
      <c r="B219" s="426" t="s">
        <v>3595</v>
      </c>
      <c r="C219" s="275" t="s">
        <v>21</v>
      </c>
      <c r="D219" s="427" t="s">
        <v>3596</v>
      </c>
      <c r="E219" s="620" t="s">
        <v>3597</v>
      </c>
      <c r="F219" s="946" t="s">
        <v>759</v>
      </c>
      <c r="G219" s="18" t="s">
        <v>76</v>
      </c>
      <c r="H219" s="275"/>
      <c r="I219" s="475">
        <v>8319314161</v>
      </c>
      <c r="J219" s="3"/>
      <c r="K219" s="275" t="s">
        <v>290</v>
      </c>
      <c r="L219" s="39" t="s">
        <v>54</v>
      </c>
      <c r="M219" s="418">
        <v>29922</v>
      </c>
      <c r="N219" s="418">
        <v>51866</v>
      </c>
      <c r="O219" s="428">
        <v>46358</v>
      </c>
      <c r="P219" s="981">
        <v>45503</v>
      </c>
      <c r="Q219" s="418">
        <v>45776</v>
      </c>
      <c r="R219" s="449" t="s">
        <v>313</v>
      </c>
      <c r="S219" s="280"/>
      <c r="T219" s="1363" t="s">
        <v>3598</v>
      </c>
      <c r="U219" s="281" t="s">
        <v>3599</v>
      </c>
      <c r="V219" s="285"/>
      <c r="W219" s="79"/>
      <c r="AB219" s="311">
        <f t="shared" ca="1" si="8"/>
        <v>44</v>
      </c>
      <c r="AC219" s="311"/>
      <c r="AD219" s="311"/>
      <c r="AE219" s="311"/>
      <c r="AF219" s="311"/>
      <c r="AG219" s="311"/>
      <c r="AH219" s="311"/>
      <c r="AI219" s="311"/>
      <c r="AJ219" s="311"/>
      <c r="AK219" s="311"/>
      <c r="AL219" s="311"/>
      <c r="AM219" s="311"/>
    </row>
    <row r="220" spans="1:39" ht="15.75" hidden="1" customHeight="1">
      <c r="A220" s="944">
        <v>3</v>
      </c>
      <c r="B220" s="426" t="s">
        <v>3600</v>
      </c>
      <c r="C220" s="1121" t="s">
        <v>21</v>
      </c>
      <c r="D220" s="420" t="s">
        <v>3601</v>
      </c>
      <c r="E220" s="18" t="s">
        <v>3602</v>
      </c>
      <c r="F220" s="18" t="s">
        <v>759</v>
      </c>
      <c r="G220" s="18" t="s">
        <v>76</v>
      </c>
      <c r="H220" s="275"/>
      <c r="I220" s="475">
        <v>919732542308</v>
      </c>
      <c r="J220" s="433"/>
      <c r="K220" s="275" t="s">
        <v>330</v>
      </c>
      <c r="L220" s="274" t="s">
        <v>69</v>
      </c>
      <c r="M220" s="418">
        <v>31432</v>
      </c>
      <c r="N220" s="418">
        <v>53358</v>
      </c>
      <c r="O220" s="428">
        <v>45959</v>
      </c>
      <c r="P220" s="272">
        <v>45653</v>
      </c>
      <c r="Q220" s="418">
        <v>46060</v>
      </c>
      <c r="R220" s="449" t="s">
        <v>313</v>
      </c>
      <c r="S220" s="281" t="s">
        <v>3603</v>
      </c>
      <c r="T220" s="281" t="s">
        <v>3604</v>
      </c>
      <c r="U220" s="280"/>
      <c r="V220" s="280"/>
      <c r="W220" s="79"/>
      <c r="X220" s="282">
        <f ca="1">INT((TODAY()-M220)/365)</f>
        <v>40</v>
      </c>
      <c r="Y220" s="79"/>
      <c r="Z220" s="79"/>
    </row>
    <row r="221" spans="1:39" ht="15.75" hidden="1" customHeight="1">
      <c r="A221" s="944">
        <v>84</v>
      </c>
      <c r="B221" s="426" t="s">
        <v>610</v>
      </c>
      <c r="C221" s="274" t="s">
        <v>21</v>
      </c>
      <c r="D221" s="420" t="s">
        <v>3605</v>
      </c>
      <c r="E221" s="681" t="s">
        <v>3606</v>
      </c>
      <c r="F221" s="674" t="s">
        <v>759</v>
      </c>
      <c r="G221" s="18" t="s">
        <v>76</v>
      </c>
      <c r="H221" s="275"/>
      <c r="I221" s="558">
        <v>9147917998</v>
      </c>
      <c r="J221" s="3"/>
      <c r="K221" s="391" t="s">
        <v>334</v>
      </c>
      <c r="L221" s="398" t="s">
        <v>44</v>
      </c>
      <c r="M221" s="418">
        <v>32161</v>
      </c>
      <c r="N221" s="418">
        <v>54088</v>
      </c>
      <c r="O221" s="428">
        <v>45997</v>
      </c>
      <c r="P221" s="272">
        <v>45653</v>
      </c>
      <c r="Q221" s="981">
        <v>46117</v>
      </c>
      <c r="R221" s="449" t="s">
        <v>313</v>
      </c>
      <c r="S221" s="429" t="s">
        <v>3607</v>
      </c>
      <c r="T221" s="429" t="s">
        <v>3608</v>
      </c>
      <c r="U221" s="430"/>
      <c r="V221" s="430"/>
      <c r="W221" s="208">
        <f ca="1">INT((TODAY()-M221)/365)</f>
        <v>38</v>
      </c>
      <c r="Y221" s="90"/>
      <c r="AB221" s="311"/>
    </row>
    <row r="222" spans="1:39" ht="15.75" hidden="1" customHeight="1">
      <c r="A222" s="1006">
        <v>9</v>
      </c>
      <c r="B222" s="426" t="s">
        <v>3609</v>
      </c>
      <c r="C222" s="275" t="s">
        <v>21</v>
      </c>
      <c r="D222" s="427" t="s">
        <v>3610</v>
      </c>
      <c r="E222" s="18" t="s">
        <v>3611</v>
      </c>
      <c r="F222" s="18" t="s">
        <v>759</v>
      </c>
      <c r="G222" s="18" t="s">
        <v>76</v>
      </c>
      <c r="H222" s="275"/>
      <c r="I222" s="461">
        <v>9147918113</v>
      </c>
      <c r="J222" s="433"/>
      <c r="K222" s="275" t="s">
        <v>290</v>
      </c>
      <c r="L222" s="274" t="s">
        <v>54</v>
      </c>
      <c r="M222" s="418">
        <v>33595</v>
      </c>
      <c r="N222" s="418">
        <v>55510</v>
      </c>
      <c r="O222" s="428">
        <v>45109</v>
      </c>
      <c r="P222" s="418">
        <v>45486</v>
      </c>
      <c r="Q222" s="418">
        <v>45412</v>
      </c>
      <c r="R222" s="449" t="s">
        <v>313</v>
      </c>
      <c r="S222" s="429" t="s">
        <v>3612</v>
      </c>
      <c r="T222" s="429" t="s">
        <v>3613</v>
      </c>
      <c r="U222" s="430"/>
      <c r="V222" s="430"/>
      <c r="X222" s="1220">
        <f ca="1">INT((TODAY()-M222)/365)</f>
        <v>34</v>
      </c>
    </row>
    <row r="223" spans="1:39" ht="15.75" hidden="1" customHeight="1">
      <c r="A223" s="944">
        <v>64</v>
      </c>
      <c r="B223" s="426" t="s">
        <v>3614</v>
      </c>
      <c r="C223" s="1121" t="s">
        <v>21</v>
      </c>
      <c r="D223" s="427" t="s">
        <v>3615</v>
      </c>
      <c r="E223" s="1136" t="s">
        <v>3616</v>
      </c>
      <c r="F223" s="674" t="s">
        <v>759</v>
      </c>
      <c r="G223" s="18" t="s">
        <v>76</v>
      </c>
      <c r="H223" s="275"/>
      <c r="I223" s="475">
        <v>919564607656</v>
      </c>
      <c r="J223" s="3"/>
      <c r="K223" s="274" t="s">
        <v>253</v>
      </c>
      <c r="L223" s="274" t="s">
        <v>61</v>
      </c>
      <c r="M223" s="418">
        <v>31936</v>
      </c>
      <c r="N223" s="418">
        <v>53873</v>
      </c>
      <c r="O223" s="428">
        <v>45938</v>
      </c>
      <c r="P223" s="418">
        <v>45996</v>
      </c>
      <c r="Q223" s="418">
        <v>46032</v>
      </c>
      <c r="R223" s="449" t="s">
        <v>313</v>
      </c>
      <c r="S223" s="281" t="s">
        <v>3617</v>
      </c>
      <c r="T223" s="281" t="s">
        <v>3618</v>
      </c>
      <c r="U223" s="280"/>
      <c r="V223" s="280"/>
      <c r="W223" s="282">
        <f t="shared" ref="W223:W224" ca="1" si="9">INT((TODAY()-M223)/365)</f>
        <v>38</v>
      </c>
      <c r="X223" s="79"/>
      <c r="Y223" s="395"/>
      <c r="Z223" s="79"/>
      <c r="AA223" s="383"/>
      <c r="AB223" s="208"/>
      <c r="AC223" s="384"/>
      <c r="AD223" s="384"/>
      <c r="AE223" s="384"/>
      <c r="AF223" s="384"/>
      <c r="AG223" s="384"/>
      <c r="AH223" s="384"/>
      <c r="AI223" s="384"/>
      <c r="AJ223" s="384"/>
      <c r="AK223" s="384"/>
      <c r="AL223" s="384"/>
      <c r="AM223" s="384"/>
    </row>
    <row r="224" spans="1:39" ht="15.75" hidden="1" customHeight="1">
      <c r="A224" s="944">
        <v>42</v>
      </c>
      <c r="B224" s="426" t="s">
        <v>3619</v>
      </c>
      <c r="C224" s="580" t="s">
        <v>21</v>
      </c>
      <c r="D224" s="580" t="s">
        <v>3620</v>
      </c>
      <c r="E224" s="1062" t="s">
        <v>3621</v>
      </c>
      <c r="F224" s="970" t="s">
        <v>759</v>
      </c>
      <c r="G224" s="18" t="s">
        <v>76</v>
      </c>
      <c r="H224" s="275"/>
      <c r="I224" s="475">
        <v>919800112114</v>
      </c>
      <c r="J224" s="3"/>
      <c r="K224" s="391" t="s">
        <v>334</v>
      </c>
      <c r="L224" s="398" t="s">
        <v>60</v>
      </c>
      <c r="M224" s="418">
        <v>29742</v>
      </c>
      <c r="N224" s="418">
        <v>51682</v>
      </c>
      <c r="O224" s="428">
        <v>46178</v>
      </c>
      <c r="P224" s="418">
        <v>46074</v>
      </c>
      <c r="Q224" s="418">
        <v>45421</v>
      </c>
      <c r="R224" s="449" t="s">
        <v>313</v>
      </c>
      <c r="S224" s="281" t="s">
        <v>3622</v>
      </c>
      <c r="T224" s="281" t="s">
        <v>3623</v>
      </c>
      <c r="U224" s="280"/>
      <c r="V224" s="280"/>
      <c r="W224" s="282">
        <f t="shared" ca="1" si="9"/>
        <v>44</v>
      </c>
      <c r="X224" s="79"/>
      <c r="Y224" s="395"/>
      <c r="Z224" s="79"/>
      <c r="AA224" s="383"/>
      <c r="AB224" s="208"/>
      <c r="AC224" s="384"/>
      <c r="AD224" s="384"/>
      <c r="AE224" s="384"/>
      <c r="AF224" s="384"/>
      <c r="AG224" s="384"/>
      <c r="AH224" s="384"/>
      <c r="AI224" s="384"/>
      <c r="AJ224" s="384"/>
      <c r="AK224" s="384"/>
      <c r="AL224" s="384"/>
      <c r="AM224" s="384"/>
    </row>
    <row r="225" spans="1:39" ht="15.75" hidden="1" customHeight="1">
      <c r="A225" s="944"/>
      <c r="B225" s="426" t="s">
        <v>3624</v>
      </c>
      <c r="C225" s="580" t="s">
        <v>21</v>
      </c>
      <c r="D225" s="580" t="s">
        <v>3625</v>
      </c>
      <c r="E225" s="595" t="s">
        <v>3626</v>
      </c>
      <c r="F225" s="674"/>
      <c r="G225" s="18"/>
      <c r="H225" s="275"/>
      <c r="I225" s="1644"/>
      <c r="J225" s="433"/>
      <c r="K225" s="391" t="s">
        <v>334</v>
      </c>
      <c r="L225" s="303" t="s">
        <v>58</v>
      </c>
      <c r="M225" s="444">
        <v>28494</v>
      </c>
      <c r="N225" s="444">
        <v>50436</v>
      </c>
      <c r="O225" s="1614"/>
      <c r="P225" s="272"/>
      <c r="Q225" s="418"/>
      <c r="R225" s="449" t="s">
        <v>313</v>
      </c>
      <c r="S225" s="280"/>
      <c r="T225" s="638" t="s">
        <v>3627</v>
      </c>
      <c r="U225" s="280"/>
      <c r="V225" s="280"/>
      <c r="W225" s="282"/>
      <c r="X225" s="79"/>
      <c r="Y225" s="79"/>
      <c r="Z225" s="79"/>
      <c r="AA225" s="79"/>
    </row>
    <row r="226" spans="1:39" ht="15.75" hidden="1" customHeight="1">
      <c r="A226" s="1006">
        <v>22</v>
      </c>
      <c r="B226" s="426" t="s">
        <v>3628</v>
      </c>
      <c r="C226" s="18" t="s">
        <v>21</v>
      </c>
      <c r="D226" s="427" t="s">
        <v>3629</v>
      </c>
      <c r="E226" s="681" t="s">
        <v>3630</v>
      </c>
      <c r="F226" s="674" t="s">
        <v>759</v>
      </c>
      <c r="G226" s="18" t="s">
        <v>77</v>
      </c>
      <c r="H226" s="275"/>
      <c r="I226" s="461">
        <v>9147918094</v>
      </c>
      <c r="J226" s="433"/>
      <c r="K226" s="274" t="s">
        <v>464</v>
      </c>
      <c r="L226" s="274" t="s">
        <v>52</v>
      </c>
      <c r="M226" s="418">
        <v>32947</v>
      </c>
      <c r="N226" s="418">
        <v>54878</v>
      </c>
      <c r="O226" s="428">
        <v>45715</v>
      </c>
      <c r="P226" s="418">
        <v>45517</v>
      </c>
      <c r="Q226" s="418">
        <v>45745</v>
      </c>
      <c r="R226" s="449" t="s">
        <v>313</v>
      </c>
      <c r="S226" s="429" t="s">
        <v>3631</v>
      </c>
      <c r="T226" s="281" t="s">
        <v>3632</v>
      </c>
      <c r="U226" s="280"/>
      <c r="V226" s="280"/>
      <c r="W226" s="208">
        <f t="shared" ref="W226:W231" ca="1" si="10">INT((TODAY()-M226)/365)</f>
        <v>36</v>
      </c>
      <c r="X226" s="90"/>
    </row>
    <row r="227" spans="1:39" ht="15.75" hidden="1">
      <c r="A227" s="944">
        <v>7</v>
      </c>
      <c r="B227" s="426" t="s">
        <v>3633</v>
      </c>
      <c r="C227" s="1121" t="s">
        <v>21</v>
      </c>
      <c r="D227" s="427" t="s">
        <v>3634</v>
      </c>
      <c r="E227" s="1062" t="s">
        <v>3635</v>
      </c>
      <c r="F227" s="674" t="s">
        <v>759</v>
      </c>
      <c r="G227" s="18" t="s">
        <v>76</v>
      </c>
      <c r="H227" s="275"/>
      <c r="I227" s="475">
        <v>918851116300</v>
      </c>
      <c r="J227" s="3"/>
      <c r="K227" s="274" t="s">
        <v>253</v>
      </c>
      <c r="L227" s="445" t="s">
        <v>56</v>
      </c>
      <c r="M227" s="418">
        <v>29903</v>
      </c>
      <c r="N227" s="418">
        <v>51835</v>
      </c>
      <c r="O227" s="428">
        <v>45435</v>
      </c>
      <c r="P227" s="418">
        <v>45738</v>
      </c>
      <c r="Q227" s="418">
        <v>45353</v>
      </c>
      <c r="R227" s="449" t="s">
        <v>313</v>
      </c>
      <c r="S227" s="281" t="s">
        <v>3636</v>
      </c>
      <c r="T227" s="281" t="s">
        <v>3637</v>
      </c>
      <c r="U227" s="281" t="s">
        <v>3638</v>
      </c>
      <c r="V227" s="280"/>
      <c r="W227" s="282">
        <f t="shared" ca="1" si="10"/>
        <v>44</v>
      </c>
      <c r="X227" s="79"/>
      <c r="Y227" s="79"/>
      <c r="Z227" s="79"/>
      <c r="AA227" s="79"/>
      <c r="AD227" s="311"/>
      <c r="AE227" s="311"/>
      <c r="AF227" s="311"/>
      <c r="AG227" s="311"/>
      <c r="AH227" s="311"/>
      <c r="AI227" s="311"/>
      <c r="AJ227" s="311"/>
      <c r="AK227" s="311"/>
      <c r="AL227" s="311"/>
      <c r="AM227" s="311"/>
    </row>
    <row r="228" spans="1:39" ht="15.75" hidden="1" customHeight="1">
      <c r="A228" s="944">
        <v>18</v>
      </c>
      <c r="B228" s="426" t="s">
        <v>3639</v>
      </c>
      <c r="C228" s="1121" t="s">
        <v>21</v>
      </c>
      <c r="D228" s="427" t="s">
        <v>3640</v>
      </c>
      <c r="E228" s="681" t="s">
        <v>3641</v>
      </c>
      <c r="F228" s="674" t="s">
        <v>759</v>
      </c>
      <c r="G228" s="18" t="s">
        <v>76</v>
      </c>
      <c r="H228" s="275"/>
      <c r="I228" s="475">
        <v>919830943337</v>
      </c>
      <c r="J228" s="3"/>
      <c r="K228" s="274" t="s">
        <v>261</v>
      </c>
      <c r="L228" s="18" t="s">
        <v>299</v>
      </c>
      <c r="M228" s="418">
        <v>32454</v>
      </c>
      <c r="N228" s="418">
        <v>54392</v>
      </c>
      <c r="O228" s="428">
        <v>45921</v>
      </c>
      <c r="P228" s="981">
        <v>45149</v>
      </c>
      <c r="Q228" s="418">
        <v>45149</v>
      </c>
      <c r="R228" s="449" t="s">
        <v>313</v>
      </c>
      <c r="S228" s="281" t="s">
        <v>3642</v>
      </c>
      <c r="T228" s="281" t="s">
        <v>3643</v>
      </c>
      <c r="U228" s="280"/>
      <c r="V228" s="280"/>
      <c r="W228" s="282">
        <f t="shared" ca="1" si="10"/>
        <v>37</v>
      </c>
      <c r="Y228" s="90"/>
      <c r="AB228" s="311"/>
    </row>
    <row r="229" spans="1:39" ht="15.75" hidden="1" customHeight="1">
      <c r="A229" s="944">
        <v>5</v>
      </c>
      <c r="B229" s="426" t="s">
        <v>3644</v>
      </c>
      <c r="C229" s="1121" t="s">
        <v>21</v>
      </c>
      <c r="D229" s="427" t="s">
        <v>3645</v>
      </c>
      <c r="E229" s="681" t="s">
        <v>3646</v>
      </c>
      <c r="F229" s="674" t="s">
        <v>759</v>
      </c>
      <c r="G229" s="18" t="s">
        <v>76</v>
      </c>
      <c r="H229" s="275"/>
      <c r="I229" s="475">
        <v>917003292461</v>
      </c>
      <c r="J229" s="90"/>
      <c r="K229" s="274" t="s">
        <v>261</v>
      </c>
      <c r="L229" s="274" t="s">
        <v>50</v>
      </c>
      <c r="M229" s="418">
        <v>33180</v>
      </c>
      <c r="N229" s="418">
        <v>55122</v>
      </c>
      <c r="O229" s="428">
        <v>45437</v>
      </c>
      <c r="P229" s="418">
        <v>46106</v>
      </c>
      <c r="Q229" s="1675">
        <v>45916</v>
      </c>
      <c r="R229" s="449" t="s">
        <v>313</v>
      </c>
      <c r="S229" s="429" t="s">
        <v>3647</v>
      </c>
      <c r="T229" s="281" t="s">
        <v>3648</v>
      </c>
      <c r="U229" s="280"/>
      <c r="V229" s="280"/>
      <c r="W229" s="282">
        <f t="shared" ca="1" si="10"/>
        <v>35</v>
      </c>
      <c r="X229" s="79"/>
      <c r="Y229" s="79"/>
    </row>
    <row r="230" spans="1:39" ht="15.75" hidden="1" customHeight="1">
      <c r="A230" s="944">
        <v>20</v>
      </c>
      <c r="B230" s="426" t="s">
        <v>3649</v>
      </c>
      <c r="C230" s="1121" t="s">
        <v>21</v>
      </c>
      <c r="D230" s="1570" t="s">
        <v>3650</v>
      </c>
      <c r="E230" s="1136" t="s">
        <v>3651</v>
      </c>
      <c r="F230" s="943" t="s">
        <v>759</v>
      </c>
      <c r="G230" s="18" t="s">
        <v>76</v>
      </c>
      <c r="H230" s="275"/>
      <c r="I230" s="18">
        <v>9002620509</v>
      </c>
      <c r="J230" s="3"/>
      <c r="K230" s="274" t="s">
        <v>253</v>
      </c>
      <c r="L230" s="303" t="s">
        <v>664</v>
      </c>
      <c r="M230" s="418">
        <v>32685</v>
      </c>
      <c r="N230" s="418">
        <v>54604</v>
      </c>
      <c r="O230" s="428">
        <v>45936</v>
      </c>
      <c r="P230" s="418">
        <v>45124</v>
      </c>
      <c r="Q230" s="418">
        <v>46007</v>
      </c>
      <c r="R230" s="449" t="s">
        <v>313</v>
      </c>
      <c r="S230" s="281" t="s">
        <v>3652</v>
      </c>
      <c r="T230" s="281" t="s">
        <v>3653</v>
      </c>
      <c r="U230" s="280"/>
      <c r="V230" s="280"/>
      <c r="W230" s="208">
        <f t="shared" ca="1" si="10"/>
        <v>36</v>
      </c>
      <c r="X230" s="79"/>
      <c r="Y230" s="79"/>
      <c r="Z230" s="79"/>
      <c r="AA230" s="79"/>
    </row>
    <row r="231" spans="1:39" ht="15.75" hidden="1" customHeight="1">
      <c r="A231" s="944">
        <v>78</v>
      </c>
      <c r="B231" s="426" t="s">
        <v>3654</v>
      </c>
      <c r="C231" s="1121" t="s">
        <v>21</v>
      </c>
      <c r="D231" s="420" t="s">
        <v>3655</v>
      </c>
      <c r="E231" s="681" t="s">
        <v>3656</v>
      </c>
      <c r="F231" s="674" t="s">
        <v>759</v>
      </c>
      <c r="G231" s="18" t="s">
        <v>76</v>
      </c>
      <c r="H231" s="275"/>
      <c r="I231" s="1122">
        <v>9330698165</v>
      </c>
      <c r="J231" s="3"/>
      <c r="K231" s="275" t="s">
        <v>330</v>
      </c>
      <c r="L231" s="398" t="s">
        <v>57</v>
      </c>
      <c r="M231" s="418">
        <v>32052</v>
      </c>
      <c r="N231" s="418">
        <v>53996</v>
      </c>
      <c r="O231" s="428">
        <v>45958</v>
      </c>
      <c r="P231" s="418">
        <v>45709</v>
      </c>
      <c r="Q231" s="418">
        <v>45913</v>
      </c>
      <c r="R231" s="449" t="s">
        <v>313</v>
      </c>
      <c r="S231" s="281" t="s">
        <v>3657</v>
      </c>
      <c r="T231" s="281" t="s">
        <v>3658</v>
      </c>
      <c r="U231" s="280"/>
      <c r="V231" s="280"/>
      <c r="W231" s="282">
        <f t="shared" ca="1" si="10"/>
        <v>38</v>
      </c>
      <c r="X231" s="79"/>
      <c r="Y231" s="3"/>
      <c r="AB231" s="311"/>
    </row>
    <row r="232" spans="1:39" ht="15.75" hidden="1" customHeight="1">
      <c r="A232" s="944">
        <v>17</v>
      </c>
      <c r="B232" s="426" t="s">
        <v>3659</v>
      </c>
      <c r="C232" s="1121" t="s">
        <v>21</v>
      </c>
      <c r="D232" s="1570" t="s">
        <v>3660</v>
      </c>
      <c r="E232" s="1676" t="s">
        <v>3661</v>
      </c>
      <c r="F232" s="674" t="s">
        <v>759</v>
      </c>
      <c r="G232" s="18" t="s">
        <v>76</v>
      </c>
      <c r="H232" s="275"/>
      <c r="I232" s="18">
        <v>7992699812</v>
      </c>
      <c r="J232" s="433"/>
      <c r="K232" s="391" t="s">
        <v>334</v>
      </c>
      <c r="L232" s="125" t="s">
        <v>67</v>
      </c>
      <c r="M232" s="418">
        <v>31055</v>
      </c>
      <c r="N232" s="418">
        <v>52993</v>
      </c>
      <c r="O232" s="428">
        <v>45957</v>
      </c>
      <c r="P232" s="418">
        <v>45401</v>
      </c>
      <c r="Q232" s="418">
        <v>45401</v>
      </c>
      <c r="R232" s="449" t="s">
        <v>313</v>
      </c>
      <c r="S232" s="281" t="s">
        <v>3662</v>
      </c>
      <c r="T232" s="281" t="s">
        <v>3663</v>
      </c>
      <c r="U232" s="280"/>
      <c r="V232" s="280"/>
      <c r="W232" s="79"/>
      <c r="X232" s="282">
        <f ca="1">INT((TODAY()-M232)/365)</f>
        <v>41</v>
      </c>
      <c r="Y232" s="79"/>
      <c r="Z232" s="79"/>
      <c r="AA232" s="79"/>
    </row>
    <row r="233" spans="1:39" ht="15.75" hidden="1" customHeight="1">
      <c r="A233" s="944">
        <v>1</v>
      </c>
      <c r="B233" s="1677" t="s">
        <v>3664</v>
      </c>
      <c r="C233" s="1210" t="s">
        <v>22</v>
      </c>
      <c r="D233" s="427" t="s">
        <v>3665</v>
      </c>
      <c r="E233" s="681" t="s">
        <v>3666</v>
      </c>
      <c r="F233" s="674" t="s">
        <v>3258</v>
      </c>
      <c r="G233" s="18" t="s">
        <v>76</v>
      </c>
      <c r="H233" s="275"/>
      <c r="I233" s="1644">
        <v>9933320086</v>
      </c>
      <c r="J233" s="433"/>
      <c r="K233" s="274" t="s">
        <v>253</v>
      </c>
      <c r="L233" s="303" t="s">
        <v>59</v>
      </c>
      <c r="M233" s="444">
        <v>34274</v>
      </c>
      <c r="N233" s="444">
        <v>56188</v>
      </c>
      <c r="O233" s="1614"/>
      <c r="P233" s="272"/>
      <c r="Q233" s="418"/>
      <c r="R233" s="449" t="s">
        <v>313</v>
      </c>
      <c r="S233" s="280"/>
      <c r="T233" s="571"/>
      <c r="U233" s="280"/>
      <c r="V233" s="280"/>
      <c r="W233" s="282"/>
      <c r="X233" s="79"/>
      <c r="Y233" s="79"/>
      <c r="Z233" s="79"/>
      <c r="AA233" s="79"/>
      <c r="AB233" s="79"/>
    </row>
    <row r="234" spans="1:39" ht="15.75" hidden="1">
      <c r="A234" s="656">
        <v>28</v>
      </c>
      <c r="B234" s="335" t="s">
        <v>3667</v>
      </c>
      <c r="C234" s="1210" t="s">
        <v>22</v>
      </c>
      <c r="D234" s="1525" t="s">
        <v>3668</v>
      </c>
      <c r="E234" s="18" t="s">
        <v>3669</v>
      </c>
      <c r="F234" s="970" t="s">
        <v>759</v>
      </c>
      <c r="G234" s="1393" t="s">
        <v>76</v>
      </c>
      <c r="H234" s="327"/>
      <c r="I234" s="79"/>
      <c r="J234" s="79"/>
      <c r="K234" s="409" t="s">
        <v>315</v>
      </c>
      <c r="L234" s="656" t="s">
        <v>58</v>
      </c>
      <c r="M234" s="444">
        <v>31737</v>
      </c>
      <c r="N234" s="444">
        <v>53661</v>
      </c>
      <c r="O234" s="329"/>
      <c r="P234" s="330"/>
      <c r="Q234" s="331"/>
      <c r="R234" s="449" t="s">
        <v>37</v>
      </c>
      <c r="S234" s="332"/>
      <c r="T234" s="450"/>
      <c r="U234" s="332"/>
      <c r="V234" s="334"/>
      <c r="W234" s="334"/>
      <c r="X234" s="334"/>
      <c r="Y234" s="334"/>
      <c r="Z234" s="334"/>
      <c r="AA234" s="334"/>
      <c r="AB234" s="334"/>
      <c r="AC234" s="334"/>
      <c r="AD234" s="334"/>
      <c r="AE234" s="334"/>
      <c r="AF234" s="334"/>
      <c r="AG234" s="334"/>
      <c r="AH234" s="334"/>
      <c r="AI234" s="334"/>
      <c r="AJ234" s="334"/>
      <c r="AK234" s="334"/>
      <c r="AL234" s="199"/>
      <c r="AM234" s="199"/>
    </row>
    <row r="235" spans="1:39" ht="18.75" hidden="1">
      <c r="A235" s="1678"/>
      <c r="B235" s="305" t="s">
        <v>3670</v>
      </c>
      <c r="C235" s="1210" t="s">
        <v>22</v>
      </c>
      <c r="D235" s="420" t="s">
        <v>3671</v>
      </c>
      <c r="E235" s="527" t="s">
        <v>3672</v>
      </c>
      <c r="F235" s="946" t="s">
        <v>759</v>
      </c>
      <c r="G235" s="337" t="s">
        <v>76</v>
      </c>
      <c r="H235" s="307"/>
      <c r="I235" s="303">
        <v>9097446928</v>
      </c>
      <c r="J235" s="303"/>
      <c r="K235" s="275" t="s">
        <v>315</v>
      </c>
      <c r="L235" s="656" t="s">
        <v>58</v>
      </c>
      <c r="M235" s="444">
        <v>33887</v>
      </c>
      <c r="N235" s="444">
        <v>55823</v>
      </c>
      <c r="O235" s="315"/>
      <c r="P235" s="272"/>
      <c r="Q235" s="272"/>
      <c r="R235" s="449" t="s">
        <v>313</v>
      </c>
      <c r="S235" s="285"/>
      <c r="T235" s="1679"/>
      <c r="U235" s="285"/>
      <c r="V235" s="285"/>
      <c r="W235" s="3"/>
      <c r="X235" s="90"/>
      <c r="Y235" s="90"/>
      <c r="Z235" s="90"/>
      <c r="AA235" s="90"/>
      <c r="AB235" s="90"/>
      <c r="AC235" s="90"/>
      <c r="AD235" s="90"/>
      <c r="AL235" s="384"/>
      <c r="AM235" s="384"/>
    </row>
    <row r="236" spans="1:39" ht="18.75" hidden="1">
      <c r="A236" s="327"/>
      <c r="B236" s="335" t="s">
        <v>3673</v>
      </c>
      <c r="C236" s="1210" t="s">
        <v>22</v>
      </c>
      <c r="D236" s="1525" t="s">
        <v>3674</v>
      </c>
      <c r="E236" s="18" t="s">
        <v>3675</v>
      </c>
      <c r="F236" s="685" t="s">
        <v>759</v>
      </c>
      <c r="G236" s="337" t="s">
        <v>76</v>
      </c>
      <c r="H236" s="327"/>
      <c r="I236" s="656">
        <v>9851381321</v>
      </c>
      <c r="J236" s="334"/>
      <c r="K236" s="275" t="s">
        <v>315</v>
      </c>
      <c r="L236" s="656" t="s">
        <v>58</v>
      </c>
      <c r="M236" s="444">
        <v>34062</v>
      </c>
      <c r="N236" s="444">
        <v>56004</v>
      </c>
      <c r="O236" s="329"/>
      <c r="P236" s="330"/>
      <c r="Q236" s="331"/>
      <c r="R236" s="449" t="s">
        <v>313</v>
      </c>
      <c r="S236" s="333" t="s">
        <v>3676</v>
      </c>
      <c r="T236" s="450"/>
      <c r="U236" s="332"/>
      <c r="V236" s="334"/>
      <c r="W236" s="334"/>
      <c r="X236" s="334"/>
      <c r="Y236" s="334"/>
      <c r="Z236" s="334"/>
      <c r="AA236" s="334"/>
      <c r="AB236" s="334"/>
      <c r="AC236" s="334"/>
      <c r="AD236" s="334"/>
      <c r="AE236" s="334"/>
      <c r="AF236" s="334"/>
      <c r="AG236" s="334"/>
      <c r="AH236" s="334"/>
      <c r="AI236" s="334"/>
      <c r="AJ236" s="334"/>
      <c r="AK236" s="334"/>
      <c r="AL236" s="334"/>
      <c r="AM236" s="199"/>
    </row>
    <row r="237" spans="1:39" ht="14.25" hidden="1" customHeight="1">
      <c r="A237" s="79"/>
      <c r="B237" s="286" t="s">
        <v>3677</v>
      </c>
      <c r="C237" s="1210" t="s">
        <v>22</v>
      </c>
      <c r="D237" s="636" t="s">
        <v>3678</v>
      </c>
      <c r="E237" s="18" t="s">
        <v>3679</v>
      </c>
      <c r="F237" s="674" t="s">
        <v>759</v>
      </c>
      <c r="G237" s="18" t="s">
        <v>76</v>
      </c>
      <c r="H237" s="79"/>
      <c r="I237" s="18">
        <v>8276885776</v>
      </c>
      <c r="J237" s="79"/>
      <c r="K237" s="275" t="s">
        <v>315</v>
      </c>
      <c r="L237" s="656" t="s">
        <v>58</v>
      </c>
      <c r="M237" s="444">
        <v>32769</v>
      </c>
      <c r="N237" s="444">
        <v>54696</v>
      </c>
      <c r="O237" s="79"/>
      <c r="P237" s="79"/>
      <c r="Q237" s="79"/>
      <c r="R237" s="449" t="s">
        <v>37</v>
      </c>
      <c r="S237" s="638" t="s">
        <v>3680</v>
      </c>
      <c r="T237" s="571"/>
      <c r="U237" s="280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</row>
    <row r="238" spans="1:39" ht="15.75" hidden="1">
      <c r="A238" s="327"/>
      <c r="B238" s="335" t="s">
        <v>3681</v>
      </c>
      <c r="C238" s="1210" t="s">
        <v>22</v>
      </c>
      <c r="D238" s="1525" t="s">
        <v>3682</v>
      </c>
      <c r="E238" s="656" t="s">
        <v>3683</v>
      </c>
      <c r="F238" s="674" t="s">
        <v>759</v>
      </c>
      <c r="G238" s="1393" t="s">
        <v>76</v>
      </c>
      <c r="H238" s="327"/>
      <c r="I238" s="1219">
        <v>8981892987</v>
      </c>
      <c r="J238" s="334"/>
      <c r="K238" s="275" t="s">
        <v>315</v>
      </c>
      <c r="L238" s="656" t="s">
        <v>58</v>
      </c>
      <c r="M238" s="444">
        <v>33146</v>
      </c>
      <c r="N238" s="444">
        <v>55061</v>
      </c>
      <c r="O238" s="329"/>
      <c r="P238" s="330"/>
      <c r="Q238" s="331"/>
      <c r="R238" s="449" t="s">
        <v>37</v>
      </c>
      <c r="S238" s="333" t="s">
        <v>3684</v>
      </c>
      <c r="T238" s="450"/>
      <c r="U238" s="332"/>
      <c r="V238" s="334"/>
      <c r="W238" s="334"/>
      <c r="X238" s="334"/>
      <c r="Y238" s="334"/>
      <c r="Z238" s="334"/>
      <c r="AA238" s="334"/>
      <c r="AB238" s="334"/>
      <c r="AC238" s="334"/>
      <c r="AD238" s="334"/>
      <c r="AE238" s="334"/>
      <c r="AF238" s="199"/>
      <c r="AG238" s="199"/>
      <c r="AH238" s="199"/>
      <c r="AI238" s="199"/>
      <c r="AJ238" s="199"/>
      <c r="AK238" s="199"/>
      <c r="AL238" s="199"/>
      <c r="AM238" s="199"/>
    </row>
    <row r="239" spans="1:39" ht="15.75" hidden="1">
      <c r="A239" s="327"/>
      <c r="B239" s="335" t="s">
        <v>3685</v>
      </c>
      <c r="C239" s="1210" t="s">
        <v>22</v>
      </c>
      <c r="D239" s="1525" t="s">
        <v>3686</v>
      </c>
      <c r="E239" s="656" t="s">
        <v>3687</v>
      </c>
      <c r="F239" s="674" t="s">
        <v>759</v>
      </c>
      <c r="G239" s="18" t="s">
        <v>76</v>
      </c>
      <c r="H239" s="327"/>
      <c r="I239" s="1219">
        <v>8001234390</v>
      </c>
      <c r="J239" s="334"/>
      <c r="K239" s="275" t="s">
        <v>315</v>
      </c>
      <c r="L239" s="656" t="s">
        <v>59</v>
      </c>
      <c r="M239" s="444">
        <v>33486</v>
      </c>
      <c r="N239" s="444">
        <v>55426</v>
      </c>
      <c r="O239" s="329"/>
      <c r="P239" s="330"/>
      <c r="Q239" s="331"/>
      <c r="R239" s="449" t="s">
        <v>37</v>
      </c>
      <c r="S239" s="333" t="s">
        <v>3688</v>
      </c>
      <c r="T239" s="450"/>
      <c r="U239" s="332"/>
      <c r="V239" s="334"/>
      <c r="W239" s="334"/>
      <c r="X239" s="334"/>
      <c r="Y239" s="334"/>
      <c r="Z239" s="334"/>
      <c r="AA239" s="334"/>
      <c r="AB239" s="334"/>
      <c r="AC239" s="334"/>
      <c r="AD239" s="334"/>
      <c r="AE239" s="334"/>
      <c r="AF239" s="199"/>
      <c r="AG239" s="199"/>
      <c r="AH239" s="199"/>
      <c r="AI239" s="199"/>
      <c r="AJ239" s="199"/>
      <c r="AK239" s="199"/>
      <c r="AL239" s="199"/>
      <c r="AM239" s="199"/>
    </row>
    <row r="240" spans="1:39" ht="15.75" hidden="1">
      <c r="A240" s="327"/>
      <c r="B240" s="335" t="s">
        <v>3689</v>
      </c>
      <c r="C240" s="1210" t="s">
        <v>22</v>
      </c>
      <c r="D240" s="1525" t="s">
        <v>3690</v>
      </c>
      <c r="E240" s="656" t="s">
        <v>3691</v>
      </c>
      <c r="F240" s="674" t="s">
        <v>759</v>
      </c>
      <c r="G240" s="18" t="s">
        <v>76</v>
      </c>
      <c r="H240" s="327"/>
      <c r="I240" s="656">
        <v>8240926359</v>
      </c>
      <c r="J240" s="334"/>
      <c r="K240" s="275" t="s">
        <v>315</v>
      </c>
      <c r="L240" s="303" t="s">
        <v>54</v>
      </c>
      <c r="M240" s="444">
        <v>34559</v>
      </c>
      <c r="N240" s="444">
        <v>56492</v>
      </c>
      <c r="O240" s="329"/>
      <c r="P240" s="330"/>
      <c r="Q240" s="331"/>
      <c r="R240" s="449" t="s">
        <v>313</v>
      </c>
      <c r="S240" s="333" t="s">
        <v>3692</v>
      </c>
      <c r="T240" s="450"/>
      <c r="U240" s="332"/>
      <c r="V240" s="334"/>
      <c r="W240" s="334"/>
      <c r="X240" s="334"/>
      <c r="Y240" s="334"/>
      <c r="Z240" s="334"/>
      <c r="AA240" s="334"/>
      <c r="AB240" s="334"/>
      <c r="AC240" s="334"/>
      <c r="AD240" s="334"/>
      <c r="AE240" s="334"/>
      <c r="AF240" s="334"/>
      <c r="AG240" s="334"/>
      <c r="AH240" s="334"/>
      <c r="AI240" s="334"/>
      <c r="AJ240" s="334"/>
      <c r="AK240" s="334"/>
      <c r="AL240" s="334"/>
      <c r="AM240" s="199"/>
    </row>
    <row r="241" spans="1:39" ht="18.75" hidden="1">
      <c r="A241" s="1464"/>
      <c r="B241" s="442" t="s">
        <v>3693</v>
      </c>
      <c r="C241" s="822" t="s">
        <v>22</v>
      </c>
      <c r="D241" s="443"/>
      <c r="E241" s="3"/>
      <c r="F241" s="674"/>
      <c r="G241" s="337" t="s">
        <v>76</v>
      </c>
      <c r="H241" s="79"/>
      <c r="I241" s="79"/>
      <c r="J241" s="79"/>
      <c r="K241" s="275" t="s">
        <v>315</v>
      </c>
      <c r="L241" s="1680" t="s">
        <v>664</v>
      </c>
      <c r="M241" s="1529">
        <v>28126</v>
      </c>
      <c r="N241" s="444">
        <v>50040</v>
      </c>
      <c r="O241" s="446"/>
      <c r="P241" s="447"/>
      <c r="Q241" s="448"/>
      <c r="R241" s="449" t="s">
        <v>37</v>
      </c>
      <c r="S241" s="332"/>
      <c r="T241" s="450"/>
      <c r="U241" s="332"/>
      <c r="V241" s="334"/>
      <c r="W241" s="334"/>
      <c r="AA241" s="451"/>
      <c r="AD241" s="452"/>
      <c r="AJ241" s="199"/>
      <c r="AK241" s="199"/>
      <c r="AL241" s="199"/>
      <c r="AM241" s="199"/>
    </row>
    <row r="242" spans="1:39" ht="15.75" hidden="1">
      <c r="A242" s="1464">
        <v>1</v>
      </c>
      <c r="B242" s="442" t="s">
        <v>3694</v>
      </c>
      <c r="C242" s="822" t="s">
        <v>22</v>
      </c>
      <c r="D242" s="443" t="s">
        <v>3695</v>
      </c>
      <c r="E242" s="3"/>
      <c r="F242" s="674" t="s">
        <v>759</v>
      </c>
      <c r="G242" s="1486" t="s">
        <v>76</v>
      </c>
      <c r="H242" s="79"/>
      <c r="I242" s="79"/>
      <c r="J242" s="79"/>
      <c r="K242" s="275" t="s">
        <v>315</v>
      </c>
      <c r="L242" s="445" t="s">
        <v>58</v>
      </c>
      <c r="M242" s="444">
        <v>32126</v>
      </c>
      <c r="N242" s="444">
        <v>54057</v>
      </c>
      <c r="O242" s="446">
        <v>46340</v>
      </c>
      <c r="P242" s="447">
        <v>46176</v>
      </c>
      <c r="Q242" s="448">
        <v>46139</v>
      </c>
      <c r="R242" s="449" t="s">
        <v>37</v>
      </c>
      <c r="S242" s="332"/>
      <c r="T242" s="450"/>
      <c r="U242" s="332"/>
      <c r="V242" s="334"/>
      <c r="W242" s="334"/>
      <c r="AA242" s="451"/>
      <c r="AD242" s="452"/>
      <c r="AJ242" s="199"/>
      <c r="AK242" s="199"/>
      <c r="AL242" s="199"/>
      <c r="AM242" s="199"/>
    </row>
    <row r="243" spans="1:39" ht="24.75" hidden="1" customHeight="1">
      <c r="A243" s="1464">
        <v>3</v>
      </c>
      <c r="B243" s="442" t="s">
        <v>3696</v>
      </c>
      <c r="C243" s="274" t="s">
        <v>20</v>
      </c>
      <c r="D243" s="443" t="s">
        <v>3697</v>
      </c>
      <c r="E243" s="3"/>
      <c r="F243" s="674" t="s">
        <v>759</v>
      </c>
      <c r="G243" s="1486" t="s">
        <v>77</v>
      </c>
      <c r="H243" s="79"/>
      <c r="I243" s="79"/>
      <c r="J243" s="79"/>
      <c r="K243" s="275" t="s">
        <v>330</v>
      </c>
      <c r="L243" s="125" t="s">
        <v>44</v>
      </c>
      <c r="M243" s="444">
        <v>26972</v>
      </c>
      <c r="N243" s="444">
        <v>48913</v>
      </c>
      <c r="O243" s="446">
        <v>46331</v>
      </c>
      <c r="P243" s="447">
        <v>46720</v>
      </c>
      <c r="Q243" s="448">
        <v>46451</v>
      </c>
      <c r="R243" s="449" t="s">
        <v>313</v>
      </c>
      <c r="S243" s="332"/>
      <c r="T243" s="1569" t="s">
        <v>3698</v>
      </c>
      <c r="U243" s="332"/>
      <c r="V243" s="334"/>
      <c r="W243" s="334"/>
      <c r="AA243" s="451"/>
      <c r="AD243" s="452"/>
      <c r="AJ243" s="199"/>
      <c r="AK243" s="199"/>
      <c r="AL243" s="199"/>
      <c r="AM243" s="199"/>
    </row>
    <row r="244" spans="1:39" ht="14.25" hidden="1" customHeight="1">
      <c r="A244" s="1464">
        <v>4</v>
      </c>
      <c r="B244" s="442" t="s">
        <v>3699</v>
      </c>
      <c r="C244" s="822" t="s">
        <v>21</v>
      </c>
      <c r="D244" s="443" t="s">
        <v>3700</v>
      </c>
      <c r="E244" s="3"/>
      <c r="F244" s="674" t="s">
        <v>759</v>
      </c>
      <c r="G244" s="1486" t="s">
        <v>77</v>
      </c>
      <c r="H244" s="79"/>
      <c r="I244" s="79"/>
      <c r="J244" s="79"/>
      <c r="K244" s="274" t="s">
        <v>464</v>
      </c>
      <c r="L244" s="274" t="s">
        <v>65</v>
      </c>
      <c r="M244" s="444">
        <v>29487</v>
      </c>
      <c r="N244" s="444">
        <v>51409</v>
      </c>
      <c r="O244" s="446">
        <v>45923</v>
      </c>
      <c r="P244" s="447">
        <v>46616</v>
      </c>
      <c r="Q244" s="448">
        <v>46562</v>
      </c>
      <c r="R244" s="449" t="s">
        <v>313</v>
      </c>
      <c r="S244" s="332"/>
      <c r="T244" s="1569" t="s">
        <v>3701</v>
      </c>
      <c r="U244" s="332"/>
      <c r="V244" s="334"/>
      <c r="W244" s="334"/>
      <c r="AA244" s="451"/>
      <c r="AD244" s="452"/>
      <c r="AJ244" s="199"/>
      <c r="AK244" s="199"/>
      <c r="AL244" s="199"/>
      <c r="AM244" s="199"/>
    </row>
    <row r="245" spans="1:39" ht="16.5" hidden="1" customHeight="1">
      <c r="A245" s="1485">
        <v>5</v>
      </c>
      <c r="B245" s="442" t="s">
        <v>3702</v>
      </c>
      <c r="C245" s="274" t="s">
        <v>20</v>
      </c>
      <c r="D245" s="443" t="s">
        <v>3703</v>
      </c>
      <c r="E245" s="3"/>
      <c r="F245" s="674" t="s">
        <v>759</v>
      </c>
      <c r="G245" s="1486" t="s">
        <v>77</v>
      </c>
      <c r="H245" s="79"/>
      <c r="I245" s="79"/>
      <c r="J245" s="79"/>
      <c r="K245" s="409" t="s">
        <v>261</v>
      </c>
      <c r="L245" s="274" t="s">
        <v>65</v>
      </c>
      <c r="M245" s="444">
        <v>30810</v>
      </c>
      <c r="N245" s="444">
        <v>52748</v>
      </c>
      <c r="O245" s="446">
        <v>45928</v>
      </c>
      <c r="P245" s="447">
        <v>46643</v>
      </c>
      <c r="Q245" s="448">
        <v>46566</v>
      </c>
      <c r="R245" s="449" t="s">
        <v>313</v>
      </c>
      <c r="S245" s="332"/>
      <c r="T245" s="1569" t="s">
        <v>3704</v>
      </c>
      <c r="U245" s="333" t="s">
        <v>3705</v>
      </c>
      <c r="V245" s="334"/>
      <c r="W245" s="334"/>
      <c r="AA245" s="451"/>
      <c r="AD245" s="452"/>
      <c r="AJ245" s="199"/>
      <c r="AK245" s="199"/>
      <c r="AL245" s="199"/>
      <c r="AM245" s="199"/>
    </row>
    <row r="246" spans="1:39" ht="17.25" hidden="1" customHeight="1">
      <c r="A246" s="1464">
        <v>6</v>
      </c>
      <c r="B246" s="442" t="s">
        <v>3706</v>
      </c>
      <c r="C246" s="274" t="s">
        <v>20</v>
      </c>
      <c r="D246" s="443" t="s">
        <v>3707</v>
      </c>
      <c r="E246" s="3"/>
      <c r="F246" s="674" t="s">
        <v>759</v>
      </c>
      <c r="G246" s="1486" t="s">
        <v>77</v>
      </c>
      <c r="H246" s="79"/>
      <c r="I246" s="79"/>
      <c r="J246" s="79"/>
      <c r="K246" s="274" t="s">
        <v>464</v>
      </c>
      <c r="L246" s="125" t="s">
        <v>417</v>
      </c>
      <c r="M246" s="444">
        <v>27947</v>
      </c>
      <c r="N246" s="444">
        <v>49887</v>
      </c>
      <c r="O246" s="446">
        <v>45850</v>
      </c>
      <c r="P246" s="447">
        <v>46720</v>
      </c>
      <c r="Q246" s="448">
        <v>46210</v>
      </c>
      <c r="R246" s="449" t="s">
        <v>313</v>
      </c>
      <c r="S246" s="332"/>
      <c r="T246" s="1569" t="s">
        <v>3564</v>
      </c>
      <c r="U246" s="332"/>
      <c r="V246" s="334"/>
      <c r="W246" s="334"/>
      <c r="AA246" s="451"/>
      <c r="AD246" s="452"/>
      <c r="AJ246" s="199"/>
      <c r="AK246" s="199"/>
      <c r="AL246" s="199"/>
      <c r="AM246" s="199"/>
    </row>
    <row r="247" spans="1:39" ht="15.75" hidden="1">
      <c r="A247" s="1464">
        <v>7</v>
      </c>
      <c r="B247" s="442" t="s">
        <v>3708</v>
      </c>
      <c r="C247" s="822" t="s">
        <v>22</v>
      </c>
      <c r="D247" s="443" t="s">
        <v>3709</v>
      </c>
      <c r="E247" s="3"/>
      <c r="F247" s="674" t="s">
        <v>759</v>
      </c>
      <c r="G247" s="1486" t="s">
        <v>76</v>
      </c>
      <c r="H247" s="79"/>
      <c r="I247" s="79"/>
      <c r="J247" s="79"/>
      <c r="K247" s="275" t="s">
        <v>315</v>
      </c>
      <c r="L247" s="445" t="s">
        <v>58</v>
      </c>
      <c r="M247" s="444">
        <v>34584</v>
      </c>
      <c r="N247" s="444">
        <v>56522</v>
      </c>
      <c r="O247" s="446">
        <v>46574</v>
      </c>
      <c r="P247" s="447">
        <v>45916</v>
      </c>
      <c r="Q247" s="448">
        <v>46619</v>
      </c>
      <c r="R247" s="449" t="s">
        <v>37</v>
      </c>
      <c r="S247" s="332"/>
      <c r="T247" s="450"/>
      <c r="U247" s="332"/>
      <c r="V247" s="334"/>
      <c r="W247" s="334"/>
      <c r="AA247" s="451"/>
      <c r="AD247" s="825"/>
      <c r="AJ247" s="199"/>
      <c r="AK247" s="199"/>
      <c r="AL247" s="199"/>
      <c r="AM247" s="199"/>
    </row>
    <row r="248" spans="1:39" ht="18.75" hidden="1">
      <c r="A248" s="1485">
        <v>8</v>
      </c>
      <c r="B248" s="442" t="s">
        <v>3710</v>
      </c>
      <c r="C248" s="822" t="s">
        <v>22</v>
      </c>
      <c r="D248" s="443" t="s">
        <v>3711</v>
      </c>
      <c r="E248" s="3"/>
      <c r="F248" s="674" t="s">
        <v>759</v>
      </c>
      <c r="G248" s="337" t="s">
        <v>76</v>
      </c>
      <c r="H248" s="79"/>
      <c r="I248" s="79"/>
      <c r="J248" s="79"/>
      <c r="K248" s="275" t="s">
        <v>315</v>
      </c>
      <c r="L248" s="445" t="s">
        <v>58</v>
      </c>
      <c r="M248" s="444">
        <v>34220</v>
      </c>
      <c r="N248" s="444">
        <v>56157</v>
      </c>
      <c r="O248" s="446">
        <v>46541</v>
      </c>
      <c r="P248" s="447">
        <v>45966</v>
      </c>
      <c r="Q248" s="448">
        <v>46003</v>
      </c>
      <c r="R248" s="449" t="s">
        <v>37</v>
      </c>
      <c r="S248" s="332"/>
      <c r="T248" s="450"/>
      <c r="U248" s="332"/>
      <c r="V248" s="334"/>
      <c r="W248" s="334"/>
      <c r="AA248" s="451"/>
      <c r="AD248" s="451"/>
      <c r="AJ248" s="199"/>
      <c r="AK248" s="199"/>
      <c r="AL248" s="199"/>
      <c r="AM248" s="199"/>
    </row>
    <row r="249" spans="1:39" ht="15.75" hidden="1">
      <c r="A249" s="1485">
        <v>11</v>
      </c>
      <c r="B249" s="442" t="s">
        <v>3712</v>
      </c>
      <c r="C249" s="822" t="s">
        <v>22</v>
      </c>
      <c r="D249" s="443" t="s">
        <v>3713</v>
      </c>
      <c r="E249" s="3"/>
      <c r="F249" s="674" t="s">
        <v>759</v>
      </c>
      <c r="G249" s="1486" t="s">
        <v>76</v>
      </c>
      <c r="H249" s="79"/>
      <c r="I249" s="79"/>
      <c r="J249" s="79"/>
      <c r="K249" s="275" t="s">
        <v>315</v>
      </c>
      <c r="L249" s="445" t="s">
        <v>58</v>
      </c>
      <c r="M249" s="444">
        <v>34888</v>
      </c>
      <c r="N249" s="444">
        <v>56826</v>
      </c>
      <c r="O249" s="446">
        <v>46340</v>
      </c>
      <c r="P249" s="447">
        <v>46176</v>
      </c>
      <c r="Q249" s="448">
        <v>46139</v>
      </c>
      <c r="R249" s="449" t="s">
        <v>37</v>
      </c>
      <c r="S249" s="332"/>
      <c r="T249" s="450"/>
      <c r="U249" s="332"/>
      <c r="V249" s="334"/>
      <c r="W249" s="334"/>
      <c r="AA249" s="451"/>
      <c r="AD249" s="452"/>
      <c r="AJ249" s="199"/>
      <c r="AK249" s="199"/>
      <c r="AL249" s="199"/>
      <c r="AM249" s="199"/>
    </row>
    <row r="250" spans="1:39" ht="16.5" hidden="1" customHeight="1">
      <c r="A250" s="1464">
        <v>12</v>
      </c>
      <c r="B250" s="442" t="s">
        <v>3714</v>
      </c>
      <c r="C250" s="822" t="s">
        <v>21</v>
      </c>
      <c r="D250" s="443" t="s">
        <v>3715</v>
      </c>
      <c r="E250" s="3"/>
      <c r="F250" s="674" t="s">
        <v>759</v>
      </c>
      <c r="G250" s="1486" t="s">
        <v>76</v>
      </c>
      <c r="H250" s="79"/>
      <c r="I250" s="79"/>
      <c r="J250" s="79"/>
      <c r="K250" s="274" t="s">
        <v>464</v>
      </c>
      <c r="L250" s="445" t="s">
        <v>58</v>
      </c>
      <c r="M250" s="444">
        <v>30177</v>
      </c>
      <c r="N250" s="444">
        <v>52109</v>
      </c>
      <c r="O250" s="446">
        <v>45938</v>
      </c>
      <c r="P250" s="447">
        <v>46616</v>
      </c>
      <c r="Q250" s="448">
        <v>46369</v>
      </c>
      <c r="R250" s="449" t="s">
        <v>313</v>
      </c>
      <c r="S250" s="332"/>
      <c r="T250" s="1569" t="s">
        <v>3716</v>
      </c>
      <c r="U250" s="332"/>
      <c r="V250" s="334"/>
      <c r="W250" s="334"/>
      <c r="AA250" s="451"/>
      <c r="AD250" s="452"/>
      <c r="AJ250" s="199"/>
      <c r="AK250" s="199"/>
      <c r="AL250" s="199"/>
      <c r="AM250" s="199"/>
    </row>
    <row r="251" spans="1:39" ht="15.75" hidden="1">
      <c r="A251" s="1464">
        <v>13</v>
      </c>
      <c r="B251" s="442" t="s">
        <v>3717</v>
      </c>
      <c r="C251" s="822" t="s">
        <v>22</v>
      </c>
      <c r="D251" s="443" t="s">
        <v>3718</v>
      </c>
      <c r="E251" s="3"/>
      <c r="F251" s="674" t="s">
        <v>759</v>
      </c>
      <c r="G251" s="1486" t="s">
        <v>76</v>
      </c>
      <c r="H251" s="79"/>
      <c r="I251" s="79"/>
      <c r="J251" s="79"/>
      <c r="K251" s="275" t="s">
        <v>315</v>
      </c>
      <c r="L251" s="822" t="s">
        <v>1843</v>
      </c>
      <c r="M251" s="444">
        <v>34974</v>
      </c>
      <c r="N251" s="444">
        <v>56918</v>
      </c>
      <c r="O251" s="446">
        <v>46340</v>
      </c>
      <c r="P251" s="447">
        <v>46176</v>
      </c>
      <c r="Q251" s="448">
        <v>46139</v>
      </c>
      <c r="R251" s="449" t="s">
        <v>37</v>
      </c>
      <c r="S251" s="332"/>
      <c r="T251" s="450"/>
      <c r="U251" s="332"/>
      <c r="V251" s="334"/>
      <c r="W251" s="334"/>
      <c r="AA251" s="451"/>
      <c r="AD251" s="452"/>
      <c r="AJ251" s="199"/>
      <c r="AK251" s="199"/>
      <c r="AL251" s="199"/>
      <c r="AM251" s="199"/>
    </row>
    <row r="252" spans="1:39" ht="15.75" hidden="1">
      <c r="A252" s="1485">
        <v>14</v>
      </c>
      <c r="B252" s="442" t="s">
        <v>3719</v>
      </c>
      <c r="C252" s="822" t="s">
        <v>22</v>
      </c>
      <c r="D252" s="443" t="s">
        <v>3720</v>
      </c>
      <c r="E252" s="3"/>
      <c r="F252" s="674" t="s">
        <v>759</v>
      </c>
      <c r="G252" s="1486" t="s">
        <v>77</v>
      </c>
      <c r="H252" s="79"/>
      <c r="I252" s="79"/>
      <c r="J252" s="79"/>
      <c r="K252" s="275" t="s">
        <v>315</v>
      </c>
      <c r="L252" s="445" t="s">
        <v>58</v>
      </c>
      <c r="M252" s="444">
        <v>31092</v>
      </c>
      <c r="N252" s="444">
        <v>53021</v>
      </c>
      <c r="O252" s="446">
        <v>46592</v>
      </c>
      <c r="P252" s="447">
        <v>46749</v>
      </c>
      <c r="Q252" s="448">
        <v>46145</v>
      </c>
      <c r="R252" s="449" t="s">
        <v>37</v>
      </c>
      <c r="S252" s="332"/>
      <c r="T252" s="450"/>
      <c r="U252" s="332"/>
      <c r="V252" s="334"/>
      <c r="W252" s="334"/>
      <c r="AA252" s="451"/>
      <c r="AD252" s="452"/>
      <c r="AJ252" s="199"/>
      <c r="AK252" s="199"/>
      <c r="AL252" s="199"/>
      <c r="AM252" s="199"/>
    </row>
    <row r="253" spans="1:39" ht="15.75" hidden="1">
      <c r="A253" s="1464">
        <v>16</v>
      </c>
      <c r="B253" s="442" t="s">
        <v>3721</v>
      </c>
      <c r="C253" s="822" t="s">
        <v>22</v>
      </c>
      <c r="D253" s="443" t="s">
        <v>3722</v>
      </c>
      <c r="E253" s="3"/>
      <c r="F253" s="674" t="s">
        <v>759</v>
      </c>
      <c r="G253" s="1486" t="s">
        <v>76</v>
      </c>
      <c r="H253" s="79"/>
      <c r="I253" s="79"/>
      <c r="J253" s="79"/>
      <c r="K253" s="275" t="s">
        <v>315</v>
      </c>
      <c r="L253" s="445" t="s">
        <v>58</v>
      </c>
      <c r="M253" s="444">
        <v>34895</v>
      </c>
      <c r="N253" s="444">
        <v>56826</v>
      </c>
      <c r="O253" s="446">
        <v>46336</v>
      </c>
      <c r="P253" s="447">
        <v>46176</v>
      </c>
      <c r="Q253" s="448">
        <v>46139</v>
      </c>
      <c r="R253" s="449" t="s">
        <v>37</v>
      </c>
      <c r="S253" s="332"/>
      <c r="T253" s="450"/>
      <c r="U253" s="332"/>
      <c r="V253" s="334"/>
      <c r="W253" s="334"/>
      <c r="AA253" s="451"/>
      <c r="AD253" s="452"/>
      <c r="AJ253" s="199"/>
      <c r="AK253" s="199"/>
      <c r="AL253" s="199"/>
      <c r="AM253" s="199"/>
    </row>
    <row r="254" spans="1:39" ht="15.75" hidden="1">
      <c r="A254" s="1485">
        <v>17</v>
      </c>
      <c r="B254" s="442" t="s">
        <v>3723</v>
      </c>
      <c r="C254" s="822" t="s">
        <v>22</v>
      </c>
      <c r="D254" s="443" t="s">
        <v>3724</v>
      </c>
      <c r="E254" s="3"/>
      <c r="F254" s="674" t="s">
        <v>759</v>
      </c>
      <c r="G254" s="1486" t="s">
        <v>78</v>
      </c>
      <c r="H254" s="79"/>
      <c r="I254" s="79"/>
      <c r="J254" s="79"/>
      <c r="K254" s="275" t="s">
        <v>315</v>
      </c>
      <c r="L254" s="822" t="s">
        <v>2940</v>
      </c>
      <c r="M254" s="444">
        <v>34162</v>
      </c>
      <c r="N254" s="444">
        <v>56096</v>
      </c>
      <c r="O254" s="446">
        <v>46336</v>
      </c>
      <c r="P254" s="447">
        <v>46176</v>
      </c>
      <c r="Q254" s="448">
        <v>46139</v>
      </c>
      <c r="R254" s="449" t="s">
        <v>37</v>
      </c>
      <c r="S254" s="332"/>
      <c r="T254" s="450"/>
      <c r="U254" s="332"/>
      <c r="V254" s="334"/>
      <c r="W254" s="334"/>
      <c r="AA254" s="451"/>
      <c r="AD254" s="452"/>
      <c r="AJ254" s="199"/>
      <c r="AK254" s="199"/>
      <c r="AL254" s="199"/>
      <c r="AM254" s="199"/>
    </row>
    <row r="255" spans="1:39" ht="15" hidden="1" customHeight="1">
      <c r="A255" s="1464">
        <v>18</v>
      </c>
      <c r="B255" s="442" t="s">
        <v>3725</v>
      </c>
      <c r="C255" s="274" t="s">
        <v>20</v>
      </c>
      <c r="D255" s="443" t="s">
        <v>3726</v>
      </c>
      <c r="E255" s="595" t="s">
        <v>3727</v>
      </c>
      <c r="F255" s="674" t="s">
        <v>759</v>
      </c>
      <c r="G255" s="1486" t="s">
        <v>77</v>
      </c>
      <c r="H255" s="79"/>
      <c r="I255" s="79"/>
      <c r="J255" s="79"/>
      <c r="K255" s="275" t="s">
        <v>330</v>
      </c>
      <c r="L255" s="125" t="s">
        <v>67</v>
      </c>
      <c r="M255" s="444">
        <v>29479</v>
      </c>
      <c r="N255" s="444">
        <v>51409</v>
      </c>
      <c r="O255" s="446">
        <v>45915</v>
      </c>
      <c r="P255" s="447">
        <v>46616</v>
      </c>
      <c r="Q255" s="448">
        <v>46646</v>
      </c>
      <c r="R255" s="449" t="s">
        <v>313</v>
      </c>
      <c r="S255" s="332"/>
      <c r="T255" s="1569" t="s">
        <v>3728</v>
      </c>
      <c r="U255" s="332"/>
      <c r="V255" s="334"/>
      <c r="W255" s="334"/>
      <c r="AA255" s="451"/>
      <c r="AD255" s="452"/>
      <c r="AJ255" s="199"/>
      <c r="AK255" s="199"/>
      <c r="AL255" s="199"/>
      <c r="AM255" s="199"/>
    </row>
    <row r="256" spans="1:39" ht="15.75" hidden="1">
      <c r="A256" s="1464">
        <v>19</v>
      </c>
      <c r="B256" s="442" t="s">
        <v>3729</v>
      </c>
      <c r="C256" s="1681" t="s">
        <v>22</v>
      </c>
      <c r="D256" s="443" t="s">
        <v>3730</v>
      </c>
      <c r="E256" s="3"/>
      <c r="F256" s="674" t="s">
        <v>759</v>
      </c>
      <c r="G256" s="1486" t="s">
        <v>76</v>
      </c>
      <c r="H256" s="79"/>
      <c r="I256" s="79"/>
      <c r="J256" s="79"/>
      <c r="K256" s="275" t="s">
        <v>315</v>
      </c>
      <c r="L256" s="822" t="s">
        <v>2940</v>
      </c>
      <c r="M256" s="444">
        <v>33087</v>
      </c>
      <c r="N256" s="444">
        <v>55031</v>
      </c>
      <c r="O256" s="446">
        <v>46386</v>
      </c>
      <c r="P256" s="447">
        <v>45853</v>
      </c>
      <c r="Q256" s="448">
        <v>46765</v>
      </c>
      <c r="R256" s="449" t="s">
        <v>37</v>
      </c>
      <c r="S256" s="332"/>
      <c r="T256" s="450"/>
      <c r="U256" s="332"/>
      <c r="V256" s="334"/>
      <c r="W256" s="334"/>
      <c r="AA256" s="451"/>
      <c r="AD256" s="452"/>
      <c r="AJ256" s="199"/>
      <c r="AK256" s="199"/>
      <c r="AL256" s="199"/>
      <c r="AM256" s="199"/>
    </row>
    <row r="257" spans="1:39" ht="15.75" hidden="1">
      <c r="A257" s="1485">
        <v>20</v>
      </c>
      <c r="B257" s="442" t="s">
        <v>3731</v>
      </c>
      <c r="C257" s="822" t="s">
        <v>22</v>
      </c>
      <c r="D257" s="443" t="s">
        <v>3732</v>
      </c>
      <c r="E257" s="3"/>
      <c r="F257" s="674" t="s">
        <v>759</v>
      </c>
      <c r="G257" s="1486" t="s">
        <v>77</v>
      </c>
      <c r="H257" s="79"/>
      <c r="I257" s="79"/>
      <c r="J257" s="79"/>
      <c r="K257" s="275" t="s">
        <v>315</v>
      </c>
      <c r="L257" s="822" t="s">
        <v>2940</v>
      </c>
      <c r="M257" s="444">
        <v>32430</v>
      </c>
      <c r="N257" s="444">
        <v>54362</v>
      </c>
      <c r="O257" s="446">
        <v>46589</v>
      </c>
      <c r="P257" s="447">
        <v>46616</v>
      </c>
      <c r="Q257" s="448">
        <v>46145</v>
      </c>
      <c r="R257" s="449" t="s">
        <v>37</v>
      </c>
      <c r="S257" s="332"/>
      <c r="T257" s="450"/>
      <c r="U257" s="332"/>
      <c r="V257" s="334"/>
      <c r="W257" s="334"/>
      <c r="AA257" s="451"/>
      <c r="AD257" s="452"/>
      <c r="AJ257" s="199"/>
      <c r="AK257" s="199"/>
      <c r="AL257" s="199"/>
      <c r="AM257" s="199"/>
    </row>
    <row r="258" spans="1:39" ht="15.75" hidden="1">
      <c r="A258" s="1464">
        <v>21</v>
      </c>
      <c r="B258" s="442" t="s">
        <v>3733</v>
      </c>
      <c r="C258" s="1681" t="s">
        <v>22</v>
      </c>
      <c r="D258" s="443" t="s">
        <v>3734</v>
      </c>
      <c r="E258" s="3"/>
      <c r="F258" s="674" t="s">
        <v>759</v>
      </c>
      <c r="G258" s="1486" t="s">
        <v>77</v>
      </c>
      <c r="H258" s="79"/>
      <c r="I258" s="79"/>
      <c r="J258" s="79"/>
      <c r="K258" s="275" t="s">
        <v>290</v>
      </c>
      <c r="L258" s="822" t="s">
        <v>2940</v>
      </c>
      <c r="M258" s="444">
        <v>29041</v>
      </c>
      <c r="N258" s="444">
        <v>50982</v>
      </c>
      <c r="O258" s="446">
        <v>46212</v>
      </c>
      <c r="P258" s="447">
        <v>46476</v>
      </c>
      <c r="Q258" s="448">
        <v>46822</v>
      </c>
      <c r="R258" s="449" t="s">
        <v>37</v>
      </c>
      <c r="S258" s="332"/>
      <c r="T258" s="450"/>
      <c r="U258" s="332"/>
      <c r="V258" s="334"/>
      <c r="W258" s="334"/>
      <c r="AA258" s="451"/>
      <c r="AD258" s="452"/>
      <c r="AJ258" s="199"/>
      <c r="AK258" s="199"/>
      <c r="AL258" s="199"/>
      <c r="AM258" s="199"/>
    </row>
    <row r="259" spans="1:39" ht="15.75" hidden="1">
      <c r="A259" s="1464">
        <v>22</v>
      </c>
      <c r="B259" s="442" t="s">
        <v>3735</v>
      </c>
      <c r="C259" s="822" t="s">
        <v>22</v>
      </c>
      <c r="D259" s="443" t="s">
        <v>3736</v>
      </c>
      <c r="E259" s="3"/>
      <c r="F259" s="674" t="s">
        <v>759</v>
      </c>
      <c r="G259" s="1486" t="s">
        <v>77</v>
      </c>
      <c r="H259" s="79"/>
      <c r="I259" s="79"/>
      <c r="J259" s="79"/>
      <c r="K259" s="275" t="s">
        <v>290</v>
      </c>
      <c r="L259" s="822" t="s">
        <v>1843</v>
      </c>
      <c r="M259" s="444">
        <v>34562</v>
      </c>
      <c r="N259" s="444">
        <v>56492</v>
      </c>
      <c r="O259" s="446">
        <v>46314</v>
      </c>
      <c r="P259" s="447">
        <v>46176</v>
      </c>
      <c r="Q259" s="448">
        <v>46139</v>
      </c>
      <c r="R259" s="449" t="s">
        <v>37</v>
      </c>
      <c r="S259" s="332"/>
      <c r="T259" s="450"/>
      <c r="U259" s="332"/>
      <c r="V259" s="334"/>
      <c r="W259" s="334"/>
      <c r="AA259" s="451"/>
      <c r="AD259" s="452"/>
      <c r="AJ259" s="199"/>
      <c r="AK259" s="199"/>
      <c r="AL259" s="199"/>
      <c r="AM259" s="199"/>
    </row>
    <row r="260" spans="1:39" ht="15.75" hidden="1">
      <c r="A260" s="1485">
        <v>23</v>
      </c>
      <c r="B260" s="442" t="s">
        <v>3737</v>
      </c>
      <c r="C260" s="1681" t="s">
        <v>22</v>
      </c>
      <c r="D260" s="443" t="s">
        <v>3738</v>
      </c>
      <c r="E260" s="3"/>
      <c r="F260" s="674" t="s">
        <v>759</v>
      </c>
      <c r="G260" s="1486" t="s">
        <v>77</v>
      </c>
      <c r="H260" s="79"/>
      <c r="I260" s="79"/>
      <c r="J260" s="79"/>
      <c r="K260" s="274" t="s">
        <v>253</v>
      </c>
      <c r="L260" s="822" t="s">
        <v>2940</v>
      </c>
      <c r="M260" s="444">
        <v>31873</v>
      </c>
      <c r="N260" s="444">
        <v>53812</v>
      </c>
      <c r="O260" s="446">
        <v>46352</v>
      </c>
      <c r="P260" s="447">
        <v>46899</v>
      </c>
      <c r="Q260" s="448">
        <v>46909</v>
      </c>
      <c r="R260" s="449" t="s">
        <v>313</v>
      </c>
      <c r="S260" s="332"/>
      <c r="T260" s="450"/>
      <c r="U260" s="332"/>
      <c r="V260" s="334"/>
      <c r="W260" s="334"/>
      <c r="AA260" s="451"/>
      <c r="AD260" s="452"/>
      <c r="AJ260" s="199"/>
      <c r="AK260" s="199"/>
      <c r="AL260" s="199"/>
      <c r="AM260" s="199"/>
    </row>
    <row r="261" spans="1:39" ht="17.25" hidden="1" customHeight="1">
      <c r="A261" s="1464">
        <v>24</v>
      </c>
      <c r="B261" s="442" t="s">
        <v>3739</v>
      </c>
      <c r="C261" s="1373" t="s">
        <v>20</v>
      </c>
      <c r="D261" s="443" t="s">
        <v>3740</v>
      </c>
      <c r="E261" s="3"/>
      <c r="F261" s="674" t="s">
        <v>759</v>
      </c>
      <c r="G261" s="1486" t="s">
        <v>77</v>
      </c>
      <c r="H261" s="79"/>
      <c r="I261" s="79"/>
      <c r="J261" s="79"/>
      <c r="K261" s="274" t="s">
        <v>464</v>
      </c>
      <c r="L261" s="822" t="s">
        <v>1843</v>
      </c>
      <c r="M261" s="444">
        <v>30229</v>
      </c>
      <c r="N261" s="444">
        <v>52170</v>
      </c>
      <c r="O261" s="446">
        <v>46665</v>
      </c>
      <c r="P261" s="447">
        <v>46559</v>
      </c>
      <c r="Q261" s="448">
        <v>46242</v>
      </c>
      <c r="R261" s="449" t="s">
        <v>313</v>
      </c>
      <c r="S261" s="332"/>
      <c r="T261" s="1569" t="s">
        <v>3741</v>
      </c>
      <c r="U261" s="332"/>
      <c r="V261" s="334"/>
      <c r="W261" s="334"/>
      <c r="AA261" s="451"/>
      <c r="AD261" s="452"/>
      <c r="AJ261" s="199"/>
      <c r="AK261" s="199"/>
      <c r="AL261" s="199"/>
      <c r="AM261" s="199"/>
    </row>
    <row r="262" spans="1:39" ht="15.75" hidden="1">
      <c r="A262" s="1464">
        <v>25</v>
      </c>
      <c r="B262" s="442" t="s">
        <v>3742</v>
      </c>
      <c r="C262" s="1681" t="s">
        <v>22</v>
      </c>
      <c r="D262" s="443" t="s">
        <v>3743</v>
      </c>
      <c r="E262" s="595" t="s">
        <v>3744</v>
      </c>
      <c r="F262" s="674" t="s">
        <v>759</v>
      </c>
      <c r="G262" s="1486" t="s">
        <v>76</v>
      </c>
      <c r="H262" s="79"/>
      <c r="I262" s="79"/>
      <c r="J262" s="79"/>
      <c r="K262" s="275" t="s">
        <v>290</v>
      </c>
      <c r="L262" s="822" t="s">
        <v>1843</v>
      </c>
      <c r="M262" s="444">
        <v>30768</v>
      </c>
      <c r="N262" s="444">
        <v>52687</v>
      </c>
      <c r="O262" s="446">
        <v>47195</v>
      </c>
      <c r="P262" s="447">
        <v>46365</v>
      </c>
      <c r="Q262" s="448">
        <v>46768</v>
      </c>
      <c r="R262" s="449" t="s">
        <v>37</v>
      </c>
      <c r="S262" s="332"/>
      <c r="T262" s="450"/>
      <c r="U262" s="332"/>
      <c r="V262" s="334"/>
      <c r="W262" s="334"/>
      <c r="AA262" s="451"/>
      <c r="AD262" s="452"/>
      <c r="AJ262" s="199"/>
      <c r="AK262" s="199"/>
      <c r="AL262" s="199"/>
      <c r="AM262" s="199"/>
    </row>
    <row r="263" spans="1:39" ht="12.75" hidden="1" customHeight="1">
      <c r="A263" s="1485">
        <v>26</v>
      </c>
      <c r="B263" s="442" t="s">
        <v>3745</v>
      </c>
      <c r="C263" s="822" t="s">
        <v>21</v>
      </c>
      <c r="D263" s="443" t="s">
        <v>3746</v>
      </c>
      <c r="E263" s="3"/>
      <c r="F263" s="674" t="s">
        <v>759</v>
      </c>
      <c r="G263" s="1486" t="s">
        <v>77</v>
      </c>
      <c r="H263" s="79"/>
      <c r="I263" s="79"/>
      <c r="J263" s="79"/>
      <c r="K263" s="409" t="s">
        <v>334</v>
      </c>
      <c r="L263" s="445" t="s">
        <v>58</v>
      </c>
      <c r="M263" s="444">
        <v>31779</v>
      </c>
      <c r="N263" s="444">
        <v>53723</v>
      </c>
      <c r="O263" s="446">
        <v>45865</v>
      </c>
      <c r="P263" s="447">
        <v>46616</v>
      </c>
      <c r="Q263" s="448">
        <v>46369</v>
      </c>
      <c r="R263" s="449" t="s">
        <v>313</v>
      </c>
      <c r="S263" s="332"/>
      <c r="T263" s="1569" t="s">
        <v>3747</v>
      </c>
      <c r="U263" s="332"/>
      <c r="V263" s="334"/>
      <c r="W263" s="334"/>
      <c r="AA263" s="451"/>
      <c r="AD263" s="452"/>
      <c r="AJ263" s="199"/>
      <c r="AK263" s="199"/>
      <c r="AL263" s="199"/>
      <c r="AM263" s="199"/>
    </row>
    <row r="264" spans="1:39" ht="15.75" hidden="1">
      <c r="A264" s="1464">
        <v>27</v>
      </c>
      <c r="B264" s="442" t="s">
        <v>3230</v>
      </c>
      <c r="C264" s="1681" t="s">
        <v>22</v>
      </c>
      <c r="D264" s="443" t="s">
        <v>3748</v>
      </c>
      <c r="E264" s="3"/>
      <c r="F264" s="674" t="s">
        <v>759</v>
      </c>
      <c r="G264" s="1486" t="s">
        <v>77</v>
      </c>
      <c r="H264" s="79"/>
      <c r="I264" s="79"/>
      <c r="J264" s="79"/>
      <c r="K264" s="274" t="s">
        <v>253</v>
      </c>
      <c r="L264" s="445" t="s">
        <v>52</v>
      </c>
      <c r="M264" s="444">
        <v>31932</v>
      </c>
      <c r="N264" s="444">
        <v>53873</v>
      </c>
      <c r="O264" s="446">
        <v>46456</v>
      </c>
      <c r="P264" s="447">
        <v>46710</v>
      </c>
      <c r="Q264" s="448">
        <v>46646</v>
      </c>
      <c r="R264" s="449" t="s">
        <v>313</v>
      </c>
      <c r="S264" s="333" t="s">
        <v>3749</v>
      </c>
      <c r="T264" s="450"/>
      <c r="U264" s="332"/>
      <c r="V264" s="334"/>
      <c r="W264" s="334"/>
      <c r="AA264" s="451"/>
      <c r="AD264" s="452"/>
      <c r="AJ264" s="199"/>
      <c r="AK264" s="199"/>
      <c r="AL264" s="199"/>
      <c r="AM264" s="199"/>
    </row>
    <row r="265" spans="1:39" ht="15.75" hidden="1">
      <c r="A265" s="1464">
        <v>28</v>
      </c>
      <c r="B265" s="442" t="s">
        <v>3750</v>
      </c>
      <c r="C265" s="1373" t="s">
        <v>20</v>
      </c>
      <c r="D265" s="443" t="s">
        <v>3751</v>
      </c>
      <c r="E265" s="3"/>
      <c r="F265" s="674" t="s">
        <v>759</v>
      </c>
      <c r="G265" s="1486" t="s">
        <v>78</v>
      </c>
      <c r="H265" s="79"/>
      <c r="I265" s="79"/>
      <c r="J265" s="79"/>
      <c r="K265" s="275" t="s">
        <v>290</v>
      </c>
      <c r="L265" s="822" t="s">
        <v>1843</v>
      </c>
      <c r="M265" s="444">
        <v>32329</v>
      </c>
      <c r="N265" s="444">
        <v>54270</v>
      </c>
      <c r="O265" s="446">
        <v>47118</v>
      </c>
      <c r="P265" s="447">
        <v>46217</v>
      </c>
      <c r="Q265" s="448">
        <v>46087</v>
      </c>
      <c r="R265" s="449" t="s">
        <v>37</v>
      </c>
      <c r="S265" s="332"/>
      <c r="T265" s="450"/>
      <c r="U265" s="332"/>
      <c r="V265" s="334"/>
      <c r="W265" s="334"/>
      <c r="AA265" s="451"/>
      <c r="AD265" s="452"/>
      <c r="AJ265" s="199"/>
      <c r="AK265" s="199"/>
      <c r="AL265" s="199"/>
      <c r="AM265" s="199"/>
    </row>
    <row r="266" spans="1:39" ht="15.75" hidden="1">
      <c r="A266" s="1464">
        <v>30</v>
      </c>
      <c r="B266" s="442" t="s">
        <v>3752</v>
      </c>
      <c r="C266" s="822" t="s">
        <v>22</v>
      </c>
      <c r="D266" s="443" t="s">
        <v>3753</v>
      </c>
      <c r="E266" s="3"/>
      <c r="F266" s="674" t="s">
        <v>759</v>
      </c>
      <c r="G266" s="1486" t="s">
        <v>76</v>
      </c>
      <c r="H266" s="79"/>
      <c r="I266" s="79"/>
      <c r="J266" s="79"/>
      <c r="K266" s="274" t="s">
        <v>464</v>
      </c>
      <c r="L266" s="445" t="s">
        <v>57</v>
      </c>
      <c r="M266" s="444">
        <v>32690</v>
      </c>
      <c r="N266" s="444">
        <v>54635</v>
      </c>
      <c r="O266" s="446">
        <v>46314</v>
      </c>
      <c r="P266" s="447">
        <v>46176</v>
      </c>
      <c r="Q266" s="448">
        <v>46139</v>
      </c>
      <c r="R266" s="449" t="s">
        <v>37</v>
      </c>
      <c r="S266" s="332"/>
      <c r="T266" s="450"/>
      <c r="U266" s="332"/>
      <c r="V266" s="334"/>
      <c r="W266" s="334"/>
      <c r="AA266" s="451"/>
      <c r="AD266" s="452"/>
      <c r="AJ266" s="199"/>
      <c r="AK266" s="199"/>
      <c r="AL266" s="199"/>
      <c r="AM266" s="199"/>
    </row>
    <row r="267" spans="1:39" ht="18.75" hidden="1" customHeight="1">
      <c r="A267" s="1464">
        <v>31</v>
      </c>
      <c r="B267" s="442" t="s">
        <v>3754</v>
      </c>
      <c r="C267" s="1373" t="s">
        <v>20</v>
      </c>
      <c r="D267" s="443" t="s">
        <v>3755</v>
      </c>
      <c r="E267" s="595" t="s">
        <v>3756</v>
      </c>
      <c r="F267" s="674" t="s">
        <v>759</v>
      </c>
      <c r="G267" s="1486" t="s">
        <v>77</v>
      </c>
      <c r="H267" s="79"/>
      <c r="I267" s="79"/>
      <c r="J267" s="79"/>
      <c r="K267" s="1621" t="s">
        <v>315</v>
      </c>
      <c r="L267" s="822" t="s">
        <v>1843</v>
      </c>
      <c r="M267" s="444">
        <v>28589</v>
      </c>
      <c r="N267" s="444">
        <v>50525</v>
      </c>
      <c r="O267" s="446">
        <v>46487</v>
      </c>
      <c r="P267" s="447">
        <v>46559</v>
      </c>
      <c r="Q267" s="448">
        <v>46454</v>
      </c>
      <c r="R267" s="449" t="s">
        <v>37</v>
      </c>
      <c r="S267" s="332"/>
      <c r="T267" s="1569" t="s">
        <v>3757</v>
      </c>
      <c r="U267" s="332"/>
      <c r="V267" s="334"/>
      <c r="W267" s="334"/>
      <c r="AA267" s="451"/>
      <c r="AD267" s="452"/>
      <c r="AJ267" s="199"/>
      <c r="AK267" s="199"/>
      <c r="AL267" s="199"/>
      <c r="AM267" s="199"/>
    </row>
    <row r="268" spans="1:39" ht="18.75" hidden="1">
      <c r="A268" s="1485">
        <v>32</v>
      </c>
      <c r="B268" s="442" t="s">
        <v>3758</v>
      </c>
      <c r="C268" s="822" t="s">
        <v>22</v>
      </c>
      <c r="D268" s="443" t="s">
        <v>3759</v>
      </c>
      <c r="E268" s="3"/>
      <c r="F268" s="674" t="s">
        <v>759</v>
      </c>
      <c r="G268" s="337" t="s">
        <v>76</v>
      </c>
      <c r="H268" s="79"/>
      <c r="I268" s="79"/>
      <c r="J268" s="79"/>
      <c r="K268" s="274" t="s">
        <v>464</v>
      </c>
      <c r="L268" s="445" t="s">
        <v>57</v>
      </c>
      <c r="M268" s="444">
        <v>35115</v>
      </c>
      <c r="N268" s="444">
        <v>57039</v>
      </c>
      <c r="O268" s="446">
        <v>46340</v>
      </c>
      <c r="P268" s="447">
        <v>46195</v>
      </c>
      <c r="Q268" s="448">
        <v>46238</v>
      </c>
      <c r="R268" s="449" t="s">
        <v>37</v>
      </c>
      <c r="S268" s="332"/>
      <c r="T268" s="450"/>
      <c r="U268" s="332"/>
      <c r="V268" s="334"/>
      <c r="W268" s="334"/>
      <c r="AA268" s="451"/>
      <c r="AD268" s="451"/>
      <c r="AJ268" s="199"/>
      <c r="AK268" s="199"/>
      <c r="AL268" s="199"/>
      <c r="AM268" s="199"/>
    </row>
    <row r="269" spans="1:39" ht="18.75" hidden="1">
      <c r="A269" s="1464">
        <v>33</v>
      </c>
      <c r="B269" s="442" t="s">
        <v>3760</v>
      </c>
      <c r="C269" s="822" t="s">
        <v>22</v>
      </c>
      <c r="D269" s="443" t="s">
        <v>3761</v>
      </c>
      <c r="E269" s="3"/>
      <c r="F269" s="674" t="s">
        <v>759</v>
      </c>
      <c r="G269" s="337" t="s">
        <v>76</v>
      </c>
      <c r="H269" s="79"/>
      <c r="I269" s="79"/>
      <c r="J269" s="79"/>
      <c r="K269" s="274" t="s">
        <v>464</v>
      </c>
      <c r="L269" s="445" t="s">
        <v>58</v>
      </c>
      <c r="M269" s="444">
        <v>33786</v>
      </c>
      <c r="N269" s="444">
        <v>55700</v>
      </c>
      <c r="O269" s="446">
        <v>46341</v>
      </c>
      <c r="P269" s="447">
        <v>46195</v>
      </c>
      <c r="Q269" s="448">
        <v>46238</v>
      </c>
      <c r="R269" s="449" t="s">
        <v>37</v>
      </c>
      <c r="S269" s="332"/>
      <c r="T269" s="450"/>
      <c r="U269" s="332"/>
      <c r="V269" s="334"/>
      <c r="W269" s="334"/>
      <c r="AA269" s="451"/>
      <c r="AD269" s="451"/>
      <c r="AJ269" s="199"/>
      <c r="AK269" s="199"/>
      <c r="AL269" s="199"/>
      <c r="AM269" s="199"/>
    </row>
    <row r="270" spans="1:39" ht="15.75" hidden="1">
      <c r="A270" s="1485">
        <v>35</v>
      </c>
      <c r="B270" s="442" t="s">
        <v>3762</v>
      </c>
      <c r="C270" s="822" t="s">
        <v>22</v>
      </c>
      <c r="D270" s="443" t="s">
        <v>3763</v>
      </c>
      <c r="E270" s="3"/>
      <c r="F270" s="674" t="s">
        <v>759</v>
      </c>
      <c r="G270" s="1486" t="s">
        <v>78</v>
      </c>
      <c r="H270" s="79"/>
      <c r="I270" s="79"/>
      <c r="J270" s="79"/>
      <c r="K270" s="274" t="s">
        <v>464</v>
      </c>
      <c r="L270" s="445" t="s">
        <v>57</v>
      </c>
      <c r="M270" s="444">
        <v>31627</v>
      </c>
      <c r="N270" s="444">
        <v>53570</v>
      </c>
      <c r="O270" s="446">
        <v>46314</v>
      </c>
      <c r="P270" s="447">
        <v>46176</v>
      </c>
      <c r="Q270" s="448">
        <v>46139</v>
      </c>
      <c r="R270" s="449" t="s">
        <v>37</v>
      </c>
      <c r="S270" s="332"/>
      <c r="T270" s="450"/>
      <c r="U270" s="332"/>
      <c r="V270" s="334"/>
      <c r="W270" s="334"/>
      <c r="AA270" s="451"/>
      <c r="AD270" s="452"/>
      <c r="AJ270" s="199"/>
      <c r="AK270" s="199"/>
      <c r="AL270" s="199"/>
      <c r="AM270" s="199"/>
    </row>
    <row r="271" spans="1:39" ht="15.75" hidden="1">
      <c r="A271" s="1464">
        <v>36</v>
      </c>
      <c r="B271" s="442" t="s">
        <v>3764</v>
      </c>
      <c r="C271" s="822" t="s">
        <v>22</v>
      </c>
      <c r="D271" s="443" t="s">
        <v>3765</v>
      </c>
      <c r="E271" s="3"/>
      <c r="F271" s="674" t="s">
        <v>759</v>
      </c>
      <c r="G271" s="1486" t="s">
        <v>78</v>
      </c>
      <c r="H271" s="79"/>
      <c r="I271" s="79"/>
      <c r="J271" s="79"/>
      <c r="K271" s="274" t="s">
        <v>464</v>
      </c>
      <c r="L271" s="445" t="s">
        <v>57</v>
      </c>
      <c r="M271" s="444">
        <v>33064</v>
      </c>
      <c r="N271" s="444">
        <v>55000</v>
      </c>
      <c r="O271" s="446">
        <v>46314</v>
      </c>
      <c r="P271" s="447">
        <v>46176</v>
      </c>
      <c r="Q271" s="448">
        <v>46139</v>
      </c>
      <c r="R271" s="449" t="s">
        <v>37</v>
      </c>
      <c r="S271" s="332"/>
      <c r="T271" s="450"/>
      <c r="U271" s="332"/>
      <c r="V271" s="334"/>
      <c r="W271" s="334"/>
      <c r="AA271" s="451"/>
      <c r="AD271" s="452"/>
      <c r="AJ271" s="199"/>
      <c r="AK271" s="199"/>
      <c r="AL271" s="199"/>
      <c r="AM271" s="199"/>
    </row>
    <row r="272" spans="1:39" ht="13.5" hidden="1" customHeight="1">
      <c r="A272" s="1464">
        <v>37</v>
      </c>
      <c r="B272" s="442" t="s">
        <v>3766</v>
      </c>
      <c r="C272" s="822" t="s">
        <v>21</v>
      </c>
      <c r="D272" s="443" t="s">
        <v>3767</v>
      </c>
      <c r="E272" s="3"/>
      <c r="F272" s="674" t="s">
        <v>759</v>
      </c>
      <c r="G272" s="1486" t="s">
        <v>76</v>
      </c>
      <c r="H272" s="79"/>
      <c r="I272" s="79"/>
      <c r="J272" s="79"/>
      <c r="K272" s="274" t="s">
        <v>464</v>
      </c>
      <c r="L272" s="822" t="s">
        <v>1843</v>
      </c>
      <c r="M272" s="444">
        <v>32117</v>
      </c>
      <c r="N272" s="444">
        <v>54057</v>
      </c>
      <c r="O272" s="446">
        <v>46008</v>
      </c>
      <c r="P272" s="447">
        <v>46222</v>
      </c>
      <c r="Q272" s="448">
        <v>46369</v>
      </c>
      <c r="R272" s="449" t="s">
        <v>37</v>
      </c>
      <c r="S272" s="332"/>
      <c r="T272" s="1569" t="s">
        <v>3768</v>
      </c>
      <c r="U272" s="332"/>
      <c r="V272" s="334"/>
      <c r="W272" s="334"/>
      <c r="AA272" s="451"/>
      <c r="AD272" s="452"/>
      <c r="AJ272" s="199"/>
      <c r="AK272" s="199"/>
      <c r="AL272" s="199"/>
      <c r="AM272" s="199"/>
    </row>
    <row r="273" spans="1:39" ht="18.75" hidden="1">
      <c r="A273" s="1485">
        <v>38</v>
      </c>
      <c r="B273" s="442" t="s">
        <v>3769</v>
      </c>
      <c r="C273" s="822" t="s">
        <v>22</v>
      </c>
      <c r="D273" s="1682" t="s">
        <v>3770</v>
      </c>
      <c r="E273" s="3"/>
      <c r="F273" s="674" t="s">
        <v>759</v>
      </c>
      <c r="G273" s="337" t="s">
        <v>76</v>
      </c>
      <c r="H273" s="79"/>
      <c r="I273" s="79"/>
      <c r="J273" s="79"/>
      <c r="K273" s="274" t="s">
        <v>464</v>
      </c>
      <c r="L273" s="822" t="s">
        <v>1843</v>
      </c>
      <c r="M273" s="444">
        <v>34892</v>
      </c>
      <c r="N273" s="444">
        <v>56826</v>
      </c>
      <c r="O273" s="446">
        <v>46340</v>
      </c>
      <c r="P273" s="447">
        <v>46195</v>
      </c>
      <c r="Q273" s="448">
        <v>46238</v>
      </c>
      <c r="R273" s="449" t="s">
        <v>37</v>
      </c>
      <c r="S273" s="332"/>
      <c r="T273" s="450"/>
      <c r="U273" s="332"/>
      <c r="V273" s="334"/>
      <c r="W273" s="334"/>
      <c r="AA273" s="451"/>
      <c r="AD273" s="451"/>
      <c r="AJ273" s="199"/>
      <c r="AK273" s="199"/>
      <c r="AL273" s="199"/>
      <c r="AM273" s="199"/>
    </row>
    <row r="274" spans="1:39" ht="15.75" hidden="1">
      <c r="A274" s="1464">
        <v>39</v>
      </c>
      <c r="B274" s="442" t="s">
        <v>3771</v>
      </c>
      <c r="C274" s="822" t="s">
        <v>22</v>
      </c>
      <c r="D274" s="443" t="s">
        <v>3772</v>
      </c>
      <c r="E274" s="3"/>
      <c r="F274" s="674" t="s">
        <v>759</v>
      </c>
      <c r="G274" s="1486" t="s">
        <v>78</v>
      </c>
      <c r="H274" s="79"/>
      <c r="I274" s="79"/>
      <c r="J274" s="79"/>
      <c r="K274" s="274" t="s">
        <v>315</v>
      </c>
      <c r="L274" s="445" t="s">
        <v>58</v>
      </c>
      <c r="M274" s="444">
        <v>35656</v>
      </c>
      <c r="N274" s="444">
        <v>57588</v>
      </c>
      <c r="O274" s="446">
        <v>46314</v>
      </c>
      <c r="P274" s="447">
        <v>46176</v>
      </c>
      <c r="Q274" s="448">
        <v>46139</v>
      </c>
      <c r="R274" s="449" t="s">
        <v>37</v>
      </c>
      <c r="S274" s="332"/>
      <c r="T274" s="450"/>
      <c r="U274" s="332"/>
      <c r="V274" s="334"/>
      <c r="W274" s="334"/>
      <c r="AA274" s="451"/>
      <c r="AD274" s="452"/>
      <c r="AJ274" s="199"/>
      <c r="AK274" s="199"/>
      <c r="AL274" s="199"/>
      <c r="AM274" s="199"/>
    </row>
    <row r="275" spans="1:39" ht="18.75" hidden="1">
      <c r="A275" s="1464">
        <v>40</v>
      </c>
      <c r="B275" s="442" t="s">
        <v>3773</v>
      </c>
      <c r="C275" s="822" t="s">
        <v>22</v>
      </c>
      <c r="D275" s="1610" t="s">
        <v>3774</v>
      </c>
      <c r="E275" s="3"/>
      <c r="F275" s="674" t="s">
        <v>759</v>
      </c>
      <c r="G275" s="337" t="s">
        <v>76</v>
      </c>
      <c r="H275" s="79"/>
      <c r="I275" s="79"/>
      <c r="J275" s="79"/>
      <c r="K275" s="274" t="s">
        <v>464</v>
      </c>
      <c r="L275" s="822" t="s">
        <v>1843</v>
      </c>
      <c r="M275" s="444">
        <v>34492</v>
      </c>
      <c r="N275" s="444">
        <v>56430</v>
      </c>
      <c r="O275" s="446">
        <v>46340</v>
      </c>
      <c r="P275" s="447">
        <v>46195</v>
      </c>
      <c r="Q275" s="448">
        <v>46238</v>
      </c>
      <c r="R275" s="449" t="s">
        <v>37</v>
      </c>
      <c r="S275" s="332"/>
      <c r="T275" s="450"/>
      <c r="U275" s="332"/>
      <c r="V275" s="334"/>
      <c r="W275" s="334"/>
      <c r="AA275" s="451"/>
      <c r="AD275" s="451"/>
      <c r="AJ275" s="199"/>
      <c r="AK275" s="199"/>
      <c r="AL275" s="199"/>
      <c r="AM275" s="199"/>
    </row>
    <row r="276" spans="1:39" ht="15.75" hidden="1">
      <c r="A276" s="1485">
        <v>41</v>
      </c>
      <c r="B276" s="442" t="s">
        <v>3775</v>
      </c>
      <c r="C276" s="1681" t="s">
        <v>22</v>
      </c>
      <c r="D276" s="443" t="s">
        <v>3776</v>
      </c>
      <c r="E276" s="3"/>
      <c r="F276" s="674" t="s">
        <v>3258</v>
      </c>
      <c r="G276" s="1486" t="s">
        <v>76</v>
      </c>
      <c r="H276" s="79"/>
      <c r="I276" s="79"/>
      <c r="J276" s="79"/>
      <c r="K276" s="274" t="s">
        <v>464</v>
      </c>
      <c r="L276" s="445" t="s">
        <v>58</v>
      </c>
      <c r="M276" s="444">
        <v>33227</v>
      </c>
      <c r="N276" s="444">
        <v>55153</v>
      </c>
      <c r="O276" s="446">
        <v>46558</v>
      </c>
      <c r="P276" s="447">
        <v>46189</v>
      </c>
      <c r="Q276" s="448">
        <v>46867</v>
      </c>
      <c r="R276" s="449" t="s">
        <v>37</v>
      </c>
      <c r="S276" s="332"/>
      <c r="T276" s="450"/>
      <c r="U276" s="332"/>
      <c r="V276" s="334"/>
      <c r="W276" s="334"/>
      <c r="AA276" s="451"/>
      <c r="AD276" s="452"/>
      <c r="AJ276" s="199"/>
      <c r="AK276" s="199"/>
      <c r="AL276" s="199"/>
      <c r="AM276" s="199"/>
    </row>
    <row r="277" spans="1:39" ht="15.75" hidden="1">
      <c r="A277" s="1464">
        <v>42</v>
      </c>
      <c r="B277" s="442" t="s">
        <v>3777</v>
      </c>
      <c r="C277" s="1681" t="s">
        <v>22</v>
      </c>
      <c r="D277" s="443" t="s">
        <v>3778</v>
      </c>
      <c r="E277" s="3"/>
      <c r="F277" s="674" t="s">
        <v>759</v>
      </c>
      <c r="G277" s="1486" t="s">
        <v>76</v>
      </c>
      <c r="H277" s="79"/>
      <c r="I277" s="79"/>
      <c r="J277" s="79"/>
      <c r="K277" s="274" t="s">
        <v>464</v>
      </c>
      <c r="L277" s="822" t="s">
        <v>1843</v>
      </c>
      <c r="M277" s="444">
        <v>30256</v>
      </c>
      <c r="N277" s="444">
        <v>52170</v>
      </c>
      <c r="O277" s="446">
        <v>46692</v>
      </c>
      <c r="P277" s="447">
        <v>46871</v>
      </c>
      <c r="Q277" s="448">
        <v>46513</v>
      </c>
      <c r="R277" s="449" t="s">
        <v>37</v>
      </c>
      <c r="S277" s="332"/>
      <c r="T277" s="450"/>
      <c r="U277" s="332"/>
      <c r="V277" s="334"/>
      <c r="W277" s="334"/>
      <c r="AA277" s="451"/>
      <c r="AD277" s="452"/>
      <c r="AJ277" s="199"/>
      <c r="AK277" s="199"/>
      <c r="AL277" s="199"/>
      <c r="AM277" s="199"/>
    </row>
    <row r="278" spans="1:39" ht="15.75" hidden="1">
      <c r="A278" s="1464">
        <v>43</v>
      </c>
      <c r="B278" s="442" t="s">
        <v>3779</v>
      </c>
      <c r="C278" s="822" t="s">
        <v>22</v>
      </c>
      <c r="D278" s="443" t="s">
        <v>3780</v>
      </c>
      <c r="E278" s="3"/>
      <c r="F278" s="674" t="s">
        <v>759</v>
      </c>
      <c r="G278" s="1486" t="s">
        <v>76</v>
      </c>
      <c r="H278" s="79"/>
      <c r="I278" s="79"/>
      <c r="J278" s="79"/>
      <c r="K278" s="274" t="s">
        <v>464</v>
      </c>
      <c r="L278" s="445" t="s">
        <v>57</v>
      </c>
      <c r="M278" s="444">
        <v>33744</v>
      </c>
      <c r="N278" s="444">
        <v>55670</v>
      </c>
      <c r="O278" s="446">
        <v>46526</v>
      </c>
      <c r="P278" s="447">
        <v>46294</v>
      </c>
      <c r="Q278" s="448">
        <v>46619</v>
      </c>
      <c r="R278" s="449" t="s">
        <v>37</v>
      </c>
      <c r="S278" s="332"/>
      <c r="T278" s="450"/>
      <c r="U278" s="332"/>
      <c r="V278" s="334"/>
      <c r="W278" s="334"/>
      <c r="AA278" s="451"/>
      <c r="AD278" s="452"/>
      <c r="AJ278" s="199"/>
      <c r="AK278" s="199"/>
      <c r="AL278" s="199"/>
      <c r="AM278" s="199"/>
    </row>
    <row r="279" spans="1:39" ht="15.75" hidden="1" customHeight="1">
      <c r="A279" s="944">
        <v>69</v>
      </c>
      <c r="B279" s="426" t="s">
        <v>3781</v>
      </c>
      <c r="C279" s="18" t="s">
        <v>21</v>
      </c>
      <c r="D279" s="427" t="s">
        <v>3782</v>
      </c>
      <c r="E279" s="18" t="s">
        <v>3783</v>
      </c>
      <c r="F279" s="674" t="s">
        <v>759</v>
      </c>
      <c r="G279" s="18" t="s">
        <v>76</v>
      </c>
      <c r="H279" s="275"/>
      <c r="I279" s="475">
        <v>9735225650</v>
      </c>
      <c r="J279" s="433"/>
      <c r="K279" s="274" t="s">
        <v>464</v>
      </c>
      <c r="L279" s="303" t="s">
        <v>256</v>
      </c>
      <c r="M279" s="418">
        <v>33810</v>
      </c>
      <c r="N279" s="418">
        <v>55731</v>
      </c>
      <c r="O279" s="428">
        <v>46154</v>
      </c>
      <c r="P279" s="272">
        <v>45566</v>
      </c>
      <c r="Q279" s="418">
        <v>45605</v>
      </c>
      <c r="R279" s="449" t="s">
        <v>313</v>
      </c>
      <c r="S279" s="429" t="s">
        <v>3784</v>
      </c>
      <c r="T279" s="281" t="s">
        <v>3785</v>
      </c>
      <c r="U279" s="280"/>
      <c r="V279" s="280"/>
      <c r="W279" s="282"/>
      <c r="X279" s="79"/>
    </row>
    <row r="280" spans="1:39" ht="15.75" hidden="1" customHeight="1">
      <c r="A280" s="944">
        <v>61</v>
      </c>
      <c r="B280" s="426" t="s">
        <v>3786</v>
      </c>
      <c r="C280" s="1121" t="s">
        <v>21</v>
      </c>
      <c r="D280" s="427" t="s">
        <v>3787</v>
      </c>
      <c r="E280" s="1676" t="s">
        <v>3788</v>
      </c>
      <c r="F280" s="674" t="s">
        <v>759</v>
      </c>
      <c r="G280" s="18" t="s">
        <v>77</v>
      </c>
      <c r="H280" s="275"/>
      <c r="I280" s="475">
        <v>919635751739</v>
      </c>
      <c r="J280" s="433"/>
      <c r="K280" s="274" t="s">
        <v>253</v>
      </c>
      <c r="L280" s="274" t="s">
        <v>64</v>
      </c>
      <c r="M280" s="418">
        <v>32152</v>
      </c>
      <c r="N280" s="418">
        <v>54088</v>
      </c>
      <c r="O280" s="428">
        <v>45867</v>
      </c>
      <c r="P280" s="418">
        <v>45485</v>
      </c>
      <c r="Q280" s="418">
        <v>45353</v>
      </c>
      <c r="R280" s="449" t="s">
        <v>313</v>
      </c>
      <c r="S280" s="281" t="s">
        <v>3789</v>
      </c>
      <c r="T280" s="638" t="s">
        <v>3790</v>
      </c>
      <c r="U280" s="280"/>
      <c r="V280" s="280"/>
      <c r="W280" s="282">
        <f ca="1">INT((TODAY()-M280)/365)</f>
        <v>38</v>
      </c>
      <c r="X280" s="79"/>
      <c r="Y280" s="79"/>
      <c r="Z280" s="79"/>
      <c r="AA280" s="79"/>
    </row>
    <row r="281" spans="1:39" ht="15.75" hidden="1">
      <c r="A281" s="944">
        <v>14</v>
      </c>
      <c r="B281" s="426" t="s">
        <v>3791</v>
      </c>
      <c r="C281" s="1121" t="s">
        <v>21</v>
      </c>
      <c r="D281" s="420" t="s">
        <v>3792</v>
      </c>
      <c r="E281" s="137" t="s">
        <v>3793</v>
      </c>
      <c r="F281" s="946" t="s">
        <v>759</v>
      </c>
      <c r="G281" s="18" t="s">
        <v>77</v>
      </c>
      <c r="H281" s="275"/>
      <c r="I281" s="137">
        <v>9230881739</v>
      </c>
      <c r="J281" s="3"/>
      <c r="K281" s="391" t="s">
        <v>334</v>
      </c>
      <c r="L281" s="1362" t="s">
        <v>59</v>
      </c>
      <c r="M281" s="418">
        <v>30557</v>
      </c>
      <c r="N281" s="418">
        <v>52474</v>
      </c>
      <c r="O281" s="428">
        <v>46151</v>
      </c>
      <c r="P281" s="418">
        <v>45325</v>
      </c>
      <c r="Q281" s="418">
        <v>45325</v>
      </c>
      <c r="R281" s="449" t="s">
        <v>313</v>
      </c>
      <c r="S281" s="280"/>
      <c r="T281" s="1363" t="s">
        <v>3794</v>
      </c>
      <c r="U281" s="281" t="s">
        <v>3795</v>
      </c>
      <c r="V281" s="382">
        <f>LEN(D281)</f>
        <v>11</v>
      </c>
      <c r="W281" s="79"/>
      <c r="X281" s="79"/>
      <c r="Y281" s="79"/>
      <c r="Z281" s="79"/>
      <c r="AA281" s="79"/>
      <c r="AB281" s="311">
        <f ca="1">INT((TODAY()-M281)/365)</f>
        <v>42</v>
      </c>
    </row>
    <row r="282" spans="1:39" ht="15.75" hidden="1" customHeight="1">
      <c r="A282" s="944">
        <v>16</v>
      </c>
      <c r="B282" s="426" t="s">
        <v>3796</v>
      </c>
      <c r="C282" s="1121" t="s">
        <v>21</v>
      </c>
      <c r="D282" s="1570" t="s">
        <v>3797</v>
      </c>
      <c r="E282" s="18" t="s">
        <v>3798</v>
      </c>
      <c r="F282" s="970" t="s">
        <v>759</v>
      </c>
      <c r="G282" s="18" t="s">
        <v>76</v>
      </c>
      <c r="H282" s="275"/>
      <c r="I282" s="18">
        <v>9002562645</v>
      </c>
      <c r="J282" s="433"/>
      <c r="K282" s="274" t="s">
        <v>464</v>
      </c>
      <c r="L282" s="18" t="s">
        <v>55</v>
      </c>
      <c r="M282" s="418">
        <v>33226</v>
      </c>
      <c r="N282" s="418">
        <v>55153</v>
      </c>
      <c r="O282" s="428">
        <v>45959</v>
      </c>
      <c r="P282" s="418">
        <v>45248</v>
      </c>
      <c r="Q282" s="1683">
        <v>46117</v>
      </c>
      <c r="R282" s="449" t="s">
        <v>313</v>
      </c>
      <c r="S282" s="281" t="s">
        <v>3799</v>
      </c>
      <c r="T282" s="281" t="s">
        <v>3800</v>
      </c>
      <c r="U282" s="280"/>
      <c r="V282" s="280"/>
      <c r="W282" s="79"/>
      <c r="X282" s="282">
        <f ca="1">INT((TODAY()-M282)/365)</f>
        <v>35</v>
      </c>
    </row>
    <row r="283" spans="1:39" ht="15.75" hidden="1" customHeight="1">
      <c r="A283" s="944">
        <v>27</v>
      </c>
      <c r="B283" s="426" t="s">
        <v>3801</v>
      </c>
      <c r="C283" s="1121" t="s">
        <v>21</v>
      </c>
      <c r="D283" s="427" t="s">
        <v>3802</v>
      </c>
      <c r="E283" s="681" t="s">
        <v>3803</v>
      </c>
      <c r="F283" s="674" t="s">
        <v>759</v>
      </c>
      <c r="G283" s="18" t="s">
        <v>76</v>
      </c>
      <c r="H283" s="275"/>
      <c r="I283" s="3"/>
      <c r="J283" s="3"/>
      <c r="K283" s="284" t="s">
        <v>330</v>
      </c>
      <c r="L283" s="18" t="s">
        <v>61</v>
      </c>
      <c r="M283" s="418">
        <v>31549</v>
      </c>
      <c r="N283" s="418">
        <v>53478</v>
      </c>
      <c r="O283" s="428">
        <v>45959</v>
      </c>
      <c r="P283" s="418">
        <v>45165</v>
      </c>
      <c r="Q283" s="418">
        <v>46117</v>
      </c>
      <c r="R283" s="449" t="s">
        <v>313</v>
      </c>
      <c r="S283" s="281" t="s">
        <v>3804</v>
      </c>
      <c r="T283" s="281" t="s">
        <v>3805</v>
      </c>
      <c r="U283" s="280"/>
      <c r="V283" s="280"/>
      <c r="W283" s="208">
        <f ca="1">INT((TODAY()-M283)/365)</f>
        <v>39</v>
      </c>
      <c r="Y283" s="90"/>
      <c r="AB283" s="311"/>
    </row>
    <row r="284" spans="1:39" ht="18.75" hidden="1">
      <c r="A284" s="1051"/>
      <c r="B284" s="1684" t="s">
        <v>3806</v>
      </c>
      <c r="C284" s="274" t="s">
        <v>22</v>
      </c>
      <c r="D284" s="1685" t="s">
        <v>3807</v>
      </c>
      <c r="E284" s="620"/>
      <c r="F284" s="946" t="s">
        <v>759</v>
      </c>
      <c r="G284" s="337"/>
      <c r="H284" s="303"/>
      <c r="I284" s="1643"/>
      <c r="J284" s="307"/>
      <c r="K284" s="275" t="s">
        <v>315</v>
      </c>
      <c r="L284" s="1686" t="s">
        <v>44</v>
      </c>
      <c r="M284" s="315">
        <v>36077</v>
      </c>
      <c r="N284" s="315">
        <f t="shared" ref="N284:N287" si="11">EOMONTH(M284,(12*60))</f>
        <v>58014</v>
      </c>
      <c r="O284" s="315"/>
      <c r="P284" s="272"/>
      <c r="Q284" s="272"/>
      <c r="R284" s="449" t="s">
        <v>313</v>
      </c>
      <c r="S284" s="318" t="s">
        <v>3808</v>
      </c>
      <c r="T284" s="317"/>
      <c r="U284" s="285"/>
      <c r="V284" s="285"/>
      <c r="W284" s="3"/>
      <c r="X284" s="90"/>
      <c r="Y284" s="311"/>
      <c r="Z284" s="311"/>
      <c r="AA284" s="311"/>
      <c r="AB284" s="311"/>
      <c r="AC284" s="311"/>
      <c r="AD284" s="311"/>
      <c r="AE284" s="311"/>
      <c r="AF284" s="311"/>
      <c r="AG284" s="311"/>
      <c r="AH284" s="311"/>
      <c r="AI284" s="311"/>
      <c r="AJ284" s="311"/>
      <c r="AK284" s="311"/>
      <c r="AL284" s="311"/>
      <c r="AM284" s="311"/>
    </row>
    <row r="285" spans="1:39" ht="18.75" hidden="1">
      <c r="A285" s="1051"/>
      <c r="B285" s="1684" t="s">
        <v>3809</v>
      </c>
      <c r="C285" s="274" t="s">
        <v>22</v>
      </c>
      <c r="D285" s="1685" t="s">
        <v>3810</v>
      </c>
      <c r="E285" s="620"/>
      <c r="F285" s="946" t="s">
        <v>759</v>
      </c>
      <c r="G285" s="337"/>
      <c r="H285" s="303"/>
      <c r="I285" s="1643"/>
      <c r="J285" s="307"/>
      <c r="K285" s="275" t="s">
        <v>315</v>
      </c>
      <c r="L285" s="1686" t="s">
        <v>351</v>
      </c>
      <c r="M285" s="315">
        <v>35836</v>
      </c>
      <c r="N285" s="315">
        <f t="shared" si="11"/>
        <v>57769</v>
      </c>
      <c r="O285" s="315"/>
      <c r="P285" s="272"/>
      <c r="Q285" s="272"/>
      <c r="R285" s="449" t="s">
        <v>37</v>
      </c>
      <c r="S285" s="318" t="s">
        <v>3811</v>
      </c>
      <c r="T285" s="317"/>
      <c r="U285" s="285"/>
      <c r="V285" s="285"/>
      <c r="W285" s="3"/>
      <c r="X285" s="90"/>
      <c r="Y285" s="311"/>
      <c r="Z285" s="311"/>
      <c r="AA285" s="311"/>
      <c r="AB285" s="311"/>
      <c r="AC285" s="311"/>
      <c r="AD285" s="311"/>
      <c r="AE285" s="311"/>
      <c r="AF285" s="311"/>
      <c r="AG285" s="311"/>
      <c r="AH285" s="311"/>
      <c r="AI285" s="311"/>
      <c r="AJ285" s="311"/>
      <c r="AK285" s="311"/>
      <c r="AL285" s="311"/>
      <c r="AM285" s="311"/>
    </row>
    <row r="286" spans="1:39" ht="18.75" hidden="1">
      <c r="A286" s="1051"/>
      <c r="B286" s="1684" t="s">
        <v>3812</v>
      </c>
      <c r="C286" s="274" t="s">
        <v>22</v>
      </c>
      <c r="D286" s="1685" t="s">
        <v>3813</v>
      </c>
      <c r="E286" s="620"/>
      <c r="F286" s="946" t="s">
        <v>759</v>
      </c>
      <c r="G286" s="337"/>
      <c r="H286" s="303"/>
      <c r="I286" s="1643"/>
      <c r="J286" s="307"/>
      <c r="K286" s="275" t="s">
        <v>315</v>
      </c>
      <c r="L286" s="274" t="s">
        <v>299</v>
      </c>
      <c r="M286" s="315">
        <v>36234</v>
      </c>
      <c r="N286" s="315">
        <f t="shared" si="11"/>
        <v>58165</v>
      </c>
      <c r="O286" s="315"/>
      <c r="P286" s="272"/>
      <c r="Q286" s="272"/>
      <c r="R286" s="449" t="s">
        <v>313</v>
      </c>
      <c r="S286" s="318" t="s">
        <v>3814</v>
      </c>
      <c r="T286" s="317"/>
      <c r="U286" s="285"/>
      <c r="V286" s="285"/>
      <c r="W286" s="3"/>
      <c r="X286" s="90"/>
      <c r="Y286" s="311"/>
      <c r="Z286" s="311"/>
      <c r="AA286" s="311"/>
      <c r="AB286" s="311"/>
      <c r="AC286" s="311"/>
      <c r="AD286" s="311"/>
      <c r="AE286" s="311"/>
      <c r="AF286" s="311"/>
      <c r="AG286" s="311"/>
      <c r="AH286" s="311"/>
      <c r="AI286" s="311"/>
      <c r="AJ286" s="311"/>
      <c r="AK286" s="311"/>
      <c r="AL286" s="311"/>
      <c r="AM286" s="311"/>
    </row>
    <row r="287" spans="1:39" ht="15.75" hidden="1" customHeight="1">
      <c r="A287" s="1566">
        <v>64</v>
      </c>
      <c r="B287" s="1687" t="s">
        <v>3815</v>
      </c>
      <c r="C287" s="18" t="s">
        <v>22</v>
      </c>
      <c r="D287" s="1688">
        <v>3329803133</v>
      </c>
      <c r="E287" s="1689" t="s">
        <v>3816</v>
      </c>
      <c r="F287" s="1690" t="s">
        <v>759</v>
      </c>
      <c r="G287" s="337" t="s">
        <v>77</v>
      </c>
      <c r="H287" s="1689"/>
      <c r="I287" s="275"/>
      <c r="J287" s="275"/>
      <c r="K287" s="274" t="s">
        <v>464</v>
      </c>
      <c r="L287" s="274" t="s">
        <v>52</v>
      </c>
      <c r="M287" s="272">
        <v>34313</v>
      </c>
      <c r="N287" s="272">
        <f t="shared" si="11"/>
        <v>56249</v>
      </c>
      <c r="O287" s="272"/>
      <c r="P287" s="279"/>
      <c r="Q287" s="272"/>
      <c r="R287" s="449" t="s">
        <v>313</v>
      </c>
      <c r="S287" s="638" t="s">
        <v>3817</v>
      </c>
      <c r="T287" s="952"/>
      <c r="U287" s="952"/>
      <c r="V287" s="382"/>
      <c r="W287" s="382"/>
      <c r="X287" s="282">
        <f ca="1">INT((TODAY()-M287)/365)</f>
        <v>32</v>
      </c>
      <c r="Y287" s="79"/>
      <c r="Z287" s="79"/>
    </row>
    <row r="288" spans="1:39" ht="15.75" hidden="1" customHeight="1">
      <c r="A288" s="1051"/>
      <c r="B288" s="1687" t="s">
        <v>3818</v>
      </c>
      <c r="C288" s="18" t="s">
        <v>22</v>
      </c>
      <c r="D288" s="1691" t="s">
        <v>3819</v>
      </c>
      <c r="E288" s="1689" t="s">
        <v>3820</v>
      </c>
      <c r="F288" s="1690" t="s">
        <v>759</v>
      </c>
      <c r="G288" s="337" t="s">
        <v>76</v>
      </c>
      <c r="H288" s="1689"/>
      <c r="I288" s="1643"/>
      <c r="J288" s="307"/>
      <c r="K288" s="274" t="s">
        <v>464</v>
      </c>
      <c r="L288" s="274" t="s">
        <v>61</v>
      </c>
      <c r="M288" s="272">
        <v>36224</v>
      </c>
      <c r="N288" s="315">
        <v>58165</v>
      </c>
      <c r="O288" s="315"/>
      <c r="P288" s="272"/>
      <c r="Q288" s="272"/>
      <c r="R288" s="449" t="s">
        <v>313</v>
      </c>
      <c r="S288" s="318" t="s">
        <v>3821</v>
      </c>
      <c r="T288" s="317"/>
      <c r="U288" s="285"/>
      <c r="V288" s="285"/>
      <c r="W288" s="3"/>
      <c r="X288" s="3"/>
      <c r="Y288" s="382"/>
      <c r="Z288" s="382"/>
      <c r="AA288" s="311"/>
      <c r="AB288" s="311"/>
      <c r="AC288" s="311"/>
      <c r="AD288" s="311"/>
      <c r="AE288" s="311"/>
      <c r="AF288" s="311"/>
      <c r="AG288" s="311"/>
      <c r="AH288" s="311"/>
      <c r="AI288" s="311"/>
      <c r="AJ288" s="311"/>
      <c r="AK288" s="311"/>
      <c r="AL288" s="311"/>
      <c r="AM288" s="311"/>
    </row>
    <row r="289" spans="1:39" ht="15.75" hidden="1" customHeight="1">
      <c r="A289" s="79"/>
      <c r="B289" s="1687" t="s">
        <v>3822</v>
      </c>
      <c r="C289" s="18" t="s">
        <v>22</v>
      </c>
      <c r="D289" s="1689">
        <v>12629801127</v>
      </c>
      <c r="E289" s="1689" t="s">
        <v>3823</v>
      </c>
      <c r="F289" s="1690" t="s">
        <v>759</v>
      </c>
      <c r="G289" s="337" t="s">
        <v>76</v>
      </c>
      <c r="H289" s="1689"/>
      <c r="I289" s="79"/>
      <c r="J289" s="79"/>
      <c r="K289" s="274" t="s">
        <v>464</v>
      </c>
      <c r="L289" s="274" t="s">
        <v>52</v>
      </c>
      <c r="M289" s="272">
        <v>34093</v>
      </c>
      <c r="N289" s="272">
        <f t="shared" ref="N289:N299" si="12">EOMONTH(M289,(12*60))</f>
        <v>56035</v>
      </c>
      <c r="O289" s="79"/>
      <c r="P289" s="79"/>
      <c r="Q289" s="79"/>
      <c r="R289" s="449" t="s">
        <v>313</v>
      </c>
      <c r="S289" s="638" t="s">
        <v>3824</v>
      </c>
      <c r="T289" s="79"/>
      <c r="U289" s="79"/>
      <c r="V289" s="79"/>
      <c r="W289" s="79"/>
      <c r="X289" s="79"/>
      <c r="Y289" s="79"/>
      <c r="Z289" s="79"/>
    </row>
    <row r="290" spans="1:39" ht="15.75" hidden="1" customHeight="1">
      <c r="A290" s="1566">
        <v>65</v>
      </c>
      <c r="B290" s="1687" t="s">
        <v>3825</v>
      </c>
      <c r="C290" s="18" t="s">
        <v>22</v>
      </c>
      <c r="D290" s="1688">
        <v>3329806849</v>
      </c>
      <c r="E290" s="1689" t="s">
        <v>3826</v>
      </c>
      <c r="F290" s="1690" t="s">
        <v>759</v>
      </c>
      <c r="G290" s="337" t="s">
        <v>76</v>
      </c>
      <c r="H290" s="1689"/>
      <c r="I290" s="275"/>
      <c r="J290" s="275"/>
      <c r="K290" s="274" t="s">
        <v>464</v>
      </c>
      <c r="L290" s="274" t="s">
        <v>52</v>
      </c>
      <c r="M290" s="272">
        <v>36068</v>
      </c>
      <c r="N290" s="272">
        <f t="shared" si="12"/>
        <v>57983</v>
      </c>
      <c r="O290" s="272"/>
      <c r="P290" s="278"/>
      <c r="Q290" s="279"/>
      <c r="R290" s="449" t="s">
        <v>313</v>
      </c>
      <c r="S290" s="638" t="s">
        <v>3827</v>
      </c>
      <c r="T290" s="952"/>
      <c r="U290" s="952"/>
      <c r="V290" s="382"/>
      <c r="W290" s="382"/>
      <c r="X290" s="282">
        <f ca="1">INT((TODAY()-M290)/365)</f>
        <v>27</v>
      </c>
      <c r="Y290" s="382"/>
      <c r="Z290" s="79"/>
      <c r="AB290" s="311"/>
      <c r="AC290" s="311"/>
      <c r="AD290" s="311"/>
      <c r="AE290" s="311"/>
      <c r="AF290" s="311"/>
      <c r="AG290" s="311"/>
      <c r="AH290" s="311"/>
      <c r="AI290" s="311"/>
      <c r="AJ290" s="311"/>
      <c r="AK290" s="311"/>
      <c r="AL290" s="311"/>
      <c r="AM290" s="311"/>
    </row>
    <row r="291" spans="1:39" ht="15.75" hidden="1" customHeight="1">
      <c r="A291" s="1586"/>
      <c r="B291" s="1687" t="s">
        <v>3828</v>
      </c>
      <c r="C291" s="18" t="s">
        <v>22</v>
      </c>
      <c r="D291" s="1691" t="s">
        <v>3829</v>
      </c>
      <c r="E291" s="1689" t="s">
        <v>3830</v>
      </c>
      <c r="F291" s="946" t="s">
        <v>759</v>
      </c>
      <c r="G291" s="337" t="s">
        <v>76</v>
      </c>
      <c r="H291" s="1689"/>
      <c r="I291" s="1586"/>
      <c r="J291" s="1586"/>
      <c r="K291" s="275" t="s">
        <v>290</v>
      </c>
      <c r="L291" s="274" t="s">
        <v>54</v>
      </c>
      <c r="M291" s="418">
        <v>33826</v>
      </c>
      <c r="N291" s="315">
        <f t="shared" si="12"/>
        <v>55762</v>
      </c>
      <c r="O291" s="602"/>
      <c r="P291" s="602"/>
      <c r="Q291" s="602"/>
      <c r="R291" s="449" t="s">
        <v>37</v>
      </c>
      <c r="S291" s="486" t="s">
        <v>3831</v>
      </c>
      <c r="T291" s="485"/>
      <c r="U291" s="485"/>
      <c r="V291" s="382"/>
      <c r="W291" s="311"/>
      <c r="X291" s="1647"/>
      <c r="Y291" s="311"/>
      <c r="Z291" s="311"/>
      <c r="AA291" s="311"/>
      <c r="AB291" s="311"/>
      <c r="AC291" s="311"/>
      <c r="AD291" s="311"/>
      <c r="AE291" s="311"/>
      <c r="AF291" s="311"/>
      <c r="AG291" s="311"/>
      <c r="AH291" s="311"/>
      <c r="AI291" s="311"/>
      <c r="AJ291" s="311"/>
      <c r="AK291" s="311"/>
      <c r="AL291" s="311"/>
      <c r="AM291" s="311"/>
    </row>
    <row r="292" spans="1:39" ht="15.75" hidden="1" customHeight="1">
      <c r="A292" s="1586"/>
      <c r="B292" s="1687" t="s">
        <v>3832</v>
      </c>
      <c r="C292" s="18" t="s">
        <v>22</v>
      </c>
      <c r="D292" s="1691" t="s">
        <v>3833</v>
      </c>
      <c r="E292" s="1689" t="s">
        <v>3834</v>
      </c>
      <c r="F292" s="946" t="s">
        <v>759</v>
      </c>
      <c r="G292" s="337" t="s">
        <v>76</v>
      </c>
      <c r="H292" s="1689"/>
      <c r="I292" s="1586"/>
      <c r="J292" s="1586"/>
      <c r="K292" s="275" t="s">
        <v>290</v>
      </c>
      <c r="L292" s="1133" t="s">
        <v>417</v>
      </c>
      <c r="M292" s="418">
        <v>35271</v>
      </c>
      <c r="N292" s="315">
        <f t="shared" si="12"/>
        <v>57192</v>
      </c>
      <c r="O292" s="602"/>
      <c r="P292" s="602"/>
      <c r="Q292" s="602"/>
      <c r="R292" s="449" t="s">
        <v>37</v>
      </c>
      <c r="S292" s="486" t="s">
        <v>3835</v>
      </c>
      <c r="T292" s="485"/>
      <c r="U292" s="485"/>
      <c r="V292" s="382"/>
      <c r="W292" s="382"/>
      <c r="X292" s="1647"/>
      <c r="Y292" s="311"/>
      <c r="Z292" s="311"/>
      <c r="AA292" s="311"/>
      <c r="AB292" s="311"/>
      <c r="AC292" s="311"/>
      <c r="AD292" s="311"/>
      <c r="AE292" s="311"/>
      <c r="AF292" s="311"/>
      <c r="AG292" s="311"/>
      <c r="AH292" s="311"/>
      <c r="AI292" s="311"/>
      <c r="AJ292" s="311"/>
      <c r="AK292" s="311"/>
      <c r="AL292" s="311"/>
      <c r="AM292" s="311"/>
    </row>
    <row r="293" spans="1:39" ht="15.75" hidden="1" customHeight="1">
      <c r="A293" s="1586"/>
      <c r="B293" s="1687" t="s">
        <v>3836</v>
      </c>
      <c r="C293" s="18" t="s">
        <v>22</v>
      </c>
      <c r="D293" s="1691" t="s">
        <v>3837</v>
      </c>
      <c r="E293" s="1689" t="s">
        <v>3838</v>
      </c>
      <c r="F293" s="674" t="s">
        <v>759</v>
      </c>
      <c r="G293" s="337" t="s">
        <v>76</v>
      </c>
      <c r="H293" s="1689"/>
      <c r="I293" s="1586"/>
      <c r="J293" s="1586"/>
      <c r="K293" s="275" t="s">
        <v>290</v>
      </c>
      <c r="L293" s="274" t="s">
        <v>299</v>
      </c>
      <c r="M293" s="418">
        <v>34760</v>
      </c>
      <c r="N293" s="315">
        <f t="shared" si="12"/>
        <v>56704</v>
      </c>
      <c r="O293" s="602"/>
      <c r="P293" s="602"/>
      <c r="Q293" s="602"/>
      <c r="R293" s="449" t="s">
        <v>313</v>
      </c>
      <c r="S293" s="486" t="s">
        <v>3839</v>
      </c>
      <c r="T293" s="485"/>
      <c r="U293" s="485"/>
      <c r="V293" s="382"/>
      <c r="W293" s="382"/>
      <c r="X293" s="1647"/>
      <c r="Y293" s="311"/>
      <c r="Z293" s="311"/>
      <c r="AA293" s="311"/>
      <c r="AB293" s="311"/>
      <c r="AC293" s="311"/>
      <c r="AD293" s="311"/>
      <c r="AE293" s="311"/>
      <c r="AF293" s="311"/>
      <c r="AG293" s="311"/>
      <c r="AH293" s="311"/>
      <c r="AI293" s="311"/>
      <c r="AJ293" s="311"/>
      <c r="AK293" s="311"/>
      <c r="AL293" s="311"/>
      <c r="AM293" s="311"/>
    </row>
    <row r="294" spans="1:39" ht="15.75" hidden="1" customHeight="1">
      <c r="A294" s="1586"/>
      <c r="B294" s="1687" t="s">
        <v>3840</v>
      </c>
      <c r="C294" s="18" t="s">
        <v>22</v>
      </c>
      <c r="D294" s="1691" t="s">
        <v>3841</v>
      </c>
      <c r="E294" s="1689" t="s">
        <v>3842</v>
      </c>
      <c r="F294" s="674" t="s">
        <v>759</v>
      </c>
      <c r="G294" s="337" t="s">
        <v>76</v>
      </c>
      <c r="H294" s="1689"/>
      <c r="I294" s="1586"/>
      <c r="J294" s="1586"/>
      <c r="K294" s="275" t="s">
        <v>290</v>
      </c>
      <c r="L294" s="1133" t="s">
        <v>351</v>
      </c>
      <c r="M294" s="418">
        <v>35794</v>
      </c>
      <c r="N294" s="315">
        <f t="shared" si="12"/>
        <v>57710</v>
      </c>
      <c r="O294" s="602"/>
      <c r="P294" s="602"/>
      <c r="Q294" s="602"/>
      <c r="R294" s="449" t="s">
        <v>313</v>
      </c>
      <c r="S294" s="486" t="s">
        <v>3843</v>
      </c>
      <c r="T294" s="485"/>
      <c r="U294" s="485"/>
      <c r="V294" s="382"/>
      <c r="W294" s="382"/>
      <c r="X294" s="1647"/>
      <c r="Y294" s="311"/>
      <c r="Z294" s="311"/>
      <c r="AA294" s="311"/>
      <c r="AB294" s="311"/>
      <c r="AC294" s="311"/>
      <c r="AD294" s="311"/>
      <c r="AE294" s="311"/>
      <c r="AF294" s="311"/>
      <c r="AG294" s="311"/>
      <c r="AH294" s="311"/>
      <c r="AI294" s="311"/>
      <c r="AJ294" s="311"/>
      <c r="AK294" s="311"/>
      <c r="AL294" s="311"/>
      <c r="AM294" s="311"/>
    </row>
    <row r="295" spans="1:39" ht="18.75" hidden="1">
      <c r="A295" s="1051"/>
      <c r="B295" s="1684" t="s">
        <v>3844</v>
      </c>
      <c r="C295" s="274" t="s">
        <v>22</v>
      </c>
      <c r="D295" s="1685" t="s">
        <v>3845</v>
      </c>
      <c r="E295" s="620"/>
      <c r="F295" s="946" t="s">
        <v>759</v>
      </c>
      <c r="G295" s="337" t="s">
        <v>76</v>
      </c>
      <c r="H295" s="303"/>
      <c r="I295" s="1643"/>
      <c r="J295" s="307"/>
      <c r="K295" s="275" t="s">
        <v>315</v>
      </c>
      <c r="L295" s="1686" t="s">
        <v>572</v>
      </c>
      <c r="M295" s="315">
        <v>35254</v>
      </c>
      <c r="N295" s="315">
        <f t="shared" si="12"/>
        <v>57192</v>
      </c>
      <c r="O295" s="315"/>
      <c r="P295" s="272"/>
      <c r="Q295" s="272"/>
      <c r="R295" s="449" t="s">
        <v>37</v>
      </c>
      <c r="S295" s="318" t="s">
        <v>3846</v>
      </c>
      <c r="T295" s="317"/>
      <c r="U295" s="285"/>
      <c r="V295" s="285"/>
      <c r="W295" s="3"/>
      <c r="X295" s="90"/>
      <c r="Y295" s="311"/>
      <c r="Z295" s="311"/>
      <c r="AA295" s="311"/>
      <c r="AB295" s="311"/>
      <c r="AC295" s="311"/>
      <c r="AD295" s="311"/>
      <c r="AE295" s="311"/>
      <c r="AF295" s="311"/>
      <c r="AG295" s="311"/>
      <c r="AH295" s="311"/>
      <c r="AI295" s="311"/>
      <c r="AJ295" s="311"/>
      <c r="AK295" s="311"/>
      <c r="AL295" s="311"/>
      <c r="AM295" s="311"/>
    </row>
    <row r="296" spans="1:39" ht="18.75" hidden="1">
      <c r="A296" s="1051"/>
      <c r="B296" s="1684" t="s">
        <v>222</v>
      </c>
      <c r="C296" s="274" t="s">
        <v>22</v>
      </c>
      <c r="D296" s="1685" t="s">
        <v>3847</v>
      </c>
      <c r="E296" s="620"/>
      <c r="F296" s="946" t="s">
        <v>759</v>
      </c>
      <c r="G296" s="337"/>
      <c r="H296" s="303"/>
      <c r="I296" s="1643"/>
      <c r="J296" s="307"/>
      <c r="K296" s="275" t="s">
        <v>315</v>
      </c>
      <c r="L296" s="274" t="s">
        <v>69</v>
      </c>
      <c r="M296" s="315">
        <v>36165</v>
      </c>
      <c r="N296" s="315">
        <f t="shared" si="12"/>
        <v>58106</v>
      </c>
      <c r="O296" s="315"/>
      <c r="P296" s="272"/>
      <c r="Q296" s="272"/>
      <c r="R296" s="449" t="s">
        <v>37</v>
      </c>
      <c r="S296" s="318" t="s">
        <v>3848</v>
      </c>
      <c r="T296" s="317"/>
      <c r="U296" s="285"/>
      <c r="V296" s="285"/>
      <c r="W296" s="3"/>
      <c r="X296" s="90"/>
      <c r="Y296" s="311"/>
      <c r="Z296" s="311"/>
      <c r="AA296" s="311"/>
      <c r="AB296" s="311"/>
      <c r="AC296" s="311"/>
      <c r="AD296" s="311"/>
      <c r="AE296" s="311"/>
      <c r="AF296" s="311"/>
      <c r="AG296" s="311"/>
      <c r="AH296" s="311"/>
      <c r="AI296" s="311"/>
      <c r="AJ296" s="311"/>
      <c r="AK296" s="311"/>
      <c r="AL296" s="311"/>
      <c r="AM296" s="311"/>
    </row>
    <row r="297" spans="1:39" ht="18.75" hidden="1">
      <c r="A297" s="1051"/>
      <c r="B297" s="1684" t="s">
        <v>3849</v>
      </c>
      <c r="C297" s="274" t="s">
        <v>22</v>
      </c>
      <c r="D297" s="1685" t="s">
        <v>3850</v>
      </c>
      <c r="E297" s="620"/>
      <c r="F297" s="946" t="s">
        <v>759</v>
      </c>
      <c r="G297" s="337"/>
      <c r="H297" s="303"/>
      <c r="I297" s="1643"/>
      <c r="J297" s="307"/>
      <c r="K297" s="275" t="s">
        <v>315</v>
      </c>
      <c r="L297" s="1686" t="s">
        <v>3851</v>
      </c>
      <c r="M297" s="315">
        <v>35340</v>
      </c>
      <c r="N297" s="315">
        <f t="shared" si="12"/>
        <v>57284</v>
      </c>
      <c r="O297" s="315"/>
      <c r="P297" s="272"/>
      <c r="Q297" s="272"/>
      <c r="R297" s="449" t="s">
        <v>37</v>
      </c>
      <c r="S297" s="318" t="s">
        <v>3852</v>
      </c>
      <c r="T297" s="317"/>
      <c r="U297" s="285"/>
      <c r="V297" s="285"/>
      <c r="W297" s="3"/>
      <c r="X297" s="90"/>
      <c r="Y297" s="311"/>
      <c r="Z297" s="311"/>
      <c r="AA297" s="311"/>
      <c r="AB297" s="311"/>
      <c r="AC297" s="311"/>
      <c r="AD297" s="311"/>
      <c r="AE297" s="311"/>
      <c r="AF297" s="311"/>
      <c r="AG297" s="311"/>
      <c r="AH297" s="311"/>
      <c r="AI297" s="311"/>
      <c r="AJ297" s="311"/>
      <c r="AK297" s="311"/>
      <c r="AL297" s="311"/>
      <c r="AM297" s="311"/>
    </row>
    <row r="298" spans="1:39" ht="18.75" hidden="1">
      <c r="A298" s="1051"/>
      <c r="B298" s="1684" t="s">
        <v>3853</v>
      </c>
      <c r="C298" s="274" t="s">
        <v>22</v>
      </c>
      <c r="D298" s="1685" t="s">
        <v>3854</v>
      </c>
      <c r="E298" s="620"/>
      <c r="F298" s="946" t="s">
        <v>759</v>
      </c>
      <c r="G298" s="337" t="s">
        <v>76</v>
      </c>
      <c r="H298" s="303"/>
      <c r="I298" s="1643"/>
      <c r="J298" s="307"/>
      <c r="K298" s="275" t="s">
        <v>315</v>
      </c>
      <c r="L298" s="1686" t="s">
        <v>50</v>
      </c>
      <c r="M298" s="315">
        <v>35111</v>
      </c>
      <c r="N298" s="315">
        <f t="shared" si="12"/>
        <v>57039</v>
      </c>
      <c r="O298" s="315"/>
      <c r="P298" s="272"/>
      <c r="Q298" s="272"/>
      <c r="R298" s="449" t="s">
        <v>37</v>
      </c>
      <c r="S298" s="318" t="s">
        <v>3855</v>
      </c>
      <c r="T298" s="317"/>
      <c r="U298" s="285"/>
      <c r="V298" s="285"/>
      <c r="W298" s="3"/>
      <c r="X298" s="90"/>
      <c r="Y298" s="311"/>
      <c r="Z298" s="311"/>
      <c r="AA298" s="311"/>
      <c r="AB298" s="311"/>
      <c r="AC298" s="311"/>
      <c r="AD298" s="311"/>
      <c r="AE298" s="311"/>
      <c r="AF298" s="311"/>
      <c r="AG298" s="311"/>
      <c r="AH298" s="311"/>
      <c r="AI298" s="311"/>
      <c r="AJ298" s="311"/>
      <c r="AK298" s="311"/>
      <c r="AL298" s="311"/>
      <c r="AM298" s="311"/>
    </row>
    <row r="299" spans="1:39" ht="18.75" hidden="1">
      <c r="A299" s="1051"/>
      <c r="B299" s="1684" t="s">
        <v>3856</v>
      </c>
      <c r="C299" s="274" t="s">
        <v>22</v>
      </c>
      <c r="D299" s="1685" t="s">
        <v>3857</v>
      </c>
      <c r="E299" s="620"/>
      <c r="F299" s="946" t="s">
        <v>759</v>
      </c>
      <c r="G299" s="337"/>
      <c r="H299" s="303"/>
      <c r="I299" s="1643"/>
      <c r="J299" s="307"/>
      <c r="K299" s="275" t="s">
        <v>315</v>
      </c>
      <c r="L299" s="1686" t="s">
        <v>69</v>
      </c>
      <c r="M299" s="315">
        <v>36282</v>
      </c>
      <c r="N299" s="315">
        <f t="shared" si="12"/>
        <v>58226</v>
      </c>
      <c r="O299" s="315"/>
      <c r="P299" s="272"/>
      <c r="Q299" s="272"/>
      <c r="R299" s="449" t="s">
        <v>313</v>
      </c>
      <c r="S299" s="318" t="s">
        <v>3858</v>
      </c>
      <c r="T299" s="317"/>
      <c r="U299" s="285"/>
      <c r="V299" s="285"/>
      <c r="W299" s="3"/>
      <c r="X299" s="90"/>
      <c r="Y299" s="311"/>
      <c r="Z299" s="311"/>
      <c r="AA299" s="311"/>
      <c r="AB299" s="311"/>
      <c r="AC299" s="311"/>
      <c r="AD299" s="311"/>
      <c r="AE299" s="311"/>
      <c r="AF299" s="311"/>
      <c r="AG299" s="311"/>
      <c r="AH299" s="311"/>
      <c r="AI299" s="311"/>
      <c r="AJ299" s="311"/>
      <c r="AK299" s="311"/>
      <c r="AL299" s="311"/>
      <c r="AM299" s="311"/>
    </row>
    <row r="300" spans="1:39" ht="18.75" hidden="1">
      <c r="A300" s="944">
        <v>8</v>
      </c>
      <c r="B300" s="305" t="s">
        <v>3859</v>
      </c>
      <c r="C300" s="1301" t="s">
        <v>22</v>
      </c>
      <c r="D300" s="1460" t="s">
        <v>3860</v>
      </c>
      <c r="E300" s="1019" t="s">
        <v>3861</v>
      </c>
      <c r="F300" s="946" t="s">
        <v>759</v>
      </c>
      <c r="G300" s="337" t="s">
        <v>77</v>
      </c>
      <c r="H300" s="307"/>
      <c r="I300" s="475">
        <v>918697622579</v>
      </c>
      <c r="J300" s="307"/>
      <c r="K300" s="274" t="s">
        <v>253</v>
      </c>
      <c r="L300" s="274" t="s">
        <v>43</v>
      </c>
      <c r="M300" s="315">
        <v>34554</v>
      </c>
      <c r="N300" s="315">
        <v>56492</v>
      </c>
      <c r="O300" s="315">
        <v>45126</v>
      </c>
      <c r="P300" s="272">
        <v>46146</v>
      </c>
      <c r="Q300" s="272">
        <v>46035</v>
      </c>
      <c r="R300" s="449" t="s">
        <v>313</v>
      </c>
      <c r="S300" s="318" t="s">
        <v>3862</v>
      </c>
      <c r="T300" s="317"/>
      <c r="U300" s="285"/>
      <c r="V300" s="285"/>
      <c r="W300" s="3"/>
      <c r="X300" s="3"/>
      <c r="Y300" s="3"/>
      <c r="Z300" s="79"/>
      <c r="AA300" s="79"/>
      <c r="AB300" s="311"/>
    </row>
    <row r="301" spans="1:39" ht="15.75" hidden="1" customHeight="1">
      <c r="A301" s="1566">
        <v>62</v>
      </c>
      <c r="B301" s="1687" t="s">
        <v>3863</v>
      </c>
      <c r="C301" s="18" t="s">
        <v>22</v>
      </c>
      <c r="D301" s="1688">
        <v>3329806630</v>
      </c>
      <c r="E301" s="1689" t="s">
        <v>3864</v>
      </c>
      <c r="F301" s="1690" t="s">
        <v>759</v>
      </c>
      <c r="G301" s="1689" t="s">
        <v>76</v>
      </c>
      <c r="H301" s="274"/>
      <c r="I301" s="275"/>
      <c r="J301" s="275"/>
      <c r="K301" s="274" t="s">
        <v>464</v>
      </c>
      <c r="L301" s="656" t="s">
        <v>58</v>
      </c>
      <c r="M301" s="272">
        <v>34321</v>
      </c>
      <c r="N301" s="272">
        <f t="shared" ref="N301:N303" si="13">EOMONTH(M301,(12*60))</f>
        <v>56249</v>
      </c>
      <c r="O301" s="272"/>
      <c r="P301" s="279"/>
      <c r="Q301" s="272"/>
      <c r="R301" s="449" t="s">
        <v>313</v>
      </c>
      <c r="S301" s="638" t="s">
        <v>3865</v>
      </c>
      <c r="T301" s="952"/>
      <c r="U301" s="952"/>
      <c r="V301" s="382"/>
      <c r="W301" s="382"/>
      <c r="X301" s="282">
        <f t="shared" ref="X301:X304" ca="1" si="14">INT((TODAY()-M301)/365)</f>
        <v>32</v>
      </c>
      <c r="Y301" s="382"/>
      <c r="Z301" s="79"/>
      <c r="AB301" s="311"/>
      <c r="AC301" s="311"/>
      <c r="AD301" s="311"/>
      <c r="AE301" s="311"/>
      <c r="AF301" s="311"/>
      <c r="AG301" s="311"/>
      <c r="AH301" s="311"/>
      <c r="AI301" s="311"/>
      <c r="AJ301" s="311"/>
      <c r="AK301" s="311"/>
      <c r="AL301" s="311"/>
      <c r="AM301" s="311"/>
    </row>
    <row r="302" spans="1:39" ht="15.75" hidden="1" customHeight="1">
      <c r="A302" s="1566">
        <v>59</v>
      </c>
      <c r="B302" s="1687" t="s">
        <v>3866</v>
      </c>
      <c r="C302" s="18" t="s">
        <v>22</v>
      </c>
      <c r="D302" s="1688">
        <v>50205690316</v>
      </c>
      <c r="E302" s="1689" t="s">
        <v>3867</v>
      </c>
      <c r="F302" s="1690" t="s">
        <v>759</v>
      </c>
      <c r="G302" s="1689" t="s">
        <v>76</v>
      </c>
      <c r="H302" s="274"/>
      <c r="I302" s="275"/>
      <c r="J302" s="284"/>
      <c r="K302" s="274" t="s">
        <v>464</v>
      </c>
      <c r="L302" s="656" t="s">
        <v>58</v>
      </c>
      <c r="M302" s="272">
        <v>34970</v>
      </c>
      <c r="N302" s="272">
        <f t="shared" si="13"/>
        <v>56887</v>
      </c>
      <c r="O302" s="272"/>
      <c r="P302" s="278"/>
      <c r="Q302" s="279"/>
      <c r="R302" s="449" t="s">
        <v>313</v>
      </c>
      <c r="S302" s="638" t="s">
        <v>3868</v>
      </c>
      <c r="T302" s="952"/>
      <c r="U302" s="952"/>
      <c r="V302" s="382"/>
      <c r="W302" s="382"/>
      <c r="X302" s="282">
        <f t="shared" ca="1" si="14"/>
        <v>30</v>
      </c>
      <c r="Y302" s="79"/>
      <c r="Z302" s="79"/>
      <c r="AA302" s="311"/>
      <c r="AB302" s="311"/>
      <c r="AC302" s="311"/>
      <c r="AD302" s="311"/>
      <c r="AE302" s="311"/>
      <c r="AF302" s="311"/>
      <c r="AG302" s="311"/>
      <c r="AH302" s="311"/>
      <c r="AI302" s="311"/>
      <c r="AJ302" s="311"/>
      <c r="AK302" s="311"/>
      <c r="AL302" s="311"/>
      <c r="AM302" s="311"/>
    </row>
    <row r="303" spans="1:39" ht="15.75" hidden="1" customHeight="1">
      <c r="A303" s="1566">
        <v>60</v>
      </c>
      <c r="B303" s="1687" t="s">
        <v>3869</v>
      </c>
      <c r="C303" s="18" t="s">
        <v>22</v>
      </c>
      <c r="D303" s="1688">
        <v>3329805809</v>
      </c>
      <c r="E303" s="1689" t="s">
        <v>3870</v>
      </c>
      <c r="F303" s="1690" t="s">
        <v>759</v>
      </c>
      <c r="G303" s="1689" t="s">
        <v>76</v>
      </c>
      <c r="H303" s="274"/>
      <c r="I303" s="275"/>
      <c r="J303" s="284"/>
      <c r="K303" s="274" t="s">
        <v>464</v>
      </c>
      <c r="L303" s="274" t="s">
        <v>59</v>
      </c>
      <c r="M303" s="272">
        <v>36975</v>
      </c>
      <c r="N303" s="272">
        <f t="shared" si="13"/>
        <v>58896</v>
      </c>
      <c r="O303" s="272"/>
      <c r="P303" s="279"/>
      <c r="Q303" s="272"/>
      <c r="R303" s="449" t="s">
        <v>313</v>
      </c>
      <c r="S303" s="638" t="s">
        <v>3871</v>
      </c>
      <c r="T303" s="952"/>
      <c r="U303" s="952"/>
      <c r="V303" s="382"/>
      <c r="W303" s="382"/>
      <c r="X303" s="282">
        <f t="shared" ca="1" si="14"/>
        <v>24</v>
      </c>
      <c r="Y303" s="79"/>
      <c r="Z303" s="79"/>
    </row>
    <row r="304" spans="1:39" ht="16.5" hidden="1" customHeight="1">
      <c r="A304" s="1566">
        <v>58</v>
      </c>
      <c r="B304" s="1687" t="s">
        <v>3872</v>
      </c>
      <c r="C304" s="18" t="s">
        <v>22</v>
      </c>
      <c r="D304" s="1688">
        <v>3329805599</v>
      </c>
      <c r="E304" s="1689" t="s">
        <v>3873</v>
      </c>
      <c r="F304" s="1690" t="s">
        <v>759</v>
      </c>
      <c r="G304" s="1689" t="s">
        <v>76</v>
      </c>
      <c r="H304" s="274"/>
      <c r="I304" s="275"/>
      <c r="J304" s="275"/>
      <c r="K304" s="274" t="s">
        <v>464</v>
      </c>
      <c r="L304" s="274" t="s">
        <v>59</v>
      </c>
      <c r="M304" s="272">
        <v>35061</v>
      </c>
      <c r="N304" s="272">
        <v>56979</v>
      </c>
      <c r="O304" s="272"/>
      <c r="P304" s="302"/>
      <c r="Q304" s="300"/>
      <c r="R304" s="449" t="s">
        <v>313</v>
      </c>
      <c r="S304" s="638" t="s">
        <v>3874</v>
      </c>
      <c r="T304" s="952"/>
      <c r="U304" s="952"/>
      <c r="V304" s="382"/>
      <c r="W304" s="382"/>
      <c r="X304" s="282">
        <f t="shared" ca="1" si="14"/>
        <v>30</v>
      </c>
      <c r="Y304" s="79"/>
      <c r="Z304" s="79"/>
      <c r="AA304" s="311"/>
      <c r="AB304" s="311"/>
    </row>
    <row r="305" spans="1:39" ht="18.75" hidden="1">
      <c r="A305" s="1051"/>
      <c r="B305" s="1687" t="s">
        <v>3875</v>
      </c>
      <c r="C305" s="18" t="s">
        <v>22</v>
      </c>
      <c r="D305" s="427" t="s">
        <v>3876</v>
      </c>
      <c r="E305" s="681" t="s">
        <v>3877</v>
      </c>
      <c r="F305" s="946" t="s">
        <v>759</v>
      </c>
      <c r="G305" s="284" t="s">
        <v>76</v>
      </c>
      <c r="H305" s="303"/>
      <c r="I305" s="1122">
        <v>9874601630</v>
      </c>
      <c r="J305" s="307"/>
      <c r="K305" s="275" t="s">
        <v>290</v>
      </c>
      <c r="L305" s="274" t="s">
        <v>299</v>
      </c>
      <c r="M305" s="418">
        <v>33429</v>
      </c>
      <c r="N305" s="315">
        <f t="shared" ref="N305:N308" si="15">EOMONTH(M305,(12*60))</f>
        <v>55365</v>
      </c>
      <c r="O305" s="315"/>
      <c r="P305" s="272"/>
      <c r="Q305" s="272"/>
      <c r="R305" s="449" t="s">
        <v>37</v>
      </c>
      <c r="S305" s="339" t="s">
        <v>3878</v>
      </c>
      <c r="T305" s="317"/>
      <c r="U305" s="285"/>
      <c r="V305" s="425"/>
      <c r="W305" s="90"/>
      <c r="X305" s="90"/>
      <c r="Y305" s="311"/>
      <c r="Z305" s="311"/>
      <c r="AA305" s="311"/>
      <c r="AB305" s="311"/>
      <c r="AC305" s="311"/>
      <c r="AD305" s="311"/>
      <c r="AE305" s="311"/>
      <c r="AF305" s="311"/>
      <c r="AG305" s="311"/>
      <c r="AH305" s="311"/>
      <c r="AI305" s="311"/>
      <c r="AJ305" s="311"/>
      <c r="AK305" s="311"/>
      <c r="AL305" s="311"/>
      <c r="AM305" s="311"/>
    </row>
    <row r="306" spans="1:39" ht="15.75" hidden="1" customHeight="1">
      <c r="A306" s="1586"/>
      <c r="B306" s="1687" t="s">
        <v>3879</v>
      </c>
      <c r="C306" s="18" t="s">
        <v>22</v>
      </c>
      <c r="D306" s="1691" t="s">
        <v>3880</v>
      </c>
      <c r="E306" s="1689" t="s">
        <v>3881</v>
      </c>
      <c r="F306" s="946" t="s">
        <v>759</v>
      </c>
      <c r="G306" s="1689" t="s">
        <v>76</v>
      </c>
      <c r="H306" s="1586"/>
      <c r="I306" s="1586"/>
      <c r="J306" s="1586"/>
      <c r="K306" s="275" t="s">
        <v>290</v>
      </c>
      <c r="L306" s="1133" t="s">
        <v>417</v>
      </c>
      <c r="M306" s="418">
        <v>35665</v>
      </c>
      <c r="N306" s="315">
        <f t="shared" si="15"/>
        <v>57588</v>
      </c>
      <c r="O306" s="602"/>
      <c r="P306" s="602"/>
      <c r="Q306" s="602"/>
      <c r="R306" s="449" t="s">
        <v>37</v>
      </c>
      <c r="S306" s="486" t="s">
        <v>3882</v>
      </c>
      <c r="T306" s="485"/>
      <c r="U306" s="485"/>
      <c r="V306" s="382"/>
      <c r="W306" s="382"/>
      <c r="X306" s="1647"/>
      <c r="Y306" s="311"/>
      <c r="Z306" s="311"/>
      <c r="AA306" s="311"/>
      <c r="AB306" s="311"/>
      <c r="AC306" s="311"/>
      <c r="AD306" s="311"/>
      <c r="AE306" s="311"/>
      <c r="AF306" s="311"/>
      <c r="AG306" s="311"/>
      <c r="AH306" s="311"/>
      <c r="AI306" s="311"/>
      <c r="AJ306" s="311"/>
      <c r="AK306" s="311"/>
      <c r="AL306" s="311"/>
      <c r="AM306" s="311"/>
    </row>
    <row r="307" spans="1:39" ht="15.75" hidden="1" customHeight="1">
      <c r="A307" s="1586"/>
      <c r="B307" s="1687" t="s">
        <v>3883</v>
      </c>
      <c r="C307" s="18" t="s">
        <v>22</v>
      </c>
      <c r="D307" s="1691" t="s">
        <v>3884</v>
      </c>
      <c r="E307" s="1689" t="s">
        <v>3885</v>
      </c>
      <c r="F307" s="674" t="s">
        <v>759</v>
      </c>
      <c r="G307" s="1689" t="s">
        <v>76</v>
      </c>
      <c r="H307" s="1586"/>
      <c r="I307" s="1586"/>
      <c r="J307" s="1586"/>
      <c r="K307" s="275" t="s">
        <v>290</v>
      </c>
      <c r="L307" s="275" t="s">
        <v>43</v>
      </c>
      <c r="M307" s="418">
        <v>36365</v>
      </c>
      <c r="N307" s="315">
        <f t="shared" si="15"/>
        <v>58287</v>
      </c>
      <c r="O307" s="602"/>
      <c r="P307" s="602"/>
      <c r="Q307" s="602"/>
      <c r="R307" s="449" t="s">
        <v>37</v>
      </c>
      <c r="S307" s="486" t="s">
        <v>3886</v>
      </c>
      <c r="T307" s="485"/>
      <c r="U307" s="485"/>
      <c r="V307" s="382"/>
      <c r="W307" s="382"/>
      <c r="X307" s="1647"/>
      <c r="Y307" s="311"/>
      <c r="Z307" s="311"/>
      <c r="AA307" s="311"/>
      <c r="AB307" s="311"/>
      <c r="AC307" s="311"/>
      <c r="AD307" s="311"/>
      <c r="AE307" s="311"/>
      <c r="AF307" s="311"/>
      <c r="AG307" s="311"/>
      <c r="AH307" s="311"/>
      <c r="AI307" s="311"/>
      <c r="AJ307" s="311"/>
      <c r="AK307" s="311"/>
      <c r="AL307" s="311"/>
      <c r="AM307" s="311"/>
    </row>
    <row r="308" spans="1:39" ht="15.75" hidden="1" customHeight="1">
      <c r="A308" s="1586"/>
      <c r="B308" s="1687" t="s">
        <v>3887</v>
      </c>
      <c r="C308" s="18" t="s">
        <v>22</v>
      </c>
      <c r="D308" s="1691" t="s">
        <v>3888</v>
      </c>
      <c r="E308" s="1689" t="s">
        <v>3889</v>
      </c>
      <c r="F308" s="18" t="s">
        <v>759</v>
      </c>
      <c r="G308" s="1689" t="s">
        <v>76</v>
      </c>
      <c r="H308" s="1586"/>
      <c r="I308" s="1586"/>
      <c r="J308" s="1586"/>
      <c r="K308" s="275" t="s">
        <v>290</v>
      </c>
      <c r="L308" s="1133" t="s">
        <v>50</v>
      </c>
      <c r="M308" s="1692">
        <v>34500</v>
      </c>
      <c r="N308" s="315">
        <f t="shared" si="15"/>
        <v>56430</v>
      </c>
      <c r="O308" s="602"/>
      <c r="P308" s="602"/>
      <c r="Q308" s="602"/>
      <c r="R308" s="449" t="s">
        <v>37</v>
      </c>
      <c r="S308" s="486" t="s">
        <v>3890</v>
      </c>
      <c r="T308" s="485"/>
      <c r="U308" s="485"/>
      <c r="V308" s="382"/>
      <c r="W308" s="382"/>
      <c r="X308" s="1647"/>
      <c r="Y308" s="311"/>
      <c r="Z308" s="311"/>
      <c r="AA308" s="311"/>
      <c r="AB308" s="311"/>
      <c r="AC308" s="311"/>
      <c r="AD308" s="311"/>
      <c r="AE308" s="311"/>
      <c r="AF308" s="311"/>
      <c r="AG308" s="311"/>
      <c r="AH308" s="311"/>
      <c r="AI308" s="311"/>
      <c r="AJ308" s="311"/>
      <c r="AK308" s="311"/>
      <c r="AL308" s="311"/>
      <c r="AM308" s="311"/>
    </row>
    <row r="309" spans="1:39" ht="15.75" hidden="1" customHeight="1">
      <c r="A309" s="944">
        <v>48</v>
      </c>
      <c r="B309" s="426" t="s">
        <v>3891</v>
      </c>
      <c r="C309" s="1121" t="s">
        <v>21</v>
      </c>
      <c r="D309" s="427" t="s">
        <v>3892</v>
      </c>
      <c r="E309" s="1136" t="s">
        <v>3893</v>
      </c>
      <c r="F309" s="674" t="s">
        <v>759</v>
      </c>
      <c r="G309" s="18" t="s">
        <v>76</v>
      </c>
      <c r="H309" s="275"/>
      <c r="I309" s="475">
        <v>917278924274</v>
      </c>
      <c r="J309" s="3"/>
      <c r="K309" s="274" t="s">
        <v>334</v>
      </c>
      <c r="L309" s="274" t="s">
        <v>50</v>
      </c>
      <c r="M309" s="418">
        <v>32600</v>
      </c>
      <c r="N309" s="418">
        <v>54543</v>
      </c>
      <c r="O309" s="428">
        <v>45460</v>
      </c>
      <c r="P309" s="418">
        <v>45145</v>
      </c>
      <c r="Q309" s="418">
        <v>46117</v>
      </c>
      <c r="R309" s="449" t="s">
        <v>313</v>
      </c>
      <c r="S309" s="281" t="s">
        <v>3894</v>
      </c>
      <c r="T309" s="281" t="s">
        <v>3895</v>
      </c>
      <c r="U309" s="280"/>
      <c r="V309" s="280"/>
      <c r="W309" s="282">
        <f t="shared" ref="W309:W311" ca="1" si="16">INT((TODAY()-M309)/365)</f>
        <v>36</v>
      </c>
      <c r="X309" s="79"/>
      <c r="Y309" s="395"/>
      <c r="Z309" s="79"/>
      <c r="AA309" s="383"/>
      <c r="AB309" s="208"/>
      <c r="AC309" s="384"/>
      <c r="AD309" s="384"/>
      <c r="AE309" s="384"/>
      <c r="AF309" s="384"/>
      <c r="AG309" s="384"/>
      <c r="AH309" s="384"/>
      <c r="AI309" s="384"/>
      <c r="AJ309" s="384"/>
      <c r="AK309" s="384"/>
      <c r="AL309" s="384"/>
      <c r="AM309" s="384"/>
    </row>
    <row r="310" spans="1:39" ht="15.75" hidden="1">
      <c r="A310" s="944">
        <v>4</v>
      </c>
      <c r="B310" s="426" t="s">
        <v>3896</v>
      </c>
      <c r="C310" s="18" t="s">
        <v>21</v>
      </c>
      <c r="D310" s="427" t="s">
        <v>3897</v>
      </c>
      <c r="E310" s="681" t="s">
        <v>3898</v>
      </c>
      <c r="F310" s="674" t="s">
        <v>759</v>
      </c>
      <c r="G310" s="18" t="s">
        <v>77</v>
      </c>
      <c r="H310" s="275"/>
      <c r="I310" s="475">
        <v>919883398871</v>
      </c>
      <c r="J310" s="3"/>
      <c r="K310" s="274" t="s">
        <v>253</v>
      </c>
      <c r="L310" s="18" t="s">
        <v>55</v>
      </c>
      <c r="M310" s="418">
        <v>32667</v>
      </c>
      <c r="N310" s="418">
        <v>54604</v>
      </c>
      <c r="O310" s="428">
        <v>45446</v>
      </c>
      <c r="P310" s="418">
        <v>45145</v>
      </c>
      <c r="Q310" s="418">
        <v>46117</v>
      </c>
      <c r="R310" s="449" t="s">
        <v>313</v>
      </c>
      <c r="S310" s="281" t="s">
        <v>3899</v>
      </c>
      <c r="T310" s="281" t="s">
        <v>3900</v>
      </c>
      <c r="U310" s="280"/>
      <c r="V310" s="280"/>
      <c r="W310" s="282">
        <f t="shared" ca="1" si="16"/>
        <v>36</v>
      </c>
      <c r="X310" s="79"/>
      <c r="Y310" s="79"/>
      <c r="Z310" s="79"/>
    </row>
    <row r="311" spans="1:39" ht="16.5" hidden="1" customHeight="1">
      <c r="A311" s="944">
        <v>2</v>
      </c>
      <c r="B311" s="426" t="s">
        <v>3901</v>
      </c>
      <c r="C311" s="18" t="s">
        <v>21</v>
      </c>
      <c r="D311" s="427" t="s">
        <v>3902</v>
      </c>
      <c r="E311" s="18" t="s">
        <v>3903</v>
      </c>
      <c r="F311" s="674" t="s">
        <v>759</v>
      </c>
      <c r="G311" s="18" t="s">
        <v>77</v>
      </c>
      <c r="H311" s="275"/>
      <c r="I311" s="475">
        <v>918967354885</v>
      </c>
      <c r="J311" s="433"/>
      <c r="K311" s="274" t="s">
        <v>253</v>
      </c>
      <c r="L311" s="274" t="s">
        <v>44</v>
      </c>
      <c r="M311" s="418">
        <v>33254</v>
      </c>
      <c r="N311" s="418">
        <v>55184</v>
      </c>
      <c r="O311" s="428">
        <v>45460</v>
      </c>
      <c r="P311" s="418">
        <v>45145</v>
      </c>
      <c r="Q311" s="418">
        <v>46060</v>
      </c>
      <c r="R311" s="449" t="s">
        <v>313</v>
      </c>
      <c r="S311" s="281" t="s">
        <v>3904</v>
      </c>
      <c r="T311" s="638" t="s">
        <v>3905</v>
      </c>
      <c r="U311" s="338" t="s">
        <v>3906</v>
      </c>
      <c r="V311" s="280"/>
      <c r="W311" s="282">
        <f t="shared" ca="1" si="16"/>
        <v>35</v>
      </c>
      <c r="X311" s="79"/>
      <c r="Y311" s="79"/>
      <c r="Z311" s="79"/>
    </row>
    <row r="312" spans="1:39" ht="15.75" hidden="1" customHeight="1">
      <c r="A312" s="944">
        <v>12</v>
      </c>
      <c r="B312" s="426" t="s">
        <v>3907</v>
      </c>
      <c r="C312" s="18" t="s">
        <v>21</v>
      </c>
      <c r="D312" s="427" t="s">
        <v>3908</v>
      </c>
      <c r="E312" s="1676" t="s">
        <v>3909</v>
      </c>
      <c r="F312" s="674" t="s">
        <v>759</v>
      </c>
      <c r="G312" s="18" t="s">
        <v>77</v>
      </c>
      <c r="H312" s="275"/>
      <c r="I312" s="475">
        <v>917908352591</v>
      </c>
      <c r="J312" s="275"/>
      <c r="K312" s="275" t="s">
        <v>290</v>
      </c>
      <c r="L312" s="18" t="s">
        <v>44</v>
      </c>
      <c r="M312" s="418">
        <v>32790</v>
      </c>
      <c r="N312" s="418">
        <v>54727</v>
      </c>
      <c r="O312" s="428">
        <v>45426</v>
      </c>
      <c r="P312" s="418">
        <v>45738</v>
      </c>
      <c r="Q312" s="418">
        <v>45605</v>
      </c>
      <c r="R312" s="449" t="s">
        <v>313</v>
      </c>
      <c r="S312" s="281" t="s">
        <v>3910</v>
      </c>
      <c r="T312" s="281" t="s">
        <v>3911</v>
      </c>
      <c r="U312" s="286" t="s">
        <v>86</v>
      </c>
      <c r="V312" s="280"/>
      <c r="W312" s="282"/>
      <c r="X312" s="79"/>
      <c r="Y312" s="79"/>
      <c r="Z312" s="79"/>
      <c r="AA312" s="79"/>
    </row>
    <row r="313" spans="1:39" ht="15.75" hidden="1" customHeight="1">
      <c r="A313" s="1006">
        <v>7</v>
      </c>
      <c r="B313" s="422" t="s">
        <v>3912</v>
      </c>
      <c r="C313" s="18" t="s">
        <v>21</v>
      </c>
      <c r="D313" s="1693" t="s">
        <v>3913</v>
      </c>
      <c r="E313" s="681" t="s">
        <v>3914</v>
      </c>
      <c r="F313" s="946" t="s">
        <v>759</v>
      </c>
      <c r="G313" s="337" t="s">
        <v>76</v>
      </c>
      <c r="H313" s="307"/>
      <c r="I313" s="1309">
        <v>9147918099</v>
      </c>
      <c r="J313" s="303">
        <v>9432864610</v>
      </c>
      <c r="K313" s="274" t="s">
        <v>253</v>
      </c>
      <c r="L313" s="274" t="s">
        <v>50</v>
      </c>
      <c r="M313" s="315">
        <v>31668</v>
      </c>
      <c r="N313" s="315">
        <v>53600</v>
      </c>
      <c r="O313" s="315">
        <v>45959</v>
      </c>
      <c r="P313" s="272">
        <v>46106</v>
      </c>
      <c r="Q313" s="272">
        <v>46060</v>
      </c>
      <c r="R313" s="449" t="s">
        <v>313</v>
      </c>
      <c r="S313" s="339" t="s">
        <v>3915</v>
      </c>
      <c r="T313" s="425"/>
      <c r="U313" s="441"/>
      <c r="V313" s="425"/>
      <c r="W313" s="90"/>
      <c r="X313" s="90"/>
      <c r="Y313" s="90"/>
      <c r="AB313" s="311"/>
    </row>
    <row r="314" spans="1:39" ht="18" hidden="1" customHeight="1">
      <c r="A314" s="944">
        <v>6</v>
      </c>
      <c r="B314" s="422" t="s">
        <v>3916</v>
      </c>
      <c r="C314" s="18" t="s">
        <v>21</v>
      </c>
      <c r="D314" s="423" t="s">
        <v>3917</v>
      </c>
      <c r="E314" s="681" t="s">
        <v>3918</v>
      </c>
      <c r="F314" s="946" t="s">
        <v>759</v>
      </c>
      <c r="G314" s="337" t="s">
        <v>76</v>
      </c>
      <c r="H314" s="307"/>
      <c r="I314" s="303">
        <v>6291745023</v>
      </c>
      <c r="J314" s="303">
        <v>6291745023</v>
      </c>
      <c r="K314" s="274" t="s">
        <v>253</v>
      </c>
      <c r="L314" s="445" t="s">
        <v>61</v>
      </c>
      <c r="M314" s="315">
        <v>33636</v>
      </c>
      <c r="N314" s="315">
        <v>55577</v>
      </c>
      <c r="O314" s="315">
        <v>45958</v>
      </c>
      <c r="P314" s="272">
        <v>45149</v>
      </c>
      <c r="Q314" s="272">
        <v>45149</v>
      </c>
      <c r="R314" s="449" t="s">
        <v>313</v>
      </c>
      <c r="S314" s="318" t="s">
        <v>3919</v>
      </c>
      <c r="T314" s="318" t="s">
        <v>3920</v>
      </c>
      <c r="U314" s="317"/>
      <c r="V314" s="285"/>
      <c r="W314" s="3"/>
      <c r="X314" s="3"/>
      <c r="Y314" s="3"/>
      <c r="AB314" s="311"/>
      <c r="AC314" s="311"/>
      <c r="AD314" s="311"/>
      <c r="AE314" s="311"/>
      <c r="AF314" s="311"/>
      <c r="AG314" s="311"/>
      <c r="AH314" s="311"/>
      <c r="AI314" s="311"/>
      <c r="AJ314" s="311"/>
      <c r="AK314" s="311"/>
      <c r="AL314" s="311"/>
      <c r="AM314" s="311"/>
    </row>
    <row r="315" spans="1:39" ht="15.75" hidden="1" customHeight="1">
      <c r="A315" s="944">
        <v>75</v>
      </c>
      <c r="B315" s="422" t="s">
        <v>3921</v>
      </c>
      <c r="C315" s="18" t="s">
        <v>22</v>
      </c>
      <c r="D315" s="423" t="s">
        <v>3922</v>
      </c>
      <c r="E315" s="681" t="s">
        <v>3923</v>
      </c>
      <c r="F315" s="946" t="s">
        <v>759</v>
      </c>
      <c r="G315" s="337" t="s">
        <v>77</v>
      </c>
      <c r="H315" s="307"/>
      <c r="I315" s="303">
        <v>8617862909</v>
      </c>
      <c r="J315" s="303">
        <v>9679704852</v>
      </c>
      <c r="K315" s="274" t="s">
        <v>253</v>
      </c>
      <c r="L315" s="18" t="s">
        <v>55</v>
      </c>
      <c r="M315" s="315">
        <v>31825</v>
      </c>
      <c r="N315" s="315">
        <v>53751</v>
      </c>
      <c r="O315" s="315">
        <v>45670</v>
      </c>
      <c r="P315" s="272">
        <v>45087</v>
      </c>
      <c r="Q315" s="272">
        <v>45087</v>
      </c>
      <c r="R315" s="449" t="s">
        <v>313</v>
      </c>
      <c r="S315" s="339" t="s">
        <v>3924</v>
      </c>
      <c r="T315" s="285"/>
      <c r="U315" s="317"/>
      <c r="V315" s="285"/>
      <c r="W315" s="3"/>
      <c r="X315" s="3"/>
      <c r="Y315" s="90"/>
      <c r="AB315" s="311"/>
      <c r="AL315" s="384"/>
      <c r="AM315" s="384"/>
    </row>
    <row r="316" spans="1:39" ht="15.75" hidden="1" customHeight="1">
      <c r="A316" s="980">
        <v>6</v>
      </c>
      <c r="B316" s="1694" t="s">
        <v>3925</v>
      </c>
      <c r="C316" s="1121" t="s">
        <v>22</v>
      </c>
      <c r="D316" s="1695" t="s">
        <v>3926</v>
      </c>
      <c r="E316" s="1136" t="s">
        <v>3927</v>
      </c>
      <c r="F316" s="946" t="s">
        <v>759</v>
      </c>
      <c r="G316" s="337" t="s">
        <v>76</v>
      </c>
      <c r="H316" s="307"/>
      <c r="I316" s="303">
        <v>8978058783</v>
      </c>
      <c r="J316" s="303">
        <v>8978058783</v>
      </c>
      <c r="K316" s="274" t="s">
        <v>253</v>
      </c>
      <c r="L316" s="303" t="s">
        <v>54</v>
      </c>
      <c r="M316" s="315">
        <v>32095</v>
      </c>
      <c r="N316" s="315">
        <v>54026</v>
      </c>
      <c r="O316" s="315">
        <v>45958</v>
      </c>
      <c r="P316" s="272">
        <v>45118</v>
      </c>
      <c r="Q316" s="272">
        <v>45612</v>
      </c>
      <c r="R316" s="449" t="s">
        <v>313</v>
      </c>
      <c r="S316" s="318" t="s">
        <v>3928</v>
      </c>
      <c r="T316" s="285"/>
      <c r="U316" s="317"/>
      <c r="V316" s="285"/>
      <c r="W316" s="3"/>
      <c r="X316" s="3"/>
      <c r="Y316" s="382"/>
      <c r="Z316" s="382"/>
      <c r="AA316" s="382"/>
      <c r="AB316" s="311">
        <f ca="1">INT((TODAY()-M316)/365)</f>
        <v>38</v>
      </c>
    </row>
    <row r="317" spans="1:39" ht="15.75" hidden="1" customHeight="1">
      <c r="A317" s="944">
        <v>62</v>
      </c>
      <c r="B317" s="305" t="s">
        <v>3929</v>
      </c>
      <c r="C317" s="1301" t="s">
        <v>22</v>
      </c>
      <c r="D317" s="1460" t="s">
        <v>3930</v>
      </c>
      <c r="E317" s="1053" t="s">
        <v>3931</v>
      </c>
      <c r="F317" s="946" t="s">
        <v>759</v>
      </c>
      <c r="G317" s="337" t="s">
        <v>77</v>
      </c>
      <c r="H317" s="307"/>
      <c r="I317" s="475">
        <v>918250868963</v>
      </c>
      <c r="J317" s="307"/>
      <c r="K317" s="274" t="s">
        <v>253</v>
      </c>
      <c r="L317" s="1362" t="s">
        <v>256</v>
      </c>
      <c r="M317" s="315">
        <v>33433</v>
      </c>
      <c r="N317" s="315">
        <v>55365</v>
      </c>
      <c r="O317" s="440">
        <v>45495</v>
      </c>
      <c r="P317" s="272">
        <v>45658</v>
      </c>
      <c r="Q317" s="272">
        <v>45951</v>
      </c>
      <c r="R317" s="449" t="s">
        <v>313</v>
      </c>
      <c r="S317" s="318" t="s">
        <v>3932</v>
      </c>
      <c r="T317" s="285"/>
      <c r="U317" s="317"/>
      <c r="V317" s="285"/>
      <c r="W317" s="3"/>
      <c r="X317" s="3"/>
      <c r="Y317" s="3"/>
      <c r="Z317" s="79"/>
      <c r="AA317" s="79"/>
      <c r="AB317" s="311"/>
    </row>
    <row r="318" spans="1:39" ht="15.75" hidden="1" customHeight="1">
      <c r="A318" s="980">
        <v>32</v>
      </c>
      <c r="B318" s="305" t="s">
        <v>3933</v>
      </c>
      <c r="C318" s="303" t="s">
        <v>22</v>
      </c>
      <c r="D318" s="438" t="s">
        <v>3934</v>
      </c>
      <c r="E318" s="1062" t="s">
        <v>3935</v>
      </c>
      <c r="F318" s="946" t="s">
        <v>759</v>
      </c>
      <c r="G318" s="337" t="s">
        <v>77</v>
      </c>
      <c r="H318" s="307"/>
      <c r="I318" s="887">
        <v>919230881576</v>
      </c>
      <c r="J318" s="307"/>
      <c r="K318" s="274" t="s">
        <v>253</v>
      </c>
      <c r="L318" s="18" t="s">
        <v>64</v>
      </c>
      <c r="M318" s="315">
        <v>29225</v>
      </c>
      <c r="N318" s="315">
        <v>51166</v>
      </c>
      <c r="O318" s="315">
        <v>45662</v>
      </c>
      <c r="P318" s="272">
        <v>45653</v>
      </c>
      <c r="Q318" s="272">
        <v>45745</v>
      </c>
      <c r="R318" s="449" t="s">
        <v>313</v>
      </c>
      <c r="S318" s="317"/>
      <c r="T318" s="285"/>
      <c r="U318" s="317"/>
      <c r="V318" s="285"/>
      <c r="W318" s="90"/>
      <c r="X318" s="90"/>
      <c r="Y318" s="90"/>
      <c r="AB318" s="311"/>
    </row>
    <row r="319" spans="1:39" ht="18.75" hidden="1">
      <c r="A319" s="980">
        <v>49</v>
      </c>
      <c r="B319" s="305" t="s">
        <v>3936</v>
      </c>
      <c r="C319" s="303" t="s">
        <v>22</v>
      </c>
      <c r="D319" s="1460" t="s">
        <v>3937</v>
      </c>
      <c r="E319" s="681" t="s">
        <v>3938</v>
      </c>
      <c r="F319" s="946" t="s">
        <v>759</v>
      </c>
      <c r="G319" s="337" t="s">
        <v>76</v>
      </c>
      <c r="H319" s="307"/>
      <c r="I319" s="887">
        <v>917980960152</v>
      </c>
      <c r="J319" s="307"/>
      <c r="K319" s="274" t="s">
        <v>253</v>
      </c>
      <c r="L319" s="303" t="s">
        <v>56</v>
      </c>
      <c r="M319" s="315">
        <v>30306</v>
      </c>
      <c r="N319" s="844">
        <v>52231</v>
      </c>
      <c r="O319" s="315">
        <v>45970</v>
      </c>
      <c r="P319" s="272">
        <v>45289</v>
      </c>
      <c r="Q319" s="272">
        <v>46117</v>
      </c>
      <c r="R319" s="449" t="s">
        <v>313</v>
      </c>
      <c r="S319" s="318" t="s">
        <v>3939</v>
      </c>
      <c r="T319" s="285"/>
      <c r="U319" s="317"/>
      <c r="V319" s="285"/>
      <c r="W319" s="90"/>
      <c r="X319" s="3"/>
      <c r="Y319" s="395"/>
      <c r="Z319" s="79"/>
      <c r="AA319" s="383"/>
      <c r="AB319" s="282"/>
      <c r="AC319" s="383"/>
      <c r="AD319" s="383"/>
      <c r="AE319" s="383"/>
      <c r="AF319" s="383"/>
      <c r="AG319" s="383"/>
      <c r="AH319" s="383"/>
      <c r="AI319" s="384"/>
      <c r="AJ319" s="384"/>
      <c r="AK319" s="384"/>
      <c r="AL319" s="384"/>
      <c r="AM319" s="384"/>
    </row>
    <row r="320" spans="1:39" ht="15.75" hidden="1" customHeight="1">
      <c r="A320" s="1006">
        <v>18</v>
      </c>
      <c r="B320" s="305" t="s">
        <v>3940</v>
      </c>
      <c r="C320" s="303" t="s">
        <v>22</v>
      </c>
      <c r="D320" s="1696" t="s">
        <v>3941</v>
      </c>
      <c r="E320" s="681" t="s">
        <v>3942</v>
      </c>
      <c r="F320" s="946" t="s">
        <v>759</v>
      </c>
      <c r="G320" s="337" t="s">
        <v>76</v>
      </c>
      <c r="H320" s="307"/>
      <c r="I320" s="1644">
        <v>9933492979</v>
      </c>
      <c r="J320" s="307"/>
      <c r="K320" s="274" t="s">
        <v>253</v>
      </c>
      <c r="L320" s="303" t="s">
        <v>54</v>
      </c>
      <c r="M320" s="315">
        <v>32513</v>
      </c>
      <c r="N320" s="315">
        <v>54454</v>
      </c>
      <c r="O320" s="315">
        <v>45963</v>
      </c>
      <c r="P320" s="272">
        <v>45653</v>
      </c>
      <c r="Q320" s="1058">
        <v>46004</v>
      </c>
      <c r="R320" s="449" t="s">
        <v>313</v>
      </c>
      <c r="S320" s="339" t="s">
        <v>3943</v>
      </c>
      <c r="T320" s="425"/>
      <c r="U320" s="441"/>
      <c r="V320" s="425"/>
      <c r="W320" s="90"/>
      <c r="X320" s="90"/>
      <c r="Y320" s="90"/>
      <c r="AB320" s="311"/>
    </row>
    <row r="321" spans="1:39" ht="15.75" hidden="1" customHeight="1">
      <c r="A321" s="944">
        <v>15</v>
      </c>
      <c r="B321" s="305" t="s">
        <v>3944</v>
      </c>
      <c r="C321" s="1301" t="s">
        <v>22</v>
      </c>
      <c r="D321" s="1460" t="s">
        <v>3945</v>
      </c>
      <c r="E321" s="1062" t="s">
        <v>3946</v>
      </c>
      <c r="F321" s="946" t="s">
        <v>759</v>
      </c>
      <c r="G321" s="337" t="s">
        <v>77</v>
      </c>
      <c r="H321" s="307"/>
      <c r="I321" s="475">
        <v>7020719450</v>
      </c>
      <c r="J321" s="307"/>
      <c r="K321" s="274" t="s">
        <v>253</v>
      </c>
      <c r="L321" s="303" t="s">
        <v>50</v>
      </c>
      <c r="M321" s="315">
        <v>28490</v>
      </c>
      <c r="N321" s="315">
        <v>50405</v>
      </c>
      <c r="O321" s="315">
        <v>45668</v>
      </c>
      <c r="P321" s="272">
        <v>45653</v>
      </c>
      <c r="Q321" s="272">
        <v>45636</v>
      </c>
      <c r="R321" s="449" t="s">
        <v>313</v>
      </c>
      <c r="S321" s="318" t="s">
        <v>3947</v>
      </c>
      <c r="T321" s="318" t="s">
        <v>3948</v>
      </c>
      <c r="U321" s="317"/>
      <c r="V321" s="285"/>
      <c r="W321" s="3"/>
      <c r="X321" s="3"/>
      <c r="Y321" s="3"/>
      <c r="Z321" s="79"/>
      <c r="AA321" s="79"/>
      <c r="AB321" s="311"/>
      <c r="AC321" s="311"/>
      <c r="AD321" s="311"/>
      <c r="AE321" s="311"/>
      <c r="AF321" s="311"/>
      <c r="AG321" s="311"/>
      <c r="AH321" s="311"/>
      <c r="AI321" s="311"/>
      <c r="AJ321" s="311"/>
      <c r="AK321" s="311"/>
      <c r="AL321" s="311"/>
      <c r="AM321" s="311"/>
    </row>
    <row r="322" spans="1:39" ht="15.75" hidden="1" customHeight="1">
      <c r="A322" s="944">
        <v>41</v>
      </c>
      <c r="B322" s="305" t="s">
        <v>3949</v>
      </c>
      <c r="C322" s="1301" t="s">
        <v>22</v>
      </c>
      <c r="D322" s="1460" t="s">
        <v>3950</v>
      </c>
      <c r="E322" s="1062" t="s">
        <v>3951</v>
      </c>
      <c r="F322" s="946" t="s">
        <v>759</v>
      </c>
      <c r="G322" s="337" t="s">
        <v>77</v>
      </c>
      <c r="H322" s="307"/>
      <c r="I322" s="475">
        <v>918374742271</v>
      </c>
      <c r="J322" s="307"/>
      <c r="K322" s="274" t="s">
        <v>253</v>
      </c>
      <c r="L322" s="303" t="s">
        <v>299</v>
      </c>
      <c r="M322" s="315">
        <v>29356</v>
      </c>
      <c r="N322" s="315">
        <v>51287</v>
      </c>
      <c r="O322" s="315">
        <v>45792</v>
      </c>
      <c r="P322" s="272">
        <v>45653</v>
      </c>
      <c r="Q322" s="272">
        <v>45633</v>
      </c>
      <c r="R322" s="449" t="s">
        <v>313</v>
      </c>
      <c r="S322" s="318" t="s">
        <v>3952</v>
      </c>
      <c r="T322" s="285"/>
      <c r="U322" s="285"/>
      <c r="V322" s="285"/>
      <c r="W322" s="3"/>
      <c r="X322" s="3"/>
      <c r="Y322" s="3"/>
      <c r="Z322" s="79"/>
      <c r="AA322" s="79"/>
      <c r="AB322" s="311"/>
    </row>
    <row r="323" spans="1:39" hidden="1">
      <c r="A323" s="944">
        <v>36</v>
      </c>
      <c r="B323" s="301" t="s">
        <v>3953</v>
      </c>
      <c r="C323" s="284" t="s">
        <v>22</v>
      </c>
      <c r="D323" s="564" t="s">
        <v>3954</v>
      </c>
      <c r="E323" s="681" t="s">
        <v>3955</v>
      </c>
      <c r="F323" s="274" t="s">
        <v>759</v>
      </c>
      <c r="G323" s="284" t="s">
        <v>77</v>
      </c>
      <c r="H323" s="391"/>
      <c r="I323" s="475">
        <v>919147917995</v>
      </c>
      <c r="J323" s="624"/>
      <c r="K323" s="274" t="s">
        <v>253</v>
      </c>
      <c r="L323" s="274" t="s">
        <v>54</v>
      </c>
      <c r="M323" s="272">
        <v>33295</v>
      </c>
      <c r="N323" s="272">
        <v>55212</v>
      </c>
      <c r="O323" s="400">
        <v>46032</v>
      </c>
      <c r="P323" s="279">
        <v>45504</v>
      </c>
      <c r="Q323" s="302">
        <v>46007</v>
      </c>
      <c r="R323" s="449" t="s">
        <v>313</v>
      </c>
      <c r="S323" s="403"/>
      <c r="T323" s="393"/>
      <c r="U323" s="403"/>
      <c r="V323" s="383"/>
      <c r="W323" s="395"/>
      <c r="X323" s="79"/>
      <c r="Y323" s="395"/>
      <c r="Z323" s="79"/>
      <c r="AA323" s="383"/>
      <c r="AB323" s="282"/>
      <c r="AC323" s="79"/>
      <c r="AD323" s="79"/>
      <c r="AE323" s="79"/>
      <c r="AF323" s="79"/>
      <c r="AG323" s="79"/>
      <c r="AH323" s="79"/>
    </row>
    <row r="324" spans="1:39" ht="18.75" hidden="1">
      <c r="A324" s="944">
        <v>26</v>
      </c>
      <c r="B324" s="1008" t="s">
        <v>3956</v>
      </c>
      <c r="C324" s="303" t="s">
        <v>22</v>
      </c>
      <c r="D324" s="1697" t="s">
        <v>3957</v>
      </c>
      <c r="E324" s="681" t="s">
        <v>3958</v>
      </c>
      <c r="F324" s="946" t="s">
        <v>759</v>
      </c>
      <c r="G324" s="337" t="s">
        <v>76</v>
      </c>
      <c r="H324" s="307"/>
      <c r="I324" s="475">
        <v>916363413800</v>
      </c>
      <c r="J324" s="307"/>
      <c r="K324" s="274" t="s">
        <v>253</v>
      </c>
      <c r="L324" s="274" t="s">
        <v>43</v>
      </c>
      <c r="M324" s="315">
        <v>30158</v>
      </c>
      <c r="N324" s="315">
        <v>52078</v>
      </c>
      <c r="O324" s="844">
        <v>46438</v>
      </c>
      <c r="P324" s="272">
        <v>45653</v>
      </c>
      <c r="Q324" s="272">
        <v>45913</v>
      </c>
      <c r="R324" s="449" t="s">
        <v>313</v>
      </c>
      <c r="S324" s="318" t="s">
        <v>3959</v>
      </c>
      <c r="T324" s="317"/>
      <c r="U324" s="285"/>
      <c r="V324" s="285"/>
      <c r="W324" s="3"/>
      <c r="X324" s="90"/>
      <c r="Y324" s="90"/>
      <c r="AB324" s="311"/>
    </row>
    <row r="325" spans="1:39" ht="15.75" hidden="1" customHeight="1">
      <c r="A325" s="944">
        <v>29</v>
      </c>
      <c r="B325" s="305" t="s">
        <v>3960</v>
      </c>
      <c r="C325" s="1301" t="s">
        <v>22</v>
      </c>
      <c r="D325" s="420" t="s">
        <v>3961</v>
      </c>
      <c r="E325" s="1136" t="s">
        <v>3962</v>
      </c>
      <c r="F325" s="946" t="s">
        <v>759</v>
      </c>
      <c r="G325" s="337" t="s">
        <v>76</v>
      </c>
      <c r="H325" s="307"/>
      <c r="I325" s="303">
        <v>8945896941</v>
      </c>
      <c r="J325" s="303">
        <v>8945896941</v>
      </c>
      <c r="K325" s="391" t="s">
        <v>334</v>
      </c>
      <c r="L325" s="274" t="s">
        <v>64</v>
      </c>
      <c r="M325" s="315">
        <v>31700</v>
      </c>
      <c r="N325" s="315">
        <v>53631</v>
      </c>
      <c r="O325" s="315">
        <v>45973</v>
      </c>
      <c r="P325" s="272">
        <v>45549</v>
      </c>
      <c r="Q325" s="272">
        <v>45476</v>
      </c>
      <c r="R325" s="449" t="s">
        <v>313</v>
      </c>
      <c r="S325" s="285"/>
      <c r="T325" s="317"/>
      <c r="U325" s="285"/>
      <c r="V325" s="285"/>
      <c r="W325" s="3"/>
      <c r="X325" s="3"/>
      <c r="Y325" s="3"/>
      <c r="Z325" s="79"/>
      <c r="AA325" s="79"/>
      <c r="AB325" s="311"/>
    </row>
    <row r="326" spans="1:39" ht="15.75" hidden="1" customHeight="1">
      <c r="A326" s="1006">
        <v>48</v>
      </c>
      <c r="B326" s="305" t="s">
        <v>3963</v>
      </c>
      <c r="C326" s="303" t="s">
        <v>22</v>
      </c>
      <c r="D326" s="1009">
        <v>53162131193</v>
      </c>
      <c r="E326" s="681" t="s">
        <v>3964</v>
      </c>
      <c r="F326" s="1024" t="s">
        <v>759</v>
      </c>
      <c r="G326" s="337" t="s">
        <v>76</v>
      </c>
      <c r="H326" s="307"/>
      <c r="I326" s="18">
        <v>8249177372</v>
      </c>
      <c r="J326" s="620">
        <v>8249177372</v>
      </c>
      <c r="K326" s="391" t="s">
        <v>334</v>
      </c>
      <c r="L326" s="274" t="s">
        <v>50</v>
      </c>
      <c r="M326" s="315">
        <v>31943</v>
      </c>
      <c r="N326" s="315">
        <v>53873</v>
      </c>
      <c r="O326" s="315">
        <v>46020</v>
      </c>
      <c r="P326" s="272">
        <v>45681</v>
      </c>
      <c r="Q326" s="272">
        <v>45595</v>
      </c>
      <c r="R326" s="449" t="s">
        <v>313</v>
      </c>
      <c r="S326" s="318" t="s">
        <v>3965</v>
      </c>
      <c r="T326" s="317"/>
      <c r="U326" s="285"/>
      <c r="V326" s="285"/>
      <c r="W326" s="90"/>
      <c r="X326" s="90"/>
      <c r="Y326" s="90"/>
      <c r="AB326" s="311"/>
    </row>
    <row r="327" spans="1:39" ht="15.75" hidden="1" customHeight="1">
      <c r="A327" s="944">
        <v>3</v>
      </c>
      <c r="B327" s="426" t="s">
        <v>3966</v>
      </c>
      <c r="C327" s="18" t="s">
        <v>21</v>
      </c>
      <c r="D327" s="427" t="s">
        <v>3967</v>
      </c>
      <c r="E327" s="18" t="s">
        <v>3968</v>
      </c>
      <c r="F327" s="946" t="s">
        <v>759</v>
      </c>
      <c r="G327" s="18" t="s">
        <v>77</v>
      </c>
      <c r="H327" s="275"/>
      <c r="I327" s="18">
        <v>9230881743</v>
      </c>
      <c r="J327" s="3"/>
      <c r="K327" s="275" t="s">
        <v>290</v>
      </c>
      <c r="L327" s="18" t="s">
        <v>299</v>
      </c>
      <c r="M327" s="418">
        <v>29443</v>
      </c>
      <c r="N327" s="418">
        <v>51379</v>
      </c>
      <c r="O327" s="428">
        <v>45192</v>
      </c>
      <c r="P327" s="418">
        <v>45693</v>
      </c>
      <c r="Q327" s="418">
        <v>45693</v>
      </c>
      <c r="R327" s="449" t="s">
        <v>313</v>
      </c>
      <c r="S327" s="280"/>
      <c r="T327" s="280"/>
      <c r="U327" s="280"/>
      <c r="V327" s="280"/>
      <c r="AB327" s="311">
        <f ca="1">INT((TODAY()-M327)/365)</f>
        <v>45</v>
      </c>
    </row>
    <row r="328" spans="1:39" ht="15.75" hidden="1">
      <c r="A328" s="944">
        <v>22</v>
      </c>
      <c r="B328" s="426" t="s">
        <v>3969</v>
      </c>
      <c r="C328" s="18" t="s">
        <v>22</v>
      </c>
      <c r="D328" s="1532" t="s">
        <v>3970</v>
      </c>
      <c r="E328" s="681" t="s">
        <v>3971</v>
      </c>
      <c r="F328" s="674" t="s">
        <v>759</v>
      </c>
      <c r="G328" s="18" t="s">
        <v>76</v>
      </c>
      <c r="H328" s="275"/>
      <c r="I328" s="3"/>
      <c r="J328" s="79"/>
      <c r="K328" s="391" t="s">
        <v>334</v>
      </c>
      <c r="L328" s="445" t="s">
        <v>57</v>
      </c>
      <c r="M328" s="418">
        <v>32065</v>
      </c>
      <c r="N328" s="418">
        <v>53996</v>
      </c>
      <c r="O328" s="428">
        <v>45976</v>
      </c>
      <c r="P328" s="418">
        <v>45111</v>
      </c>
      <c r="Q328" s="418">
        <v>46032</v>
      </c>
      <c r="R328" s="449" t="s">
        <v>313</v>
      </c>
      <c r="S328" s="281" t="s">
        <v>3972</v>
      </c>
      <c r="T328" s="281" t="s">
        <v>3973</v>
      </c>
      <c r="U328" s="280"/>
      <c r="V328" s="280"/>
      <c r="W328" s="208">
        <f t="shared" ref="W328:W330" ca="1" si="17">INT((TODAY()-M328)/365)</f>
        <v>38</v>
      </c>
      <c r="X328" s="79"/>
      <c r="Y328" s="395"/>
      <c r="Z328" s="79"/>
      <c r="AA328" s="383"/>
      <c r="AB328" s="282"/>
      <c r="AC328" s="383"/>
      <c r="AD328" s="383"/>
      <c r="AE328" s="383"/>
      <c r="AF328" s="383"/>
      <c r="AG328" s="383"/>
      <c r="AH328" s="383"/>
      <c r="AI328" s="384"/>
      <c r="AJ328" s="384"/>
      <c r="AK328" s="384"/>
      <c r="AL328" s="384"/>
      <c r="AM328" s="384"/>
    </row>
    <row r="329" spans="1:39" ht="15.75" hidden="1" customHeight="1">
      <c r="A329" s="944">
        <v>23</v>
      </c>
      <c r="B329" s="426" t="s">
        <v>3974</v>
      </c>
      <c r="C329" s="18" t="s">
        <v>21</v>
      </c>
      <c r="D329" s="427" t="s">
        <v>3975</v>
      </c>
      <c r="E329" s="18" t="s">
        <v>3976</v>
      </c>
      <c r="F329" s="674" t="s">
        <v>759</v>
      </c>
      <c r="G329" s="18" t="s">
        <v>76</v>
      </c>
      <c r="H329" s="275"/>
      <c r="I329" s="3"/>
      <c r="J329" s="433"/>
      <c r="K329" s="391" t="s">
        <v>334</v>
      </c>
      <c r="L329" s="18" t="s">
        <v>56</v>
      </c>
      <c r="M329" s="418">
        <v>29671</v>
      </c>
      <c r="N329" s="418">
        <v>51591</v>
      </c>
      <c r="O329" s="428">
        <v>45046</v>
      </c>
      <c r="P329" s="418">
        <v>45352</v>
      </c>
      <c r="Q329" s="418">
        <v>45296</v>
      </c>
      <c r="R329" s="449" t="s">
        <v>313</v>
      </c>
      <c r="S329" s="429" t="s">
        <v>3977</v>
      </c>
      <c r="T329" s="429" t="s">
        <v>3978</v>
      </c>
      <c r="U329" s="430"/>
      <c r="V329" s="280"/>
      <c r="W329" s="208">
        <f t="shared" ca="1" si="17"/>
        <v>45</v>
      </c>
    </row>
    <row r="330" spans="1:39" ht="15.75" hidden="1" customHeight="1">
      <c r="A330" s="944">
        <v>27</v>
      </c>
      <c r="B330" s="426" t="s">
        <v>3979</v>
      </c>
      <c r="C330" s="18" t="s">
        <v>21</v>
      </c>
      <c r="D330" s="427" t="s">
        <v>3980</v>
      </c>
      <c r="E330" s="681" t="s">
        <v>3981</v>
      </c>
      <c r="F330" s="674" t="s">
        <v>759</v>
      </c>
      <c r="G330" s="18" t="s">
        <v>76</v>
      </c>
      <c r="H330" s="275"/>
      <c r="I330" s="3"/>
      <c r="J330" s="3"/>
      <c r="K330" s="391" t="s">
        <v>334</v>
      </c>
      <c r="L330" s="275" t="s">
        <v>43</v>
      </c>
      <c r="M330" s="418">
        <v>31809</v>
      </c>
      <c r="N330" s="418">
        <v>53751</v>
      </c>
      <c r="O330" s="428">
        <v>45460</v>
      </c>
      <c r="P330" s="418">
        <v>45145</v>
      </c>
      <c r="Q330" s="418">
        <v>46117</v>
      </c>
      <c r="R330" s="449" t="s">
        <v>313</v>
      </c>
      <c r="S330" s="281" t="s">
        <v>3982</v>
      </c>
      <c r="T330" s="281" t="s">
        <v>3983</v>
      </c>
      <c r="U330" s="280"/>
      <c r="V330" s="280"/>
      <c r="W330" s="208">
        <f t="shared" ca="1" si="17"/>
        <v>39</v>
      </c>
      <c r="Y330" s="90"/>
      <c r="AB330" s="311"/>
    </row>
    <row r="331" spans="1:39" ht="15.75" hidden="1" customHeight="1">
      <c r="A331" s="980">
        <v>31</v>
      </c>
      <c r="B331" s="422" t="s">
        <v>3984</v>
      </c>
      <c r="C331" s="18" t="s">
        <v>22</v>
      </c>
      <c r="D331" s="423" t="s">
        <v>3985</v>
      </c>
      <c r="E331" s="681" t="s">
        <v>3986</v>
      </c>
      <c r="F331" s="946" t="s">
        <v>759</v>
      </c>
      <c r="G331" s="337" t="s">
        <v>77</v>
      </c>
      <c r="H331" s="307"/>
      <c r="I331" s="703">
        <v>7093920589</v>
      </c>
      <c r="J331" s="303">
        <v>7093920589</v>
      </c>
      <c r="K331" s="391" t="s">
        <v>334</v>
      </c>
      <c r="L331" s="303" t="s">
        <v>64</v>
      </c>
      <c r="M331" s="315">
        <v>30071</v>
      </c>
      <c r="N331" s="315">
        <v>51986</v>
      </c>
      <c r="O331" s="315">
        <v>45951</v>
      </c>
      <c r="P331" s="272">
        <v>45165</v>
      </c>
      <c r="Q331" s="272">
        <v>46117</v>
      </c>
      <c r="R331" s="449" t="s">
        <v>313</v>
      </c>
      <c r="S331" s="318" t="s">
        <v>3987</v>
      </c>
      <c r="T331" s="317"/>
      <c r="U331" s="285"/>
      <c r="V331" s="285"/>
      <c r="W331" s="90"/>
      <c r="X331" s="90"/>
      <c r="Y331" s="90"/>
      <c r="AB331" s="311"/>
    </row>
    <row r="332" spans="1:39" ht="15.75" hidden="1" customHeight="1">
      <c r="A332" s="980">
        <v>60</v>
      </c>
      <c r="B332" s="422" t="s">
        <v>3988</v>
      </c>
      <c r="C332" s="18" t="s">
        <v>22</v>
      </c>
      <c r="D332" s="423" t="s">
        <v>3989</v>
      </c>
      <c r="E332" s="1062" t="s">
        <v>3990</v>
      </c>
      <c r="F332" s="946" t="s">
        <v>759</v>
      </c>
      <c r="G332" s="337" t="s">
        <v>76</v>
      </c>
      <c r="H332" s="307"/>
      <c r="I332" s="703">
        <v>9749903799</v>
      </c>
      <c r="J332" s="303">
        <v>9749903799</v>
      </c>
      <c r="K332" s="391" t="s">
        <v>334</v>
      </c>
      <c r="L332" s="303" t="s">
        <v>54</v>
      </c>
      <c r="M332" s="315">
        <v>35291</v>
      </c>
      <c r="N332" s="315">
        <v>57223</v>
      </c>
      <c r="O332" s="315">
        <v>45120</v>
      </c>
      <c r="P332" s="272">
        <v>45145</v>
      </c>
      <c r="Q332" s="418">
        <v>46032</v>
      </c>
      <c r="R332" s="449" t="s">
        <v>313</v>
      </c>
      <c r="S332" s="318" t="s">
        <v>3991</v>
      </c>
      <c r="T332" s="317"/>
      <c r="U332" s="285"/>
      <c r="V332" s="285"/>
      <c r="W332" s="90"/>
      <c r="X332" s="3"/>
      <c r="Y332" s="395"/>
      <c r="Z332" s="79"/>
      <c r="AA332" s="383"/>
      <c r="AB332" s="282"/>
      <c r="AC332" s="383"/>
      <c r="AD332" s="383"/>
      <c r="AE332" s="383"/>
      <c r="AF332" s="383"/>
      <c r="AG332" s="383"/>
      <c r="AH332" s="383"/>
      <c r="AI332" s="384"/>
      <c r="AJ332" s="384"/>
      <c r="AK332" s="384"/>
      <c r="AL332" s="384"/>
      <c r="AM332" s="384"/>
    </row>
    <row r="333" spans="1:39" ht="15.75" hidden="1" customHeight="1">
      <c r="A333" s="1006">
        <v>11</v>
      </c>
      <c r="B333" s="305" t="s">
        <v>3992</v>
      </c>
      <c r="C333" s="303" t="s">
        <v>22</v>
      </c>
      <c r="D333" s="1460" t="s">
        <v>3993</v>
      </c>
      <c r="E333" s="681" t="s">
        <v>3994</v>
      </c>
      <c r="F333" s="946" t="s">
        <v>759</v>
      </c>
      <c r="G333" s="337" t="s">
        <v>76</v>
      </c>
      <c r="H333" s="307"/>
      <c r="I333" s="461">
        <v>9147918114</v>
      </c>
      <c r="J333" s="307"/>
      <c r="K333" s="391" t="s">
        <v>334</v>
      </c>
      <c r="L333" s="303" t="s">
        <v>52</v>
      </c>
      <c r="M333" s="315">
        <v>30877</v>
      </c>
      <c r="N333" s="315">
        <v>52809</v>
      </c>
      <c r="O333" s="315">
        <v>45966</v>
      </c>
      <c r="P333" s="272">
        <v>46150</v>
      </c>
      <c r="Q333" s="1058">
        <v>46117</v>
      </c>
      <c r="R333" s="449" t="s">
        <v>313</v>
      </c>
      <c r="S333" s="339" t="s">
        <v>3995</v>
      </c>
      <c r="T333" s="441"/>
      <c r="U333" s="425"/>
      <c r="V333" s="425"/>
      <c r="W333" s="90"/>
      <c r="X333" s="90"/>
      <c r="Y333" s="90"/>
      <c r="AB333" s="311"/>
    </row>
    <row r="334" spans="1:39" ht="15.75" hidden="1" customHeight="1">
      <c r="A334" s="980">
        <v>38</v>
      </c>
      <c r="B334" s="305" t="s">
        <v>3996</v>
      </c>
      <c r="C334" s="303" t="s">
        <v>22</v>
      </c>
      <c r="D334" s="1585" t="s">
        <v>3997</v>
      </c>
      <c r="E334" s="681" t="s">
        <v>3998</v>
      </c>
      <c r="F334" s="946" t="s">
        <v>759</v>
      </c>
      <c r="G334" s="337" t="s">
        <v>76</v>
      </c>
      <c r="H334" s="307"/>
      <c r="I334" s="1295">
        <v>918240390751</v>
      </c>
      <c r="J334" s="307"/>
      <c r="K334" s="391" t="s">
        <v>334</v>
      </c>
      <c r="L334" s="125" t="s">
        <v>69</v>
      </c>
      <c r="M334" s="315">
        <v>30987</v>
      </c>
      <c r="N334" s="315">
        <v>52931</v>
      </c>
      <c r="O334" s="315">
        <v>45964</v>
      </c>
      <c r="P334" s="272">
        <v>45653</v>
      </c>
      <c r="Q334" s="272">
        <v>45633</v>
      </c>
      <c r="R334" s="449" t="s">
        <v>313</v>
      </c>
      <c r="S334" s="318" t="s">
        <v>3999</v>
      </c>
      <c r="T334" s="317"/>
      <c r="U334" s="285"/>
      <c r="V334" s="285"/>
      <c r="W334" s="3"/>
      <c r="X334" s="90"/>
      <c r="Y334" s="90"/>
      <c r="AB334" s="311"/>
    </row>
    <row r="335" spans="1:39" ht="15.75" hidden="1" customHeight="1">
      <c r="A335" s="980">
        <v>53</v>
      </c>
      <c r="B335" s="305" t="s">
        <v>4000</v>
      </c>
      <c r="C335" s="303" t="s">
        <v>22</v>
      </c>
      <c r="D335" s="1585" t="s">
        <v>4001</v>
      </c>
      <c r="E335" s="681" t="s">
        <v>4002</v>
      </c>
      <c r="F335" s="946" t="s">
        <v>759</v>
      </c>
      <c r="G335" s="337" t="s">
        <v>76</v>
      </c>
      <c r="H335" s="307"/>
      <c r="I335" s="1295">
        <v>919230881605</v>
      </c>
      <c r="J335" s="307"/>
      <c r="K335" s="391" t="s">
        <v>334</v>
      </c>
      <c r="L335" s="125" t="s">
        <v>67</v>
      </c>
      <c r="M335" s="315">
        <v>30313</v>
      </c>
      <c r="N335" s="315">
        <v>52231</v>
      </c>
      <c r="O335" s="315">
        <v>45964</v>
      </c>
      <c r="P335" s="272">
        <v>46179</v>
      </c>
      <c r="Q335" s="272">
        <v>46117</v>
      </c>
      <c r="R335" s="449" t="s">
        <v>313</v>
      </c>
      <c r="S335" s="318" t="s">
        <v>4003</v>
      </c>
      <c r="T335" s="285"/>
      <c r="U335" s="285"/>
      <c r="V335" s="285"/>
      <c r="W335" s="3"/>
      <c r="X335" s="3"/>
      <c r="Y335" s="395"/>
      <c r="Z335" s="79"/>
      <c r="AA335" s="383"/>
      <c r="AB335" s="282"/>
      <c r="AC335" s="383"/>
      <c r="AD335" s="383"/>
      <c r="AE335" s="383"/>
      <c r="AF335" s="383"/>
      <c r="AG335" s="383"/>
      <c r="AH335" s="383"/>
      <c r="AI335" s="384"/>
      <c r="AJ335" s="384"/>
      <c r="AK335" s="384"/>
      <c r="AL335" s="384"/>
      <c r="AM335" s="384"/>
    </row>
    <row r="336" spans="1:39" ht="15.75" hidden="1" customHeight="1">
      <c r="A336" s="1006">
        <v>15</v>
      </c>
      <c r="B336" s="305" t="s">
        <v>4004</v>
      </c>
      <c r="C336" s="303" t="s">
        <v>22</v>
      </c>
      <c r="D336" s="675">
        <v>53120134454</v>
      </c>
      <c r="E336" s="681" t="s">
        <v>4005</v>
      </c>
      <c r="F336" s="946" t="s">
        <v>759</v>
      </c>
      <c r="G336" s="337" t="s">
        <v>77</v>
      </c>
      <c r="H336" s="307"/>
      <c r="I336" s="1309">
        <v>9147918130</v>
      </c>
      <c r="J336" s="307"/>
      <c r="K336" s="391" t="s">
        <v>334</v>
      </c>
      <c r="L336" s="274" t="s">
        <v>55</v>
      </c>
      <c r="M336" s="315">
        <v>31356</v>
      </c>
      <c r="N336" s="315">
        <v>53296</v>
      </c>
      <c r="O336" s="315">
        <v>45971</v>
      </c>
      <c r="P336" s="272">
        <v>45125</v>
      </c>
      <c r="Q336" s="272">
        <v>45125</v>
      </c>
      <c r="R336" s="449" t="s">
        <v>313</v>
      </c>
      <c r="S336" s="339" t="s">
        <v>4006</v>
      </c>
      <c r="T336" s="441"/>
      <c r="U336" s="425"/>
      <c r="V336" s="425"/>
      <c r="W336" s="90"/>
      <c r="X336" s="90"/>
      <c r="Y336" s="90"/>
      <c r="AB336" s="311"/>
    </row>
    <row r="337" spans="1:39" hidden="1">
      <c r="A337" s="980">
        <v>93</v>
      </c>
      <c r="B337" s="301" t="s">
        <v>4007</v>
      </c>
      <c r="C337" s="284" t="s">
        <v>22</v>
      </c>
      <c r="D337" s="1698" t="s">
        <v>4008</v>
      </c>
      <c r="E337" s="681" t="s">
        <v>4009</v>
      </c>
      <c r="F337" s="274" t="s">
        <v>759</v>
      </c>
      <c r="G337" s="284" t="s">
        <v>77</v>
      </c>
      <c r="H337" s="391"/>
      <c r="I337" s="1295">
        <v>919230881656</v>
      </c>
      <c r="J337" s="284"/>
      <c r="K337" s="274" t="s">
        <v>253</v>
      </c>
      <c r="L337" s="274" t="s">
        <v>55</v>
      </c>
      <c r="M337" s="272">
        <v>30260</v>
      </c>
      <c r="N337" s="272">
        <v>52200</v>
      </c>
      <c r="O337" s="400">
        <v>45444</v>
      </c>
      <c r="P337" s="272">
        <v>45849</v>
      </c>
      <c r="Q337" s="302">
        <v>45804</v>
      </c>
      <c r="R337" s="449" t="s">
        <v>313</v>
      </c>
      <c r="S337" s="394" t="s">
        <v>4010</v>
      </c>
      <c r="T337" s="403"/>
      <c r="U337" s="393"/>
      <c r="V337" s="383"/>
      <c r="W337" s="395"/>
      <c r="X337" s="79"/>
      <c r="Y337" s="395"/>
      <c r="Z337" s="79"/>
      <c r="AA337" s="383"/>
      <c r="AB337" s="282"/>
      <c r="AC337" s="383"/>
      <c r="AD337" s="383"/>
      <c r="AE337" s="383"/>
      <c r="AF337" s="383"/>
      <c r="AG337" s="383"/>
      <c r="AH337" s="383"/>
      <c r="AI337" s="384"/>
      <c r="AJ337" s="384"/>
      <c r="AK337" s="384"/>
      <c r="AL337" s="384"/>
      <c r="AM337" s="384"/>
    </row>
    <row r="338" spans="1:39" ht="15.75" hidden="1" customHeight="1">
      <c r="A338" s="980">
        <v>34</v>
      </c>
      <c r="B338" s="301" t="s">
        <v>4011</v>
      </c>
      <c r="C338" s="303" t="s">
        <v>22</v>
      </c>
      <c r="D338" s="1698" t="s">
        <v>4012</v>
      </c>
      <c r="E338" s="681" t="s">
        <v>4013</v>
      </c>
      <c r="F338" s="274" t="s">
        <v>759</v>
      </c>
      <c r="G338" s="284" t="s">
        <v>76</v>
      </c>
      <c r="H338" s="391"/>
      <c r="I338" s="1295">
        <v>919230881581</v>
      </c>
      <c r="J338" s="284"/>
      <c r="K338" s="391" t="s">
        <v>334</v>
      </c>
      <c r="L338" s="274" t="s">
        <v>62</v>
      </c>
      <c r="M338" s="272">
        <v>34297</v>
      </c>
      <c r="N338" s="272">
        <v>56218</v>
      </c>
      <c r="O338" s="1267"/>
      <c r="P338" s="279">
        <v>45211</v>
      </c>
      <c r="Q338" s="302">
        <v>45211</v>
      </c>
      <c r="R338" s="449" t="s">
        <v>313</v>
      </c>
      <c r="S338" s="394" t="s">
        <v>4014</v>
      </c>
      <c r="T338" s="403"/>
      <c r="U338" s="393"/>
      <c r="V338" s="383"/>
      <c r="W338" s="395"/>
      <c r="Y338" s="90"/>
      <c r="AB338" s="311"/>
    </row>
    <row r="339" spans="1:39" ht="15.75" hidden="1" customHeight="1">
      <c r="A339" s="980">
        <v>54</v>
      </c>
      <c r="B339" s="301" t="s">
        <v>4015</v>
      </c>
      <c r="C339" s="284" t="s">
        <v>22</v>
      </c>
      <c r="D339" s="1642" t="s">
        <v>4016</v>
      </c>
      <c r="E339" s="681" t="s">
        <v>4017</v>
      </c>
      <c r="F339" s="274" t="s">
        <v>759</v>
      </c>
      <c r="G339" s="284" t="s">
        <v>76</v>
      </c>
      <c r="H339" s="391"/>
      <c r="I339" s="284">
        <v>9504273061</v>
      </c>
      <c r="J339" s="284">
        <v>9504273061</v>
      </c>
      <c r="K339" s="391" t="s">
        <v>334</v>
      </c>
      <c r="L339" s="303" t="s">
        <v>44</v>
      </c>
      <c r="M339" s="272">
        <v>34036</v>
      </c>
      <c r="N339" s="272">
        <v>55974</v>
      </c>
      <c r="O339" s="400">
        <v>45844</v>
      </c>
      <c r="P339" s="279">
        <v>45787</v>
      </c>
      <c r="Q339" s="302">
        <v>45860</v>
      </c>
      <c r="R339" s="449" t="s">
        <v>313</v>
      </c>
      <c r="S339" s="403"/>
      <c r="T339" s="403"/>
      <c r="U339" s="393"/>
      <c r="V339" s="383"/>
      <c r="W339" s="395"/>
      <c r="X339" s="79"/>
      <c r="Y339" s="395"/>
      <c r="Z339" s="79"/>
      <c r="AA339" s="383"/>
      <c r="AB339" s="282"/>
      <c r="AC339" s="383"/>
      <c r="AD339" s="383"/>
      <c r="AE339" s="383"/>
      <c r="AF339" s="383"/>
      <c r="AG339" s="383"/>
      <c r="AH339" s="383"/>
      <c r="AI339" s="384"/>
      <c r="AJ339" s="384"/>
      <c r="AK339" s="384"/>
      <c r="AL339" s="384"/>
      <c r="AM339" s="384"/>
    </row>
    <row r="340" spans="1:39" hidden="1">
      <c r="A340" s="980">
        <v>33</v>
      </c>
      <c r="B340" s="301" t="s">
        <v>4018</v>
      </c>
      <c r="C340" s="284" t="s">
        <v>22</v>
      </c>
      <c r="D340" s="1642" t="s">
        <v>4019</v>
      </c>
      <c r="E340" s="681" t="s">
        <v>4020</v>
      </c>
      <c r="F340" s="274" t="s">
        <v>759</v>
      </c>
      <c r="G340" s="284" t="s">
        <v>76</v>
      </c>
      <c r="H340" s="391"/>
      <c r="I340" s="1295">
        <v>918240605665</v>
      </c>
      <c r="J340" s="284"/>
      <c r="K340" s="274" t="s">
        <v>253</v>
      </c>
      <c r="L340" s="284" t="s">
        <v>299</v>
      </c>
      <c r="M340" s="272">
        <v>33237</v>
      </c>
      <c r="N340" s="272">
        <v>55153</v>
      </c>
      <c r="O340" s="440">
        <v>45823</v>
      </c>
      <c r="P340" s="400">
        <v>45211</v>
      </c>
      <c r="Q340" s="302">
        <v>45211</v>
      </c>
      <c r="R340" s="449" t="s">
        <v>313</v>
      </c>
      <c r="S340" s="394" t="s">
        <v>4021</v>
      </c>
      <c r="T340" s="403"/>
      <c r="U340" s="393"/>
      <c r="V340" s="383"/>
      <c r="W340" s="395"/>
      <c r="Y340" s="90"/>
      <c r="AB340" s="311"/>
    </row>
    <row r="341" spans="1:39" ht="15.75" hidden="1" customHeight="1">
      <c r="A341" s="980">
        <v>75</v>
      </c>
      <c r="B341" s="301" t="s">
        <v>4022</v>
      </c>
      <c r="C341" s="284" t="s">
        <v>22</v>
      </c>
      <c r="D341" s="1645" t="s">
        <v>4023</v>
      </c>
      <c r="E341" s="1120" t="s">
        <v>4024</v>
      </c>
      <c r="F341" s="274" t="s">
        <v>759</v>
      </c>
      <c r="G341" s="284" t="s">
        <v>76</v>
      </c>
      <c r="H341" s="391"/>
      <c r="I341" s="1295">
        <v>919230881630</v>
      </c>
      <c r="J341" s="284"/>
      <c r="K341" s="391" t="s">
        <v>334</v>
      </c>
      <c r="L341" s="274" t="s">
        <v>417</v>
      </c>
      <c r="M341" s="272">
        <v>34360</v>
      </c>
      <c r="N341" s="272">
        <v>56280</v>
      </c>
      <c r="O341" s="400">
        <v>45159</v>
      </c>
      <c r="P341" s="279">
        <v>45377</v>
      </c>
      <c r="Q341" s="302">
        <v>45377</v>
      </c>
      <c r="R341" s="449" t="s">
        <v>313</v>
      </c>
      <c r="S341" s="394" t="s">
        <v>4025</v>
      </c>
      <c r="T341" s="403"/>
      <c r="U341" s="393"/>
      <c r="V341" s="383"/>
      <c r="W341" s="395"/>
      <c r="X341" s="79"/>
      <c r="Y341" s="395"/>
      <c r="Z341" s="79"/>
      <c r="AA341" s="383"/>
      <c r="AB341" s="282"/>
      <c r="AC341" s="383"/>
      <c r="AD341" s="383"/>
      <c r="AE341" s="383"/>
      <c r="AF341" s="383"/>
      <c r="AG341" s="383"/>
      <c r="AH341" s="383"/>
      <c r="AI341" s="384"/>
      <c r="AJ341" s="384"/>
      <c r="AK341" s="384"/>
      <c r="AL341" s="384"/>
      <c r="AM341" s="384"/>
    </row>
    <row r="342" spans="1:39" ht="15.75" hidden="1" customHeight="1">
      <c r="A342" s="980">
        <v>45</v>
      </c>
      <c r="B342" s="301" t="s">
        <v>4026</v>
      </c>
      <c r="C342" s="284" t="s">
        <v>22</v>
      </c>
      <c r="D342" s="1645" t="s">
        <v>4027</v>
      </c>
      <c r="E342" s="1120" t="s">
        <v>4028</v>
      </c>
      <c r="F342" s="274" t="s">
        <v>759</v>
      </c>
      <c r="G342" s="284" t="s">
        <v>76</v>
      </c>
      <c r="H342" s="391"/>
      <c r="I342" s="1295">
        <v>919230881593</v>
      </c>
      <c r="J342" s="284"/>
      <c r="K342" s="391" t="s">
        <v>334</v>
      </c>
      <c r="L342" s="274" t="s">
        <v>417</v>
      </c>
      <c r="M342" s="272">
        <v>34705</v>
      </c>
      <c r="N342" s="272">
        <v>56645</v>
      </c>
      <c r="O342" s="400">
        <v>45194</v>
      </c>
      <c r="P342" s="279">
        <v>45447</v>
      </c>
      <c r="Q342" s="302">
        <v>45447</v>
      </c>
      <c r="R342" s="449" t="s">
        <v>313</v>
      </c>
      <c r="S342" s="394" t="s">
        <v>4029</v>
      </c>
      <c r="T342" s="403"/>
      <c r="U342" s="393"/>
      <c r="V342" s="383"/>
      <c r="W342" s="395"/>
      <c r="X342" s="79"/>
      <c r="Y342" s="395"/>
      <c r="Z342" s="79"/>
      <c r="AA342" s="383"/>
      <c r="AB342" s="282"/>
      <c r="AC342" s="383"/>
      <c r="AD342" s="383"/>
      <c r="AE342" s="383"/>
      <c r="AF342" s="383"/>
      <c r="AG342" s="383"/>
      <c r="AH342" s="383"/>
      <c r="AI342" s="384"/>
      <c r="AJ342" s="384"/>
      <c r="AK342" s="384"/>
      <c r="AL342" s="384"/>
      <c r="AM342" s="384"/>
    </row>
    <row r="343" spans="1:39" hidden="1">
      <c r="A343" s="980">
        <v>63</v>
      </c>
      <c r="B343" s="301" t="s">
        <v>4030</v>
      </c>
      <c r="C343" s="284" t="s">
        <v>22</v>
      </c>
      <c r="D343" s="1645" t="s">
        <v>4031</v>
      </c>
      <c r="E343" s="1120" t="s">
        <v>4032</v>
      </c>
      <c r="F343" s="274" t="s">
        <v>759</v>
      </c>
      <c r="G343" s="284" t="s">
        <v>76</v>
      </c>
      <c r="H343" s="391"/>
      <c r="I343" s="1295">
        <v>919230881617</v>
      </c>
      <c r="J343" s="284"/>
      <c r="K343" s="391" t="s">
        <v>334</v>
      </c>
      <c r="L343" s="274" t="s">
        <v>43</v>
      </c>
      <c r="M343" s="272">
        <v>33870</v>
      </c>
      <c r="N343" s="272">
        <v>55792</v>
      </c>
      <c r="O343" s="400">
        <v>45160</v>
      </c>
      <c r="P343" s="279">
        <v>45423</v>
      </c>
      <c r="Q343" s="302">
        <v>45423</v>
      </c>
      <c r="R343" s="449" t="s">
        <v>313</v>
      </c>
      <c r="S343" s="394" t="s">
        <v>4033</v>
      </c>
      <c r="T343" s="403"/>
      <c r="U343" s="393"/>
      <c r="V343" s="383"/>
      <c r="W343" s="395"/>
      <c r="X343" s="79"/>
      <c r="Y343" s="395"/>
      <c r="Z343" s="79"/>
      <c r="AA343" s="383"/>
      <c r="AB343" s="282"/>
      <c r="AC343" s="383"/>
      <c r="AD343" s="383"/>
      <c r="AE343" s="383"/>
      <c r="AF343" s="383"/>
      <c r="AG343" s="383"/>
      <c r="AH343" s="383"/>
      <c r="AI343" s="384"/>
      <c r="AJ343" s="384"/>
      <c r="AK343" s="384"/>
      <c r="AL343" s="384"/>
      <c r="AM343" s="384"/>
    </row>
    <row r="344" spans="1:39" hidden="1">
      <c r="A344" s="980">
        <v>83</v>
      </c>
      <c r="B344" s="301" t="s">
        <v>4034</v>
      </c>
      <c r="C344" s="284" t="s">
        <v>22</v>
      </c>
      <c r="D344" s="1699" t="s">
        <v>4035</v>
      </c>
      <c r="E344" s="1120" t="s">
        <v>4036</v>
      </c>
      <c r="F344" s="274" t="s">
        <v>3258</v>
      </c>
      <c r="G344" s="284" t="s">
        <v>76</v>
      </c>
      <c r="H344" s="391"/>
      <c r="I344" s="1295">
        <v>919230881641</v>
      </c>
      <c r="J344" s="284"/>
      <c r="K344" s="274" t="s">
        <v>253</v>
      </c>
      <c r="L344" s="274" t="s">
        <v>50</v>
      </c>
      <c r="M344" s="272">
        <v>34333</v>
      </c>
      <c r="N344" s="272">
        <v>56249</v>
      </c>
      <c r="O344" s="400">
        <v>45168</v>
      </c>
      <c r="P344" s="279">
        <v>45747</v>
      </c>
      <c r="Q344" s="302">
        <v>45681</v>
      </c>
      <c r="R344" s="449" t="s">
        <v>313</v>
      </c>
      <c r="S344" s="394" t="s">
        <v>4037</v>
      </c>
      <c r="T344" s="403"/>
      <c r="U344" s="393"/>
      <c r="V344" s="383"/>
      <c r="W344" s="395"/>
      <c r="X344" s="79"/>
      <c r="Y344" s="395"/>
      <c r="Z344" s="79"/>
      <c r="AA344" s="383"/>
      <c r="AB344" s="282"/>
      <c r="AC344" s="383"/>
      <c r="AD344" s="383"/>
      <c r="AE344" s="383"/>
      <c r="AF344" s="383"/>
      <c r="AG344" s="383"/>
      <c r="AH344" s="383"/>
      <c r="AI344" s="384"/>
      <c r="AJ344" s="384"/>
      <c r="AK344" s="384"/>
      <c r="AL344" s="384"/>
      <c r="AM344" s="384"/>
    </row>
    <row r="345" spans="1:39" ht="15.75" hidden="1" customHeight="1">
      <c r="A345" s="980">
        <v>30</v>
      </c>
      <c r="B345" s="301" t="s">
        <v>4038</v>
      </c>
      <c r="C345" s="284" t="s">
        <v>22</v>
      </c>
      <c r="D345" s="1699" t="s">
        <v>4039</v>
      </c>
      <c r="E345" s="1120" t="s">
        <v>4040</v>
      </c>
      <c r="F345" s="274" t="s">
        <v>759</v>
      </c>
      <c r="G345" s="284" t="s">
        <v>76</v>
      </c>
      <c r="H345" s="391"/>
      <c r="I345" s="1295">
        <v>918436222489</v>
      </c>
      <c r="J345" s="284"/>
      <c r="K345" s="274" t="s">
        <v>253</v>
      </c>
      <c r="L345" s="274" t="s">
        <v>60</v>
      </c>
      <c r="M345" s="272">
        <v>29326</v>
      </c>
      <c r="N345" s="272">
        <v>51256</v>
      </c>
      <c r="O345" s="400">
        <v>45762</v>
      </c>
      <c r="P345" s="279">
        <v>45199</v>
      </c>
      <c r="Q345" s="302">
        <v>45284</v>
      </c>
      <c r="R345" s="449" t="s">
        <v>313</v>
      </c>
      <c r="S345" s="394" t="s">
        <v>4041</v>
      </c>
      <c r="T345" s="403"/>
      <c r="U345" s="393"/>
      <c r="V345" s="383"/>
      <c r="W345" s="395"/>
      <c r="Y345" s="90"/>
      <c r="AB345" s="311"/>
    </row>
    <row r="346" spans="1:39" hidden="1">
      <c r="A346" s="980">
        <v>70</v>
      </c>
      <c r="B346" s="301" t="s">
        <v>4042</v>
      </c>
      <c r="C346" s="284" t="s">
        <v>22</v>
      </c>
      <c r="D346" s="1699" t="s">
        <v>4043</v>
      </c>
      <c r="E346" s="1120" t="s">
        <v>4044</v>
      </c>
      <c r="F346" s="274" t="s">
        <v>3258</v>
      </c>
      <c r="G346" s="284" t="s">
        <v>77</v>
      </c>
      <c r="H346" s="391"/>
      <c r="I346" s="1295">
        <v>918617546207</v>
      </c>
      <c r="J346" s="284"/>
      <c r="K346" s="274" t="s">
        <v>253</v>
      </c>
      <c r="L346" s="274" t="s">
        <v>256</v>
      </c>
      <c r="M346" s="272">
        <v>28856</v>
      </c>
      <c r="N346" s="272">
        <v>50770</v>
      </c>
      <c r="O346" s="400">
        <v>45292</v>
      </c>
      <c r="P346" s="279">
        <v>46192</v>
      </c>
      <c r="Q346" s="302">
        <v>46178</v>
      </c>
      <c r="R346" s="449" t="s">
        <v>313</v>
      </c>
      <c r="S346" s="403"/>
      <c r="T346" s="403"/>
      <c r="U346" s="393"/>
      <c r="V346" s="383"/>
      <c r="W346" s="395"/>
      <c r="X346" s="79"/>
      <c r="Y346" s="395"/>
      <c r="Z346" s="79"/>
      <c r="AA346" s="383"/>
      <c r="AB346" s="282"/>
      <c r="AC346" s="383"/>
      <c r="AD346" s="383"/>
      <c r="AE346" s="383"/>
      <c r="AF346" s="383"/>
      <c r="AG346" s="383"/>
      <c r="AH346" s="383"/>
      <c r="AI346" s="384"/>
      <c r="AJ346" s="384"/>
      <c r="AK346" s="384"/>
      <c r="AL346" s="384"/>
      <c r="AM346" s="384"/>
    </row>
    <row r="347" spans="1:39" hidden="1">
      <c r="A347" s="980">
        <v>46</v>
      </c>
      <c r="B347" s="301" t="s">
        <v>4045</v>
      </c>
      <c r="C347" s="284" t="s">
        <v>22</v>
      </c>
      <c r="D347" s="1699" t="s">
        <v>4046</v>
      </c>
      <c r="E347" s="1120" t="s">
        <v>4047</v>
      </c>
      <c r="F347" s="274" t="s">
        <v>759</v>
      </c>
      <c r="G347" s="284" t="s">
        <v>76</v>
      </c>
      <c r="H347" s="391"/>
      <c r="I347" s="284">
        <v>8248522649</v>
      </c>
      <c r="J347" s="284"/>
      <c r="K347" s="275" t="s">
        <v>315</v>
      </c>
      <c r="L347" s="18" t="s">
        <v>64</v>
      </c>
      <c r="M347" s="272">
        <v>29253</v>
      </c>
      <c r="N347" s="272">
        <v>51194</v>
      </c>
      <c r="O347" s="400">
        <v>45120</v>
      </c>
      <c r="P347" s="279">
        <v>45773</v>
      </c>
      <c r="Q347" s="302">
        <v>45773</v>
      </c>
      <c r="R347" s="449" t="s">
        <v>313</v>
      </c>
      <c r="S347" s="403"/>
      <c r="T347" s="403"/>
      <c r="U347" s="393"/>
      <c r="V347" s="383"/>
      <c r="W347" s="395"/>
      <c r="X347" s="79"/>
      <c r="Y347" s="395"/>
      <c r="Z347" s="79"/>
      <c r="AA347" s="383"/>
      <c r="AB347" s="282"/>
      <c r="AC347" s="383"/>
      <c r="AD347" s="383"/>
      <c r="AE347" s="383"/>
      <c r="AF347" s="383"/>
      <c r="AG347" s="383"/>
      <c r="AH347" s="383"/>
      <c r="AI347" s="384"/>
      <c r="AJ347" s="384"/>
      <c r="AK347" s="384"/>
      <c r="AL347" s="384"/>
      <c r="AM347" s="384"/>
    </row>
    <row r="348" spans="1:39" ht="30" hidden="1">
      <c r="A348" s="980">
        <v>87</v>
      </c>
      <c r="B348" s="301" t="s">
        <v>4048</v>
      </c>
      <c r="C348" s="284" t="s">
        <v>22</v>
      </c>
      <c r="D348" s="1646" t="s">
        <v>4049</v>
      </c>
      <c r="E348" s="1120" t="s">
        <v>4050</v>
      </c>
      <c r="F348" s="274" t="s">
        <v>759</v>
      </c>
      <c r="G348" s="284" t="s">
        <v>77</v>
      </c>
      <c r="H348" s="391"/>
      <c r="I348" s="1295">
        <v>919230881650</v>
      </c>
      <c r="J348" s="284"/>
      <c r="K348" s="275" t="s">
        <v>315</v>
      </c>
      <c r="L348" s="656" t="s">
        <v>256</v>
      </c>
      <c r="M348" s="272">
        <v>30640</v>
      </c>
      <c r="N348" s="272">
        <v>52565</v>
      </c>
      <c r="O348" s="400">
        <v>45992</v>
      </c>
      <c r="P348" s="279">
        <v>45548</v>
      </c>
      <c r="Q348" s="302">
        <v>45472</v>
      </c>
      <c r="R348" s="449" t="s">
        <v>313</v>
      </c>
      <c r="S348" s="403"/>
      <c r="T348" s="403"/>
      <c r="U348" s="393"/>
      <c r="V348" s="383"/>
      <c r="W348" s="395"/>
      <c r="X348" s="79"/>
      <c r="Y348" s="395"/>
      <c r="Z348" s="79"/>
      <c r="AA348" s="383"/>
      <c r="AB348" s="282"/>
      <c r="AC348" s="383"/>
      <c r="AD348" s="383"/>
      <c r="AE348" s="383"/>
      <c r="AF348" s="383"/>
      <c r="AG348" s="383"/>
      <c r="AH348" s="383"/>
      <c r="AI348" s="384"/>
      <c r="AJ348" s="384"/>
      <c r="AK348" s="384"/>
      <c r="AL348" s="384"/>
      <c r="AM348" s="384"/>
    </row>
    <row r="349" spans="1:39" hidden="1">
      <c r="A349" s="980">
        <v>2</v>
      </c>
      <c r="B349" s="301" t="s">
        <v>4051</v>
      </c>
      <c r="C349" s="284" t="s">
        <v>22</v>
      </c>
      <c r="D349" s="1645" t="s">
        <v>4052</v>
      </c>
      <c r="E349" s="527" t="s">
        <v>4053</v>
      </c>
      <c r="F349" s="274" t="s">
        <v>759</v>
      </c>
      <c r="G349" s="284" t="s">
        <v>77</v>
      </c>
      <c r="H349" s="391"/>
      <c r="I349" s="407">
        <v>918759527445</v>
      </c>
      <c r="J349" s="1122">
        <v>918759527445</v>
      </c>
      <c r="K349" s="275" t="s">
        <v>315</v>
      </c>
      <c r="L349" s="125" t="s">
        <v>67</v>
      </c>
      <c r="M349" s="272">
        <v>32449</v>
      </c>
      <c r="N349" s="272">
        <v>54392</v>
      </c>
      <c r="O349" s="400">
        <v>45679</v>
      </c>
      <c r="P349" s="279">
        <v>45110</v>
      </c>
      <c r="Q349" s="302">
        <v>45117</v>
      </c>
      <c r="R349" s="449" t="s">
        <v>313</v>
      </c>
      <c r="S349" s="403"/>
      <c r="T349" s="403"/>
      <c r="U349" s="393"/>
      <c r="V349" s="383"/>
      <c r="W349" s="395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</row>
    <row r="350" spans="1:39" ht="15.75" hidden="1">
      <c r="A350" s="980">
        <v>96</v>
      </c>
      <c r="B350" s="301" t="s">
        <v>384</v>
      </c>
      <c r="C350" s="284" t="s">
        <v>22</v>
      </c>
      <c r="D350" s="1646" t="s">
        <v>4054</v>
      </c>
      <c r="E350" s="681" t="s">
        <v>4055</v>
      </c>
      <c r="F350" s="274" t="s">
        <v>759</v>
      </c>
      <c r="G350" s="284" t="s">
        <v>77</v>
      </c>
      <c r="H350" s="391"/>
      <c r="I350" s="519">
        <v>7501741911</v>
      </c>
      <c r="J350" s="284"/>
      <c r="K350" s="275" t="s">
        <v>315</v>
      </c>
      <c r="L350" s="398" t="s">
        <v>56</v>
      </c>
      <c r="M350" s="272">
        <v>33868</v>
      </c>
      <c r="N350" s="272">
        <f>EOMONTH(M350,(12*60))</f>
        <v>55792</v>
      </c>
      <c r="O350" s="400"/>
      <c r="P350" s="279"/>
      <c r="Q350" s="418"/>
      <c r="R350" s="449" t="s">
        <v>313</v>
      </c>
      <c r="S350" s="338"/>
      <c r="T350" s="403"/>
      <c r="U350" s="393"/>
      <c r="V350" s="383"/>
      <c r="W350" s="395"/>
      <c r="X350" s="79"/>
      <c r="Y350" s="395"/>
      <c r="Z350" s="79"/>
      <c r="AA350" s="383"/>
      <c r="AB350" s="282"/>
      <c r="AC350" s="383"/>
      <c r="AD350" s="383"/>
      <c r="AE350" s="383"/>
      <c r="AF350" s="383"/>
      <c r="AG350" s="383"/>
      <c r="AH350" s="383"/>
      <c r="AI350" s="384"/>
      <c r="AJ350" s="384"/>
      <c r="AK350" s="384"/>
      <c r="AL350" s="384"/>
      <c r="AM350" s="384"/>
    </row>
    <row r="351" spans="1:39" hidden="1">
      <c r="A351" s="944">
        <v>55</v>
      </c>
      <c r="B351" s="301" t="s">
        <v>4056</v>
      </c>
      <c r="C351" s="284" t="s">
        <v>22</v>
      </c>
      <c r="D351" s="306">
        <v>30329800275</v>
      </c>
      <c r="E351" s="681" t="s">
        <v>4057</v>
      </c>
      <c r="F351" s="1700" t="s">
        <v>759</v>
      </c>
      <c r="G351" s="284" t="s">
        <v>76</v>
      </c>
      <c r="H351" s="1701"/>
      <c r="I351" s="461">
        <v>9147918110</v>
      </c>
      <c r="J351" s="284"/>
      <c r="K351" s="274" t="s">
        <v>464</v>
      </c>
      <c r="L351" s="274" t="s">
        <v>417</v>
      </c>
      <c r="M351" s="272">
        <v>32796</v>
      </c>
      <c r="N351" s="272">
        <v>54727</v>
      </c>
      <c r="O351" s="400">
        <v>45346</v>
      </c>
      <c r="P351" s="279">
        <v>45387</v>
      </c>
      <c r="Q351" s="302">
        <v>46150</v>
      </c>
      <c r="R351" s="449" t="s">
        <v>313</v>
      </c>
      <c r="S351" s="393"/>
      <c r="T351" s="403"/>
      <c r="U351" s="393"/>
      <c r="V351" s="383"/>
      <c r="W351" s="395"/>
      <c r="X351" s="79"/>
      <c r="Y351" s="395"/>
      <c r="Z351" s="79"/>
      <c r="AA351" s="383"/>
      <c r="AB351" s="282"/>
      <c r="AC351" s="383"/>
      <c r="AD351" s="383"/>
      <c r="AE351" s="383"/>
      <c r="AF351" s="383"/>
      <c r="AG351" s="383"/>
      <c r="AH351" s="383"/>
      <c r="AI351" s="384"/>
      <c r="AJ351" s="384"/>
      <c r="AK351" s="384"/>
      <c r="AL351" s="384"/>
      <c r="AM351" s="384"/>
    </row>
    <row r="352" spans="1:39" hidden="1">
      <c r="A352" s="980">
        <v>30</v>
      </c>
      <c r="B352" s="301" t="s">
        <v>4058</v>
      </c>
      <c r="C352" s="284" t="s">
        <v>22</v>
      </c>
      <c r="D352" s="1120">
        <v>30329800419</v>
      </c>
      <c r="E352" s="1120" t="s">
        <v>4059</v>
      </c>
      <c r="F352" s="274" t="s">
        <v>759</v>
      </c>
      <c r="G352" s="284" t="s">
        <v>77</v>
      </c>
      <c r="H352" s="391"/>
      <c r="I352" s="461">
        <v>9147918104</v>
      </c>
      <c r="J352" s="284"/>
      <c r="K352" s="274" t="s">
        <v>253</v>
      </c>
      <c r="L352" s="303" t="s">
        <v>56</v>
      </c>
      <c r="M352" s="272">
        <v>32583</v>
      </c>
      <c r="N352" s="272">
        <v>54513</v>
      </c>
      <c r="O352" s="400">
        <v>45672</v>
      </c>
      <c r="P352" s="279">
        <v>45518</v>
      </c>
      <c r="Q352" s="302">
        <v>46063</v>
      </c>
      <c r="R352" s="449" t="s">
        <v>313</v>
      </c>
      <c r="S352" s="394" t="s">
        <v>4060</v>
      </c>
      <c r="T352" s="393"/>
      <c r="U352" s="403"/>
      <c r="V352" s="383"/>
      <c r="W352" s="395"/>
      <c r="X352" s="90"/>
      <c r="Y352" s="3"/>
      <c r="Z352" s="79"/>
      <c r="AA352" s="79"/>
      <c r="AB352" s="311"/>
    </row>
    <row r="353" spans="1:39" ht="15.75" hidden="1" customHeight="1">
      <c r="A353" s="980">
        <v>22</v>
      </c>
      <c r="B353" s="301" t="s">
        <v>4061</v>
      </c>
      <c r="C353" s="284" t="s">
        <v>22</v>
      </c>
      <c r="D353" s="1120">
        <v>30329800411</v>
      </c>
      <c r="E353" s="1702" t="s">
        <v>4062</v>
      </c>
      <c r="F353" s="274" t="s">
        <v>759</v>
      </c>
      <c r="G353" s="284" t="s">
        <v>77</v>
      </c>
      <c r="H353" s="391"/>
      <c r="I353" s="1309">
        <v>9038485270</v>
      </c>
      <c r="J353" s="284"/>
      <c r="K353" s="274" t="s">
        <v>334</v>
      </c>
      <c r="L353" s="275" t="s">
        <v>44</v>
      </c>
      <c r="M353" s="272">
        <v>32052</v>
      </c>
      <c r="N353" s="272">
        <v>53996</v>
      </c>
      <c r="O353" s="400">
        <v>45679</v>
      </c>
      <c r="P353" s="279">
        <v>45518</v>
      </c>
      <c r="Q353" s="302">
        <v>45160</v>
      </c>
      <c r="R353" s="449" t="s">
        <v>313</v>
      </c>
      <c r="S353" s="394" t="s">
        <v>4063</v>
      </c>
      <c r="T353" s="393"/>
      <c r="U353" s="403"/>
      <c r="V353" s="383"/>
      <c r="W353" s="395"/>
      <c r="X353" s="90"/>
      <c r="Y353" s="79"/>
      <c r="Z353" s="79"/>
      <c r="AA353" s="79"/>
    </row>
    <row r="354" spans="1:39" ht="15.75" hidden="1" customHeight="1">
      <c r="A354" s="980">
        <v>20</v>
      </c>
      <c r="B354" s="301" t="s">
        <v>4064</v>
      </c>
      <c r="C354" s="284" t="s">
        <v>22</v>
      </c>
      <c r="D354" s="1703">
        <v>30329800171</v>
      </c>
      <c r="E354" s="1120" t="s">
        <v>4065</v>
      </c>
      <c r="F354" s="1700" t="s">
        <v>759</v>
      </c>
      <c r="G354" s="284" t="s">
        <v>77</v>
      </c>
      <c r="H354" s="1701"/>
      <c r="I354" s="1309">
        <v>7699336778</v>
      </c>
      <c r="J354" s="284"/>
      <c r="K354" s="274" t="s">
        <v>253</v>
      </c>
      <c r="L354" s="274" t="s">
        <v>44</v>
      </c>
      <c r="M354" s="272">
        <v>32152</v>
      </c>
      <c r="N354" s="272">
        <v>54088</v>
      </c>
      <c r="O354" s="400">
        <v>45330</v>
      </c>
      <c r="P354" s="279">
        <v>45504</v>
      </c>
      <c r="Q354" s="302">
        <v>45717</v>
      </c>
      <c r="R354" s="449" t="s">
        <v>313</v>
      </c>
      <c r="S354" s="394" t="s">
        <v>4066</v>
      </c>
      <c r="T354" s="393"/>
      <c r="U354" s="403"/>
      <c r="V354" s="383"/>
      <c r="W354" s="395"/>
      <c r="X354" s="3"/>
      <c r="Y354" s="79"/>
      <c r="Z354" s="79"/>
    </row>
    <row r="355" spans="1:39" hidden="1">
      <c r="A355" s="980">
        <v>129</v>
      </c>
      <c r="B355" s="301" t="s">
        <v>4067</v>
      </c>
      <c r="C355" s="284" t="s">
        <v>22</v>
      </c>
      <c r="D355" s="1704">
        <v>50200063204</v>
      </c>
      <c r="E355" s="1705" t="s">
        <v>4068</v>
      </c>
      <c r="F355" s="274" t="s">
        <v>759</v>
      </c>
      <c r="G355" s="284" t="s">
        <v>77</v>
      </c>
      <c r="H355" s="391"/>
      <c r="I355" s="1309">
        <v>6297898028</v>
      </c>
      <c r="J355" s="284"/>
      <c r="K355" s="274" t="s">
        <v>253</v>
      </c>
      <c r="L355" s="274" t="s">
        <v>50</v>
      </c>
      <c r="M355" s="272">
        <v>27309</v>
      </c>
      <c r="N355" s="272">
        <v>49248</v>
      </c>
      <c r="O355" s="400">
        <v>45207</v>
      </c>
      <c r="P355" s="279">
        <v>45992</v>
      </c>
      <c r="Q355" s="302">
        <v>45656</v>
      </c>
      <c r="R355" s="449" t="s">
        <v>313</v>
      </c>
      <c r="S355" s="394" t="s">
        <v>4069</v>
      </c>
      <c r="T355" s="393"/>
      <c r="U355" s="403"/>
      <c r="V355" s="383"/>
      <c r="W355" s="563"/>
      <c r="X355" s="3"/>
      <c r="Y355" s="395"/>
      <c r="Z355" s="79"/>
      <c r="AA355" s="383"/>
      <c r="AB355" s="282"/>
      <c r="AC355" s="383"/>
      <c r="AD355" s="383"/>
      <c r="AE355" s="383"/>
      <c r="AF355" s="383"/>
      <c r="AG355" s="383"/>
      <c r="AH355" s="383"/>
      <c r="AI355" s="384"/>
      <c r="AJ355" s="384"/>
      <c r="AK355" s="384"/>
      <c r="AL355" s="384"/>
      <c r="AM355" s="384"/>
    </row>
    <row r="356" spans="1:39" hidden="1">
      <c r="A356" s="980">
        <v>55</v>
      </c>
      <c r="B356" s="301" t="s">
        <v>4070</v>
      </c>
      <c r="C356" s="284" t="s">
        <v>22</v>
      </c>
      <c r="D356" s="595">
        <v>429806613</v>
      </c>
      <c r="E356" s="1120" t="s">
        <v>4071</v>
      </c>
      <c r="F356" s="686" t="s">
        <v>3258</v>
      </c>
      <c r="G356" s="284" t="s">
        <v>76</v>
      </c>
      <c r="H356" s="391"/>
      <c r="I356" s="461">
        <v>7549816024</v>
      </c>
      <c r="J356" s="284"/>
      <c r="K356" s="275" t="s">
        <v>290</v>
      </c>
      <c r="L356" s="274" t="s">
        <v>44</v>
      </c>
      <c r="M356" s="272">
        <v>34870</v>
      </c>
      <c r="N356" s="272">
        <v>56795</v>
      </c>
      <c r="O356" s="400">
        <v>45105</v>
      </c>
      <c r="P356" s="279">
        <v>45373</v>
      </c>
      <c r="Q356" s="302">
        <v>45373</v>
      </c>
      <c r="R356" s="449" t="s">
        <v>313</v>
      </c>
      <c r="S356" s="394" t="s">
        <v>4072</v>
      </c>
      <c r="T356" s="393"/>
      <c r="U356" s="403"/>
      <c r="V356" s="383"/>
      <c r="W356" s="563"/>
      <c r="X356" s="3"/>
      <c r="Y356" s="395"/>
      <c r="Z356" s="79"/>
      <c r="AA356" s="383"/>
      <c r="AB356" s="282"/>
      <c r="AC356" s="383"/>
      <c r="AD356" s="383"/>
      <c r="AE356" s="383"/>
      <c r="AF356" s="383"/>
      <c r="AG356" s="383"/>
      <c r="AH356" s="383"/>
      <c r="AI356" s="384"/>
      <c r="AJ356" s="384"/>
      <c r="AK356" s="384"/>
      <c r="AL356" s="384"/>
      <c r="AM356" s="384"/>
    </row>
    <row r="357" spans="1:39" ht="15.75" hidden="1" customHeight="1">
      <c r="A357" s="980">
        <v>26</v>
      </c>
      <c r="B357" s="301" t="s">
        <v>4073</v>
      </c>
      <c r="C357" s="284" t="s">
        <v>22</v>
      </c>
      <c r="D357" s="1706" t="s">
        <v>4074</v>
      </c>
      <c r="E357" s="1120" t="s">
        <v>4075</v>
      </c>
      <c r="F357" s="274" t="s">
        <v>759</v>
      </c>
      <c r="G357" s="284" t="s">
        <v>77</v>
      </c>
      <c r="H357" s="391"/>
      <c r="I357" s="461">
        <v>9699568863</v>
      </c>
      <c r="J357" s="284"/>
      <c r="K357" s="275" t="s">
        <v>290</v>
      </c>
      <c r="L357" s="284" t="s">
        <v>64</v>
      </c>
      <c r="M357" s="272">
        <v>30808</v>
      </c>
      <c r="N357" s="272">
        <v>52748</v>
      </c>
      <c r="O357" s="400">
        <v>45726</v>
      </c>
      <c r="P357" s="279">
        <v>46074</v>
      </c>
      <c r="Q357" s="302">
        <v>46063</v>
      </c>
      <c r="R357" s="449" t="s">
        <v>313</v>
      </c>
      <c r="S357" s="1250"/>
      <c r="T357" s="482"/>
      <c r="U357" s="403"/>
      <c r="V357" s="384"/>
      <c r="W357" s="563"/>
      <c r="X357" s="90"/>
      <c r="Y357" s="90"/>
      <c r="AB357" s="311"/>
    </row>
    <row r="358" spans="1:39" hidden="1">
      <c r="A358" s="980">
        <v>4</v>
      </c>
      <c r="B358" s="1096" t="s">
        <v>1083</v>
      </c>
      <c r="C358" s="284" t="s">
        <v>22</v>
      </c>
      <c r="D358" s="1307">
        <v>50714507039</v>
      </c>
      <c r="E358" s="527" t="s">
        <v>4076</v>
      </c>
      <c r="F358" s="1700" t="s">
        <v>759</v>
      </c>
      <c r="G358" s="284" t="s">
        <v>76</v>
      </c>
      <c r="H358" s="1701"/>
      <c r="I358" s="1643">
        <v>9800971233</v>
      </c>
      <c r="J358" s="284"/>
      <c r="K358" s="274" t="s">
        <v>464</v>
      </c>
      <c r="L358" s="18" t="s">
        <v>62</v>
      </c>
      <c r="M358" s="272">
        <v>32361</v>
      </c>
      <c r="N358" s="272">
        <v>54301</v>
      </c>
      <c r="O358" s="400"/>
      <c r="P358" s="279"/>
      <c r="Q358" s="302"/>
      <c r="R358" s="449" t="s">
        <v>313</v>
      </c>
      <c r="S358" s="403"/>
      <c r="T358" s="393"/>
      <c r="U358" s="394" t="s">
        <v>4077</v>
      </c>
      <c r="V358" s="383"/>
      <c r="W358" s="395"/>
      <c r="X358" s="79"/>
      <c r="Y358" s="395"/>
      <c r="Z358" s="79"/>
      <c r="AA358" s="383"/>
      <c r="AB358" s="282"/>
      <c r="AC358" s="383"/>
      <c r="AD358" s="383"/>
      <c r="AE358" s="383"/>
      <c r="AF358" s="383"/>
      <c r="AG358" s="383"/>
      <c r="AH358" s="383"/>
      <c r="AI358" s="384"/>
      <c r="AJ358" s="384"/>
      <c r="AK358" s="384"/>
      <c r="AL358" s="384"/>
      <c r="AM358" s="384"/>
    </row>
    <row r="359" spans="1:39" ht="12.75" hidden="1" customHeight="1">
      <c r="A359" s="980">
        <v>121</v>
      </c>
      <c r="B359" s="1707" t="s">
        <v>4078</v>
      </c>
      <c r="C359" s="18" t="s">
        <v>22</v>
      </c>
      <c r="D359" s="1708" t="s">
        <v>4079</v>
      </c>
      <c r="E359" s="1709" t="s">
        <v>4080</v>
      </c>
      <c r="F359" s="1710" t="s">
        <v>759</v>
      </c>
      <c r="G359" s="631" t="s">
        <v>76</v>
      </c>
      <c r="H359" s="633"/>
      <c r="I359" s="1295">
        <v>9518842510</v>
      </c>
      <c r="J359" s="334"/>
      <c r="K359" s="274" t="s">
        <v>253</v>
      </c>
      <c r="L359" s="18" t="s">
        <v>44</v>
      </c>
      <c r="M359" s="1711">
        <v>31208</v>
      </c>
      <c r="N359" s="272">
        <f>EOMONTH(M359,(12*60))</f>
        <v>53143</v>
      </c>
      <c r="O359" s="1712"/>
      <c r="P359" s="1713"/>
      <c r="Q359" s="1713"/>
      <c r="R359" s="449" t="s">
        <v>313</v>
      </c>
      <c r="S359" s="1714" t="s">
        <v>4081</v>
      </c>
      <c r="T359" s="334"/>
      <c r="U359" s="334"/>
      <c r="V359" s="334"/>
      <c r="W359" s="334"/>
      <c r="X359" s="633"/>
      <c r="Y359" s="633"/>
      <c r="Z359" s="633"/>
      <c r="AA359" s="633"/>
      <c r="AB359" s="633"/>
      <c r="AC359" s="633"/>
      <c r="AD359" s="633"/>
      <c r="AE359" s="633"/>
      <c r="AF359" s="633"/>
      <c r="AG359" s="633"/>
      <c r="AH359" s="633"/>
      <c r="AI359" s="633"/>
      <c r="AJ359" s="633"/>
      <c r="AK359" s="199"/>
      <c r="AL359" s="199"/>
      <c r="AM359" s="199"/>
    </row>
    <row r="360" spans="1:39" ht="15.75" hidden="1" customHeight="1">
      <c r="A360" s="974"/>
      <c r="B360" s="1145" t="s">
        <v>4082</v>
      </c>
      <c r="C360" s="1121" t="s">
        <v>22</v>
      </c>
      <c r="D360" s="1460" t="s">
        <v>4083</v>
      </c>
      <c r="E360" s="1064" t="s">
        <v>4084</v>
      </c>
      <c r="F360" s="946" t="s">
        <v>759</v>
      </c>
      <c r="G360" s="870" t="s">
        <v>76</v>
      </c>
      <c r="H360" s="499"/>
      <c r="I360" s="303">
        <v>8770448334</v>
      </c>
      <c r="J360" s="307"/>
      <c r="K360" s="274" t="s">
        <v>253</v>
      </c>
      <c r="L360" s="274" t="s">
        <v>664</v>
      </c>
      <c r="M360" s="511">
        <v>33270</v>
      </c>
      <c r="N360" s="511">
        <v>55184</v>
      </c>
      <c r="O360" s="511"/>
      <c r="P360" s="511"/>
      <c r="Q360" s="1715"/>
      <c r="R360" s="449" t="s">
        <v>313</v>
      </c>
      <c r="S360" s="1716" t="s">
        <v>4085</v>
      </c>
      <c r="T360" s="1717"/>
      <c r="U360" s="1717"/>
      <c r="V360" s="425"/>
      <c r="W360" s="1673"/>
      <c r="X360" s="90"/>
      <c r="Y360" s="90"/>
      <c r="Z360" s="197"/>
      <c r="AB360" s="311"/>
    </row>
    <row r="361" spans="1:39" ht="15.75" hidden="1" customHeight="1">
      <c r="A361" s="974"/>
      <c r="B361" s="1145" t="s">
        <v>4086</v>
      </c>
      <c r="C361" s="1121" t="s">
        <v>22</v>
      </c>
      <c r="D361" s="1460" t="s">
        <v>4087</v>
      </c>
      <c r="E361" s="1064" t="s">
        <v>4088</v>
      </c>
      <c r="F361" s="946" t="s">
        <v>759</v>
      </c>
      <c r="G361" s="870" t="s">
        <v>76</v>
      </c>
      <c r="H361" s="499"/>
      <c r="I361" s="303">
        <v>9571218899</v>
      </c>
      <c r="J361" s="307"/>
      <c r="K361" s="274" t="s">
        <v>253</v>
      </c>
      <c r="L361" s="303" t="s">
        <v>64</v>
      </c>
      <c r="M361" s="278">
        <v>28650</v>
      </c>
      <c r="N361" s="278">
        <v>50586</v>
      </c>
      <c r="O361" s="278"/>
      <c r="P361" s="278"/>
      <c r="Q361" s="424"/>
      <c r="R361" s="449" t="s">
        <v>313</v>
      </c>
      <c r="S361" s="339" t="s">
        <v>4089</v>
      </c>
      <c r="T361" s="441"/>
      <c r="U361" s="441"/>
      <c r="V361" s="425"/>
      <c r="W361" s="1673"/>
      <c r="X361" s="90"/>
      <c r="Y361" s="90"/>
      <c r="Z361" s="197"/>
      <c r="AB361" s="311"/>
    </row>
    <row r="362" spans="1:39" ht="15.75" hidden="1" customHeight="1">
      <c r="A362" s="944">
        <v>62</v>
      </c>
      <c r="B362" s="426" t="s">
        <v>4090</v>
      </c>
      <c r="C362" s="1121" t="s">
        <v>22</v>
      </c>
      <c r="D362" s="420" t="s">
        <v>4091</v>
      </c>
      <c r="E362" s="137" t="s">
        <v>4092</v>
      </c>
      <c r="F362" s="674" t="s">
        <v>759</v>
      </c>
      <c r="G362" s="18" t="s">
        <v>77</v>
      </c>
      <c r="H362" s="275"/>
      <c r="I362" s="3"/>
      <c r="J362" s="433"/>
      <c r="K362" s="391" t="s">
        <v>334</v>
      </c>
      <c r="L362" s="274" t="s">
        <v>351</v>
      </c>
      <c r="M362" s="418">
        <v>30625</v>
      </c>
      <c r="N362" s="418">
        <v>52565</v>
      </c>
      <c r="O362" s="428">
        <v>45736</v>
      </c>
      <c r="P362" s="418">
        <v>45517</v>
      </c>
      <c r="Q362" s="418">
        <v>45829</v>
      </c>
      <c r="R362" s="449" t="s">
        <v>313</v>
      </c>
      <c r="S362" s="281" t="s">
        <v>4093</v>
      </c>
      <c r="T362" s="280"/>
      <c r="U362" s="280"/>
      <c r="V362" s="280"/>
      <c r="W362" s="79"/>
      <c r="X362" s="282">
        <f ca="1">INT((TODAY()-M362)/365)</f>
        <v>42</v>
      </c>
      <c r="Y362" s="79"/>
      <c r="Z362" s="79"/>
      <c r="AA362" s="79"/>
    </row>
    <row r="363" spans="1:39" ht="30" hidden="1">
      <c r="A363" s="980">
        <v>1</v>
      </c>
      <c r="B363" s="301" t="s">
        <v>4094</v>
      </c>
      <c r="C363" s="284" t="s">
        <v>22</v>
      </c>
      <c r="D363" s="1718" t="s">
        <v>4095</v>
      </c>
      <c r="E363" s="681" t="s">
        <v>4096</v>
      </c>
      <c r="F363" s="274" t="s">
        <v>759</v>
      </c>
      <c r="G363" s="284" t="s">
        <v>76</v>
      </c>
      <c r="H363" s="391"/>
      <c r="I363" s="307"/>
      <c r="J363" s="284"/>
      <c r="K363" s="275" t="s">
        <v>315</v>
      </c>
      <c r="L363" s="274" t="s">
        <v>60</v>
      </c>
      <c r="M363" s="272">
        <v>34689</v>
      </c>
      <c r="N363" s="272">
        <v>56614</v>
      </c>
      <c r="O363" s="400">
        <v>45167</v>
      </c>
      <c r="P363" s="279">
        <v>45753</v>
      </c>
      <c r="Q363" s="302">
        <v>45710</v>
      </c>
      <c r="R363" s="449" t="s">
        <v>37</v>
      </c>
      <c r="S363" s="403"/>
      <c r="T363" s="403"/>
      <c r="U363" s="393"/>
      <c r="V363" s="383"/>
      <c r="W363" s="563"/>
      <c r="Y363" s="705"/>
      <c r="Z363" s="705"/>
      <c r="AA363" s="705"/>
      <c r="AB363" s="705"/>
      <c r="AC363" s="705"/>
      <c r="AD363" s="705"/>
      <c r="AE363" s="705"/>
      <c r="AF363" s="705"/>
      <c r="AG363" s="705"/>
      <c r="AH363" s="705"/>
      <c r="AI363" s="705"/>
      <c r="AJ363" s="705"/>
      <c r="AK363" s="705"/>
      <c r="AL363" s="705"/>
      <c r="AM363" s="705"/>
    </row>
    <row r="364" spans="1:39" ht="15.75" hidden="1" customHeight="1">
      <c r="A364" s="980">
        <v>3</v>
      </c>
      <c r="B364" s="305" t="s">
        <v>4097</v>
      </c>
      <c r="C364" s="303" t="s">
        <v>22</v>
      </c>
      <c r="D364" s="1460" t="s">
        <v>4098</v>
      </c>
      <c r="E364" s="681" t="s">
        <v>4099</v>
      </c>
      <c r="F364" s="946" t="s">
        <v>759</v>
      </c>
      <c r="G364" s="337" t="s">
        <v>76</v>
      </c>
      <c r="H364" s="307"/>
      <c r="I364" s="303">
        <v>7028885766</v>
      </c>
      <c r="J364" s="307"/>
      <c r="K364" s="275" t="s">
        <v>315</v>
      </c>
      <c r="L364" s="274" t="s">
        <v>57</v>
      </c>
      <c r="M364" s="315">
        <v>29587</v>
      </c>
      <c r="N364" s="315">
        <v>51501</v>
      </c>
      <c r="O364" s="315"/>
      <c r="P364" s="272">
        <v>45114</v>
      </c>
      <c r="Q364" s="272">
        <v>45114</v>
      </c>
      <c r="R364" s="449" t="s">
        <v>37</v>
      </c>
      <c r="S364" s="982" t="s">
        <v>4100</v>
      </c>
      <c r="T364" s="317"/>
      <c r="U364" s="285"/>
      <c r="V364" s="285"/>
      <c r="W364" s="90"/>
      <c r="X364" s="90"/>
    </row>
    <row r="365" spans="1:39" ht="15.75" hidden="1" customHeight="1">
      <c r="A365" s="980">
        <v>8</v>
      </c>
      <c r="B365" s="301" t="s">
        <v>4101</v>
      </c>
      <c r="C365" s="303" t="s">
        <v>22</v>
      </c>
      <c r="D365" s="1718" t="s">
        <v>4102</v>
      </c>
      <c r="E365" s="681" t="s">
        <v>4103</v>
      </c>
      <c r="F365" s="274" t="s">
        <v>759</v>
      </c>
      <c r="G365" s="284" t="s">
        <v>76</v>
      </c>
      <c r="H365" s="391"/>
      <c r="I365" s="307"/>
      <c r="J365" s="284"/>
      <c r="K365" s="275" t="s">
        <v>315</v>
      </c>
      <c r="L365" s="274" t="s">
        <v>57</v>
      </c>
      <c r="M365" s="272">
        <v>34917</v>
      </c>
      <c r="N365" s="272">
        <v>56857</v>
      </c>
      <c r="O365" s="400">
        <v>45166</v>
      </c>
      <c r="P365" s="279">
        <v>45753</v>
      </c>
      <c r="Q365" s="302">
        <v>45710</v>
      </c>
      <c r="R365" s="449" t="s">
        <v>37</v>
      </c>
      <c r="S365" s="403"/>
      <c r="T365" s="1250"/>
      <c r="U365" s="482"/>
      <c r="V365" s="384"/>
      <c r="W365" s="563"/>
    </row>
    <row r="366" spans="1:39" ht="15.75" hidden="1" customHeight="1">
      <c r="A366" s="980">
        <v>20</v>
      </c>
      <c r="B366" s="305" t="s">
        <v>4104</v>
      </c>
      <c r="C366" s="303" t="s">
        <v>22</v>
      </c>
      <c r="D366" s="420" t="s">
        <v>4105</v>
      </c>
      <c r="E366" s="1062" t="s">
        <v>4106</v>
      </c>
      <c r="F366" s="946" t="s">
        <v>759</v>
      </c>
      <c r="G366" s="337" t="s">
        <v>76</v>
      </c>
      <c r="H366" s="307"/>
      <c r="I366" s="703">
        <v>8249143848</v>
      </c>
      <c r="J366" s="303">
        <v>8908635122</v>
      </c>
      <c r="K366" s="275" t="s">
        <v>315</v>
      </c>
      <c r="L366" s="274" t="s">
        <v>58</v>
      </c>
      <c r="M366" s="315">
        <v>30392</v>
      </c>
      <c r="N366" s="315">
        <v>52321</v>
      </c>
      <c r="O366" s="315">
        <v>45960</v>
      </c>
      <c r="P366" s="272">
        <v>44786</v>
      </c>
      <c r="Q366" s="272">
        <v>45623</v>
      </c>
      <c r="R366" s="449" t="s">
        <v>37</v>
      </c>
      <c r="S366" s="317"/>
      <c r="T366" s="317"/>
      <c r="U366" s="285"/>
      <c r="V366" s="285"/>
      <c r="W366" s="3"/>
      <c r="X366" s="3"/>
      <c r="Y366" s="3"/>
      <c r="Z366" s="79"/>
      <c r="AA366" s="79"/>
      <c r="AB366" s="311"/>
    </row>
    <row r="367" spans="1:39" ht="15.75" hidden="1" customHeight="1">
      <c r="A367" s="980">
        <v>21</v>
      </c>
      <c r="B367" s="305" t="s">
        <v>4107</v>
      </c>
      <c r="C367" s="303" t="s">
        <v>22</v>
      </c>
      <c r="D367" s="420" t="s">
        <v>4108</v>
      </c>
      <c r="E367" s="1010" t="s">
        <v>4109</v>
      </c>
      <c r="F367" s="946" t="s">
        <v>759</v>
      </c>
      <c r="G367" s="337" t="s">
        <v>76</v>
      </c>
      <c r="H367" s="307"/>
      <c r="I367" s="966"/>
      <c r="J367" s="307"/>
      <c r="K367" s="275" t="s">
        <v>315</v>
      </c>
      <c r="L367" s="274" t="s">
        <v>57</v>
      </c>
      <c r="M367" s="315">
        <v>32876</v>
      </c>
      <c r="N367" s="315">
        <v>54819</v>
      </c>
      <c r="O367" s="315">
        <v>45860</v>
      </c>
      <c r="P367" s="424">
        <v>45242</v>
      </c>
      <c r="Q367" s="424">
        <v>45242</v>
      </c>
      <c r="R367" s="449" t="s">
        <v>37</v>
      </c>
      <c r="S367" s="441"/>
      <c r="T367" s="317"/>
      <c r="U367" s="285"/>
      <c r="V367" s="425"/>
      <c r="W367" s="137" t="s">
        <v>1690</v>
      </c>
      <c r="X367" s="90"/>
      <c r="Y367" s="90"/>
      <c r="AB367" s="311"/>
    </row>
    <row r="368" spans="1:39" ht="15.75" hidden="1" customHeight="1">
      <c r="A368" s="980">
        <v>35</v>
      </c>
      <c r="B368" s="305" t="s">
        <v>4110</v>
      </c>
      <c r="C368" s="303" t="s">
        <v>22</v>
      </c>
      <c r="D368" s="420" t="s">
        <v>4111</v>
      </c>
      <c r="E368" s="1010" t="s">
        <v>4112</v>
      </c>
      <c r="F368" s="946" t="s">
        <v>759</v>
      </c>
      <c r="G368" s="337" t="s">
        <v>77</v>
      </c>
      <c r="H368" s="307"/>
      <c r="I368" s="966"/>
      <c r="J368" s="79"/>
      <c r="K368" s="275" t="s">
        <v>315</v>
      </c>
      <c r="L368" s="274" t="s">
        <v>57</v>
      </c>
      <c r="M368" s="315">
        <v>32238</v>
      </c>
      <c r="N368" s="315">
        <v>54178</v>
      </c>
      <c r="O368" s="315">
        <v>45974</v>
      </c>
      <c r="P368" s="272">
        <v>45571</v>
      </c>
      <c r="Q368" s="272">
        <v>45744</v>
      </c>
      <c r="R368" s="449" t="s">
        <v>37</v>
      </c>
      <c r="S368" s="317"/>
      <c r="T368" s="317"/>
      <c r="U368" s="285"/>
      <c r="V368" s="285"/>
      <c r="W368" s="90"/>
      <c r="X368" s="90"/>
      <c r="Y368" s="90"/>
      <c r="AB368" s="311"/>
    </row>
    <row r="369" spans="1:39" ht="15.75" hidden="1" customHeight="1">
      <c r="A369" s="980">
        <v>40</v>
      </c>
      <c r="B369" s="301" t="s">
        <v>4113</v>
      </c>
      <c r="C369" s="284" t="s">
        <v>22</v>
      </c>
      <c r="D369" s="1718" t="s">
        <v>4114</v>
      </c>
      <c r="E369" s="681" t="s">
        <v>4115</v>
      </c>
      <c r="F369" s="274" t="s">
        <v>759</v>
      </c>
      <c r="G369" s="284" t="s">
        <v>76</v>
      </c>
      <c r="H369" s="391"/>
      <c r="I369" s="284">
        <v>8617685812</v>
      </c>
      <c r="J369" s="624"/>
      <c r="K369" s="275" t="s">
        <v>315</v>
      </c>
      <c r="L369" s="274" t="s">
        <v>57</v>
      </c>
      <c r="M369" s="272">
        <v>27700</v>
      </c>
      <c r="N369" s="272">
        <v>49643</v>
      </c>
      <c r="O369" s="400">
        <v>45668</v>
      </c>
      <c r="P369" s="279">
        <v>45669</v>
      </c>
      <c r="Q369" s="302">
        <v>45555</v>
      </c>
      <c r="R369" s="449" t="s">
        <v>37</v>
      </c>
      <c r="S369" s="403"/>
      <c r="T369" s="403"/>
      <c r="U369" s="393"/>
      <c r="V369" s="383"/>
      <c r="W369" s="563"/>
      <c r="Y369" s="90"/>
      <c r="AB369" s="311"/>
    </row>
    <row r="370" spans="1:39" hidden="1">
      <c r="A370" s="980">
        <v>42</v>
      </c>
      <c r="B370" s="301" t="s">
        <v>4116</v>
      </c>
      <c r="C370" s="303" t="s">
        <v>22</v>
      </c>
      <c r="D370" s="1718" t="s">
        <v>4117</v>
      </c>
      <c r="E370" s="681" t="s">
        <v>4118</v>
      </c>
      <c r="F370" s="274" t="s">
        <v>759</v>
      </c>
      <c r="G370" s="284" t="s">
        <v>76</v>
      </c>
      <c r="H370" s="391"/>
      <c r="I370" s="966"/>
      <c r="J370" s="284"/>
      <c r="K370" s="275" t="s">
        <v>315</v>
      </c>
      <c r="L370" s="274" t="s">
        <v>59</v>
      </c>
      <c r="M370" s="272">
        <v>33653</v>
      </c>
      <c r="N370" s="315">
        <v>55577</v>
      </c>
      <c r="O370" s="400">
        <v>45138</v>
      </c>
      <c r="P370" s="279">
        <v>45753</v>
      </c>
      <c r="Q370" s="302">
        <v>45710</v>
      </c>
      <c r="R370" s="449" t="s">
        <v>37</v>
      </c>
      <c r="S370" s="403"/>
      <c r="T370" s="403"/>
      <c r="U370" s="393"/>
      <c r="V370" s="383"/>
      <c r="W370" s="563"/>
      <c r="X370" s="79"/>
      <c r="Y370" s="395"/>
      <c r="Z370" s="79"/>
      <c r="AA370" s="383"/>
      <c r="AB370" s="282"/>
      <c r="AC370" s="383"/>
      <c r="AD370" s="383"/>
      <c r="AE370" s="383"/>
      <c r="AF370" s="384"/>
      <c r="AG370" s="384"/>
      <c r="AH370" s="384"/>
      <c r="AI370" s="384"/>
      <c r="AJ370" s="384"/>
      <c r="AK370" s="384"/>
      <c r="AL370" s="384"/>
      <c r="AM370" s="384"/>
    </row>
    <row r="371" spans="1:39" hidden="1">
      <c r="A371" s="980">
        <v>50</v>
      </c>
      <c r="B371" s="301" t="s">
        <v>4119</v>
      </c>
      <c r="C371" s="284" t="s">
        <v>22</v>
      </c>
      <c r="D371" s="1718" t="s">
        <v>4120</v>
      </c>
      <c r="E371" s="681" t="s">
        <v>4121</v>
      </c>
      <c r="F371" s="274" t="s">
        <v>759</v>
      </c>
      <c r="G371" s="284" t="s">
        <v>76</v>
      </c>
      <c r="H371" s="391"/>
      <c r="I371" s="966"/>
      <c r="J371" s="284"/>
      <c r="K371" s="275" t="s">
        <v>315</v>
      </c>
      <c r="L371" s="274" t="s">
        <v>57</v>
      </c>
      <c r="M371" s="272">
        <v>32919</v>
      </c>
      <c r="N371" s="315">
        <v>54847</v>
      </c>
      <c r="O371" s="400">
        <v>45160</v>
      </c>
      <c r="P371" s="279">
        <v>45753</v>
      </c>
      <c r="Q371" s="302">
        <v>45710</v>
      </c>
      <c r="R371" s="449" t="s">
        <v>37</v>
      </c>
      <c r="S371" s="403"/>
      <c r="T371" s="403"/>
      <c r="U371" s="393"/>
      <c r="V371" s="383"/>
      <c r="W371" s="563"/>
      <c r="X371" s="79"/>
      <c r="Y371" s="395"/>
      <c r="Z371" s="79"/>
      <c r="AA371" s="383"/>
      <c r="AB371" s="282"/>
      <c r="AC371" s="383"/>
      <c r="AD371" s="383"/>
      <c r="AE371" s="383"/>
      <c r="AF371" s="383"/>
      <c r="AG371" s="383"/>
      <c r="AH371" s="383"/>
      <c r="AI371" s="384"/>
      <c r="AJ371" s="384"/>
      <c r="AK371" s="384"/>
      <c r="AL371" s="384"/>
      <c r="AM371" s="384"/>
    </row>
    <row r="372" spans="1:39" ht="15.75" hidden="1" customHeight="1">
      <c r="A372" s="980">
        <v>58</v>
      </c>
      <c r="B372" s="1719" t="s">
        <v>4122</v>
      </c>
      <c r="C372" s="580" t="s">
        <v>22</v>
      </c>
      <c r="D372" s="1720" t="s">
        <v>4123</v>
      </c>
      <c r="E372" s="1721" t="s">
        <v>4124</v>
      </c>
      <c r="F372" s="1722" t="s">
        <v>759</v>
      </c>
      <c r="G372" s="1723" t="s">
        <v>77</v>
      </c>
      <c r="H372" s="966"/>
      <c r="I372" s="703">
        <v>9237196616</v>
      </c>
      <c r="J372" s="703">
        <v>9237196616</v>
      </c>
      <c r="K372" s="275" t="s">
        <v>315</v>
      </c>
      <c r="L372" s="284" t="s">
        <v>59</v>
      </c>
      <c r="M372" s="315">
        <v>28596</v>
      </c>
      <c r="N372" s="315">
        <v>50525</v>
      </c>
      <c r="O372" s="315">
        <v>45764</v>
      </c>
      <c r="P372" s="272">
        <v>45681</v>
      </c>
      <c r="Q372" s="272">
        <v>45980</v>
      </c>
      <c r="R372" s="449" t="s">
        <v>37</v>
      </c>
      <c r="S372" s="949" t="s">
        <v>4125</v>
      </c>
      <c r="T372" s="1724"/>
      <c r="U372" s="1725"/>
      <c r="V372" s="1725"/>
      <c r="W372" s="1726"/>
      <c r="X372" s="1727"/>
      <c r="Y372" s="395"/>
      <c r="Z372" s="704"/>
      <c r="AA372" s="383"/>
      <c r="AB372" s="282"/>
      <c r="AC372" s="383"/>
      <c r="AD372" s="383"/>
      <c r="AE372" s="383"/>
      <c r="AF372" s="383"/>
      <c r="AG372" s="383"/>
      <c r="AH372" s="383"/>
      <c r="AI372" s="384"/>
      <c r="AJ372" s="384"/>
      <c r="AK372" s="384"/>
      <c r="AL372" s="384"/>
      <c r="AM372" s="384"/>
    </row>
    <row r="373" spans="1:39" ht="15.75" hidden="1" customHeight="1">
      <c r="A373" s="980">
        <v>73</v>
      </c>
      <c r="B373" s="1145" t="s">
        <v>4126</v>
      </c>
      <c r="C373" s="703" t="s">
        <v>22</v>
      </c>
      <c r="D373" s="1728" t="s">
        <v>4127</v>
      </c>
      <c r="E373" s="1721" t="s">
        <v>4128</v>
      </c>
      <c r="F373" s="1722" t="s">
        <v>759</v>
      </c>
      <c r="G373" s="1723" t="s">
        <v>76</v>
      </c>
      <c r="H373" s="966"/>
      <c r="I373" s="703">
        <v>7205651974</v>
      </c>
      <c r="J373" s="703">
        <v>9437381978</v>
      </c>
      <c r="K373" s="275" t="s">
        <v>315</v>
      </c>
      <c r="L373" s="823" t="s">
        <v>66</v>
      </c>
      <c r="M373" s="315">
        <v>27791</v>
      </c>
      <c r="N373" s="315">
        <v>49340</v>
      </c>
      <c r="O373" s="315"/>
      <c r="P373" s="272">
        <v>45681</v>
      </c>
      <c r="Q373" s="272">
        <v>45595</v>
      </c>
      <c r="R373" s="449" t="s">
        <v>37</v>
      </c>
      <c r="S373" s="949" t="s">
        <v>4129</v>
      </c>
      <c r="T373" s="1724"/>
      <c r="U373" s="1725"/>
      <c r="V373" s="1725"/>
      <c r="W373" s="1726"/>
      <c r="X373" s="1727"/>
      <c r="Y373" s="395"/>
      <c r="Z373" s="704"/>
      <c r="AA373" s="383"/>
      <c r="AB373" s="282"/>
      <c r="AC373" s="383"/>
      <c r="AD373" s="383"/>
      <c r="AE373" s="383"/>
      <c r="AF373" s="383"/>
      <c r="AG373" s="383"/>
      <c r="AH373" s="383"/>
      <c r="AI373" s="384"/>
      <c r="AJ373" s="384"/>
      <c r="AK373" s="384"/>
      <c r="AL373" s="384"/>
      <c r="AM373" s="384"/>
    </row>
    <row r="374" spans="1:39" ht="15.75" hidden="1" customHeight="1">
      <c r="A374" s="980">
        <v>64</v>
      </c>
      <c r="B374" s="1145" t="s">
        <v>4130</v>
      </c>
      <c r="C374" s="703" t="s">
        <v>22</v>
      </c>
      <c r="D374" s="1728" t="s">
        <v>4131</v>
      </c>
      <c r="E374" s="1721" t="s">
        <v>4132</v>
      </c>
      <c r="F374" s="1722" t="s">
        <v>759</v>
      </c>
      <c r="G374" s="1723" t="s">
        <v>76</v>
      </c>
      <c r="H374" s="966"/>
      <c r="I374" s="703">
        <v>9851660800</v>
      </c>
      <c r="J374" s="703">
        <v>9851660800</v>
      </c>
      <c r="K374" s="275" t="s">
        <v>315</v>
      </c>
      <c r="L374" s="284" t="s">
        <v>60</v>
      </c>
      <c r="M374" s="315">
        <v>30389</v>
      </c>
      <c r="N374" s="315">
        <v>52321</v>
      </c>
      <c r="O374" s="315"/>
      <c r="P374" s="272">
        <v>45681</v>
      </c>
      <c r="Q374" s="272">
        <v>45511</v>
      </c>
      <c r="R374" s="449" t="s">
        <v>37</v>
      </c>
      <c r="S374" s="949" t="s">
        <v>4133</v>
      </c>
      <c r="T374" s="1724"/>
      <c r="U374" s="1725"/>
      <c r="V374" s="1725"/>
      <c r="W374" s="1726"/>
      <c r="X374" s="1727"/>
      <c r="Y374" s="395"/>
      <c r="Z374" s="704"/>
      <c r="AA374" s="383"/>
      <c r="AB374" s="282"/>
      <c r="AC374" s="383"/>
      <c r="AD374" s="383"/>
      <c r="AE374" s="383"/>
      <c r="AF374" s="383"/>
      <c r="AG374" s="383"/>
      <c r="AH374" s="383"/>
      <c r="AI374" s="384"/>
      <c r="AJ374" s="384"/>
      <c r="AK374" s="384"/>
      <c r="AL374" s="384"/>
      <c r="AM374" s="384"/>
    </row>
    <row r="375" spans="1:39" ht="15.75" hidden="1" customHeight="1">
      <c r="A375" s="980">
        <v>55</v>
      </c>
      <c r="B375" s="1729" t="s">
        <v>4134</v>
      </c>
      <c r="C375" s="703" t="s">
        <v>22</v>
      </c>
      <c r="D375" s="1460" t="s">
        <v>4135</v>
      </c>
      <c r="E375" s="1721" t="s">
        <v>4136</v>
      </c>
      <c r="F375" s="1722" t="s">
        <v>759</v>
      </c>
      <c r="G375" s="1723" t="s">
        <v>76</v>
      </c>
      <c r="H375" s="966"/>
      <c r="I375" s="966"/>
      <c r="J375" s="966"/>
      <c r="K375" s="275" t="s">
        <v>315</v>
      </c>
      <c r="L375" s="284" t="s">
        <v>60</v>
      </c>
      <c r="M375" s="315">
        <v>32177</v>
      </c>
      <c r="N375" s="315">
        <v>54116</v>
      </c>
      <c r="O375" s="315">
        <v>45865</v>
      </c>
      <c r="P375" s="272">
        <v>45228</v>
      </c>
      <c r="Q375" s="272">
        <v>45126</v>
      </c>
      <c r="R375" s="449" t="s">
        <v>37</v>
      </c>
      <c r="S375" s="1724"/>
      <c r="T375" s="1724"/>
      <c r="U375" s="1725"/>
      <c r="V375" s="1725"/>
      <c r="W375" s="1730" t="s">
        <v>1690</v>
      </c>
      <c r="X375" s="1726"/>
      <c r="Y375" s="705"/>
      <c r="Z375" s="705"/>
      <c r="AA375" s="705"/>
      <c r="AB375" s="705"/>
      <c r="AC375" s="705"/>
      <c r="AD375" s="705"/>
      <c r="AE375" s="705"/>
      <c r="AF375" s="705"/>
      <c r="AG375" s="705"/>
      <c r="AH375" s="705"/>
      <c r="AI375" s="705"/>
      <c r="AJ375" s="705"/>
      <c r="AK375" s="705"/>
      <c r="AL375" s="705"/>
      <c r="AM375" s="705"/>
    </row>
    <row r="376" spans="1:39" ht="15.75" hidden="1">
      <c r="A376" s="980">
        <v>68</v>
      </c>
      <c r="B376" s="301" t="s">
        <v>4137</v>
      </c>
      <c r="C376" s="703" t="s">
        <v>22</v>
      </c>
      <c r="D376" s="1718" t="s">
        <v>4138</v>
      </c>
      <c r="E376" s="1721" t="s">
        <v>4139</v>
      </c>
      <c r="F376" s="284" t="s">
        <v>759</v>
      </c>
      <c r="G376" s="284" t="s">
        <v>77</v>
      </c>
      <c r="H376" s="391"/>
      <c r="I376" s="966"/>
      <c r="J376" s="966"/>
      <c r="K376" s="275" t="s">
        <v>315</v>
      </c>
      <c r="L376" s="823" t="s">
        <v>66</v>
      </c>
      <c r="M376" s="272">
        <v>34177</v>
      </c>
      <c r="N376" s="315">
        <v>56096</v>
      </c>
      <c r="O376" s="400">
        <v>45161</v>
      </c>
      <c r="P376" s="279">
        <v>45753</v>
      </c>
      <c r="Q376" s="302">
        <v>45710</v>
      </c>
      <c r="R376" s="449" t="s">
        <v>37</v>
      </c>
      <c r="S376" s="403"/>
      <c r="T376" s="403"/>
      <c r="U376" s="393"/>
      <c r="V376" s="383"/>
      <c r="W376" s="563"/>
      <c r="X376" s="704"/>
      <c r="Y376" s="395"/>
      <c r="Z376" s="704"/>
      <c r="AA376" s="383"/>
      <c r="AB376" s="282"/>
      <c r="AC376" s="383"/>
      <c r="AD376" s="383"/>
      <c r="AE376" s="383"/>
      <c r="AF376" s="383"/>
      <c r="AG376" s="383"/>
      <c r="AH376" s="383"/>
      <c r="AI376" s="384"/>
      <c r="AJ376" s="384"/>
      <c r="AK376" s="384"/>
      <c r="AL376" s="384"/>
      <c r="AM376" s="384"/>
    </row>
    <row r="377" spans="1:39" ht="18.75" hidden="1">
      <c r="A377" s="980">
        <v>89</v>
      </c>
      <c r="B377" s="305" t="s">
        <v>4140</v>
      </c>
      <c r="C377" s="303" t="s">
        <v>22</v>
      </c>
      <c r="D377" s="1009">
        <v>53162131014</v>
      </c>
      <c r="E377" s="1010" t="s">
        <v>4141</v>
      </c>
      <c r="F377" s="946" t="s">
        <v>759</v>
      </c>
      <c r="G377" s="337" t="s">
        <v>76</v>
      </c>
      <c r="H377" s="307"/>
      <c r="I377" s="966"/>
      <c r="J377" s="307"/>
      <c r="K377" s="274" t="s">
        <v>253</v>
      </c>
      <c r="L377" s="274" t="s">
        <v>59</v>
      </c>
      <c r="M377" s="315">
        <v>32329</v>
      </c>
      <c r="N377" s="315">
        <v>54270</v>
      </c>
      <c r="O377" s="315">
        <v>45959</v>
      </c>
      <c r="P377" s="272">
        <v>45165</v>
      </c>
      <c r="Q377" s="272">
        <v>45744</v>
      </c>
      <c r="R377" s="449" t="s">
        <v>313</v>
      </c>
      <c r="S377" s="285"/>
      <c r="T377" s="317"/>
      <c r="U377" s="285"/>
      <c r="V377" s="285"/>
      <c r="W377" s="137"/>
      <c r="X377" s="3"/>
      <c r="Y377" s="395"/>
      <c r="Z377" s="79"/>
      <c r="AA377" s="383"/>
      <c r="AB377" s="282"/>
      <c r="AC377" s="383"/>
      <c r="AD377" s="383"/>
      <c r="AE377" s="383"/>
      <c r="AF377" s="383"/>
      <c r="AG377" s="383"/>
      <c r="AH377" s="383"/>
      <c r="AI377" s="384"/>
      <c r="AJ377" s="384"/>
      <c r="AK377" s="384"/>
      <c r="AL377" s="384"/>
      <c r="AM377" s="384"/>
    </row>
    <row r="378" spans="1:39" hidden="1">
      <c r="A378" s="980">
        <v>80</v>
      </c>
      <c r="B378" s="301" t="s">
        <v>4142</v>
      </c>
      <c r="C378" s="284" t="s">
        <v>22</v>
      </c>
      <c r="D378" s="1207" t="s">
        <v>4143</v>
      </c>
      <c r="E378" s="681" t="s">
        <v>4144</v>
      </c>
      <c r="F378" s="274" t="s">
        <v>759</v>
      </c>
      <c r="G378" s="284" t="s">
        <v>76</v>
      </c>
      <c r="H378" s="391"/>
      <c r="I378" s="284">
        <v>8857815209</v>
      </c>
      <c r="J378" s="284"/>
      <c r="K378" s="275" t="s">
        <v>290</v>
      </c>
      <c r="L378" s="125" t="s">
        <v>67</v>
      </c>
      <c r="M378" s="272">
        <v>32065</v>
      </c>
      <c r="N378" s="272">
        <v>53996</v>
      </c>
      <c r="O378" s="400">
        <v>45976</v>
      </c>
      <c r="P378" s="279">
        <v>45111</v>
      </c>
      <c r="Q378" s="302">
        <v>45111</v>
      </c>
      <c r="R378" s="449" t="s">
        <v>37</v>
      </c>
      <c r="S378" s="393"/>
      <c r="T378" s="403"/>
      <c r="U378" s="393"/>
      <c r="V378" s="383"/>
      <c r="W378" s="563"/>
      <c r="X378" s="79"/>
      <c r="Y378" s="395"/>
      <c r="Z378" s="79"/>
      <c r="AA378" s="383"/>
      <c r="AB378" s="282"/>
      <c r="AC378" s="383"/>
      <c r="AD378" s="383"/>
      <c r="AE378" s="383"/>
      <c r="AF378" s="383"/>
      <c r="AG378" s="383"/>
      <c r="AH378" s="383"/>
      <c r="AI378" s="384"/>
      <c r="AJ378" s="384"/>
      <c r="AK378" s="384"/>
      <c r="AL378" s="384"/>
      <c r="AM378" s="384"/>
    </row>
    <row r="379" spans="1:39" hidden="1">
      <c r="A379" s="980">
        <v>23</v>
      </c>
      <c r="B379" s="301" t="s">
        <v>4145</v>
      </c>
      <c r="C379" s="284" t="s">
        <v>22</v>
      </c>
      <c r="D379" s="1120">
        <v>12307030023</v>
      </c>
      <c r="E379" s="1702" t="s">
        <v>4146</v>
      </c>
      <c r="F379" s="274" t="s">
        <v>759</v>
      </c>
      <c r="G379" s="284" t="s">
        <v>76</v>
      </c>
      <c r="H379" s="391"/>
      <c r="I379" s="637">
        <v>7908597828</v>
      </c>
      <c r="J379" s="284"/>
      <c r="K379" s="275" t="s">
        <v>290</v>
      </c>
      <c r="L379" s="303" t="s">
        <v>60</v>
      </c>
      <c r="M379" s="272">
        <v>26852</v>
      </c>
      <c r="N379" s="272">
        <v>48791</v>
      </c>
      <c r="O379" s="400">
        <v>45473</v>
      </c>
      <c r="P379" s="279">
        <v>44989</v>
      </c>
      <c r="Q379" s="302">
        <v>45294</v>
      </c>
      <c r="R379" s="449" t="s">
        <v>37</v>
      </c>
      <c r="S379" s="393"/>
      <c r="T379" s="403"/>
      <c r="U379" s="393"/>
      <c r="V379" s="383"/>
      <c r="W379" s="395"/>
      <c r="Y379" s="3"/>
      <c r="Z379" s="79"/>
      <c r="AA379" s="79"/>
      <c r="AB379" s="311"/>
    </row>
    <row r="380" spans="1:39" hidden="1">
      <c r="A380" s="980">
        <v>4</v>
      </c>
      <c r="B380" s="301" t="s">
        <v>4147</v>
      </c>
      <c r="C380" s="284" t="s">
        <v>22</v>
      </c>
      <c r="D380" s="1642" t="s">
        <v>4148</v>
      </c>
      <c r="E380" s="681" t="s">
        <v>4149</v>
      </c>
      <c r="F380" s="274" t="s">
        <v>759</v>
      </c>
      <c r="G380" s="284" t="s">
        <v>77</v>
      </c>
      <c r="H380" s="391"/>
      <c r="I380" s="284">
        <v>7404046937</v>
      </c>
      <c r="J380" s="284">
        <v>7404046937</v>
      </c>
      <c r="K380" s="275" t="s">
        <v>315</v>
      </c>
      <c r="L380" s="274" t="s">
        <v>58</v>
      </c>
      <c r="M380" s="272">
        <v>31530</v>
      </c>
      <c r="N380" s="272">
        <v>53445</v>
      </c>
      <c r="O380" s="400">
        <v>45864</v>
      </c>
      <c r="P380" s="279">
        <v>45079</v>
      </c>
      <c r="Q380" s="302">
        <v>45355</v>
      </c>
      <c r="R380" s="449" t="s">
        <v>37</v>
      </c>
      <c r="S380" s="394" t="s">
        <v>4150</v>
      </c>
      <c r="T380" s="403"/>
      <c r="U380" s="393"/>
      <c r="V380" s="383"/>
      <c r="W380" s="395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</row>
    <row r="381" spans="1:39" hidden="1">
      <c r="A381" s="980">
        <v>94</v>
      </c>
      <c r="B381" s="301" t="s">
        <v>4151</v>
      </c>
      <c r="C381" s="284" t="s">
        <v>22</v>
      </c>
      <c r="D381" s="1699" t="s">
        <v>4152</v>
      </c>
      <c r="E381" s="681" t="s">
        <v>4153</v>
      </c>
      <c r="F381" s="274" t="s">
        <v>759</v>
      </c>
      <c r="G381" s="284" t="s">
        <v>76</v>
      </c>
      <c r="H381" s="391"/>
      <c r="I381" s="1295">
        <v>918813970566</v>
      </c>
      <c r="J381" s="284"/>
      <c r="K381" s="275" t="s">
        <v>315</v>
      </c>
      <c r="L381" s="274" t="s">
        <v>58</v>
      </c>
      <c r="M381" s="272">
        <v>32740</v>
      </c>
      <c r="N381" s="272">
        <v>54666</v>
      </c>
      <c r="O381" s="400">
        <v>45481</v>
      </c>
      <c r="P381" s="279">
        <v>45955</v>
      </c>
      <c r="Q381" s="418">
        <v>46032</v>
      </c>
      <c r="R381" s="449" t="s">
        <v>37</v>
      </c>
      <c r="S381" s="281" t="s">
        <v>4154</v>
      </c>
      <c r="T381" s="403"/>
      <c r="U381" s="393"/>
      <c r="V381" s="383"/>
      <c r="W381" s="395"/>
      <c r="X381" s="79"/>
      <c r="Y381" s="395"/>
      <c r="Z381" s="79"/>
      <c r="AA381" s="383"/>
      <c r="AB381" s="282"/>
      <c r="AC381" s="383"/>
      <c r="AD381" s="383"/>
      <c r="AE381" s="383"/>
      <c r="AF381" s="383"/>
      <c r="AG381" s="383"/>
      <c r="AH381" s="383"/>
      <c r="AI381" s="384"/>
      <c r="AJ381" s="384"/>
      <c r="AK381" s="384"/>
      <c r="AL381" s="384"/>
      <c r="AM381" s="384"/>
    </row>
    <row r="382" spans="1:39" ht="30" hidden="1">
      <c r="A382" s="656">
        <v>95</v>
      </c>
      <c r="B382" s="301" t="s">
        <v>4155</v>
      </c>
      <c r="C382" s="1210" t="s">
        <v>22</v>
      </c>
      <c r="D382" s="1731" t="s">
        <v>4156</v>
      </c>
      <c r="E382" s="527" t="s">
        <v>4157</v>
      </c>
      <c r="F382" s="274" t="s">
        <v>759</v>
      </c>
      <c r="G382" s="284" t="s">
        <v>76</v>
      </c>
      <c r="H382" s="327"/>
      <c r="I382" s="1122">
        <v>7979042877</v>
      </c>
      <c r="J382" s="334"/>
      <c r="K382" s="656" t="s">
        <v>464</v>
      </c>
      <c r="L382" s="656" t="s">
        <v>60</v>
      </c>
      <c r="M382" s="326">
        <v>35530</v>
      </c>
      <c r="N382" s="1732">
        <f>EOMONTH(M382,(12*60))</f>
        <v>57465</v>
      </c>
      <c r="O382" s="329"/>
      <c r="P382" s="330"/>
      <c r="Q382" s="331"/>
      <c r="R382" s="449" t="s">
        <v>37</v>
      </c>
      <c r="S382" s="332"/>
      <c r="T382" s="450"/>
      <c r="U382" s="332"/>
      <c r="V382" s="199"/>
      <c r="W382" s="199"/>
      <c r="X382" s="199"/>
      <c r="Y382" s="199"/>
      <c r="Z382" s="199"/>
      <c r="AA382" s="199"/>
      <c r="AB382" s="199"/>
      <c r="AC382" s="199"/>
      <c r="AD382" s="199"/>
      <c r="AE382" s="199"/>
      <c r="AF382" s="199"/>
      <c r="AG382" s="199"/>
      <c r="AH382" s="199"/>
      <c r="AI382" s="199"/>
      <c r="AJ382" s="199"/>
      <c r="AK382" s="199"/>
      <c r="AL382" s="199"/>
      <c r="AM382" s="199"/>
    </row>
    <row r="383" spans="1:39" ht="15.75" hidden="1">
      <c r="A383" s="1051"/>
      <c r="B383" s="688" t="s">
        <v>4158</v>
      </c>
      <c r="C383" s="274" t="s">
        <v>22</v>
      </c>
      <c r="D383" s="1733" t="s">
        <v>4159</v>
      </c>
      <c r="E383" s="674" t="s">
        <v>4160</v>
      </c>
      <c r="F383" s="946" t="s">
        <v>759</v>
      </c>
      <c r="G383" s="303" t="s">
        <v>77</v>
      </c>
      <c r="H383" s="284"/>
      <c r="I383" s="519">
        <v>7278135321</v>
      </c>
      <c r="J383" s="601"/>
      <c r="K383" s="275" t="s">
        <v>315</v>
      </c>
      <c r="L383" s="18" t="s">
        <v>50</v>
      </c>
      <c r="M383" s="272">
        <v>33197</v>
      </c>
      <c r="N383" s="272">
        <v>55122</v>
      </c>
      <c r="O383" s="289"/>
      <c r="P383" s="272"/>
      <c r="Q383" s="316"/>
      <c r="R383" s="449" t="s">
        <v>37</v>
      </c>
      <c r="S383" s="603" t="s">
        <v>4161</v>
      </c>
      <c r="T383" s="888"/>
      <c r="U383" s="888"/>
      <c r="V383" s="297"/>
      <c r="W383" s="297"/>
      <c r="X383" s="297"/>
      <c r="Y383" s="3"/>
      <c r="Z383" s="79"/>
      <c r="AA383" s="79"/>
    </row>
    <row r="384" spans="1:39" ht="15" hidden="1" customHeight="1">
      <c r="A384" s="1566">
        <v>54</v>
      </c>
      <c r="B384" s="1734" t="s">
        <v>4162</v>
      </c>
      <c r="C384" s="274" t="s">
        <v>22</v>
      </c>
      <c r="D384" s="1284">
        <v>3429804110</v>
      </c>
      <c r="E384" s="527" t="s">
        <v>4163</v>
      </c>
      <c r="F384" s="286" t="s">
        <v>759</v>
      </c>
      <c r="G384" s="274" t="s">
        <v>76</v>
      </c>
      <c r="H384" s="274"/>
      <c r="I384" s="274">
        <v>8910418008</v>
      </c>
      <c r="J384" s="284"/>
      <c r="K384" s="275" t="s">
        <v>315</v>
      </c>
      <c r="L384" s="274" t="s">
        <v>50</v>
      </c>
      <c r="M384" s="272">
        <v>35338</v>
      </c>
      <c r="N384" s="272">
        <v>57253</v>
      </c>
      <c r="O384" s="272">
        <v>46924</v>
      </c>
      <c r="P384" s="279">
        <v>46871</v>
      </c>
      <c r="Q384" s="302">
        <v>46506</v>
      </c>
      <c r="R384" s="449" t="s">
        <v>37</v>
      </c>
      <c r="S384" s="638" t="s">
        <v>4164</v>
      </c>
      <c r="T384" s="952"/>
      <c r="U384" s="952"/>
      <c r="V384" s="382"/>
      <c r="W384" s="382"/>
      <c r="X384" s="282">
        <f ca="1">INT((TODAY()-M384)/365)</f>
        <v>29</v>
      </c>
      <c r="Y384" s="79"/>
      <c r="Z384" s="79"/>
      <c r="AB384" s="311"/>
      <c r="AC384" s="311"/>
      <c r="AD384" s="311"/>
      <c r="AE384" s="311"/>
      <c r="AF384" s="311"/>
      <c r="AG384" s="311"/>
      <c r="AH384" s="311"/>
      <c r="AI384" s="311"/>
      <c r="AJ384" s="311"/>
      <c r="AK384" s="311"/>
      <c r="AL384" s="311"/>
      <c r="AM384" s="311"/>
    </row>
    <row r="385" spans="1:39">
      <c r="A385" s="712"/>
      <c r="B385" s="199"/>
      <c r="C385" s="1164"/>
      <c r="D385" s="1735"/>
      <c r="E385" s="712"/>
      <c r="F385" s="327"/>
      <c r="G385" s="1736"/>
      <c r="H385" s="712"/>
      <c r="I385" s="712"/>
      <c r="J385" s="199"/>
      <c r="K385" s="712"/>
      <c r="L385" s="712"/>
      <c r="M385" s="711"/>
      <c r="N385" s="1737"/>
      <c r="O385" s="711"/>
      <c r="P385" s="1738"/>
      <c r="Q385" s="1739"/>
      <c r="R385" s="1740"/>
      <c r="S385" s="1056"/>
      <c r="T385" s="1741"/>
      <c r="U385" s="1056"/>
      <c r="V385" s="199"/>
      <c r="W385" s="199"/>
      <c r="X385" s="199"/>
      <c r="Y385" s="199"/>
      <c r="Z385" s="199"/>
      <c r="AA385" s="199"/>
      <c r="AB385" s="199"/>
      <c r="AC385" s="199"/>
      <c r="AD385" s="199"/>
      <c r="AE385" s="199"/>
      <c r="AF385" s="199"/>
      <c r="AG385" s="199"/>
      <c r="AH385" s="199"/>
      <c r="AI385" s="199"/>
      <c r="AJ385" s="199"/>
      <c r="AK385" s="199"/>
      <c r="AL385" s="199"/>
      <c r="AM385" s="199"/>
    </row>
    <row r="386" spans="1:39">
      <c r="A386" s="712"/>
      <c r="B386" s="199"/>
      <c r="C386" s="1164"/>
      <c r="D386" s="1735"/>
      <c r="E386" s="712"/>
      <c r="F386" s="327"/>
      <c r="G386" s="1736"/>
      <c r="H386" s="712"/>
      <c r="I386" s="712"/>
      <c r="J386" s="199"/>
      <c r="K386" s="712"/>
      <c r="L386" s="712"/>
      <c r="M386" s="711"/>
      <c r="N386" s="1737"/>
      <c r="O386" s="711"/>
      <c r="P386" s="1738"/>
      <c r="Q386" s="1739"/>
      <c r="R386" s="1740"/>
      <c r="S386" s="1056"/>
      <c r="T386" s="1741"/>
      <c r="U386" s="1056"/>
      <c r="V386" s="199"/>
      <c r="W386" s="199"/>
      <c r="X386" s="199"/>
      <c r="Y386" s="199"/>
      <c r="Z386" s="199"/>
      <c r="AA386" s="199"/>
      <c r="AB386" s="199"/>
      <c r="AC386" s="199"/>
      <c r="AD386" s="199"/>
      <c r="AE386" s="199"/>
      <c r="AF386" s="199"/>
      <c r="AG386" s="199"/>
      <c r="AH386" s="199"/>
      <c r="AI386" s="199"/>
      <c r="AJ386" s="199"/>
      <c r="AK386" s="199"/>
      <c r="AL386" s="199"/>
      <c r="AM386" s="199"/>
    </row>
    <row r="387" spans="1:39">
      <c r="A387" s="712"/>
      <c r="B387" s="199"/>
      <c r="C387" s="1164"/>
      <c r="D387" s="1735"/>
      <c r="E387" s="712"/>
      <c r="F387" s="327"/>
      <c r="G387" s="1736"/>
      <c r="H387" s="712"/>
      <c r="I387" s="712"/>
      <c r="J387" s="199"/>
      <c r="K387" s="712"/>
      <c r="L387" s="712"/>
      <c r="M387" s="711"/>
      <c r="N387" s="1737"/>
      <c r="O387" s="711"/>
      <c r="P387" s="1738"/>
      <c r="Q387" s="1739"/>
      <c r="R387" s="1740"/>
      <c r="S387" s="1056"/>
      <c r="T387" s="1741"/>
      <c r="U387" s="1056"/>
      <c r="V387" s="199"/>
      <c r="W387" s="199"/>
      <c r="X387" s="199"/>
      <c r="Y387" s="199"/>
      <c r="Z387" s="199"/>
      <c r="AA387" s="199"/>
      <c r="AB387" s="199"/>
      <c r="AC387" s="199"/>
      <c r="AD387" s="199"/>
      <c r="AE387" s="199"/>
      <c r="AF387" s="199"/>
      <c r="AG387" s="199"/>
      <c r="AH387" s="199"/>
      <c r="AI387" s="199"/>
      <c r="AJ387" s="199"/>
      <c r="AK387" s="199"/>
      <c r="AL387" s="199"/>
      <c r="AM387" s="199"/>
    </row>
    <row r="388" spans="1:39">
      <c r="A388" s="712"/>
      <c r="B388" s="199"/>
      <c r="C388" s="1164"/>
      <c r="D388" s="1735"/>
      <c r="E388" s="712"/>
      <c r="F388" s="327"/>
      <c r="G388" s="1736"/>
      <c r="H388" s="712"/>
      <c r="I388" s="712"/>
      <c r="J388" s="199"/>
      <c r="K388" s="712"/>
      <c r="L388" s="712"/>
      <c r="M388" s="711"/>
      <c r="N388" s="1737"/>
      <c r="O388" s="711"/>
      <c r="P388" s="1738"/>
      <c r="Q388" s="1739"/>
      <c r="R388" s="1740"/>
      <c r="S388" s="1056"/>
      <c r="T388" s="1741"/>
      <c r="U388" s="1056"/>
      <c r="V388" s="199"/>
      <c r="W388" s="199"/>
      <c r="X388" s="199"/>
      <c r="Y388" s="199"/>
      <c r="Z388" s="199"/>
      <c r="AA388" s="199"/>
      <c r="AB388" s="199"/>
      <c r="AC388" s="199"/>
      <c r="AD388" s="199"/>
      <c r="AE388" s="199"/>
      <c r="AF388" s="199"/>
      <c r="AG388" s="199"/>
      <c r="AH388" s="199"/>
      <c r="AI388" s="199"/>
      <c r="AJ388" s="199"/>
      <c r="AK388" s="199"/>
      <c r="AL388" s="199"/>
      <c r="AM388" s="199"/>
    </row>
    <row r="389" spans="1:39">
      <c r="A389" s="712"/>
      <c r="B389" s="199"/>
      <c r="C389" s="1164"/>
      <c r="D389" s="1735"/>
      <c r="E389" s="712"/>
      <c r="F389" s="327"/>
      <c r="G389" s="1736"/>
      <c r="H389" s="712"/>
      <c r="I389" s="712"/>
      <c r="J389" s="199"/>
      <c r="K389" s="712"/>
      <c r="L389" s="712"/>
      <c r="M389" s="711"/>
      <c r="N389" s="1737"/>
      <c r="O389" s="711"/>
      <c r="P389" s="1738"/>
      <c r="Q389" s="1739"/>
      <c r="R389" s="1740"/>
      <c r="S389" s="1056"/>
      <c r="T389" s="1741"/>
      <c r="U389" s="1056"/>
      <c r="V389" s="199"/>
      <c r="W389" s="199"/>
      <c r="X389" s="199"/>
      <c r="Y389" s="199"/>
      <c r="Z389" s="199"/>
      <c r="AA389" s="199"/>
      <c r="AB389" s="199"/>
      <c r="AC389" s="199"/>
      <c r="AD389" s="199"/>
      <c r="AE389" s="199"/>
      <c r="AF389" s="199"/>
      <c r="AG389" s="199"/>
      <c r="AH389" s="199"/>
      <c r="AI389" s="199"/>
      <c r="AJ389" s="199"/>
      <c r="AK389" s="199"/>
      <c r="AL389" s="199"/>
      <c r="AM389" s="199"/>
    </row>
    <row r="390" spans="1:39">
      <c r="A390" s="712"/>
      <c r="B390" s="199"/>
      <c r="C390" s="1164"/>
      <c r="D390" s="1735"/>
      <c r="E390" s="712"/>
      <c r="F390" s="327"/>
      <c r="G390" s="1736"/>
      <c r="H390" s="712"/>
      <c r="I390" s="712"/>
      <c r="J390" s="199"/>
      <c r="K390" s="712"/>
      <c r="L390" s="712"/>
      <c r="M390" s="711"/>
      <c r="N390" s="1737"/>
      <c r="O390" s="711"/>
      <c r="P390" s="1738"/>
      <c r="Q390" s="1739"/>
      <c r="R390" s="1740"/>
      <c r="S390" s="1056"/>
      <c r="T390" s="1741"/>
      <c r="U390" s="1056"/>
      <c r="V390" s="199"/>
      <c r="W390" s="199"/>
      <c r="X390" s="199"/>
      <c r="Y390" s="199"/>
      <c r="Z390" s="199"/>
      <c r="AA390" s="199"/>
      <c r="AB390" s="199"/>
      <c r="AC390" s="199"/>
      <c r="AD390" s="199"/>
      <c r="AE390" s="199"/>
      <c r="AF390" s="199"/>
      <c r="AG390" s="199"/>
      <c r="AH390" s="199"/>
      <c r="AI390" s="199"/>
      <c r="AJ390" s="199"/>
      <c r="AK390" s="199"/>
      <c r="AL390" s="199"/>
      <c r="AM390" s="199"/>
    </row>
    <row r="391" spans="1:39">
      <c r="A391" s="712"/>
      <c r="B391" s="199"/>
      <c r="C391" s="1164"/>
      <c r="D391" s="1735"/>
      <c r="E391" s="712"/>
      <c r="F391" s="327"/>
      <c r="G391" s="1736"/>
      <c r="H391" s="712"/>
      <c r="I391" s="712"/>
      <c r="J391" s="199"/>
      <c r="K391" s="712"/>
      <c r="L391" s="712"/>
      <c r="M391" s="711"/>
      <c r="N391" s="1737"/>
      <c r="O391" s="711"/>
      <c r="P391" s="1738"/>
      <c r="Q391" s="1739"/>
      <c r="R391" s="1740"/>
      <c r="S391" s="1056"/>
      <c r="T391" s="1741"/>
      <c r="U391" s="1056"/>
      <c r="V391" s="199"/>
      <c r="W391" s="199"/>
      <c r="X391" s="199"/>
      <c r="Y391" s="199"/>
      <c r="Z391" s="199"/>
      <c r="AA391" s="199"/>
      <c r="AB391" s="199"/>
      <c r="AC391" s="199"/>
      <c r="AD391" s="199"/>
      <c r="AE391" s="199"/>
      <c r="AF391" s="199"/>
      <c r="AG391" s="199"/>
      <c r="AH391" s="199"/>
      <c r="AI391" s="199"/>
      <c r="AJ391" s="199"/>
      <c r="AK391" s="199"/>
      <c r="AL391" s="199"/>
      <c r="AM391" s="199"/>
    </row>
    <row r="392" spans="1:39">
      <c r="A392" s="712"/>
      <c r="B392" s="199"/>
      <c r="C392" s="1164"/>
      <c r="D392" s="1735"/>
      <c r="E392" s="712"/>
      <c r="F392" s="327"/>
      <c r="G392" s="1736"/>
      <c r="H392" s="712"/>
      <c r="I392" s="712"/>
      <c r="J392" s="199"/>
      <c r="K392" s="712"/>
      <c r="L392" s="712"/>
      <c r="M392" s="711"/>
      <c r="N392" s="1737"/>
      <c r="O392" s="711"/>
      <c r="P392" s="1738"/>
      <c r="Q392" s="1739"/>
      <c r="R392" s="1740"/>
      <c r="S392" s="1056"/>
      <c r="T392" s="1741"/>
      <c r="U392" s="1056"/>
      <c r="V392" s="199"/>
      <c r="W392" s="199"/>
      <c r="X392" s="199"/>
      <c r="Y392" s="199"/>
      <c r="Z392" s="199"/>
      <c r="AA392" s="199"/>
      <c r="AB392" s="199"/>
      <c r="AC392" s="199"/>
      <c r="AD392" s="199"/>
      <c r="AE392" s="199"/>
      <c r="AF392" s="199"/>
      <c r="AG392" s="199"/>
      <c r="AH392" s="199"/>
      <c r="AI392" s="199"/>
      <c r="AJ392" s="199"/>
      <c r="AK392" s="199"/>
      <c r="AL392" s="199"/>
      <c r="AM392" s="199"/>
    </row>
    <row r="393" spans="1:39">
      <c r="A393" s="712"/>
      <c r="B393" s="199"/>
      <c r="C393" s="1164"/>
      <c r="D393" s="1735"/>
      <c r="E393" s="712"/>
      <c r="F393" s="327"/>
      <c r="G393" s="1736"/>
      <c r="H393" s="712"/>
      <c r="I393" s="712"/>
      <c r="J393" s="199"/>
      <c r="K393" s="712"/>
      <c r="L393" s="712"/>
      <c r="M393" s="711"/>
      <c r="N393" s="1737"/>
      <c r="O393" s="711"/>
      <c r="P393" s="1738"/>
      <c r="Q393" s="1739"/>
      <c r="R393" s="1740"/>
      <c r="S393" s="1056"/>
      <c r="T393" s="1741"/>
      <c r="U393" s="1056"/>
      <c r="V393" s="199"/>
      <c r="W393" s="199"/>
      <c r="X393" s="199"/>
      <c r="Y393" s="199"/>
      <c r="Z393" s="199"/>
      <c r="AA393" s="199"/>
      <c r="AB393" s="199"/>
      <c r="AC393" s="199"/>
      <c r="AD393" s="199"/>
      <c r="AE393" s="199"/>
      <c r="AF393" s="199"/>
      <c r="AG393" s="199"/>
      <c r="AH393" s="199"/>
      <c r="AI393" s="199"/>
      <c r="AJ393" s="199"/>
      <c r="AK393" s="199"/>
      <c r="AL393" s="199"/>
      <c r="AM393" s="199"/>
    </row>
    <row r="394" spans="1:39">
      <c r="A394" s="712"/>
      <c r="B394" s="199"/>
      <c r="C394" s="1164"/>
      <c r="D394" s="1735"/>
      <c r="E394" s="712"/>
      <c r="F394" s="327"/>
      <c r="G394" s="1736"/>
      <c r="H394" s="712"/>
      <c r="I394" s="712"/>
      <c r="J394" s="199"/>
      <c r="K394" s="712"/>
      <c r="L394" s="712"/>
      <c r="M394" s="711"/>
      <c r="N394" s="1737"/>
      <c r="O394" s="711"/>
      <c r="P394" s="1738"/>
      <c r="Q394" s="1739"/>
      <c r="R394" s="1740"/>
      <c r="S394" s="1056"/>
      <c r="T394" s="1741"/>
      <c r="U394" s="1056"/>
      <c r="V394" s="199"/>
      <c r="W394" s="199"/>
      <c r="X394" s="199"/>
      <c r="Y394" s="199"/>
      <c r="Z394" s="199"/>
      <c r="AA394" s="199"/>
      <c r="AB394" s="199"/>
      <c r="AC394" s="199"/>
      <c r="AD394" s="199"/>
      <c r="AE394" s="199"/>
      <c r="AF394" s="199"/>
      <c r="AG394" s="199"/>
      <c r="AH394" s="199"/>
      <c r="AI394" s="199"/>
      <c r="AJ394" s="199"/>
      <c r="AK394" s="199"/>
      <c r="AL394" s="199"/>
      <c r="AM394" s="199"/>
    </row>
    <row r="395" spans="1:39">
      <c r="A395" s="712"/>
      <c r="B395" s="199"/>
      <c r="C395" s="1164"/>
      <c r="D395" s="1735"/>
      <c r="E395" s="712"/>
      <c r="F395" s="327"/>
      <c r="G395" s="1736"/>
      <c r="H395" s="712"/>
      <c r="I395" s="712"/>
      <c r="J395" s="199"/>
      <c r="K395" s="712"/>
      <c r="L395" s="712"/>
      <c r="M395" s="711"/>
      <c r="N395" s="1737"/>
      <c r="O395" s="711"/>
      <c r="P395" s="1738"/>
      <c r="Q395" s="1739"/>
      <c r="R395" s="1740"/>
      <c r="S395" s="1056"/>
      <c r="T395" s="1741"/>
      <c r="U395" s="1056"/>
      <c r="V395" s="199"/>
      <c r="W395" s="199"/>
      <c r="X395" s="199"/>
      <c r="Y395" s="199"/>
      <c r="Z395" s="199"/>
      <c r="AA395" s="199"/>
      <c r="AB395" s="199"/>
      <c r="AC395" s="199"/>
      <c r="AD395" s="199"/>
      <c r="AE395" s="199"/>
      <c r="AF395" s="199"/>
      <c r="AG395" s="199"/>
      <c r="AH395" s="199"/>
      <c r="AI395" s="199"/>
      <c r="AJ395" s="199"/>
      <c r="AK395" s="199"/>
      <c r="AL395" s="199"/>
      <c r="AM395" s="199"/>
    </row>
    <row r="396" spans="1:39">
      <c r="A396" s="712"/>
      <c r="B396" s="199"/>
      <c r="C396" s="1164"/>
      <c r="D396" s="1735"/>
      <c r="E396" s="712"/>
      <c r="F396" s="327"/>
      <c r="G396" s="1736"/>
      <c r="H396" s="712"/>
      <c r="I396" s="712"/>
      <c r="J396" s="199"/>
      <c r="K396" s="712"/>
      <c r="L396" s="712"/>
      <c r="M396" s="711"/>
      <c r="N396" s="1737"/>
      <c r="O396" s="711"/>
      <c r="P396" s="1738"/>
      <c r="Q396" s="1739"/>
      <c r="R396" s="1740"/>
      <c r="S396" s="1056"/>
      <c r="T396" s="1741"/>
      <c r="U396" s="1056"/>
      <c r="V396" s="199"/>
      <c r="W396" s="199"/>
      <c r="X396" s="199"/>
      <c r="Y396" s="199"/>
      <c r="Z396" s="199"/>
      <c r="AA396" s="199"/>
      <c r="AB396" s="199"/>
      <c r="AC396" s="199"/>
      <c r="AD396" s="199"/>
      <c r="AE396" s="199"/>
      <c r="AF396" s="199"/>
      <c r="AG396" s="199"/>
      <c r="AH396" s="199"/>
      <c r="AI396" s="199"/>
      <c r="AJ396" s="199"/>
      <c r="AK396" s="199"/>
      <c r="AL396" s="199"/>
      <c r="AM396" s="199"/>
    </row>
    <row r="397" spans="1:39">
      <c r="A397" s="712"/>
      <c r="B397" s="199"/>
      <c r="C397" s="1164"/>
      <c r="D397" s="1735"/>
      <c r="E397" s="712"/>
      <c r="F397" s="327"/>
      <c r="G397" s="1736"/>
      <c r="H397" s="712"/>
      <c r="I397" s="712"/>
      <c r="J397" s="199"/>
      <c r="K397" s="712"/>
      <c r="L397" s="712"/>
      <c r="M397" s="711"/>
      <c r="N397" s="1737"/>
      <c r="O397" s="711"/>
      <c r="P397" s="1738"/>
      <c r="Q397" s="1739"/>
      <c r="R397" s="1740"/>
      <c r="S397" s="1056"/>
      <c r="T397" s="1741"/>
      <c r="U397" s="1056"/>
      <c r="V397" s="199"/>
      <c r="W397" s="199"/>
      <c r="X397" s="199"/>
      <c r="Y397" s="199"/>
      <c r="Z397" s="199"/>
      <c r="AA397" s="199"/>
      <c r="AB397" s="199"/>
      <c r="AC397" s="199"/>
      <c r="AD397" s="199"/>
      <c r="AE397" s="199"/>
      <c r="AF397" s="199"/>
      <c r="AG397" s="199"/>
      <c r="AH397" s="199"/>
      <c r="AI397" s="199"/>
      <c r="AJ397" s="199"/>
      <c r="AK397" s="199"/>
      <c r="AL397" s="199"/>
      <c r="AM397" s="199"/>
    </row>
    <row r="398" spans="1:39">
      <c r="A398" s="712"/>
      <c r="B398" s="199"/>
      <c r="C398" s="1164"/>
      <c r="D398" s="1735"/>
      <c r="E398" s="712"/>
      <c r="F398" s="327"/>
      <c r="G398" s="1736"/>
      <c r="H398" s="712"/>
      <c r="I398" s="712"/>
      <c r="J398" s="199"/>
      <c r="K398" s="712"/>
      <c r="L398" s="712"/>
      <c r="M398" s="711"/>
      <c r="N398" s="1737"/>
      <c r="O398" s="711"/>
      <c r="P398" s="1738"/>
      <c r="Q398" s="1739"/>
      <c r="R398" s="1740"/>
      <c r="S398" s="1056"/>
      <c r="T398" s="1741"/>
      <c r="U398" s="1056"/>
      <c r="V398" s="199"/>
      <c r="W398" s="199"/>
      <c r="X398" s="199"/>
      <c r="Y398" s="199"/>
      <c r="Z398" s="199"/>
      <c r="AA398" s="199"/>
      <c r="AB398" s="199"/>
      <c r="AC398" s="199"/>
      <c r="AD398" s="199"/>
      <c r="AE398" s="199"/>
      <c r="AF398" s="199"/>
      <c r="AG398" s="199"/>
      <c r="AH398" s="199"/>
      <c r="AI398" s="199"/>
      <c r="AJ398" s="199"/>
      <c r="AK398" s="199"/>
      <c r="AL398" s="199"/>
      <c r="AM398" s="199"/>
    </row>
    <row r="399" spans="1:39">
      <c r="A399" s="712"/>
      <c r="B399" s="199"/>
      <c r="C399" s="1164"/>
      <c r="D399" s="1735"/>
      <c r="E399" s="712"/>
      <c r="F399" s="327"/>
      <c r="G399" s="1736"/>
      <c r="H399" s="712"/>
      <c r="I399" s="712"/>
      <c r="J399" s="199"/>
      <c r="K399" s="712"/>
      <c r="L399" s="712"/>
      <c r="M399" s="711"/>
      <c r="N399" s="1737"/>
      <c r="O399" s="711"/>
      <c r="P399" s="1738"/>
      <c r="Q399" s="1739"/>
      <c r="R399" s="1740"/>
      <c r="S399" s="1056"/>
      <c r="T399" s="1741"/>
      <c r="U399" s="1056"/>
      <c r="V399" s="199"/>
      <c r="W399" s="199"/>
      <c r="X399" s="199"/>
      <c r="Y399" s="199"/>
      <c r="Z399" s="199"/>
      <c r="AA399" s="199"/>
      <c r="AB399" s="199"/>
      <c r="AC399" s="199"/>
      <c r="AD399" s="199"/>
      <c r="AE399" s="199"/>
      <c r="AF399" s="199"/>
      <c r="AG399" s="199"/>
      <c r="AH399" s="199"/>
      <c r="AI399" s="199"/>
      <c r="AJ399" s="199"/>
      <c r="AK399" s="199"/>
      <c r="AL399" s="199"/>
      <c r="AM399" s="199"/>
    </row>
    <row r="400" spans="1:39">
      <c r="A400" s="712"/>
      <c r="B400" s="199"/>
      <c r="C400" s="1164"/>
      <c r="D400" s="1735"/>
      <c r="E400" s="712"/>
      <c r="F400" s="327"/>
      <c r="G400" s="1736"/>
      <c r="H400" s="712"/>
      <c r="I400" s="712"/>
      <c r="J400" s="199"/>
      <c r="K400" s="712"/>
      <c r="L400" s="712"/>
      <c r="M400" s="711"/>
      <c r="N400" s="1737"/>
      <c r="O400" s="711"/>
      <c r="P400" s="1738"/>
      <c r="Q400" s="1739"/>
      <c r="R400" s="1740"/>
      <c r="S400" s="1056"/>
      <c r="T400" s="1741"/>
      <c r="U400" s="1056"/>
      <c r="V400" s="199"/>
      <c r="W400" s="199"/>
      <c r="X400" s="199"/>
      <c r="Y400" s="199"/>
      <c r="Z400" s="199"/>
      <c r="AA400" s="199"/>
      <c r="AB400" s="199"/>
      <c r="AC400" s="199"/>
      <c r="AD400" s="199"/>
      <c r="AE400" s="199"/>
      <c r="AF400" s="199"/>
      <c r="AG400" s="199"/>
      <c r="AH400" s="199"/>
      <c r="AI400" s="199"/>
      <c r="AJ400" s="199"/>
      <c r="AK400" s="199"/>
      <c r="AL400" s="199"/>
      <c r="AM400" s="199"/>
    </row>
    <row r="401" spans="1:39">
      <c r="A401" s="712"/>
      <c r="B401" s="199"/>
      <c r="C401" s="1164"/>
      <c r="D401" s="1735"/>
      <c r="E401" s="712"/>
      <c r="F401" s="327"/>
      <c r="G401" s="1736"/>
      <c r="H401" s="712"/>
      <c r="I401" s="712"/>
      <c r="J401" s="199"/>
      <c r="K401" s="712"/>
      <c r="L401" s="712"/>
      <c r="M401" s="711"/>
      <c r="N401" s="1737"/>
      <c r="O401" s="711"/>
      <c r="P401" s="1738"/>
      <c r="Q401" s="1739"/>
      <c r="R401" s="1740"/>
      <c r="S401" s="1056"/>
      <c r="T401" s="1741"/>
      <c r="U401" s="1056"/>
      <c r="V401" s="199"/>
      <c r="W401" s="199"/>
      <c r="X401" s="199"/>
      <c r="Y401" s="199"/>
      <c r="Z401" s="199"/>
      <c r="AA401" s="199"/>
      <c r="AB401" s="199"/>
      <c r="AC401" s="199"/>
      <c r="AD401" s="199"/>
      <c r="AE401" s="199"/>
      <c r="AF401" s="199"/>
      <c r="AG401" s="199"/>
      <c r="AH401" s="199"/>
      <c r="AI401" s="199"/>
      <c r="AJ401" s="199"/>
      <c r="AK401" s="199"/>
      <c r="AL401" s="199"/>
      <c r="AM401" s="199"/>
    </row>
    <row r="402" spans="1:39">
      <c r="A402" s="712"/>
      <c r="B402" s="199"/>
      <c r="C402" s="1164"/>
      <c r="D402" s="1735"/>
      <c r="E402" s="712"/>
      <c r="F402" s="327"/>
      <c r="G402" s="1736"/>
      <c r="H402" s="712"/>
      <c r="I402" s="712"/>
      <c r="J402" s="199"/>
      <c r="K402" s="712"/>
      <c r="L402" s="712"/>
      <c r="M402" s="711"/>
      <c r="N402" s="1737"/>
      <c r="O402" s="711"/>
      <c r="P402" s="1738"/>
      <c r="Q402" s="1739"/>
      <c r="R402" s="1740"/>
      <c r="S402" s="1056"/>
      <c r="T402" s="1741"/>
      <c r="U402" s="1056"/>
      <c r="V402" s="199"/>
      <c r="W402" s="199"/>
      <c r="X402" s="199"/>
      <c r="Y402" s="199"/>
      <c r="Z402" s="199"/>
      <c r="AA402" s="199"/>
      <c r="AB402" s="199"/>
      <c r="AC402" s="199"/>
      <c r="AD402" s="199"/>
      <c r="AE402" s="199"/>
      <c r="AF402" s="199"/>
      <c r="AG402" s="199"/>
      <c r="AH402" s="199"/>
      <c r="AI402" s="199"/>
      <c r="AJ402" s="199"/>
      <c r="AK402" s="199"/>
      <c r="AL402" s="199"/>
      <c r="AM402" s="199"/>
    </row>
    <row r="403" spans="1:39">
      <c r="A403" s="712"/>
      <c r="B403" s="199"/>
      <c r="C403" s="1164"/>
      <c r="D403" s="1735"/>
      <c r="E403" s="712"/>
      <c r="F403" s="327"/>
      <c r="G403" s="1736"/>
      <c r="H403" s="712"/>
      <c r="I403" s="712"/>
      <c r="J403" s="199"/>
      <c r="K403" s="712"/>
      <c r="L403" s="712"/>
      <c r="M403" s="711"/>
      <c r="N403" s="1737"/>
      <c r="O403" s="711"/>
      <c r="P403" s="1738"/>
      <c r="Q403" s="1739"/>
      <c r="R403" s="1740"/>
      <c r="S403" s="1056"/>
      <c r="T403" s="1741"/>
      <c r="U403" s="1056"/>
      <c r="V403" s="199"/>
      <c r="W403" s="199"/>
      <c r="X403" s="199"/>
      <c r="Y403" s="199"/>
      <c r="Z403" s="199"/>
      <c r="AA403" s="199"/>
      <c r="AB403" s="199"/>
      <c r="AC403" s="199"/>
      <c r="AD403" s="199"/>
      <c r="AE403" s="199"/>
      <c r="AF403" s="199"/>
      <c r="AG403" s="199"/>
      <c r="AH403" s="199"/>
      <c r="AI403" s="199"/>
      <c r="AJ403" s="199"/>
      <c r="AK403" s="199"/>
      <c r="AL403" s="199"/>
      <c r="AM403" s="199"/>
    </row>
    <row r="404" spans="1:39">
      <c r="A404" s="712"/>
      <c r="B404" s="199"/>
      <c r="C404" s="1164"/>
      <c r="D404" s="1735"/>
      <c r="E404" s="712"/>
      <c r="F404" s="327"/>
      <c r="G404" s="1736"/>
      <c r="H404" s="712"/>
      <c r="I404" s="712"/>
      <c r="J404" s="199"/>
      <c r="K404" s="712"/>
      <c r="L404" s="712"/>
      <c r="M404" s="711"/>
      <c r="N404" s="1737"/>
      <c r="O404" s="711"/>
      <c r="P404" s="1738"/>
      <c r="Q404" s="1739"/>
      <c r="R404" s="1740"/>
      <c r="S404" s="1056"/>
      <c r="T404" s="1741"/>
      <c r="U404" s="1056"/>
      <c r="V404" s="199"/>
      <c r="W404" s="199"/>
      <c r="X404" s="199"/>
      <c r="Y404" s="199"/>
      <c r="Z404" s="199"/>
      <c r="AA404" s="199"/>
      <c r="AB404" s="199"/>
      <c r="AC404" s="199"/>
      <c r="AD404" s="199"/>
      <c r="AE404" s="199"/>
      <c r="AF404" s="199"/>
      <c r="AG404" s="199"/>
      <c r="AH404" s="199"/>
      <c r="AI404" s="199"/>
      <c r="AJ404" s="199"/>
      <c r="AK404" s="199"/>
      <c r="AL404" s="199"/>
      <c r="AM404" s="199"/>
    </row>
    <row r="405" spans="1:39">
      <c r="A405" s="712"/>
      <c r="B405" s="199"/>
      <c r="C405" s="1164"/>
      <c r="D405" s="1735"/>
      <c r="E405" s="712"/>
      <c r="F405" s="327"/>
      <c r="G405" s="1736"/>
      <c r="H405" s="712"/>
      <c r="I405" s="712"/>
      <c r="J405" s="199"/>
      <c r="K405" s="712"/>
      <c r="L405" s="712"/>
      <c r="M405" s="711"/>
      <c r="N405" s="1737"/>
      <c r="O405" s="711"/>
      <c r="P405" s="1738"/>
      <c r="Q405" s="1739"/>
      <c r="R405" s="1740"/>
      <c r="S405" s="1056"/>
      <c r="T405" s="1741"/>
      <c r="U405" s="1056"/>
      <c r="V405" s="199"/>
      <c r="W405" s="199"/>
      <c r="X405" s="199"/>
      <c r="Y405" s="199"/>
      <c r="Z405" s="199"/>
      <c r="AA405" s="199"/>
      <c r="AB405" s="199"/>
      <c r="AC405" s="199"/>
      <c r="AD405" s="199"/>
      <c r="AE405" s="199"/>
      <c r="AF405" s="199"/>
      <c r="AG405" s="199"/>
      <c r="AH405" s="199"/>
      <c r="AI405" s="199"/>
      <c r="AJ405" s="199"/>
      <c r="AK405" s="199"/>
      <c r="AL405" s="199"/>
      <c r="AM405" s="199"/>
    </row>
    <row r="406" spans="1:39">
      <c r="A406" s="712"/>
      <c r="B406" s="199"/>
      <c r="C406" s="1164"/>
      <c r="D406" s="1735"/>
      <c r="E406" s="712"/>
      <c r="F406" s="327"/>
      <c r="G406" s="1736"/>
      <c r="H406" s="712"/>
      <c r="I406" s="712"/>
      <c r="J406" s="199"/>
      <c r="K406" s="712"/>
      <c r="L406" s="712"/>
      <c r="M406" s="711"/>
      <c r="N406" s="1737"/>
      <c r="O406" s="711"/>
      <c r="P406" s="1738"/>
      <c r="Q406" s="1739"/>
      <c r="R406" s="1740"/>
      <c r="S406" s="1056"/>
      <c r="T406" s="1741"/>
      <c r="U406" s="1056"/>
      <c r="V406" s="199"/>
      <c r="W406" s="199"/>
      <c r="X406" s="199"/>
      <c r="Y406" s="199"/>
      <c r="Z406" s="199"/>
      <c r="AA406" s="199"/>
      <c r="AB406" s="199"/>
      <c r="AC406" s="199"/>
      <c r="AD406" s="199"/>
      <c r="AE406" s="199"/>
      <c r="AF406" s="199"/>
      <c r="AG406" s="199"/>
      <c r="AH406" s="199"/>
      <c r="AI406" s="199"/>
      <c r="AJ406" s="199"/>
      <c r="AK406" s="199"/>
      <c r="AL406" s="199"/>
      <c r="AM406" s="199"/>
    </row>
    <row r="407" spans="1:39">
      <c r="A407" s="712"/>
      <c r="B407" s="199"/>
      <c r="C407" s="1164"/>
      <c r="D407" s="1735"/>
      <c r="E407" s="712"/>
      <c r="F407" s="327"/>
      <c r="G407" s="1736"/>
      <c r="H407" s="712"/>
      <c r="I407" s="712"/>
      <c r="J407" s="199"/>
      <c r="K407" s="712"/>
      <c r="L407" s="712"/>
      <c r="M407" s="711"/>
      <c r="N407" s="1737"/>
      <c r="O407" s="711"/>
      <c r="P407" s="1738"/>
      <c r="Q407" s="1739"/>
      <c r="R407" s="1740"/>
      <c r="S407" s="1056"/>
      <c r="T407" s="1741"/>
      <c r="U407" s="1056"/>
      <c r="V407" s="199"/>
      <c r="W407" s="199"/>
      <c r="X407" s="199"/>
      <c r="Y407" s="199"/>
      <c r="Z407" s="199"/>
      <c r="AA407" s="199"/>
      <c r="AB407" s="199"/>
      <c r="AC407" s="199"/>
      <c r="AD407" s="199"/>
      <c r="AE407" s="199"/>
      <c r="AF407" s="199"/>
      <c r="AG407" s="199"/>
      <c r="AH407" s="199"/>
      <c r="AI407" s="199"/>
      <c r="AJ407" s="199"/>
      <c r="AK407" s="199"/>
      <c r="AL407" s="199"/>
      <c r="AM407" s="199"/>
    </row>
    <row r="408" spans="1:39">
      <c r="A408" s="712"/>
      <c r="B408" s="199"/>
      <c r="C408" s="1164"/>
      <c r="D408" s="1735"/>
      <c r="E408" s="712"/>
      <c r="F408" s="327"/>
      <c r="G408" s="1736"/>
      <c r="H408" s="712"/>
      <c r="I408" s="712"/>
      <c r="J408" s="199"/>
      <c r="K408" s="712"/>
      <c r="L408" s="712"/>
      <c r="M408" s="711"/>
      <c r="N408" s="1737"/>
      <c r="O408" s="711"/>
      <c r="P408" s="1738"/>
      <c r="Q408" s="1739"/>
      <c r="R408" s="1740"/>
      <c r="S408" s="1056"/>
      <c r="T408" s="1741"/>
      <c r="U408" s="1056"/>
      <c r="V408" s="199"/>
      <c r="W408" s="199"/>
      <c r="X408" s="199"/>
      <c r="Y408" s="199"/>
      <c r="Z408" s="199"/>
      <c r="AA408" s="199"/>
      <c r="AB408" s="199"/>
      <c r="AC408" s="199"/>
      <c r="AD408" s="199"/>
      <c r="AE408" s="199"/>
      <c r="AF408" s="199"/>
      <c r="AG408" s="199"/>
      <c r="AH408" s="199"/>
      <c r="AI408" s="199"/>
      <c r="AJ408" s="199"/>
      <c r="AK408" s="199"/>
      <c r="AL408" s="199"/>
      <c r="AM408" s="199"/>
    </row>
    <row r="409" spans="1:39">
      <c r="A409" s="712"/>
      <c r="B409" s="199"/>
      <c r="C409" s="1164"/>
      <c r="D409" s="1735"/>
      <c r="E409" s="712"/>
      <c r="F409" s="327"/>
      <c r="G409" s="1736"/>
      <c r="H409" s="712"/>
      <c r="I409" s="712"/>
      <c r="J409" s="199"/>
      <c r="K409" s="712"/>
      <c r="L409" s="712"/>
      <c r="M409" s="711"/>
      <c r="N409" s="1737"/>
      <c r="O409" s="711"/>
      <c r="P409" s="1738"/>
      <c r="Q409" s="1739"/>
      <c r="R409" s="1740"/>
      <c r="S409" s="1056"/>
      <c r="T409" s="1741"/>
      <c r="U409" s="1056"/>
      <c r="V409" s="199"/>
      <c r="W409" s="199"/>
      <c r="X409" s="199"/>
      <c r="Y409" s="199"/>
      <c r="Z409" s="199"/>
      <c r="AA409" s="199"/>
      <c r="AB409" s="199"/>
      <c r="AC409" s="199"/>
      <c r="AD409" s="199"/>
      <c r="AE409" s="199"/>
      <c r="AF409" s="199"/>
      <c r="AG409" s="199"/>
      <c r="AH409" s="199"/>
      <c r="AI409" s="199"/>
      <c r="AJ409" s="199"/>
      <c r="AK409" s="199"/>
      <c r="AL409" s="199"/>
      <c r="AM409" s="199"/>
    </row>
    <row r="410" spans="1:39">
      <c r="A410" s="712"/>
      <c r="B410" s="199"/>
      <c r="C410" s="1164"/>
      <c r="D410" s="1735"/>
      <c r="E410" s="712"/>
      <c r="F410" s="327"/>
      <c r="G410" s="1736"/>
      <c r="H410" s="712"/>
      <c r="I410" s="712"/>
      <c r="J410" s="199"/>
      <c r="K410" s="712"/>
      <c r="L410" s="712"/>
      <c r="M410" s="711"/>
      <c r="N410" s="1737"/>
      <c r="O410" s="711"/>
      <c r="P410" s="1738"/>
      <c r="Q410" s="1739"/>
      <c r="R410" s="1740"/>
      <c r="S410" s="1056"/>
      <c r="T410" s="1741"/>
      <c r="U410" s="1056"/>
      <c r="V410" s="199"/>
      <c r="W410" s="199"/>
      <c r="X410" s="199"/>
      <c r="Y410" s="199"/>
      <c r="Z410" s="199"/>
      <c r="AA410" s="199"/>
      <c r="AB410" s="199"/>
      <c r="AC410" s="199"/>
      <c r="AD410" s="199"/>
      <c r="AE410" s="199"/>
      <c r="AF410" s="199"/>
      <c r="AG410" s="199"/>
      <c r="AH410" s="199"/>
      <c r="AI410" s="199"/>
      <c r="AJ410" s="199"/>
      <c r="AK410" s="199"/>
      <c r="AL410" s="199"/>
      <c r="AM410" s="199"/>
    </row>
    <row r="411" spans="1:39">
      <c r="A411" s="712"/>
      <c r="B411" s="199"/>
      <c r="C411" s="1164"/>
      <c r="D411" s="1735"/>
      <c r="E411" s="712"/>
      <c r="F411" s="327"/>
      <c r="G411" s="1736"/>
      <c r="H411" s="712"/>
      <c r="I411" s="712"/>
      <c r="J411" s="199"/>
      <c r="K411" s="712"/>
      <c r="L411" s="712"/>
      <c r="M411" s="711"/>
      <c r="N411" s="1737"/>
      <c r="O411" s="711"/>
      <c r="P411" s="1738"/>
      <c r="Q411" s="1739"/>
      <c r="R411" s="1740"/>
      <c r="S411" s="1056"/>
      <c r="T411" s="1741"/>
      <c r="U411" s="1056"/>
      <c r="V411" s="199"/>
      <c r="W411" s="199"/>
      <c r="X411" s="199"/>
      <c r="Y411" s="199"/>
      <c r="Z411" s="199"/>
      <c r="AA411" s="199"/>
      <c r="AB411" s="199"/>
      <c r="AC411" s="199"/>
      <c r="AD411" s="199"/>
      <c r="AE411" s="199"/>
      <c r="AF411" s="199"/>
      <c r="AG411" s="199"/>
      <c r="AH411" s="199"/>
      <c r="AI411" s="199"/>
      <c r="AJ411" s="199"/>
      <c r="AK411" s="199"/>
      <c r="AL411" s="199"/>
      <c r="AM411" s="199"/>
    </row>
    <row r="412" spans="1:39">
      <c r="A412" s="712"/>
      <c r="B412" s="199"/>
      <c r="C412" s="1164"/>
      <c r="D412" s="1735"/>
      <c r="E412" s="712"/>
      <c r="F412" s="327"/>
      <c r="G412" s="1736"/>
      <c r="H412" s="712"/>
      <c r="I412" s="712"/>
      <c r="J412" s="199"/>
      <c r="K412" s="712"/>
      <c r="L412" s="712"/>
      <c r="M412" s="711"/>
      <c r="N412" s="1737"/>
      <c r="O412" s="711"/>
      <c r="P412" s="1738"/>
      <c r="Q412" s="1739"/>
      <c r="R412" s="1740"/>
      <c r="S412" s="1056"/>
      <c r="T412" s="1741"/>
      <c r="U412" s="1056"/>
      <c r="V412" s="199"/>
      <c r="W412" s="199"/>
      <c r="X412" s="199"/>
      <c r="Y412" s="199"/>
      <c r="Z412" s="199"/>
      <c r="AA412" s="199"/>
      <c r="AB412" s="199"/>
      <c r="AC412" s="199"/>
      <c r="AD412" s="199"/>
      <c r="AE412" s="199"/>
      <c r="AF412" s="199"/>
      <c r="AG412" s="199"/>
      <c r="AH412" s="199"/>
      <c r="AI412" s="199"/>
      <c r="AJ412" s="199"/>
      <c r="AK412" s="199"/>
      <c r="AL412" s="199"/>
      <c r="AM412" s="199"/>
    </row>
    <row r="413" spans="1:39">
      <c r="A413" s="712"/>
      <c r="B413" s="199"/>
      <c r="C413" s="1164"/>
      <c r="D413" s="1735"/>
      <c r="E413" s="712"/>
      <c r="F413" s="327"/>
      <c r="G413" s="1736"/>
      <c r="H413" s="712"/>
      <c r="I413" s="712"/>
      <c r="J413" s="199"/>
      <c r="K413" s="712"/>
      <c r="L413" s="712"/>
      <c r="M413" s="711"/>
      <c r="N413" s="1737"/>
      <c r="O413" s="711"/>
      <c r="P413" s="1738"/>
      <c r="Q413" s="1739"/>
      <c r="R413" s="1740"/>
      <c r="S413" s="1056"/>
      <c r="T413" s="1741"/>
      <c r="U413" s="1056"/>
      <c r="V413" s="199"/>
      <c r="W413" s="199"/>
      <c r="X413" s="199"/>
      <c r="Y413" s="199"/>
      <c r="Z413" s="199"/>
      <c r="AA413" s="199"/>
      <c r="AB413" s="199"/>
      <c r="AC413" s="199"/>
      <c r="AD413" s="199"/>
      <c r="AE413" s="199"/>
      <c r="AF413" s="199"/>
      <c r="AG413" s="199"/>
      <c r="AH413" s="199"/>
      <c r="AI413" s="199"/>
      <c r="AJ413" s="199"/>
      <c r="AK413" s="199"/>
      <c r="AL413" s="199"/>
      <c r="AM413" s="199"/>
    </row>
    <row r="414" spans="1:39">
      <c r="A414" s="712"/>
      <c r="B414" s="199"/>
      <c r="C414" s="1164"/>
      <c r="D414" s="1735"/>
      <c r="E414" s="712"/>
      <c r="F414" s="327"/>
      <c r="G414" s="1736"/>
      <c r="H414" s="712"/>
      <c r="I414" s="712"/>
      <c r="J414" s="199"/>
      <c r="K414" s="712"/>
      <c r="L414" s="712"/>
      <c r="M414" s="711"/>
      <c r="N414" s="1737"/>
      <c r="O414" s="711"/>
      <c r="P414" s="1738"/>
      <c r="Q414" s="1739"/>
      <c r="R414" s="1740"/>
      <c r="S414" s="1056"/>
      <c r="T414" s="1741"/>
      <c r="U414" s="1056"/>
      <c r="V414" s="199"/>
      <c r="W414" s="199"/>
      <c r="X414" s="199"/>
      <c r="Y414" s="199"/>
      <c r="Z414" s="199"/>
      <c r="AA414" s="199"/>
      <c r="AB414" s="199"/>
      <c r="AC414" s="199"/>
      <c r="AD414" s="199"/>
      <c r="AE414" s="199"/>
      <c r="AF414" s="199"/>
      <c r="AG414" s="199"/>
      <c r="AH414" s="199"/>
      <c r="AI414" s="199"/>
      <c r="AJ414" s="199"/>
      <c r="AK414" s="199"/>
      <c r="AL414" s="199"/>
      <c r="AM414" s="199"/>
    </row>
    <row r="415" spans="1:39">
      <c r="A415" s="712"/>
      <c r="B415" s="199"/>
      <c r="C415" s="1164"/>
      <c r="D415" s="1735"/>
      <c r="E415" s="712"/>
      <c r="F415" s="327"/>
      <c r="G415" s="1736"/>
      <c r="H415" s="712"/>
      <c r="I415" s="712"/>
      <c r="J415" s="199"/>
      <c r="K415" s="712"/>
      <c r="L415" s="712"/>
      <c r="M415" s="711"/>
      <c r="N415" s="1737"/>
      <c r="O415" s="711"/>
      <c r="P415" s="1738"/>
      <c r="Q415" s="1739"/>
      <c r="R415" s="1740"/>
      <c r="S415" s="1056"/>
      <c r="T415" s="1741"/>
      <c r="U415" s="1056"/>
      <c r="V415" s="199"/>
      <c r="W415" s="199"/>
      <c r="X415" s="199"/>
      <c r="Y415" s="199"/>
      <c r="Z415" s="199"/>
      <c r="AA415" s="199"/>
      <c r="AB415" s="199"/>
      <c r="AC415" s="199"/>
      <c r="AD415" s="199"/>
      <c r="AE415" s="199"/>
      <c r="AF415" s="199"/>
      <c r="AG415" s="199"/>
      <c r="AH415" s="199"/>
      <c r="AI415" s="199"/>
      <c r="AJ415" s="199"/>
      <c r="AK415" s="199"/>
      <c r="AL415" s="199"/>
      <c r="AM415" s="199"/>
    </row>
    <row r="416" spans="1:39">
      <c r="A416" s="712"/>
      <c r="B416" s="199"/>
      <c r="C416" s="1164"/>
      <c r="D416" s="1735"/>
      <c r="E416" s="712"/>
      <c r="F416" s="327"/>
      <c r="G416" s="1736"/>
      <c r="H416" s="712"/>
      <c r="I416" s="712"/>
      <c r="J416" s="199"/>
      <c r="K416" s="712"/>
      <c r="L416" s="712"/>
      <c r="M416" s="711"/>
      <c r="N416" s="1737"/>
      <c r="O416" s="711"/>
      <c r="P416" s="1738"/>
      <c r="Q416" s="1739"/>
      <c r="R416" s="1740"/>
      <c r="S416" s="1056"/>
      <c r="T416" s="1741"/>
      <c r="U416" s="1056"/>
      <c r="V416" s="199"/>
      <c r="W416" s="199"/>
      <c r="X416" s="199"/>
      <c r="Y416" s="199"/>
      <c r="Z416" s="199"/>
      <c r="AA416" s="199"/>
      <c r="AB416" s="199"/>
      <c r="AC416" s="199"/>
      <c r="AD416" s="199"/>
      <c r="AE416" s="199"/>
      <c r="AF416" s="199"/>
      <c r="AG416" s="199"/>
      <c r="AH416" s="199"/>
      <c r="AI416" s="199"/>
      <c r="AJ416" s="199"/>
      <c r="AK416" s="199"/>
      <c r="AL416" s="199"/>
      <c r="AM416" s="199"/>
    </row>
    <row r="417" spans="1:39">
      <c r="A417" s="712"/>
      <c r="B417" s="199"/>
      <c r="C417" s="1164"/>
      <c r="D417" s="1735"/>
      <c r="E417" s="712"/>
      <c r="F417" s="327"/>
      <c r="G417" s="1736"/>
      <c r="H417" s="712"/>
      <c r="I417" s="712"/>
      <c r="J417" s="199"/>
      <c r="K417" s="712"/>
      <c r="L417" s="712"/>
      <c r="M417" s="711"/>
      <c r="N417" s="1737"/>
      <c r="O417" s="711"/>
      <c r="P417" s="1738"/>
      <c r="Q417" s="1739"/>
      <c r="R417" s="1740"/>
      <c r="S417" s="1056"/>
      <c r="T417" s="1741"/>
      <c r="U417" s="1056"/>
      <c r="V417" s="199"/>
      <c r="W417" s="199"/>
      <c r="X417" s="199"/>
      <c r="Y417" s="199"/>
      <c r="Z417" s="199"/>
      <c r="AA417" s="199"/>
      <c r="AB417" s="199"/>
      <c r="AC417" s="199"/>
      <c r="AD417" s="199"/>
      <c r="AE417" s="199"/>
      <c r="AF417" s="199"/>
      <c r="AG417" s="199"/>
      <c r="AH417" s="199"/>
      <c r="AI417" s="199"/>
      <c r="AJ417" s="199"/>
      <c r="AK417" s="199"/>
      <c r="AL417" s="199"/>
      <c r="AM417" s="199"/>
    </row>
    <row r="418" spans="1:39">
      <c r="A418" s="712"/>
      <c r="B418" s="199"/>
      <c r="C418" s="1164"/>
      <c r="D418" s="1735"/>
      <c r="E418" s="712"/>
      <c r="F418" s="327"/>
      <c r="G418" s="1736"/>
      <c r="H418" s="712"/>
      <c r="I418" s="712"/>
      <c r="J418" s="199"/>
      <c r="K418" s="712"/>
      <c r="L418" s="712"/>
      <c r="M418" s="711"/>
      <c r="N418" s="1737"/>
      <c r="O418" s="711"/>
      <c r="P418" s="1738"/>
      <c r="Q418" s="1739"/>
      <c r="R418" s="1740"/>
      <c r="S418" s="1056"/>
      <c r="T418" s="1741"/>
      <c r="U418" s="1056"/>
      <c r="V418" s="199"/>
      <c r="W418" s="199"/>
      <c r="X418" s="199"/>
      <c r="Y418" s="199"/>
      <c r="Z418" s="199"/>
      <c r="AA418" s="199"/>
      <c r="AB418" s="199"/>
      <c r="AC418" s="199"/>
      <c r="AD418" s="199"/>
      <c r="AE418" s="199"/>
      <c r="AF418" s="199"/>
      <c r="AG418" s="199"/>
      <c r="AH418" s="199"/>
      <c r="AI418" s="199"/>
      <c r="AJ418" s="199"/>
      <c r="AK418" s="199"/>
      <c r="AL418" s="199"/>
      <c r="AM418" s="199"/>
    </row>
    <row r="419" spans="1:39">
      <c r="A419" s="712"/>
      <c r="B419" s="199"/>
      <c r="C419" s="1164"/>
      <c r="D419" s="1735"/>
      <c r="E419" s="712"/>
      <c r="F419" s="327"/>
      <c r="G419" s="1736"/>
      <c r="H419" s="712"/>
      <c r="I419" s="712"/>
      <c r="J419" s="199"/>
      <c r="K419" s="712"/>
      <c r="L419" s="712"/>
      <c r="M419" s="711"/>
      <c r="N419" s="1737"/>
      <c r="O419" s="711"/>
      <c r="P419" s="1738"/>
      <c r="Q419" s="1739"/>
      <c r="R419" s="1740"/>
      <c r="S419" s="1056"/>
      <c r="T419" s="1741"/>
      <c r="U419" s="1056"/>
      <c r="V419" s="199"/>
      <c r="W419" s="199"/>
      <c r="X419" s="199"/>
      <c r="Y419" s="199"/>
      <c r="Z419" s="199"/>
      <c r="AA419" s="199"/>
      <c r="AB419" s="199"/>
      <c r="AC419" s="199"/>
      <c r="AD419" s="199"/>
      <c r="AE419" s="199"/>
      <c r="AF419" s="199"/>
      <c r="AG419" s="199"/>
      <c r="AH419" s="199"/>
      <c r="AI419" s="199"/>
      <c r="AJ419" s="199"/>
      <c r="AK419" s="199"/>
      <c r="AL419" s="199"/>
      <c r="AM419" s="199"/>
    </row>
    <row r="420" spans="1:39">
      <c r="A420" s="712"/>
      <c r="B420" s="199"/>
      <c r="C420" s="1164"/>
      <c r="D420" s="1735"/>
      <c r="E420" s="712"/>
      <c r="F420" s="327"/>
      <c r="G420" s="1736"/>
      <c r="H420" s="712"/>
      <c r="I420" s="712"/>
      <c r="J420" s="199"/>
      <c r="K420" s="712"/>
      <c r="L420" s="712"/>
      <c r="M420" s="711"/>
      <c r="N420" s="1737"/>
      <c r="O420" s="711"/>
      <c r="P420" s="1738"/>
      <c r="Q420" s="1739"/>
      <c r="R420" s="1740"/>
      <c r="S420" s="1056"/>
      <c r="T420" s="1741"/>
      <c r="U420" s="1056"/>
      <c r="V420" s="199"/>
      <c r="W420" s="199"/>
      <c r="X420" s="199"/>
      <c r="Y420" s="199"/>
      <c r="Z420" s="199"/>
      <c r="AA420" s="199"/>
      <c r="AB420" s="199"/>
      <c r="AC420" s="199"/>
      <c r="AD420" s="199"/>
      <c r="AE420" s="199"/>
      <c r="AF420" s="199"/>
      <c r="AG420" s="199"/>
      <c r="AH420" s="199"/>
      <c r="AI420" s="199"/>
      <c r="AJ420" s="199"/>
      <c r="AK420" s="199"/>
      <c r="AL420" s="199"/>
      <c r="AM420" s="199"/>
    </row>
    <row r="421" spans="1:39">
      <c r="A421" s="712"/>
      <c r="B421" s="199"/>
      <c r="C421" s="1164"/>
      <c r="D421" s="1735"/>
      <c r="E421" s="712"/>
      <c r="F421" s="327"/>
      <c r="G421" s="1736"/>
      <c r="H421" s="712"/>
      <c r="I421" s="712"/>
      <c r="J421" s="199"/>
      <c r="K421" s="712"/>
      <c r="L421" s="712"/>
      <c r="M421" s="711"/>
      <c r="N421" s="1737"/>
      <c r="O421" s="711"/>
      <c r="P421" s="1738"/>
      <c r="Q421" s="1739"/>
      <c r="R421" s="1740"/>
      <c r="S421" s="1056"/>
      <c r="T421" s="1741"/>
      <c r="U421" s="1056"/>
      <c r="V421" s="199"/>
      <c r="W421" s="199"/>
      <c r="X421" s="199"/>
      <c r="Y421" s="199"/>
      <c r="Z421" s="199"/>
      <c r="AA421" s="199"/>
      <c r="AB421" s="199"/>
      <c r="AC421" s="199"/>
      <c r="AD421" s="199"/>
      <c r="AE421" s="199"/>
      <c r="AF421" s="199"/>
      <c r="AG421" s="199"/>
      <c r="AH421" s="199"/>
      <c r="AI421" s="199"/>
      <c r="AJ421" s="199"/>
      <c r="AK421" s="199"/>
      <c r="AL421" s="199"/>
      <c r="AM421" s="199"/>
    </row>
    <row r="422" spans="1:39">
      <c r="A422" s="712"/>
      <c r="B422" s="199"/>
      <c r="C422" s="1164"/>
      <c r="D422" s="1735"/>
      <c r="E422" s="712"/>
      <c r="F422" s="327"/>
      <c r="G422" s="1736"/>
      <c r="H422" s="712"/>
      <c r="I422" s="712"/>
      <c r="J422" s="199"/>
      <c r="K422" s="712"/>
      <c r="L422" s="712"/>
      <c r="M422" s="711"/>
      <c r="N422" s="1737"/>
      <c r="O422" s="711"/>
      <c r="P422" s="1738"/>
      <c r="Q422" s="1739"/>
      <c r="R422" s="1740"/>
      <c r="S422" s="1056"/>
      <c r="T422" s="1741"/>
      <c r="U422" s="1056"/>
      <c r="V422" s="199"/>
      <c r="W422" s="199"/>
      <c r="X422" s="199"/>
      <c r="Y422" s="199"/>
      <c r="Z422" s="199"/>
      <c r="AA422" s="199"/>
      <c r="AB422" s="199"/>
      <c r="AC422" s="199"/>
      <c r="AD422" s="199"/>
      <c r="AE422" s="199"/>
      <c r="AF422" s="199"/>
      <c r="AG422" s="199"/>
      <c r="AH422" s="199"/>
      <c r="AI422" s="199"/>
      <c r="AJ422" s="199"/>
      <c r="AK422" s="199"/>
      <c r="AL422" s="199"/>
      <c r="AM422" s="199"/>
    </row>
    <row r="423" spans="1:39">
      <c r="A423" s="712"/>
      <c r="B423" s="199"/>
      <c r="C423" s="1164"/>
      <c r="D423" s="1735"/>
      <c r="E423" s="712"/>
      <c r="F423" s="327"/>
      <c r="G423" s="1736"/>
      <c r="H423" s="712"/>
      <c r="I423" s="712"/>
      <c r="J423" s="199"/>
      <c r="K423" s="712"/>
      <c r="L423" s="712"/>
      <c r="M423" s="711"/>
      <c r="N423" s="1737"/>
      <c r="O423" s="711"/>
      <c r="P423" s="1738"/>
      <c r="Q423" s="1739"/>
      <c r="R423" s="1740"/>
      <c r="S423" s="1056"/>
      <c r="T423" s="1741"/>
      <c r="U423" s="1056"/>
      <c r="V423" s="199"/>
      <c r="W423" s="199"/>
      <c r="X423" s="199"/>
      <c r="Y423" s="199"/>
      <c r="Z423" s="199"/>
      <c r="AA423" s="199"/>
      <c r="AB423" s="199"/>
      <c r="AC423" s="199"/>
      <c r="AD423" s="199"/>
      <c r="AE423" s="199"/>
      <c r="AF423" s="199"/>
      <c r="AG423" s="199"/>
      <c r="AH423" s="199"/>
      <c r="AI423" s="199"/>
      <c r="AJ423" s="199"/>
      <c r="AK423" s="199"/>
      <c r="AL423" s="199"/>
      <c r="AM423" s="199"/>
    </row>
    <row r="424" spans="1:39">
      <c r="A424" s="712"/>
      <c r="B424" s="199"/>
      <c r="C424" s="1164"/>
      <c r="D424" s="1735"/>
      <c r="E424" s="712"/>
      <c r="F424" s="327"/>
      <c r="G424" s="1736"/>
      <c r="H424" s="712"/>
      <c r="I424" s="712"/>
      <c r="J424" s="199"/>
      <c r="K424" s="712"/>
      <c r="L424" s="712"/>
      <c r="M424" s="711"/>
      <c r="N424" s="1737"/>
      <c r="O424" s="711"/>
      <c r="P424" s="1738"/>
      <c r="Q424" s="1739"/>
      <c r="R424" s="1740"/>
      <c r="S424" s="1056"/>
      <c r="T424" s="1741"/>
      <c r="U424" s="1056"/>
      <c r="V424" s="199"/>
      <c r="W424" s="199"/>
      <c r="X424" s="199"/>
      <c r="Y424" s="199"/>
      <c r="Z424" s="199"/>
      <c r="AA424" s="199"/>
      <c r="AB424" s="199"/>
      <c r="AC424" s="199"/>
      <c r="AD424" s="199"/>
      <c r="AE424" s="199"/>
      <c r="AF424" s="199"/>
      <c r="AG424" s="199"/>
      <c r="AH424" s="199"/>
      <c r="AI424" s="199"/>
      <c r="AJ424" s="199"/>
      <c r="AK424" s="199"/>
      <c r="AL424" s="199"/>
      <c r="AM424" s="199"/>
    </row>
    <row r="425" spans="1:39">
      <c r="A425" s="712"/>
      <c r="B425" s="199"/>
      <c r="C425" s="1164"/>
      <c r="D425" s="1735"/>
      <c r="E425" s="712"/>
      <c r="F425" s="327"/>
      <c r="G425" s="1736"/>
      <c r="H425" s="712"/>
      <c r="I425" s="712"/>
      <c r="J425" s="199"/>
      <c r="K425" s="712"/>
      <c r="L425" s="712"/>
      <c r="M425" s="711"/>
      <c r="N425" s="1737"/>
      <c r="O425" s="711"/>
      <c r="P425" s="1738"/>
      <c r="Q425" s="1739"/>
      <c r="R425" s="1740"/>
      <c r="S425" s="1056"/>
      <c r="T425" s="1741"/>
      <c r="U425" s="1056"/>
      <c r="V425" s="199"/>
      <c r="W425" s="199"/>
      <c r="X425" s="199"/>
      <c r="Y425" s="199"/>
      <c r="Z425" s="199"/>
      <c r="AA425" s="199"/>
      <c r="AB425" s="199"/>
      <c r="AC425" s="199"/>
      <c r="AD425" s="199"/>
      <c r="AE425" s="199"/>
      <c r="AF425" s="199"/>
      <c r="AG425" s="199"/>
      <c r="AH425" s="199"/>
      <c r="AI425" s="199"/>
      <c r="AJ425" s="199"/>
      <c r="AK425" s="199"/>
      <c r="AL425" s="199"/>
      <c r="AM425" s="199"/>
    </row>
    <row r="426" spans="1:39">
      <c r="A426" s="712"/>
      <c r="B426" s="199"/>
      <c r="C426" s="1164"/>
      <c r="D426" s="1735"/>
      <c r="E426" s="712"/>
      <c r="F426" s="327"/>
      <c r="G426" s="1736"/>
      <c r="H426" s="712"/>
      <c r="I426" s="712"/>
      <c r="J426" s="199"/>
      <c r="K426" s="712"/>
      <c r="L426" s="712"/>
      <c r="M426" s="711"/>
      <c r="N426" s="1737"/>
      <c r="O426" s="711"/>
      <c r="P426" s="1738"/>
      <c r="Q426" s="1739"/>
      <c r="R426" s="1740"/>
      <c r="S426" s="1056"/>
      <c r="T426" s="1741"/>
      <c r="U426" s="1056"/>
      <c r="V426" s="199"/>
      <c r="W426" s="199"/>
      <c r="X426" s="199"/>
      <c r="Y426" s="199"/>
      <c r="Z426" s="199"/>
      <c r="AA426" s="199"/>
      <c r="AB426" s="199"/>
      <c r="AC426" s="199"/>
      <c r="AD426" s="199"/>
      <c r="AE426" s="199"/>
      <c r="AF426" s="199"/>
      <c r="AG426" s="199"/>
      <c r="AH426" s="199"/>
      <c r="AI426" s="199"/>
      <c r="AJ426" s="199"/>
      <c r="AK426" s="199"/>
      <c r="AL426" s="199"/>
      <c r="AM426" s="199"/>
    </row>
    <row r="427" spans="1:39">
      <c r="A427" s="712"/>
      <c r="B427" s="199"/>
      <c r="C427" s="1164"/>
      <c r="D427" s="1735"/>
      <c r="E427" s="712"/>
      <c r="F427" s="327"/>
      <c r="G427" s="1736"/>
      <c r="H427" s="712"/>
      <c r="I427" s="712"/>
      <c r="J427" s="199"/>
      <c r="K427" s="712"/>
      <c r="L427" s="712"/>
      <c r="M427" s="711"/>
      <c r="N427" s="1737"/>
      <c r="O427" s="711"/>
      <c r="P427" s="1738"/>
      <c r="Q427" s="1739"/>
      <c r="R427" s="1740"/>
      <c r="S427" s="1056"/>
      <c r="T427" s="1741"/>
      <c r="U427" s="1056"/>
      <c r="V427" s="199"/>
      <c r="W427" s="199"/>
      <c r="X427" s="199"/>
      <c r="Y427" s="199"/>
      <c r="Z427" s="199"/>
      <c r="AA427" s="199"/>
      <c r="AB427" s="199"/>
      <c r="AC427" s="199"/>
      <c r="AD427" s="199"/>
      <c r="AE427" s="199"/>
      <c r="AF427" s="199"/>
      <c r="AG427" s="199"/>
      <c r="AH427" s="199"/>
      <c r="AI427" s="199"/>
      <c r="AJ427" s="199"/>
      <c r="AK427" s="199"/>
      <c r="AL427" s="199"/>
      <c r="AM427" s="199"/>
    </row>
    <row r="428" spans="1:39">
      <c r="A428" s="712"/>
      <c r="B428" s="199"/>
      <c r="C428" s="1164"/>
      <c r="D428" s="1735"/>
      <c r="E428" s="712"/>
      <c r="F428" s="327"/>
      <c r="G428" s="1736"/>
      <c r="H428" s="712"/>
      <c r="I428" s="712"/>
      <c r="J428" s="199"/>
      <c r="K428" s="712"/>
      <c r="L428" s="712"/>
      <c r="M428" s="711"/>
      <c r="N428" s="1737"/>
      <c r="O428" s="711"/>
      <c r="P428" s="1738"/>
      <c r="Q428" s="1739"/>
      <c r="R428" s="1740"/>
      <c r="S428" s="1056"/>
      <c r="T428" s="1741"/>
      <c r="U428" s="1056"/>
      <c r="V428" s="199"/>
      <c r="W428" s="199"/>
      <c r="X428" s="199"/>
      <c r="Y428" s="199"/>
      <c r="Z428" s="199"/>
      <c r="AA428" s="199"/>
      <c r="AB428" s="199"/>
      <c r="AC428" s="199"/>
      <c r="AD428" s="199"/>
      <c r="AE428" s="199"/>
      <c r="AF428" s="199"/>
      <c r="AG428" s="199"/>
      <c r="AH428" s="199"/>
      <c r="AI428" s="199"/>
      <c r="AJ428" s="199"/>
      <c r="AK428" s="199"/>
      <c r="AL428" s="199"/>
      <c r="AM428" s="199"/>
    </row>
    <row r="429" spans="1:39">
      <c r="A429" s="712"/>
      <c r="B429" s="199"/>
      <c r="C429" s="1164"/>
      <c r="D429" s="1735"/>
      <c r="E429" s="712"/>
      <c r="F429" s="327"/>
      <c r="G429" s="1736"/>
      <c r="H429" s="712"/>
      <c r="I429" s="712"/>
      <c r="J429" s="199"/>
      <c r="K429" s="712"/>
      <c r="L429" s="712"/>
      <c r="M429" s="711"/>
      <c r="N429" s="1737"/>
      <c r="O429" s="711"/>
      <c r="P429" s="1738"/>
      <c r="Q429" s="1739"/>
      <c r="R429" s="1740"/>
      <c r="S429" s="1056"/>
      <c r="T429" s="1741"/>
      <c r="U429" s="1056"/>
      <c r="V429" s="199"/>
      <c r="W429" s="199"/>
      <c r="X429" s="199"/>
      <c r="Y429" s="199"/>
      <c r="Z429" s="199"/>
      <c r="AA429" s="199"/>
      <c r="AB429" s="199"/>
      <c r="AC429" s="199"/>
      <c r="AD429" s="199"/>
      <c r="AE429" s="199"/>
      <c r="AF429" s="199"/>
      <c r="AG429" s="199"/>
      <c r="AH429" s="199"/>
      <c r="AI429" s="199"/>
      <c r="AJ429" s="199"/>
      <c r="AK429" s="199"/>
      <c r="AL429" s="199"/>
      <c r="AM429" s="199"/>
    </row>
    <row r="430" spans="1:39">
      <c r="A430" s="712"/>
      <c r="B430" s="199"/>
      <c r="C430" s="1164"/>
      <c r="D430" s="1735"/>
      <c r="E430" s="712"/>
      <c r="F430" s="327"/>
      <c r="G430" s="1736"/>
      <c r="H430" s="712"/>
      <c r="I430" s="712"/>
      <c r="J430" s="199"/>
      <c r="K430" s="712"/>
      <c r="L430" s="712"/>
      <c r="M430" s="711"/>
      <c r="N430" s="1737"/>
      <c r="O430" s="711"/>
      <c r="P430" s="1738"/>
      <c r="Q430" s="1739"/>
      <c r="R430" s="1740"/>
      <c r="S430" s="1056"/>
      <c r="T430" s="1741"/>
      <c r="U430" s="1056"/>
      <c r="V430" s="199"/>
      <c r="W430" s="199"/>
      <c r="X430" s="199"/>
      <c r="Y430" s="199"/>
      <c r="Z430" s="199"/>
      <c r="AA430" s="199"/>
      <c r="AB430" s="199"/>
      <c r="AC430" s="199"/>
      <c r="AD430" s="199"/>
      <c r="AE430" s="199"/>
      <c r="AF430" s="199"/>
      <c r="AG430" s="199"/>
      <c r="AH430" s="199"/>
      <c r="AI430" s="199"/>
      <c r="AJ430" s="199"/>
      <c r="AK430" s="199"/>
      <c r="AL430" s="199"/>
      <c r="AM430" s="199"/>
    </row>
    <row r="431" spans="1:39">
      <c r="A431" s="712"/>
      <c r="B431" s="199"/>
      <c r="C431" s="1164"/>
      <c r="D431" s="1735"/>
      <c r="E431" s="712"/>
      <c r="F431" s="327"/>
      <c r="G431" s="1736"/>
      <c r="H431" s="712"/>
      <c r="I431" s="712"/>
      <c r="J431" s="199"/>
      <c r="K431" s="712"/>
      <c r="L431" s="712"/>
      <c r="M431" s="711"/>
      <c r="N431" s="1737"/>
      <c r="O431" s="711"/>
      <c r="P431" s="1738"/>
      <c r="Q431" s="1739"/>
      <c r="R431" s="1740"/>
      <c r="S431" s="1056"/>
      <c r="T431" s="1741"/>
      <c r="U431" s="1056"/>
      <c r="V431" s="199"/>
      <c r="W431" s="199"/>
      <c r="X431" s="199"/>
      <c r="Y431" s="199"/>
      <c r="Z431" s="199"/>
      <c r="AA431" s="199"/>
      <c r="AB431" s="199"/>
      <c r="AC431" s="199"/>
      <c r="AD431" s="199"/>
      <c r="AE431" s="199"/>
      <c r="AF431" s="199"/>
      <c r="AG431" s="199"/>
      <c r="AH431" s="199"/>
      <c r="AI431" s="199"/>
      <c r="AJ431" s="199"/>
      <c r="AK431" s="199"/>
      <c r="AL431" s="199"/>
      <c r="AM431" s="199"/>
    </row>
    <row r="432" spans="1:39">
      <c r="A432" s="712"/>
      <c r="B432" s="199"/>
      <c r="C432" s="1164"/>
      <c r="D432" s="1735"/>
      <c r="E432" s="712"/>
      <c r="F432" s="327"/>
      <c r="G432" s="1736"/>
      <c r="H432" s="712"/>
      <c r="I432" s="712"/>
      <c r="J432" s="199"/>
      <c r="K432" s="712"/>
      <c r="L432" s="712"/>
      <c r="M432" s="711"/>
      <c r="N432" s="1737"/>
      <c r="O432" s="711"/>
      <c r="P432" s="1738"/>
      <c r="Q432" s="1739"/>
      <c r="R432" s="1740"/>
      <c r="S432" s="1056"/>
      <c r="T432" s="1741"/>
      <c r="U432" s="1056"/>
      <c r="V432" s="199"/>
      <c r="W432" s="199"/>
      <c r="X432" s="199"/>
      <c r="Y432" s="199"/>
      <c r="Z432" s="199"/>
      <c r="AA432" s="199"/>
      <c r="AB432" s="199"/>
      <c r="AC432" s="199"/>
      <c r="AD432" s="199"/>
      <c r="AE432" s="199"/>
      <c r="AF432" s="199"/>
      <c r="AG432" s="199"/>
      <c r="AH432" s="199"/>
      <c r="AI432" s="199"/>
      <c r="AJ432" s="199"/>
      <c r="AK432" s="199"/>
      <c r="AL432" s="199"/>
      <c r="AM432" s="199"/>
    </row>
    <row r="433" spans="1:39">
      <c r="A433" s="712"/>
      <c r="B433" s="199"/>
      <c r="C433" s="1164"/>
      <c r="D433" s="1735"/>
      <c r="E433" s="712"/>
      <c r="F433" s="327"/>
      <c r="G433" s="1736"/>
      <c r="H433" s="712"/>
      <c r="I433" s="712"/>
      <c r="J433" s="199"/>
      <c r="K433" s="712"/>
      <c r="L433" s="712"/>
      <c r="M433" s="711"/>
      <c r="N433" s="1737"/>
      <c r="O433" s="711"/>
      <c r="P433" s="1738"/>
      <c r="Q433" s="1739"/>
      <c r="R433" s="1740"/>
      <c r="S433" s="1056"/>
      <c r="T433" s="1741"/>
      <c r="U433" s="1056"/>
      <c r="V433" s="199"/>
      <c r="W433" s="199"/>
      <c r="X433" s="199"/>
      <c r="Y433" s="199"/>
      <c r="Z433" s="199"/>
      <c r="AA433" s="199"/>
      <c r="AB433" s="199"/>
      <c r="AC433" s="199"/>
      <c r="AD433" s="199"/>
      <c r="AE433" s="199"/>
      <c r="AF433" s="199"/>
      <c r="AG433" s="199"/>
      <c r="AH433" s="199"/>
      <c r="AI433" s="199"/>
      <c r="AJ433" s="199"/>
      <c r="AK433" s="199"/>
      <c r="AL433" s="199"/>
      <c r="AM433" s="199"/>
    </row>
    <row r="434" spans="1:39">
      <c r="A434" s="712"/>
      <c r="B434" s="199"/>
      <c r="C434" s="1164"/>
      <c r="D434" s="1735"/>
      <c r="E434" s="712"/>
      <c r="F434" s="327"/>
      <c r="G434" s="1736"/>
      <c r="H434" s="712"/>
      <c r="I434" s="712"/>
      <c r="J434" s="199"/>
      <c r="K434" s="712"/>
      <c r="L434" s="712"/>
      <c r="M434" s="711"/>
      <c r="N434" s="1737"/>
      <c r="O434" s="711"/>
      <c r="P434" s="1738"/>
      <c r="Q434" s="1739"/>
      <c r="R434" s="1740"/>
      <c r="S434" s="1056"/>
      <c r="T434" s="1741"/>
      <c r="U434" s="1056"/>
      <c r="V434" s="199"/>
      <c r="W434" s="199"/>
      <c r="X434" s="199"/>
      <c r="Y434" s="199"/>
      <c r="Z434" s="199"/>
      <c r="AA434" s="199"/>
      <c r="AB434" s="199"/>
      <c r="AC434" s="199"/>
      <c r="AD434" s="199"/>
      <c r="AE434" s="199"/>
      <c r="AF434" s="199"/>
      <c r="AG434" s="199"/>
      <c r="AH434" s="199"/>
      <c r="AI434" s="199"/>
      <c r="AJ434" s="199"/>
      <c r="AK434" s="199"/>
      <c r="AL434" s="199"/>
      <c r="AM434" s="199"/>
    </row>
    <row r="435" spans="1:39">
      <c r="A435" s="712"/>
      <c r="B435" s="199"/>
      <c r="C435" s="1164"/>
      <c r="D435" s="1735"/>
      <c r="E435" s="712"/>
      <c r="F435" s="327"/>
      <c r="G435" s="1736"/>
      <c r="H435" s="712"/>
      <c r="I435" s="712"/>
      <c r="J435" s="199"/>
      <c r="K435" s="712"/>
      <c r="L435" s="712"/>
      <c r="M435" s="711"/>
      <c r="N435" s="1737"/>
      <c r="O435" s="711"/>
      <c r="P435" s="1738"/>
      <c r="Q435" s="1739"/>
      <c r="R435" s="1740"/>
      <c r="S435" s="1056"/>
      <c r="T435" s="1741"/>
      <c r="U435" s="1056"/>
      <c r="V435" s="199"/>
      <c r="W435" s="199"/>
      <c r="X435" s="199"/>
      <c r="Y435" s="199"/>
      <c r="Z435" s="199"/>
      <c r="AA435" s="199"/>
      <c r="AB435" s="199"/>
      <c r="AC435" s="199"/>
      <c r="AD435" s="199"/>
      <c r="AE435" s="199"/>
      <c r="AF435" s="199"/>
      <c r="AG435" s="199"/>
      <c r="AH435" s="199"/>
      <c r="AI435" s="199"/>
      <c r="AJ435" s="199"/>
      <c r="AK435" s="199"/>
      <c r="AL435" s="199"/>
      <c r="AM435" s="199"/>
    </row>
    <row r="436" spans="1:39">
      <c r="A436" s="712"/>
      <c r="B436" s="199"/>
      <c r="C436" s="1164"/>
      <c r="D436" s="1735"/>
      <c r="E436" s="712"/>
      <c r="F436" s="327"/>
      <c r="G436" s="1736"/>
      <c r="H436" s="712"/>
      <c r="I436" s="712"/>
      <c r="J436" s="199"/>
      <c r="K436" s="712"/>
      <c r="L436" s="712"/>
      <c r="M436" s="711"/>
      <c r="N436" s="1737"/>
      <c r="O436" s="711"/>
      <c r="P436" s="1738"/>
      <c r="Q436" s="1739"/>
      <c r="R436" s="1740"/>
      <c r="S436" s="1056"/>
      <c r="T436" s="1741"/>
      <c r="U436" s="1056"/>
      <c r="V436" s="199"/>
      <c r="W436" s="199"/>
      <c r="X436" s="199"/>
      <c r="Y436" s="199"/>
      <c r="Z436" s="199"/>
      <c r="AA436" s="199"/>
      <c r="AB436" s="199"/>
      <c r="AC436" s="199"/>
      <c r="AD436" s="199"/>
      <c r="AE436" s="199"/>
      <c r="AF436" s="199"/>
      <c r="AG436" s="199"/>
      <c r="AH436" s="199"/>
      <c r="AI436" s="199"/>
      <c r="AJ436" s="199"/>
      <c r="AK436" s="199"/>
      <c r="AL436" s="199"/>
      <c r="AM436" s="199"/>
    </row>
    <row r="437" spans="1:39">
      <c r="A437" s="712"/>
      <c r="B437" s="199"/>
      <c r="C437" s="1164"/>
      <c r="D437" s="1735"/>
      <c r="E437" s="712"/>
      <c r="F437" s="327"/>
      <c r="G437" s="1736"/>
      <c r="H437" s="712"/>
      <c r="I437" s="712"/>
      <c r="J437" s="199"/>
      <c r="K437" s="712"/>
      <c r="L437" s="712"/>
      <c r="M437" s="711"/>
      <c r="N437" s="1737"/>
      <c r="O437" s="711"/>
      <c r="P437" s="1738"/>
      <c r="Q437" s="1739"/>
      <c r="R437" s="1740"/>
      <c r="S437" s="1056"/>
      <c r="T437" s="1741"/>
      <c r="U437" s="1056"/>
      <c r="V437" s="199"/>
      <c r="W437" s="199"/>
      <c r="X437" s="199"/>
      <c r="Y437" s="199"/>
      <c r="Z437" s="199"/>
      <c r="AA437" s="199"/>
      <c r="AB437" s="199"/>
      <c r="AC437" s="199"/>
      <c r="AD437" s="199"/>
      <c r="AE437" s="199"/>
      <c r="AF437" s="199"/>
      <c r="AG437" s="199"/>
      <c r="AH437" s="199"/>
      <c r="AI437" s="199"/>
      <c r="AJ437" s="199"/>
      <c r="AK437" s="199"/>
      <c r="AL437" s="199"/>
      <c r="AM437" s="199"/>
    </row>
    <row r="438" spans="1:39">
      <c r="A438" s="712"/>
      <c r="B438" s="199"/>
      <c r="C438" s="1164"/>
      <c r="D438" s="1735"/>
      <c r="E438" s="712"/>
      <c r="F438" s="327"/>
      <c r="G438" s="1736"/>
      <c r="H438" s="712"/>
      <c r="I438" s="712"/>
      <c r="J438" s="199"/>
      <c r="K438" s="712"/>
      <c r="L438" s="712"/>
      <c r="M438" s="711"/>
      <c r="N438" s="1737"/>
      <c r="O438" s="711"/>
      <c r="P438" s="1738"/>
      <c r="Q438" s="1739"/>
      <c r="R438" s="1740"/>
      <c r="S438" s="1056"/>
      <c r="T438" s="1741"/>
      <c r="U438" s="1056"/>
      <c r="V438" s="199"/>
      <c r="W438" s="199"/>
      <c r="X438" s="199"/>
      <c r="Y438" s="199"/>
      <c r="Z438" s="199"/>
      <c r="AA438" s="199"/>
      <c r="AB438" s="199"/>
      <c r="AC438" s="199"/>
      <c r="AD438" s="199"/>
      <c r="AE438" s="199"/>
      <c r="AF438" s="199"/>
      <c r="AG438" s="199"/>
      <c r="AH438" s="199"/>
      <c r="AI438" s="199"/>
      <c r="AJ438" s="199"/>
      <c r="AK438" s="199"/>
      <c r="AL438" s="199"/>
      <c r="AM438" s="199"/>
    </row>
    <row r="439" spans="1:39">
      <c r="A439" s="712"/>
      <c r="B439" s="199"/>
      <c r="C439" s="1164"/>
      <c r="D439" s="1735"/>
      <c r="E439" s="712"/>
      <c r="F439" s="327"/>
      <c r="G439" s="1736"/>
      <c r="H439" s="712"/>
      <c r="I439" s="712"/>
      <c r="J439" s="199"/>
      <c r="K439" s="712"/>
      <c r="L439" s="712"/>
      <c r="M439" s="711"/>
      <c r="N439" s="1737"/>
      <c r="O439" s="711"/>
      <c r="P439" s="1738"/>
      <c r="Q439" s="1739"/>
      <c r="R439" s="1740"/>
      <c r="S439" s="1056"/>
      <c r="T439" s="1741"/>
      <c r="U439" s="1056"/>
      <c r="V439" s="199"/>
      <c r="W439" s="199"/>
      <c r="X439" s="199"/>
      <c r="Y439" s="199"/>
      <c r="Z439" s="199"/>
      <c r="AA439" s="199"/>
      <c r="AB439" s="199"/>
      <c r="AC439" s="199"/>
      <c r="AD439" s="199"/>
      <c r="AE439" s="199"/>
      <c r="AF439" s="199"/>
      <c r="AG439" s="199"/>
      <c r="AH439" s="199"/>
      <c r="AI439" s="199"/>
      <c r="AJ439" s="199"/>
      <c r="AK439" s="199"/>
      <c r="AL439" s="199"/>
      <c r="AM439" s="199"/>
    </row>
    <row r="440" spans="1:39">
      <c r="A440" s="712"/>
      <c r="B440" s="199"/>
      <c r="C440" s="1164"/>
      <c r="D440" s="1735"/>
      <c r="E440" s="712"/>
      <c r="F440" s="327"/>
      <c r="G440" s="1736"/>
      <c r="H440" s="712"/>
      <c r="I440" s="712"/>
      <c r="J440" s="199"/>
      <c r="K440" s="712"/>
      <c r="L440" s="712"/>
      <c r="M440" s="711"/>
      <c r="N440" s="1737"/>
      <c r="O440" s="711"/>
      <c r="P440" s="1738"/>
      <c r="Q440" s="1739"/>
      <c r="R440" s="1740"/>
      <c r="S440" s="1056"/>
      <c r="T440" s="1741"/>
      <c r="U440" s="1056"/>
      <c r="V440" s="199"/>
      <c r="W440" s="199"/>
      <c r="X440" s="199"/>
      <c r="Y440" s="199"/>
      <c r="Z440" s="199"/>
      <c r="AA440" s="199"/>
      <c r="AB440" s="199"/>
      <c r="AC440" s="199"/>
      <c r="AD440" s="199"/>
      <c r="AE440" s="199"/>
      <c r="AF440" s="199"/>
      <c r="AG440" s="199"/>
      <c r="AH440" s="199"/>
      <c r="AI440" s="199"/>
      <c r="AJ440" s="199"/>
      <c r="AK440" s="199"/>
      <c r="AL440" s="199"/>
      <c r="AM440" s="199"/>
    </row>
    <row r="441" spans="1:39">
      <c r="A441" s="712"/>
      <c r="B441" s="199"/>
      <c r="C441" s="1164"/>
      <c r="D441" s="1735"/>
      <c r="E441" s="712"/>
      <c r="F441" s="327"/>
      <c r="G441" s="1736"/>
      <c r="H441" s="712"/>
      <c r="I441" s="712"/>
      <c r="J441" s="199"/>
      <c r="K441" s="712"/>
      <c r="L441" s="712"/>
      <c r="M441" s="711"/>
      <c r="N441" s="1737"/>
      <c r="O441" s="711"/>
      <c r="P441" s="1738"/>
      <c r="Q441" s="1739"/>
      <c r="R441" s="1740"/>
      <c r="S441" s="1056"/>
      <c r="T441" s="1741"/>
      <c r="U441" s="1056"/>
      <c r="V441" s="199"/>
      <c r="W441" s="199"/>
      <c r="X441" s="199"/>
      <c r="Y441" s="199"/>
      <c r="Z441" s="199"/>
      <c r="AA441" s="199"/>
      <c r="AB441" s="199"/>
      <c r="AC441" s="199"/>
      <c r="AD441" s="199"/>
      <c r="AE441" s="199"/>
      <c r="AF441" s="199"/>
      <c r="AG441" s="199"/>
      <c r="AH441" s="199"/>
      <c r="AI441" s="199"/>
      <c r="AJ441" s="199"/>
      <c r="AK441" s="199"/>
      <c r="AL441" s="199"/>
      <c r="AM441" s="199"/>
    </row>
    <row r="442" spans="1:39">
      <c r="A442" s="712"/>
      <c r="B442" s="199"/>
      <c r="C442" s="1164"/>
      <c r="D442" s="1735"/>
      <c r="E442" s="712"/>
      <c r="F442" s="327"/>
      <c r="G442" s="1736"/>
      <c r="H442" s="712"/>
      <c r="I442" s="712"/>
      <c r="J442" s="199"/>
      <c r="K442" s="712"/>
      <c r="L442" s="712"/>
      <c r="M442" s="711"/>
      <c r="N442" s="1737"/>
      <c r="O442" s="711"/>
      <c r="P442" s="1738"/>
      <c r="Q442" s="1739"/>
      <c r="R442" s="1740"/>
      <c r="S442" s="1056"/>
      <c r="T442" s="1741"/>
      <c r="U442" s="1056"/>
      <c r="V442" s="199"/>
      <c r="W442" s="199"/>
      <c r="X442" s="199"/>
      <c r="Y442" s="199"/>
      <c r="Z442" s="199"/>
      <c r="AA442" s="199"/>
      <c r="AB442" s="199"/>
      <c r="AC442" s="199"/>
      <c r="AD442" s="199"/>
      <c r="AE442" s="199"/>
      <c r="AF442" s="199"/>
      <c r="AG442" s="199"/>
      <c r="AH442" s="199"/>
      <c r="AI442" s="199"/>
      <c r="AJ442" s="199"/>
      <c r="AK442" s="199"/>
      <c r="AL442" s="199"/>
      <c r="AM442" s="199"/>
    </row>
    <row r="443" spans="1:39">
      <c r="A443" s="712"/>
      <c r="B443" s="199"/>
      <c r="C443" s="1164"/>
      <c r="D443" s="1735"/>
      <c r="E443" s="712"/>
      <c r="F443" s="327"/>
      <c r="G443" s="1736"/>
      <c r="H443" s="712"/>
      <c r="I443" s="712"/>
      <c r="J443" s="199"/>
      <c r="K443" s="712"/>
      <c r="L443" s="712"/>
      <c r="M443" s="711"/>
      <c r="N443" s="1737"/>
      <c r="O443" s="711"/>
      <c r="P443" s="1738"/>
      <c r="Q443" s="1739"/>
      <c r="R443" s="1740"/>
      <c r="S443" s="1056"/>
      <c r="T443" s="1741"/>
      <c r="U443" s="1056"/>
      <c r="V443" s="199"/>
      <c r="W443" s="199"/>
      <c r="X443" s="199"/>
      <c r="Y443" s="199"/>
      <c r="Z443" s="199"/>
      <c r="AA443" s="199"/>
      <c r="AB443" s="199"/>
      <c r="AC443" s="199"/>
      <c r="AD443" s="199"/>
      <c r="AE443" s="199"/>
      <c r="AF443" s="199"/>
      <c r="AG443" s="199"/>
      <c r="AH443" s="199"/>
      <c r="AI443" s="199"/>
      <c r="AJ443" s="199"/>
      <c r="AK443" s="199"/>
      <c r="AL443" s="199"/>
      <c r="AM443" s="199"/>
    </row>
    <row r="444" spans="1:39">
      <c r="A444" s="712"/>
      <c r="B444" s="199"/>
      <c r="C444" s="1164"/>
      <c r="D444" s="1735"/>
      <c r="E444" s="712"/>
      <c r="F444" s="327"/>
      <c r="G444" s="1736"/>
      <c r="H444" s="712"/>
      <c r="I444" s="712"/>
      <c r="J444" s="199"/>
      <c r="K444" s="712"/>
      <c r="L444" s="712"/>
      <c r="M444" s="711"/>
      <c r="N444" s="1737"/>
      <c r="O444" s="711"/>
      <c r="P444" s="1738"/>
      <c r="Q444" s="1739"/>
      <c r="R444" s="1740"/>
      <c r="S444" s="1056"/>
      <c r="T444" s="1741"/>
      <c r="U444" s="1056"/>
      <c r="V444" s="199"/>
      <c r="W444" s="199"/>
      <c r="X444" s="199"/>
      <c r="Y444" s="199"/>
      <c r="Z444" s="199"/>
      <c r="AA444" s="199"/>
      <c r="AB444" s="199"/>
      <c r="AC444" s="199"/>
      <c r="AD444" s="199"/>
      <c r="AE444" s="199"/>
      <c r="AF444" s="199"/>
      <c r="AG444" s="199"/>
      <c r="AH444" s="199"/>
      <c r="AI444" s="199"/>
      <c r="AJ444" s="199"/>
      <c r="AK444" s="199"/>
      <c r="AL444" s="199"/>
      <c r="AM444" s="199"/>
    </row>
    <row r="445" spans="1:39">
      <c r="A445" s="712"/>
      <c r="B445" s="199"/>
      <c r="C445" s="1164"/>
      <c r="D445" s="1735"/>
      <c r="E445" s="712"/>
      <c r="F445" s="327"/>
      <c r="G445" s="1736"/>
      <c r="H445" s="712"/>
      <c r="I445" s="712"/>
      <c r="J445" s="199"/>
      <c r="K445" s="712"/>
      <c r="L445" s="712"/>
      <c r="M445" s="711"/>
      <c r="N445" s="1737"/>
      <c r="O445" s="711"/>
      <c r="P445" s="1738"/>
      <c r="Q445" s="1739"/>
      <c r="R445" s="1740"/>
      <c r="S445" s="1056"/>
      <c r="T445" s="1741"/>
      <c r="U445" s="1056"/>
      <c r="V445" s="199"/>
      <c r="W445" s="199"/>
      <c r="X445" s="199"/>
      <c r="Y445" s="199"/>
      <c r="Z445" s="199"/>
      <c r="AA445" s="199"/>
      <c r="AB445" s="199"/>
      <c r="AC445" s="199"/>
      <c r="AD445" s="199"/>
      <c r="AE445" s="199"/>
      <c r="AF445" s="199"/>
      <c r="AG445" s="199"/>
      <c r="AH445" s="199"/>
      <c r="AI445" s="199"/>
      <c r="AJ445" s="199"/>
      <c r="AK445" s="199"/>
      <c r="AL445" s="199"/>
      <c r="AM445" s="199"/>
    </row>
    <row r="446" spans="1:39">
      <c r="A446" s="712"/>
      <c r="B446" s="199"/>
      <c r="C446" s="1164"/>
      <c r="D446" s="1735"/>
      <c r="E446" s="712"/>
      <c r="F446" s="327"/>
      <c r="G446" s="1736"/>
      <c r="H446" s="712"/>
      <c r="I446" s="712"/>
      <c r="J446" s="199"/>
      <c r="K446" s="712"/>
      <c r="L446" s="712"/>
      <c r="M446" s="711"/>
      <c r="N446" s="1737"/>
      <c r="O446" s="711"/>
      <c r="P446" s="1738"/>
      <c r="Q446" s="1739"/>
      <c r="R446" s="1740"/>
      <c r="S446" s="1056"/>
      <c r="T446" s="1741"/>
      <c r="U446" s="1056"/>
      <c r="V446" s="199"/>
      <c r="W446" s="199"/>
      <c r="X446" s="199"/>
      <c r="Y446" s="199"/>
      <c r="Z446" s="199"/>
      <c r="AA446" s="199"/>
      <c r="AB446" s="199"/>
      <c r="AC446" s="199"/>
      <c r="AD446" s="199"/>
      <c r="AE446" s="199"/>
      <c r="AF446" s="199"/>
      <c r="AG446" s="199"/>
      <c r="AH446" s="199"/>
      <c r="AI446" s="199"/>
      <c r="AJ446" s="199"/>
      <c r="AK446" s="199"/>
      <c r="AL446" s="199"/>
      <c r="AM446" s="199"/>
    </row>
    <row r="447" spans="1:39">
      <c r="A447" s="712"/>
      <c r="B447" s="199"/>
      <c r="C447" s="1164"/>
      <c r="D447" s="1735"/>
      <c r="E447" s="712"/>
      <c r="F447" s="327"/>
      <c r="G447" s="1736"/>
      <c r="H447" s="712"/>
      <c r="I447" s="712"/>
      <c r="J447" s="199"/>
      <c r="K447" s="712"/>
      <c r="L447" s="712"/>
      <c r="M447" s="711"/>
      <c r="N447" s="1737"/>
      <c r="O447" s="711"/>
      <c r="P447" s="1738"/>
      <c r="Q447" s="1739"/>
      <c r="R447" s="1740"/>
      <c r="S447" s="1056"/>
      <c r="T447" s="1741"/>
      <c r="U447" s="1056"/>
      <c r="V447" s="199"/>
      <c r="W447" s="199"/>
      <c r="X447" s="199"/>
      <c r="Y447" s="199"/>
      <c r="Z447" s="199"/>
      <c r="AA447" s="199"/>
      <c r="AB447" s="199"/>
      <c r="AC447" s="199"/>
      <c r="AD447" s="199"/>
      <c r="AE447" s="199"/>
      <c r="AF447" s="199"/>
      <c r="AG447" s="199"/>
      <c r="AH447" s="199"/>
      <c r="AI447" s="199"/>
      <c r="AJ447" s="199"/>
      <c r="AK447" s="199"/>
      <c r="AL447" s="199"/>
      <c r="AM447" s="199"/>
    </row>
    <row r="448" spans="1:39">
      <c r="A448" s="712"/>
      <c r="B448" s="199"/>
      <c r="C448" s="1164"/>
      <c r="D448" s="1735"/>
      <c r="E448" s="712"/>
      <c r="F448" s="327"/>
      <c r="G448" s="1736"/>
      <c r="H448" s="712"/>
      <c r="I448" s="712"/>
      <c r="J448" s="199"/>
      <c r="K448" s="712"/>
      <c r="L448" s="712"/>
      <c r="M448" s="711"/>
      <c r="N448" s="1737"/>
      <c r="O448" s="711"/>
      <c r="P448" s="1738"/>
      <c r="Q448" s="1739"/>
      <c r="R448" s="1740"/>
      <c r="S448" s="1056"/>
      <c r="T448" s="1741"/>
      <c r="U448" s="1056"/>
      <c r="V448" s="199"/>
      <c r="W448" s="199"/>
      <c r="X448" s="199"/>
      <c r="Y448" s="199"/>
      <c r="Z448" s="199"/>
      <c r="AA448" s="199"/>
      <c r="AB448" s="199"/>
      <c r="AC448" s="199"/>
      <c r="AD448" s="199"/>
      <c r="AE448" s="199"/>
      <c r="AF448" s="199"/>
      <c r="AG448" s="199"/>
      <c r="AH448" s="199"/>
      <c r="AI448" s="199"/>
      <c r="AJ448" s="199"/>
      <c r="AK448" s="199"/>
      <c r="AL448" s="199"/>
      <c r="AM448" s="199"/>
    </row>
    <row r="449" spans="1:39">
      <c r="A449" s="712"/>
      <c r="B449" s="199"/>
      <c r="C449" s="1164"/>
      <c r="D449" s="1735"/>
      <c r="E449" s="712"/>
      <c r="F449" s="327"/>
      <c r="G449" s="1736"/>
      <c r="H449" s="712"/>
      <c r="I449" s="712"/>
      <c r="J449" s="199"/>
      <c r="K449" s="712"/>
      <c r="L449" s="712"/>
      <c r="M449" s="711"/>
      <c r="N449" s="1737"/>
      <c r="O449" s="711"/>
      <c r="P449" s="1738"/>
      <c r="Q449" s="1739"/>
      <c r="R449" s="1740"/>
      <c r="S449" s="1056"/>
      <c r="T449" s="1741"/>
      <c r="U449" s="1056"/>
      <c r="V449" s="199"/>
      <c r="W449" s="199"/>
      <c r="X449" s="199"/>
      <c r="Y449" s="199"/>
      <c r="Z449" s="199"/>
      <c r="AA449" s="199"/>
      <c r="AB449" s="199"/>
      <c r="AC449" s="199"/>
      <c r="AD449" s="199"/>
      <c r="AE449" s="199"/>
      <c r="AF449" s="199"/>
      <c r="AG449" s="199"/>
      <c r="AH449" s="199"/>
      <c r="AI449" s="199"/>
      <c r="AJ449" s="199"/>
      <c r="AK449" s="199"/>
      <c r="AL449" s="199"/>
      <c r="AM449" s="199"/>
    </row>
    <row r="450" spans="1:39">
      <c r="A450" s="712"/>
      <c r="B450" s="199"/>
      <c r="C450" s="1164"/>
      <c r="D450" s="1735"/>
      <c r="E450" s="712"/>
      <c r="F450" s="327"/>
      <c r="G450" s="1736"/>
      <c r="H450" s="712"/>
      <c r="I450" s="712"/>
      <c r="J450" s="199"/>
      <c r="K450" s="712"/>
      <c r="L450" s="712"/>
      <c r="M450" s="711"/>
      <c r="N450" s="1737"/>
      <c r="O450" s="711"/>
      <c r="P450" s="1738"/>
      <c r="Q450" s="1739"/>
      <c r="R450" s="1740"/>
      <c r="S450" s="1056"/>
      <c r="T450" s="1741"/>
      <c r="U450" s="1056"/>
      <c r="V450" s="199"/>
      <c r="W450" s="199"/>
      <c r="X450" s="199"/>
      <c r="Y450" s="199"/>
      <c r="Z450" s="199"/>
      <c r="AA450" s="199"/>
      <c r="AB450" s="199"/>
      <c r="AC450" s="199"/>
      <c r="AD450" s="199"/>
      <c r="AE450" s="199"/>
      <c r="AF450" s="199"/>
      <c r="AG450" s="199"/>
      <c r="AH450" s="199"/>
      <c r="AI450" s="199"/>
      <c r="AJ450" s="199"/>
      <c r="AK450" s="199"/>
      <c r="AL450" s="199"/>
      <c r="AM450" s="199"/>
    </row>
    <row r="451" spans="1:39">
      <c r="A451" s="712"/>
      <c r="B451" s="199"/>
      <c r="C451" s="1164"/>
      <c r="D451" s="1735"/>
      <c r="E451" s="712"/>
      <c r="F451" s="327"/>
      <c r="G451" s="1736"/>
      <c r="H451" s="712"/>
      <c r="I451" s="712"/>
      <c r="J451" s="199"/>
      <c r="K451" s="712"/>
      <c r="L451" s="712"/>
      <c r="M451" s="711"/>
      <c r="N451" s="1737"/>
      <c r="O451" s="711"/>
      <c r="P451" s="1738"/>
      <c r="Q451" s="1739"/>
      <c r="R451" s="1740"/>
      <c r="S451" s="1056"/>
      <c r="T451" s="1741"/>
      <c r="U451" s="1056"/>
      <c r="V451" s="199"/>
      <c r="W451" s="199"/>
      <c r="X451" s="199"/>
      <c r="Y451" s="199"/>
      <c r="Z451" s="199"/>
      <c r="AA451" s="199"/>
      <c r="AB451" s="199"/>
      <c r="AC451" s="199"/>
      <c r="AD451" s="199"/>
      <c r="AE451" s="199"/>
      <c r="AF451" s="199"/>
      <c r="AG451" s="199"/>
      <c r="AH451" s="199"/>
      <c r="AI451" s="199"/>
      <c r="AJ451" s="199"/>
      <c r="AK451" s="199"/>
      <c r="AL451" s="199"/>
      <c r="AM451" s="199"/>
    </row>
    <row r="452" spans="1:39">
      <c r="A452" s="712"/>
      <c r="B452" s="199"/>
      <c r="C452" s="1164"/>
      <c r="D452" s="1735"/>
      <c r="E452" s="712"/>
      <c r="F452" s="327"/>
      <c r="G452" s="1736"/>
      <c r="H452" s="712"/>
      <c r="I452" s="712"/>
      <c r="J452" s="199"/>
      <c r="K452" s="712"/>
      <c r="L452" s="712"/>
      <c r="M452" s="711"/>
      <c r="N452" s="1737"/>
      <c r="O452" s="711"/>
      <c r="P452" s="1738"/>
      <c r="Q452" s="1739"/>
      <c r="R452" s="1740"/>
      <c r="S452" s="1056"/>
      <c r="T452" s="1741"/>
      <c r="U452" s="1056"/>
      <c r="V452" s="199"/>
      <c r="W452" s="199"/>
      <c r="X452" s="199"/>
      <c r="Y452" s="199"/>
      <c r="Z452" s="199"/>
      <c r="AA452" s="199"/>
      <c r="AB452" s="199"/>
      <c r="AC452" s="199"/>
      <c r="AD452" s="199"/>
      <c r="AE452" s="199"/>
      <c r="AF452" s="199"/>
      <c r="AG452" s="199"/>
      <c r="AH452" s="199"/>
      <c r="AI452" s="199"/>
      <c r="AJ452" s="199"/>
      <c r="AK452" s="199"/>
      <c r="AL452" s="199"/>
      <c r="AM452" s="199"/>
    </row>
    <row r="453" spans="1:39">
      <c r="A453" s="712"/>
      <c r="B453" s="199"/>
      <c r="C453" s="1164"/>
      <c r="D453" s="1735"/>
      <c r="E453" s="712"/>
      <c r="F453" s="327"/>
      <c r="G453" s="1736"/>
      <c r="H453" s="712"/>
      <c r="I453" s="712"/>
      <c r="J453" s="199"/>
      <c r="K453" s="712"/>
      <c r="L453" s="712"/>
      <c r="M453" s="711"/>
      <c r="N453" s="1737"/>
      <c r="O453" s="711"/>
      <c r="P453" s="1738"/>
      <c r="Q453" s="1739"/>
      <c r="R453" s="1740"/>
      <c r="S453" s="1056"/>
      <c r="T453" s="1741"/>
      <c r="U453" s="1056"/>
      <c r="V453" s="199"/>
      <c r="W453" s="199"/>
      <c r="X453" s="199"/>
      <c r="Y453" s="199"/>
      <c r="Z453" s="199"/>
      <c r="AA453" s="199"/>
      <c r="AB453" s="199"/>
      <c r="AC453" s="199"/>
      <c r="AD453" s="199"/>
      <c r="AE453" s="199"/>
      <c r="AF453" s="199"/>
      <c r="AG453" s="199"/>
      <c r="AH453" s="199"/>
      <c r="AI453" s="199"/>
      <c r="AJ453" s="199"/>
      <c r="AK453" s="199"/>
      <c r="AL453" s="199"/>
      <c r="AM453" s="199"/>
    </row>
    <row r="454" spans="1:39">
      <c r="A454" s="712"/>
      <c r="B454" s="199"/>
      <c r="C454" s="1164"/>
      <c r="D454" s="1735"/>
      <c r="E454" s="712"/>
      <c r="F454" s="327"/>
      <c r="G454" s="1736"/>
      <c r="H454" s="712"/>
      <c r="I454" s="712"/>
      <c r="J454" s="199"/>
      <c r="K454" s="712"/>
      <c r="L454" s="712"/>
      <c r="M454" s="711"/>
      <c r="N454" s="1737"/>
      <c r="O454" s="711"/>
      <c r="P454" s="1738"/>
      <c r="Q454" s="1739"/>
      <c r="R454" s="1740"/>
      <c r="S454" s="1056"/>
      <c r="T454" s="1741"/>
      <c r="U454" s="1056"/>
      <c r="V454" s="199"/>
      <c r="W454" s="199"/>
      <c r="X454" s="199"/>
      <c r="Y454" s="199"/>
      <c r="Z454" s="199"/>
      <c r="AA454" s="199"/>
      <c r="AB454" s="199"/>
      <c r="AC454" s="199"/>
      <c r="AD454" s="199"/>
      <c r="AE454" s="199"/>
      <c r="AF454" s="199"/>
      <c r="AG454" s="199"/>
      <c r="AH454" s="199"/>
      <c r="AI454" s="199"/>
      <c r="AJ454" s="199"/>
      <c r="AK454" s="199"/>
      <c r="AL454" s="199"/>
      <c r="AM454" s="199"/>
    </row>
    <row r="455" spans="1:39">
      <c r="A455" s="712"/>
      <c r="B455" s="199"/>
      <c r="C455" s="1164"/>
      <c r="D455" s="1735"/>
      <c r="E455" s="712"/>
      <c r="F455" s="327"/>
      <c r="G455" s="1736"/>
      <c r="H455" s="712"/>
      <c r="I455" s="712"/>
      <c r="J455" s="199"/>
      <c r="K455" s="712"/>
      <c r="L455" s="712"/>
      <c r="M455" s="711"/>
      <c r="N455" s="1737"/>
      <c r="O455" s="711"/>
      <c r="P455" s="1738"/>
      <c r="Q455" s="1739"/>
      <c r="R455" s="1740"/>
      <c r="S455" s="1056"/>
      <c r="T455" s="1741"/>
      <c r="U455" s="1056"/>
      <c r="V455" s="199"/>
      <c r="W455" s="199"/>
      <c r="X455" s="199"/>
      <c r="Y455" s="199"/>
      <c r="Z455" s="199"/>
      <c r="AA455" s="199"/>
      <c r="AB455" s="199"/>
      <c r="AC455" s="199"/>
      <c r="AD455" s="199"/>
      <c r="AE455" s="199"/>
      <c r="AF455" s="199"/>
      <c r="AG455" s="199"/>
      <c r="AH455" s="199"/>
      <c r="AI455" s="199"/>
      <c r="AJ455" s="199"/>
      <c r="AK455" s="199"/>
      <c r="AL455" s="199"/>
      <c r="AM455" s="199"/>
    </row>
    <row r="456" spans="1:39">
      <c r="A456" s="712"/>
      <c r="B456" s="199"/>
      <c r="C456" s="1164"/>
      <c r="D456" s="1735"/>
      <c r="E456" s="712"/>
      <c r="F456" s="327"/>
      <c r="G456" s="1736"/>
      <c r="H456" s="712"/>
      <c r="I456" s="712"/>
      <c r="J456" s="199"/>
      <c r="K456" s="712"/>
      <c r="L456" s="712"/>
      <c r="M456" s="711"/>
      <c r="N456" s="1737"/>
      <c r="O456" s="711"/>
      <c r="P456" s="1738"/>
      <c r="Q456" s="1739"/>
      <c r="R456" s="1740"/>
      <c r="S456" s="1056"/>
      <c r="T456" s="1741"/>
      <c r="U456" s="1056"/>
      <c r="V456" s="199"/>
      <c r="W456" s="199"/>
      <c r="X456" s="199"/>
      <c r="Y456" s="199"/>
      <c r="Z456" s="199"/>
      <c r="AA456" s="199"/>
      <c r="AB456" s="199"/>
      <c r="AC456" s="199"/>
      <c r="AD456" s="199"/>
      <c r="AE456" s="199"/>
      <c r="AF456" s="199"/>
      <c r="AG456" s="199"/>
      <c r="AH456" s="199"/>
      <c r="AI456" s="199"/>
      <c r="AJ456" s="199"/>
      <c r="AK456" s="199"/>
      <c r="AL456" s="199"/>
      <c r="AM456" s="199"/>
    </row>
    <row r="457" spans="1:39">
      <c r="A457" s="712"/>
      <c r="B457" s="199"/>
      <c r="C457" s="1164"/>
      <c r="D457" s="1735"/>
      <c r="E457" s="712"/>
      <c r="F457" s="327"/>
      <c r="G457" s="1736"/>
      <c r="H457" s="712"/>
      <c r="I457" s="712"/>
      <c r="J457" s="199"/>
      <c r="K457" s="712"/>
      <c r="L457" s="712"/>
      <c r="M457" s="711"/>
      <c r="N457" s="1737"/>
      <c r="O457" s="711"/>
      <c r="P457" s="1738"/>
      <c r="Q457" s="1739"/>
      <c r="R457" s="1740"/>
      <c r="S457" s="1056"/>
      <c r="T457" s="1741"/>
      <c r="U457" s="1056"/>
      <c r="V457" s="199"/>
      <c r="W457" s="199"/>
      <c r="X457" s="199"/>
      <c r="Y457" s="199"/>
      <c r="Z457" s="199"/>
      <c r="AA457" s="199"/>
      <c r="AB457" s="199"/>
      <c r="AC457" s="199"/>
      <c r="AD457" s="199"/>
      <c r="AE457" s="199"/>
      <c r="AF457" s="199"/>
      <c r="AG457" s="199"/>
      <c r="AH457" s="199"/>
      <c r="AI457" s="199"/>
      <c r="AJ457" s="199"/>
      <c r="AK457" s="199"/>
      <c r="AL457" s="199"/>
      <c r="AM457" s="199"/>
    </row>
    <row r="458" spans="1:39">
      <c r="A458" s="712"/>
      <c r="B458" s="199"/>
      <c r="C458" s="1164"/>
      <c r="D458" s="1735"/>
      <c r="E458" s="712"/>
      <c r="F458" s="327"/>
      <c r="G458" s="1736"/>
      <c r="H458" s="712"/>
      <c r="I458" s="712"/>
      <c r="J458" s="199"/>
      <c r="K458" s="712"/>
      <c r="L458" s="712"/>
      <c r="M458" s="711"/>
      <c r="N458" s="1737"/>
      <c r="O458" s="711"/>
      <c r="P458" s="1738"/>
      <c r="Q458" s="1739"/>
      <c r="R458" s="1740"/>
      <c r="S458" s="1056"/>
      <c r="T458" s="1741"/>
      <c r="U458" s="1056"/>
      <c r="V458" s="199"/>
      <c r="W458" s="199"/>
      <c r="X458" s="199"/>
      <c r="Y458" s="199"/>
      <c r="Z458" s="199"/>
      <c r="AA458" s="199"/>
      <c r="AB458" s="199"/>
      <c r="AC458" s="199"/>
      <c r="AD458" s="199"/>
      <c r="AE458" s="199"/>
      <c r="AF458" s="199"/>
      <c r="AG458" s="199"/>
      <c r="AH458" s="199"/>
      <c r="AI458" s="199"/>
      <c r="AJ458" s="199"/>
      <c r="AK458" s="199"/>
      <c r="AL458" s="199"/>
      <c r="AM458" s="199"/>
    </row>
    <row r="459" spans="1:39">
      <c r="A459" s="712"/>
      <c r="B459" s="199"/>
      <c r="C459" s="1164"/>
      <c r="D459" s="1735"/>
      <c r="E459" s="712"/>
      <c r="F459" s="327"/>
      <c r="G459" s="1736"/>
      <c r="H459" s="712"/>
      <c r="I459" s="712"/>
      <c r="J459" s="199"/>
      <c r="K459" s="712"/>
      <c r="L459" s="712"/>
      <c r="M459" s="711"/>
      <c r="N459" s="1737"/>
      <c r="O459" s="711"/>
      <c r="P459" s="1738"/>
      <c r="Q459" s="1739"/>
      <c r="R459" s="1740"/>
      <c r="S459" s="1056"/>
      <c r="T459" s="1741"/>
      <c r="U459" s="1056"/>
      <c r="V459" s="199"/>
      <c r="W459" s="199"/>
      <c r="X459" s="199"/>
      <c r="Y459" s="199"/>
      <c r="Z459" s="199"/>
      <c r="AA459" s="199"/>
      <c r="AB459" s="199"/>
      <c r="AC459" s="199"/>
      <c r="AD459" s="199"/>
      <c r="AE459" s="199"/>
      <c r="AF459" s="199"/>
      <c r="AG459" s="199"/>
      <c r="AH459" s="199"/>
      <c r="AI459" s="199"/>
      <c r="AJ459" s="199"/>
      <c r="AK459" s="199"/>
      <c r="AL459" s="199"/>
      <c r="AM459" s="199"/>
    </row>
    <row r="460" spans="1:39">
      <c r="A460" s="712"/>
      <c r="B460" s="199"/>
      <c r="C460" s="1164"/>
      <c r="D460" s="1735"/>
      <c r="E460" s="712"/>
      <c r="F460" s="327"/>
      <c r="G460" s="1736"/>
      <c r="H460" s="712"/>
      <c r="I460" s="712"/>
      <c r="J460" s="199"/>
      <c r="K460" s="712"/>
      <c r="L460" s="712"/>
      <c r="M460" s="711"/>
      <c r="N460" s="1737"/>
      <c r="O460" s="711"/>
      <c r="P460" s="1738"/>
      <c r="Q460" s="1739"/>
      <c r="R460" s="1740"/>
      <c r="S460" s="1056"/>
      <c r="T460" s="1741"/>
      <c r="U460" s="1056"/>
      <c r="V460" s="199"/>
      <c r="W460" s="199"/>
      <c r="X460" s="199"/>
      <c r="Y460" s="199"/>
      <c r="Z460" s="199"/>
      <c r="AA460" s="199"/>
      <c r="AB460" s="199"/>
      <c r="AC460" s="199"/>
      <c r="AD460" s="199"/>
      <c r="AE460" s="199"/>
      <c r="AF460" s="199"/>
      <c r="AG460" s="199"/>
      <c r="AH460" s="199"/>
      <c r="AI460" s="199"/>
      <c r="AJ460" s="199"/>
      <c r="AK460" s="199"/>
      <c r="AL460" s="199"/>
      <c r="AM460" s="199"/>
    </row>
    <row r="461" spans="1:39">
      <c r="A461" s="712"/>
      <c r="B461" s="199"/>
      <c r="C461" s="1164"/>
      <c r="D461" s="1735"/>
      <c r="E461" s="712"/>
      <c r="F461" s="327"/>
      <c r="G461" s="1736"/>
      <c r="H461" s="712"/>
      <c r="I461" s="712"/>
      <c r="J461" s="199"/>
      <c r="K461" s="712"/>
      <c r="L461" s="712"/>
      <c r="M461" s="711"/>
      <c r="N461" s="1737"/>
      <c r="O461" s="711"/>
      <c r="P461" s="1738"/>
      <c r="Q461" s="1739"/>
      <c r="R461" s="1740"/>
      <c r="S461" s="1056"/>
      <c r="T461" s="1741"/>
      <c r="U461" s="1056"/>
      <c r="V461" s="199"/>
      <c r="W461" s="199"/>
      <c r="X461" s="199"/>
      <c r="Y461" s="199"/>
      <c r="Z461" s="199"/>
      <c r="AA461" s="199"/>
      <c r="AB461" s="199"/>
      <c r="AC461" s="199"/>
      <c r="AD461" s="199"/>
      <c r="AE461" s="199"/>
      <c r="AF461" s="199"/>
      <c r="AG461" s="199"/>
      <c r="AH461" s="199"/>
      <c r="AI461" s="199"/>
      <c r="AJ461" s="199"/>
      <c r="AK461" s="199"/>
      <c r="AL461" s="199"/>
      <c r="AM461" s="199"/>
    </row>
    <row r="462" spans="1:39">
      <c r="A462" s="712"/>
      <c r="B462" s="199"/>
      <c r="C462" s="1164"/>
      <c r="D462" s="1735"/>
      <c r="E462" s="712"/>
      <c r="F462" s="327"/>
      <c r="G462" s="1736"/>
      <c r="H462" s="712"/>
      <c r="I462" s="712"/>
      <c r="J462" s="199"/>
      <c r="K462" s="712"/>
      <c r="L462" s="712"/>
      <c r="M462" s="711"/>
      <c r="N462" s="1737"/>
      <c r="O462" s="711"/>
      <c r="P462" s="1738"/>
      <c r="Q462" s="1739"/>
      <c r="R462" s="1740"/>
      <c r="S462" s="1056"/>
      <c r="T462" s="1741"/>
      <c r="U462" s="1056"/>
      <c r="V462" s="199"/>
      <c r="W462" s="199"/>
      <c r="X462" s="199"/>
      <c r="Y462" s="199"/>
      <c r="Z462" s="199"/>
      <c r="AA462" s="199"/>
      <c r="AB462" s="199"/>
      <c r="AC462" s="199"/>
      <c r="AD462" s="199"/>
      <c r="AE462" s="199"/>
      <c r="AF462" s="199"/>
      <c r="AG462" s="199"/>
      <c r="AH462" s="199"/>
      <c r="AI462" s="199"/>
      <c r="AJ462" s="199"/>
      <c r="AK462" s="199"/>
      <c r="AL462" s="199"/>
      <c r="AM462" s="199"/>
    </row>
    <row r="463" spans="1:39">
      <c r="A463" s="712"/>
      <c r="B463" s="199"/>
      <c r="C463" s="1164"/>
      <c r="D463" s="1735"/>
      <c r="E463" s="712"/>
      <c r="F463" s="327"/>
      <c r="G463" s="1736"/>
      <c r="H463" s="712"/>
      <c r="I463" s="712"/>
      <c r="J463" s="199"/>
      <c r="K463" s="712"/>
      <c r="L463" s="712"/>
      <c r="M463" s="711"/>
      <c r="N463" s="1737"/>
      <c r="O463" s="711"/>
      <c r="P463" s="1738"/>
      <c r="Q463" s="1739"/>
      <c r="R463" s="1740"/>
      <c r="S463" s="1056"/>
      <c r="T463" s="1741"/>
      <c r="U463" s="1056"/>
      <c r="V463" s="199"/>
      <c r="W463" s="199"/>
      <c r="X463" s="199"/>
      <c r="Y463" s="199"/>
      <c r="Z463" s="199"/>
      <c r="AA463" s="199"/>
      <c r="AB463" s="199"/>
      <c r="AC463" s="199"/>
      <c r="AD463" s="199"/>
      <c r="AE463" s="199"/>
      <c r="AF463" s="199"/>
      <c r="AG463" s="199"/>
      <c r="AH463" s="199"/>
      <c r="AI463" s="199"/>
      <c r="AJ463" s="199"/>
      <c r="AK463" s="199"/>
      <c r="AL463" s="199"/>
      <c r="AM463" s="199"/>
    </row>
    <row r="464" spans="1:39">
      <c r="A464" s="712"/>
      <c r="B464" s="199"/>
      <c r="C464" s="1164"/>
      <c r="D464" s="1735"/>
      <c r="E464" s="712"/>
      <c r="F464" s="327"/>
      <c r="G464" s="1736"/>
      <c r="H464" s="712"/>
      <c r="I464" s="712"/>
      <c r="J464" s="199"/>
      <c r="K464" s="712"/>
      <c r="L464" s="712"/>
      <c r="M464" s="711"/>
      <c r="N464" s="1737"/>
      <c r="O464" s="711"/>
      <c r="P464" s="1738"/>
      <c r="Q464" s="1739"/>
      <c r="R464" s="1740"/>
      <c r="S464" s="1056"/>
      <c r="T464" s="1741"/>
      <c r="U464" s="1056"/>
      <c r="V464" s="199"/>
      <c r="W464" s="199"/>
      <c r="X464" s="199"/>
      <c r="Y464" s="199"/>
      <c r="Z464" s="199"/>
      <c r="AA464" s="199"/>
      <c r="AB464" s="199"/>
      <c r="AC464" s="199"/>
      <c r="AD464" s="199"/>
      <c r="AE464" s="199"/>
      <c r="AF464" s="199"/>
      <c r="AG464" s="199"/>
      <c r="AH464" s="199"/>
      <c r="AI464" s="199"/>
      <c r="AJ464" s="199"/>
      <c r="AK464" s="199"/>
      <c r="AL464" s="199"/>
      <c r="AM464" s="199"/>
    </row>
    <row r="465" spans="1:39">
      <c r="A465" s="712"/>
      <c r="B465" s="199"/>
      <c r="C465" s="1164"/>
      <c r="D465" s="1735"/>
      <c r="E465" s="712"/>
      <c r="F465" s="327"/>
      <c r="G465" s="1736"/>
      <c r="H465" s="712"/>
      <c r="I465" s="712"/>
      <c r="J465" s="199"/>
      <c r="K465" s="712"/>
      <c r="L465" s="712"/>
      <c r="M465" s="711"/>
      <c r="N465" s="1737"/>
      <c r="O465" s="711"/>
      <c r="P465" s="1738"/>
      <c r="Q465" s="1739"/>
      <c r="R465" s="1740"/>
      <c r="S465" s="1056"/>
      <c r="T465" s="1741"/>
      <c r="U465" s="1056"/>
      <c r="V465" s="199"/>
      <c r="W465" s="199"/>
      <c r="X465" s="199"/>
      <c r="Y465" s="199"/>
      <c r="Z465" s="199"/>
      <c r="AA465" s="199"/>
      <c r="AB465" s="199"/>
      <c r="AC465" s="199"/>
      <c r="AD465" s="199"/>
      <c r="AE465" s="199"/>
      <c r="AF465" s="199"/>
      <c r="AG465" s="199"/>
      <c r="AH465" s="199"/>
      <c r="AI465" s="199"/>
      <c r="AJ465" s="199"/>
      <c r="AK465" s="199"/>
      <c r="AL465" s="199"/>
      <c r="AM465" s="199"/>
    </row>
    <row r="466" spans="1:39">
      <c r="A466" s="712"/>
      <c r="B466" s="199"/>
      <c r="C466" s="1164"/>
      <c r="D466" s="1735"/>
      <c r="E466" s="712"/>
      <c r="F466" s="327"/>
      <c r="G466" s="1736"/>
      <c r="H466" s="712"/>
      <c r="I466" s="712"/>
      <c r="J466" s="199"/>
      <c r="K466" s="712"/>
      <c r="L466" s="712"/>
      <c r="M466" s="711"/>
      <c r="N466" s="1737"/>
      <c r="O466" s="711"/>
      <c r="P466" s="1738"/>
      <c r="Q466" s="1739"/>
      <c r="R466" s="1740"/>
      <c r="S466" s="1056"/>
      <c r="T466" s="1741"/>
      <c r="U466" s="1056"/>
      <c r="V466" s="199"/>
      <c r="W466" s="199"/>
      <c r="X466" s="199"/>
      <c r="Y466" s="199"/>
      <c r="Z466" s="199"/>
      <c r="AA466" s="199"/>
      <c r="AB466" s="199"/>
      <c r="AC466" s="199"/>
      <c r="AD466" s="199"/>
      <c r="AE466" s="199"/>
      <c r="AF466" s="199"/>
      <c r="AG466" s="199"/>
      <c r="AH466" s="199"/>
      <c r="AI466" s="199"/>
      <c r="AJ466" s="199"/>
      <c r="AK466" s="199"/>
      <c r="AL466" s="199"/>
      <c r="AM466" s="199"/>
    </row>
    <row r="467" spans="1:39">
      <c r="A467" s="712"/>
      <c r="B467" s="199"/>
      <c r="C467" s="1164"/>
      <c r="D467" s="1735"/>
      <c r="E467" s="712"/>
      <c r="F467" s="327"/>
      <c r="G467" s="1736"/>
      <c r="H467" s="712"/>
      <c r="I467" s="712"/>
      <c r="J467" s="199"/>
      <c r="K467" s="712"/>
      <c r="L467" s="712"/>
      <c r="M467" s="711"/>
      <c r="N467" s="1737"/>
      <c r="O467" s="711"/>
      <c r="P467" s="1738"/>
      <c r="Q467" s="1739"/>
      <c r="R467" s="1740"/>
      <c r="S467" s="1056"/>
      <c r="T467" s="1741"/>
      <c r="U467" s="1056"/>
      <c r="V467" s="199"/>
      <c r="W467" s="199"/>
      <c r="X467" s="199"/>
      <c r="Y467" s="199"/>
      <c r="Z467" s="199"/>
      <c r="AA467" s="199"/>
      <c r="AB467" s="199"/>
      <c r="AC467" s="199"/>
      <c r="AD467" s="199"/>
      <c r="AE467" s="199"/>
      <c r="AF467" s="199"/>
      <c r="AG467" s="199"/>
      <c r="AH467" s="199"/>
      <c r="AI467" s="199"/>
      <c r="AJ467" s="199"/>
      <c r="AK467" s="199"/>
      <c r="AL467" s="199"/>
      <c r="AM467" s="199"/>
    </row>
    <row r="468" spans="1:39">
      <c r="A468" s="712"/>
      <c r="B468" s="199"/>
      <c r="C468" s="1164"/>
      <c r="D468" s="1735"/>
      <c r="E468" s="712"/>
      <c r="F468" s="327"/>
      <c r="G468" s="1736"/>
      <c r="H468" s="712"/>
      <c r="I468" s="712"/>
      <c r="J468" s="199"/>
      <c r="K468" s="712"/>
      <c r="L468" s="712"/>
      <c r="M468" s="711"/>
      <c r="N468" s="1737"/>
      <c r="O468" s="711"/>
      <c r="P468" s="1738"/>
      <c r="Q468" s="1739"/>
      <c r="R468" s="1740"/>
      <c r="S468" s="1056"/>
      <c r="T468" s="1741"/>
      <c r="U468" s="1056"/>
      <c r="V468" s="199"/>
      <c r="W468" s="199"/>
      <c r="X468" s="199"/>
      <c r="Y468" s="199"/>
      <c r="Z468" s="199"/>
      <c r="AA468" s="199"/>
      <c r="AB468" s="199"/>
      <c r="AC468" s="199"/>
      <c r="AD468" s="199"/>
      <c r="AE468" s="199"/>
      <c r="AF468" s="199"/>
      <c r="AG468" s="199"/>
      <c r="AH468" s="199"/>
      <c r="AI468" s="199"/>
      <c r="AJ468" s="199"/>
      <c r="AK468" s="199"/>
      <c r="AL468" s="199"/>
      <c r="AM468" s="199"/>
    </row>
    <row r="469" spans="1:39">
      <c r="A469" s="712"/>
      <c r="B469" s="199"/>
      <c r="C469" s="1164"/>
      <c r="D469" s="1735"/>
      <c r="E469" s="712"/>
      <c r="F469" s="327"/>
      <c r="G469" s="1736"/>
      <c r="H469" s="712"/>
      <c r="I469" s="712"/>
      <c r="J469" s="199"/>
      <c r="K469" s="712"/>
      <c r="L469" s="712"/>
      <c r="M469" s="711"/>
      <c r="N469" s="1737"/>
      <c r="O469" s="711"/>
      <c r="P469" s="1738"/>
      <c r="Q469" s="1739"/>
      <c r="R469" s="1740"/>
      <c r="S469" s="1056"/>
      <c r="T469" s="1741"/>
      <c r="U469" s="1056"/>
      <c r="V469" s="199"/>
      <c r="W469" s="199"/>
      <c r="X469" s="199"/>
      <c r="Y469" s="199"/>
      <c r="Z469" s="199"/>
      <c r="AA469" s="199"/>
      <c r="AB469" s="199"/>
      <c r="AC469" s="199"/>
      <c r="AD469" s="199"/>
      <c r="AE469" s="199"/>
      <c r="AF469" s="199"/>
      <c r="AG469" s="199"/>
      <c r="AH469" s="199"/>
      <c r="AI469" s="199"/>
      <c r="AJ469" s="199"/>
      <c r="AK469" s="199"/>
      <c r="AL469" s="199"/>
      <c r="AM469" s="199"/>
    </row>
    <row r="470" spans="1:39">
      <c r="A470" s="712"/>
      <c r="B470" s="199"/>
      <c r="C470" s="1164"/>
      <c r="D470" s="1735"/>
      <c r="E470" s="712"/>
      <c r="F470" s="327"/>
      <c r="G470" s="1736"/>
      <c r="H470" s="712"/>
      <c r="I470" s="712"/>
      <c r="J470" s="199"/>
      <c r="K470" s="712"/>
      <c r="L470" s="712"/>
      <c r="M470" s="711"/>
      <c r="N470" s="1737"/>
      <c r="O470" s="711"/>
      <c r="P470" s="1738"/>
      <c r="Q470" s="1739"/>
      <c r="R470" s="1740"/>
      <c r="S470" s="1056"/>
      <c r="T470" s="1741"/>
      <c r="U470" s="1056"/>
      <c r="V470" s="199"/>
      <c r="W470" s="199"/>
      <c r="X470" s="199"/>
      <c r="Y470" s="199"/>
      <c r="Z470" s="199"/>
      <c r="AA470" s="199"/>
      <c r="AB470" s="199"/>
      <c r="AC470" s="199"/>
      <c r="AD470" s="199"/>
      <c r="AE470" s="199"/>
      <c r="AF470" s="199"/>
      <c r="AG470" s="199"/>
      <c r="AH470" s="199"/>
      <c r="AI470" s="199"/>
      <c r="AJ470" s="199"/>
      <c r="AK470" s="199"/>
      <c r="AL470" s="199"/>
      <c r="AM470" s="199"/>
    </row>
    <row r="471" spans="1:39">
      <c r="A471" s="712"/>
      <c r="B471" s="199"/>
      <c r="C471" s="1164"/>
      <c r="D471" s="1735"/>
      <c r="E471" s="712"/>
      <c r="F471" s="327"/>
      <c r="G471" s="1736"/>
      <c r="H471" s="712"/>
      <c r="I471" s="712"/>
      <c r="J471" s="199"/>
      <c r="K471" s="712"/>
      <c r="L471" s="712"/>
      <c r="M471" s="711"/>
      <c r="N471" s="1737"/>
      <c r="O471" s="711"/>
      <c r="P471" s="1738"/>
      <c r="Q471" s="1739"/>
      <c r="R471" s="1740"/>
      <c r="S471" s="1056"/>
      <c r="T471" s="1741"/>
      <c r="U471" s="1056"/>
      <c r="V471" s="199"/>
      <c r="W471" s="199"/>
      <c r="X471" s="199"/>
      <c r="Y471" s="199"/>
      <c r="Z471" s="199"/>
      <c r="AA471" s="199"/>
      <c r="AB471" s="199"/>
      <c r="AC471" s="199"/>
      <c r="AD471" s="199"/>
      <c r="AE471" s="199"/>
      <c r="AF471" s="199"/>
      <c r="AG471" s="199"/>
      <c r="AH471" s="199"/>
      <c r="AI471" s="199"/>
      <c r="AJ471" s="199"/>
      <c r="AK471" s="199"/>
      <c r="AL471" s="199"/>
      <c r="AM471" s="199"/>
    </row>
    <row r="472" spans="1:39">
      <c r="A472" s="712"/>
      <c r="B472" s="199"/>
      <c r="C472" s="1164"/>
      <c r="D472" s="1735"/>
      <c r="E472" s="712"/>
      <c r="F472" s="327"/>
      <c r="G472" s="1736"/>
      <c r="H472" s="712"/>
      <c r="I472" s="712"/>
      <c r="J472" s="199"/>
      <c r="K472" s="712"/>
      <c r="L472" s="712"/>
      <c r="M472" s="711"/>
      <c r="N472" s="1737"/>
      <c r="O472" s="711"/>
      <c r="P472" s="1738"/>
      <c r="Q472" s="1739"/>
      <c r="R472" s="1740"/>
      <c r="S472" s="1056"/>
      <c r="T472" s="1741"/>
      <c r="U472" s="1056"/>
      <c r="V472" s="199"/>
      <c r="W472" s="199"/>
      <c r="X472" s="199"/>
      <c r="Y472" s="199"/>
      <c r="Z472" s="199"/>
      <c r="AA472" s="199"/>
      <c r="AB472" s="199"/>
      <c r="AC472" s="199"/>
      <c r="AD472" s="199"/>
      <c r="AE472" s="199"/>
      <c r="AF472" s="199"/>
      <c r="AG472" s="199"/>
      <c r="AH472" s="199"/>
      <c r="AI472" s="199"/>
      <c r="AJ472" s="199"/>
      <c r="AK472" s="199"/>
      <c r="AL472" s="199"/>
      <c r="AM472" s="199"/>
    </row>
    <row r="473" spans="1:39">
      <c r="A473" s="712"/>
      <c r="B473" s="199"/>
      <c r="C473" s="1164"/>
      <c r="D473" s="1735"/>
      <c r="E473" s="712"/>
      <c r="F473" s="327"/>
      <c r="G473" s="1736"/>
      <c r="H473" s="712"/>
      <c r="I473" s="712"/>
      <c r="J473" s="199"/>
      <c r="K473" s="712"/>
      <c r="L473" s="712"/>
      <c r="M473" s="711"/>
      <c r="N473" s="1737"/>
      <c r="O473" s="711"/>
      <c r="P473" s="1738"/>
      <c r="Q473" s="1739"/>
      <c r="R473" s="1740"/>
      <c r="S473" s="1056"/>
      <c r="T473" s="1741"/>
      <c r="U473" s="1056"/>
      <c r="V473" s="199"/>
      <c r="W473" s="199"/>
      <c r="X473" s="199"/>
      <c r="Y473" s="199"/>
      <c r="Z473" s="199"/>
      <c r="AA473" s="199"/>
      <c r="AB473" s="199"/>
      <c r="AC473" s="199"/>
      <c r="AD473" s="199"/>
      <c r="AE473" s="199"/>
      <c r="AF473" s="199"/>
      <c r="AG473" s="199"/>
      <c r="AH473" s="199"/>
      <c r="AI473" s="199"/>
      <c r="AJ473" s="199"/>
      <c r="AK473" s="199"/>
      <c r="AL473" s="199"/>
      <c r="AM473" s="199"/>
    </row>
    <row r="474" spans="1:39">
      <c r="A474" s="712"/>
      <c r="B474" s="199"/>
      <c r="C474" s="1164"/>
      <c r="D474" s="1735"/>
      <c r="E474" s="712"/>
      <c r="F474" s="327"/>
      <c r="G474" s="1736"/>
      <c r="H474" s="712"/>
      <c r="I474" s="712"/>
      <c r="J474" s="199"/>
      <c r="K474" s="712"/>
      <c r="L474" s="712"/>
      <c r="M474" s="711"/>
      <c r="N474" s="1737"/>
      <c r="O474" s="711"/>
      <c r="P474" s="1738"/>
      <c r="Q474" s="1739"/>
      <c r="R474" s="1740"/>
      <c r="S474" s="1056"/>
      <c r="T474" s="1741"/>
      <c r="U474" s="1056"/>
      <c r="V474" s="199"/>
      <c r="W474" s="199"/>
      <c r="X474" s="199"/>
      <c r="Y474" s="199"/>
      <c r="Z474" s="199"/>
      <c r="AA474" s="199"/>
      <c r="AB474" s="199"/>
      <c r="AC474" s="199"/>
      <c r="AD474" s="199"/>
      <c r="AE474" s="199"/>
      <c r="AF474" s="199"/>
      <c r="AG474" s="199"/>
      <c r="AH474" s="199"/>
      <c r="AI474" s="199"/>
      <c r="AJ474" s="199"/>
      <c r="AK474" s="199"/>
      <c r="AL474" s="199"/>
      <c r="AM474" s="199"/>
    </row>
    <row r="475" spans="1:39">
      <c r="A475" s="712"/>
      <c r="B475" s="199"/>
      <c r="C475" s="1164"/>
      <c r="D475" s="1735"/>
      <c r="E475" s="712"/>
      <c r="F475" s="327"/>
      <c r="G475" s="1736"/>
      <c r="H475" s="712"/>
      <c r="I475" s="712"/>
      <c r="J475" s="199"/>
      <c r="K475" s="712"/>
      <c r="L475" s="712"/>
      <c r="M475" s="711"/>
      <c r="N475" s="1737"/>
      <c r="O475" s="711"/>
      <c r="P475" s="1738"/>
      <c r="Q475" s="1739"/>
      <c r="R475" s="1740"/>
      <c r="S475" s="1056"/>
      <c r="T475" s="1741"/>
      <c r="U475" s="1056"/>
      <c r="V475" s="199"/>
      <c r="W475" s="199"/>
      <c r="X475" s="199"/>
      <c r="Y475" s="199"/>
      <c r="Z475" s="199"/>
      <c r="AA475" s="199"/>
      <c r="AB475" s="199"/>
      <c r="AC475" s="199"/>
      <c r="AD475" s="199"/>
      <c r="AE475" s="199"/>
      <c r="AF475" s="199"/>
      <c r="AG475" s="199"/>
      <c r="AH475" s="199"/>
      <c r="AI475" s="199"/>
      <c r="AJ475" s="199"/>
      <c r="AK475" s="199"/>
      <c r="AL475" s="199"/>
      <c r="AM475" s="199"/>
    </row>
    <row r="476" spans="1:39">
      <c r="A476" s="712"/>
      <c r="B476" s="199"/>
      <c r="C476" s="1164"/>
      <c r="D476" s="1735"/>
      <c r="E476" s="712"/>
      <c r="F476" s="327"/>
      <c r="G476" s="1736"/>
      <c r="H476" s="712"/>
      <c r="I476" s="712"/>
      <c r="J476" s="199"/>
      <c r="K476" s="712"/>
      <c r="L476" s="712"/>
      <c r="M476" s="711"/>
      <c r="N476" s="1737"/>
      <c r="O476" s="711"/>
      <c r="P476" s="1738"/>
      <c r="Q476" s="1739"/>
      <c r="R476" s="1740"/>
      <c r="S476" s="1056"/>
      <c r="T476" s="1741"/>
      <c r="U476" s="1056"/>
      <c r="V476" s="199"/>
      <c r="W476" s="199"/>
      <c r="X476" s="199"/>
      <c r="Y476" s="199"/>
      <c r="Z476" s="199"/>
      <c r="AA476" s="199"/>
      <c r="AB476" s="199"/>
      <c r="AC476" s="199"/>
      <c r="AD476" s="199"/>
      <c r="AE476" s="199"/>
      <c r="AF476" s="199"/>
      <c r="AG476" s="199"/>
      <c r="AH476" s="199"/>
      <c r="AI476" s="199"/>
      <c r="AJ476" s="199"/>
      <c r="AK476" s="199"/>
      <c r="AL476" s="199"/>
      <c r="AM476" s="199"/>
    </row>
    <row r="477" spans="1:39">
      <c r="A477" s="712"/>
      <c r="B477" s="199"/>
      <c r="C477" s="1164"/>
      <c r="D477" s="1735"/>
      <c r="E477" s="712"/>
      <c r="F477" s="327"/>
      <c r="G477" s="1736"/>
      <c r="H477" s="712"/>
      <c r="I477" s="712"/>
      <c r="J477" s="199"/>
      <c r="K477" s="712"/>
      <c r="L477" s="712"/>
      <c r="M477" s="711"/>
      <c r="N477" s="1737"/>
      <c r="O477" s="711"/>
      <c r="P477" s="1738"/>
      <c r="Q477" s="1739"/>
      <c r="R477" s="1740"/>
      <c r="S477" s="1056"/>
      <c r="T477" s="1741"/>
      <c r="U477" s="1056"/>
      <c r="V477" s="199"/>
      <c r="W477" s="199"/>
      <c r="X477" s="199"/>
      <c r="Y477" s="199"/>
      <c r="Z477" s="199"/>
      <c r="AA477" s="199"/>
      <c r="AB477" s="199"/>
      <c r="AC477" s="199"/>
      <c r="AD477" s="199"/>
      <c r="AE477" s="199"/>
      <c r="AF477" s="199"/>
      <c r="AG477" s="199"/>
      <c r="AH477" s="199"/>
      <c r="AI477" s="199"/>
      <c r="AJ477" s="199"/>
      <c r="AK477" s="199"/>
      <c r="AL477" s="199"/>
      <c r="AM477" s="199"/>
    </row>
    <row r="478" spans="1:39">
      <c r="A478" s="712"/>
      <c r="B478" s="199"/>
      <c r="C478" s="1164"/>
      <c r="D478" s="1735"/>
      <c r="E478" s="712"/>
      <c r="F478" s="327"/>
      <c r="G478" s="1736"/>
      <c r="H478" s="712"/>
      <c r="I478" s="712"/>
      <c r="J478" s="199"/>
      <c r="K478" s="712"/>
      <c r="L478" s="712"/>
      <c r="M478" s="711"/>
      <c r="N478" s="1737"/>
      <c r="O478" s="711"/>
      <c r="P478" s="1738"/>
      <c r="Q478" s="1739"/>
      <c r="R478" s="1740"/>
      <c r="S478" s="1056"/>
      <c r="T478" s="1741"/>
      <c r="U478" s="1056"/>
      <c r="V478" s="199"/>
      <c r="W478" s="199"/>
      <c r="X478" s="199"/>
      <c r="Y478" s="199"/>
      <c r="Z478" s="199"/>
      <c r="AA478" s="199"/>
      <c r="AB478" s="199"/>
      <c r="AC478" s="199"/>
      <c r="AD478" s="199"/>
      <c r="AE478" s="199"/>
      <c r="AF478" s="199"/>
      <c r="AG478" s="199"/>
      <c r="AH478" s="199"/>
      <c r="AI478" s="199"/>
      <c r="AJ478" s="199"/>
      <c r="AK478" s="199"/>
      <c r="AL478" s="199"/>
      <c r="AM478" s="199"/>
    </row>
    <row r="479" spans="1:39">
      <c r="A479" s="712"/>
      <c r="B479" s="199"/>
      <c r="C479" s="1164"/>
      <c r="D479" s="1735"/>
      <c r="E479" s="712"/>
      <c r="F479" s="327"/>
      <c r="G479" s="1736"/>
      <c r="H479" s="712"/>
      <c r="I479" s="712"/>
      <c r="J479" s="199"/>
      <c r="K479" s="712"/>
      <c r="L479" s="712"/>
      <c r="M479" s="711"/>
      <c r="N479" s="1737"/>
      <c r="O479" s="711"/>
      <c r="P479" s="1738"/>
      <c r="Q479" s="1739"/>
      <c r="R479" s="1740"/>
      <c r="S479" s="1056"/>
      <c r="T479" s="1741"/>
      <c r="U479" s="1056"/>
      <c r="V479" s="199"/>
      <c r="W479" s="199"/>
      <c r="X479" s="199"/>
      <c r="Y479" s="199"/>
      <c r="Z479" s="199"/>
      <c r="AA479" s="199"/>
      <c r="AB479" s="199"/>
      <c r="AC479" s="199"/>
      <c r="AD479" s="199"/>
      <c r="AE479" s="199"/>
      <c r="AF479" s="199"/>
      <c r="AG479" s="199"/>
      <c r="AH479" s="199"/>
      <c r="AI479" s="199"/>
      <c r="AJ479" s="199"/>
      <c r="AK479" s="199"/>
      <c r="AL479" s="199"/>
      <c r="AM479" s="199"/>
    </row>
    <row r="480" spans="1:39">
      <c r="A480" s="712"/>
      <c r="B480" s="199"/>
      <c r="C480" s="1164"/>
      <c r="D480" s="1735"/>
      <c r="E480" s="712"/>
      <c r="F480" s="327"/>
      <c r="G480" s="1736"/>
      <c r="H480" s="712"/>
      <c r="I480" s="712"/>
      <c r="J480" s="199"/>
      <c r="K480" s="712"/>
      <c r="L480" s="712"/>
      <c r="M480" s="711"/>
      <c r="N480" s="1737"/>
      <c r="O480" s="711"/>
      <c r="P480" s="1738"/>
      <c r="Q480" s="1739"/>
      <c r="R480" s="1740"/>
      <c r="S480" s="1056"/>
      <c r="T480" s="1741"/>
      <c r="U480" s="1056"/>
      <c r="V480" s="199"/>
      <c r="W480" s="199"/>
      <c r="X480" s="199"/>
      <c r="Y480" s="199"/>
      <c r="Z480" s="199"/>
      <c r="AA480" s="199"/>
      <c r="AB480" s="199"/>
      <c r="AC480" s="199"/>
      <c r="AD480" s="199"/>
      <c r="AE480" s="199"/>
      <c r="AF480" s="199"/>
      <c r="AG480" s="199"/>
      <c r="AH480" s="199"/>
      <c r="AI480" s="199"/>
      <c r="AJ480" s="199"/>
      <c r="AK480" s="199"/>
      <c r="AL480" s="199"/>
      <c r="AM480" s="199"/>
    </row>
    <row r="481" spans="1:39">
      <c r="A481" s="712"/>
      <c r="B481" s="199"/>
      <c r="C481" s="1164"/>
      <c r="D481" s="1735"/>
      <c r="E481" s="712"/>
      <c r="F481" s="327"/>
      <c r="G481" s="1736"/>
      <c r="H481" s="712"/>
      <c r="I481" s="712"/>
      <c r="J481" s="199"/>
      <c r="K481" s="712"/>
      <c r="L481" s="712"/>
      <c r="M481" s="711"/>
      <c r="N481" s="1737"/>
      <c r="O481" s="711"/>
      <c r="P481" s="1738"/>
      <c r="Q481" s="1739"/>
      <c r="R481" s="1740"/>
      <c r="S481" s="1056"/>
      <c r="T481" s="1741"/>
      <c r="U481" s="1056"/>
      <c r="V481" s="199"/>
      <c r="W481" s="199"/>
      <c r="X481" s="199"/>
      <c r="Y481" s="199"/>
      <c r="Z481" s="199"/>
      <c r="AA481" s="199"/>
      <c r="AB481" s="199"/>
      <c r="AC481" s="199"/>
      <c r="AD481" s="199"/>
      <c r="AE481" s="199"/>
      <c r="AF481" s="199"/>
      <c r="AG481" s="199"/>
      <c r="AH481" s="199"/>
      <c r="AI481" s="199"/>
      <c r="AJ481" s="199"/>
      <c r="AK481" s="199"/>
      <c r="AL481" s="199"/>
      <c r="AM481" s="199"/>
    </row>
    <row r="482" spans="1:39">
      <c r="A482" s="712"/>
      <c r="B482" s="199"/>
      <c r="C482" s="1164"/>
      <c r="D482" s="1735"/>
      <c r="E482" s="712"/>
      <c r="F482" s="327"/>
      <c r="G482" s="1736"/>
      <c r="H482" s="712"/>
      <c r="I482" s="712"/>
      <c r="J482" s="199"/>
      <c r="K482" s="712"/>
      <c r="L482" s="712"/>
      <c r="M482" s="711"/>
      <c r="N482" s="1737"/>
      <c r="O482" s="711"/>
      <c r="P482" s="1738"/>
      <c r="Q482" s="1739"/>
      <c r="R482" s="1740"/>
      <c r="S482" s="1056"/>
      <c r="T482" s="1741"/>
      <c r="U482" s="1056"/>
      <c r="V482" s="199"/>
      <c r="W482" s="199"/>
      <c r="X482" s="199"/>
      <c r="Y482" s="199"/>
      <c r="Z482" s="199"/>
      <c r="AA482" s="199"/>
      <c r="AB482" s="199"/>
      <c r="AC482" s="199"/>
      <c r="AD482" s="199"/>
      <c r="AE482" s="199"/>
      <c r="AF482" s="199"/>
      <c r="AG482" s="199"/>
      <c r="AH482" s="199"/>
      <c r="AI482" s="199"/>
      <c r="AJ482" s="199"/>
      <c r="AK482" s="199"/>
      <c r="AL482" s="199"/>
      <c r="AM482" s="199"/>
    </row>
    <row r="483" spans="1:39">
      <c r="A483" s="712"/>
      <c r="B483" s="199"/>
      <c r="C483" s="1164"/>
      <c r="D483" s="1735"/>
      <c r="E483" s="712"/>
      <c r="F483" s="327"/>
      <c r="G483" s="1736"/>
      <c r="H483" s="712"/>
      <c r="I483" s="712"/>
      <c r="J483" s="199"/>
      <c r="K483" s="712"/>
      <c r="L483" s="712"/>
      <c r="M483" s="711"/>
      <c r="N483" s="1737"/>
      <c r="O483" s="711"/>
      <c r="P483" s="1738"/>
      <c r="Q483" s="1739"/>
      <c r="R483" s="1740"/>
      <c r="S483" s="1056"/>
      <c r="T483" s="1741"/>
      <c r="U483" s="1056"/>
      <c r="V483" s="199"/>
      <c r="W483" s="199"/>
      <c r="X483" s="199"/>
      <c r="Y483" s="199"/>
      <c r="Z483" s="199"/>
      <c r="AA483" s="199"/>
      <c r="AB483" s="199"/>
      <c r="AC483" s="199"/>
      <c r="AD483" s="199"/>
      <c r="AE483" s="199"/>
      <c r="AF483" s="199"/>
      <c r="AG483" s="199"/>
      <c r="AH483" s="199"/>
      <c r="AI483" s="199"/>
      <c r="AJ483" s="199"/>
      <c r="AK483" s="199"/>
      <c r="AL483" s="199"/>
      <c r="AM483" s="199"/>
    </row>
    <row r="484" spans="1:39">
      <c r="A484" s="712"/>
      <c r="B484" s="199"/>
      <c r="C484" s="1164"/>
      <c r="D484" s="1735"/>
      <c r="E484" s="712"/>
      <c r="F484" s="327"/>
      <c r="G484" s="1736"/>
      <c r="H484" s="712"/>
      <c r="I484" s="712"/>
      <c r="J484" s="199"/>
      <c r="K484" s="712"/>
      <c r="L484" s="712"/>
      <c r="M484" s="711"/>
      <c r="N484" s="1737"/>
      <c r="O484" s="711"/>
      <c r="P484" s="1738"/>
      <c r="Q484" s="1739"/>
      <c r="R484" s="1740"/>
      <c r="S484" s="1056"/>
      <c r="T484" s="1741"/>
      <c r="U484" s="1056"/>
      <c r="V484" s="199"/>
      <c r="W484" s="199"/>
      <c r="X484" s="199"/>
      <c r="Y484" s="199"/>
      <c r="Z484" s="199"/>
      <c r="AA484" s="199"/>
      <c r="AB484" s="199"/>
      <c r="AC484" s="199"/>
      <c r="AD484" s="199"/>
      <c r="AE484" s="199"/>
      <c r="AF484" s="199"/>
      <c r="AG484" s="199"/>
      <c r="AH484" s="199"/>
      <c r="AI484" s="199"/>
      <c r="AJ484" s="199"/>
      <c r="AK484" s="199"/>
      <c r="AL484" s="199"/>
      <c r="AM484" s="199"/>
    </row>
    <row r="485" spans="1:39">
      <c r="A485" s="712"/>
      <c r="B485" s="199"/>
      <c r="C485" s="1164"/>
      <c r="D485" s="1735"/>
      <c r="E485" s="712"/>
      <c r="F485" s="327"/>
      <c r="G485" s="1736"/>
      <c r="H485" s="712"/>
      <c r="I485" s="712"/>
      <c r="J485" s="199"/>
      <c r="K485" s="712"/>
      <c r="L485" s="712"/>
      <c r="M485" s="711"/>
      <c r="N485" s="1737"/>
      <c r="O485" s="711"/>
      <c r="P485" s="1738"/>
      <c r="Q485" s="1739"/>
      <c r="R485" s="1740"/>
      <c r="S485" s="1056"/>
      <c r="T485" s="1741"/>
      <c r="U485" s="1056"/>
      <c r="V485" s="199"/>
      <c r="W485" s="199"/>
      <c r="X485" s="199"/>
      <c r="Y485" s="199"/>
      <c r="Z485" s="199"/>
      <c r="AA485" s="199"/>
      <c r="AB485" s="199"/>
      <c r="AC485" s="199"/>
      <c r="AD485" s="199"/>
      <c r="AE485" s="199"/>
      <c r="AF485" s="199"/>
      <c r="AG485" s="199"/>
      <c r="AH485" s="199"/>
      <c r="AI485" s="199"/>
      <c r="AJ485" s="199"/>
      <c r="AK485" s="199"/>
      <c r="AL485" s="199"/>
      <c r="AM485" s="199"/>
    </row>
    <row r="486" spans="1:39">
      <c r="A486" s="712"/>
      <c r="B486" s="199"/>
      <c r="C486" s="1164"/>
      <c r="D486" s="1735"/>
      <c r="E486" s="712"/>
      <c r="F486" s="327"/>
      <c r="G486" s="1736"/>
      <c r="H486" s="712"/>
      <c r="I486" s="712"/>
      <c r="J486" s="199"/>
      <c r="K486" s="712"/>
      <c r="L486" s="712"/>
      <c r="M486" s="711"/>
      <c r="N486" s="1737"/>
      <c r="O486" s="711"/>
      <c r="P486" s="1738"/>
      <c r="Q486" s="1739"/>
      <c r="R486" s="1740"/>
      <c r="S486" s="1056"/>
      <c r="T486" s="1741"/>
      <c r="U486" s="1056"/>
      <c r="V486" s="199"/>
      <c r="W486" s="199"/>
      <c r="X486" s="199"/>
      <c r="Y486" s="199"/>
      <c r="Z486" s="199"/>
      <c r="AA486" s="199"/>
      <c r="AB486" s="199"/>
      <c r="AC486" s="199"/>
      <c r="AD486" s="199"/>
      <c r="AE486" s="199"/>
      <c r="AF486" s="199"/>
      <c r="AG486" s="199"/>
      <c r="AH486" s="199"/>
      <c r="AI486" s="199"/>
      <c r="AJ486" s="199"/>
      <c r="AK486" s="199"/>
      <c r="AL486" s="199"/>
      <c r="AM486" s="199"/>
    </row>
    <row r="487" spans="1:39">
      <c r="A487" s="712"/>
      <c r="B487" s="199"/>
      <c r="C487" s="1164"/>
      <c r="D487" s="1735"/>
      <c r="E487" s="712"/>
      <c r="F487" s="327"/>
      <c r="G487" s="1736"/>
      <c r="H487" s="712"/>
      <c r="I487" s="712"/>
      <c r="J487" s="199"/>
      <c r="K487" s="712"/>
      <c r="L487" s="712"/>
      <c r="M487" s="711"/>
      <c r="N487" s="1737"/>
      <c r="O487" s="711"/>
      <c r="P487" s="1738"/>
      <c r="Q487" s="1739"/>
      <c r="R487" s="1740"/>
      <c r="S487" s="1056"/>
      <c r="T487" s="1741"/>
      <c r="U487" s="1056"/>
      <c r="V487" s="199"/>
      <c r="W487" s="199"/>
      <c r="X487" s="199"/>
      <c r="Y487" s="199"/>
      <c r="Z487" s="199"/>
      <c r="AA487" s="199"/>
      <c r="AB487" s="199"/>
      <c r="AC487" s="199"/>
      <c r="AD487" s="199"/>
      <c r="AE487" s="199"/>
      <c r="AF487" s="199"/>
      <c r="AG487" s="199"/>
      <c r="AH487" s="199"/>
      <c r="AI487" s="199"/>
      <c r="AJ487" s="199"/>
      <c r="AK487" s="199"/>
      <c r="AL487" s="199"/>
      <c r="AM487" s="199"/>
    </row>
    <row r="488" spans="1:39">
      <c r="A488" s="712"/>
      <c r="B488" s="199"/>
      <c r="C488" s="1164"/>
      <c r="D488" s="1735"/>
      <c r="E488" s="712"/>
      <c r="F488" s="327"/>
      <c r="G488" s="1736"/>
      <c r="H488" s="712"/>
      <c r="I488" s="712"/>
      <c r="J488" s="199"/>
      <c r="K488" s="712"/>
      <c r="L488" s="712"/>
      <c r="M488" s="711"/>
      <c r="N488" s="1737"/>
      <c r="O488" s="711"/>
      <c r="P488" s="1738"/>
      <c r="Q488" s="1739"/>
      <c r="R488" s="1740"/>
      <c r="S488" s="1056"/>
      <c r="T488" s="1741"/>
      <c r="U488" s="1056"/>
      <c r="V488" s="199"/>
      <c r="W488" s="199"/>
      <c r="X488" s="199"/>
      <c r="Y488" s="199"/>
      <c r="Z488" s="199"/>
      <c r="AA488" s="199"/>
      <c r="AB488" s="199"/>
      <c r="AC488" s="199"/>
      <c r="AD488" s="199"/>
      <c r="AE488" s="199"/>
      <c r="AF488" s="199"/>
      <c r="AG488" s="199"/>
      <c r="AH488" s="199"/>
      <c r="AI488" s="199"/>
      <c r="AJ488" s="199"/>
      <c r="AK488" s="199"/>
      <c r="AL488" s="199"/>
      <c r="AM488" s="199"/>
    </row>
    <row r="489" spans="1:39">
      <c r="A489" s="712"/>
      <c r="B489" s="199"/>
      <c r="C489" s="1164"/>
      <c r="D489" s="1735"/>
      <c r="E489" s="712"/>
      <c r="F489" s="327"/>
      <c r="G489" s="1736"/>
      <c r="H489" s="712"/>
      <c r="I489" s="712"/>
      <c r="J489" s="199"/>
      <c r="K489" s="712"/>
      <c r="L489" s="712"/>
      <c r="M489" s="711"/>
      <c r="N489" s="1737"/>
      <c r="O489" s="711"/>
      <c r="P489" s="1738"/>
      <c r="Q489" s="1739"/>
      <c r="R489" s="1740"/>
      <c r="S489" s="1056"/>
      <c r="T489" s="1741"/>
      <c r="U489" s="1056"/>
      <c r="V489" s="199"/>
      <c r="W489" s="199"/>
      <c r="X489" s="199"/>
      <c r="Y489" s="199"/>
      <c r="Z489" s="199"/>
      <c r="AA489" s="199"/>
      <c r="AB489" s="199"/>
      <c r="AC489" s="199"/>
      <c r="AD489" s="199"/>
      <c r="AE489" s="199"/>
      <c r="AF489" s="199"/>
      <c r="AG489" s="199"/>
      <c r="AH489" s="199"/>
      <c r="AI489" s="199"/>
      <c r="AJ489" s="199"/>
      <c r="AK489" s="199"/>
      <c r="AL489" s="199"/>
      <c r="AM489" s="199"/>
    </row>
    <row r="490" spans="1:39">
      <c r="A490" s="712"/>
      <c r="B490" s="199"/>
      <c r="C490" s="1164"/>
      <c r="D490" s="1735"/>
      <c r="E490" s="712"/>
      <c r="F490" s="327"/>
      <c r="G490" s="1736"/>
      <c r="H490" s="712"/>
      <c r="I490" s="712"/>
      <c r="J490" s="199"/>
      <c r="K490" s="712"/>
      <c r="L490" s="712"/>
      <c r="M490" s="711"/>
      <c r="N490" s="1737"/>
      <c r="O490" s="711"/>
      <c r="P490" s="1738"/>
      <c r="Q490" s="1739"/>
      <c r="R490" s="1740"/>
      <c r="S490" s="1056"/>
      <c r="T490" s="1741"/>
      <c r="U490" s="1056"/>
      <c r="V490" s="199"/>
      <c r="W490" s="199"/>
      <c r="X490" s="199"/>
      <c r="Y490" s="199"/>
      <c r="Z490" s="199"/>
      <c r="AA490" s="199"/>
      <c r="AB490" s="199"/>
      <c r="AC490" s="199"/>
      <c r="AD490" s="199"/>
      <c r="AE490" s="199"/>
      <c r="AF490" s="199"/>
      <c r="AG490" s="199"/>
      <c r="AH490" s="199"/>
      <c r="AI490" s="199"/>
      <c r="AJ490" s="199"/>
      <c r="AK490" s="199"/>
      <c r="AL490" s="199"/>
      <c r="AM490" s="199"/>
    </row>
    <row r="491" spans="1:39">
      <c r="A491" s="712"/>
      <c r="B491" s="199"/>
      <c r="C491" s="1164"/>
      <c r="D491" s="1735"/>
      <c r="E491" s="712"/>
      <c r="F491" s="327"/>
      <c r="G491" s="1736"/>
      <c r="H491" s="712"/>
      <c r="I491" s="712"/>
      <c r="J491" s="199"/>
      <c r="K491" s="712"/>
      <c r="L491" s="712"/>
      <c r="M491" s="711"/>
      <c r="N491" s="1737"/>
      <c r="O491" s="711"/>
      <c r="P491" s="1738"/>
      <c r="Q491" s="1739"/>
      <c r="R491" s="1740"/>
      <c r="S491" s="1056"/>
      <c r="T491" s="1741"/>
      <c r="U491" s="1056"/>
      <c r="V491" s="199"/>
      <c r="W491" s="199"/>
      <c r="X491" s="199"/>
      <c r="Y491" s="199"/>
      <c r="Z491" s="199"/>
      <c r="AA491" s="199"/>
      <c r="AB491" s="199"/>
      <c r="AC491" s="199"/>
      <c r="AD491" s="199"/>
      <c r="AE491" s="199"/>
      <c r="AF491" s="199"/>
      <c r="AG491" s="199"/>
      <c r="AH491" s="199"/>
      <c r="AI491" s="199"/>
      <c r="AJ491" s="199"/>
      <c r="AK491" s="199"/>
      <c r="AL491" s="199"/>
      <c r="AM491" s="199"/>
    </row>
    <row r="492" spans="1:39">
      <c r="A492" s="712"/>
      <c r="B492" s="199"/>
      <c r="C492" s="1164"/>
      <c r="D492" s="1735"/>
      <c r="E492" s="712"/>
      <c r="F492" s="327"/>
      <c r="G492" s="1736"/>
      <c r="H492" s="712"/>
      <c r="I492" s="712"/>
      <c r="J492" s="199"/>
      <c r="K492" s="712"/>
      <c r="L492" s="712"/>
      <c r="M492" s="711"/>
      <c r="N492" s="1737"/>
      <c r="O492" s="711"/>
      <c r="P492" s="1738"/>
      <c r="Q492" s="1739"/>
      <c r="R492" s="1740"/>
      <c r="S492" s="1056"/>
      <c r="T492" s="1741"/>
      <c r="U492" s="1056"/>
      <c r="V492" s="199"/>
      <c r="W492" s="199"/>
      <c r="X492" s="199"/>
      <c r="Y492" s="199"/>
      <c r="Z492" s="199"/>
      <c r="AA492" s="199"/>
      <c r="AB492" s="199"/>
      <c r="AC492" s="199"/>
      <c r="AD492" s="199"/>
      <c r="AE492" s="199"/>
      <c r="AF492" s="199"/>
      <c r="AG492" s="199"/>
      <c r="AH492" s="199"/>
      <c r="AI492" s="199"/>
      <c r="AJ492" s="199"/>
      <c r="AK492" s="199"/>
      <c r="AL492" s="199"/>
      <c r="AM492" s="199"/>
    </row>
    <row r="493" spans="1:39">
      <c r="A493" s="712"/>
      <c r="B493" s="199"/>
      <c r="C493" s="1164"/>
      <c r="D493" s="1735"/>
      <c r="E493" s="712"/>
      <c r="F493" s="327"/>
      <c r="G493" s="1736"/>
      <c r="H493" s="712"/>
      <c r="I493" s="712"/>
      <c r="J493" s="199"/>
      <c r="K493" s="712"/>
      <c r="L493" s="712"/>
      <c r="M493" s="711"/>
      <c r="N493" s="1737"/>
      <c r="O493" s="711"/>
      <c r="P493" s="1738"/>
      <c r="Q493" s="1739"/>
      <c r="R493" s="1740"/>
      <c r="S493" s="1056"/>
      <c r="T493" s="1741"/>
      <c r="U493" s="1056"/>
      <c r="V493" s="199"/>
      <c r="W493" s="199"/>
      <c r="X493" s="199"/>
      <c r="Y493" s="199"/>
      <c r="Z493" s="199"/>
      <c r="AA493" s="199"/>
      <c r="AB493" s="199"/>
      <c r="AC493" s="199"/>
      <c r="AD493" s="199"/>
      <c r="AE493" s="199"/>
      <c r="AF493" s="199"/>
      <c r="AG493" s="199"/>
      <c r="AH493" s="199"/>
      <c r="AI493" s="199"/>
      <c r="AJ493" s="199"/>
      <c r="AK493" s="199"/>
      <c r="AL493" s="199"/>
      <c r="AM493" s="199"/>
    </row>
    <row r="494" spans="1:39">
      <c r="A494" s="712"/>
      <c r="B494" s="199"/>
      <c r="C494" s="1164"/>
      <c r="D494" s="1735"/>
      <c r="E494" s="712"/>
      <c r="F494" s="327"/>
      <c r="G494" s="1736"/>
      <c r="H494" s="712"/>
      <c r="I494" s="712"/>
      <c r="J494" s="199"/>
      <c r="K494" s="712"/>
      <c r="L494" s="712"/>
      <c r="M494" s="711"/>
      <c r="N494" s="1737"/>
      <c r="O494" s="711"/>
      <c r="P494" s="1738"/>
      <c r="Q494" s="1739"/>
      <c r="R494" s="1740"/>
      <c r="S494" s="1056"/>
      <c r="T494" s="1741"/>
      <c r="U494" s="1056"/>
      <c r="V494" s="199"/>
      <c r="W494" s="199"/>
      <c r="X494" s="199"/>
      <c r="Y494" s="199"/>
      <c r="Z494" s="199"/>
      <c r="AA494" s="199"/>
      <c r="AB494" s="199"/>
      <c r="AC494" s="199"/>
      <c r="AD494" s="199"/>
      <c r="AE494" s="199"/>
      <c r="AF494" s="199"/>
      <c r="AG494" s="199"/>
      <c r="AH494" s="199"/>
      <c r="AI494" s="199"/>
      <c r="AJ494" s="199"/>
      <c r="AK494" s="199"/>
      <c r="AL494" s="199"/>
      <c r="AM494" s="199"/>
    </row>
    <row r="495" spans="1:39">
      <c r="A495" s="712"/>
      <c r="B495" s="199"/>
      <c r="C495" s="1164"/>
      <c r="D495" s="1735"/>
      <c r="E495" s="712"/>
      <c r="F495" s="327"/>
      <c r="G495" s="1736"/>
      <c r="H495" s="712"/>
      <c r="I495" s="712"/>
      <c r="J495" s="199"/>
      <c r="K495" s="712"/>
      <c r="L495" s="712"/>
      <c r="M495" s="711"/>
      <c r="N495" s="1737"/>
      <c r="O495" s="711"/>
      <c r="P495" s="1738"/>
      <c r="Q495" s="1739"/>
      <c r="R495" s="1740"/>
      <c r="S495" s="1056"/>
      <c r="T495" s="1741"/>
      <c r="U495" s="1056"/>
      <c r="V495" s="199"/>
      <c r="W495" s="199"/>
      <c r="X495" s="199"/>
      <c r="Y495" s="199"/>
      <c r="Z495" s="199"/>
      <c r="AA495" s="199"/>
      <c r="AB495" s="199"/>
      <c r="AC495" s="199"/>
      <c r="AD495" s="199"/>
      <c r="AE495" s="199"/>
      <c r="AF495" s="199"/>
      <c r="AG495" s="199"/>
      <c r="AH495" s="199"/>
      <c r="AI495" s="199"/>
      <c r="AJ495" s="199"/>
      <c r="AK495" s="199"/>
      <c r="AL495" s="199"/>
      <c r="AM495" s="199"/>
    </row>
    <row r="496" spans="1:39">
      <c r="A496" s="712"/>
      <c r="B496" s="199"/>
      <c r="C496" s="1164"/>
      <c r="D496" s="1735"/>
      <c r="E496" s="712"/>
      <c r="F496" s="327"/>
      <c r="G496" s="1736"/>
      <c r="H496" s="712"/>
      <c r="I496" s="712"/>
      <c r="J496" s="199"/>
      <c r="K496" s="712"/>
      <c r="L496" s="712"/>
      <c r="M496" s="711"/>
      <c r="N496" s="1737"/>
      <c r="O496" s="711"/>
      <c r="P496" s="1738"/>
      <c r="Q496" s="1739"/>
      <c r="R496" s="1740"/>
      <c r="S496" s="1056"/>
      <c r="T496" s="1741"/>
      <c r="U496" s="1056"/>
      <c r="V496" s="199"/>
      <c r="W496" s="199"/>
      <c r="X496" s="199"/>
      <c r="Y496" s="199"/>
      <c r="Z496" s="199"/>
      <c r="AA496" s="199"/>
      <c r="AB496" s="199"/>
      <c r="AC496" s="199"/>
      <c r="AD496" s="199"/>
      <c r="AE496" s="199"/>
      <c r="AF496" s="199"/>
      <c r="AG496" s="199"/>
      <c r="AH496" s="199"/>
      <c r="AI496" s="199"/>
      <c r="AJ496" s="199"/>
      <c r="AK496" s="199"/>
      <c r="AL496" s="199"/>
      <c r="AM496" s="199"/>
    </row>
    <row r="497" spans="1:39">
      <c r="A497" s="712"/>
      <c r="B497" s="199"/>
      <c r="C497" s="1164"/>
      <c r="D497" s="1735"/>
      <c r="E497" s="712"/>
      <c r="F497" s="327"/>
      <c r="G497" s="1736"/>
      <c r="H497" s="712"/>
      <c r="I497" s="712"/>
      <c r="J497" s="199"/>
      <c r="K497" s="712"/>
      <c r="L497" s="712"/>
      <c r="M497" s="711"/>
      <c r="N497" s="1737"/>
      <c r="O497" s="711"/>
      <c r="P497" s="1738"/>
      <c r="Q497" s="1739"/>
      <c r="R497" s="1740"/>
      <c r="S497" s="1056"/>
      <c r="T497" s="1741"/>
      <c r="U497" s="1056"/>
      <c r="V497" s="199"/>
      <c r="W497" s="199"/>
      <c r="X497" s="199"/>
      <c r="Y497" s="199"/>
      <c r="Z497" s="199"/>
      <c r="AA497" s="199"/>
      <c r="AB497" s="199"/>
      <c r="AC497" s="199"/>
      <c r="AD497" s="199"/>
      <c r="AE497" s="199"/>
      <c r="AF497" s="199"/>
      <c r="AG497" s="199"/>
      <c r="AH497" s="199"/>
      <c r="AI497" s="199"/>
      <c r="AJ497" s="199"/>
      <c r="AK497" s="199"/>
      <c r="AL497" s="199"/>
      <c r="AM497" s="199"/>
    </row>
    <row r="498" spans="1:39">
      <c r="A498" s="712"/>
      <c r="B498" s="199"/>
      <c r="C498" s="1164"/>
      <c r="D498" s="1735"/>
      <c r="E498" s="712"/>
      <c r="F498" s="327"/>
      <c r="G498" s="1736"/>
      <c r="H498" s="712"/>
      <c r="I498" s="712"/>
      <c r="J498" s="199"/>
      <c r="K498" s="712"/>
      <c r="L498" s="712"/>
      <c r="M498" s="711"/>
      <c r="N498" s="1737"/>
      <c r="O498" s="711"/>
      <c r="P498" s="1738"/>
      <c r="Q498" s="1739"/>
      <c r="R498" s="1740"/>
      <c r="S498" s="1056"/>
      <c r="T498" s="1741"/>
      <c r="U498" s="1056"/>
      <c r="V498" s="199"/>
      <c r="W498" s="199"/>
      <c r="X498" s="199"/>
      <c r="Y498" s="199"/>
      <c r="Z498" s="199"/>
      <c r="AA498" s="199"/>
      <c r="AB498" s="199"/>
      <c r="AC498" s="199"/>
      <c r="AD498" s="199"/>
      <c r="AE498" s="199"/>
      <c r="AF498" s="199"/>
      <c r="AG498" s="199"/>
      <c r="AH498" s="199"/>
      <c r="AI498" s="199"/>
      <c r="AJ498" s="199"/>
      <c r="AK498" s="199"/>
      <c r="AL498" s="199"/>
      <c r="AM498" s="199"/>
    </row>
    <row r="499" spans="1:39">
      <c r="A499" s="712"/>
      <c r="B499" s="199"/>
      <c r="C499" s="1164"/>
      <c r="D499" s="1735"/>
      <c r="E499" s="712"/>
      <c r="F499" s="327"/>
      <c r="G499" s="1736"/>
      <c r="H499" s="712"/>
      <c r="I499" s="712"/>
      <c r="J499" s="199"/>
      <c r="K499" s="712"/>
      <c r="L499" s="712"/>
      <c r="M499" s="711"/>
      <c r="N499" s="1737"/>
      <c r="O499" s="711"/>
      <c r="P499" s="1738"/>
      <c r="Q499" s="1739"/>
      <c r="R499" s="1740"/>
      <c r="S499" s="1056"/>
      <c r="T499" s="1741"/>
      <c r="U499" s="1056"/>
      <c r="V499" s="199"/>
      <c r="W499" s="199"/>
      <c r="X499" s="199"/>
      <c r="Y499" s="199"/>
      <c r="Z499" s="199"/>
      <c r="AA499" s="199"/>
      <c r="AB499" s="199"/>
      <c r="AC499" s="199"/>
      <c r="AD499" s="199"/>
      <c r="AE499" s="199"/>
      <c r="AF499" s="199"/>
      <c r="AG499" s="199"/>
      <c r="AH499" s="199"/>
      <c r="AI499" s="199"/>
      <c r="AJ499" s="199"/>
      <c r="AK499" s="199"/>
      <c r="AL499" s="199"/>
      <c r="AM499" s="199"/>
    </row>
    <row r="500" spans="1:39">
      <c r="A500" s="712"/>
      <c r="B500" s="199"/>
      <c r="C500" s="1164"/>
      <c r="D500" s="1735"/>
      <c r="E500" s="712"/>
      <c r="F500" s="327"/>
      <c r="G500" s="1736"/>
      <c r="H500" s="712"/>
      <c r="I500" s="712"/>
      <c r="J500" s="199"/>
      <c r="K500" s="712"/>
      <c r="L500" s="712"/>
      <c r="M500" s="711"/>
      <c r="N500" s="1737"/>
      <c r="O500" s="711"/>
      <c r="P500" s="1738"/>
      <c r="Q500" s="1739"/>
      <c r="R500" s="1740"/>
      <c r="S500" s="1056"/>
      <c r="T500" s="1741"/>
      <c r="U500" s="1056"/>
      <c r="V500" s="199"/>
      <c r="W500" s="199"/>
      <c r="X500" s="199"/>
      <c r="Y500" s="199"/>
      <c r="Z500" s="199"/>
      <c r="AA500" s="199"/>
      <c r="AB500" s="199"/>
      <c r="AC500" s="199"/>
      <c r="AD500" s="199"/>
      <c r="AE500" s="199"/>
      <c r="AF500" s="199"/>
      <c r="AG500" s="199"/>
      <c r="AH500" s="199"/>
      <c r="AI500" s="199"/>
      <c r="AJ500" s="199"/>
      <c r="AK500" s="199"/>
      <c r="AL500" s="199"/>
      <c r="AM500" s="199"/>
    </row>
    <row r="501" spans="1:39">
      <c r="A501" s="712"/>
      <c r="B501" s="199"/>
      <c r="C501" s="1164"/>
      <c r="D501" s="1735"/>
      <c r="E501" s="712"/>
      <c r="F501" s="327"/>
      <c r="G501" s="1736"/>
      <c r="H501" s="712"/>
      <c r="I501" s="712"/>
      <c r="J501" s="199"/>
      <c r="K501" s="712"/>
      <c r="L501" s="712"/>
      <c r="M501" s="711"/>
      <c r="N501" s="1737"/>
      <c r="O501" s="711"/>
      <c r="P501" s="1738"/>
      <c r="Q501" s="1739"/>
      <c r="R501" s="1740"/>
      <c r="S501" s="1056"/>
      <c r="T501" s="1741"/>
      <c r="U501" s="1056"/>
      <c r="V501" s="199"/>
      <c r="W501" s="199"/>
      <c r="X501" s="199"/>
      <c r="Y501" s="199"/>
      <c r="Z501" s="199"/>
      <c r="AA501" s="199"/>
      <c r="AB501" s="199"/>
      <c r="AC501" s="199"/>
      <c r="AD501" s="199"/>
      <c r="AE501" s="199"/>
      <c r="AF501" s="199"/>
      <c r="AG501" s="199"/>
      <c r="AH501" s="199"/>
      <c r="AI501" s="199"/>
      <c r="AJ501" s="199"/>
      <c r="AK501" s="199"/>
      <c r="AL501" s="199"/>
      <c r="AM501" s="199"/>
    </row>
    <row r="502" spans="1:39">
      <c r="A502" s="712"/>
      <c r="B502" s="199"/>
      <c r="C502" s="1164"/>
      <c r="D502" s="1735"/>
      <c r="E502" s="712"/>
      <c r="F502" s="327"/>
      <c r="G502" s="1736"/>
      <c r="H502" s="712"/>
      <c r="I502" s="712"/>
      <c r="J502" s="199"/>
      <c r="K502" s="712"/>
      <c r="L502" s="712"/>
      <c r="M502" s="711"/>
      <c r="N502" s="1737"/>
      <c r="O502" s="711"/>
      <c r="P502" s="1738"/>
      <c r="Q502" s="1739"/>
      <c r="R502" s="1740"/>
      <c r="S502" s="1056"/>
      <c r="T502" s="1741"/>
      <c r="U502" s="1056"/>
      <c r="V502" s="199"/>
      <c r="W502" s="199"/>
      <c r="X502" s="199"/>
      <c r="Y502" s="199"/>
      <c r="Z502" s="199"/>
      <c r="AA502" s="199"/>
      <c r="AB502" s="199"/>
      <c r="AC502" s="199"/>
      <c r="AD502" s="199"/>
      <c r="AE502" s="199"/>
      <c r="AF502" s="199"/>
      <c r="AG502" s="199"/>
      <c r="AH502" s="199"/>
      <c r="AI502" s="199"/>
      <c r="AJ502" s="199"/>
      <c r="AK502" s="199"/>
      <c r="AL502" s="199"/>
      <c r="AM502" s="199"/>
    </row>
    <row r="503" spans="1:39">
      <c r="A503" s="712"/>
      <c r="B503" s="199"/>
      <c r="C503" s="1164"/>
      <c r="D503" s="1735"/>
      <c r="E503" s="712"/>
      <c r="F503" s="327"/>
      <c r="G503" s="1736"/>
      <c r="H503" s="712"/>
      <c r="I503" s="712"/>
      <c r="J503" s="199"/>
      <c r="K503" s="712"/>
      <c r="L503" s="712"/>
      <c r="M503" s="711"/>
      <c r="N503" s="1737"/>
      <c r="O503" s="711"/>
      <c r="P503" s="1738"/>
      <c r="Q503" s="1739"/>
      <c r="R503" s="1740"/>
      <c r="S503" s="1056"/>
      <c r="T503" s="1741"/>
      <c r="U503" s="1056"/>
      <c r="V503" s="199"/>
      <c r="W503" s="199"/>
      <c r="X503" s="199"/>
      <c r="Y503" s="199"/>
      <c r="Z503" s="199"/>
      <c r="AA503" s="199"/>
      <c r="AB503" s="199"/>
      <c r="AC503" s="199"/>
      <c r="AD503" s="199"/>
      <c r="AE503" s="199"/>
      <c r="AF503" s="199"/>
      <c r="AG503" s="199"/>
      <c r="AH503" s="199"/>
      <c r="AI503" s="199"/>
      <c r="AJ503" s="199"/>
      <c r="AK503" s="199"/>
      <c r="AL503" s="199"/>
      <c r="AM503" s="199"/>
    </row>
    <row r="504" spans="1:39">
      <c r="A504" s="712"/>
      <c r="B504" s="199"/>
      <c r="C504" s="1164"/>
      <c r="D504" s="1735"/>
      <c r="E504" s="712"/>
      <c r="F504" s="327"/>
      <c r="G504" s="1736"/>
      <c r="H504" s="712"/>
      <c r="I504" s="712"/>
      <c r="J504" s="199"/>
      <c r="K504" s="712"/>
      <c r="L504" s="712"/>
      <c r="M504" s="711"/>
      <c r="N504" s="1737"/>
      <c r="O504" s="711"/>
      <c r="P504" s="1738"/>
      <c r="Q504" s="1739"/>
      <c r="R504" s="1740"/>
      <c r="S504" s="1056"/>
      <c r="T504" s="1741"/>
      <c r="U504" s="1056"/>
      <c r="V504" s="199"/>
      <c r="W504" s="199"/>
      <c r="X504" s="199"/>
      <c r="Y504" s="199"/>
      <c r="Z504" s="199"/>
      <c r="AA504" s="199"/>
      <c r="AB504" s="199"/>
      <c r="AC504" s="199"/>
      <c r="AD504" s="199"/>
      <c r="AE504" s="199"/>
      <c r="AF504" s="199"/>
      <c r="AG504" s="199"/>
      <c r="AH504" s="199"/>
      <c r="AI504" s="199"/>
      <c r="AJ504" s="199"/>
      <c r="AK504" s="199"/>
      <c r="AL504" s="199"/>
      <c r="AM504" s="199"/>
    </row>
    <row r="505" spans="1:39">
      <c r="A505" s="712"/>
      <c r="B505" s="199"/>
      <c r="C505" s="1164"/>
      <c r="D505" s="1735"/>
      <c r="E505" s="712"/>
      <c r="F505" s="327"/>
      <c r="G505" s="1736"/>
      <c r="H505" s="712"/>
      <c r="I505" s="712"/>
      <c r="J505" s="199"/>
      <c r="K505" s="712"/>
      <c r="L505" s="712"/>
      <c r="M505" s="711"/>
      <c r="N505" s="1737"/>
      <c r="O505" s="711"/>
      <c r="P505" s="1738"/>
      <c r="Q505" s="1739"/>
      <c r="R505" s="1740"/>
      <c r="S505" s="1056"/>
      <c r="T505" s="1741"/>
      <c r="U505" s="1056"/>
      <c r="V505" s="199"/>
      <c r="W505" s="199"/>
      <c r="X505" s="199"/>
      <c r="Y505" s="199"/>
      <c r="Z505" s="199"/>
      <c r="AA505" s="199"/>
      <c r="AB505" s="199"/>
      <c r="AC505" s="199"/>
      <c r="AD505" s="199"/>
      <c r="AE505" s="199"/>
      <c r="AF505" s="199"/>
      <c r="AG505" s="199"/>
      <c r="AH505" s="199"/>
      <c r="AI505" s="199"/>
      <c r="AJ505" s="199"/>
      <c r="AK505" s="199"/>
      <c r="AL505" s="199"/>
      <c r="AM505" s="199"/>
    </row>
    <row r="506" spans="1:39">
      <c r="A506" s="712"/>
      <c r="B506" s="199"/>
      <c r="C506" s="1164"/>
      <c r="D506" s="1735"/>
      <c r="E506" s="712"/>
      <c r="F506" s="327"/>
      <c r="G506" s="1736"/>
      <c r="H506" s="712"/>
      <c r="I506" s="712"/>
      <c r="J506" s="199"/>
      <c r="K506" s="712"/>
      <c r="L506" s="712"/>
      <c r="M506" s="711"/>
      <c r="N506" s="1737"/>
      <c r="O506" s="711"/>
      <c r="P506" s="1738"/>
      <c r="Q506" s="1739"/>
      <c r="R506" s="1740"/>
      <c r="S506" s="1056"/>
      <c r="T506" s="1741"/>
      <c r="U506" s="1056"/>
      <c r="V506" s="199"/>
      <c r="W506" s="199"/>
      <c r="X506" s="199"/>
      <c r="Y506" s="199"/>
      <c r="Z506" s="199"/>
      <c r="AA506" s="199"/>
      <c r="AB506" s="199"/>
      <c r="AC506" s="199"/>
      <c r="AD506" s="199"/>
      <c r="AE506" s="199"/>
      <c r="AF506" s="199"/>
      <c r="AG506" s="199"/>
      <c r="AH506" s="199"/>
      <c r="AI506" s="199"/>
      <c r="AJ506" s="199"/>
      <c r="AK506" s="199"/>
      <c r="AL506" s="199"/>
      <c r="AM506" s="199"/>
    </row>
    <row r="507" spans="1:39">
      <c r="A507" s="712"/>
      <c r="B507" s="199"/>
      <c r="C507" s="1164"/>
      <c r="D507" s="1735"/>
      <c r="E507" s="712"/>
      <c r="F507" s="327"/>
      <c r="G507" s="1736"/>
      <c r="H507" s="712"/>
      <c r="I507" s="712"/>
      <c r="J507" s="199"/>
      <c r="K507" s="712"/>
      <c r="L507" s="712"/>
      <c r="M507" s="711"/>
      <c r="N507" s="1737"/>
      <c r="O507" s="711"/>
      <c r="P507" s="1738"/>
      <c r="Q507" s="1739"/>
      <c r="R507" s="1740"/>
      <c r="S507" s="1056"/>
      <c r="T507" s="1741"/>
      <c r="U507" s="1056"/>
      <c r="V507" s="199"/>
      <c r="W507" s="199"/>
      <c r="X507" s="199"/>
      <c r="Y507" s="199"/>
      <c r="Z507" s="199"/>
      <c r="AA507" s="199"/>
      <c r="AB507" s="199"/>
      <c r="AC507" s="199"/>
      <c r="AD507" s="199"/>
      <c r="AE507" s="199"/>
      <c r="AF507" s="199"/>
      <c r="AG507" s="199"/>
      <c r="AH507" s="199"/>
      <c r="AI507" s="199"/>
      <c r="AJ507" s="199"/>
      <c r="AK507" s="199"/>
      <c r="AL507" s="199"/>
      <c r="AM507" s="199"/>
    </row>
    <row r="508" spans="1:39">
      <c r="A508" s="712"/>
      <c r="B508" s="199"/>
      <c r="C508" s="1164"/>
      <c r="D508" s="1735"/>
      <c r="E508" s="712"/>
      <c r="F508" s="327"/>
      <c r="G508" s="1736"/>
      <c r="H508" s="712"/>
      <c r="I508" s="712"/>
      <c r="J508" s="199"/>
      <c r="K508" s="712"/>
      <c r="L508" s="712"/>
      <c r="M508" s="711"/>
      <c r="N508" s="1737"/>
      <c r="O508" s="711"/>
      <c r="P508" s="1738"/>
      <c r="Q508" s="1739"/>
      <c r="R508" s="1740"/>
      <c r="S508" s="1056"/>
      <c r="T508" s="1741"/>
      <c r="U508" s="1056"/>
      <c r="V508" s="199"/>
      <c r="W508" s="199"/>
      <c r="X508" s="199"/>
      <c r="Y508" s="199"/>
      <c r="Z508" s="199"/>
      <c r="AA508" s="199"/>
      <c r="AB508" s="199"/>
      <c r="AC508" s="199"/>
      <c r="AD508" s="199"/>
      <c r="AE508" s="199"/>
      <c r="AF508" s="199"/>
      <c r="AG508" s="199"/>
      <c r="AH508" s="199"/>
      <c r="AI508" s="199"/>
      <c r="AJ508" s="199"/>
      <c r="AK508" s="199"/>
      <c r="AL508" s="199"/>
      <c r="AM508" s="199"/>
    </row>
    <row r="509" spans="1:39">
      <c r="A509" s="712"/>
      <c r="B509" s="199"/>
      <c r="C509" s="1164"/>
      <c r="D509" s="1735"/>
      <c r="E509" s="712"/>
      <c r="F509" s="327"/>
      <c r="G509" s="1736"/>
      <c r="H509" s="712"/>
      <c r="I509" s="712"/>
      <c r="J509" s="199"/>
      <c r="K509" s="712"/>
      <c r="L509" s="712"/>
      <c r="M509" s="711"/>
      <c r="N509" s="1737"/>
      <c r="O509" s="711"/>
      <c r="P509" s="1738"/>
      <c r="Q509" s="1739"/>
      <c r="R509" s="1740"/>
      <c r="S509" s="1056"/>
      <c r="T509" s="1741"/>
      <c r="U509" s="1056"/>
      <c r="V509" s="199"/>
      <c r="W509" s="199"/>
      <c r="X509" s="199"/>
      <c r="Y509" s="199"/>
      <c r="Z509" s="199"/>
      <c r="AA509" s="199"/>
      <c r="AB509" s="199"/>
      <c r="AC509" s="199"/>
      <c r="AD509" s="199"/>
      <c r="AE509" s="199"/>
      <c r="AF509" s="199"/>
      <c r="AG509" s="199"/>
      <c r="AH509" s="199"/>
      <c r="AI509" s="199"/>
      <c r="AJ509" s="199"/>
      <c r="AK509" s="199"/>
      <c r="AL509" s="199"/>
      <c r="AM509" s="199"/>
    </row>
    <row r="510" spans="1:39">
      <c r="A510" s="712"/>
      <c r="B510" s="199"/>
      <c r="C510" s="1164"/>
      <c r="D510" s="1735"/>
      <c r="E510" s="712"/>
      <c r="F510" s="327"/>
      <c r="G510" s="1736"/>
      <c r="H510" s="712"/>
      <c r="I510" s="712"/>
      <c r="J510" s="199"/>
      <c r="K510" s="712"/>
      <c r="L510" s="712"/>
      <c r="M510" s="711"/>
      <c r="N510" s="1737"/>
      <c r="O510" s="711"/>
      <c r="P510" s="1738"/>
      <c r="Q510" s="1739"/>
      <c r="R510" s="1740"/>
      <c r="S510" s="1056"/>
      <c r="T510" s="1741"/>
      <c r="U510" s="1056"/>
      <c r="V510" s="199"/>
      <c r="W510" s="199"/>
      <c r="X510" s="199"/>
      <c r="Y510" s="199"/>
      <c r="Z510" s="199"/>
      <c r="AA510" s="199"/>
      <c r="AB510" s="199"/>
      <c r="AC510" s="199"/>
      <c r="AD510" s="199"/>
      <c r="AE510" s="199"/>
      <c r="AF510" s="199"/>
      <c r="AG510" s="199"/>
      <c r="AH510" s="199"/>
      <c r="AI510" s="199"/>
      <c r="AJ510" s="199"/>
      <c r="AK510" s="199"/>
      <c r="AL510" s="199"/>
      <c r="AM510" s="199"/>
    </row>
    <row r="511" spans="1:39">
      <c r="A511" s="712"/>
      <c r="B511" s="199"/>
      <c r="C511" s="1164"/>
      <c r="D511" s="1735"/>
      <c r="E511" s="712"/>
      <c r="F511" s="327"/>
      <c r="G511" s="1736"/>
      <c r="H511" s="712"/>
      <c r="I511" s="712"/>
      <c r="J511" s="199"/>
      <c r="K511" s="712"/>
      <c r="L511" s="712"/>
      <c r="M511" s="711"/>
      <c r="N511" s="1737"/>
      <c r="O511" s="711"/>
      <c r="P511" s="1738"/>
      <c r="Q511" s="1739"/>
      <c r="R511" s="1740"/>
      <c r="S511" s="1056"/>
      <c r="T511" s="1741"/>
      <c r="U511" s="1056"/>
      <c r="V511" s="199"/>
      <c r="W511" s="199"/>
      <c r="X511" s="199"/>
      <c r="Y511" s="199"/>
      <c r="Z511" s="199"/>
      <c r="AA511" s="199"/>
      <c r="AB511" s="199"/>
      <c r="AC511" s="199"/>
      <c r="AD511" s="199"/>
      <c r="AE511" s="199"/>
      <c r="AF511" s="199"/>
      <c r="AG511" s="199"/>
      <c r="AH511" s="199"/>
      <c r="AI511" s="199"/>
      <c r="AJ511" s="199"/>
      <c r="AK511" s="199"/>
      <c r="AL511" s="199"/>
      <c r="AM511" s="199"/>
    </row>
    <row r="512" spans="1:39">
      <c r="A512" s="712"/>
      <c r="B512" s="199"/>
      <c r="C512" s="1164"/>
      <c r="D512" s="1735"/>
      <c r="E512" s="712"/>
      <c r="F512" s="327"/>
      <c r="G512" s="1736"/>
      <c r="H512" s="712"/>
      <c r="I512" s="712"/>
      <c r="J512" s="199"/>
      <c r="K512" s="712"/>
      <c r="L512" s="712"/>
      <c r="M512" s="711"/>
      <c r="N512" s="1737"/>
      <c r="O512" s="711"/>
      <c r="P512" s="1738"/>
      <c r="Q512" s="1739"/>
      <c r="R512" s="1740"/>
      <c r="S512" s="1056"/>
      <c r="T512" s="1741"/>
      <c r="U512" s="1056"/>
      <c r="V512" s="199"/>
      <c r="W512" s="199"/>
      <c r="X512" s="199"/>
      <c r="Y512" s="199"/>
      <c r="Z512" s="199"/>
      <c r="AA512" s="199"/>
      <c r="AB512" s="199"/>
      <c r="AC512" s="199"/>
      <c r="AD512" s="199"/>
      <c r="AE512" s="199"/>
      <c r="AF512" s="199"/>
      <c r="AG512" s="199"/>
      <c r="AH512" s="199"/>
      <c r="AI512" s="199"/>
      <c r="AJ512" s="199"/>
      <c r="AK512" s="199"/>
      <c r="AL512" s="199"/>
      <c r="AM512" s="199"/>
    </row>
    <row r="513" spans="1:39">
      <c r="A513" s="712"/>
      <c r="B513" s="199"/>
      <c r="C513" s="1164"/>
      <c r="D513" s="1735"/>
      <c r="E513" s="712"/>
      <c r="F513" s="327"/>
      <c r="G513" s="1736"/>
      <c r="H513" s="712"/>
      <c r="I513" s="712"/>
      <c r="J513" s="199"/>
      <c r="K513" s="712"/>
      <c r="L513" s="712"/>
      <c r="M513" s="711"/>
      <c r="N513" s="1737"/>
      <c r="O513" s="711"/>
      <c r="P513" s="1738"/>
      <c r="Q513" s="1739"/>
      <c r="R513" s="1740"/>
      <c r="S513" s="1056"/>
      <c r="T513" s="1741"/>
      <c r="U513" s="1056"/>
      <c r="V513" s="199"/>
      <c r="W513" s="199"/>
      <c r="X513" s="199"/>
      <c r="Y513" s="199"/>
      <c r="Z513" s="199"/>
      <c r="AA513" s="199"/>
      <c r="AB513" s="199"/>
      <c r="AC513" s="199"/>
      <c r="AD513" s="199"/>
      <c r="AE513" s="199"/>
      <c r="AF513" s="199"/>
      <c r="AG513" s="199"/>
      <c r="AH513" s="199"/>
      <c r="AI513" s="199"/>
      <c r="AJ513" s="199"/>
      <c r="AK513" s="199"/>
      <c r="AL513" s="199"/>
      <c r="AM513" s="199"/>
    </row>
    <row r="514" spans="1:39">
      <c r="A514" s="712"/>
      <c r="B514" s="199"/>
      <c r="C514" s="1164"/>
      <c r="D514" s="1735"/>
      <c r="E514" s="712"/>
      <c r="F514" s="327"/>
      <c r="G514" s="1736"/>
      <c r="H514" s="712"/>
      <c r="I514" s="712"/>
      <c r="J514" s="199"/>
      <c r="K514" s="712"/>
      <c r="L514" s="712"/>
      <c r="M514" s="711"/>
      <c r="N514" s="1737"/>
      <c r="O514" s="711"/>
      <c r="P514" s="1738"/>
      <c r="Q514" s="1739"/>
      <c r="R514" s="1740"/>
      <c r="S514" s="1056"/>
      <c r="T514" s="1741"/>
      <c r="U514" s="1056"/>
      <c r="V514" s="199"/>
      <c r="W514" s="199"/>
      <c r="X514" s="199"/>
      <c r="Y514" s="199"/>
      <c r="Z514" s="199"/>
      <c r="AA514" s="199"/>
      <c r="AB514" s="199"/>
      <c r="AC514" s="199"/>
      <c r="AD514" s="199"/>
      <c r="AE514" s="199"/>
      <c r="AF514" s="199"/>
      <c r="AG514" s="199"/>
      <c r="AH514" s="199"/>
      <c r="AI514" s="199"/>
      <c r="AJ514" s="199"/>
      <c r="AK514" s="199"/>
      <c r="AL514" s="199"/>
      <c r="AM514" s="199"/>
    </row>
    <row r="515" spans="1:39">
      <c r="A515" s="712"/>
      <c r="B515" s="199"/>
      <c r="C515" s="1164"/>
      <c r="D515" s="1735"/>
      <c r="E515" s="712"/>
      <c r="F515" s="327"/>
      <c r="G515" s="1736"/>
      <c r="H515" s="712"/>
      <c r="I515" s="712"/>
      <c r="J515" s="199"/>
      <c r="K515" s="712"/>
      <c r="L515" s="712"/>
      <c r="M515" s="711"/>
      <c r="N515" s="1737"/>
      <c r="O515" s="711"/>
      <c r="P515" s="1738"/>
      <c r="Q515" s="1739"/>
      <c r="R515" s="1740"/>
      <c r="S515" s="1056"/>
      <c r="T515" s="1741"/>
      <c r="U515" s="1056"/>
      <c r="V515" s="199"/>
      <c r="W515" s="199"/>
      <c r="X515" s="199"/>
      <c r="Y515" s="199"/>
      <c r="Z515" s="199"/>
      <c r="AA515" s="199"/>
      <c r="AB515" s="199"/>
      <c r="AC515" s="199"/>
      <c r="AD515" s="199"/>
      <c r="AE515" s="199"/>
      <c r="AF515" s="199"/>
      <c r="AG515" s="199"/>
      <c r="AH515" s="199"/>
      <c r="AI515" s="199"/>
      <c r="AJ515" s="199"/>
      <c r="AK515" s="199"/>
      <c r="AL515" s="199"/>
      <c r="AM515" s="199"/>
    </row>
    <row r="516" spans="1:39">
      <c r="A516" s="712"/>
      <c r="B516" s="199"/>
      <c r="C516" s="1164"/>
      <c r="D516" s="1735"/>
      <c r="E516" s="712"/>
      <c r="F516" s="327"/>
      <c r="G516" s="1736"/>
      <c r="H516" s="712"/>
      <c r="I516" s="712"/>
      <c r="J516" s="199"/>
      <c r="K516" s="712"/>
      <c r="L516" s="712"/>
      <c r="M516" s="711"/>
      <c r="N516" s="1737"/>
      <c r="O516" s="711"/>
      <c r="P516" s="1738"/>
      <c r="Q516" s="1739"/>
      <c r="R516" s="1740"/>
      <c r="S516" s="1056"/>
      <c r="T516" s="1741"/>
      <c r="U516" s="1056"/>
      <c r="V516" s="199"/>
      <c r="W516" s="199"/>
      <c r="X516" s="199"/>
      <c r="Y516" s="199"/>
      <c r="Z516" s="199"/>
      <c r="AA516" s="199"/>
      <c r="AB516" s="199"/>
      <c r="AC516" s="199"/>
      <c r="AD516" s="199"/>
      <c r="AE516" s="199"/>
      <c r="AF516" s="199"/>
      <c r="AG516" s="199"/>
      <c r="AH516" s="199"/>
      <c r="AI516" s="199"/>
      <c r="AJ516" s="199"/>
      <c r="AK516" s="199"/>
      <c r="AL516" s="199"/>
      <c r="AM516" s="199"/>
    </row>
    <row r="517" spans="1:39">
      <c r="A517" s="712"/>
      <c r="B517" s="199"/>
      <c r="C517" s="1164"/>
      <c r="D517" s="1735"/>
      <c r="E517" s="712"/>
      <c r="F517" s="327"/>
      <c r="G517" s="1736"/>
      <c r="H517" s="712"/>
      <c r="I517" s="712"/>
      <c r="J517" s="199"/>
      <c r="K517" s="712"/>
      <c r="L517" s="712"/>
      <c r="M517" s="711"/>
      <c r="N517" s="1737"/>
      <c r="O517" s="711"/>
      <c r="P517" s="1738"/>
      <c r="Q517" s="1739"/>
      <c r="R517" s="1740"/>
      <c r="S517" s="1056"/>
      <c r="T517" s="1741"/>
      <c r="U517" s="1056"/>
      <c r="V517" s="199"/>
      <c r="W517" s="199"/>
      <c r="X517" s="199"/>
      <c r="Y517" s="199"/>
      <c r="Z517" s="199"/>
      <c r="AA517" s="199"/>
      <c r="AB517" s="199"/>
      <c r="AC517" s="199"/>
      <c r="AD517" s="199"/>
      <c r="AE517" s="199"/>
      <c r="AF517" s="199"/>
      <c r="AG517" s="199"/>
      <c r="AH517" s="199"/>
      <c r="AI517" s="199"/>
      <c r="AJ517" s="199"/>
      <c r="AK517" s="199"/>
      <c r="AL517" s="199"/>
      <c r="AM517" s="199"/>
    </row>
    <row r="518" spans="1:39">
      <c r="A518" s="712"/>
      <c r="B518" s="199"/>
      <c r="C518" s="1164"/>
      <c r="D518" s="1735"/>
      <c r="E518" s="712"/>
      <c r="F518" s="327"/>
      <c r="G518" s="1736"/>
      <c r="H518" s="712"/>
      <c r="I518" s="712"/>
      <c r="J518" s="199"/>
      <c r="K518" s="712"/>
      <c r="L518" s="712"/>
      <c r="M518" s="711"/>
      <c r="N518" s="1737"/>
      <c r="O518" s="711"/>
      <c r="P518" s="1738"/>
      <c r="Q518" s="1739"/>
      <c r="R518" s="1740"/>
      <c r="S518" s="1056"/>
      <c r="T518" s="1741"/>
      <c r="U518" s="1056"/>
      <c r="V518" s="199"/>
      <c r="W518" s="199"/>
      <c r="X518" s="199"/>
      <c r="Y518" s="199"/>
      <c r="Z518" s="199"/>
      <c r="AA518" s="199"/>
      <c r="AB518" s="199"/>
      <c r="AC518" s="199"/>
      <c r="AD518" s="199"/>
      <c r="AE518" s="199"/>
      <c r="AF518" s="199"/>
      <c r="AG518" s="199"/>
      <c r="AH518" s="199"/>
      <c r="AI518" s="199"/>
      <c r="AJ518" s="199"/>
      <c r="AK518" s="199"/>
      <c r="AL518" s="199"/>
      <c r="AM518" s="199"/>
    </row>
    <row r="519" spans="1:39">
      <c r="A519" s="712"/>
      <c r="B519" s="199"/>
      <c r="C519" s="1164"/>
      <c r="D519" s="1735"/>
      <c r="E519" s="712"/>
      <c r="F519" s="327"/>
      <c r="G519" s="1736"/>
      <c r="H519" s="712"/>
      <c r="I519" s="712"/>
      <c r="J519" s="199"/>
      <c r="K519" s="712"/>
      <c r="L519" s="712"/>
      <c r="M519" s="711"/>
      <c r="N519" s="1737"/>
      <c r="O519" s="711"/>
      <c r="P519" s="1738"/>
      <c r="Q519" s="1739"/>
      <c r="R519" s="1740"/>
      <c r="S519" s="1056"/>
      <c r="T519" s="1741"/>
      <c r="U519" s="1056"/>
      <c r="V519" s="199"/>
      <c r="W519" s="199"/>
      <c r="X519" s="199"/>
      <c r="Y519" s="199"/>
      <c r="Z519" s="199"/>
      <c r="AA519" s="199"/>
      <c r="AB519" s="199"/>
      <c r="AC519" s="199"/>
      <c r="AD519" s="199"/>
      <c r="AE519" s="199"/>
      <c r="AF519" s="199"/>
      <c r="AG519" s="199"/>
      <c r="AH519" s="199"/>
      <c r="AI519" s="199"/>
      <c r="AJ519" s="199"/>
      <c r="AK519" s="199"/>
      <c r="AL519" s="199"/>
      <c r="AM519" s="199"/>
    </row>
    <row r="520" spans="1:39">
      <c r="A520" s="712"/>
      <c r="B520" s="199"/>
      <c r="C520" s="1164"/>
      <c r="D520" s="1735"/>
      <c r="E520" s="712"/>
      <c r="F520" s="327"/>
      <c r="G520" s="1736"/>
      <c r="H520" s="712"/>
      <c r="I520" s="712"/>
      <c r="J520" s="199"/>
      <c r="K520" s="712"/>
      <c r="L520" s="712"/>
      <c r="M520" s="711"/>
      <c r="N520" s="1737"/>
      <c r="O520" s="711"/>
      <c r="P520" s="1738"/>
      <c r="Q520" s="1739"/>
      <c r="R520" s="1740"/>
      <c r="S520" s="1056"/>
      <c r="T520" s="1741"/>
      <c r="U520" s="1056"/>
      <c r="V520" s="199"/>
      <c r="W520" s="199"/>
      <c r="X520" s="199"/>
      <c r="Y520" s="199"/>
      <c r="Z520" s="199"/>
      <c r="AA520" s="199"/>
      <c r="AB520" s="199"/>
      <c r="AC520" s="199"/>
      <c r="AD520" s="199"/>
      <c r="AE520" s="199"/>
      <c r="AF520" s="199"/>
      <c r="AG520" s="199"/>
      <c r="AH520" s="199"/>
      <c r="AI520" s="199"/>
      <c r="AJ520" s="199"/>
      <c r="AK520" s="199"/>
      <c r="AL520" s="199"/>
      <c r="AM520" s="199"/>
    </row>
    <row r="521" spans="1:39">
      <c r="A521" s="712"/>
      <c r="B521" s="199"/>
      <c r="C521" s="1164"/>
      <c r="D521" s="1735"/>
      <c r="E521" s="712"/>
      <c r="F521" s="327"/>
      <c r="G521" s="1736"/>
      <c r="H521" s="712"/>
      <c r="I521" s="712"/>
      <c r="J521" s="199"/>
      <c r="K521" s="712"/>
      <c r="L521" s="712"/>
      <c r="M521" s="711"/>
      <c r="N521" s="1737"/>
      <c r="O521" s="711"/>
      <c r="P521" s="1738"/>
      <c r="Q521" s="1739"/>
      <c r="R521" s="1740"/>
      <c r="S521" s="1056"/>
      <c r="T521" s="1741"/>
      <c r="U521" s="1056"/>
      <c r="V521" s="199"/>
      <c r="W521" s="199"/>
      <c r="X521" s="199"/>
      <c r="Y521" s="199"/>
      <c r="Z521" s="199"/>
      <c r="AA521" s="199"/>
      <c r="AB521" s="199"/>
      <c r="AC521" s="199"/>
      <c r="AD521" s="199"/>
      <c r="AE521" s="199"/>
      <c r="AF521" s="199"/>
      <c r="AG521" s="199"/>
      <c r="AH521" s="199"/>
      <c r="AI521" s="199"/>
      <c r="AJ521" s="199"/>
      <c r="AK521" s="199"/>
      <c r="AL521" s="199"/>
      <c r="AM521" s="199"/>
    </row>
    <row r="522" spans="1:39">
      <c r="A522" s="712"/>
      <c r="B522" s="199"/>
      <c r="C522" s="1164"/>
      <c r="D522" s="1735"/>
      <c r="E522" s="712"/>
      <c r="F522" s="327"/>
      <c r="G522" s="1736"/>
      <c r="H522" s="712"/>
      <c r="I522" s="712"/>
      <c r="J522" s="199"/>
      <c r="K522" s="712"/>
      <c r="L522" s="712"/>
      <c r="M522" s="711"/>
      <c r="N522" s="1737"/>
      <c r="O522" s="711"/>
      <c r="P522" s="1738"/>
      <c r="Q522" s="1739"/>
      <c r="R522" s="1740"/>
      <c r="S522" s="1056"/>
      <c r="T522" s="1741"/>
      <c r="U522" s="1056"/>
      <c r="V522" s="199"/>
      <c r="W522" s="199"/>
      <c r="X522" s="199"/>
      <c r="Y522" s="199"/>
      <c r="Z522" s="199"/>
      <c r="AA522" s="199"/>
      <c r="AB522" s="199"/>
      <c r="AC522" s="199"/>
      <c r="AD522" s="199"/>
      <c r="AE522" s="199"/>
      <c r="AF522" s="199"/>
      <c r="AG522" s="199"/>
      <c r="AH522" s="199"/>
      <c r="AI522" s="199"/>
      <c r="AJ522" s="199"/>
      <c r="AK522" s="199"/>
      <c r="AL522" s="199"/>
      <c r="AM522" s="199"/>
    </row>
    <row r="523" spans="1:39">
      <c r="A523" s="712"/>
      <c r="B523" s="199"/>
      <c r="C523" s="1164"/>
      <c r="D523" s="1735"/>
      <c r="E523" s="712"/>
      <c r="F523" s="327"/>
      <c r="G523" s="1736"/>
      <c r="H523" s="712"/>
      <c r="I523" s="712"/>
      <c r="J523" s="199"/>
      <c r="K523" s="712"/>
      <c r="L523" s="712"/>
      <c r="M523" s="711"/>
      <c r="N523" s="1737"/>
      <c r="O523" s="711"/>
      <c r="P523" s="1738"/>
      <c r="Q523" s="1739"/>
      <c r="R523" s="1740"/>
      <c r="S523" s="1056"/>
      <c r="T523" s="1741"/>
      <c r="U523" s="1056"/>
      <c r="V523" s="199"/>
      <c r="W523" s="199"/>
      <c r="X523" s="199"/>
      <c r="Y523" s="199"/>
      <c r="Z523" s="199"/>
      <c r="AA523" s="199"/>
      <c r="AB523" s="199"/>
      <c r="AC523" s="199"/>
      <c r="AD523" s="199"/>
      <c r="AE523" s="199"/>
      <c r="AF523" s="199"/>
      <c r="AG523" s="199"/>
      <c r="AH523" s="199"/>
      <c r="AI523" s="199"/>
      <c r="AJ523" s="199"/>
      <c r="AK523" s="199"/>
      <c r="AL523" s="199"/>
      <c r="AM523" s="199"/>
    </row>
    <row r="524" spans="1:39">
      <c r="A524" s="712"/>
      <c r="B524" s="199"/>
      <c r="C524" s="1164"/>
      <c r="D524" s="1735"/>
      <c r="E524" s="712"/>
      <c r="F524" s="327"/>
      <c r="G524" s="1736"/>
      <c r="H524" s="712"/>
      <c r="I524" s="712"/>
      <c r="J524" s="199"/>
      <c r="K524" s="712"/>
      <c r="L524" s="712"/>
      <c r="M524" s="711"/>
      <c r="N524" s="1737"/>
      <c r="O524" s="711"/>
      <c r="P524" s="1738"/>
      <c r="Q524" s="1739"/>
      <c r="R524" s="1740"/>
      <c r="S524" s="1056"/>
      <c r="T524" s="1741"/>
      <c r="U524" s="1056"/>
      <c r="V524" s="199"/>
      <c r="W524" s="199"/>
      <c r="X524" s="199"/>
      <c r="Y524" s="199"/>
      <c r="Z524" s="199"/>
      <c r="AA524" s="199"/>
      <c r="AB524" s="199"/>
      <c r="AC524" s="199"/>
      <c r="AD524" s="199"/>
      <c r="AE524" s="199"/>
      <c r="AF524" s="199"/>
      <c r="AG524" s="199"/>
      <c r="AH524" s="199"/>
      <c r="AI524" s="199"/>
      <c r="AJ524" s="199"/>
      <c r="AK524" s="199"/>
      <c r="AL524" s="199"/>
      <c r="AM524" s="199"/>
    </row>
    <row r="525" spans="1:39">
      <c r="A525" s="712"/>
      <c r="B525" s="199"/>
      <c r="C525" s="1164"/>
      <c r="D525" s="1735"/>
      <c r="E525" s="712"/>
      <c r="F525" s="327"/>
      <c r="G525" s="1736"/>
      <c r="H525" s="712"/>
      <c r="I525" s="712"/>
      <c r="J525" s="199"/>
      <c r="K525" s="712"/>
      <c r="L525" s="712"/>
      <c r="M525" s="711"/>
      <c r="N525" s="1737"/>
      <c r="O525" s="711"/>
      <c r="P525" s="1738"/>
      <c r="Q525" s="1739"/>
      <c r="R525" s="1740"/>
      <c r="S525" s="1056"/>
      <c r="T525" s="1741"/>
      <c r="U525" s="1056"/>
      <c r="V525" s="199"/>
      <c r="W525" s="199"/>
      <c r="X525" s="199"/>
      <c r="Y525" s="199"/>
      <c r="Z525" s="199"/>
      <c r="AA525" s="199"/>
      <c r="AB525" s="199"/>
      <c r="AC525" s="199"/>
      <c r="AD525" s="199"/>
      <c r="AE525" s="199"/>
      <c r="AF525" s="199"/>
      <c r="AG525" s="199"/>
      <c r="AH525" s="199"/>
      <c r="AI525" s="199"/>
      <c r="AJ525" s="199"/>
      <c r="AK525" s="199"/>
      <c r="AL525" s="199"/>
      <c r="AM525" s="199"/>
    </row>
    <row r="526" spans="1:39">
      <c r="A526" s="712"/>
      <c r="B526" s="199"/>
      <c r="C526" s="1164"/>
      <c r="D526" s="1735"/>
      <c r="E526" s="712"/>
      <c r="F526" s="327"/>
      <c r="G526" s="1736"/>
      <c r="H526" s="712"/>
      <c r="I526" s="712"/>
      <c r="J526" s="199"/>
      <c r="K526" s="712"/>
      <c r="L526" s="712"/>
      <c r="M526" s="711"/>
      <c r="N526" s="1737"/>
      <c r="O526" s="711"/>
      <c r="P526" s="1738"/>
      <c r="Q526" s="1739"/>
      <c r="R526" s="1740"/>
      <c r="S526" s="1056"/>
      <c r="T526" s="1741"/>
      <c r="U526" s="1056"/>
      <c r="V526" s="199"/>
      <c r="W526" s="199"/>
      <c r="X526" s="199"/>
      <c r="Y526" s="199"/>
      <c r="Z526" s="199"/>
      <c r="AA526" s="199"/>
      <c r="AB526" s="199"/>
      <c r="AC526" s="199"/>
      <c r="AD526" s="199"/>
      <c r="AE526" s="199"/>
      <c r="AF526" s="199"/>
      <c r="AG526" s="199"/>
      <c r="AH526" s="199"/>
      <c r="AI526" s="199"/>
      <c r="AJ526" s="199"/>
      <c r="AK526" s="199"/>
      <c r="AL526" s="199"/>
      <c r="AM526" s="199"/>
    </row>
    <row r="527" spans="1:39">
      <c r="A527" s="712"/>
      <c r="B527" s="199"/>
      <c r="C527" s="1164"/>
      <c r="D527" s="1735"/>
      <c r="E527" s="712"/>
      <c r="F527" s="327"/>
      <c r="G527" s="1736"/>
      <c r="H527" s="712"/>
      <c r="I527" s="712"/>
      <c r="J527" s="199"/>
      <c r="K527" s="712"/>
      <c r="L527" s="712"/>
      <c r="M527" s="711"/>
      <c r="N527" s="1737"/>
      <c r="O527" s="711"/>
      <c r="P527" s="1738"/>
      <c r="Q527" s="1739"/>
      <c r="R527" s="1740"/>
      <c r="S527" s="1056"/>
      <c r="T527" s="1741"/>
      <c r="U527" s="1056"/>
      <c r="V527" s="199"/>
      <c r="W527" s="199"/>
      <c r="X527" s="199"/>
      <c r="Y527" s="199"/>
      <c r="Z527" s="199"/>
      <c r="AA527" s="199"/>
      <c r="AB527" s="199"/>
      <c r="AC527" s="199"/>
      <c r="AD527" s="199"/>
      <c r="AE527" s="199"/>
      <c r="AF527" s="199"/>
      <c r="AG527" s="199"/>
      <c r="AH527" s="199"/>
      <c r="AI527" s="199"/>
      <c r="AJ527" s="199"/>
      <c r="AK527" s="199"/>
      <c r="AL527" s="199"/>
      <c r="AM527" s="199"/>
    </row>
    <row r="528" spans="1:39">
      <c r="A528" s="712"/>
      <c r="B528" s="199"/>
      <c r="C528" s="1164"/>
      <c r="D528" s="1735"/>
      <c r="E528" s="712"/>
      <c r="F528" s="327"/>
      <c r="G528" s="1736"/>
      <c r="H528" s="712"/>
      <c r="I528" s="712"/>
      <c r="J528" s="199"/>
      <c r="K528" s="712"/>
      <c r="L528" s="712"/>
      <c r="M528" s="711"/>
      <c r="N528" s="1737"/>
      <c r="O528" s="711"/>
      <c r="P528" s="1738"/>
      <c r="Q528" s="1739"/>
      <c r="R528" s="1740"/>
      <c r="S528" s="1056"/>
      <c r="T528" s="1741"/>
      <c r="U528" s="1056"/>
      <c r="V528" s="199"/>
      <c r="W528" s="199"/>
      <c r="X528" s="199"/>
      <c r="Y528" s="199"/>
      <c r="Z528" s="199"/>
      <c r="AA528" s="199"/>
      <c r="AB528" s="199"/>
      <c r="AC528" s="199"/>
      <c r="AD528" s="199"/>
      <c r="AE528" s="199"/>
      <c r="AF528" s="199"/>
      <c r="AG528" s="199"/>
      <c r="AH528" s="199"/>
      <c r="AI528" s="199"/>
      <c r="AJ528" s="199"/>
      <c r="AK528" s="199"/>
      <c r="AL528" s="199"/>
      <c r="AM528" s="199"/>
    </row>
    <row r="529" spans="1:39">
      <c r="A529" s="712"/>
      <c r="B529" s="199"/>
      <c r="C529" s="1164"/>
      <c r="D529" s="1735"/>
      <c r="E529" s="712"/>
      <c r="F529" s="327"/>
      <c r="G529" s="1736"/>
      <c r="H529" s="712"/>
      <c r="I529" s="712"/>
      <c r="J529" s="199"/>
      <c r="K529" s="712"/>
      <c r="L529" s="712"/>
      <c r="M529" s="711"/>
      <c r="N529" s="1737"/>
      <c r="O529" s="711"/>
      <c r="P529" s="1738"/>
      <c r="Q529" s="1739"/>
      <c r="R529" s="1740"/>
      <c r="S529" s="1056"/>
      <c r="T529" s="1741"/>
      <c r="U529" s="1056"/>
      <c r="V529" s="199"/>
      <c r="W529" s="199"/>
      <c r="X529" s="199"/>
      <c r="Y529" s="199"/>
      <c r="Z529" s="199"/>
      <c r="AA529" s="199"/>
      <c r="AB529" s="199"/>
      <c r="AC529" s="199"/>
      <c r="AD529" s="199"/>
      <c r="AE529" s="199"/>
      <c r="AF529" s="199"/>
      <c r="AG529" s="199"/>
      <c r="AH529" s="199"/>
      <c r="AI529" s="199"/>
      <c r="AJ529" s="199"/>
      <c r="AK529" s="199"/>
      <c r="AL529" s="199"/>
      <c r="AM529" s="199"/>
    </row>
    <row r="530" spans="1:39">
      <c r="A530" s="712"/>
      <c r="B530" s="199"/>
      <c r="C530" s="1164"/>
      <c r="D530" s="1735"/>
      <c r="E530" s="712"/>
      <c r="F530" s="327"/>
      <c r="G530" s="1736"/>
      <c r="H530" s="712"/>
      <c r="I530" s="712"/>
      <c r="J530" s="199"/>
      <c r="K530" s="712"/>
      <c r="L530" s="712"/>
      <c r="M530" s="711"/>
      <c r="N530" s="1737"/>
      <c r="O530" s="711"/>
      <c r="P530" s="1738"/>
      <c r="Q530" s="1739"/>
      <c r="R530" s="1740"/>
      <c r="S530" s="1056"/>
      <c r="T530" s="1741"/>
      <c r="U530" s="1056"/>
      <c r="V530" s="199"/>
      <c r="W530" s="199"/>
      <c r="X530" s="199"/>
      <c r="Y530" s="199"/>
      <c r="Z530" s="199"/>
      <c r="AA530" s="199"/>
      <c r="AB530" s="199"/>
      <c r="AC530" s="199"/>
      <c r="AD530" s="199"/>
      <c r="AE530" s="199"/>
      <c r="AF530" s="199"/>
      <c r="AG530" s="199"/>
      <c r="AH530" s="199"/>
      <c r="AI530" s="199"/>
      <c r="AJ530" s="199"/>
      <c r="AK530" s="199"/>
      <c r="AL530" s="199"/>
      <c r="AM530" s="199"/>
    </row>
    <row r="531" spans="1:39">
      <c r="A531" s="712"/>
      <c r="B531" s="199"/>
      <c r="C531" s="1164"/>
      <c r="D531" s="1735"/>
      <c r="E531" s="712"/>
      <c r="F531" s="327"/>
      <c r="G531" s="1736"/>
      <c r="H531" s="712"/>
      <c r="I531" s="712"/>
      <c r="J531" s="199"/>
      <c r="K531" s="712"/>
      <c r="L531" s="712"/>
      <c r="M531" s="711"/>
      <c r="N531" s="1737"/>
      <c r="O531" s="711"/>
      <c r="P531" s="1738"/>
      <c r="Q531" s="1739"/>
      <c r="R531" s="1740"/>
      <c r="S531" s="1056"/>
      <c r="T531" s="1741"/>
      <c r="U531" s="1056"/>
      <c r="V531" s="199"/>
      <c r="W531" s="199"/>
      <c r="X531" s="199"/>
      <c r="Y531" s="199"/>
      <c r="Z531" s="199"/>
      <c r="AA531" s="199"/>
      <c r="AB531" s="199"/>
      <c r="AC531" s="199"/>
      <c r="AD531" s="199"/>
      <c r="AE531" s="199"/>
      <c r="AF531" s="199"/>
      <c r="AG531" s="199"/>
      <c r="AH531" s="199"/>
      <c r="AI531" s="199"/>
      <c r="AJ531" s="199"/>
      <c r="AK531" s="199"/>
      <c r="AL531" s="199"/>
      <c r="AM531" s="199"/>
    </row>
    <row r="532" spans="1:39">
      <c r="A532" s="712"/>
      <c r="B532" s="199"/>
      <c r="C532" s="1164"/>
      <c r="D532" s="1735"/>
      <c r="E532" s="712"/>
      <c r="F532" s="327"/>
      <c r="G532" s="1736"/>
      <c r="H532" s="712"/>
      <c r="I532" s="712"/>
      <c r="J532" s="199"/>
      <c r="K532" s="712"/>
      <c r="L532" s="712"/>
      <c r="M532" s="711"/>
      <c r="N532" s="1737"/>
      <c r="O532" s="711"/>
      <c r="P532" s="1738"/>
      <c r="Q532" s="1739"/>
      <c r="R532" s="1740"/>
      <c r="S532" s="1056"/>
      <c r="T532" s="1741"/>
      <c r="U532" s="1056"/>
      <c r="V532" s="199"/>
      <c r="W532" s="199"/>
      <c r="X532" s="199"/>
      <c r="Y532" s="199"/>
      <c r="Z532" s="199"/>
      <c r="AA532" s="199"/>
      <c r="AB532" s="199"/>
      <c r="AC532" s="199"/>
      <c r="AD532" s="199"/>
      <c r="AE532" s="199"/>
      <c r="AF532" s="199"/>
      <c r="AG532" s="199"/>
      <c r="AH532" s="199"/>
      <c r="AI532" s="199"/>
      <c r="AJ532" s="199"/>
      <c r="AK532" s="199"/>
      <c r="AL532" s="199"/>
      <c r="AM532" s="199"/>
    </row>
    <row r="533" spans="1:39">
      <c r="A533" s="712"/>
      <c r="B533" s="199"/>
      <c r="C533" s="1164"/>
      <c r="D533" s="1735"/>
      <c r="E533" s="712"/>
      <c r="F533" s="327"/>
      <c r="G533" s="1736"/>
      <c r="H533" s="712"/>
      <c r="I533" s="712"/>
      <c r="J533" s="199"/>
      <c r="K533" s="712"/>
      <c r="L533" s="712"/>
      <c r="M533" s="711"/>
      <c r="N533" s="1737"/>
      <c r="O533" s="711"/>
      <c r="P533" s="1738"/>
      <c r="Q533" s="1739"/>
      <c r="R533" s="1740"/>
      <c r="S533" s="1056"/>
      <c r="T533" s="1741"/>
      <c r="U533" s="1056"/>
      <c r="V533" s="199"/>
      <c r="W533" s="199"/>
      <c r="X533" s="199"/>
      <c r="Y533" s="199"/>
      <c r="Z533" s="199"/>
      <c r="AA533" s="199"/>
      <c r="AB533" s="199"/>
      <c r="AC533" s="199"/>
      <c r="AD533" s="199"/>
      <c r="AE533" s="199"/>
      <c r="AF533" s="199"/>
      <c r="AG533" s="199"/>
      <c r="AH533" s="199"/>
      <c r="AI533" s="199"/>
      <c r="AJ533" s="199"/>
      <c r="AK533" s="199"/>
      <c r="AL533" s="199"/>
      <c r="AM533" s="199"/>
    </row>
    <row r="534" spans="1:39">
      <c r="A534" s="712"/>
      <c r="B534" s="199"/>
      <c r="C534" s="1164"/>
      <c r="D534" s="1735"/>
      <c r="E534" s="712"/>
      <c r="F534" s="327"/>
      <c r="G534" s="1736"/>
      <c r="H534" s="712"/>
      <c r="I534" s="712"/>
      <c r="J534" s="199"/>
      <c r="K534" s="712"/>
      <c r="L534" s="712"/>
      <c r="M534" s="711"/>
      <c r="N534" s="1737"/>
      <c r="O534" s="711"/>
      <c r="P534" s="1738"/>
      <c r="Q534" s="1739"/>
      <c r="R534" s="1740"/>
      <c r="S534" s="1056"/>
      <c r="T534" s="1741"/>
      <c r="U534" s="1056"/>
      <c r="V534" s="199"/>
      <c r="W534" s="199"/>
      <c r="X534" s="199"/>
      <c r="Y534" s="199"/>
      <c r="Z534" s="199"/>
      <c r="AA534" s="199"/>
      <c r="AB534" s="199"/>
      <c r="AC534" s="199"/>
      <c r="AD534" s="199"/>
      <c r="AE534" s="199"/>
      <c r="AF534" s="199"/>
      <c r="AG534" s="199"/>
      <c r="AH534" s="199"/>
      <c r="AI534" s="199"/>
      <c r="AJ534" s="199"/>
      <c r="AK534" s="199"/>
      <c r="AL534" s="199"/>
      <c r="AM534" s="199"/>
    </row>
    <row r="535" spans="1:39">
      <c r="A535" s="712"/>
      <c r="B535" s="199"/>
      <c r="C535" s="1164"/>
      <c r="D535" s="1735"/>
      <c r="E535" s="712"/>
      <c r="F535" s="327"/>
      <c r="G535" s="1736"/>
      <c r="H535" s="712"/>
      <c r="I535" s="712"/>
      <c r="J535" s="199"/>
      <c r="K535" s="712"/>
      <c r="L535" s="712"/>
      <c r="M535" s="711"/>
      <c r="N535" s="1737"/>
      <c r="O535" s="711"/>
      <c r="P535" s="1738"/>
      <c r="Q535" s="1739"/>
      <c r="R535" s="1740"/>
      <c r="S535" s="1056"/>
      <c r="T535" s="1741"/>
      <c r="U535" s="1056"/>
      <c r="V535" s="199"/>
      <c r="W535" s="199"/>
      <c r="X535" s="199"/>
      <c r="Y535" s="199"/>
      <c r="Z535" s="199"/>
      <c r="AA535" s="199"/>
      <c r="AB535" s="199"/>
      <c r="AC535" s="199"/>
      <c r="AD535" s="199"/>
      <c r="AE535" s="199"/>
      <c r="AF535" s="199"/>
      <c r="AG535" s="199"/>
      <c r="AH535" s="199"/>
      <c r="AI535" s="199"/>
      <c r="AJ535" s="199"/>
      <c r="AK535" s="199"/>
      <c r="AL535" s="199"/>
      <c r="AM535" s="199"/>
    </row>
    <row r="536" spans="1:39">
      <c r="A536" s="712"/>
      <c r="B536" s="199"/>
      <c r="C536" s="1164"/>
      <c r="D536" s="1735"/>
      <c r="E536" s="712"/>
      <c r="F536" s="327"/>
      <c r="G536" s="1736"/>
      <c r="H536" s="712"/>
      <c r="I536" s="712"/>
      <c r="J536" s="199"/>
      <c r="K536" s="712"/>
      <c r="L536" s="712"/>
      <c r="M536" s="711"/>
      <c r="N536" s="1737"/>
      <c r="O536" s="711"/>
      <c r="P536" s="1738"/>
      <c r="Q536" s="1739"/>
      <c r="R536" s="1740"/>
      <c r="S536" s="1056"/>
      <c r="T536" s="1741"/>
      <c r="U536" s="1056"/>
      <c r="V536" s="199"/>
      <c r="W536" s="199"/>
      <c r="X536" s="199"/>
      <c r="Y536" s="199"/>
      <c r="Z536" s="199"/>
      <c r="AA536" s="199"/>
      <c r="AB536" s="199"/>
      <c r="AC536" s="199"/>
      <c r="AD536" s="199"/>
      <c r="AE536" s="199"/>
      <c r="AF536" s="199"/>
      <c r="AG536" s="199"/>
      <c r="AH536" s="199"/>
      <c r="AI536" s="199"/>
      <c r="AJ536" s="199"/>
      <c r="AK536" s="199"/>
      <c r="AL536" s="199"/>
      <c r="AM536" s="199"/>
    </row>
    <row r="537" spans="1:39">
      <c r="A537" s="712"/>
      <c r="B537" s="199"/>
      <c r="C537" s="1164"/>
      <c r="D537" s="1735"/>
      <c r="E537" s="712"/>
      <c r="F537" s="327"/>
      <c r="G537" s="1736"/>
      <c r="H537" s="712"/>
      <c r="I537" s="712"/>
      <c r="J537" s="199"/>
      <c r="K537" s="712"/>
      <c r="L537" s="712"/>
      <c r="M537" s="711"/>
      <c r="N537" s="1737"/>
      <c r="O537" s="711"/>
      <c r="P537" s="1738"/>
      <c r="Q537" s="1739"/>
      <c r="R537" s="1740"/>
      <c r="S537" s="1056"/>
      <c r="T537" s="1741"/>
      <c r="U537" s="1056"/>
      <c r="V537" s="199"/>
      <c r="W537" s="199"/>
      <c r="X537" s="199"/>
      <c r="Y537" s="199"/>
      <c r="Z537" s="199"/>
      <c r="AA537" s="199"/>
      <c r="AB537" s="199"/>
      <c r="AC537" s="199"/>
      <c r="AD537" s="199"/>
      <c r="AE537" s="199"/>
      <c r="AF537" s="199"/>
      <c r="AG537" s="199"/>
      <c r="AH537" s="199"/>
      <c r="AI537" s="199"/>
      <c r="AJ537" s="199"/>
      <c r="AK537" s="199"/>
      <c r="AL537" s="199"/>
      <c r="AM537" s="199"/>
    </row>
    <row r="538" spans="1:39">
      <c r="A538" s="712"/>
      <c r="B538" s="199"/>
      <c r="C538" s="1164"/>
      <c r="D538" s="1735"/>
      <c r="E538" s="712"/>
      <c r="F538" s="327"/>
      <c r="G538" s="1736"/>
      <c r="H538" s="712"/>
      <c r="I538" s="712"/>
      <c r="J538" s="199"/>
      <c r="K538" s="712"/>
      <c r="L538" s="712"/>
      <c r="M538" s="711"/>
      <c r="N538" s="1737"/>
      <c r="O538" s="711"/>
      <c r="P538" s="1738"/>
      <c r="Q538" s="1739"/>
      <c r="R538" s="1740"/>
      <c r="S538" s="1056"/>
      <c r="T538" s="1741"/>
      <c r="U538" s="1056"/>
      <c r="V538" s="199"/>
      <c r="W538" s="199"/>
      <c r="X538" s="199"/>
      <c r="Y538" s="199"/>
      <c r="Z538" s="199"/>
      <c r="AA538" s="199"/>
      <c r="AB538" s="199"/>
      <c r="AC538" s="199"/>
      <c r="AD538" s="199"/>
      <c r="AE538" s="199"/>
      <c r="AF538" s="199"/>
      <c r="AG538" s="199"/>
      <c r="AH538" s="199"/>
      <c r="AI538" s="199"/>
      <c r="AJ538" s="199"/>
      <c r="AK538" s="199"/>
      <c r="AL538" s="199"/>
      <c r="AM538" s="199"/>
    </row>
    <row r="539" spans="1:39">
      <c r="A539" s="712"/>
      <c r="B539" s="199"/>
      <c r="C539" s="1164"/>
      <c r="D539" s="1735"/>
      <c r="E539" s="712"/>
      <c r="F539" s="327"/>
      <c r="G539" s="1736"/>
      <c r="H539" s="712"/>
      <c r="I539" s="712"/>
      <c r="J539" s="199"/>
      <c r="K539" s="712"/>
      <c r="L539" s="712"/>
      <c r="M539" s="711"/>
      <c r="N539" s="1737"/>
      <c r="O539" s="711"/>
      <c r="P539" s="1738"/>
      <c r="Q539" s="1739"/>
      <c r="R539" s="1740"/>
      <c r="S539" s="1056"/>
      <c r="T539" s="1741"/>
      <c r="U539" s="1056"/>
      <c r="V539" s="199"/>
      <c r="W539" s="199"/>
      <c r="X539" s="199"/>
      <c r="Y539" s="199"/>
      <c r="Z539" s="199"/>
      <c r="AA539" s="199"/>
      <c r="AB539" s="199"/>
      <c r="AC539" s="199"/>
      <c r="AD539" s="199"/>
      <c r="AE539" s="199"/>
      <c r="AF539" s="199"/>
      <c r="AG539" s="199"/>
      <c r="AH539" s="199"/>
      <c r="AI539" s="199"/>
      <c r="AJ539" s="199"/>
      <c r="AK539" s="199"/>
      <c r="AL539" s="199"/>
      <c r="AM539" s="199"/>
    </row>
    <row r="540" spans="1:39">
      <c r="A540" s="712"/>
      <c r="B540" s="199"/>
      <c r="C540" s="1164"/>
      <c r="D540" s="1735"/>
      <c r="E540" s="712"/>
      <c r="F540" s="327"/>
      <c r="G540" s="1736"/>
      <c r="H540" s="712"/>
      <c r="I540" s="712"/>
      <c r="J540" s="199"/>
      <c r="K540" s="712"/>
      <c r="L540" s="712"/>
      <c r="M540" s="711"/>
      <c r="N540" s="1737"/>
      <c r="O540" s="711"/>
      <c r="P540" s="1738"/>
      <c r="Q540" s="1739"/>
      <c r="R540" s="1740"/>
      <c r="S540" s="1056"/>
      <c r="T540" s="1741"/>
      <c r="U540" s="1056"/>
      <c r="V540" s="199"/>
      <c r="W540" s="199"/>
      <c r="X540" s="199"/>
      <c r="Y540" s="199"/>
      <c r="Z540" s="199"/>
      <c r="AA540" s="199"/>
      <c r="AB540" s="199"/>
      <c r="AC540" s="199"/>
      <c r="AD540" s="199"/>
      <c r="AE540" s="199"/>
      <c r="AF540" s="199"/>
      <c r="AG540" s="199"/>
      <c r="AH540" s="199"/>
      <c r="AI540" s="199"/>
      <c r="AJ540" s="199"/>
      <c r="AK540" s="199"/>
      <c r="AL540" s="199"/>
      <c r="AM540" s="199"/>
    </row>
    <row r="541" spans="1:39">
      <c r="A541" s="712"/>
      <c r="B541" s="199"/>
      <c r="C541" s="1164"/>
      <c r="D541" s="1735"/>
      <c r="E541" s="712"/>
      <c r="F541" s="327"/>
      <c r="G541" s="1736"/>
      <c r="H541" s="712"/>
      <c r="I541" s="712"/>
      <c r="J541" s="199"/>
      <c r="K541" s="712"/>
      <c r="L541" s="712"/>
      <c r="M541" s="711"/>
      <c r="N541" s="1737"/>
      <c r="O541" s="711"/>
      <c r="P541" s="1738"/>
      <c r="Q541" s="1739"/>
      <c r="R541" s="1740"/>
      <c r="S541" s="1056"/>
      <c r="T541" s="1741"/>
      <c r="U541" s="1056"/>
      <c r="V541" s="199"/>
      <c r="W541" s="199"/>
      <c r="X541" s="199"/>
      <c r="Y541" s="199"/>
      <c r="Z541" s="199"/>
      <c r="AA541" s="199"/>
      <c r="AB541" s="199"/>
      <c r="AC541" s="199"/>
      <c r="AD541" s="199"/>
      <c r="AE541" s="199"/>
      <c r="AF541" s="199"/>
      <c r="AG541" s="199"/>
      <c r="AH541" s="199"/>
      <c r="AI541" s="199"/>
      <c r="AJ541" s="199"/>
      <c r="AK541" s="199"/>
      <c r="AL541" s="199"/>
      <c r="AM541" s="199"/>
    </row>
    <row r="542" spans="1:39">
      <c r="A542" s="712"/>
      <c r="B542" s="199"/>
      <c r="C542" s="1164"/>
      <c r="D542" s="1735"/>
      <c r="E542" s="712"/>
      <c r="F542" s="327"/>
      <c r="G542" s="1736"/>
      <c r="H542" s="712"/>
      <c r="I542" s="712"/>
      <c r="J542" s="199"/>
      <c r="K542" s="712"/>
      <c r="L542" s="712"/>
      <c r="M542" s="711"/>
      <c r="N542" s="1737"/>
      <c r="O542" s="711"/>
      <c r="P542" s="1738"/>
      <c r="Q542" s="1739"/>
      <c r="R542" s="1740"/>
      <c r="S542" s="1056"/>
      <c r="T542" s="1741"/>
      <c r="U542" s="1056"/>
      <c r="V542" s="199"/>
      <c r="W542" s="199"/>
      <c r="X542" s="199"/>
      <c r="Y542" s="199"/>
      <c r="Z542" s="199"/>
      <c r="AA542" s="199"/>
      <c r="AB542" s="199"/>
      <c r="AC542" s="199"/>
      <c r="AD542" s="199"/>
      <c r="AE542" s="199"/>
      <c r="AF542" s="199"/>
      <c r="AG542" s="199"/>
      <c r="AH542" s="199"/>
      <c r="AI542" s="199"/>
      <c r="AJ542" s="199"/>
      <c r="AK542" s="199"/>
      <c r="AL542" s="199"/>
      <c r="AM542" s="199"/>
    </row>
    <row r="543" spans="1:39">
      <c r="A543" s="712"/>
      <c r="B543" s="199"/>
      <c r="C543" s="1164"/>
      <c r="D543" s="1735"/>
      <c r="E543" s="712"/>
      <c r="F543" s="327"/>
      <c r="G543" s="1736"/>
      <c r="H543" s="712"/>
      <c r="I543" s="712"/>
      <c r="J543" s="199"/>
      <c r="K543" s="712"/>
      <c r="L543" s="712"/>
      <c r="M543" s="711"/>
      <c r="N543" s="1737"/>
      <c r="O543" s="711"/>
      <c r="P543" s="1738"/>
      <c r="Q543" s="1739"/>
      <c r="R543" s="1740"/>
      <c r="S543" s="1056"/>
      <c r="T543" s="1741"/>
      <c r="U543" s="1056"/>
      <c r="V543" s="199"/>
      <c r="W543" s="199"/>
      <c r="X543" s="199"/>
      <c r="Y543" s="199"/>
      <c r="Z543" s="199"/>
      <c r="AA543" s="199"/>
      <c r="AB543" s="199"/>
      <c r="AC543" s="199"/>
      <c r="AD543" s="199"/>
      <c r="AE543" s="199"/>
      <c r="AF543" s="199"/>
      <c r="AG543" s="199"/>
      <c r="AH543" s="199"/>
      <c r="AI543" s="199"/>
      <c r="AJ543" s="199"/>
      <c r="AK543" s="199"/>
      <c r="AL543" s="199"/>
      <c r="AM543" s="199"/>
    </row>
    <row r="544" spans="1:39">
      <c r="A544" s="712"/>
      <c r="B544" s="199"/>
      <c r="C544" s="1164"/>
      <c r="D544" s="1735"/>
      <c r="E544" s="712"/>
      <c r="F544" s="327"/>
      <c r="G544" s="1736"/>
      <c r="H544" s="712"/>
      <c r="I544" s="712"/>
      <c r="J544" s="199"/>
      <c r="K544" s="712"/>
      <c r="L544" s="712"/>
      <c r="M544" s="711"/>
      <c r="N544" s="1737"/>
      <c r="O544" s="711"/>
      <c r="P544" s="1738"/>
      <c r="Q544" s="1739"/>
      <c r="R544" s="1740"/>
      <c r="S544" s="1056"/>
      <c r="T544" s="1741"/>
      <c r="U544" s="1056"/>
      <c r="V544" s="199"/>
      <c r="W544" s="199"/>
      <c r="X544" s="199"/>
      <c r="Y544" s="199"/>
      <c r="Z544" s="199"/>
      <c r="AA544" s="199"/>
      <c r="AB544" s="199"/>
      <c r="AC544" s="199"/>
      <c r="AD544" s="199"/>
      <c r="AE544" s="199"/>
      <c r="AF544" s="199"/>
      <c r="AG544" s="199"/>
      <c r="AH544" s="199"/>
      <c r="AI544" s="199"/>
      <c r="AJ544" s="199"/>
      <c r="AK544" s="199"/>
      <c r="AL544" s="199"/>
      <c r="AM544" s="199"/>
    </row>
    <row r="545" spans="1:39">
      <c r="A545" s="712"/>
      <c r="B545" s="199"/>
      <c r="C545" s="1164"/>
      <c r="D545" s="1735"/>
      <c r="E545" s="712"/>
      <c r="F545" s="327"/>
      <c r="G545" s="1736"/>
      <c r="H545" s="712"/>
      <c r="I545" s="712"/>
      <c r="J545" s="199"/>
      <c r="K545" s="712"/>
      <c r="L545" s="712"/>
      <c r="M545" s="711"/>
      <c r="N545" s="1737"/>
      <c r="O545" s="711"/>
      <c r="P545" s="1738"/>
      <c r="Q545" s="1739"/>
      <c r="R545" s="1740"/>
      <c r="S545" s="1056"/>
      <c r="T545" s="1741"/>
      <c r="U545" s="1056"/>
      <c r="V545" s="199"/>
      <c r="W545" s="199"/>
      <c r="X545" s="199"/>
      <c r="Y545" s="199"/>
      <c r="Z545" s="199"/>
      <c r="AA545" s="199"/>
      <c r="AB545" s="199"/>
      <c r="AC545" s="199"/>
      <c r="AD545" s="199"/>
      <c r="AE545" s="199"/>
      <c r="AF545" s="199"/>
      <c r="AG545" s="199"/>
      <c r="AH545" s="199"/>
      <c r="AI545" s="199"/>
      <c r="AJ545" s="199"/>
      <c r="AK545" s="199"/>
      <c r="AL545" s="199"/>
      <c r="AM545" s="199"/>
    </row>
    <row r="546" spans="1:39">
      <c r="A546" s="712"/>
      <c r="B546" s="199"/>
      <c r="C546" s="1164"/>
      <c r="D546" s="1735"/>
      <c r="E546" s="712"/>
      <c r="F546" s="327"/>
      <c r="G546" s="1736"/>
      <c r="H546" s="712"/>
      <c r="I546" s="712"/>
      <c r="J546" s="199"/>
      <c r="K546" s="712"/>
      <c r="L546" s="712"/>
      <c r="M546" s="711"/>
      <c r="N546" s="1737"/>
      <c r="O546" s="711"/>
      <c r="P546" s="1738"/>
      <c r="Q546" s="1739"/>
      <c r="R546" s="1740"/>
      <c r="S546" s="1056"/>
      <c r="T546" s="1741"/>
      <c r="U546" s="1056"/>
      <c r="V546" s="199"/>
      <c r="W546" s="199"/>
      <c r="X546" s="199"/>
      <c r="Y546" s="199"/>
      <c r="Z546" s="199"/>
      <c r="AA546" s="199"/>
      <c r="AB546" s="199"/>
      <c r="AC546" s="199"/>
      <c r="AD546" s="199"/>
      <c r="AE546" s="199"/>
      <c r="AF546" s="199"/>
      <c r="AG546" s="199"/>
      <c r="AH546" s="199"/>
      <c r="AI546" s="199"/>
      <c r="AJ546" s="199"/>
      <c r="AK546" s="199"/>
      <c r="AL546" s="199"/>
      <c r="AM546" s="199"/>
    </row>
    <row r="547" spans="1:39">
      <c r="A547" s="712"/>
      <c r="B547" s="199"/>
      <c r="C547" s="1164"/>
      <c r="D547" s="1735"/>
      <c r="E547" s="712"/>
      <c r="F547" s="327"/>
      <c r="G547" s="1736"/>
      <c r="H547" s="712"/>
      <c r="I547" s="712"/>
      <c r="J547" s="199"/>
      <c r="K547" s="712"/>
      <c r="L547" s="712"/>
      <c r="M547" s="711"/>
      <c r="N547" s="1737"/>
      <c r="O547" s="711"/>
      <c r="P547" s="1738"/>
      <c r="Q547" s="1739"/>
      <c r="R547" s="1740"/>
      <c r="S547" s="1056"/>
      <c r="T547" s="1741"/>
      <c r="U547" s="1056"/>
      <c r="V547" s="199"/>
      <c r="W547" s="199"/>
      <c r="X547" s="199"/>
      <c r="Y547" s="199"/>
      <c r="Z547" s="199"/>
      <c r="AA547" s="199"/>
      <c r="AB547" s="199"/>
      <c r="AC547" s="199"/>
      <c r="AD547" s="199"/>
      <c r="AE547" s="199"/>
      <c r="AF547" s="199"/>
      <c r="AG547" s="199"/>
      <c r="AH547" s="199"/>
      <c r="AI547" s="199"/>
      <c r="AJ547" s="199"/>
      <c r="AK547" s="199"/>
      <c r="AL547" s="199"/>
      <c r="AM547" s="199"/>
    </row>
    <row r="548" spans="1:39">
      <c r="A548" s="712"/>
      <c r="B548" s="199"/>
      <c r="C548" s="1164"/>
      <c r="D548" s="1735"/>
      <c r="E548" s="712"/>
      <c r="F548" s="327"/>
      <c r="G548" s="1736"/>
      <c r="H548" s="712"/>
      <c r="I548" s="712"/>
      <c r="J548" s="199"/>
      <c r="K548" s="712"/>
      <c r="L548" s="712"/>
      <c r="M548" s="711"/>
      <c r="N548" s="1737"/>
      <c r="O548" s="711"/>
      <c r="P548" s="1738"/>
      <c r="Q548" s="1739"/>
      <c r="R548" s="1740"/>
      <c r="S548" s="1056"/>
      <c r="T548" s="1741"/>
      <c r="U548" s="1056"/>
      <c r="V548" s="199"/>
      <c r="W548" s="199"/>
      <c r="X548" s="199"/>
      <c r="Y548" s="199"/>
      <c r="Z548" s="199"/>
      <c r="AA548" s="199"/>
      <c r="AB548" s="199"/>
      <c r="AC548" s="199"/>
      <c r="AD548" s="199"/>
      <c r="AE548" s="199"/>
      <c r="AF548" s="199"/>
      <c r="AG548" s="199"/>
      <c r="AH548" s="199"/>
      <c r="AI548" s="199"/>
      <c r="AJ548" s="199"/>
      <c r="AK548" s="199"/>
      <c r="AL548" s="199"/>
      <c r="AM548" s="199"/>
    </row>
    <row r="549" spans="1:39">
      <c r="A549" s="712"/>
      <c r="B549" s="199"/>
      <c r="C549" s="1164"/>
      <c r="D549" s="1735"/>
      <c r="E549" s="712"/>
      <c r="F549" s="327"/>
      <c r="G549" s="1736"/>
      <c r="H549" s="712"/>
      <c r="I549" s="712"/>
      <c r="J549" s="199"/>
      <c r="K549" s="712"/>
      <c r="L549" s="712"/>
      <c r="M549" s="711"/>
      <c r="N549" s="1737"/>
      <c r="O549" s="711"/>
      <c r="P549" s="1738"/>
      <c r="Q549" s="1739"/>
      <c r="R549" s="1740"/>
      <c r="S549" s="1056"/>
      <c r="T549" s="1741"/>
      <c r="U549" s="1056"/>
      <c r="V549" s="199"/>
      <c r="W549" s="199"/>
      <c r="X549" s="199"/>
      <c r="Y549" s="199"/>
      <c r="Z549" s="199"/>
      <c r="AA549" s="199"/>
      <c r="AB549" s="199"/>
      <c r="AC549" s="199"/>
      <c r="AD549" s="199"/>
      <c r="AE549" s="199"/>
      <c r="AF549" s="199"/>
      <c r="AG549" s="199"/>
      <c r="AH549" s="199"/>
      <c r="AI549" s="199"/>
      <c r="AJ549" s="199"/>
      <c r="AK549" s="199"/>
      <c r="AL549" s="199"/>
      <c r="AM549" s="199"/>
    </row>
    <row r="550" spans="1:39">
      <c r="A550" s="712"/>
      <c r="B550" s="199"/>
      <c r="C550" s="1164"/>
      <c r="D550" s="1735"/>
      <c r="E550" s="712"/>
      <c r="F550" s="327"/>
      <c r="G550" s="1736"/>
      <c r="H550" s="712"/>
      <c r="I550" s="712"/>
      <c r="J550" s="199"/>
      <c r="K550" s="712"/>
      <c r="L550" s="712"/>
      <c r="M550" s="711"/>
      <c r="N550" s="1737"/>
      <c r="O550" s="711"/>
      <c r="P550" s="1738"/>
      <c r="Q550" s="1739"/>
      <c r="R550" s="1740"/>
      <c r="S550" s="1056"/>
      <c r="T550" s="1741"/>
      <c r="U550" s="1056"/>
      <c r="V550" s="199"/>
      <c r="W550" s="199"/>
      <c r="X550" s="199"/>
      <c r="Y550" s="199"/>
      <c r="Z550" s="199"/>
      <c r="AA550" s="199"/>
      <c r="AB550" s="199"/>
      <c r="AC550" s="199"/>
      <c r="AD550" s="199"/>
      <c r="AE550" s="199"/>
      <c r="AF550" s="199"/>
      <c r="AG550" s="199"/>
      <c r="AH550" s="199"/>
      <c r="AI550" s="199"/>
      <c r="AJ550" s="199"/>
      <c r="AK550" s="199"/>
      <c r="AL550" s="199"/>
      <c r="AM550" s="199"/>
    </row>
    <row r="551" spans="1:39">
      <c r="A551" s="712"/>
      <c r="B551" s="199"/>
      <c r="C551" s="1164"/>
      <c r="D551" s="1735"/>
      <c r="E551" s="712"/>
      <c r="F551" s="327"/>
      <c r="G551" s="1736"/>
      <c r="H551" s="712"/>
      <c r="I551" s="712"/>
      <c r="J551" s="199"/>
      <c r="K551" s="712"/>
      <c r="L551" s="712"/>
      <c r="M551" s="711"/>
      <c r="N551" s="1737"/>
      <c r="O551" s="711"/>
      <c r="P551" s="1738"/>
      <c r="Q551" s="1739"/>
      <c r="R551" s="1740"/>
      <c r="S551" s="1056"/>
      <c r="T551" s="1741"/>
      <c r="U551" s="1056"/>
      <c r="V551" s="199"/>
      <c r="W551" s="199"/>
      <c r="X551" s="199"/>
      <c r="Y551" s="199"/>
      <c r="Z551" s="199"/>
      <c r="AA551" s="199"/>
      <c r="AB551" s="199"/>
      <c r="AC551" s="199"/>
      <c r="AD551" s="199"/>
      <c r="AE551" s="199"/>
      <c r="AF551" s="199"/>
      <c r="AG551" s="199"/>
      <c r="AH551" s="199"/>
      <c r="AI551" s="199"/>
      <c r="AJ551" s="199"/>
      <c r="AK551" s="199"/>
      <c r="AL551" s="199"/>
      <c r="AM551" s="199"/>
    </row>
    <row r="552" spans="1:39">
      <c r="A552" s="712"/>
      <c r="B552" s="199"/>
      <c r="C552" s="1164"/>
      <c r="D552" s="1735"/>
      <c r="E552" s="712"/>
      <c r="F552" s="327"/>
      <c r="G552" s="1736"/>
      <c r="H552" s="712"/>
      <c r="I552" s="712"/>
      <c r="J552" s="199"/>
      <c r="K552" s="712"/>
      <c r="L552" s="712"/>
      <c r="M552" s="711"/>
      <c r="N552" s="1737"/>
      <c r="O552" s="711"/>
      <c r="P552" s="1738"/>
      <c r="Q552" s="1739"/>
      <c r="R552" s="1740"/>
      <c r="S552" s="1056"/>
      <c r="T552" s="1741"/>
      <c r="U552" s="1056"/>
      <c r="V552" s="199"/>
      <c r="W552" s="199"/>
      <c r="X552" s="199"/>
      <c r="Y552" s="199"/>
      <c r="Z552" s="199"/>
      <c r="AA552" s="199"/>
      <c r="AB552" s="199"/>
      <c r="AC552" s="199"/>
      <c r="AD552" s="199"/>
      <c r="AE552" s="199"/>
      <c r="AF552" s="199"/>
      <c r="AG552" s="199"/>
      <c r="AH552" s="199"/>
      <c r="AI552" s="199"/>
      <c r="AJ552" s="199"/>
      <c r="AK552" s="199"/>
      <c r="AL552" s="199"/>
      <c r="AM552" s="199"/>
    </row>
    <row r="553" spans="1:39">
      <c r="A553" s="712"/>
      <c r="B553" s="199"/>
      <c r="C553" s="1164"/>
      <c r="D553" s="1735"/>
      <c r="E553" s="712"/>
      <c r="F553" s="327"/>
      <c r="G553" s="1736"/>
      <c r="H553" s="712"/>
      <c r="I553" s="712"/>
      <c r="J553" s="199"/>
      <c r="K553" s="712"/>
      <c r="L553" s="712"/>
      <c r="M553" s="711"/>
      <c r="N553" s="1737"/>
      <c r="O553" s="711"/>
      <c r="P553" s="1738"/>
      <c r="Q553" s="1739"/>
      <c r="R553" s="1740"/>
      <c r="S553" s="1056"/>
      <c r="T553" s="1741"/>
      <c r="U553" s="1056"/>
      <c r="V553" s="199"/>
      <c r="W553" s="199"/>
      <c r="X553" s="199"/>
      <c r="Y553" s="199"/>
      <c r="Z553" s="199"/>
      <c r="AA553" s="199"/>
      <c r="AB553" s="199"/>
      <c r="AC553" s="199"/>
      <c r="AD553" s="199"/>
      <c r="AE553" s="199"/>
      <c r="AF553" s="199"/>
      <c r="AG553" s="199"/>
      <c r="AH553" s="199"/>
      <c r="AI553" s="199"/>
      <c r="AJ553" s="199"/>
      <c r="AK553" s="199"/>
      <c r="AL553" s="199"/>
      <c r="AM553" s="199"/>
    </row>
    <row r="554" spans="1:39">
      <c r="A554" s="712"/>
      <c r="B554" s="199"/>
      <c r="C554" s="1164"/>
      <c r="D554" s="1735"/>
      <c r="E554" s="712"/>
      <c r="F554" s="327"/>
      <c r="G554" s="1736"/>
      <c r="H554" s="712"/>
      <c r="I554" s="712"/>
      <c r="J554" s="199"/>
      <c r="K554" s="712"/>
      <c r="L554" s="712"/>
      <c r="M554" s="711"/>
      <c r="N554" s="1737"/>
      <c r="O554" s="711"/>
      <c r="P554" s="1738"/>
      <c r="Q554" s="1739"/>
      <c r="R554" s="1740"/>
      <c r="S554" s="1056"/>
      <c r="T554" s="1741"/>
      <c r="U554" s="1056"/>
      <c r="V554" s="199"/>
      <c r="W554" s="199"/>
      <c r="X554" s="199"/>
      <c r="Y554" s="199"/>
      <c r="Z554" s="199"/>
      <c r="AA554" s="199"/>
      <c r="AB554" s="199"/>
      <c r="AC554" s="199"/>
      <c r="AD554" s="199"/>
      <c r="AE554" s="199"/>
      <c r="AF554" s="199"/>
      <c r="AG554" s="199"/>
      <c r="AH554" s="199"/>
      <c r="AI554" s="199"/>
      <c r="AJ554" s="199"/>
      <c r="AK554" s="199"/>
      <c r="AL554" s="199"/>
      <c r="AM554" s="199"/>
    </row>
    <row r="555" spans="1:39">
      <c r="A555" s="712"/>
      <c r="B555" s="199"/>
      <c r="C555" s="1164"/>
      <c r="D555" s="1735"/>
      <c r="E555" s="712"/>
      <c r="F555" s="327"/>
      <c r="G555" s="1736"/>
      <c r="H555" s="712"/>
      <c r="I555" s="712"/>
      <c r="J555" s="199"/>
      <c r="K555" s="712"/>
      <c r="L555" s="712"/>
      <c r="M555" s="711"/>
      <c r="N555" s="1737"/>
      <c r="O555" s="711"/>
      <c r="P555" s="1738"/>
      <c r="Q555" s="1739"/>
      <c r="R555" s="1740"/>
      <c r="S555" s="1056"/>
      <c r="T555" s="1741"/>
      <c r="U555" s="1056"/>
      <c r="V555" s="199"/>
      <c r="W555" s="199"/>
      <c r="X555" s="199"/>
      <c r="Y555" s="199"/>
      <c r="Z555" s="199"/>
      <c r="AA555" s="199"/>
      <c r="AB555" s="199"/>
      <c r="AC555" s="199"/>
      <c r="AD555" s="199"/>
      <c r="AE555" s="199"/>
      <c r="AF555" s="199"/>
      <c r="AG555" s="199"/>
      <c r="AH555" s="199"/>
      <c r="AI555" s="199"/>
      <c r="AJ555" s="199"/>
      <c r="AK555" s="199"/>
      <c r="AL555" s="199"/>
      <c r="AM555" s="199"/>
    </row>
    <row r="556" spans="1:39">
      <c r="A556" s="712"/>
      <c r="B556" s="199"/>
      <c r="C556" s="1164"/>
      <c r="D556" s="1735"/>
      <c r="E556" s="712"/>
      <c r="F556" s="327"/>
      <c r="G556" s="1736"/>
      <c r="H556" s="712"/>
      <c r="I556" s="712"/>
      <c r="J556" s="199"/>
      <c r="K556" s="712"/>
      <c r="L556" s="712"/>
      <c r="M556" s="711"/>
      <c r="N556" s="1737"/>
      <c r="O556" s="711"/>
      <c r="P556" s="1738"/>
      <c r="Q556" s="1739"/>
      <c r="R556" s="1740"/>
      <c r="S556" s="1056"/>
      <c r="T556" s="1741"/>
      <c r="U556" s="1056"/>
      <c r="V556" s="199"/>
      <c r="W556" s="199"/>
      <c r="X556" s="199"/>
      <c r="Y556" s="199"/>
      <c r="Z556" s="199"/>
      <c r="AA556" s="199"/>
      <c r="AB556" s="199"/>
      <c r="AC556" s="199"/>
      <c r="AD556" s="199"/>
      <c r="AE556" s="199"/>
      <c r="AF556" s="199"/>
      <c r="AG556" s="199"/>
      <c r="AH556" s="199"/>
      <c r="AI556" s="199"/>
      <c r="AJ556" s="199"/>
      <c r="AK556" s="199"/>
      <c r="AL556" s="199"/>
      <c r="AM556" s="199"/>
    </row>
    <row r="557" spans="1:39">
      <c r="A557" s="712"/>
      <c r="B557" s="199"/>
      <c r="C557" s="1164"/>
      <c r="D557" s="1735"/>
      <c r="E557" s="712"/>
      <c r="F557" s="327"/>
      <c r="G557" s="1736"/>
      <c r="H557" s="712"/>
      <c r="I557" s="712"/>
      <c r="J557" s="199"/>
      <c r="K557" s="712"/>
      <c r="L557" s="712"/>
      <c r="M557" s="711"/>
      <c r="N557" s="1737"/>
      <c r="O557" s="711"/>
      <c r="P557" s="1738"/>
      <c r="Q557" s="1739"/>
      <c r="R557" s="1740"/>
      <c r="S557" s="1056"/>
      <c r="T557" s="1741"/>
      <c r="U557" s="1056"/>
      <c r="V557" s="199"/>
      <c r="W557" s="199"/>
      <c r="X557" s="199"/>
      <c r="Y557" s="199"/>
      <c r="Z557" s="199"/>
      <c r="AA557" s="199"/>
      <c r="AB557" s="199"/>
      <c r="AC557" s="199"/>
      <c r="AD557" s="199"/>
      <c r="AE557" s="199"/>
      <c r="AF557" s="199"/>
      <c r="AG557" s="199"/>
      <c r="AH557" s="199"/>
      <c r="AI557" s="199"/>
      <c r="AJ557" s="199"/>
      <c r="AK557" s="199"/>
      <c r="AL557" s="199"/>
      <c r="AM557" s="199"/>
    </row>
    <row r="558" spans="1:39">
      <c r="A558" s="712"/>
      <c r="B558" s="199"/>
      <c r="C558" s="1164"/>
      <c r="D558" s="1735"/>
      <c r="E558" s="712"/>
      <c r="F558" s="327"/>
      <c r="G558" s="1736"/>
      <c r="H558" s="712"/>
      <c r="I558" s="712"/>
      <c r="J558" s="199"/>
      <c r="K558" s="712"/>
      <c r="L558" s="712"/>
      <c r="M558" s="711"/>
      <c r="N558" s="1737"/>
      <c r="O558" s="711"/>
      <c r="P558" s="1738"/>
      <c r="Q558" s="1739"/>
      <c r="R558" s="1740"/>
      <c r="S558" s="1056"/>
      <c r="T558" s="1741"/>
      <c r="U558" s="1056"/>
      <c r="V558" s="199"/>
      <c r="W558" s="199"/>
      <c r="X558" s="199"/>
      <c r="Y558" s="199"/>
      <c r="Z558" s="199"/>
      <c r="AA558" s="199"/>
      <c r="AB558" s="199"/>
      <c r="AC558" s="199"/>
      <c r="AD558" s="199"/>
      <c r="AE558" s="199"/>
      <c r="AF558" s="199"/>
      <c r="AG558" s="199"/>
      <c r="AH558" s="199"/>
      <c r="AI558" s="199"/>
      <c r="AJ558" s="199"/>
      <c r="AK558" s="199"/>
      <c r="AL558" s="199"/>
      <c r="AM558" s="199"/>
    </row>
    <row r="559" spans="1:39">
      <c r="A559" s="712"/>
      <c r="B559" s="199"/>
      <c r="C559" s="1164"/>
      <c r="D559" s="1735"/>
      <c r="E559" s="712"/>
      <c r="F559" s="327"/>
      <c r="G559" s="1736"/>
      <c r="H559" s="712"/>
      <c r="I559" s="712"/>
      <c r="J559" s="199"/>
      <c r="K559" s="712"/>
      <c r="L559" s="712"/>
      <c r="M559" s="711"/>
      <c r="N559" s="1737"/>
      <c r="O559" s="711"/>
      <c r="P559" s="1738"/>
      <c r="Q559" s="1739"/>
      <c r="R559" s="1740"/>
      <c r="S559" s="1056"/>
      <c r="T559" s="1741"/>
      <c r="U559" s="1056"/>
      <c r="V559" s="199"/>
      <c r="W559" s="199"/>
      <c r="X559" s="199"/>
      <c r="Y559" s="199"/>
      <c r="Z559" s="199"/>
      <c r="AA559" s="199"/>
      <c r="AB559" s="199"/>
      <c r="AC559" s="199"/>
      <c r="AD559" s="199"/>
      <c r="AE559" s="199"/>
      <c r="AF559" s="199"/>
      <c r="AG559" s="199"/>
      <c r="AH559" s="199"/>
      <c r="AI559" s="199"/>
      <c r="AJ559" s="199"/>
      <c r="AK559" s="199"/>
      <c r="AL559" s="199"/>
      <c r="AM559" s="199"/>
    </row>
    <row r="560" spans="1:39">
      <c r="A560" s="712"/>
      <c r="B560" s="199"/>
      <c r="C560" s="1164"/>
      <c r="D560" s="1735"/>
      <c r="E560" s="712"/>
      <c r="F560" s="327"/>
      <c r="G560" s="1736"/>
      <c r="H560" s="712"/>
      <c r="I560" s="712"/>
      <c r="J560" s="199"/>
      <c r="K560" s="712"/>
      <c r="L560" s="712"/>
      <c r="M560" s="711"/>
      <c r="N560" s="1737"/>
      <c r="O560" s="711"/>
      <c r="P560" s="1738"/>
      <c r="Q560" s="1739"/>
      <c r="R560" s="1740"/>
      <c r="S560" s="1056"/>
      <c r="T560" s="1741"/>
      <c r="U560" s="1056"/>
      <c r="V560" s="199"/>
      <c r="W560" s="199"/>
      <c r="X560" s="199"/>
      <c r="Y560" s="199"/>
      <c r="Z560" s="199"/>
      <c r="AA560" s="199"/>
      <c r="AB560" s="199"/>
      <c r="AC560" s="199"/>
      <c r="AD560" s="199"/>
      <c r="AE560" s="199"/>
      <c r="AF560" s="199"/>
      <c r="AG560" s="199"/>
      <c r="AH560" s="199"/>
      <c r="AI560" s="199"/>
      <c r="AJ560" s="199"/>
      <c r="AK560" s="199"/>
      <c r="AL560" s="199"/>
      <c r="AM560" s="199"/>
    </row>
    <row r="561" spans="1:39">
      <c r="A561" s="712"/>
      <c r="B561" s="199"/>
      <c r="C561" s="1164"/>
      <c r="D561" s="1735"/>
      <c r="E561" s="712"/>
      <c r="F561" s="327"/>
      <c r="G561" s="1736"/>
      <c r="H561" s="712"/>
      <c r="I561" s="712"/>
      <c r="J561" s="199"/>
      <c r="K561" s="712"/>
      <c r="L561" s="712"/>
      <c r="M561" s="711"/>
      <c r="N561" s="1737"/>
      <c r="O561" s="711"/>
      <c r="P561" s="1738"/>
      <c r="Q561" s="1739"/>
      <c r="R561" s="1740"/>
      <c r="S561" s="1056"/>
      <c r="T561" s="1741"/>
      <c r="U561" s="1056"/>
      <c r="V561" s="199"/>
      <c r="W561" s="199"/>
      <c r="X561" s="199"/>
      <c r="Y561" s="199"/>
      <c r="Z561" s="199"/>
      <c r="AA561" s="199"/>
      <c r="AB561" s="199"/>
      <c r="AC561" s="199"/>
      <c r="AD561" s="199"/>
      <c r="AE561" s="199"/>
      <c r="AF561" s="199"/>
      <c r="AG561" s="199"/>
      <c r="AH561" s="199"/>
      <c r="AI561" s="199"/>
      <c r="AJ561" s="199"/>
      <c r="AK561" s="199"/>
      <c r="AL561" s="199"/>
      <c r="AM561" s="199"/>
    </row>
    <row r="562" spans="1:39">
      <c r="A562" s="712"/>
      <c r="B562" s="199"/>
      <c r="C562" s="1164"/>
      <c r="D562" s="1735"/>
      <c r="E562" s="712"/>
      <c r="F562" s="327"/>
      <c r="G562" s="1736"/>
      <c r="H562" s="712"/>
      <c r="I562" s="712"/>
      <c r="J562" s="199"/>
      <c r="K562" s="712"/>
      <c r="L562" s="712"/>
      <c r="M562" s="711"/>
      <c r="N562" s="1737"/>
      <c r="O562" s="711"/>
      <c r="P562" s="1738"/>
      <c r="Q562" s="1739"/>
      <c r="R562" s="1740"/>
      <c r="S562" s="1056"/>
      <c r="T562" s="1741"/>
      <c r="U562" s="1056"/>
      <c r="V562" s="199"/>
      <c r="W562" s="199"/>
      <c r="X562" s="199"/>
      <c r="Y562" s="199"/>
      <c r="Z562" s="199"/>
      <c r="AA562" s="199"/>
      <c r="AB562" s="199"/>
      <c r="AC562" s="199"/>
      <c r="AD562" s="199"/>
      <c r="AE562" s="199"/>
      <c r="AF562" s="199"/>
      <c r="AG562" s="199"/>
      <c r="AH562" s="199"/>
      <c r="AI562" s="199"/>
      <c r="AJ562" s="199"/>
      <c r="AK562" s="199"/>
      <c r="AL562" s="199"/>
      <c r="AM562" s="199"/>
    </row>
    <row r="563" spans="1:39">
      <c r="A563" s="712"/>
      <c r="B563" s="199"/>
      <c r="C563" s="1164"/>
      <c r="D563" s="1735"/>
      <c r="E563" s="712"/>
      <c r="F563" s="327"/>
      <c r="G563" s="1736"/>
      <c r="H563" s="712"/>
      <c r="I563" s="712"/>
      <c r="J563" s="199"/>
      <c r="K563" s="712"/>
      <c r="L563" s="712"/>
      <c r="M563" s="711"/>
      <c r="N563" s="1737"/>
      <c r="O563" s="711"/>
      <c r="P563" s="1738"/>
      <c r="Q563" s="1739"/>
      <c r="R563" s="1740"/>
      <c r="S563" s="1056"/>
      <c r="T563" s="1741"/>
      <c r="U563" s="1056"/>
      <c r="V563" s="199"/>
      <c r="W563" s="199"/>
      <c r="X563" s="199"/>
      <c r="Y563" s="199"/>
      <c r="Z563" s="199"/>
      <c r="AA563" s="199"/>
      <c r="AB563" s="199"/>
      <c r="AC563" s="199"/>
      <c r="AD563" s="199"/>
      <c r="AE563" s="199"/>
      <c r="AF563" s="199"/>
      <c r="AG563" s="199"/>
      <c r="AH563" s="199"/>
      <c r="AI563" s="199"/>
      <c r="AJ563" s="199"/>
      <c r="AK563" s="199"/>
      <c r="AL563" s="199"/>
      <c r="AM563" s="199"/>
    </row>
    <row r="564" spans="1:39">
      <c r="A564" s="712"/>
      <c r="B564" s="199"/>
      <c r="C564" s="1164"/>
      <c r="D564" s="1735"/>
      <c r="E564" s="712"/>
      <c r="F564" s="327"/>
      <c r="G564" s="1736"/>
      <c r="H564" s="712"/>
      <c r="I564" s="712"/>
      <c r="J564" s="199"/>
      <c r="K564" s="712"/>
      <c r="L564" s="712"/>
      <c r="M564" s="711"/>
      <c r="N564" s="1737"/>
      <c r="O564" s="711"/>
      <c r="P564" s="1738"/>
      <c r="Q564" s="1739"/>
      <c r="R564" s="1740"/>
      <c r="S564" s="1056"/>
      <c r="T564" s="1741"/>
      <c r="U564" s="1056"/>
      <c r="V564" s="199"/>
      <c r="W564" s="199"/>
      <c r="X564" s="199"/>
      <c r="Y564" s="199"/>
      <c r="Z564" s="199"/>
      <c r="AA564" s="199"/>
      <c r="AB564" s="199"/>
      <c r="AC564" s="199"/>
      <c r="AD564" s="199"/>
      <c r="AE564" s="199"/>
      <c r="AF564" s="199"/>
      <c r="AG564" s="199"/>
      <c r="AH564" s="199"/>
      <c r="AI564" s="199"/>
      <c r="AJ564" s="199"/>
      <c r="AK564" s="199"/>
      <c r="AL564" s="199"/>
      <c r="AM564" s="199"/>
    </row>
    <row r="565" spans="1:39">
      <c r="A565" s="712"/>
      <c r="B565" s="199"/>
      <c r="C565" s="1164"/>
      <c r="D565" s="1735"/>
      <c r="E565" s="712"/>
      <c r="F565" s="327"/>
      <c r="G565" s="1736"/>
      <c r="H565" s="712"/>
      <c r="I565" s="712"/>
      <c r="J565" s="199"/>
      <c r="K565" s="712"/>
      <c r="L565" s="712"/>
      <c r="M565" s="711"/>
      <c r="N565" s="1737"/>
      <c r="O565" s="711"/>
      <c r="P565" s="1738"/>
      <c r="Q565" s="1739"/>
      <c r="R565" s="1740"/>
      <c r="S565" s="1056"/>
      <c r="T565" s="1741"/>
      <c r="U565" s="1056"/>
      <c r="V565" s="199"/>
      <c r="W565" s="199"/>
      <c r="X565" s="199"/>
      <c r="Y565" s="199"/>
      <c r="Z565" s="199"/>
      <c r="AA565" s="199"/>
      <c r="AB565" s="199"/>
      <c r="AC565" s="199"/>
      <c r="AD565" s="199"/>
      <c r="AE565" s="199"/>
      <c r="AF565" s="199"/>
      <c r="AG565" s="199"/>
      <c r="AH565" s="199"/>
      <c r="AI565" s="199"/>
      <c r="AJ565" s="199"/>
      <c r="AK565" s="199"/>
      <c r="AL565" s="199"/>
      <c r="AM565" s="199"/>
    </row>
    <row r="566" spans="1:39">
      <c r="A566" s="712"/>
      <c r="B566" s="199"/>
      <c r="C566" s="1164"/>
      <c r="D566" s="1735"/>
      <c r="E566" s="712"/>
      <c r="F566" s="327"/>
      <c r="G566" s="1736"/>
      <c r="H566" s="712"/>
      <c r="I566" s="712"/>
      <c r="J566" s="199"/>
      <c r="K566" s="712"/>
      <c r="L566" s="712"/>
      <c r="M566" s="711"/>
      <c r="N566" s="1737"/>
      <c r="O566" s="711"/>
      <c r="P566" s="1738"/>
      <c r="Q566" s="1739"/>
      <c r="R566" s="1740"/>
      <c r="S566" s="1056"/>
      <c r="T566" s="1741"/>
      <c r="U566" s="1056"/>
      <c r="V566" s="199"/>
      <c r="W566" s="199"/>
      <c r="X566" s="199"/>
      <c r="Y566" s="199"/>
      <c r="Z566" s="199"/>
      <c r="AA566" s="199"/>
      <c r="AB566" s="199"/>
      <c r="AC566" s="199"/>
      <c r="AD566" s="199"/>
      <c r="AE566" s="199"/>
      <c r="AF566" s="199"/>
      <c r="AG566" s="199"/>
      <c r="AH566" s="199"/>
      <c r="AI566" s="199"/>
      <c r="AJ566" s="199"/>
      <c r="AK566" s="199"/>
      <c r="AL566" s="199"/>
      <c r="AM566" s="199"/>
    </row>
    <row r="567" spans="1:39">
      <c r="A567" s="712"/>
      <c r="B567" s="199"/>
      <c r="C567" s="1164"/>
      <c r="D567" s="1735"/>
      <c r="E567" s="712"/>
      <c r="F567" s="327"/>
      <c r="G567" s="1736"/>
      <c r="H567" s="712"/>
      <c r="I567" s="712"/>
      <c r="J567" s="199"/>
      <c r="K567" s="712"/>
      <c r="L567" s="712"/>
      <c r="M567" s="711"/>
      <c r="N567" s="1737"/>
      <c r="O567" s="711"/>
      <c r="P567" s="1738"/>
      <c r="Q567" s="1739"/>
      <c r="R567" s="1740"/>
      <c r="S567" s="1056"/>
      <c r="T567" s="1741"/>
      <c r="U567" s="1056"/>
      <c r="V567" s="199"/>
      <c r="W567" s="199"/>
      <c r="X567" s="199"/>
      <c r="Y567" s="199"/>
      <c r="Z567" s="199"/>
      <c r="AA567" s="199"/>
      <c r="AB567" s="199"/>
      <c r="AC567" s="199"/>
      <c r="AD567" s="199"/>
      <c r="AE567" s="199"/>
      <c r="AF567" s="199"/>
      <c r="AG567" s="199"/>
      <c r="AH567" s="199"/>
      <c r="AI567" s="199"/>
      <c r="AJ567" s="199"/>
      <c r="AK567" s="199"/>
      <c r="AL567" s="199"/>
      <c r="AM567" s="199"/>
    </row>
    <row r="568" spans="1:39">
      <c r="A568" s="712"/>
      <c r="B568" s="199"/>
      <c r="C568" s="1164"/>
      <c r="D568" s="1735"/>
      <c r="E568" s="712"/>
      <c r="F568" s="327"/>
      <c r="G568" s="1736"/>
      <c r="H568" s="712"/>
      <c r="I568" s="712"/>
      <c r="J568" s="199"/>
      <c r="K568" s="712"/>
      <c r="L568" s="712"/>
      <c r="M568" s="711"/>
      <c r="N568" s="1737"/>
      <c r="O568" s="711"/>
      <c r="P568" s="1738"/>
      <c r="Q568" s="1739"/>
      <c r="R568" s="1740"/>
      <c r="S568" s="1056"/>
      <c r="T568" s="1741"/>
      <c r="U568" s="1056"/>
      <c r="V568" s="199"/>
      <c r="W568" s="199"/>
      <c r="X568" s="199"/>
      <c r="Y568" s="199"/>
      <c r="Z568" s="199"/>
      <c r="AA568" s="199"/>
      <c r="AB568" s="199"/>
      <c r="AC568" s="199"/>
      <c r="AD568" s="199"/>
      <c r="AE568" s="199"/>
      <c r="AF568" s="199"/>
      <c r="AG568" s="199"/>
      <c r="AH568" s="199"/>
      <c r="AI568" s="199"/>
      <c r="AJ568" s="199"/>
      <c r="AK568" s="199"/>
      <c r="AL568" s="199"/>
      <c r="AM568" s="199"/>
    </row>
    <row r="569" spans="1:39">
      <c r="A569" s="712"/>
      <c r="B569" s="199"/>
      <c r="C569" s="1164"/>
      <c r="D569" s="1735"/>
      <c r="E569" s="712"/>
      <c r="F569" s="327"/>
      <c r="G569" s="1736"/>
      <c r="H569" s="712"/>
      <c r="I569" s="712"/>
      <c r="J569" s="199"/>
      <c r="K569" s="712"/>
      <c r="L569" s="712"/>
      <c r="M569" s="711"/>
      <c r="N569" s="1737"/>
      <c r="O569" s="711"/>
      <c r="P569" s="1738"/>
      <c r="Q569" s="1739"/>
      <c r="R569" s="1740"/>
      <c r="S569" s="1056"/>
      <c r="T569" s="1741"/>
      <c r="U569" s="1056"/>
      <c r="V569" s="199"/>
      <c r="W569" s="199"/>
      <c r="X569" s="199"/>
      <c r="Y569" s="199"/>
      <c r="Z569" s="199"/>
      <c r="AA569" s="199"/>
      <c r="AB569" s="199"/>
      <c r="AC569" s="199"/>
      <c r="AD569" s="199"/>
      <c r="AE569" s="199"/>
      <c r="AF569" s="199"/>
      <c r="AG569" s="199"/>
      <c r="AH569" s="199"/>
      <c r="AI569" s="199"/>
      <c r="AJ569" s="199"/>
      <c r="AK569" s="199"/>
      <c r="AL569" s="199"/>
      <c r="AM569" s="199"/>
    </row>
    <row r="570" spans="1:39">
      <c r="A570" s="712"/>
      <c r="B570" s="199"/>
      <c r="C570" s="1164"/>
      <c r="D570" s="1735"/>
      <c r="E570" s="712"/>
      <c r="F570" s="327"/>
      <c r="G570" s="1736"/>
      <c r="H570" s="712"/>
      <c r="I570" s="712"/>
      <c r="J570" s="199"/>
      <c r="K570" s="712"/>
      <c r="L570" s="712"/>
      <c r="M570" s="711"/>
      <c r="N570" s="1737"/>
      <c r="O570" s="711"/>
      <c r="P570" s="1738"/>
      <c r="Q570" s="1739"/>
      <c r="R570" s="1740"/>
      <c r="S570" s="1056"/>
      <c r="T570" s="1741"/>
      <c r="U570" s="1056"/>
      <c r="V570" s="199"/>
      <c r="W570" s="199"/>
      <c r="X570" s="199"/>
      <c r="Y570" s="199"/>
      <c r="Z570" s="199"/>
      <c r="AA570" s="199"/>
      <c r="AB570" s="199"/>
      <c r="AC570" s="199"/>
      <c r="AD570" s="199"/>
      <c r="AE570" s="199"/>
      <c r="AF570" s="199"/>
      <c r="AG570" s="199"/>
      <c r="AH570" s="199"/>
      <c r="AI570" s="199"/>
      <c r="AJ570" s="199"/>
      <c r="AK570" s="199"/>
      <c r="AL570" s="199"/>
      <c r="AM570" s="199"/>
    </row>
    <row r="571" spans="1:39">
      <c r="A571" s="712"/>
      <c r="B571" s="199"/>
      <c r="C571" s="1164"/>
      <c r="D571" s="1735"/>
      <c r="E571" s="712"/>
      <c r="F571" s="327"/>
      <c r="G571" s="1736"/>
      <c r="H571" s="712"/>
      <c r="I571" s="712"/>
      <c r="J571" s="199"/>
      <c r="K571" s="712"/>
      <c r="L571" s="712"/>
      <c r="M571" s="711"/>
      <c r="N571" s="1737"/>
      <c r="O571" s="711"/>
      <c r="P571" s="1738"/>
      <c r="Q571" s="1739"/>
      <c r="R571" s="1740"/>
      <c r="S571" s="1056"/>
      <c r="T571" s="1741"/>
      <c r="U571" s="1056"/>
      <c r="V571" s="199"/>
      <c r="W571" s="199"/>
      <c r="X571" s="199"/>
      <c r="Y571" s="199"/>
      <c r="Z571" s="199"/>
      <c r="AA571" s="199"/>
      <c r="AB571" s="199"/>
      <c r="AC571" s="199"/>
      <c r="AD571" s="199"/>
      <c r="AE571" s="199"/>
      <c r="AF571" s="199"/>
      <c r="AG571" s="199"/>
      <c r="AH571" s="199"/>
      <c r="AI571" s="199"/>
      <c r="AJ571" s="199"/>
      <c r="AK571" s="199"/>
      <c r="AL571" s="199"/>
      <c r="AM571" s="199"/>
    </row>
    <row r="572" spans="1:39">
      <c r="A572" s="712"/>
      <c r="B572" s="199"/>
      <c r="C572" s="1164"/>
      <c r="D572" s="1735"/>
      <c r="E572" s="712"/>
      <c r="F572" s="327"/>
      <c r="G572" s="1736"/>
      <c r="H572" s="712"/>
      <c r="I572" s="712"/>
      <c r="J572" s="199"/>
      <c r="K572" s="712"/>
      <c r="L572" s="712"/>
      <c r="M572" s="711"/>
      <c r="N572" s="1737"/>
      <c r="O572" s="711"/>
      <c r="P572" s="1738"/>
      <c r="Q572" s="1739"/>
      <c r="R572" s="1740"/>
      <c r="S572" s="1056"/>
      <c r="T572" s="1741"/>
      <c r="U572" s="1056"/>
      <c r="V572" s="199"/>
      <c r="W572" s="199"/>
      <c r="X572" s="199"/>
      <c r="Y572" s="199"/>
      <c r="Z572" s="199"/>
      <c r="AA572" s="199"/>
      <c r="AB572" s="199"/>
      <c r="AC572" s="199"/>
      <c r="AD572" s="199"/>
      <c r="AE572" s="199"/>
      <c r="AF572" s="199"/>
      <c r="AG572" s="199"/>
      <c r="AH572" s="199"/>
      <c r="AI572" s="199"/>
      <c r="AJ572" s="199"/>
      <c r="AK572" s="199"/>
      <c r="AL572" s="199"/>
      <c r="AM572" s="199"/>
    </row>
    <row r="573" spans="1:39">
      <c r="A573" s="712"/>
      <c r="B573" s="199"/>
      <c r="C573" s="1164"/>
      <c r="D573" s="1735"/>
      <c r="E573" s="712"/>
      <c r="F573" s="327"/>
      <c r="G573" s="1736"/>
      <c r="H573" s="712"/>
      <c r="I573" s="712"/>
      <c r="J573" s="199"/>
      <c r="K573" s="712"/>
      <c r="L573" s="712"/>
      <c r="M573" s="711"/>
      <c r="N573" s="1737"/>
      <c r="O573" s="711"/>
      <c r="P573" s="1738"/>
      <c r="Q573" s="1739"/>
      <c r="R573" s="1740"/>
      <c r="S573" s="1056"/>
      <c r="T573" s="1741"/>
      <c r="U573" s="1056"/>
      <c r="V573" s="199"/>
      <c r="W573" s="199"/>
      <c r="X573" s="199"/>
      <c r="Y573" s="199"/>
      <c r="Z573" s="199"/>
      <c r="AA573" s="199"/>
      <c r="AB573" s="199"/>
      <c r="AC573" s="199"/>
      <c r="AD573" s="199"/>
      <c r="AE573" s="199"/>
      <c r="AF573" s="199"/>
      <c r="AG573" s="199"/>
      <c r="AH573" s="199"/>
      <c r="AI573" s="199"/>
      <c r="AJ573" s="199"/>
      <c r="AK573" s="199"/>
      <c r="AL573" s="199"/>
      <c r="AM573" s="199"/>
    </row>
    <row r="574" spans="1:39">
      <c r="A574" s="712"/>
      <c r="B574" s="199"/>
      <c r="C574" s="1164"/>
      <c r="D574" s="1735"/>
      <c r="E574" s="712"/>
      <c r="F574" s="327"/>
      <c r="G574" s="1736"/>
      <c r="H574" s="712"/>
      <c r="I574" s="712"/>
      <c r="J574" s="199"/>
      <c r="K574" s="712"/>
      <c r="L574" s="712"/>
      <c r="M574" s="711"/>
      <c r="N574" s="1737"/>
      <c r="O574" s="711"/>
      <c r="P574" s="1738"/>
      <c r="Q574" s="1739"/>
      <c r="R574" s="1740"/>
      <c r="S574" s="1056"/>
      <c r="T574" s="1741"/>
      <c r="U574" s="1056"/>
      <c r="V574" s="199"/>
      <c r="W574" s="199"/>
      <c r="X574" s="199"/>
      <c r="Y574" s="199"/>
      <c r="Z574" s="199"/>
      <c r="AA574" s="199"/>
      <c r="AB574" s="199"/>
      <c r="AC574" s="199"/>
      <c r="AD574" s="199"/>
      <c r="AE574" s="199"/>
      <c r="AF574" s="199"/>
      <c r="AG574" s="199"/>
      <c r="AH574" s="199"/>
      <c r="AI574" s="199"/>
      <c r="AJ574" s="199"/>
      <c r="AK574" s="199"/>
      <c r="AL574" s="199"/>
      <c r="AM574" s="199"/>
    </row>
    <row r="575" spans="1:39">
      <c r="A575" s="712"/>
      <c r="B575" s="199"/>
      <c r="C575" s="1164"/>
      <c r="D575" s="1735"/>
      <c r="E575" s="712"/>
      <c r="F575" s="327"/>
      <c r="G575" s="1736"/>
      <c r="H575" s="712"/>
      <c r="I575" s="712"/>
      <c r="J575" s="199"/>
      <c r="K575" s="712"/>
      <c r="L575" s="712"/>
      <c r="M575" s="711"/>
      <c r="N575" s="1737"/>
      <c r="O575" s="711"/>
      <c r="P575" s="1738"/>
      <c r="Q575" s="1739"/>
      <c r="R575" s="1740"/>
      <c r="S575" s="1056"/>
      <c r="T575" s="1741"/>
      <c r="U575" s="1056"/>
      <c r="V575" s="199"/>
      <c r="W575" s="199"/>
      <c r="X575" s="199"/>
      <c r="Y575" s="199"/>
      <c r="Z575" s="199"/>
      <c r="AA575" s="199"/>
      <c r="AB575" s="199"/>
      <c r="AC575" s="199"/>
      <c r="AD575" s="199"/>
      <c r="AE575" s="199"/>
      <c r="AF575" s="199"/>
      <c r="AG575" s="199"/>
      <c r="AH575" s="199"/>
      <c r="AI575" s="199"/>
      <c r="AJ575" s="199"/>
      <c r="AK575" s="199"/>
      <c r="AL575" s="199"/>
      <c r="AM575" s="199"/>
    </row>
    <row r="576" spans="1:39">
      <c r="A576" s="712"/>
      <c r="B576" s="199"/>
      <c r="C576" s="1164"/>
      <c r="D576" s="1735"/>
      <c r="E576" s="712"/>
      <c r="F576" s="327"/>
      <c r="G576" s="1736"/>
      <c r="H576" s="712"/>
      <c r="I576" s="712"/>
      <c r="J576" s="199"/>
      <c r="K576" s="712"/>
      <c r="L576" s="712"/>
      <c r="M576" s="711"/>
      <c r="N576" s="1737"/>
      <c r="O576" s="711"/>
      <c r="P576" s="1738"/>
      <c r="Q576" s="1739"/>
      <c r="R576" s="1740"/>
      <c r="S576" s="1056"/>
      <c r="T576" s="1741"/>
      <c r="U576" s="1056"/>
      <c r="V576" s="199"/>
      <c r="W576" s="199"/>
      <c r="X576" s="199"/>
      <c r="Y576" s="199"/>
      <c r="Z576" s="199"/>
      <c r="AA576" s="199"/>
      <c r="AB576" s="199"/>
      <c r="AC576" s="199"/>
      <c r="AD576" s="199"/>
      <c r="AE576" s="199"/>
      <c r="AF576" s="199"/>
      <c r="AG576" s="199"/>
      <c r="AH576" s="199"/>
      <c r="AI576" s="199"/>
      <c r="AJ576" s="199"/>
      <c r="AK576" s="199"/>
      <c r="AL576" s="199"/>
      <c r="AM576" s="199"/>
    </row>
    <row r="577" spans="1:39">
      <c r="A577" s="712"/>
      <c r="B577" s="199"/>
      <c r="C577" s="1164"/>
      <c r="D577" s="1735"/>
      <c r="E577" s="712"/>
      <c r="F577" s="327"/>
      <c r="G577" s="1736"/>
      <c r="H577" s="712"/>
      <c r="I577" s="712"/>
      <c r="J577" s="199"/>
      <c r="K577" s="712"/>
      <c r="L577" s="712"/>
      <c r="M577" s="711"/>
      <c r="N577" s="1737"/>
      <c r="O577" s="711"/>
      <c r="P577" s="1738"/>
      <c r="Q577" s="1739"/>
      <c r="R577" s="1740"/>
      <c r="S577" s="1056"/>
      <c r="T577" s="1741"/>
      <c r="U577" s="1056"/>
      <c r="V577" s="199"/>
      <c r="W577" s="199"/>
      <c r="X577" s="199"/>
      <c r="Y577" s="199"/>
      <c r="Z577" s="199"/>
      <c r="AA577" s="199"/>
      <c r="AB577" s="199"/>
      <c r="AC577" s="199"/>
      <c r="AD577" s="199"/>
      <c r="AE577" s="199"/>
      <c r="AF577" s="199"/>
      <c r="AG577" s="199"/>
      <c r="AH577" s="199"/>
      <c r="AI577" s="199"/>
      <c r="AJ577" s="199"/>
      <c r="AK577" s="199"/>
      <c r="AL577" s="199"/>
      <c r="AM577" s="199"/>
    </row>
    <row r="578" spans="1:39">
      <c r="A578" s="712"/>
      <c r="B578" s="199"/>
      <c r="C578" s="1164"/>
      <c r="D578" s="1735"/>
      <c r="E578" s="712"/>
      <c r="F578" s="327"/>
      <c r="G578" s="1736"/>
      <c r="H578" s="712"/>
      <c r="I578" s="712"/>
      <c r="J578" s="199"/>
      <c r="K578" s="712"/>
      <c r="L578" s="712"/>
      <c r="M578" s="711"/>
      <c r="N578" s="1737"/>
      <c r="O578" s="711"/>
      <c r="P578" s="1738"/>
      <c r="Q578" s="1739"/>
      <c r="R578" s="1740"/>
      <c r="S578" s="1056"/>
      <c r="T578" s="1741"/>
      <c r="U578" s="1056"/>
      <c r="V578" s="199"/>
      <c r="W578" s="199"/>
      <c r="X578" s="199"/>
      <c r="Y578" s="199"/>
      <c r="Z578" s="199"/>
      <c r="AA578" s="199"/>
      <c r="AB578" s="199"/>
      <c r="AC578" s="199"/>
      <c r="AD578" s="199"/>
      <c r="AE578" s="199"/>
      <c r="AF578" s="199"/>
      <c r="AG578" s="199"/>
      <c r="AH578" s="199"/>
      <c r="AI578" s="199"/>
      <c r="AJ578" s="199"/>
      <c r="AK578" s="199"/>
      <c r="AL578" s="199"/>
      <c r="AM578" s="199"/>
    </row>
    <row r="579" spans="1:39">
      <c r="A579" s="712"/>
      <c r="B579" s="199"/>
      <c r="C579" s="1164"/>
      <c r="D579" s="1735"/>
      <c r="E579" s="712"/>
      <c r="F579" s="327"/>
      <c r="G579" s="1736"/>
      <c r="H579" s="712"/>
      <c r="I579" s="712"/>
      <c r="J579" s="199"/>
      <c r="K579" s="712"/>
      <c r="L579" s="712"/>
      <c r="M579" s="711"/>
      <c r="N579" s="1737"/>
      <c r="O579" s="711"/>
      <c r="P579" s="1738"/>
      <c r="Q579" s="1739"/>
      <c r="R579" s="1740"/>
      <c r="S579" s="1056"/>
      <c r="T579" s="1741"/>
      <c r="U579" s="1056"/>
      <c r="V579" s="199"/>
      <c r="W579" s="199"/>
      <c r="X579" s="199"/>
      <c r="Y579" s="199"/>
      <c r="Z579" s="199"/>
      <c r="AA579" s="199"/>
      <c r="AB579" s="199"/>
      <c r="AC579" s="199"/>
      <c r="AD579" s="199"/>
      <c r="AE579" s="199"/>
      <c r="AF579" s="199"/>
      <c r="AG579" s="199"/>
      <c r="AH579" s="199"/>
      <c r="AI579" s="199"/>
      <c r="AJ579" s="199"/>
      <c r="AK579" s="199"/>
      <c r="AL579" s="199"/>
      <c r="AM579" s="199"/>
    </row>
    <row r="580" spans="1:39">
      <c r="A580" s="712"/>
      <c r="B580" s="199"/>
      <c r="C580" s="1164"/>
      <c r="D580" s="1735"/>
      <c r="E580" s="712"/>
      <c r="F580" s="327"/>
      <c r="G580" s="1736"/>
      <c r="H580" s="712"/>
      <c r="I580" s="712"/>
      <c r="J580" s="199"/>
      <c r="K580" s="712"/>
      <c r="L580" s="712"/>
      <c r="M580" s="711"/>
      <c r="N580" s="1737"/>
      <c r="O580" s="711"/>
      <c r="P580" s="1738"/>
      <c r="Q580" s="1739"/>
      <c r="R580" s="1740"/>
      <c r="S580" s="1056"/>
      <c r="T580" s="1741"/>
      <c r="U580" s="1056"/>
      <c r="V580" s="199"/>
      <c r="W580" s="199"/>
      <c r="X580" s="199"/>
      <c r="Y580" s="199"/>
      <c r="Z580" s="199"/>
      <c r="AA580" s="199"/>
      <c r="AB580" s="199"/>
      <c r="AC580" s="199"/>
      <c r="AD580" s="199"/>
      <c r="AE580" s="199"/>
      <c r="AF580" s="199"/>
      <c r="AG580" s="199"/>
      <c r="AH580" s="199"/>
      <c r="AI580" s="199"/>
      <c r="AJ580" s="199"/>
      <c r="AK580" s="199"/>
      <c r="AL580" s="199"/>
      <c r="AM580" s="199"/>
    </row>
    <row r="581" spans="1:39">
      <c r="A581" s="712"/>
      <c r="B581" s="199"/>
      <c r="C581" s="1164"/>
      <c r="D581" s="1735"/>
      <c r="E581" s="712"/>
      <c r="F581" s="327"/>
      <c r="G581" s="1736"/>
      <c r="H581" s="712"/>
      <c r="I581" s="712"/>
      <c r="J581" s="199"/>
      <c r="K581" s="712"/>
      <c r="L581" s="712"/>
      <c r="M581" s="711"/>
      <c r="N581" s="1737"/>
      <c r="O581" s="711"/>
      <c r="P581" s="1738"/>
      <c r="Q581" s="1739"/>
      <c r="R581" s="1740"/>
      <c r="S581" s="1056"/>
      <c r="T581" s="1741"/>
      <c r="U581" s="1056"/>
      <c r="V581" s="199"/>
      <c r="W581" s="199"/>
      <c r="X581" s="199"/>
      <c r="Y581" s="199"/>
      <c r="Z581" s="199"/>
      <c r="AA581" s="199"/>
      <c r="AB581" s="199"/>
      <c r="AC581" s="199"/>
      <c r="AD581" s="199"/>
      <c r="AE581" s="199"/>
      <c r="AF581" s="199"/>
      <c r="AG581" s="199"/>
      <c r="AH581" s="199"/>
      <c r="AI581" s="199"/>
      <c r="AJ581" s="199"/>
      <c r="AK581" s="199"/>
      <c r="AL581" s="199"/>
      <c r="AM581" s="199"/>
    </row>
    <row r="582" spans="1:39">
      <c r="A582" s="712"/>
      <c r="B582" s="199"/>
      <c r="C582" s="1164"/>
      <c r="D582" s="1735"/>
      <c r="E582" s="712"/>
      <c r="F582" s="327"/>
      <c r="G582" s="1736"/>
      <c r="H582" s="712"/>
      <c r="I582" s="712"/>
      <c r="J582" s="199"/>
      <c r="K582" s="712"/>
      <c r="L582" s="712"/>
      <c r="M582" s="711"/>
      <c r="N582" s="1737"/>
      <c r="O582" s="711"/>
      <c r="P582" s="1738"/>
      <c r="Q582" s="1739"/>
      <c r="R582" s="1740"/>
      <c r="S582" s="1056"/>
      <c r="T582" s="1741"/>
      <c r="U582" s="1056"/>
      <c r="V582" s="199"/>
      <c r="W582" s="199"/>
      <c r="X582" s="199"/>
      <c r="Y582" s="199"/>
      <c r="Z582" s="199"/>
      <c r="AA582" s="199"/>
      <c r="AB582" s="199"/>
      <c r="AC582" s="199"/>
      <c r="AD582" s="199"/>
      <c r="AE582" s="199"/>
      <c r="AF582" s="199"/>
      <c r="AG582" s="199"/>
      <c r="AH582" s="199"/>
      <c r="AI582" s="199"/>
      <c r="AJ582" s="199"/>
      <c r="AK582" s="199"/>
      <c r="AL582" s="199"/>
      <c r="AM582" s="199"/>
    </row>
    <row r="583" spans="1:39">
      <c r="A583" s="712"/>
      <c r="B583" s="199"/>
      <c r="C583" s="1164"/>
      <c r="D583" s="1735"/>
      <c r="E583" s="712"/>
      <c r="F583" s="327"/>
      <c r="G583" s="1736"/>
      <c r="H583" s="712"/>
      <c r="I583" s="712"/>
      <c r="J583" s="199"/>
      <c r="K583" s="712"/>
      <c r="L583" s="712"/>
      <c r="M583" s="711"/>
      <c r="N583" s="1737"/>
      <c r="O583" s="711"/>
      <c r="P583" s="1738"/>
      <c r="Q583" s="1739"/>
      <c r="R583" s="1740"/>
      <c r="S583" s="1056"/>
      <c r="T583" s="1741"/>
      <c r="U583" s="1056"/>
      <c r="V583" s="199"/>
      <c r="W583" s="199"/>
      <c r="X583" s="199"/>
      <c r="Y583" s="199"/>
      <c r="Z583" s="199"/>
      <c r="AA583" s="199"/>
      <c r="AB583" s="199"/>
      <c r="AC583" s="199"/>
      <c r="AD583" s="199"/>
      <c r="AE583" s="199"/>
      <c r="AF583" s="199"/>
      <c r="AG583" s="199"/>
      <c r="AH583" s="199"/>
      <c r="AI583" s="199"/>
      <c r="AJ583" s="199"/>
      <c r="AK583" s="199"/>
      <c r="AL583" s="199"/>
      <c r="AM583" s="199"/>
    </row>
    <row r="584" spans="1:39">
      <c r="A584" s="712"/>
      <c r="B584" s="199"/>
      <c r="C584" s="1164"/>
      <c r="D584" s="1735"/>
      <c r="E584" s="712"/>
      <c r="F584" s="327"/>
      <c r="G584" s="1736"/>
      <c r="H584" s="712"/>
      <c r="I584" s="712"/>
      <c r="J584" s="199"/>
      <c r="K584" s="712"/>
      <c r="L584" s="712"/>
      <c r="M584" s="711"/>
      <c r="N584" s="1737"/>
      <c r="O584" s="711"/>
      <c r="P584" s="1738"/>
      <c r="Q584" s="1739"/>
      <c r="R584" s="1740"/>
      <c r="S584" s="1056"/>
      <c r="T584" s="1741"/>
      <c r="U584" s="1056"/>
      <c r="V584" s="199"/>
      <c r="W584" s="199"/>
      <c r="X584" s="199"/>
      <c r="Y584" s="199"/>
      <c r="Z584" s="199"/>
      <c r="AA584" s="199"/>
      <c r="AB584" s="199"/>
      <c r="AC584" s="199"/>
      <c r="AD584" s="199"/>
      <c r="AE584" s="199"/>
      <c r="AF584" s="199"/>
      <c r="AG584" s="199"/>
      <c r="AH584" s="199"/>
      <c r="AI584" s="199"/>
      <c r="AJ584" s="199"/>
      <c r="AK584" s="199"/>
      <c r="AL584" s="199"/>
      <c r="AM584" s="199"/>
    </row>
    <row r="585" spans="1:39">
      <c r="A585" s="712"/>
      <c r="B585" s="199"/>
      <c r="C585" s="1164"/>
      <c r="D585" s="1735"/>
      <c r="E585" s="712"/>
      <c r="F585" s="327"/>
      <c r="G585" s="1736"/>
      <c r="H585" s="712"/>
      <c r="I585" s="712"/>
      <c r="J585" s="199"/>
      <c r="K585" s="712"/>
      <c r="L585" s="712"/>
      <c r="M585" s="711"/>
      <c r="N585" s="1737"/>
      <c r="O585" s="711"/>
      <c r="P585" s="1738"/>
      <c r="Q585" s="1739"/>
      <c r="R585" s="1740"/>
      <c r="S585" s="1056"/>
      <c r="T585" s="1741"/>
      <c r="U585" s="1056"/>
      <c r="V585" s="199"/>
      <c r="W585" s="199"/>
      <c r="X585" s="199"/>
      <c r="Y585" s="199"/>
      <c r="Z585" s="199"/>
      <c r="AA585" s="199"/>
      <c r="AB585" s="199"/>
      <c r="AC585" s="199"/>
      <c r="AD585" s="199"/>
      <c r="AE585" s="199"/>
      <c r="AF585" s="199"/>
      <c r="AG585" s="199"/>
      <c r="AH585" s="199"/>
      <c r="AI585" s="199"/>
      <c r="AJ585" s="199"/>
      <c r="AK585" s="199"/>
      <c r="AL585" s="199"/>
      <c r="AM585" s="199"/>
    </row>
    <row r="586" spans="1:39">
      <c r="A586" s="712"/>
      <c r="B586" s="199"/>
      <c r="C586" s="1164"/>
      <c r="D586" s="1735"/>
      <c r="E586" s="712"/>
      <c r="F586" s="327"/>
      <c r="G586" s="1736"/>
      <c r="H586" s="712"/>
      <c r="I586" s="712"/>
      <c r="J586" s="199"/>
      <c r="K586" s="712"/>
      <c r="L586" s="712"/>
      <c r="M586" s="711"/>
      <c r="N586" s="1737"/>
      <c r="O586" s="711"/>
      <c r="P586" s="1738"/>
      <c r="Q586" s="1739"/>
      <c r="R586" s="1740"/>
      <c r="S586" s="1056"/>
      <c r="T586" s="1741"/>
      <c r="U586" s="1056"/>
      <c r="V586" s="199"/>
      <c r="W586" s="199"/>
      <c r="X586" s="199"/>
      <c r="Y586" s="199"/>
      <c r="Z586" s="199"/>
      <c r="AA586" s="199"/>
      <c r="AB586" s="199"/>
      <c r="AC586" s="199"/>
      <c r="AD586" s="199"/>
      <c r="AE586" s="199"/>
      <c r="AF586" s="199"/>
      <c r="AG586" s="199"/>
      <c r="AH586" s="199"/>
      <c r="AI586" s="199"/>
      <c r="AJ586" s="199"/>
      <c r="AK586" s="199"/>
      <c r="AL586" s="199"/>
      <c r="AM586" s="199"/>
    </row>
    <row r="587" spans="1:39">
      <c r="A587" s="712"/>
      <c r="B587" s="199"/>
      <c r="C587" s="1164"/>
      <c r="D587" s="1735"/>
      <c r="E587" s="712"/>
      <c r="F587" s="327"/>
      <c r="G587" s="1736"/>
      <c r="H587" s="712"/>
      <c r="I587" s="712"/>
      <c r="J587" s="199"/>
      <c r="K587" s="712"/>
      <c r="L587" s="712"/>
      <c r="M587" s="711"/>
      <c r="N587" s="1737"/>
      <c r="O587" s="711"/>
      <c r="P587" s="1738"/>
      <c r="Q587" s="1739"/>
      <c r="R587" s="1740"/>
      <c r="S587" s="1056"/>
      <c r="T587" s="1741"/>
      <c r="U587" s="1056"/>
      <c r="V587" s="199"/>
      <c r="W587" s="199"/>
      <c r="X587" s="199"/>
      <c r="Y587" s="199"/>
      <c r="Z587" s="199"/>
      <c r="AA587" s="199"/>
      <c r="AB587" s="199"/>
      <c r="AC587" s="199"/>
      <c r="AD587" s="199"/>
      <c r="AE587" s="199"/>
      <c r="AF587" s="199"/>
      <c r="AG587" s="199"/>
      <c r="AH587" s="199"/>
      <c r="AI587" s="199"/>
      <c r="AJ587" s="199"/>
      <c r="AK587" s="199"/>
      <c r="AL587" s="199"/>
      <c r="AM587" s="199"/>
    </row>
    <row r="588" spans="1:39">
      <c r="A588" s="712"/>
      <c r="B588" s="199"/>
      <c r="C588" s="1164"/>
      <c r="D588" s="1735"/>
      <c r="E588" s="712"/>
      <c r="F588" s="327"/>
      <c r="G588" s="1736"/>
      <c r="H588" s="712"/>
      <c r="I588" s="712"/>
      <c r="J588" s="199"/>
      <c r="K588" s="712"/>
      <c r="L588" s="712"/>
      <c r="M588" s="711"/>
      <c r="N588" s="1737"/>
      <c r="O588" s="711"/>
      <c r="P588" s="1738"/>
      <c r="Q588" s="1739"/>
      <c r="R588" s="1740"/>
      <c r="S588" s="1056"/>
      <c r="T588" s="1741"/>
      <c r="U588" s="1056"/>
      <c r="V588" s="199"/>
      <c r="W588" s="199"/>
      <c r="X588" s="199"/>
      <c r="Y588" s="199"/>
      <c r="Z588" s="199"/>
      <c r="AA588" s="199"/>
      <c r="AB588" s="199"/>
      <c r="AC588" s="199"/>
      <c r="AD588" s="199"/>
      <c r="AE588" s="199"/>
      <c r="AF588" s="199"/>
      <c r="AG588" s="199"/>
      <c r="AH588" s="199"/>
      <c r="AI588" s="199"/>
      <c r="AJ588" s="199"/>
      <c r="AK588" s="199"/>
      <c r="AL588" s="199"/>
      <c r="AM588" s="199"/>
    </row>
    <row r="589" spans="1:39">
      <c r="A589" s="712"/>
      <c r="B589" s="199"/>
      <c r="C589" s="1164"/>
      <c r="D589" s="1735"/>
      <c r="E589" s="712"/>
      <c r="F589" s="327"/>
      <c r="G589" s="1736"/>
      <c r="H589" s="712"/>
      <c r="I589" s="712"/>
      <c r="J589" s="199"/>
      <c r="K589" s="712"/>
      <c r="L589" s="712"/>
      <c r="M589" s="711"/>
      <c r="N589" s="1737"/>
      <c r="O589" s="711"/>
      <c r="P589" s="1738"/>
      <c r="Q589" s="1739"/>
      <c r="R589" s="1740"/>
      <c r="S589" s="1056"/>
      <c r="T589" s="1741"/>
      <c r="U589" s="1056"/>
      <c r="V589" s="199"/>
      <c r="W589" s="199"/>
      <c r="X589" s="199"/>
      <c r="Y589" s="199"/>
      <c r="Z589" s="199"/>
      <c r="AA589" s="199"/>
      <c r="AB589" s="199"/>
      <c r="AC589" s="199"/>
      <c r="AD589" s="199"/>
      <c r="AE589" s="199"/>
      <c r="AF589" s="199"/>
      <c r="AG589" s="199"/>
      <c r="AH589" s="199"/>
      <c r="AI589" s="199"/>
      <c r="AJ589" s="199"/>
      <c r="AK589" s="199"/>
      <c r="AL589" s="199"/>
      <c r="AM589" s="199"/>
    </row>
    <row r="590" spans="1:39">
      <c r="A590" s="712"/>
      <c r="B590" s="199"/>
      <c r="C590" s="1164"/>
      <c r="D590" s="1735"/>
      <c r="E590" s="712"/>
      <c r="F590" s="327"/>
      <c r="G590" s="1736"/>
      <c r="H590" s="712"/>
      <c r="I590" s="712"/>
      <c r="J590" s="199"/>
      <c r="K590" s="712"/>
      <c r="L590" s="712"/>
      <c r="M590" s="711"/>
      <c r="N590" s="1737"/>
      <c r="O590" s="711"/>
      <c r="P590" s="1738"/>
      <c r="Q590" s="1739"/>
      <c r="R590" s="1740"/>
      <c r="S590" s="1056"/>
      <c r="T590" s="1741"/>
      <c r="U590" s="1056"/>
      <c r="V590" s="199"/>
      <c r="W590" s="199"/>
      <c r="X590" s="199"/>
      <c r="Y590" s="199"/>
      <c r="Z590" s="199"/>
      <c r="AA590" s="199"/>
      <c r="AB590" s="199"/>
      <c r="AC590" s="199"/>
      <c r="AD590" s="199"/>
      <c r="AE590" s="199"/>
      <c r="AF590" s="199"/>
      <c r="AG590" s="199"/>
      <c r="AH590" s="199"/>
      <c r="AI590" s="199"/>
      <c r="AJ590" s="199"/>
      <c r="AK590" s="199"/>
      <c r="AL590" s="199"/>
      <c r="AM590" s="199"/>
    </row>
    <row r="591" spans="1:39">
      <c r="A591" s="712"/>
      <c r="B591" s="199"/>
      <c r="C591" s="1164"/>
      <c r="D591" s="1735"/>
      <c r="E591" s="712"/>
      <c r="F591" s="327"/>
      <c r="G591" s="1736"/>
      <c r="H591" s="712"/>
      <c r="I591" s="712"/>
      <c r="J591" s="199"/>
      <c r="K591" s="712"/>
      <c r="L591" s="712"/>
      <c r="M591" s="711"/>
      <c r="N591" s="1737"/>
      <c r="O591" s="711"/>
      <c r="P591" s="1738"/>
      <c r="Q591" s="1739"/>
      <c r="R591" s="1740"/>
      <c r="S591" s="1056"/>
      <c r="T591" s="1741"/>
      <c r="U591" s="1056"/>
      <c r="V591" s="199"/>
      <c r="W591" s="199"/>
      <c r="X591" s="199"/>
      <c r="Y591" s="199"/>
      <c r="Z591" s="199"/>
      <c r="AA591" s="199"/>
      <c r="AB591" s="199"/>
      <c r="AC591" s="199"/>
      <c r="AD591" s="199"/>
      <c r="AE591" s="199"/>
      <c r="AF591" s="199"/>
      <c r="AG591" s="199"/>
      <c r="AH591" s="199"/>
      <c r="AI591" s="199"/>
      <c r="AJ591" s="199"/>
      <c r="AK591" s="199"/>
      <c r="AL591" s="199"/>
      <c r="AM591" s="199"/>
    </row>
    <row r="592" spans="1:39">
      <c r="A592" s="712"/>
      <c r="B592" s="199"/>
      <c r="C592" s="1164"/>
      <c r="D592" s="1735"/>
      <c r="E592" s="712"/>
      <c r="F592" s="327"/>
      <c r="G592" s="1736"/>
      <c r="H592" s="712"/>
      <c r="I592" s="712"/>
      <c r="J592" s="199"/>
      <c r="K592" s="712"/>
      <c r="L592" s="712"/>
      <c r="M592" s="711"/>
      <c r="N592" s="1737"/>
      <c r="O592" s="711"/>
      <c r="P592" s="1738"/>
      <c r="Q592" s="1739"/>
      <c r="R592" s="1740"/>
      <c r="S592" s="1056"/>
      <c r="T592" s="1741"/>
      <c r="U592" s="1056"/>
      <c r="V592" s="199"/>
      <c r="W592" s="199"/>
      <c r="X592" s="199"/>
      <c r="Y592" s="199"/>
      <c r="Z592" s="199"/>
      <c r="AA592" s="199"/>
      <c r="AB592" s="199"/>
      <c r="AC592" s="199"/>
      <c r="AD592" s="199"/>
      <c r="AE592" s="199"/>
      <c r="AF592" s="199"/>
      <c r="AG592" s="199"/>
      <c r="AH592" s="199"/>
      <c r="AI592" s="199"/>
      <c r="AJ592" s="199"/>
      <c r="AK592" s="199"/>
      <c r="AL592" s="199"/>
      <c r="AM592" s="199"/>
    </row>
    <row r="593" spans="1:39">
      <c r="A593" s="712"/>
      <c r="B593" s="199"/>
      <c r="C593" s="1164"/>
      <c r="D593" s="1735"/>
      <c r="E593" s="712"/>
      <c r="F593" s="327"/>
      <c r="G593" s="1736"/>
      <c r="H593" s="712"/>
      <c r="I593" s="712"/>
      <c r="J593" s="199"/>
      <c r="K593" s="712"/>
      <c r="L593" s="712"/>
      <c r="M593" s="711"/>
      <c r="N593" s="1737"/>
      <c r="O593" s="711"/>
      <c r="P593" s="1738"/>
      <c r="Q593" s="1739"/>
      <c r="R593" s="1740"/>
      <c r="S593" s="1056"/>
      <c r="T593" s="1741"/>
      <c r="U593" s="1056"/>
      <c r="V593" s="199"/>
      <c r="W593" s="199"/>
      <c r="X593" s="199"/>
      <c r="Y593" s="199"/>
      <c r="Z593" s="199"/>
      <c r="AA593" s="199"/>
      <c r="AB593" s="199"/>
      <c r="AC593" s="199"/>
      <c r="AD593" s="199"/>
      <c r="AE593" s="199"/>
      <c r="AF593" s="199"/>
      <c r="AG593" s="199"/>
      <c r="AH593" s="199"/>
      <c r="AI593" s="199"/>
      <c r="AJ593" s="199"/>
      <c r="AK593" s="199"/>
      <c r="AL593" s="199"/>
      <c r="AM593" s="199"/>
    </row>
    <row r="594" spans="1:39">
      <c r="A594" s="712"/>
      <c r="B594" s="199"/>
      <c r="C594" s="1164"/>
      <c r="D594" s="1735"/>
      <c r="E594" s="712"/>
      <c r="F594" s="327"/>
      <c r="G594" s="1736"/>
      <c r="H594" s="712"/>
      <c r="I594" s="712"/>
      <c r="J594" s="199"/>
      <c r="K594" s="712"/>
      <c r="L594" s="712"/>
      <c r="M594" s="711"/>
      <c r="N594" s="1737"/>
      <c r="O594" s="711"/>
      <c r="P594" s="1738"/>
      <c r="Q594" s="1739"/>
      <c r="R594" s="1740"/>
      <c r="S594" s="1056"/>
      <c r="T594" s="1741"/>
      <c r="U594" s="1056"/>
      <c r="V594" s="199"/>
      <c r="W594" s="199"/>
      <c r="X594" s="199"/>
      <c r="Y594" s="199"/>
      <c r="Z594" s="199"/>
      <c r="AA594" s="199"/>
      <c r="AB594" s="199"/>
      <c r="AC594" s="199"/>
      <c r="AD594" s="199"/>
      <c r="AE594" s="199"/>
      <c r="AF594" s="199"/>
      <c r="AG594" s="199"/>
      <c r="AH594" s="199"/>
      <c r="AI594" s="199"/>
      <c r="AJ594" s="199"/>
      <c r="AK594" s="199"/>
      <c r="AL594" s="199"/>
      <c r="AM594" s="199"/>
    </row>
    <row r="595" spans="1:39">
      <c r="A595" s="712"/>
      <c r="B595" s="199"/>
      <c r="C595" s="1164"/>
      <c r="D595" s="1735"/>
      <c r="E595" s="712"/>
      <c r="F595" s="327"/>
      <c r="G595" s="1736"/>
      <c r="H595" s="712"/>
      <c r="I595" s="712"/>
      <c r="J595" s="199"/>
      <c r="K595" s="712"/>
      <c r="L595" s="712"/>
      <c r="M595" s="711"/>
      <c r="N595" s="1737"/>
      <c r="O595" s="711"/>
      <c r="P595" s="1738"/>
      <c r="Q595" s="1739"/>
      <c r="R595" s="1740"/>
      <c r="S595" s="1056"/>
      <c r="T595" s="1741"/>
      <c r="U595" s="1056"/>
      <c r="V595" s="199"/>
      <c r="W595" s="199"/>
      <c r="X595" s="199"/>
      <c r="Y595" s="199"/>
      <c r="Z595" s="199"/>
      <c r="AA595" s="199"/>
      <c r="AB595" s="199"/>
      <c r="AC595" s="199"/>
      <c r="AD595" s="199"/>
      <c r="AE595" s="199"/>
      <c r="AF595" s="199"/>
      <c r="AG595" s="199"/>
      <c r="AH595" s="199"/>
      <c r="AI595" s="199"/>
      <c r="AJ595" s="199"/>
      <c r="AK595" s="199"/>
      <c r="AL595" s="199"/>
      <c r="AM595" s="199"/>
    </row>
    <row r="596" spans="1:39">
      <c r="A596" s="712"/>
      <c r="B596" s="199"/>
      <c r="C596" s="1164"/>
      <c r="D596" s="1735"/>
      <c r="E596" s="712"/>
      <c r="F596" s="327"/>
      <c r="G596" s="1736"/>
      <c r="H596" s="712"/>
      <c r="I596" s="712"/>
      <c r="J596" s="199"/>
      <c r="K596" s="712"/>
      <c r="L596" s="712"/>
      <c r="M596" s="711"/>
      <c r="N596" s="1737"/>
      <c r="O596" s="711"/>
      <c r="P596" s="1738"/>
      <c r="Q596" s="1739"/>
      <c r="R596" s="1740"/>
      <c r="S596" s="1056"/>
      <c r="T596" s="1741"/>
      <c r="U596" s="1056"/>
      <c r="V596" s="199"/>
      <c r="W596" s="199"/>
      <c r="X596" s="199"/>
      <c r="Y596" s="199"/>
      <c r="Z596" s="199"/>
      <c r="AA596" s="199"/>
      <c r="AB596" s="199"/>
      <c r="AC596" s="199"/>
      <c r="AD596" s="199"/>
      <c r="AE596" s="199"/>
      <c r="AF596" s="199"/>
      <c r="AG596" s="199"/>
      <c r="AH596" s="199"/>
      <c r="AI596" s="199"/>
      <c r="AJ596" s="199"/>
      <c r="AK596" s="199"/>
      <c r="AL596" s="199"/>
      <c r="AM596" s="199"/>
    </row>
    <row r="597" spans="1:39">
      <c r="A597" s="712"/>
      <c r="B597" s="199"/>
      <c r="C597" s="1164"/>
      <c r="D597" s="1735"/>
      <c r="E597" s="712"/>
      <c r="F597" s="327"/>
      <c r="G597" s="1736"/>
      <c r="H597" s="712"/>
      <c r="I597" s="712"/>
      <c r="J597" s="199"/>
      <c r="K597" s="712"/>
      <c r="L597" s="712"/>
      <c r="M597" s="711"/>
      <c r="N597" s="1737"/>
      <c r="O597" s="711"/>
      <c r="P597" s="1738"/>
      <c r="Q597" s="1739"/>
      <c r="R597" s="1740"/>
      <c r="S597" s="1056"/>
      <c r="T597" s="1741"/>
      <c r="U597" s="1056"/>
      <c r="V597" s="199"/>
      <c r="W597" s="199"/>
      <c r="X597" s="199"/>
      <c r="Y597" s="199"/>
      <c r="Z597" s="199"/>
      <c r="AA597" s="199"/>
      <c r="AB597" s="199"/>
      <c r="AC597" s="199"/>
      <c r="AD597" s="199"/>
      <c r="AE597" s="199"/>
      <c r="AF597" s="199"/>
      <c r="AG597" s="199"/>
      <c r="AH597" s="199"/>
      <c r="AI597" s="199"/>
      <c r="AJ597" s="199"/>
      <c r="AK597" s="199"/>
      <c r="AL597" s="199"/>
      <c r="AM597" s="199"/>
    </row>
    <row r="598" spans="1:39">
      <c r="A598" s="712"/>
      <c r="B598" s="199"/>
      <c r="C598" s="1164"/>
      <c r="D598" s="1735"/>
      <c r="E598" s="712"/>
      <c r="F598" s="327"/>
      <c r="G598" s="1736"/>
      <c r="H598" s="712"/>
      <c r="I598" s="712"/>
      <c r="J598" s="199"/>
      <c r="K598" s="712"/>
      <c r="L598" s="712"/>
      <c r="M598" s="711"/>
      <c r="N598" s="1737"/>
      <c r="O598" s="711"/>
      <c r="P598" s="1738"/>
      <c r="Q598" s="1739"/>
      <c r="R598" s="1740"/>
      <c r="S598" s="1056"/>
      <c r="T598" s="1741"/>
      <c r="U598" s="1056"/>
      <c r="V598" s="199"/>
      <c r="W598" s="199"/>
      <c r="X598" s="199"/>
      <c r="Y598" s="199"/>
      <c r="Z598" s="199"/>
      <c r="AA598" s="199"/>
      <c r="AB598" s="199"/>
      <c r="AC598" s="199"/>
      <c r="AD598" s="199"/>
      <c r="AE598" s="199"/>
      <c r="AF598" s="199"/>
      <c r="AG598" s="199"/>
      <c r="AH598" s="199"/>
      <c r="AI598" s="199"/>
      <c r="AJ598" s="199"/>
      <c r="AK598" s="199"/>
      <c r="AL598" s="199"/>
      <c r="AM598" s="199"/>
    </row>
    <row r="599" spans="1:39">
      <c r="A599" s="712"/>
      <c r="B599" s="199"/>
      <c r="C599" s="1164"/>
      <c r="D599" s="1735"/>
      <c r="E599" s="712"/>
      <c r="F599" s="327"/>
      <c r="G599" s="1736"/>
      <c r="H599" s="712"/>
      <c r="I599" s="712"/>
      <c r="J599" s="199"/>
      <c r="K599" s="712"/>
      <c r="L599" s="712"/>
      <c r="M599" s="711"/>
      <c r="N599" s="1737"/>
      <c r="O599" s="711"/>
      <c r="P599" s="1738"/>
      <c r="Q599" s="1739"/>
      <c r="R599" s="1740"/>
      <c r="S599" s="1056"/>
      <c r="T599" s="1741"/>
      <c r="U599" s="1056"/>
      <c r="V599" s="199"/>
      <c r="W599" s="199"/>
      <c r="X599" s="199"/>
      <c r="Y599" s="199"/>
      <c r="Z599" s="199"/>
      <c r="AA599" s="199"/>
      <c r="AB599" s="199"/>
      <c r="AC599" s="199"/>
      <c r="AD599" s="199"/>
      <c r="AE599" s="199"/>
      <c r="AF599" s="199"/>
      <c r="AG599" s="199"/>
      <c r="AH599" s="199"/>
      <c r="AI599" s="199"/>
      <c r="AJ599" s="199"/>
      <c r="AK599" s="199"/>
      <c r="AL599" s="199"/>
      <c r="AM599" s="199"/>
    </row>
    <row r="600" spans="1:39">
      <c r="A600" s="712"/>
      <c r="B600" s="199"/>
      <c r="C600" s="1164"/>
      <c r="D600" s="1735"/>
      <c r="E600" s="712"/>
      <c r="F600" s="327"/>
      <c r="G600" s="1736"/>
      <c r="H600" s="712"/>
      <c r="I600" s="712"/>
      <c r="J600" s="199"/>
      <c r="K600" s="712"/>
      <c r="L600" s="712"/>
      <c r="M600" s="711"/>
      <c r="N600" s="1737"/>
      <c r="O600" s="711"/>
      <c r="P600" s="1738"/>
      <c r="Q600" s="1739"/>
      <c r="R600" s="1740"/>
      <c r="S600" s="1056"/>
      <c r="T600" s="1741"/>
      <c r="U600" s="1056"/>
      <c r="V600" s="199"/>
      <c r="W600" s="199"/>
      <c r="X600" s="199"/>
      <c r="Y600" s="199"/>
      <c r="Z600" s="199"/>
      <c r="AA600" s="199"/>
      <c r="AB600" s="199"/>
      <c r="AC600" s="199"/>
      <c r="AD600" s="199"/>
      <c r="AE600" s="199"/>
      <c r="AF600" s="199"/>
      <c r="AG600" s="199"/>
      <c r="AH600" s="199"/>
      <c r="AI600" s="199"/>
      <c r="AJ600" s="199"/>
      <c r="AK600" s="199"/>
      <c r="AL600" s="199"/>
      <c r="AM600" s="199"/>
    </row>
    <row r="601" spans="1:39">
      <c r="A601" s="712"/>
      <c r="B601" s="199"/>
      <c r="C601" s="1164"/>
      <c r="D601" s="1735"/>
      <c r="E601" s="712"/>
      <c r="F601" s="327"/>
      <c r="G601" s="1736"/>
      <c r="H601" s="712"/>
      <c r="I601" s="712"/>
      <c r="J601" s="199"/>
      <c r="K601" s="712"/>
      <c r="L601" s="712"/>
      <c r="M601" s="711"/>
      <c r="N601" s="1737"/>
      <c r="O601" s="711"/>
      <c r="P601" s="1738"/>
      <c r="Q601" s="1739"/>
      <c r="R601" s="1740"/>
      <c r="S601" s="1056"/>
      <c r="T601" s="1741"/>
      <c r="U601" s="1056"/>
      <c r="V601" s="199"/>
      <c r="W601" s="199"/>
      <c r="X601" s="199"/>
      <c r="Y601" s="199"/>
      <c r="Z601" s="199"/>
      <c r="AA601" s="199"/>
      <c r="AB601" s="199"/>
      <c r="AC601" s="199"/>
      <c r="AD601" s="199"/>
      <c r="AE601" s="199"/>
      <c r="AF601" s="199"/>
      <c r="AG601" s="199"/>
      <c r="AH601" s="199"/>
      <c r="AI601" s="199"/>
      <c r="AJ601" s="199"/>
      <c r="AK601" s="199"/>
      <c r="AL601" s="199"/>
      <c r="AM601" s="199"/>
    </row>
    <row r="602" spans="1:39">
      <c r="A602" s="712"/>
      <c r="B602" s="199"/>
      <c r="C602" s="1164"/>
      <c r="D602" s="1735"/>
      <c r="E602" s="712"/>
      <c r="F602" s="327"/>
      <c r="G602" s="1736"/>
      <c r="H602" s="712"/>
      <c r="I602" s="712"/>
      <c r="J602" s="199"/>
      <c r="K602" s="712"/>
      <c r="L602" s="712"/>
      <c r="M602" s="711"/>
      <c r="N602" s="1737"/>
      <c r="O602" s="711"/>
      <c r="P602" s="1738"/>
      <c r="Q602" s="1739"/>
      <c r="R602" s="1740"/>
      <c r="S602" s="1056"/>
      <c r="T602" s="1741"/>
      <c r="U602" s="1056"/>
      <c r="V602" s="199"/>
      <c r="W602" s="199"/>
      <c r="X602" s="199"/>
      <c r="Y602" s="199"/>
      <c r="Z602" s="199"/>
      <c r="AA602" s="199"/>
      <c r="AB602" s="199"/>
      <c r="AC602" s="199"/>
      <c r="AD602" s="199"/>
      <c r="AE602" s="199"/>
      <c r="AF602" s="199"/>
      <c r="AG602" s="199"/>
      <c r="AH602" s="199"/>
      <c r="AI602" s="199"/>
      <c r="AJ602" s="199"/>
      <c r="AK602" s="199"/>
      <c r="AL602" s="199"/>
      <c r="AM602" s="199"/>
    </row>
    <row r="603" spans="1:39">
      <c r="A603" s="712"/>
      <c r="B603" s="199"/>
      <c r="C603" s="1164"/>
      <c r="D603" s="1735"/>
      <c r="E603" s="712"/>
      <c r="F603" s="327"/>
      <c r="G603" s="1736"/>
      <c r="H603" s="712"/>
      <c r="I603" s="712"/>
      <c r="J603" s="199"/>
      <c r="K603" s="712"/>
      <c r="L603" s="712"/>
      <c r="M603" s="711"/>
      <c r="N603" s="1737"/>
      <c r="O603" s="711"/>
      <c r="P603" s="1738"/>
      <c r="Q603" s="1739"/>
      <c r="R603" s="1740"/>
      <c r="S603" s="1056"/>
      <c r="T603" s="1741"/>
      <c r="U603" s="1056"/>
      <c r="V603" s="199"/>
      <c r="W603" s="199"/>
      <c r="X603" s="199"/>
      <c r="Y603" s="199"/>
      <c r="Z603" s="199"/>
      <c r="AA603" s="199"/>
      <c r="AB603" s="199"/>
      <c r="AC603" s="199"/>
      <c r="AD603" s="199"/>
      <c r="AE603" s="199"/>
      <c r="AF603" s="199"/>
      <c r="AG603" s="199"/>
      <c r="AH603" s="199"/>
      <c r="AI603" s="199"/>
      <c r="AJ603" s="199"/>
      <c r="AK603" s="199"/>
      <c r="AL603" s="199"/>
      <c r="AM603" s="199"/>
    </row>
    <row r="604" spans="1:39">
      <c r="A604" s="712"/>
      <c r="B604" s="199"/>
      <c r="C604" s="1164"/>
      <c r="D604" s="1735"/>
      <c r="E604" s="712"/>
      <c r="F604" s="327"/>
      <c r="G604" s="1736"/>
      <c r="H604" s="712"/>
      <c r="I604" s="712"/>
      <c r="J604" s="199"/>
      <c r="K604" s="712"/>
      <c r="L604" s="712"/>
      <c r="M604" s="711"/>
      <c r="N604" s="1737"/>
      <c r="O604" s="711"/>
      <c r="P604" s="1738"/>
      <c r="Q604" s="1739"/>
      <c r="R604" s="1740"/>
      <c r="S604" s="1056"/>
      <c r="T604" s="1741"/>
      <c r="U604" s="1056"/>
      <c r="V604" s="199"/>
      <c r="W604" s="199"/>
      <c r="X604" s="199"/>
      <c r="Y604" s="199"/>
      <c r="Z604" s="199"/>
      <c r="AA604" s="199"/>
      <c r="AB604" s="199"/>
      <c r="AC604" s="199"/>
      <c r="AD604" s="199"/>
      <c r="AE604" s="199"/>
      <c r="AF604" s="199"/>
      <c r="AG604" s="199"/>
      <c r="AH604" s="199"/>
      <c r="AI604" s="199"/>
      <c r="AJ604" s="199"/>
      <c r="AK604" s="199"/>
      <c r="AL604" s="199"/>
      <c r="AM604" s="199"/>
    </row>
    <row r="605" spans="1:39">
      <c r="A605" s="712"/>
      <c r="B605" s="199"/>
      <c r="C605" s="1164"/>
      <c r="D605" s="1735"/>
      <c r="E605" s="712"/>
      <c r="F605" s="327"/>
      <c r="G605" s="1736"/>
      <c r="H605" s="712"/>
      <c r="I605" s="712"/>
      <c r="J605" s="199"/>
      <c r="K605" s="712"/>
      <c r="L605" s="712"/>
      <c r="M605" s="711"/>
      <c r="N605" s="1737"/>
      <c r="O605" s="711"/>
      <c r="P605" s="1738"/>
      <c r="Q605" s="1739"/>
      <c r="R605" s="1740"/>
      <c r="S605" s="1056"/>
      <c r="T605" s="1741"/>
      <c r="U605" s="1056"/>
      <c r="V605" s="199"/>
      <c r="W605" s="199"/>
      <c r="X605" s="199"/>
      <c r="Y605" s="199"/>
      <c r="Z605" s="199"/>
      <c r="AA605" s="199"/>
      <c r="AB605" s="199"/>
      <c r="AC605" s="199"/>
      <c r="AD605" s="199"/>
      <c r="AE605" s="199"/>
      <c r="AF605" s="199"/>
      <c r="AG605" s="199"/>
      <c r="AH605" s="199"/>
      <c r="AI605" s="199"/>
      <c r="AJ605" s="199"/>
      <c r="AK605" s="199"/>
      <c r="AL605" s="199"/>
      <c r="AM605" s="199"/>
    </row>
    <row r="606" spans="1:39">
      <c r="A606" s="712"/>
      <c r="B606" s="199"/>
      <c r="C606" s="1164"/>
      <c r="D606" s="1735"/>
      <c r="E606" s="712"/>
      <c r="F606" s="327"/>
      <c r="G606" s="1736"/>
      <c r="H606" s="712"/>
      <c r="I606" s="712"/>
      <c r="J606" s="199"/>
      <c r="K606" s="712"/>
      <c r="L606" s="712"/>
      <c r="M606" s="711"/>
      <c r="N606" s="1737"/>
      <c r="O606" s="711"/>
      <c r="P606" s="1738"/>
      <c r="Q606" s="1739"/>
      <c r="R606" s="1740"/>
      <c r="S606" s="1056"/>
      <c r="T606" s="1741"/>
      <c r="U606" s="1056"/>
      <c r="V606" s="199"/>
      <c r="W606" s="199"/>
      <c r="X606" s="199"/>
      <c r="Y606" s="199"/>
      <c r="Z606" s="199"/>
      <c r="AA606" s="199"/>
      <c r="AB606" s="199"/>
      <c r="AC606" s="199"/>
      <c r="AD606" s="199"/>
      <c r="AE606" s="199"/>
      <c r="AF606" s="199"/>
      <c r="AG606" s="199"/>
      <c r="AH606" s="199"/>
      <c r="AI606" s="199"/>
      <c r="AJ606" s="199"/>
      <c r="AK606" s="199"/>
      <c r="AL606" s="199"/>
      <c r="AM606" s="199"/>
    </row>
    <row r="607" spans="1:39">
      <c r="A607" s="712"/>
      <c r="B607" s="199"/>
      <c r="C607" s="1164"/>
      <c r="D607" s="1735"/>
      <c r="E607" s="712"/>
      <c r="F607" s="327"/>
      <c r="G607" s="1736"/>
      <c r="H607" s="712"/>
      <c r="I607" s="712"/>
      <c r="J607" s="199"/>
      <c r="K607" s="712"/>
      <c r="L607" s="712"/>
      <c r="M607" s="711"/>
      <c r="N607" s="1737"/>
      <c r="O607" s="711"/>
      <c r="P607" s="1738"/>
      <c r="Q607" s="1739"/>
      <c r="R607" s="1740"/>
      <c r="S607" s="1056"/>
      <c r="T607" s="1741"/>
      <c r="U607" s="1056"/>
      <c r="V607" s="199"/>
      <c r="W607" s="199"/>
      <c r="X607" s="199"/>
      <c r="Y607" s="199"/>
      <c r="Z607" s="199"/>
      <c r="AA607" s="199"/>
      <c r="AB607" s="199"/>
      <c r="AC607" s="199"/>
      <c r="AD607" s="199"/>
      <c r="AE607" s="199"/>
      <c r="AF607" s="199"/>
      <c r="AG607" s="199"/>
      <c r="AH607" s="199"/>
      <c r="AI607" s="199"/>
      <c r="AJ607" s="199"/>
      <c r="AK607" s="199"/>
      <c r="AL607" s="199"/>
      <c r="AM607" s="199"/>
    </row>
    <row r="608" spans="1:39">
      <c r="A608" s="712"/>
      <c r="B608" s="199"/>
      <c r="C608" s="1164"/>
      <c r="D608" s="1735"/>
      <c r="E608" s="712"/>
      <c r="F608" s="327"/>
      <c r="G608" s="1736"/>
      <c r="H608" s="712"/>
      <c r="I608" s="712"/>
      <c r="J608" s="199"/>
      <c r="K608" s="712"/>
      <c r="L608" s="712"/>
      <c r="M608" s="711"/>
      <c r="N608" s="1737"/>
      <c r="O608" s="711"/>
      <c r="P608" s="1738"/>
      <c r="Q608" s="1739"/>
      <c r="R608" s="1740"/>
      <c r="S608" s="1056"/>
      <c r="T608" s="1741"/>
      <c r="U608" s="1056"/>
      <c r="V608" s="199"/>
      <c r="W608" s="199"/>
      <c r="X608" s="199"/>
      <c r="Y608" s="199"/>
      <c r="Z608" s="199"/>
      <c r="AA608" s="199"/>
      <c r="AB608" s="199"/>
      <c r="AC608" s="199"/>
      <c r="AD608" s="199"/>
      <c r="AE608" s="199"/>
      <c r="AF608" s="199"/>
      <c r="AG608" s="199"/>
      <c r="AH608" s="199"/>
      <c r="AI608" s="199"/>
      <c r="AJ608" s="199"/>
      <c r="AK608" s="199"/>
      <c r="AL608" s="199"/>
      <c r="AM608" s="199"/>
    </row>
    <row r="609" spans="1:39">
      <c r="A609" s="712"/>
      <c r="B609" s="199"/>
      <c r="C609" s="1164"/>
      <c r="D609" s="1735"/>
      <c r="E609" s="712"/>
      <c r="F609" s="327"/>
      <c r="G609" s="1736"/>
      <c r="H609" s="712"/>
      <c r="I609" s="712"/>
      <c r="J609" s="199"/>
      <c r="K609" s="712"/>
      <c r="L609" s="712"/>
      <c r="M609" s="711"/>
      <c r="N609" s="1737"/>
      <c r="O609" s="711"/>
      <c r="P609" s="1738"/>
      <c r="Q609" s="1739"/>
      <c r="R609" s="1740"/>
      <c r="S609" s="1056"/>
      <c r="T609" s="1741"/>
      <c r="U609" s="1056"/>
      <c r="V609" s="199"/>
      <c r="W609" s="199"/>
      <c r="X609" s="199"/>
      <c r="Y609" s="199"/>
      <c r="Z609" s="199"/>
      <c r="AA609" s="199"/>
      <c r="AB609" s="199"/>
      <c r="AC609" s="199"/>
      <c r="AD609" s="199"/>
      <c r="AE609" s="199"/>
      <c r="AF609" s="199"/>
      <c r="AG609" s="199"/>
      <c r="AH609" s="199"/>
      <c r="AI609" s="199"/>
      <c r="AJ609" s="199"/>
      <c r="AK609" s="199"/>
      <c r="AL609" s="199"/>
      <c r="AM609" s="199"/>
    </row>
    <row r="610" spans="1:39">
      <c r="A610" s="712"/>
      <c r="B610" s="199"/>
      <c r="C610" s="1164"/>
      <c r="D610" s="1735"/>
      <c r="E610" s="712"/>
      <c r="F610" s="327"/>
      <c r="G610" s="1736"/>
      <c r="H610" s="712"/>
      <c r="I610" s="712"/>
      <c r="J610" s="199"/>
      <c r="K610" s="712"/>
      <c r="L610" s="712"/>
      <c r="M610" s="711"/>
      <c r="N610" s="1737"/>
      <c r="O610" s="711"/>
      <c r="P610" s="1738"/>
      <c r="Q610" s="1739"/>
      <c r="R610" s="1740"/>
      <c r="S610" s="1056"/>
      <c r="T610" s="1741"/>
      <c r="U610" s="1056"/>
      <c r="V610" s="199"/>
      <c r="W610" s="199"/>
      <c r="X610" s="199"/>
      <c r="Y610" s="199"/>
      <c r="Z610" s="199"/>
      <c r="AA610" s="199"/>
      <c r="AB610" s="199"/>
      <c r="AC610" s="199"/>
      <c r="AD610" s="199"/>
      <c r="AE610" s="199"/>
      <c r="AF610" s="199"/>
      <c r="AG610" s="199"/>
      <c r="AH610" s="199"/>
      <c r="AI610" s="199"/>
      <c r="AJ610" s="199"/>
      <c r="AK610" s="199"/>
      <c r="AL610" s="199"/>
      <c r="AM610" s="199"/>
    </row>
    <row r="611" spans="1:39">
      <c r="A611" s="712"/>
      <c r="B611" s="199"/>
      <c r="C611" s="1164"/>
      <c r="D611" s="1735"/>
      <c r="E611" s="712"/>
      <c r="F611" s="327"/>
      <c r="G611" s="1736"/>
      <c r="H611" s="712"/>
      <c r="I611" s="712"/>
      <c r="J611" s="199"/>
      <c r="K611" s="712"/>
      <c r="L611" s="712"/>
      <c r="M611" s="711"/>
      <c r="N611" s="1737"/>
      <c r="O611" s="711"/>
      <c r="P611" s="1738"/>
      <c r="Q611" s="1739"/>
      <c r="R611" s="1740"/>
      <c r="S611" s="1056"/>
      <c r="T611" s="1741"/>
      <c r="U611" s="1056"/>
      <c r="V611" s="199"/>
      <c r="W611" s="199"/>
      <c r="X611" s="199"/>
      <c r="Y611" s="199"/>
      <c r="Z611" s="199"/>
      <c r="AA611" s="199"/>
      <c r="AB611" s="199"/>
      <c r="AC611" s="199"/>
      <c r="AD611" s="199"/>
      <c r="AE611" s="199"/>
      <c r="AF611" s="199"/>
      <c r="AG611" s="199"/>
      <c r="AH611" s="199"/>
      <c r="AI611" s="199"/>
      <c r="AJ611" s="199"/>
      <c r="AK611" s="199"/>
      <c r="AL611" s="199"/>
      <c r="AM611" s="199"/>
    </row>
    <row r="612" spans="1:39">
      <c r="A612" s="712"/>
      <c r="B612" s="199"/>
      <c r="C612" s="1164"/>
      <c r="D612" s="1735"/>
      <c r="E612" s="712"/>
      <c r="F612" s="327"/>
      <c r="G612" s="1736"/>
      <c r="H612" s="712"/>
      <c r="I612" s="712"/>
      <c r="J612" s="199"/>
      <c r="K612" s="712"/>
      <c r="L612" s="712"/>
      <c r="M612" s="711"/>
      <c r="N612" s="1737"/>
      <c r="O612" s="711"/>
      <c r="P612" s="1738"/>
      <c r="Q612" s="1739"/>
      <c r="R612" s="1740"/>
      <c r="S612" s="1056"/>
      <c r="T612" s="1741"/>
      <c r="U612" s="1056"/>
      <c r="V612" s="199"/>
      <c r="W612" s="199"/>
      <c r="X612" s="199"/>
      <c r="Y612" s="199"/>
      <c r="Z612" s="199"/>
      <c r="AA612" s="199"/>
      <c r="AB612" s="199"/>
      <c r="AC612" s="199"/>
      <c r="AD612" s="199"/>
      <c r="AE612" s="199"/>
      <c r="AF612" s="199"/>
      <c r="AG612" s="199"/>
      <c r="AH612" s="199"/>
      <c r="AI612" s="199"/>
      <c r="AJ612" s="199"/>
      <c r="AK612" s="199"/>
      <c r="AL612" s="199"/>
      <c r="AM612" s="199"/>
    </row>
    <row r="613" spans="1:39">
      <c r="A613" s="712"/>
      <c r="B613" s="199"/>
      <c r="C613" s="1164"/>
      <c r="D613" s="1735"/>
      <c r="E613" s="712"/>
      <c r="F613" s="327"/>
      <c r="G613" s="1736"/>
      <c r="H613" s="712"/>
      <c r="I613" s="712"/>
      <c r="J613" s="199"/>
      <c r="K613" s="712"/>
      <c r="L613" s="712"/>
      <c r="M613" s="711"/>
      <c r="N613" s="1737"/>
      <c r="O613" s="711"/>
      <c r="P613" s="1738"/>
      <c r="Q613" s="1739"/>
      <c r="R613" s="1740"/>
      <c r="S613" s="1056"/>
      <c r="T613" s="1741"/>
      <c r="U613" s="1056"/>
      <c r="V613" s="199"/>
      <c r="W613" s="199"/>
      <c r="X613" s="199"/>
      <c r="Y613" s="199"/>
      <c r="Z613" s="199"/>
      <c r="AA613" s="199"/>
      <c r="AB613" s="199"/>
      <c r="AC613" s="199"/>
      <c r="AD613" s="199"/>
      <c r="AE613" s="199"/>
      <c r="AF613" s="199"/>
      <c r="AG613" s="199"/>
      <c r="AH613" s="199"/>
      <c r="AI613" s="199"/>
      <c r="AJ613" s="199"/>
      <c r="AK613" s="199"/>
      <c r="AL613" s="199"/>
      <c r="AM613" s="199"/>
    </row>
    <row r="614" spans="1:39">
      <c r="A614" s="712"/>
      <c r="B614" s="199"/>
      <c r="C614" s="1164"/>
      <c r="D614" s="1735"/>
      <c r="E614" s="712"/>
      <c r="F614" s="327"/>
      <c r="G614" s="1736"/>
      <c r="H614" s="712"/>
      <c r="I614" s="712"/>
      <c r="J614" s="199"/>
      <c r="K614" s="712"/>
      <c r="L614" s="712"/>
      <c r="M614" s="711"/>
      <c r="N614" s="1737"/>
      <c r="O614" s="711"/>
      <c r="P614" s="1738"/>
      <c r="Q614" s="1739"/>
      <c r="R614" s="1740"/>
      <c r="S614" s="1056"/>
      <c r="T614" s="1741"/>
      <c r="U614" s="1056"/>
      <c r="V614" s="199"/>
      <c r="W614" s="199"/>
      <c r="X614" s="199"/>
      <c r="Y614" s="199"/>
      <c r="Z614" s="199"/>
      <c r="AA614" s="199"/>
      <c r="AB614" s="199"/>
      <c r="AC614" s="199"/>
      <c r="AD614" s="199"/>
      <c r="AE614" s="199"/>
      <c r="AF614" s="199"/>
      <c r="AG614" s="199"/>
      <c r="AH614" s="199"/>
      <c r="AI614" s="199"/>
      <c r="AJ614" s="199"/>
      <c r="AK614" s="199"/>
      <c r="AL614" s="199"/>
      <c r="AM614" s="199"/>
    </row>
    <row r="615" spans="1:39">
      <c r="A615" s="712"/>
      <c r="B615" s="199"/>
      <c r="C615" s="1164"/>
      <c r="D615" s="1735"/>
      <c r="E615" s="712"/>
      <c r="F615" s="327"/>
      <c r="G615" s="1736"/>
      <c r="H615" s="712"/>
      <c r="I615" s="712"/>
      <c r="J615" s="199"/>
      <c r="K615" s="712"/>
      <c r="L615" s="712"/>
      <c r="M615" s="711"/>
      <c r="N615" s="1737"/>
      <c r="O615" s="711"/>
      <c r="P615" s="1738"/>
      <c r="Q615" s="1739"/>
      <c r="R615" s="1740"/>
      <c r="S615" s="1056"/>
      <c r="T615" s="1741"/>
      <c r="U615" s="1056"/>
      <c r="V615" s="199"/>
      <c r="W615" s="199"/>
      <c r="X615" s="199"/>
      <c r="Y615" s="199"/>
      <c r="Z615" s="199"/>
      <c r="AA615" s="199"/>
      <c r="AB615" s="199"/>
      <c r="AC615" s="199"/>
      <c r="AD615" s="199"/>
      <c r="AE615" s="199"/>
      <c r="AF615" s="199"/>
      <c r="AG615" s="199"/>
      <c r="AH615" s="199"/>
      <c r="AI615" s="199"/>
      <c r="AJ615" s="199"/>
      <c r="AK615" s="199"/>
      <c r="AL615" s="199"/>
      <c r="AM615" s="199"/>
    </row>
    <row r="616" spans="1:39">
      <c r="A616" s="712"/>
      <c r="B616" s="199"/>
      <c r="C616" s="1164"/>
      <c r="D616" s="1735"/>
      <c r="E616" s="712"/>
      <c r="F616" s="327"/>
      <c r="G616" s="1736"/>
      <c r="H616" s="712"/>
      <c r="I616" s="712"/>
      <c r="J616" s="199"/>
      <c r="K616" s="712"/>
      <c r="L616" s="712"/>
      <c r="M616" s="711"/>
      <c r="N616" s="1737"/>
      <c r="O616" s="711"/>
      <c r="P616" s="1738"/>
      <c r="Q616" s="1739"/>
      <c r="R616" s="1740"/>
      <c r="S616" s="1056"/>
      <c r="T616" s="1741"/>
      <c r="U616" s="1056"/>
      <c r="V616" s="199"/>
      <c r="W616" s="199"/>
      <c r="X616" s="199"/>
      <c r="Y616" s="199"/>
      <c r="Z616" s="199"/>
      <c r="AA616" s="199"/>
      <c r="AB616" s="199"/>
      <c r="AC616" s="199"/>
      <c r="AD616" s="199"/>
      <c r="AE616" s="199"/>
      <c r="AF616" s="199"/>
      <c r="AG616" s="199"/>
      <c r="AH616" s="199"/>
      <c r="AI616" s="199"/>
      <c r="AJ616" s="199"/>
      <c r="AK616" s="199"/>
      <c r="AL616" s="199"/>
      <c r="AM616" s="199"/>
    </row>
    <row r="617" spans="1:39">
      <c r="A617" s="712"/>
      <c r="B617" s="199"/>
      <c r="C617" s="1164"/>
      <c r="D617" s="1735"/>
      <c r="E617" s="712"/>
      <c r="F617" s="327"/>
      <c r="G617" s="1736"/>
      <c r="H617" s="712"/>
      <c r="I617" s="712"/>
      <c r="J617" s="199"/>
      <c r="K617" s="712"/>
      <c r="L617" s="712"/>
      <c r="M617" s="711"/>
      <c r="N617" s="1737"/>
      <c r="O617" s="711"/>
      <c r="P617" s="1738"/>
      <c r="Q617" s="1739"/>
      <c r="R617" s="1740"/>
      <c r="S617" s="1056"/>
      <c r="T617" s="1741"/>
      <c r="U617" s="1056"/>
      <c r="V617" s="199"/>
      <c r="W617" s="199"/>
      <c r="X617" s="199"/>
      <c r="Y617" s="199"/>
      <c r="Z617" s="199"/>
      <c r="AA617" s="199"/>
      <c r="AB617" s="199"/>
      <c r="AC617" s="199"/>
      <c r="AD617" s="199"/>
      <c r="AE617" s="199"/>
      <c r="AF617" s="199"/>
      <c r="AG617" s="199"/>
      <c r="AH617" s="199"/>
      <c r="AI617" s="199"/>
      <c r="AJ617" s="199"/>
      <c r="AK617" s="199"/>
      <c r="AL617" s="199"/>
      <c r="AM617" s="199"/>
    </row>
    <row r="618" spans="1:39">
      <c r="A618" s="712"/>
      <c r="B618" s="199"/>
      <c r="C618" s="1164"/>
      <c r="D618" s="1735"/>
      <c r="E618" s="712"/>
      <c r="F618" s="327"/>
      <c r="G618" s="1736"/>
      <c r="H618" s="712"/>
      <c r="I618" s="712"/>
      <c r="J618" s="199"/>
      <c r="K618" s="712"/>
      <c r="L618" s="712"/>
      <c r="M618" s="711"/>
      <c r="N618" s="1737"/>
      <c r="O618" s="711"/>
      <c r="P618" s="1738"/>
      <c r="Q618" s="1739"/>
      <c r="R618" s="1740"/>
      <c r="S618" s="1056"/>
      <c r="T618" s="1741"/>
      <c r="U618" s="1056"/>
      <c r="V618" s="199"/>
      <c r="W618" s="199"/>
      <c r="X618" s="199"/>
      <c r="Y618" s="199"/>
      <c r="Z618" s="199"/>
      <c r="AA618" s="199"/>
      <c r="AB618" s="199"/>
      <c r="AC618" s="199"/>
      <c r="AD618" s="199"/>
      <c r="AE618" s="199"/>
      <c r="AF618" s="199"/>
      <c r="AG618" s="199"/>
      <c r="AH618" s="199"/>
      <c r="AI618" s="199"/>
      <c r="AJ618" s="199"/>
      <c r="AK618" s="199"/>
      <c r="AL618" s="199"/>
      <c r="AM618" s="199"/>
    </row>
    <row r="619" spans="1:39">
      <c r="A619" s="712"/>
      <c r="B619" s="199"/>
      <c r="C619" s="1164"/>
      <c r="D619" s="1735"/>
      <c r="E619" s="712"/>
      <c r="F619" s="327"/>
      <c r="G619" s="1736"/>
      <c r="H619" s="712"/>
      <c r="I619" s="712"/>
      <c r="J619" s="199"/>
      <c r="K619" s="712"/>
      <c r="L619" s="712"/>
      <c r="M619" s="711"/>
      <c r="N619" s="1737"/>
      <c r="O619" s="711"/>
      <c r="P619" s="1738"/>
      <c r="Q619" s="1739"/>
      <c r="R619" s="1740"/>
      <c r="S619" s="1056"/>
      <c r="T619" s="1741"/>
      <c r="U619" s="1056"/>
      <c r="V619" s="199"/>
      <c r="W619" s="199"/>
      <c r="X619" s="199"/>
      <c r="Y619" s="199"/>
      <c r="Z619" s="199"/>
      <c r="AA619" s="199"/>
      <c r="AB619" s="199"/>
      <c r="AC619" s="199"/>
      <c r="AD619" s="199"/>
      <c r="AE619" s="199"/>
      <c r="AF619" s="199"/>
      <c r="AG619" s="199"/>
      <c r="AH619" s="199"/>
      <c r="AI619" s="199"/>
      <c r="AJ619" s="199"/>
      <c r="AK619" s="199"/>
      <c r="AL619" s="199"/>
      <c r="AM619" s="199"/>
    </row>
    <row r="620" spans="1:39">
      <c r="A620" s="712"/>
      <c r="B620" s="199"/>
      <c r="C620" s="1164"/>
      <c r="D620" s="1735"/>
      <c r="E620" s="712"/>
      <c r="F620" s="327"/>
      <c r="G620" s="1736"/>
      <c r="H620" s="712"/>
      <c r="I620" s="712"/>
      <c r="J620" s="199"/>
      <c r="K620" s="712"/>
      <c r="L620" s="712"/>
      <c r="M620" s="711"/>
      <c r="N620" s="1737"/>
      <c r="O620" s="711"/>
      <c r="P620" s="1738"/>
      <c r="Q620" s="1739"/>
      <c r="R620" s="1740"/>
      <c r="S620" s="1056"/>
      <c r="T620" s="1741"/>
      <c r="U620" s="1056"/>
      <c r="V620" s="199"/>
      <c r="W620" s="199"/>
      <c r="X620" s="199"/>
      <c r="Y620" s="199"/>
      <c r="Z620" s="199"/>
      <c r="AA620" s="199"/>
      <c r="AB620" s="199"/>
      <c r="AC620" s="199"/>
      <c r="AD620" s="199"/>
      <c r="AE620" s="199"/>
      <c r="AF620" s="199"/>
      <c r="AG620" s="199"/>
      <c r="AH620" s="199"/>
      <c r="AI620" s="199"/>
      <c r="AJ620" s="199"/>
      <c r="AK620" s="199"/>
      <c r="AL620" s="199"/>
      <c r="AM620" s="199"/>
    </row>
    <row r="621" spans="1:39">
      <c r="A621" s="712"/>
      <c r="B621" s="199"/>
      <c r="C621" s="1164"/>
      <c r="D621" s="1735"/>
      <c r="E621" s="712"/>
      <c r="F621" s="327"/>
      <c r="G621" s="1736"/>
      <c r="H621" s="712"/>
      <c r="I621" s="712"/>
      <c r="J621" s="199"/>
      <c r="K621" s="712"/>
      <c r="L621" s="712"/>
      <c r="M621" s="711"/>
      <c r="N621" s="1737"/>
      <c r="O621" s="711"/>
      <c r="P621" s="1738"/>
      <c r="Q621" s="1739"/>
      <c r="R621" s="1740"/>
      <c r="S621" s="1056"/>
      <c r="T621" s="1741"/>
      <c r="U621" s="1056"/>
      <c r="V621" s="199"/>
      <c r="W621" s="199"/>
      <c r="X621" s="199"/>
      <c r="Y621" s="199"/>
      <c r="Z621" s="199"/>
      <c r="AA621" s="199"/>
      <c r="AB621" s="199"/>
      <c r="AC621" s="199"/>
      <c r="AD621" s="199"/>
      <c r="AE621" s="199"/>
      <c r="AF621" s="199"/>
      <c r="AG621" s="199"/>
      <c r="AH621" s="199"/>
      <c r="AI621" s="199"/>
      <c r="AJ621" s="199"/>
      <c r="AK621" s="199"/>
      <c r="AL621" s="199"/>
      <c r="AM621" s="199"/>
    </row>
    <row r="622" spans="1:39">
      <c r="A622" s="712"/>
      <c r="B622" s="199"/>
      <c r="C622" s="1164"/>
      <c r="D622" s="1735"/>
      <c r="E622" s="712"/>
      <c r="F622" s="327"/>
      <c r="G622" s="1736"/>
      <c r="H622" s="712"/>
      <c r="I622" s="712"/>
      <c r="J622" s="199"/>
      <c r="K622" s="712"/>
      <c r="L622" s="712"/>
      <c r="M622" s="711"/>
      <c r="N622" s="1737"/>
      <c r="O622" s="711"/>
      <c r="P622" s="1738"/>
      <c r="Q622" s="1739"/>
      <c r="R622" s="1740"/>
      <c r="S622" s="1056"/>
      <c r="T622" s="1741"/>
      <c r="U622" s="1056"/>
      <c r="V622" s="199"/>
      <c r="W622" s="199"/>
      <c r="X622" s="199"/>
      <c r="Y622" s="199"/>
      <c r="Z622" s="199"/>
      <c r="AA622" s="199"/>
      <c r="AB622" s="199"/>
      <c r="AC622" s="199"/>
      <c r="AD622" s="199"/>
      <c r="AE622" s="199"/>
      <c r="AF622" s="199"/>
      <c r="AG622" s="199"/>
      <c r="AH622" s="199"/>
      <c r="AI622" s="199"/>
      <c r="AJ622" s="199"/>
      <c r="AK622" s="199"/>
      <c r="AL622" s="199"/>
      <c r="AM622" s="199"/>
    </row>
    <row r="623" spans="1:39">
      <c r="A623" s="712"/>
      <c r="B623" s="199"/>
      <c r="C623" s="1164"/>
      <c r="D623" s="1735"/>
      <c r="E623" s="712"/>
      <c r="F623" s="327"/>
      <c r="G623" s="1736"/>
      <c r="H623" s="712"/>
      <c r="I623" s="712"/>
      <c r="J623" s="199"/>
      <c r="K623" s="712"/>
      <c r="L623" s="712"/>
      <c r="M623" s="711"/>
      <c r="N623" s="1737"/>
      <c r="O623" s="711"/>
      <c r="P623" s="1738"/>
      <c r="Q623" s="1739"/>
      <c r="R623" s="1740"/>
      <c r="S623" s="1056"/>
      <c r="T623" s="1741"/>
      <c r="U623" s="1056"/>
      <c r="V623" s="199"/>
      <c r="W623" s="199"/>
      <c r="X623" s="199"/>
      <c r="Y623" s="199"/>
      <c r="Z623" s="199"/>
      <c r="AA623" s="199"/>
      <c r="AB623" s="199"/>
      <c r="AC623" s="199"/>
      <c r="AD623" s="199"/>
      <c r="AE623" s="199"/>
      <c r="AF623" s="199"/>
      <c r="AG623" s="199"/>
      <c r="AH623" s="199"/>
      <c r="AI623" s="199"/>
      <c r="AJ623" s="199"/>
      <c r="AK623" s="199"/>
      <c r="AL623" s="199"/>
      <c r="AM623" s="199"/>
    </row>
    <row r="624" spans="1:39">
      <c r="A624" s="712"/>
      <c r="B624" s="199"/>
      <c r="C624" s="1164"/>
      <c r="D624" s="1735"/>
      <c r="E624" s="712"/>
      <c r="F624" s="327"/>
      <c r="G624" s="1736"/>
      <c r="H624" s="712"/>
      <c r="I624" s="712"/>
      <c r="J624" s="199"/>
      <c r="K624" s="712"/>
      <c r="L624" s="712"/>
      <c r="M624" s="711"/>
      <c r="N624" s="1737"/>
      <c r="O624" s="711"/>
      <c r="P624" s="1738"/>
      <c r="Q624" s="1739"/>
      <c r="R624" s="1740"/>
      <c r="S624" s="1056"/>
      <c r="T624" s="1741"/>
      <c r="U624" s="1056"/>
      <c r="V624" s="199"/>
      <c r="W624" s="199"/>
      <c r="X624" s="199"/>
      <c r="Y624" s="199"/>
      <c r="Z624" s="199"/>
      <c r="AA624" s="199"/>
      <c r="AB624" s="199"/>
      <c r="AC624" s="199"/>
      <c r="AD624" s="199"/>
      <c r="AE624" s="199"/>
      <c r="AF624" s="199"/>
      <c r="AG624" s="199"/>
      <c r="AH624" s="199"/>
      <c r="AI624" s="199"/>
      <c r="AJ624" s="199"/>
      <c r="AK624" s="199"/>
      <c r="AL624" s="199"/>
      <c r="AM624" s="199"/>
    </row>
    <row r="625" spans="1:39">
      <c r="A625" s="712"/>
      <c r="B625" s="199"/>
      <c r="C625" s="1164"/>
      <c r="D625" s="1735"/>
      <c r="E625" s="712"/>
      <c r="F625" s="327"/>
      <c r="G625" s="1736"/>
      <c r="H625" s="712"/>
      <c r="I625" s="712"/>
      <c r="J625" s="199"/>
      <c r="K625" s="712"/>
      <c r="L625" s="712"/>
      <c r="M625" s="711"/>
      <c r="N625" s="1737"/>
      <c r="O625" s="711"/>
      <c r="P625" s="1738"/>
      <c r="Q625" s="1739"/>
      <c r="R625" s="1740"/>
      <c r="S625" s="1056"/>
      <c r="T625" s="1741"/>
      <c r="U625" s="1056"/>
      <c r="V625" s="199"/>
      <c r="W625" s="199"/>
      <c r="X625" s="199"/>
      <c r="Y625" s="199"/>
      <c r="Z625" s="199"/>
      <c r="AA625" s="199"/>
      <c r="AB625" s="199"/>
      <c r="AC625" s="199"/>
      <c r="AD625" s="199"/>
      <c r="AE625" s="199"/>
      <c r="AF625" s="199"/>
      <c r="AG625" s="199"/>
      <c r="AH625" s="199"/>
      <c r="AI625" s="199"/>
      <c r="AJ625" s="199"/>
      <c r="AK625" s="199"/>
      <c r="AL625" s="199"/>
      <c r="AM625" s="199"/>
    </row>
    <row r="626" spans="1:39">
      <c r="A626" s="712"/>
      <c r="B626" s="199"/>
      <c r="C626" s="1164"/>
      <c r="D626" s="1735"/>
      <c r="E626" s="712"/>
      <c r="F626" s="327"/>
      <c r="G626" s="1736"/>
      <c r="H626" s="712"/>
      <c r="I626" s="712"/>
      <c r="J626" s="199"/>
      <c r="K626" s="712"/>
      <c r="L626" s="712"/>
      <c r="M626" s="711"/>
      <c r="N626" s="1737"/>
      <c r="O626" s="711"/>
      <c r="P626" s="1738"/>
      <c r="Q626" s="1739"/>
      <c r="R626" s="1740"/>
      <c r="S626" s="1056"/>
      <c r="T626" s="1741"/>
      <c r="U626" s="1056"/>
      <c r="V626" s="199"/>
      <c r="W626" s="199"/>
      <c r="X626" s="199"/>
      <c r="Y626" s="199"/>
      <c r="Z626" s="199"/>
      <c r="AA626" s="199"/>
      <c r="AB626" s="199"/>
      <c r="AC626" s="199"/>
      <c r="AD626" s="199"/>
      <c r="AE626" s="199"/>
      <c r="AF626" s="199"/>
      <c r="AG626" s="199"/>
      <c r="AH626" s="199"/>
      <c r="AI626" s="199"/>
      <c r="AJ626" s="199"/>
      <c r="AK626" s="199"/>
      <c r="AL626" s="199"/>
      <c r="AM626" s="199"/>
    </row>
    <row r="627" spans="1:39">
      <c r="A627" s="712"/>
      <c r="B627" s="199"/>
      <c r="C627" s="1164"/>
      <c r="D627" s="1735"/>
      <c r="E627" s="712"/>
      <c r="F627" s="327"/>
      <c r="G627" s="1736"/>
      <c r="H627" s="712"/>
      <c r="I627" s="712"/>
      <c r="J627" s="199"/>
      <c r="K627" s="712"/>
      <c r="L627" s="712"/>
      <c r="M627" s="711"/>
      <c r="N627" s="1737"/>
      <c r="O627" s="711"/>
      <c r="P627" s="1738"/>
      <c r="Q627" s="1739"/>
      <c r="R627" s="1740"/>
      <c r="S627" s="1056"/>
      <c r="T627" s="1741"/>
      <c r="U627" s="1056"/>
      <c r="V627" s="199"/>
      <c r="W627" s="199"/>
      <c r="X627" s="199"/>
      <c r="Y627" s="199"/>
      <c r="Z627" s="199"/>
      <c r="AA627" s="199"/>
      <c r="AB627" s="199"/>
      <c r="AC627" s="199"/>
      <c r="AD627" s="199"/>
      <c r="AE627" s="199"/>
      <c r="AF627" s="199"/>
      <c r="AG627" s="199"/>
      <c r="AH627" s="199"/>
      <c r="AI627" s="199"/>
      <c r="AJ627" s="199"/>
      <c r="AK627" s="199"/>
      <c r="AL627" s="199"/>
      <c r="AM627" s="199"/>
    </row>
    <row r="628" spans="1:39">
      <c r="A628" s="712"/>
      <c r="B628" s="199"/>
      <c r="C628" s="1164"/>
      <c r="D628" s="1735"/>
      <c r="E628" s="712"/>
      <c r="F628" s="327"/>
      <c r="G628" s="1736"/>
      <c r="H628" s="712"/>
      <c r="I628" s="712"/>
      <c r="J628" s="199"/>
      <c r="K628" s="712"/>
      <c r="L628" s="712"/>
      <c r="M628" s="711"/>
      <c r="N628" s="1737"/>
      <c r="O628" s="711"/>
      <c r="P628" s="1738"/>
      <c r="Q628" s="1739"/>
      <c r="R628" s="1740"/>
      <c r="S628" s="1056"/>
      <c r="T628" s="1741"/>
      <c r="U628" s="1056"/>
      <c r="V628" s="199"/>
      <c r="W628" s="199"/>
      <c r="X628" s="199"/>
      <c r="Y628" s="199"/>
      <c r="Z628" s="199"/>
      <c r="AA628" s="199"/>
      <c r="AB628" s="199"/>
      <c r="AC628" s="199"/>
      <c r="AD628" s="199"/>
      <c r="AE628" s="199"/>
      <c r="AF628" s="199"/>
      <c r="AG628" s="199"/>
      <c r="AH628" s="199"/>
      <c r="AI628" s="199"/>
      <c r="AJ628" s="199"/>
      <c r="AK628" s="199"/>
      <c r="AL628" s="199"/>
      <c r="AM628" s="199"/>
    </row>
    <row r="629" spans="1:39">
      <c r="A629" s="712"/>
      <c r="B629" s="199"/>
      <c r="C629" s="1164"/>
      <c r="D629" s="1735"/>
      <c r="E629" s="712"/>
      <c r="F629" s="327"/>
      <c r="G629" s="1736"/>
      <c r="H629" s="712"/>
      <c r="I629" s="712"/>
      <c r="J629" s="199"/>
      <c r="K629" s="712"/>
      <c r="L629" s="712"/>
      <c r="M629" s="711"/>
      <c r="N629" s="1737"/>
      <c r="O629" s="711"/>
      <c r="P629" s="1738"/>
      <c r="Q629" s="1739"/>
      <c r="R629" s="1740"/>
      <c r="S629" s="1056"/>
      <c r="T629" s="1741"/>
      <c r="U629" s="1056"/>
      <c r="V629" s="199"/>
      <c r="W629" s="199"/>
      <c r="X629" s="199"/>
      <c r="Y629" s="199"/>
      <c r="Z629" s="199"/>
      <c r="AA629" s="199"/>
      <c r="AB629" s="199"/>
      <c r="AC629" s="199"/>
      <c r="AD629" s="199"/>
      <c r="AE629" s="199"/>
      <c r="AF629" s="199"/>
      <c r="AG629" s="199"/>
      <c r="AH629" s="199"/>
      <c r="AI629" s="199"/>
      <c r="AJ629" s="199"/>
      <c r="AK629" s="199"/>
      <c r="AL629" s="199"/>
      <c r="AM629" s="199"/>
    </row>
    <row r="630" spans="1:39">
      <c r="A630" s="712"/>
      <c r="B630" s="199"/>
      <c r="C630" s="1164"/>
      <c r="D630" s="1735"/>
      <c r="E630" s="712"/>
      <c r="F630" s="327"/>
      <c r="G630" s="1736"/>
      <c r="H630" s="712"/>
      <c r="I630" s="712"/>
      <c r="J630" s="199"/>
      <c r="K630" s="712"/>
      <c r="L630" s="712"/>
      <c r="M630" s="711"/>
      <c r="N630" s="1737"/>
      <c r="O630" s="711"/>
      <c r="P630" s="1738"/>
      <c r="Q630" s="1739"/>
      <c r="R630" s="1740"/>
      <c r="S630" s="1056"/>
      <c r="T630" s="1741"/>
      <c r="U630" s="1056"/>
      <c r="V630" s="199"/>
      <c r="W630" s="199"/>
      <c r="X630" s="199"/>
      <c r="Y630" s="199"/>
      <c r="Z630" s="199"/>
      <c r="AA630" s="199"/>
      <c r="AB630" s="199"/>
      <c r="AC630" s="199"/>
      <c r="AD630" s="199"/>
      <c r="AE630" s="199"/>
      <c r="AF630" s="199"/>
      <c r="AG630" s="199"/>
      <c r="AH630" s="199"/>
      <c r="AI630" s="199"/>
      <c r="AJ630" s="199"/>
      <c r="AK630" s="199"/>
      <c r="AL630" s="199"/>
      <c r="AM630" s="199"/>
    </row>
    <row r="631" spans="1:39">
      <c r="A631" s="712"/>
      <c r="B631" s="199"/>
      <c r="C631" s="1164"/>
      <c r="D631" s="1735"/>
      <c r="E631" s="712"/>
      <c r="F631" s="327"/>
      <c r="G631" s="1736"/>
      <c r="H631" s="712"/>
      <c r="I631" s="712"/>
      <c r="J631" s="199"/>
      <c r="K631" s="712"/>
      <c r="L631" s="712"/>
      <c r="M631" s="711"/>
      <c r="N631" s="1737"/>
      <c r="O631" s="711"/>
      <c r="P631" s="1738"/>
      <c r="Q631" s="1739"/>
      <c r="R631" s="1740"/>
      <c r="S631" s="1056"/>
      <c r="T631" s="1741"/>
      <c r="U631" s="1056"/>
      <c r="V631" s="199"/>
      <c r="W631" s="199"/>
      <c r="X631" s="199"/>
      <c r="Y631" s="199"/>
      <c r="Z631" s="199"/>
      <c r="AA631" s="199"/>
      <c r="AB631" s="199"/>
      <c r="AC631" s="199"/>
      <c r="AD631" s="199"/>
      <c r="AE631" s="199"/>
      <c r="AF631" s="199"/>
      <c r="AG631" s="199"/>
      <c r="AH631" s="199"/>
      <c r="AI631" s="199"/>
      <c r="AJ631" s="199"/>
      <c r="AK631" s="199"/>
      <c r="AL631" s="199"/>
      <c r="AM631" s="199"/>
    </row>
    <row r="632" spans="1:39">
      <c r="A632" s="712"/>
      <c r="B632" s="199"/>
      <c r="C632" s="1164"/>
      <c r="D632" s="1735"/>
      <c r="E632" s="712"/>
      <c r="F632" s="327"/>
      <c r="G632" s="1736"/>
      <c r="H632" s="712"/>
      <c r="I632" s="712"/>
      <c r="J632" s="199"/>
      <c r="K632" s="712"/>
      <c r="L632" s="712"/>
      <c r="M632" s="711"/>
      <c r="N632" s="1737"/>
      <c r="O632" s="711"/>
      <c r="P632" s="1738"/>
      <c r="Q632" s="1739"/>
      <c r="R632" s="1740"/>
      <c r="S632" s="1056"/>
      <c r="T632" s="1741"/>
      <c r="U632" s="1056"/>
      <c r="V632" s="199"/>
      <c r="W632" s="199"/>
      <c r="X632" s="199"/>
      <c r="Y632" s="199"/>
      <c r="Z632" s="199"/>
      <c r="AA632" s="199"/>
      <c r="AB632" s="199"/>
      <c r="AC632" s="199"/>
      <c r="AD632" s="199"/>
      <c r="AE632" s="199"/>
      <c r="AF632" s="199"/>
      <c r="AG632" s="199"/>
      <c r="AH632" s="199"/>
      <c r="AI632" s="199"/>
      <c r="AJ632" s="199"/>
      <c r="AK632" s="199"/>
      <c r="AL632" s="199"/>
      <c r="AM632" s="199"/>
    </row>
    <row r="633" spans="1:39">
      <c r="A633" s="712"/>
      <c r="B633" s="199"/>
      <c r="C633" s="1164"/>
      <c r="D633" s="1735"/>
      <c r="E633" s="712"/>
      <c r="F633" s="327"/>
      <c r="G633" s="1736"/>
      <c r="H633" s="712"/>
      <c r="I633" s="712"/>
      <c r="J633" s="199"/>
      <c r="K633" s="712"/>
      <c r="L633" s="712"/>
      <c r="M633" s="711"/>
      <c r="N633" s="1737"/>
      <c r="O633" s="711"/>
      <c r="P633" s="1738"/>
      <c r="Q633" s="1739"/>
      <c r="R633" s="1740"/>
      <c r="S633" s="1056"/>
      <c r="T633" s="1741"/>
      <c r="U633" s="1056"/>
      <c r="V633" s="199"/>
      <c r="W633" s="199"/>
      <c r="X633" s="199"/>
      <c r="Y633" s="199"/>
      <c r="Z633" s="199"/>
      <c r="AA633" s="199"/>
      <c r="AB633" s="199"/>
      <c r="AC633" s="199"/>
      <c r="AD633" s="199"/>
      <c r="AE633" s="199"/>
      <c r="AF633" s="199"/>
      <c r="AG633" s="199"/>
      <c r="AH633" s="199"/>
      <c r="AI633" s="199"/>
      <c r="AJ633" s="199"/>
      <c r="AK633" s="199"/>
      <c r="AL633" s="199"/>
      <c r="AM633" s="199"/>
    </row>
    <row r="634" spans="1:39">
      <c r="A634" s="712"/>
      <c r="B634" s="199"/>
      <c r="C634" s="1164"/>
      <c r="D634" s="1735"/>
      <c r="E634" s="712"/>
      <c r="F634" s="327"/>
      <c r="G634" s="1736"/>
      <c r="H634" s="712"/>
      <c r="I634" s="712"/>
      <c r="J634" s="199"/>
      <c r="K634" s="712"/>
      <c r="L634" s="712"/>
      <c r="M634" s="711"/>
      <c r="N634" s="1737"/>
      <c r="O634" s="711"/>
      <c r="P634" s="1738"/>
      <c r="Q634" s="1739"/>
      <c r="R634" s="1740"/>
      <c r="S634" s="1056"/>
      <c r="T634" s="1741"/>
      <c r="U634" s="1056"/>
      <c r="V634" s="199"/>
      <c r="W634" s="199"/>
      <c r="X634" s="199"/>
      <c r="Y634" s="199"/>
      <c r="Z634" s="199"/>
      <c r="AA634" s="199"/>
      <c r="AB634" s="199"/>
      <c r="AC634" s="199"/>
      <c r="AD634" s="199"/>
      <c r="AE634" s="199"/>
      <c r="AF634" s="199"/>
      <c r="AG634" s="199"/>
      <c r="AH634" s="199"/>
      <c r="AI634" s="199"/>
      <c r="AJ634" s="199"/>
      <c r="AK634" s="199"/>
      <c r="AL634" s="199"/>
      <c r="AM634" s="199"/>
    </row>
    <row r="635" spans="1:39">
      <c r="A635" s="712"/>
      <c r="B635" s="199"/>
      <c r="C635" s="1164"/>
      <c r="D635" s="1735"/>
      <c r="E635" s="712"/>
      <c r="F635" s="327"/>
      <c r="G635" s="1736"/>
      <c r="H635" s="712"/>
      <c r="I635" s="712"/>
      <c r="J635" s="199"/>
      <c r="K635" s="712"/>
      <c r="L635" s="712"/>
      <c r="M635" s="711"/>
      <c r="N635" s="1737"/>
      <c r="O635" s="711"/>
      <c r="P635" s="1738"/>
      <c r="Q635" s="1739"/>
      <c r="R635" s="1740"/>
      <c r="S635" s="1056"/>
      <c r="T635" s="1741"/>
      <c r="U635" s="1056"/>
      <c r="V635" s="199"/>
      <c r="W635" s="199"/>
      <c r="X635" s="199"/>
      <c r="Y635" s="199"/>
      <c r="Z635" s="199"/>
      <c r="AA635" s="199"/>
      <c r="AB635" s="199"/>
      <c r="AC635" s="199"/>
      <c r="AD635" s="199"/>
      <c r="AE635" s="199"/>
      <c r="AF635" s="199"/>
      <c r="AG635" s="199"/>
      <c r="AH635" s="199"/>
      <c r="AI635" s="199"/>
      <c r="AJ635" s="199"/>
      <c r="AK635" s="199"/>
      <c r="AL635" s="199"/>
      <c r="AM635" s="199"/>
    </row>
    <row r="636" spans="1:39">
      <c r="A636" s="712"/>
      <c r="B636" s="199"/>
      <c r="C636" s="1164"/>
      <c r="D636" s="1735"/>
      <c r="E636" s="712"/>
      <c r="F636" s="327"/>
      <c r="G636" s="1736"/>
      <c r="H636" s="712"/>
      <c r="I636" s="712"/>
      <c r="J636" s="199"/>
      <c r="K636" s="712"/>
      <c r="L636" s="712"/>
      <c r="M636" s="711"/>
      <c r="N636" s="1737"/>
      <c r="O636" s="711"/>
      <c r="P636" s="1738"/>
      <c r="Q636" s="1739"/>
      <c r="R636" s="1740"/>
      <c r="S636" s="1056"/>
      <c r="T636" s="1741"/>
      <c r="U636" s="1056"/>
      <c r="V636" s="199"/>
      <c r="W636" s="199"/>
      <c r="X636" s="199"/>
      <c r="Y636" s="199"/>
      <c r="Z636" s="199"/>
      <c r="AA636" s="199"/>
      <c r="AB636" s="199"/>
      <c r="AC636" s="199"/>
      <c r="AD636" s="199"/>
      <c r="AE636" s="199"/>
      <c r="AF636" s="199"/>
      <c r="AG636" s="199"/>
      <c r="AH636" s="199"/>
      <c r="AI636" s="199"/>
      <c r="AJ636" s="199"/>
      <c r="AK636" s="199"/>
      <c r="AL636" s="199"/>
      <c r="AM636" s="199"/>
    </row>
    <row r="637" spans="1:39">
      <c r="A637" s="712"/>
      <c r="B637" s="199"/>
      <c r="C637" s="1164"/>
      <c r="D637" s="1735"/>
      <c r="E637" s="712"/>
      <c r="F637" s="327"/>
      <c r="G637" s="1736"/>
      <c r="H637" s="712"/>
      <c r="I637" s="712"/>
      <c r="J637" s="199"/>
      <c r="K637" s="712"/>
      <c r="L637" s="712"/>
      <c r="M637" s="711"/>
      <c r="N637" s="1737"/>
      <c r="O637" s="711"/>
      <c r="P637" s="1738"/>
      <c r="Q637" s="1739"/>
      <c r="R637" s="1740"/>
      <c r="S637" s="1056"/>
      <c r="T637" s="1741"/>
      <c r="U637" s="1056"/>
      <c r="V637" s="199"/>
      <c r="W637" s="199"/>
      <c r="X637" s="199"/>
      <c r="Y637" s="199"/>
      <c r="Z637" s="199"/>
      <c r="AA637" s="199"/>
      <c r="AB637" s="199"/>
      <c r="AC637" s="199"/>
      <c r="AD637" s="199"/>
      <c r="AE637" s="199"/>
      <c r="AF637" s="199"/>
      <c r="AG637" s="199"/>
      <c r="AH637" s="199"/>
      <c r="AI637" s="199"/>
      <c r="AJ637" s="199"/>
      <c r="AK637" s="199"/>
      <c r="AL637" s="199"/>
      <c r="AM637" s="199"/>
    </row>
    <row r="638" spans="1:39">
      <c r="A638" s="712"/>
      <c r="B638" s="199"/>
      <c r="C638" s="1164"/>
      <c r="D638" s="1735"/>
      <c r="E638" s="712"/>
      <c r="F638" s="327"/>
      <c r="G638" s="1736"/>
      <c r="H638" s="712"/>
      <c r="I638" s="712"/>
      <c r="J638" s="199"/>
      <c r="K638" s="712"/>
      <c r="L638" s="712"/>
      <c r="M638" s="711"/>
      <c r="N638" s="1737"/>
      <c r="O638" s="711"/>
      <c r="P638" s="1738"/>
      <c r="Q638" s="1739"/>
      <c r="R638" s="1740"/>
      <c r="S638" s="1056"/>
      <c r="T638" s="1741"/>
      <c r="U638" s="1056"/>
      <c r="V638" s="199"/>
      <c r="W638" s="199"/>
      <c r="X638" s="199"/>
      <c r="Y638" s="199"/>
      <c r="Z638" s="199"/>
      <c r="AA638" s="199"/>
      <c r="AB638" s="199"/>
      <c r="AC638" s="199"/>
      <c r="AD638" s="199"/>
      <c r="AE638" s="199"/>
      <c r="AF638" s="199"/>
      <c r="AG638" s="199"/>
      <c r="AH638" s="199"/>
      <c r="AI638" s="199"/>
      <c r="AJ638" s="199"/>
      <c r="AK638" s="199"/>
      <c r="AL638" s="199"/>
      <c r="AM638" s="199"/>
    </row>
    <row r="639" spans="1:39">
      <c r="A639" s="712"/>
      <c r="B639" s="199"/>
      <c r="C639" s="1164"/>
      <c r="D639" s="1735"/>
      <c r="E639" s="712"/>
      <c r="F639" s="327"/>
      <c r="G639" s="1736"/>
      <c r="H639" s="712"/>
      <c r="I639" s="712"/>
      <c r="J639" s="199"/>
      <c r="K639" s="712"/>
      <c r="L639" s="712"/>
      <c r="M639" s="711"/>
      <c r="N639" s="1737"/>
      <c r="O639" s="711"/>
      <c r="P639" s="1738"/>
      <c r="Q639" s="1739"/>
      <c r="R639" s="1740"/>
      <c r="S639" s="1056"/>
      <c r="T639" s="1741"/>
      <c r="U639" s="1056"/>
      <c r="V639" s="199"/>
      <c r="W639" s="199"/>
      <c r="X639" s="199"/>
      <c r="Y639" s="199"/>
      <c r="Z639" s="199"/>
      <c r="AA639" s="199"/>
      <c r="AB639" s="199"/>
      <c r="AC639" s="199"/>
      <c r="AD639" s="199"/>
      <c r="AE639" s="199"/>
      <c r="AF639" s="199"/>
      <c r="AG639" s="199"/>
      <c r="AH639" s="199"/>
      <c r="AI639" s="199"/>
      <c r="AJ639" s="199"/>
      <c r="AK639" s="199"/>
      <c r="AL639" s="199"/>
      <c r="AM639" s="199"/>
    </row>
    <row r="640" spans="1:39">
      <c r="A640" s="712"/>
      <c r="B640" s="199"/>
      <c r="C640" s="1164"/>
      <c r="D640" s="1735"/>
      <c r="E640" s="712"/>
      <c r="F640" s="327"/>
      <c r="G640" s="1736"/>
      <c r="H640" s="712"/>
      <c r="I640" s="712"/>
      <c r="J640" s="199"/>
      <c r="K640" s="712"/>
      <c r="L640" s="712"/>
      <c r="M640" s="711"/>
      <c r="N640" s="1737"/>
      <c r="O640" s="711"/>
      <c r="P640" s="1738"/>
      <c r="Q640" s="1739"/>
      <c r="R640" s="1740"/>
      <c r="S640" s="1056"/>
      <c r="T640" s="1741"/>
      <c r="U640" s="1056"/>
      <c r="V640" s="199"/>
      <c r="W640" s="199"/>
      <c r="X640" s="199"/>
      <c r="Y640" s="199"/>
      <c r="Z640" s="199"/>
      <c r="AA640" s="199"/>
      <c r="AB640" s="199"/>
      <c r="AC640" s="199"/>
      <c r="AD640" s="199"/>
      <c r="AE640" s="199"/>
      <c r="AF640" s="199"/>
      <c r="AG640" s="199"/>
      <c r="AH640" s="199"/>
      <c r="AI640" s="199"/>
      <c r="AJ640" s="199"/>
      <c r="AK640" s="199"/>
      <c r="AL640" s="199"/>
      <c r="AM640" s="199"/>
    </row>
    <row r="641" spans="1:39">
      <c r="A641" s="712"/>
      <c r="B641" s="199"/>
      <c r="C641" s="1164"/>
      <c r="D641" s="1735"/>
      <c r="E641" s="712"/>
      <c r="F641" s="327"/>
      <c r="G641" s="1736"/>
      <c r="H641" s="712"/>
      <c r="I641" s="712"/>
      <c r="J641" s="199"/>
      <c r="K641" s="712"/>
      <c r="L641" s="712"/>
      <c r="M641" s="711"/>
      <c r="N641" s="1737"/>
      <c r="O641" s="711"/>
      <c r="P641" s="1738"/>
      <c r="Q641" s="1739"/>
      <c r="R641" s="1740"/>
      <c r="S641" s="1056"/>
      <c r="T641" s="1741"/>
      <c r="U641" s="1056"/>
      <c r="V641" s="199"/>
      <c r="W641" s="199"/>
      <c r="X641" s="199"/>
      <c r="Y641" s="199"/>
      <c r="Z641" s="199"/>
      <c r="AA641" s="199"/>
      <c r="AB641" s="199"/>
      <c r="AC641" s="199"/>
      <c r="AD641" s="199"/>
      <c r="AE641" s="199"/>
      <c r="AF641" s="199"/>
      <c r="AG641" s="199"/>
      <c r="AH641" s="199"/>
      <c r="AI641" s="199"/>
      <c r="AJ641" s="199"/>
      <c r="AK641" s="199"/>
      <c r="AL641" s="199"/>
      <c r="AM641" s="199"/>
    </row>
    <row r="642" spans="1:39">
      <c r="A642" s="712"/>
      <c r="B642" s="199"/>
      <c r="C642" s="1164"/>
      <c r="D642" s="1735"/>
      <c r="E642" s="712"/>
      <c r="F642" s="327"/>
      <c r="G642" s="1736"/>
      <c r="H642" s="712"/>
      <c r="I642" s="712"/>
      <c r="J642" s="199"/>
      <c r="K642" s="712"/>
      <c r="L642" s="712"/>
      <c r="M642" s="711"/>
      <c r="N642" s="1737"/>
      <c r="O642" s="711"/>
      <c r="P642" s="1738"/>
      <c r="Q642" s="1739"/>
      <c r="R642" s="1740"/>
      <c r="S642" s="1056"/>
      <c r="T642" s="1741"/>
      <c r="U642" s="1056"/>
      <c r="V642" s="199"/>
      <c r="W642" s="199"/>
      <c r="X642" s="199"/>
      <c r="Y642" s="199"/>
      <c r="Z642" s="199"/>
      <c r="AA642" s="199"/>
      <c r="AB642" s="199"/>
      <c r="AC642" s="199"/>
      <c r="AD642" s="199"/>
      <c r="AE642" s="199"/>
      <c r="AF642" s="199"/>
      <c r="AG642" s="199"/>
      <c r="AH642" s="199"/>
      <c r="AI642" s="199"/>
      <c r="AJ642" s="199"/>
      <c r="AK642" s="199"/>
      <c r="AL642" s="199"/>
      <c r="AM642" s="199"/>
    </row>
    <row r="643" spans="1:39">
      <c r="A643" s="712"/>
      <c r="B643" s="199"/>
      <c r="C643" s="1164"/>
      <c r="D643" s="1735"/>
      <c r="E643" s="712"/>
      <c r="F643" s="327"/>
      <c r="G643" s="1736"/>
      <c r="H643" s="712"/>
      <c r="I643" s="712"/>
      <c r="J643" s="199"/>
      <c r="K643" s="712"/>
      <c r="L643" s="712"/>
      <c r="M643" s="711"/>
      <c r="N643" s="1737"/>
      <c r="O643" s="711"/>
      <c r="P643" s="1738"/>
      <c r="Q643" s="1739"/>
      <c r="R643" s="1740"/>
      <c r="S643" s="1056"/>
      <c r="T643" s="1741"/>
      <c r="U643" s="1056"/>
      <c r="V643" s="199"/>
      <c r="W643" s="199"/>
      <c r="X643" s="199"/>
      <c r="Y643" s="199"/>
      <c r="Z643" s="199"/>
      <c r="AA643" s="199"/>
      <c r="AB643" s="199"/>
      <c r="AC643" s="199"/>
      <c r="AD643" s="199"/>
      <c r="AE643" s="199"/>
      <c r="AF643" s="199"/>
      <c r="AG643" s="199"/>
      <c r="AH643" s="199"/>
      <c r="AI643" s="199"/>
      <c r="AJ643" s="199"/>
      <c r="AK643" s="199"/>
      <c r="AL643" s="199"/>
      <c r="AM643" s="199"/>
    </row>
    <row r="644" spans="1:39">
      <c r="A644" s="712"/>
      <c r="B644" s="199"/>
      <c r="C644" s="1164"/>
      <c r="D644" s="1735"/>
      <c r="E644" s="712"/>
      <c r="F644" s="327"/>
      <c r="G644" s="1736"/>
      <c r="H644" s="712"/>
      <c r="I644" s="712"/>
      <c r="J644" s="199"/>
      <c r="K644" s="712"/>
      <c r="L644" s="712"/>
      <c r="M644" s="711"/>
      <c r="N644" s="1737"/>
      <c r="O644" s="711"/>
      <c r="P644" s="1738"/>
      <c r="Q644" s="1739"/>
      <c r="R644" s="1740"/>
      <c r="S644" s="1056"/>
      <c r="T644" s="1741"/>
      <c r="U644" s="1056"/>
      <c r="V644" s="199"/>
      <c r="W644" s="199"/>
      <c r="X644" s="199"/>
      <c r="Y644" s="199"/>
      <c r="Z644" s="199"/>
      <c r="AA644" s="199"/>
      <c r="AB644" s="199"/>
      <c r="AC644" s="199"/>
      <c r="AD644" s="199"/>
      <c r="AE644" s="199"/>
      <c r="AF644" s="199"/>
      <c r="AG644" s="199"/>
      <c r="AH644" s="199"/>
      <c r="AI644" s="199"/>
      <c r="AJ644" s="199"/>
      <c r="AK644" s="199"/>
      <c r="AL644" s="199"/>
      <c r="AM644" s="199"/>
    </row>
    <row r="645" spans="1:39">
      <c r="A645" s="712"/>
      <c r="B645" s="199"/>
      <c r="C645" s="1164"/>
      <c r="D645" s="1735"/>
      <c r="E645" s="712"/>
      <c r="F645" s="327"/>
      <c r="G645" s="1736"/>
      <c r="H645" s="712"/>
      <c r="I645" s="712"/>
      <c r="J645" s="199"/>
      <c r="K645" s="712"/>
      <c r="L645" s="712"/>
      <c r="M645" s="711"/>
      <c r="N645" s="1737"/>
      <c r="O645" s="711"/>
      <c r="P645" s="1738"/>
      <c r="Q645" s="1739"/>
      <c r="R645" s="1740"/>
      <c r="S645" s="1056"/>
      <c r="T645" s="1741"/>
      <c r="U645" s="1056"/>
      <c r="V645" s="199"/>
      <c r="W645" s="199"/>
      <c r="X645" s="199"/>
      <c r="Y645" s="199"/>
      <c r="Z645" s="199"/>
      <c r="AA645" s="199"/>
      <c r="AB645" s="199"/>
      <c r="AC645" s="199"/>
      <c r="AD645" s="199"/>
      <c r="AE645" s="199"/>
      <c r="AF645" s="199"/>
      <c r="AG645" s="199"/>
      <c r="AH645" s="199"/>
      <c r="AI645" s="199"/>
      <c r="AJ645" s="199"/>
      <c r="AK645" s="199"/>
      <c r="AL645" s="199"/>
      <c r="AM645" s="199"/>
    </row>
    <row r="646" spans="1:39">
      <c r="A646" s="712"/>
      <c r="B646" s="199"/>
      <c r="C646" s="1164"/>
      <c r="D646" s="1735"/>
      <c r="E646" s="712"/>
      <c r="F646" s="327"/>
      <c r="G646" s="1736"/>
      <c r="H646" s="712"/>
      <c r="I646" s="712"/>
      <c r="J646" s="199"/>
      <c r="K646" s="712"/>
      <c r="L646" s="712"/>
      <c r="M646" s="711"/>
      <c r="N646" s="1737"/>
      <c r="O646" s="711"/>
      <c r="P646" s="1738"/>
      <c r="Q646" s="1739"/>
      <c r="R646" s="1740"/>
      <c r="S646" s="1056"/>
      <c r="T646" s="1741"/>
      <c r="U646" s="1056"/>
      <c r="V646" s="199"/>
      <c r="W646" s="199"/>
      <c r="X646" s="199"/>
      <c r="Y646" s="199"/>
      <c r="Z646" s="199"/>
      <c r="AA646" s="199"/>
      <c r="AB646" s="199"/>
      <c r="AC646" s="199"/>
      <c r="AD646" s="199"/>
      <c r="AE646" s="199"/>
      <c r="AF646" s="199"/>
      <c r="AG646" s="199"/>
      <c r="AH646" s="199"/>
      <c r="AI646" s="199"/>
      <c r="AJ646" s="199"/>
      <c r="AK646" s="199"/>
      <c r="AL646" s="199"/>
      <c r="AM646" s="199"/>
    </row>
    <row r="647" spans="1:39">
      <c r="A647" s="712"/>
      <c r="B647" s="199"/>
      <c r="C647" s="1164"/>
      <c r="D647" s="1735"/>
      <c r="E647" s="712"/>
      <c r="F647" s="327"/>
      <c r="G647" s="1736"/>
      <c r="H647" s="712"/>
      <c r="I647" s="712"/>
      <c r="J647" s="199"/>
      <c r="K647" s="712"/>
      <c r="L647" s="712"/>
      <c r="M647" s="711"/>
      <c r="N647" s="1737"/>
      <c r="O647" s="711"/>
      <c r="P647" s="1738"/>
      <c r="Q647" s="1739"/>
      <c r="R647" s="1740"/>
      <c r="S647" s="1056"/>
      <c r="T647" s="1741"/>
      <c r="U647" s="1056"/>
      <c r="V647" s="199"/>
      <c r="W647" s="199"/>
      <c r="X647" s="199"/>
      <c r="Y647" s="199"/>
      <c r="Z647" s="199"/>
      <c r="AA647" s="199"/>
      <c r="AB647" s="199"/>
      <c r="AC647" s="199"/>
      <c r="AD647" s="199"/>
      <c r="AE647" s="199"/>
      <c r="AF647" s="199"/>
      <c r="AG647" s="199"/>
      <c r="AH647" s="199"/>
      <c r="AI647" s="199"/>
      <c r="AJ647" s="199"/>
      <c r="AK647" s="199"/>
      <c r="AL647" s="199"/>
      <c r="AM647" s="199"/>
    </row>
    <row r="648" spans="1:39">
      <c r="A648" s="712"/>
      <c r="B648" s="199"/>
      <c r="C648" s="1164"/>
      <c r="D648" s="1735"/>
      <c r="E648" s="712"/>
      <c r="F648" s="327"/>
      <c r="G648" s="1736"/>
      <c r="H648" s="712"/>
      <c r="I648" s="712"/>
      <c r="J648" s="199"/>
      <c r="K648" s="712"/>
      <c r="L648" s="712"/>
      <c r="M648" s="711"/>
      <c r="N648" s="1737"/>
      <c r="O648" s="711"/>
      <c r="P648" s="1738"/>
      <c r="Q648" s="1739"/>
      <c r="R648" s="1740"/>
      <c r="S648" s="1056"/>
      <c r="T648" s="1741"/>
      <c r="U648" s="1056"/>
      <c r="V648" s="199"/>
      <c r="W648" s="199"/>
      <c r="X648" s="199"/>
      <c r="Y648" s="199"/>
      <c r="Z648" s="199"/>
      <c r="AA648" s="199"/>
      <c r="AB648" s="199"/>
      <c r="AC648" s="199"/>
      <c r="AD648" s="199"/>
      <c r="AE648" s="199"/>
      <c r="AF648" s="199"/>
      <c r="AG648" s="199"/>
      <c r="AH648" s="199"/>
      <c r="AI648" s="199"/>
      <c r="AJ648" s="199"/>
      <c r="AK648" s="199"/>
      <c r="AL648" s="199"/>
      <c r="AM648" s="199"/>
    </row>
    <row r="649" spans="1:39">
      <c r="A649" s="712"/>
      <c r="B649" s="199"/>
      <c r="C649" s="1164"/>
      <c r="D649" s="1735"/>
      <c r="E649" s="712"/>
      <c r="F649" s="327"/>
      <c r="G649" s="1736"/>
      <c r="H649" s="712"/>
      <c r="I649" s="712"/>
      <c r="J649" s="199"/>
      <c r="K649" s="712"/>
      <c r="L649" s="712"/>
      <c r="M649" s="711"/>
      <c r="N649" s="1737"/>
      <c r="O649" s="711"/>
      <c r="P649" s="1738"/>
      <c r="Q649" s="1739"/>
      <c r="R649" s="1740"/>
      <c r="S649" s="1056"/>
      <c r="T649" s="1741"/>
      <c r="U649" s="1056"/>
      <c r="V649" s="199"/>
      <c r="W649" s="199"/>
      <c r="X649" s="199"/>
      <c r="Y649" s="199"/>
      <c r="Z649" s="199"/>
      <c r="AA649" s="199"/>
      <c r="AB649" s="199"/>
      <c r="AC649" s="199"/>
      <c r="AD649" s="199"/>
      <c r="AE649" s="199"/>
      <c r="AF649" s="199"/>
      <c r="AG649" s="199"/>
      <c r="AH649" s="199"/>
      <c r="AI649" s="199"/>
      <c r="AJ649" s="199"/>
      <c r="AK649" s="199"/>
      <c r="AL649" s="199"/>
      <c r="AM649" s="199"/>
    </row>
    <row r="650" spans="1:39">
      <c r="A650" s="712"/>
      <c r="B650" s="199"/>
      <c r="C650" s="1164"/>
      <c r="D650" s="1735"/>
      <c r="E650" s="712"/>
      <c r="F650" s="327"/>
      <c r="G650" s="1736"/>
      <c r="H650" s="712"/>
      <c r="I650" s="712"/>
      <c r="J650" s="199"/>
      <c r="K650" s="712"/>
      <c r="L650" s="712"/>
      <c r="M650" s="711"/>
      <c r="N650" s="1737"/>
      <c r="O650" s="711"/>
      <c r="P650" s="1738"/>
      <c r="Q650" s="1739"/>
      <c r="R650" s="1740"/>
      <c r="S650" s="1056"/>
      <c r="T650" s="1741"/>
      <c r="U650" s="1056"/>
      <c r="V650" s="199"/>
      <c r="W650" s="199"/>
      <c r="X650" s="199"/>
      <c r="Y650" s="199"/>
      <c r="Z650" s="199"/>
      <c r="AA650" s="199"/>
      <c r="AB650" s="199"/>
      <c r="AC650" s="199"/>
      <c r="AD650" s="199"/>
      <c r="AE650" s="199"/>
      <c r="AF650" s="199"/>
      <c r="AG650" s="199"/>
      <c r="AH650" s="199"/>
      <c r="AI650" s="199"/>
      <c r="AJ650" s="199"/>
      <c r="AK650" s="199"/>
      <c r="AL650" s="199"/>
      <c r="AM650" s="199"/>
    </row>
    <row r="651" spans="1:39">
      <c r="A651" s="712"/>
      <c r="B651" s="199"/>
      <c r="C651" s="1164"/>
      <c r="D651" s="1735"/>
      <c r="E651" s="712"/>
      <c r="F651" s="327"/>
      <c r="G651" s="1736"/>
      <c r="H651" s="712"/>
      <c r="I651" s="712"/>
      <c r="J651" s="199"/>
      <c r="K651" s="712"/>
      <c r="L651" s="712"/>
      <c r="M651" s="711"/>
      <c r="N651" s="1737"/>
      <c r="O651" s="711"/>
      <c r="P651" s="1738"/>
      <c r="Q651" s="1739"/>
      <c r="R651" s="1740"/>
      <c r="S651" s="1056"/>
      <c r="T651" s="1741"/>
      <c r="U651" s="1056"/>
      <c r="V651" s="199"/>
      <c r="W651" s="199"/>
      <c r="X651" s="199"/>
      <c r="Y651" s="199"/>
      <c r="Z651" s="199"/>
      <c r="AA651" s="199"/>
      <c r="AB651" s="199"/>
      <c r="AC651" s="199"/>
      <c r="AD651" s="199"/>
      <c r="AE651" s="199"/>
      <c r="AF651" s="199"/>
      <c r="AG651" s="199"/>
      <c r="AH651" s="199"/>
      <c r="AI651" s="199"/>
      <c r="AJ651" s="199"/>
      <c r="AK651" s="199"/>
      <c r="AL651" s="199"/>
      <c r="AM651" s="199"/>
    </row>
    <row r="652" spans="1:39">
      <c r="A652" s="712"/>
      <c r="B652" s="199"/>
      <c r="C652" s="1164"/>
      <c r="D652" s="1735"/>
      <c r="E652" s="712"/>
      <c r="F652" s="327"/>
      <c r="G652" s="1736"/>
      <c r="H652" s="712"/>
      <c r="I652" s="712"/>
      <c r="J652" s="199"/>
      <c r="K652" s="712"/>
      <c r="L652" s="712"/>
      <c r="M652" s="711"/>
      <c r="N652" s="1737"/>
      <c r="O652" s="711"/>
      <c r="P652" s="1738"/>
      <c r="Q652" s="1739"/>
      <c r="R652" s="1740"/>
      <c r="S652" s="1056"/>
      <c r="T652" s="1741"/>
      <c r="U652" s="1056"/>
      <c r="V652" s="199"/>
      <c r="W652" s="199"/>
      <c r="X652" s="199"/>
      <c r="Y652" s="199"/>
      <c r="Z652" s="199"/>
      <c r="AA652" s="199"/>
      <c r="AB652" s="199"/>
      <c r="AC652" s="199"/>
      <c r="AD652" s="199"/>
      <c r="AE652" s="199"/>
      <c r="AF652" s="199"/>
      <c r="AG652" s="199"/>
      <c r="AH652" s="199"/>
      <c r="AI652" s="199"/>
      <c r="AJ652" s="199"/>
      <c r="AK652" s="199"/>
      <c r="AL652" s="199"/>
      <c r="AM652" s="199"/>
    </row>
    <row r="653" spans="1:39">
      <c r="A653" s="712"/>
      <c r="B653" s="199"/>
      <c r="C653" s="1164"/>
      <c r="D653" s="1735"/>
      <c r="E653" s="712"/>
      <c r="F653" s="327"/>
      <c r="G653" s="1736"/>
      <c r="H653" s="712"/>
      <c r="I653" s="712"/>
      <c r="J653" s="199"/>
      <c r="K653" s="712"/>
      <c r="L653" s="712"/>
      <c r="M653" s="711"/>
      <c r="N653" s="1737"/>
      <c r="O653" s="711"/>
      <c r="P653" s="1738"/>
      <c r="Q653" s="1739"/>
      <c r="R653" s="1740"/>
      <c r="S653" s="1056"/>
      <c r="T653" s="1741"/>
      <c r="U653" s="1056"/>
      <c r="V653" s="199"/>
      <c r="W653" s="199"/>
      <c r="X653" s="199"/>
      <c r="Y653" s="199"/>
      <c r="Z653" s="199"/>
      <c r="AA653" s="199"/>
      <c r="AB653" s="199"/>
      <c r="AC653" s="199"/>
      <c r="AD653" s="199"/>
      <c r="AE653" s="199"/>
      <c r="AF653" s="199"/>
      <c r="AG653" s="199"/>
      <c r="AH653" s="199"/>
      <c r="AI653" s="199"/>
      <c r="AJ653" s="199"/>
      <c r="AK653" s="199"/>
      <c r="AL653" s="199"/>
      <c r="AM653" s="199"/>
    </row>
    <row r="654" spans="1:39">
      <c r="A654" s="712"/>
      <c r="B654" s="199"/>
      <c r="C654" s="1164"/>
      <c r="D654" s="1735"/>
      <c r="E654" s="712"/>
      <c r="F654" s="327"/>
      <c r="G654" s="1736"/>
      <c r="H654" s="712"/>
      <c r="I654" s="712"/>
      <c r="J654" s="199"/>
      <c r="K654" s="712"/>
      <c r="L654" s="712"/>
      <c r="M654" s="711"/>
      <c r="N654" s="1737"/>
      <c r="O654" s="711"/>
      <c r="P654" s="1738"/>
      <c r="Q654" s="1739"/>
      <c r="R654" s="1740"/>
      <c r="S654" s="1056"/>
      <c r="T654" s="1741"/>
      <c r="U654" s="1056"/>
      <c r="V654" s="199"/>
      <c r="W654" s="199"/>
      <c r="X654" s="199"/>
      <c r="Y654" s="199"/>
      <c r="Z654" s="199"/>
      <c r="AA654" s="199"/>
      <c r="AB654" s="199"/>
      <c r="AC654" s="199"/>
      <c r="AD654" s="199"/>
      <c r="AE654" s="199"/>
      <c r="AF654" s="199"/>
      <c r="AG654" s="199"/>
      <c r="AH654" s="199"/>
      <c r="AI654" s="199"/>
      <c r="AJ654" s="199"/>
      <c r="AK654" s="199"/>
      <c r="AL654" s="199"/>
      <c r="AM654" s="199"/>
    </row>
    <row r="655" spans="1:39">
      <c r="A655" s="712"/>
      <c r="B655" s="199"/>
      <c r="C655" s="1164"/>
      <c r="D655" s="1735"/>
      <c r="E655" s="712"/>
      <c r="F655" s="327"/>
      <c r="G655" s="1736"/>
      <c r="H655" s="712"/>
      <c r="I655" s="712"/>
      <c r="J655" s="199"/>
      <c r="K655" s="712"/>
      <c r="L655" s="712"/>
      <c r="M655" s="711"/>
      <c r="N655" s="1737"/>
      <c r="O655" s="711"/>
      <c r="P655" s="1738"/>
      <c r="Q655" s="1739"/>
      <c r="R655" s="1740"/>
      <c r="S655" s="1056"/>
      <c r="T655" s="1741"/>
      <c r="U655" s="1056"/>
      <c r="V655" s="199"/>
      <c r="W655" s="199"/>
      <c r="X655" s="199"/>
      <c r="Y655" s="199"/>
      <c r="Z655" s="199"/>
      <c r="AA655" s="199"/>
      <c r="AB655" s="199"/>
      <c r="AC655" s="199"/>
      <c r="AD655" s="199"/>
      <c r="AE655" s="199"/>
      <c r="AF655" s="199"/>
      <c r="AG655" s="199"/>
      <c r="AH655" s="199"/>
      <c r="AI655" s="199"/>
      <c r="AJ655" s="199"/>
      <c r="AK655" s="199"/>
      <c r="AL655" s="199"/>
      <c r="AM655" s="199"/>
    </row>
    <row r="656" spans="1:39">
      <c r="A656" s="712"/>
      <c r="B656" s="199"/>
      <c r="C656" s="1164"/>
      <c r="D656" s="1735"/>
      <c r="E656" s="712"/>
      <c r="F656" s="327"/>
      <c r="G656" s="1736"/>
      <c r="H656" s="712"/>
      <c r="I656" s="712"/>
      <c r="J656" s="199"/>
      <c r="K656" s="712"/>
      <c r="L656" s="712"/>
      <c r="M656" s="711"/>
      <c r="N656" s="1737"/>
      <c r="O656" s="711"/>
      <c r="P656" s="1738"/>
      <c r="Q656" s="1739"/>
      <c r="R656" s="1740"/>
      <c r="S656" s="1056"/>
      <c r="T656" s="1741"/>
      <c r="U656" s="1056"/>
      <c r="V656" s="199"/>
      <c r="W656" s="199"/>
      <c r="X656" s="199"/>
      <c r="Y656" s="199"/>
      <c r="Z656" s="199"/>
      <c r="AA656" s="199"/>
      <c r="AB656" s="199"/>
      <c r="AC656" s="199"/>
      <c r="AD656" s="199"/>
      <c r="AE656" s="199"/>
      <c r="AF656" s="199"/>
      <c r="AG656" s="199"/>
      <c r="AH656" s="199"/>
      <c r="AI656" s="199"/>
      <c r="AJ656" s="199"/>
      <c r="AK656" s="199"/>
      <c r="AL656" s="199"/>
      <c r="AM656" s="199"/>
    </row>
    <row r="657" spans="1:39">
      <c r="A657" s="712"/>
      <c r="B657" s="199"/>
      <c r="C657" s="1164"/>
      <c r="D657" s="1735"/>
      <c r="E657" s="712"/>
      <c r="F657" s="327"/>
      <c r="G657" s="1736"/>
      <c r="H657" s="712"/>
      <c r="I657" s="712"/>
      <c r="J657" s="199"/>
      <c r="K657" s="712"/>
      <c r="L657" s="712"/>
      <c r="M657" s="711"/>
      <c r="N657" s="1737"/>
      <c r="O657" s="711"/>
      <c r="P657" s="1738"/>
      <c r="Q657" s="1739"/>
      <c r="R657" s="1740"/>
      <c r="S657" s="1056"/>
      <c r="T657" s="1741"/>
      <c r="U657" s="1056"/>
      <c r="V657" s="199"/>
      <c r="W657" s="199"/>
      <c r="X657" s="199"/>
      <c r="Y657" s="199"/>
      <c r="Z657" s="199"/>
      <c r="AA657" s="199"/>
      <c r="AB657" s="199"/>
      <c r="AC657" s="199"/>
      <c r="AD657" s="199"/>
      <c r="AE657" s="199"/>
      <c r="AF657" s="199"/>
      <c r="AG657" s="199"/>
      <c r="AH657" s="199"/>
      <c r="AI657" s="199"/>
      <c r="AJ657" s="199"/>
      <c r="AK657" s="199"/>
      <c r="AL657" s="199"/>
      <c r="AM657" s="199"/>
    </row>
    <row r="658" spans="1:39">
      <c r="A658" s="712"/>
      <c r="B658" s="199"/>
      <c r="C658" s="1164"/>
      <c r="D658" s="1735"/>
      <c r="E658" s="712"/>
      <c r="F658" s="327"/>
      <c r="G658" s="1736"/>
      <c r="H658" s="712"/>
      <c r="I658" s="712"/>
      <c r="J658" s="199"/>
      <c r="K658" s="712"/>
      <c r="L658" s="712"/>
      <c r="M658" s="711"/>
      <c r="N658" s="1737"/>
      <c r="O658" s="711"/>
      <c r="P658" s="1738"/>
      <c r="Q658" s="1739"/>
      <c r="R658" s="1740"/>
      <c r="S658" s="1056"/>
      <c r="T658" s="1741"/>
      <c r="U658" s="1056"/>
      <c r="V658" s="199"/>
      <c r="W658" s="199"/>
      <c r="X658" s="199"/>
      <c r="Y658" s="199"/>
      <c r="Z658" s="199"/>
      <c r="AA658" s="199"/>
      <c r="AB658" s="199"/>
      <c r="AC658" s="199"/>
      <c r="AD658" s="199"/>
      <c r="AE658" s="199"/>
      <c r="AF658" s="199"/>
      <c r="AG658" s="199"/>
      <c r="AH658" s="199"/>
      <c r="AI658" s="199"/>
      <c r="AJ658" s="199"/>
      <c r="AK658" s="199"/>
      <c r="AL658" s="199"/>
      <c r="AM658" s="199"/>
    </row>
    <row r="659" spans="1:39">
      <c r="A659" s="712"/>
      <c r="B659" s="199"/>
      <c r="C659" s="1164"/>
      <c r="D659" s="1735"/>
      <c r="E659" s="712"/>
      <c r="F659" s="327"/>
      <c r="G659" s="1736"/>
      <c r="H659" s="712"/>
      <c r="I659" s="712"/>
      <c r="J659" s="199"/>
      <c r="K659" s="712"/>
      <c r="L659" s="712"/>
      <c r="M659" s="711"/>
      <c r="N659" s="1737"/>
      <c r="O659" s="711"/>
      <c r="P659" s="1738"/>
      <c r="Q659" s="1739"/>
      <c r="R659" s="1740"/>
      <c r="S659" s="1056"/>
      <c r="T659" s="1741"/>
      <c r="U659" s="1056"/>
      <c r="V659" s="199"/>
      <c r="W659" s="199"/>
      <c r="X659" s="199"/>
      <c r="Y659" s="199"/>
      <c r="Z659" s="199"/>
      <c r="AA659" s="199"/>
      <c r="AB659" s="199"/>
      <c r="AC659" s="199"/>
      <c r="AD659" s="199"/>
      <c r="AE659" s="199"/>
      <c r="AF659" s="199"/>
      <c r="AG659" s="199"/>
      <c r="AH659" s="199"/>
      <c r="AI659" s="199"/>
      <c r="AJ659" s="199"/>
      <c r="AK659" s="199"/>
      <c r="AL659" s="199"/>
      <c r="AM659" s="199"/>
    </row>
    <row r="660" spans="1:39">
      <c r="A660" s="712"/>
      <c r="B660" s="199"/>
      <c r="C660" s="1164"/>
      <c r="D660" s="1735"/>
      <c r="E660" s="712"/>
      <c r="F660" s="327"/>
      <c r="G660" s="1736"/>
      <c r="H660" s="712"/>
      <c r="I660" s="712"/>
      <c r="J660" s="199"/>
      <c r="K660" s="712"/>
      <c r="L660" s="712"/>
      <c r="M660" s="711"/>
      <c r="N660" s="1737"/>
      <c r="O660" s="711"/>
      <c r="P660" s="1738"/>
      <c r="Q660" s="1739"/>
      <c r="R660" s="1740"/>
      <c r="S660" s="1056"/>
      <c r="T660" s="1741"/>
      <c r="U660" s="1056"/>
      <c r="V660" s="199"/>
      <c r="W660" s="199"/>
      <c r="X660" s="199"/>
      <c r="Y660" s="199"/>
      <c r="Z660" s="199"/>
      <c r="AA660" s="199"/>
      <c r="AB660" s="199"/>
      <c r="AC660" s="199"/>
      <c r="AD660" s="199"/>
      <c r="AE660" s="199"/>
      <c r="AF660" s="199"/>
      <c r="AG660" s="199"/>
      <c r="AH660" s="199"/>
      <c r="AI660" s="199"/>
      <c r="AJ660" s="199"/>
      <c r="AK660" s="199"/>
      <c r="AL660" s="199"/>
      <c r="AM660" s="199"/>
    </row>
    <row r="661" spans="1:39">
      <c r="A661" s="712"/>
      <c r="B661" s="199"/>
      <c r="C661" s="1164"/>
      <c r="D661" s="1735"/>
      <c r="E661" s="712"/>
      <c r="F661" s="327"/>
      <c r="G661" s="1736"/>
      <c r="H661" s="712"/>
      <c r="I661" s="712"/>
      <c r="J661" s="199"/>
      <c r="K661" s="712"/>
      <c r="L661" s="712"/>
      <c r="M661" s="711"/>
      <c r="N661" s="1737"/>
      <c r="O661" s="711"/>
      <c r="P661" s="1738"/>
      <c r="Q661" s="1739"/>
      <c r="R661" s="1740"/>
      <c r="S661" s="1056"/>
      <c r="T661" s="1741"/>
      <c r="U661" s="1056"/>
      <c r="V661" s="199"/>
      <c r="W661" s="199"/>
      <c r="X661" s="199"/>
      <c r="Y661" s="199"/>
      <c r="Z661" s="199"/>
      <c r="AA661" s="199"/>
      <c r="AB661" s="199"/>
      <c r="AC661" s="199"/>
      <c r="AD661" s="199"/>
      <c r="AE661" s="199"/>
      <c r="AF661" s="199"/>
      <c r="AG661" s="199"/>
      <c r="AH661" s="199"/>
      <c r="AI661" s="199"/>
      <c r="AJ661" s="199"/>
      <c r="AK661" s="199"/>
      <c r="AL661" s="199"/>
      <c r="AM661" s="199"/>
    </row>
    <row r="662" spans="1:39">
      <c r="A662" s="712"/>
      <c r="B662" s="199"/>
      <c r="C662" s="1164"/>
      <c r="D662" s="1735"/>
      <c r="E662" s="712"/>
      <c r="F662" s="327"/>
      <c r="G662" s="1736"/>
      <c r="H662" s="712"/>
      <c r="I662" s="712"/>
      <c r="J662" s="199"/>
      <c r="K662" s="712"/>
      <c r="L662" s="712"/>
      <c r="M662" s="711"/>
      <c r="N662" s="1737"/>
      <c r="O662" s="711"/>
      <c r="P662" s="1738"/>
      <c r="Q662" s="1739"/>
      <c r="R662" s="1740"/>
      <c r="S662" s="1056"/>
      <c r="T662" s="1741"/>
      <c r="U662" s="1056"/>
      <c r="V662" s="199"/>
      <c r="W662" s="199"/>
      <c r="X662" s="199"/>
      <c r="Y662" s="199"/>
      <c r="Z662" s="199"/>
      <c r="AA662" s="199"/>
      <c r="AB662" s="199"/>
      <c r="AC662" s="199"/>
      <c r="AD662" s="199"/>
      <c r="AE662" s="199"/>
      <c r="AF662" s="199"/>
      <c r="AG662" s="199"/>
      <c r="AH662" s="199"/>
      <c r="AI662" s="199"/>
      <c r="AJ662" s="199"/>
      <c r="AK662" s="199"/>
      <c r="AL662" s="199"/>
      <c r="AM662" s="199"/>
    </row>
    <row r="663" spans="1:39">
      <c r="A663" s="712"/>
      <c r="B663" s="199"/>
      <c r="C663" s="1164"/>
      <c r="D663" s="1735"/>
      <c r="E663" s="712"/>
      <c r="F663" s="327"/>
      <c r="G663" s="1736"/>
      <c r="H663" s="712"/>
      <c r="I663" s="712"/>
      <c r="J663" s="199"/>
      <c r="K663" s="712"/>
      <c r="L663" s="712"/>
      <c r="M663" s="711"/>
      <c r="N663" s="1737"/>
      <c r="O663" s="711"/>
      <c r="P663" s="1738"/>
      <c r="Q663" s="1739"/>
      <c r="R663" s="1740"/>
      <c r="S663" s="1056"/>
      <c r="T663" s="1741"/>
      <c r="U663" s="1056"/>
      <c r="V663" s="199"/>
      <c r="W663" s="199"/>
      <c r="X663" s="199"/>
      <c r="Y663" s="199"/>
      <c r="Z663" s="199"/>
      <c r="AA663" s="199"/>
      <c r="AB663" s="199"/>
      <c r="AC663" s="199"/>
      <c r="AD663" s="199"/>
      <c r="AE663" s="199"/>
      <c r="AF663" s="199"/>
      <c r="AG663" s="199"/>
      <c r="AH663" s="199"/>
      <c r="AI663" s="199"/>
      <c r="AJ663" s="199"/>
      <c r="AK663" s="199"/>
      <c r="AL663" s="199"/>
      <c r="AM663" s="199"/>
    </row>
    <row r="664" spans="1:39">
      <c r="A664" s="712"/>
      <c r="B664" s="199"/>
      <c r="C664" s="1164"/>
      <c r="D664" s="1735"/>
      <c r="E664" s="712"/>
      <c r="F664" s="327"/>
      <c r="G664" s="1736"/>
      <c r="H664" s="712"/>
      <c r="I664" s="712"/>
      <c r="J664" s="199"/>
      <c r="K664" s="712"/>
      <c r="L664" s="712"/>
      <c r="M664" s="711"/>
      <c r="N664" s="1737"/>
      <c r="O664" s="711"/>
      <c r="P664" s="1738"/>
      <c r="Q664" s="1739"/>
      <c r="R664" s="1740"/>
      <c r="S664" s="1056"/>
      <c r="T664" s="1741"/>
      <c r="U664" s="1056"/>
      <c r="V664" s="199"/>
      <c r="W664" s="199"/>
      <c r="X664" s="199"/>
      <c r="Y664" s="199"/>
      <c r="Z664" s="199"/>
      <c r="AA664" s="199"/>
      <c r="AB664" s="199"/>
      <c r="AC664" s="199"/>
      <c r="AD664" s="199"/>
      <c r="AE664" s="199"/>
      <c r="AF664" s="199"/>
      <c r="AG664" s="199"/>
      <c r="AH664" s="199"/>
      <c r="AI664" s="199"/>
      <c r="AJ664" s="199"/>
      <c r="AK664" s="199"/>
      <c r="AL664" s="199"/>
      <c r="AM664" s="199"/>
    </row>
    <row r="665" spans="1:39">
      <c r="A665" s="712"/>
      <c r="B665" s="199"/>
      <c r="C665" s="1164"/>
      <c r="D665" s="1735"/>
      <c r="E665" s="712"/>
      <c r="F665" s="327"/>
      <c r="G665" s="1736"/>
      <c r="H665" s="712"/>
      <c r="I665" s="712"/>
      <c r="J665" s="199"/>
      <c r="K665" s="712"/>
      <c r="L665" s="712"/>
      <c r="M665" s="711"/>
      <c r="N665" s="1737"/>
      <c r="O665" s="711"/>
      <c r="P665" s="1738"/>
      <c r="Q665" s="1739"/>
      <c r="R665" s="1740"/>
      <c r="S665" s="1056"/>
      <c r="T665" s="1741"/>
      <c r="U665" s="1056"/>
      <c r="V665" s="199"/>
      <c r="W665" s="199"/>
      <c r="X665" s="199"/>
      <c r="Y665" s="199"/>
      <c r="Z665" s="199"/>
      <c r="AA665" s="199"/>
      <c r="AB665" s="199"/>
      <c r="AC665" s="199"/>
      <c r="AD665" s="199"/>
      <c r="AE665" s="199"/>
      <c r="AF665" s="199"/>
      <c r="AG665" s="199"/>
      <c r="AH665" s="199"/>
      <c r="AI665" s="199"/>
      <c r="AJ665" s="199"/>
      <c r="AK665" s="199"/>
      <c r="AL665" s="199"/>
      <c r="AM665" s="199"/>
    </row>
    <row r="666" spans="1:39">
      <c r="A666" s="712"/>
      <c r="B666" s="199"/>
      <c r="C666" s="1164"/>
      <c r="D666" s="1735"/>
      <c r="E666" s="712"/>
      <c r="F666" s="327"/>
      <c r="G666" s="1736"/>
      <c r="H666" s="712"/>
      <c r="I666" s="712"/>
      <c r="J666" s="199"/>
      <c r="K666" s="712"/>
      <c r="L666" s="712"/>
      <c r="M666" s="711"/>
      <c r="N666" s="1737"/>
      <c r="O666" s="711"/>
      <c r="P666" s="1738"/>
      <c r="Q666" s="1739"/>
      <c r="R666" s="1740"/>
      <c r="S666" s="1056"/>
      <c r="T666" s="1741"/>
      <c r="U666" s="1056"/>
      <c r="V666" s="199"/>
      <c r="W666" s="199"/>
      <c r="X666" s="199"/>
      <c r="Y666" s="199"/>
      <c r="Z666" s="199"/>
      <c r="AA666" s="199"/>
      <c r="AB666" s="199"/>
      <c r="AC666" s="199"/>
      <c r="AD666" s="199"/>
      <c r="AE666" s="199"/>
      <c r="AF666" s="199"/>
      <c r="AG666" s="199"/>
      <c r="AH666" s="199"/>
      <c r="AI666" s="199"/>
      <c r="AJ666" s="199"/>
      <c r="AK666" s="199"/>
      <c r="AL666" s="199"/>
      <c r="AM666" s="199"/>
    </row>
    <row r="667" spans="1:39">
      <c r="A667" s="712"/>
      <c r="B667" s="199"/>
      <c r="C667" s="1164"/>
      <c r="D667" s="1735"/>
      <c r="E667" s="712"/>
      <c r="F667" s="327"/>
      <c r="G667" s="1736"/>
      <c r="H667" s="712"/>
      <c r="I667" s="712"/>
      <c r="J667" s="199"/>
      <c r="K667" s="712"/>
      <c r="L667" s="712"/>
      <c r="M667" s="711"/>
      <c r="N667" s="1737"/>
      <c r="O667" s="711"/>
      <c r="P667" s="1738"/>
      <c r="Q667" s="1739"/>
      <c r="R667" s="1740"/>
      <c r="S667" s="1056"/>
      <c r="T667" s="1741"/>
      <c r="U667" s="1056"/>
      <c r="V667" s="199"/>
      <c r="W667" s="199"/>
      <c r="X667" s="199"/>
      <c r="Y667" s="199"/>
      <c r="Z667" s="199"/>
      <c r="AA667" s="199"/>
      <c r="AB667" s="199"/>
      <c r="AC667" s="199"/>
      <c r="AD667" s="199"/>
      <c r="AE667" s="199"/>
      <c r="AF667" s="199"/>
      <c r="AG667" s="199"/>
      <c r="AH667" s="199"/>
      <c r="AI667" s="199"/>
      <c r="AJ667" s="199"/>
      <c r="AK667" s="199"/>
      <c r="AL667" s="199"/>
      <c r="AM667" s="199"/>
    </row>
    <row r="668" spans="1:39">
      <c r="A668" s="712"/>
      <c r="B668" s="199"/>
      <c r="C668" s="1164"/>
      <c r="D668" s="1735"/>
      <c r="E668" s="712"/>
      <c r="F668" s="327"/>
      <c r="G668" s="1736"/>
      <c r="H668" s="712"/>
      <c r="I668" s="712"/>
      <c r="J668" s="199"/>
      <c r="K668" s="712"/>
      <c r="L668" s="712"/>
      <c r="M668" s="711"/>
      <c r="N668" s="1737"/>
      <c r="O668" s="711"/>
      <c r="P668" s="1738"/>
      <c r="Q668" s="1739"/>
      <c r="R668" s="1740"/>
      <c r="S668" s="1056"/>
      <c r="T668" s="1741"/>
      <c r="U668" s="1056"/>
      <c r="V668" s="199"/>
      <c r="W668" s="199"/>
      <c r="X668" s="199"/>
      <c r="Y668" s="199"/>
      <c r="Z668" s="199"/>
      <c r="AA668" s="199"/>
      <c r="AB668" s="199"/>
      <c r="AC668" s="199"/>
      <c r="AD668" s="199"/>
      <c r="AE668" s="199"/>
      <c r="AF668" s="199"/>
      <c r="AG668" s="199"/>
      <c r="AH668" s="199"/>
      <c r="AI668" s="199"/>
      <c r="AJ668" s="199"/>
      <c r="AK668" s="199"/>
      <c r="AL668" s="199"/>
      <c r="AM668" s="199"/>
    </row>
    <row r="669" spans="1:39">
      <c r="A669" s="712"/>
      <c r="B669" s="199"/>
      <c r="C669" s="1164"/>
      <c r="D669" s="1735"/>
      <c r="E669" s="712"/>
      <c r="F669" s="327"/>
      <c r="G669" s="1736"/>
      <c r="H669" s="712"/>
      <c r="I669" s="712"/>
      <c r="J669" s="199"/>
      <c r="K669" s="712"/>
      <c r="L669" s="712"/>
      <c r="M669" s="711"/>
      <c r="N669" s="1737"/>
      <c r="O669" s="711"/>
      <c r="P669" s="1738"/>
      <c r="Q669" s="1739"/>
      <c r="R669" s="1740"/>
      <c r="S669" s="1056"/>
      <c r="T669" s="1741"/>
      <c r="U669" s="1056"/>
      <c r="V669" s="199"/>
      <c r="W669" s="199"/>
      <c r="X669" s="199"/>
      <c r="Y669" s="199"/>
      <c r="Z669" s="199"/>
      <c r="AA669" s="199"/>
      <c r="AB669" s="199"/>
      <c r="AC669" s="199"/>
      <c r="AD669" s="199"/>
      <c r="AE669" s="199"/>
      <c r="AF669" s="199"/>
      <c r="AG669" s="199"/>
      <c r="AH669" s="199"/>
      <c r="AI669" s="199"/>
      <c r="AJ669" s="199"/>
      <c r="AK669" s="199"/>
      <c r="AL669" s="199"/>
      <c r="AM669" s="199"/>
    </row>
    <row r="670" spans="1:39">
      <c r="A670" s="712"/>
      <c r="B670" s="199"/>
      <c r="C670" s="1164"/>
      <c r="D670" s="1735"/>
      <c r="E670" s="712"/>
      <c r="F670" s="327"/>
      <c r="G670" s="1736"/>
      <c r="H670" s="712"/>
      <c r="I670" s="712"/>
      <c r="J670" s="199"/>
      <c r="K670" s="712"/>
      <c r="L670" s="712"/>
      <c r="M670" s="711"/>
      <c r="N670" s="1737"/>
      <c r="O670" s="711"/>
      <c r="P670" s="1738"/>
      <c r="Q670" s="1739"/>
      <c r="R670" s="1740"/>
      <c r="S670" s="1056"/>
      <c r="T670" s="1741"/>
      <c r="U670" s="1056"/>
      <c r="V670" s="199"/>
      <c r="W670" s="199"/>
      <c r="X670" s="199"/>
      <c r="Y670" s="199"/>
      <c r="Z670" s="199"/>
      <c r="AA670" s="199"/>
      <c r="AB670" s="199"/>
      <c r="AC670" s="199"/>
      <c r="AD670" s="199"/>
      <c r="AE670" s="199"/>
      <c r="AF670" s="199"/>
      <c r="AG670" s="199"/>
      <c r="AH670" s="199"/>
      <c r="AI670" s="199"/>
      <c r="AJ670" s="199"/>
      <c r="AK670" s="199"/>
      <c r="AL670" s="199"/>
      <c r="AM670" s="199"/>
    </row>
    <row r="671" spans="1:39">
      <c r="A671" s="712"/>
      <c r="B671" s="199"/>
      <c r="C671" s="1164"/>
      <c r="D671" s="1735"/>
      <c r="E671" s="712"/>
      <c r="F671" s="327"/>
      <c r="G671" s="1736"/>
      <c r="H671" s="712"/>
      <c r="I671" s="712"/>
      <c r="J671" s="199"/>
      <c r="K671" s="712"/>
      <c r="L671" s="712"/>
      <c r="M671" s="711"/>
      <c r="N671" s="1737"/>
      <c r="O671" s="711"/>
      <c r="P671" s="1738"/>
      <c r="Q671" s="1739"/>
      <c r="R671" s="1740"/>
      <c r="S671" s="1056"/>
      <c r="T671" s="1741"/>
      <c r="U671" s="1056"/>
      <c r="V671" s="199"/>
      <c r="W671" s="199"/>
      <c r="X671" s="199"/>
      <c r="Y671" s="199"/>
      <c r="Z671" s="199"/>
      <c r="AA671" s="199"/>
      <c r="AB671" s="199"/>
      <c r="AC671" s="199"/>
      <c r="AD671" s="199"/>
      <c r="AE671" s="199"/>
      <c r="AF671" s="199"/>
      <c r="AG671" s="199"/>
      <c r="AH671" s="199"/>
      <c r="AI671" s="199"/>
      <c r="AJ671" s="199"/>
      <c r="AK671" s="199"/>
      <c r="AL671" s="199"/>
      <c r="AM671" s="199"/>
    </row>
    <row r="672" spans="1:39">
      <c r="A672" s="712"/>
      <c r="B672" s="199"/>
      <c r="C672" s="1164"/>
      <c r="D672" s="1735"/>
      <c r="E672" s="712"/>
      <c r="F672" s="327"/>
      <c r="G672" s="1736"/>
      <c r="H672" s="712"/>
      <c r="I672" s="712"/>
      <c r="J672" s="199"/>
      <c r="K672" s="712"/>
      <c r="L672" s="712"/>
      <c r="M672" s="711"/>
      <c r="N672" s="1737"/>
      <c r="O672" s="711"/>
      <c r="P672" s="1738"/>
      <c r="Q672" s="1739"/>
      <c r="R672" s="1740"/>
      <c r="S672" s="1056"/>
      <c r="T672" s="1741"/>
      <c r="U672" s="1056"/>
      <c r="V672" s="199"/>
      <c r="W672" s="199"/>
      <c r="X672" s="199"/>
      <c r="Y672" s="199"/>
      <c r="Z672" s="199"/>
      <c r="AA672" s="199"/>
      <c r="AB672" s="199"/>
      <c r="AC672" s="199"/>
      <c r="AD672" s="199"/>
      <c r="AE672" s="199"/>
      <c r="AF672" s="199"/>
      <c r="AG672" s="199"/>
      <c r="AH672" s="199"/>
      <c r="AI672" s="199"/>
      <c r="AJ672" s="199"/>
      <c r="AK672" s="199"/>
      <c r="AL672" s="199"/>
      <c r="AM672" s="199"/>
    </row>
    <row r="673" spans="1:39">
      <c r="A673" s="712"/>
      <c r="B673" s="199"/>
      <c r="C673" s="1164"/>
      <c r="D673" s="1735"/>
      <c r="E673" s="712"/>
      <c r="F673" s="327"/>
      <c r="G673" s="1736"/>
      <c r="H673" s="712"/>
      <c r="I673" s="712"/>
      <c r="J673" s="199"/>
      <c r="K673" s="712"/>
      <c r="L673" s="712"/>
      <c r="M673" s="711"/>
      <c r="N673" s="1737"/>
      <c r="O673" s="711"/>
      <c r="P673" s="1738"/>
      <c r="Q673" s="1739"/>
      <c r="R673" s="1740"/>
      <c r="S673" s="1056"/>
      <c r="T673" s="1741"/>
      <c r="U673" s="1056"/>
      <c r="V673" s="199"/>
      <c r="W673" s="199"/>
      <c r="X673" s="199"/>
      <c r="Y673" s="199"/>
      <c r="Z673" s="199"/>
      <c r="AA673" s="199"/>
      <c r="AB673" s="199"/>
      <c r="AC673" s="199"/>
      <c r="AD673" s="199"/>
      <c r="AE673" s="199"/>
      <c r="AF673" s="199"/>
      <c r="AG673" s="199"/>
      <c r="AH673" s="199"/>
      <c r="AI673" s="199"/>
      <c r="AJ673" s="199"/>
      <c r="AK673" s="199"/>
      <c r="AL673" s="199"/>
      <c r="AM673" s="199"/>
    </row>
    <row r="674" spans="1:39">
      <c r="A674" s="712"/>
      <c r="B674" s="199"/>
      <c r="C674" s="1164"/>
      <c r="D674" s="1735"/>
      <c r="E674" s="712"/>
      <c r="F674" s="327"/>
      <c r="G674" s="1736"/>
      <c r="H674" s="712"/>
      <c r="I674" s="712"/>
      <c r="J674" s="199"/>
      <c r="K674" s="712"/>
      <c r="L674" s="712"/>
      <c r="M674" s="711"/>
      <c r="N674" s="1737"/>
      <c r="O674" s="711"/>
      <c r="P674" s="1738"/>
      <c r="Q674" s="1739"/>
      <c r="R674" s="1740"/>
      <c r="S674" s="1056"/>
      <c r="T674" s="1741"/>
      <c r="U674" s="1056"/>
      <c r="V674" s="199"/>
      <c r="W674" s="199"/>
      <c r="X674" s="199"/>
      <c r="Y674" s="199"/>
      <c r="Z674" s="199"/>
      <c r="AA674" s="199"/>
      <c r="AB674" s="199"/>
      <c r="AC674" s="199"/>
      <c r="AD674" s="199"/>
      <c r="AE674" s="199"/>
      <c r="AF674" s="199"/>
      <c r="AG674" s="199"/>
      <c r="AH674" s="199"/>
      <c r="AI674" s="199"/>
      <c r="AJ674" s="199"/>
      <c r="AK674" s="199"/>
      <c r="AL674" s="199"/>
      <c r="AM674" s="199"/>
    </row>
    <row r="675" spans="1:39">
      <c r="A675" s="712"/>
      <c r="B675" s="199"/>
      <c r="C675" s="1164"/>
      <c r="D675" s="1735"/>
      <c r="E675" s="712"/>
      <c r="F675" s="327"/>
      <c r="G675" s="1736"/>
      <c r="H675" s="712"/>
      <c r="I675" s="712"/>
      <c r="J675" s="199"/>
      <c r="K675" s="712"/>
      <c r="L675" s="712"/>
      <c r="M675" s="711"/>
      <c r="N675" s="1737"/>
      <c r="O675" s="711"/>
      <c r="P675" s="1738"/>
      <c r="Q675" s="1739"/>
      <c r="R675" s="1740"/>
      <c r="S675" s="1056"/>
      <c r="T675" s="1741"/>
      <c r="U675" s="1056"/>
      <c r="V675" s="199"/>
      <c r="W675" s="199"/>
      <c r="X675" s="199"/>
      <c r="Y675" s="199"/>
      <c r="Z675" s="199"/>
      <c r="AA675" s="199"/>
      <c r="AB675" s="199"/>
      <c r="AC675" s="199"/>
      <c r="AD675" s="199"/>
      <c r="AE675" s="199"/>
      <c r="AF675" s="199"/>
      <c r="AG675" s="199"/>
      <c r="AH675" s="199"/>
      <c r="AI675" s="199"/>
      <c r="AJ675" s="199"/>
      <c r="AK675" s="199"/>
      <c r="AL675" s="199"/>
      <c r="AM675" s="199"/>
    </row>
    <row r="676" spans="1:39">
      <c r="A676" s="712"/>
      <c r="B676" s="199"/>
      <c r="C676" s="1164"/>
      <c r="D676" s="1735"/>
      <c r="E676" s="712"/>
      <c r="F676" s="327"/>
      <c r="G676" s="1736"/>
      <c r="H676" s="712"/>
      <c r="I676" s="712"/>
      <c r="J676" s="199"/>
      <c r="K676" s="712"/>
      <c r="L676" s="712"/>
      <c r="M676" s="711"/>
      <c r="N676" s="1737"/>
      <c r="O676" s="711"/>
      <c r="P676" s="1738"/>
      <c r="Q676" s="1739"/>
      <c r="R676" s="1740"/>
      <c r="S676" s="1056"/>
      <c r="T676" s="1741"/>
      <c r="U676" s="1056"/>
      <c r="V676" s="199"/>
      <c r="W676" s="199"/>
      <c r="X676" s="199"/>
      <c r="Y676" s="199"/>
      <c r="Z676" s="199"/>
      <c r="AA676" s="199"/>
      <c r="AB676" s="199"/>
      <c r="AC676" s="199"/>
      <c r="AD676" s="199"/>
      <c r="AE676" s="199"/>
      <c r="AF676" s="199"/>
      <c r="AG676" s="199"/>
      <c r="AH676" s="199"/>
      <c r="AI676" s="199"/>
      <c r="AJ676" s="199"/>
      <c r="AK676" s="199"/>
      <c r="AL676" s="199"/>
      <c r="AM676" s="199"/>
    </row>
    <row r="677" spans="1:39">
      <c r="A677" s="712"/>
      <c r="B677" s="199"/>
      <c r="C677" s="1164"/>
      <c r="D677" s="1735"/>
      <c r="E677" s="712"/>
      <c r="F677" s="327"/>
      <c r="G677" s="1736"/>
      <c r="H677" s="712"/>
      <c r="I677" s="712"/>
      <c r="J677" s="199"/>
      <c r="K677" s="712"/>
      <c r="L677" s="712"/>
      <c r="M677" s="711"/>
      <c r="N677" s="1737"/>
      <c r="O677" s="711"/>
      <c r="P677" s="1738"/>
      <c r="Q677" s="1739"/>
      <c r="R677" s="1740"/>
      <c r="S677" s="1056"/>
      <c r="T677" s="1741"/>
      <c r="U677" s="1056"/>
      <c r="V677" s="199"/>
      <c r="W677" s="199"/>
      <c r="X677" s="199"/>
      <c r="Y677" s="199"/>
      <c r="Z677" s="199"/>
      <c r="AA677" s="199"/>
      <c r="AB677" s="199"/>
      <c r="AC677" s="199"/>
      <c r="AD677" s="199"/>
      <c r="AE677" s="199"/>
      <c r="AF677" s="199"/>
      <c r="AG677" s="199"/>
      <c r="AH677" s="199"/>
      <c r="AI677" s="199"/>
      <c r="AJ677" s="199"/>
      <c r="AK677" s="199"/>
      <c r="AL677" s="199"/>
      <c r="AM677" s="199"/>
    </row>
    <row r="678" spans="1:39">
      <c r="A678" s="712"/>
      <c r="B678" s="199"/>
      <c r="C678" s="1164"/>
      <c r="D678" s="1735"/>
      <c r="E678" s="712"/>
      <c r="F678" s="327"/>
      <c r="G678" s="1736"/>
      <c r="H678" s="712"/>
      <c r="I678" s="712"/>
      <c r="J678" s="199"/>
      <c r="K678" s="712"/>
      <c r="L678" s="712"/>
      <c r="M678" s="711"/>
      <c r="N678" s="1737"/>
      <c r="O678" s="711"/>
      <c r="P678" s="1738"/>
      <c r="Q678" s="1739"/>
      <c r="R678" s="1740"/>
      <c r="S678" s="1056"/>
      <c r="T678" s="1741"/>
      <c r="U678" s="1056"/>
      <c r="V678" s="199"/>
      <c r="W678" s="199"/>
      <c r="X678" s="199"/>
      <c r="Y678" s="199"/>
      <c r="Z678" s="199"/>
      <c r="AA678" s="199"/>
      <c r="AB678" s="199"/>
      <c r="AC678" s="199"/>
      <c r="AD678" s="199"/>
      <c r="AE678" s="199"/>
      <c r="AF678" s="199"/>
      <c r="AG678" s="199"/>
      <c r="AH678" s="199"/>
      <c r="AI678" s="199"/>
      <c r="AJ678" s="199"/>
      <c r="AK678" s="199"/>
      <c r="AL678" s="199"/>
      <c r="AM678" s="199"/>
    </row>
    <row r="679" spans="1:39">
      <c r="A679" s="712"/>
      <c r="B679" s="199"/>
      <c r="C679" s="1164"/>
      <c r="D679" s="1735"/>
      <c r="E679" s="712"/>
      <c r="F679" s="327"/>
      <c r="G679" s="1736"/>
      <c r="H679" s="712"/>
      <c r="I679" s="712"/>
      <c r="J679" s="199"/>
      <c r="K679" s="712"/>
      <c r="L679" s="712"/>
      <c r="M679" s="711"/>
      <c r="N679" s="1737"/>
      <c r="O679" s="711"/>
      <c r="P679" s="1738"/>
      <c r="Q679" s="1739"/>
      <c r="R679" s="1740"/>
      <c r="S679" s="1056"/>
      <c r="T679" s="1741"/>
      <c r="U679" s="1056"/>
      <c r="V679" s="199"/>
      <c r="W679" s="199"/>
      <c r="X679" s="199"/>
      <c r="Y679" s="199"/>
      <c r="Z679" s="199"/>
      <c r="AA679" s="199"/>
      <c r="AB679" s="199"/>
      <c r="AC679" s="199"/>
      <c r="AD679" s="199"/>
      <c r="AE679" s="199"/>
      <c r="AF679" s="199"/>
      <c r="AG679" s="199"/>
      <c r="AH679" s="199"/>
      <c r="AI679" s="199"/>
      <c r="AJ679" s="199"/>
      <c r="AK679" s="199"/>
      <c r="AL679" s="199"/>
      <c r="AM679" s="199"/>
    </row>
    <row r="680" spans="1:39">
      <c r="A680" s="712"/>
      <c r="B680" s="199"/>
      <c r="C680" s="1164"/>
      <c r="D680" s="1735"/>
      <c r="E680" s="712"/>
      <c r="F680" s="327"/>
      <c r="G680" s="1736"/>
      <c r="H680" s="712"/>
      <c r="I680" s="712"/>
      <c r="J680" s="199"/>
      <c r="K680" s="712"/>
      <c r="L680" s="712"/>
      <c r="M680" s="711"/>
      <c r="N680" s="1737"/>
      <c r="O680" s="711"/>
      <c r="P680" s="1738"/>
      <c r="Q680" s="1739"/>
      <c r="R680" s="1740"/>
      <c r="S680" s="1056"/>
      <c r="T680" s="1741"/>
      <c r="U680" s="1056"/>
      <c r="V680" s="199"/>
      <c r="W680" s="199"/>
      <c r="X680" s="199"/>
      <c r="Y680" s="199"/>
      <c r="Z680" s="199"/>
      <c r="AA680" s="199"/>
      <c r="AB680" s="199"/>
      <c r="AC680" s="199"/>
      <c r="AD680" s="199"/>
      <c r="AE680" s="199"/>
      <c r="AF680" s="199"/>
      <c r="AG680" s="199"/>
      <c r="AH680" s="199"/>
      <c r="AI680" s="199"/>
      <c r="AJ680" s="199"/>
      <c r="AK680" s="199"/>
      <c r="AL680" s="199"/>
      <c r="AM680" s="199"/>
    </row>
    <row r="681" spans="1:39">
      <c r="A681" s="712"/>
      <c r="B681" s="199"/>
      <c r="C681" s="1164"/>
      <c r="D681" s="1735"/>
      <c r="E681" s="712"/>
      <c r="F681" s="327"/>
      <c r="G681" s="1736"/>
      <c r="H681" s="712"/>
      <c r="I681" s="712"/>
      <c r="J681" s="199"/>
      <c r="K681" s="712"/>
      <c r="L681" s="712"/>
      <c r="M681" s="711"/>
      <c r="N681" s="1737"/>
      <c r="O681" s="711"/>
      <c r="P681" s="1738"/>
      <c r="Q681" s="1739"/>
      <c r="R681" s="1740"/>
      <c r="S681" s="1056"/>
      <c r="T681" s="1741"/>
      <c r="U681" s="1056"/>
      <c r="V681" s="199"/>
      <c r="W681" s="199"/>
      <c r="X681" s="199"/>
      <c r="Y681" s="199"/>
      <c r="Z681" s="199"/>
      <c r="AA681" s="199"/>
      <c r="AB681" s="199"/>
      <c r="AC681" s="199"/>
      <c r="AD681" s="199"/>
      <c r="AE681" s="199"/>
      <c r="AF681" s="199"/>
      <c r="AG681" s="199"/>
      <c r="AH681" s="199"/>
      <c r="AI681" s="199"/>
      <c r="AJ681" s="199"/>
      <c r="AK681" s="199"/>
      <c r="AL681" s="199"/>
      <c r="AM681" s="199"/>
    </row>
    <row r="682" spans="1:39">
      <c r="A682" s="712"/>
      <c r="B682" s="199"/>
      <c r="C682" s="1164"/>
      <c r="D682" s="1735"/>
      <c r="E682" s="712"/>
      <c r="F682" s="327"/>
      <c r="G682" s="1736"/>
      <c r="H682" s="712"/>
      <c r="I682" s="712"/>
      <c r="J682" s="199"/>
      <c r="K682" s="712"/>
      <c r="L682" s="712"/>
      <c r="M682" s="711"/>
      <c r="N682" s="1737"/>
      <c r="O682" s="711"/>
      <c r="P682" s="1738"/>
      <c r="Q682" s="1739"/>
      <c r="R682" s="1740"/>
      <c r="S682" s="1056"/>
      <c r="T682" s="1741"/>
      <c r="U682" s="1056"/>
      <c r="V682" s="199"/>
      <c r="W682" s="199"/>
      <c r="X682" s="199"/>
      <c r="Y682" s="199"/>
      <c r="Z682" s="199"/>
      <c r="AA682" s="199"/>
      <c r="AB682" s="199"/>
      <c r="AC682" s="199"/>
      <c r="AD682" s="199"/>
      <c r="AE682" s="199"/>
      <c r="AF682" s="199"/>
      <c r="AG682" s="199"/>
      <c r="AH682" s="199"/>
      <c r="AI682" s="199"/>
      <c r="AJ682" s="199"/>
      <c r="AK682" s="199"/>
      <c r="AL682" s="199"/>
      <c r="AM682" s="199"/>
    </row>
    <row r="683" spans="1:39">
      <c r="A683" s="712"/>
      <c r="B683" s="199"/>
      <c r="C683" s="1164"/>
      <c r="D683" s="1735"/>
      <c r="E683" s="712"/>
      <c r="F683" s="327"/>
      <c r="G683" s="1736"/>
      <c r="H683" s="712"/>
      <c r="I683" s="712"/>
      <c r="J683" s="199"/>
      <c r="K683" s="712"/>
      <c r="L683" s="712"/>
      <c r="M683" s="711"/>
      <c r="N683" s="1737"/>
      <c r="O683" s="711"/>
      <c r="P683" s="1738"/>
      <c r="Q683" s="1739"/>
      <c r="R683" s="1740"/>
      <c r="S683" s="1056"/>
      <c r="T683" s="1741"/>
      <c r="U683" s="1056"/>
      <c r="V683" s="199"/>
      <c r="W683" s="199"/>
      <c r="X683" s="199"/>
      <c r="Y683" s="199"/>
      <c r="Z683" s="199"/>
      <c r="AA683" s="199"/>
      <c r="AB683" s="199"/>
      <c r="AC683" s="199"/>
      <c r="AD683" s="199"/>
      <c r="AE683" s="199"/>
      <c r="AF683" s="199"/>
      <c r="AG683" s="199"/>
      <c r="AH683" s="199"/>
      <c r="AI683" s="199"/>
      <c r="AJ683" s="199"/>
      <c r="AK683" s="199"/>
      <c r="AL683" s="199"/>
      <c r="AM683" s="199"/>
    </row>
    <row r="684" spans="1:39">
      <c r="A684" s="712"/>
      <c r="B684" s="199"/>
      <c r="C684" s="1164"/>
      <c r="D684" s="1735"/>
      <c r="E684" s="712"/>
      <c r="F684" s="327"/>
      <c r="G684" s="1736"/>
      <c r="H684" s="712"/>
      <c r="I684" s="712"/>
      <c r="J684" s="199"/>
      <c r="K684" s="712"/>
      <c r="L684" s="712"/>
      <c r="M684" s="711"/>
      <c r="N684" s="1737"/>
      <c r="O684" s="711"/>
      <c r="P684" s="1738"/>
      <c r="Q684" s="1739"/>
      <c r="R684" s="1740"/>
      <c r="S684" s="1056"/>
      <c r="T684" s="1741"/>
      <c r="U684" s="1056"/>
      <c r="V684" s="199"/>
      <c r="W684" s="199"/>
      <c r="X684" s="199"/>
      <c r="Y684" s="199"/>
      <c r="Z684" s="199"/>
      <c r="AA684" s="199"/>
      <c r="AB684" s="199"/>
      <c r="AC684" s="199"/>
      <c r="AD684" s="199"/>
      <c r="AE684" s="199"/>
      <c r="AF684" s="199"/>
      <c r="AG684" s="199"/>
      <c r="AH684" s="199"/>
      <c r="AI684" s="199"/>
      <c r="AJ684" s="199"/>
      <c r="AK684" s="199"/>
      <c r="AL684" s="199"/>
      <c r="AM684" s="199"/>
    </row>
    <row r="685" spans="1:39">
      <c r="A685" s="712"/>
      <c r="B685" s="199"/>
      <c r="C685" s="1164"/>
      <c r="D685" s="1735"/>
      <c r="E685" s="712"/>
      <c r="F685" s="327"/>
      <c r="G685" s="1736"/>
      <c r="H685" s="712"/>
      <c r="I685" s="712"/>
      <c r="J685" s="199"/>
      <c r="K685" s="712"/>
      <c r="L685" s="712"/>
      <c r="M685" s="711"/>
      <c r="N685" s="1737"/>
      <c r="O685" s="711"/>
      <c r="P685" s="1738"/>
      <c r="Q685" s="1739"/>
      <c r="R685" s="1740"/>
      <c r="S685" s="1056"/>
      <c r="T685" s="1741"/>
      <c r="U685" s="1056"/>
      <c r="V685" s="199"/>
      <c r="W685" s="199"/>
      <c r="X685" s="199"/>
      <c r="Y685" s="199"/>
      <c r="Z685" s="199"/>
      <c r="AA685" s="199"/>
      <c r="AB685" s="199"/>
      <c r="AC685" s="199"/>
      <c r="AD685" s="199"/>
      <c r="AE685" s="199"/>
      <c r="AF685" s="199"/>
      <c r="AG685" s="199"/>
      <c r="AH685" s="199"/>
      <c r="AI685" s="199"/>
      <c r="AJ685" s="199"/>
      <c r="AK685" s="199"/>
      <c r="AL685" s="199"/>
      <c r="AM685" s="199"/>
    </row>
    <row r="686" spans="1:39">
      <c r="A686" s="712"/>
      <c r="B686" s="199"/>
      <c r="C686" s="1164"/>
      <c r="D686" s="1735"/>
      <c r="E686" s="712"/>
      <c r="F686" s="327"/>
      <c r="G686" s="1736"/>
      <c r="H686" s="712"/>
      <c r="I686" s="712"/>
      <c r="J686" s="199"/>
      <c r="K686" s="712"/>
      <c r="L686" s="712"/>
      <c r="M686" s="711"/>
      <c r="N686" s="1737"/>
      <c r="O686" s="711"/>
      <c r="P686" s="1738"/>
      <c r="Q686" s="1739"/>
      <c r="R686" s="1740"/>
      <c r="S686" s="1056"/>
      <c r="T686" s="1741"/>
      <c r="U686" s="1056"/>
      <c r="V686" s="199"/>
      <c r="W686" s="199"/>
      <c r="X686" s="199"/>
      <c r="Y686" s="199"/>
      <c r="Z686" s="199"/>
      <c r="AA686" s="199"/>
      <c r="AB686" s="199"/>
      <c r="AC686" s="199"/>
      <c r="AD686" s="199"/>
      <c r="AE686" s="199"/>
      <c r="AF686" s="199"/>
      <c r="AG686" s="199"/>
      <c r="AH686" s="199"/>
      <c r="AI686" s="199"/>
      <c r="AJ686" s="199"/>
      <c r="AK686" s="199"/>
      <c r="AL686" s="199"/>
      <c r="AM686" s="199"/>
    </row>
    <row r="687" spans="1:39">
      <c r="A687" s="712"/>
      <c r="B687" s="199"/>
      <c r="C687" s="1164"/>
      <c r="D687" s="1735"/>
      <c r="E687" s="712"/>
      <c r="F687" s="327"/>
      <c r="G687" s="1736"/>
      <c r="H687" s="712"/>
      <c r="I687" s="712"/>
      <c r="J687" s="199"/>
      <c r="K687" s="712"/>
      <c r="L687" s="712"/>
      <c r="M687" s="711"/>
      <c r="N687" s="1737"/>
      <c r="O687" s="711"/>
      <c r="P687" s="1738"/>
      <c r="Q687" s="1739"/>
      <c r="R687" s="1740"/>
      <c r="S687" s="1056"/>
      <c r="T687" s="1741"/>
      <c r="U687" s="1056"/>
      <c r="V687" s="199"/>
      <c r="W687" s="199"/>
      <c r="X687" s="199"/>
      <c r="Y687" s="199"/>
      <c r="Z687" s="199"/>
      <c r="AA687" s="199"/>
      <c r="AB687" s="199"/>
      <c r="AC687" s="199"/>
      <c r="AD687" s="199"/>
      <c r="AE687" s="199"/>
      <c r="AF687" s="199"/>
      <c r="AG687" s="199"/>
      <c r="AH687" s="199"/>
      <c r="AI687" s="199"/>
      <c r="AJ687" s="199"/>
      <c r="AK687" s="199"/>
      <c r="AL687" s="199"/>
      <c r="AM687" s="199"/>
    </row>
    <row r="688" spans="1:39">
      <c r="A688" s="712"/>
      <c r="B688" s="199"/>
      <c r="C688" s="1164"/>
      <c r="D688" s="1735"/>
      <c r="E688" s="712"/>
      <c r="F688" s="327"/>
      <c r="G688" s="1736"/>
      <c r="H688" s="712"/>
      <c r="I688" s="712"/>
      <c r="J688" s="199"/>
      <c r="K688" s="712"/>
      <c r="L688" s="712"/>
      <c r="M688" s="711"/>
      <c r="N688" s="1737"/>
      <c r="O688" s="711"/>
      <c r="P688" s="1738"/>
      <c r="Q688" s="1739"/>
      <c r="R688" s="1740"/>
      <c r="S688" s="1056"/>
      <c r="T688" s="1741"/>
      <c r="U688" s="1056"/>
      <c r="V688" s="199"/>
      <c r="W688" s="199"/>
      <c r="X688" s="199"/>
      <c r="Y688" s="199"/>
      <c r="Z688" s="199"/>
      <c r="AA688" s="199"/>
      <c r="AB688" s="199"/>
      <c r="AC688" s="199"/>
      <c r="AD688" s="199"/>
      <c r="AE688" s="199"/>
      <c r="AF688" s="199"/>
      <c r="AG688" s="199"/>
      <c r="AH688" s="199"/>
      <c r="AI688" s="199"/>
      <c r="AJ688" s="199"/>
      <c r="AK688" s="199"/>
      <c r="AL688" s="199"/>
      <c r="AM688" s="199"/>
    </row>
    <row r="689" spans="1:39">
      <c r="A689" s="712"/>
      <c r="B689" s="199"/>
      <c r="C689" s="1164"/>
      <c r="D689" s="1735"/>
      <c r="E689" s="712"/>
      <c r="F689" s="327"/>
      <c r="G689" s="1736"/>
      <c r="H689" s="712"/>
      <c r="I689" s="712"/>
      <c r="J689" s="199"/>
      <c r="K689" s="712"/>
      <c r="L689" s="712"/>
      <c r="M689" s="711"/>
      <c r="N689" s="1737"/>
      <c r="O689" s="711"/>
      <c r="P689" s="1738"/>
      <c r="Q689" s="1739"/>
      <c r="R689" s="1740"/>
      <c r="S689" s="1056"/>
      <c r="T689" s="1741"/>
      <c r="U689" s="1056"/>
      <c r="V689" s="199"/>
      <c r="W689" s="199"/>
      <c r="X689" s="199"/>
      <c r="Y689" s="199"/>
      <c r="Z689" s="199"/>
      <c r="AA689" s="199"/>
      <c r="AB689" s="199"/>
      <c r="AC689" s="199"/>
      <c r="AD689" s="199"/>
      <c r="AE689" s="199"/>
      <c r="AF689" s="199"/>
      <c r="AG689" s="199"/>
      <c r="AH689" s="199"/>
      <c r="AI689" s="199"/>
      <c r="AJ689" s="199"/>
      <c r="AK689" s="199"/>
      <c r="AL689" s="199"/>
      <c r="AM689" s="199"/>
    </row>
    <row r="690" spans="1:39">
      <c r="A690" s="712"/>
      <c r="B690" s="199"/>
      <c r="C690" s="1164"/>
      <c r="D690" s="1735"/>
      <c r="E690" s="712"/>
      <c r="F690" s="327"/>
      <c r="G690" s="1736"/>
      <c r="H690" s="712"/>
      <c r="I690" s="712"/>
      <c r="J690" s="199"/>
      <c r="K690" s="712"/>
      <c r="L690" s="712"/>
      <c r="M690" s="711"/>
      <c r="N690" s="1737"/>
      <c r="O690" s="711"/>
      <c r="P690" s="1738"/>
      <c r="Q690" s="1739"/>
      <c r="R690" s="1740"/>
      <c r="S690" s="1056"/>
      <c r="T690" s="1741"/>
      <c r="U690" s="1056"/>
      <c r="V690" s="199"/>
      <c r="W690" s="199"/>
      <c r="X690" s="199"/>
      <c r="Y690" s="199"/>
      <c r="Z690" s="199"/>
      <c r="AA690" s="199"/>
      <c r="AB690" s="199"/>
      <c r="AC690" s="199"/>
      <c r="AD690" s="199"/>
      <c r="AE690" s="199"/>
      <c r="AF690" s="199"/>
      <c r="AG690" s="199"/>
      <c r="AH690" s="199"/>
      <c r="AI690" s="199"/>
      <c r="AJ690" s="199"/>
      <c r="AK690" s="199"/>
      <c r="AL690" s="199"/>
      <c r="AM690" s="199"/>
    </row>
    <row r="691" spans="1:39">
      <c r="A691" s="712"/>
      <c r="B691" s="199"/>
      <c r="C691" s="1164"/>
      <c r="D691" s="1735"/>
      <c r="E691" s="712"/>
      <c r="F691" s="327"/>
      <c r="G691" s="1736"/>
      <c r="H691" s="712"/>
      <c r="I691" s="712"/>
      <c r="J691" s="199"/>
      <c r="K691" s="712"/>
      <c r="L691" s="712"/>
      <c r="M691" s="711"/>
      <c r="N691" s="1737"/>
      <c r="O691" s="711"/>
      <c r="P691" s="1738"/>
      <c r="Q691" s="1739"/>
      <c r="R691" s="1740"/>
      <c r="S691" s="1056"/>
      <c r="T691" s="1741"/>
      <c r="U691" s="1056"/>
      <c r="V691" s="199"/>
      <c r="W691" s="199"/>
      <c r="X691" s="199"/>
      <c r="Y691" s="199"/>
      <c r="Z691" s="199"/>
      <c r="AA691" s="199"/>
      <c r="AB691" s="199"/>
      <c r="AC691" s="199"/>
      <c r="AD691" s="199"/>
      <c r="AE691" s="199"/>
      <c r="AF691" s="199"/>
      <c r="AG691" s="199"/>
      <c r="AH691" s="199"/>
      <c r="AI691" s="199"/>
      <c r="AJ691" s="199"/>
      <c r="AK691" s="199"/>
      <c r="AL691" s="199"/>
      <c r="AM691" s="199"/>
    </row>
    <row r="692" spans="1:39">
      <c r="A692" s="712"/>
      <c r="B692" s="199"/>
      <c r="C692" s="1164"/>
      <c r="D692" s="1735"/>
      <c r="E692" s="712"/>
      <c r="F692" s="327"/>
      <c r="G692" s="1736"/>
      <c r="H692" s="712"/>
      <c r="I692" s="712"/>
      <c r="J692" s="199"/>
      <c r="K692" s="712"/>
      <c r="L692" s="712"/>
      <c r="M692" s="711"/>
      <c r="N692" s="1737"/>
      <c r="O692" s="711"/>
      <c r="P692" s="1738"/>
      <c r="Q692" s="1739"/>
      <c r="R692" s="1740"/>
      <c r="S692" s="1056"/>
      <c r="T692" s="1741"/>
      <c r="U692" s="1056"/>
      <c r="V692" s="199"/>
      <c r="W692" s="199"/>
      <c r="X692" s="199"/>
      <c r="Y692" s="199"/>
      <c r="Z692" s="199"/>
      <c r="AA692" s="199"/>
      <c r="AB692" s="199"/>
      <c r="AC692" s="199"/>
      <c r="AD692" s="199"/>
      <c r="AE692" s="199"/>
      <c r="AF692" s="199"/>
      <c r="AG692" s="199"/>
      <c r="AH692" s="199"/>
      <c r="AI692" s="199"/>
      <c r="AJ692" s="199"/>
      <c r="AK692" s="199"/>
      <c r="AL692" s="199"/>
      <c r="AM692" s="199"/>
    </row>
    <row r="693" spans="1:39">
      <c r="A693" s="712"/>
      <c r="B693" s="199"/>
      <c r="C693" s="1164"/>
      <c r="D693" s="1735"/>
      <c r="E693" s="712"/>
      <c r="F693" s="327"/>
      <c r="G693" s="1736"/>
      <c r="H693" s="712"/>
      <c r="I693" s="712"/>
      <c r="J693" s="199"/>
      <c r="K693" s="712"/>
      <c r="L693" s="712"/>
      <c r="M693" s="711"/>
      <c r="N693" s="1737"/>
      <c r="O693" s="711"/>
      <c r="P693" s="1738"/>
      <c r="Q693" s="1739"/>
      <c r="R693" s="1740"/>
      <c r="S693" s="1056"/>
      <c r="T693" s="1741"/>
      <c r="U693" s="1056"/>
      <c r="V693" s="199"/>
      <c r="W693" s="199"/>
      <c r="X693" s="199"/>
      <c r="Y693" s="199"/>
      <c r="Z693" s="199"/>
      <c r="AA693" s="199"/>
      <c r="AB693" s="199"/>
      <c r="AC693" s="199"/>
      <c r="AD693" s="199"/>
      <c r="AE693" s="199"/>
      <c r="AF693" s="199"/>
      <c r="AG693" s="199"/>
      <c r="AH693" s="199"/>
      <c r="AI693" s="199"/>
      <c r="AJ693" s="199"/>
      <c r="AK693" s="199"/>
      <c r="AL693" s="199"/>
      <c r="AM693" s="199"/>
    </row>
    <row r="694" spans="1:39">
      <c r="A694" s="712"/>
      <c r="B694" s="199"/>
      <c r="C694" s="1164"/>
      <c r="D694" s="1735"/>
      <c r="E694" s="712"/>
      <c r="F694" s="327"/>
      <c r="G694" s="1736"/>
      <c r="H694" s="712"/>
      <c r="I694" s="712"/>
      <c r="J694" s="199"/>
      <c r="K694" s="712"/>
      <c r="L694" s="712"/>
      <c r="M694" s="711"/>
      <c r="N694" s="1737"/>
      <c r="O694" s="711"/>
      <c r="P694" s="1738"/>
      <c r="Q694" s="1739"/>
      <c r="R694" s="1740"/>
      <c r="S694" s="1056"/>
      <c r="T694" s="1741"/>
      <c r="U694" s="1056"/>
      <c r="V694" s="199"/>
      <c r="W694" s="199"/>
      <c r="X694" s="199"/>
      <c r="Y694" s="199"/>
      <c r="Z694" s="199"/>
      <c r="AA694" s="199"/>
      <c r="AB694" s="199"/>
      <c r="AC694" s="199"/>
      <c r="AD694" s="199"/>
      <c r="AE694" s="199"/>
      <c r="AF694" s="199"/>
      <c r="AG694" s="199"/>
      <c r="AH694" s="199"/>
      <c r="AI694" s="199"/>
      <c r="AJ694" s="199"/>
      <c r="AK694" s="199"/>
      <c r="AL694" s="199"/>
      <c r="AM694" s="199"/>
    </row>
    <row r="695" spans="1:39">
      <c r="A695" s="712"/>
      <c r="B695" s="199"/>
      <c r="C695" s="1164"/>
      <c r="D695" s="1735"/>
      <c r="E695" s="712"/>
      <c r="F695" s="327"/>
      <c r="G695" s="1736"/>
      <c r="H695" s="712"/>
      <c r="I695" s="712"/>
      <c r="J695" s="199"/>
      <c r="K695" s="712"/>
      <c r="L695" s="712"/>
      <c r="M695" s="711"/>
      <c r="N695" s="1737"/>
      <c r="O695" s="711"/>
      <c r="P695" s="1738"/>
      <c r="Q695" s="1739"/>
      <c r="R695" s="1740"/>
      <c r="S695" s="1056"/>
      <c r="T695" s="1741"/>
      <c r="U695" s="1056"/>
      <c r="V695" s="199"/>
      <c r="W695" s="199"/>
      <c r="X695" s="199"/>
      <c r="Y695" s="199"/>
      <c r="Z695" s="199"/>
      <c r="AA695" s="199"/>
      <c r="AB695" s="199"/>
      <c r="AC695" s="199"/>
      <c r="AD695" s="199"/>
      <c r="AE695" s="199"/>
      <c r="AF695" s="199"/>
      <c r="AG695" s="199"/>
      <c r="AH695" s="199"/>
      <c r="AI695" s="199"/>
      <c r="AJ695" s="199"/>
      <c r="AK695" s="199"/>
      <c r="AL695" s="199"/>
      <c r="AM695" s="199"/>
    </row>
    <row r="696" spans="1:39">
      <c r="A696" s="712"/>
      <c r="B696" s="199"/>
      <c r="C696" s="1164"/>
      <c r="D696" s="1735"/>
      <c r="E696" s="712"/>
      <c r="F696" s="327"/>
      <c r="G696" s="1736"/>
      <c r="H696" s="712"/>
      <c r="I696" s="712"/>
      <c r="J696" s="199"/>
      <c r="K696" s="712"/>
      <c r="L696" s="712"/>
      <c r="M696" s="711"/>
      <c r="N696" s="1737"/>
      <c r="O696" s="711"/>
      <c r="P696" s="1738"/>
      <c r="Q696" s="1739"/>
      <c r="R696" s="1740"/>
      <c r="S696" s="1056"/>
      <c r="T696" s="1741"/>
      <c r="U696" s="1056"/>
      <c r="V696" s="199"/>
      <c r="W696" s="199"/>
      <c r="X696" s="199"/>
      <c r="Y696" s="199"/>
      <c r="Z696" s="199"/>
      <c r="AA696" s="199"/>
      <c r="AB696" s="199"/>
      <c r="AC696" s="199"/>
      <c r="AD696" s="199"/>
      <c r="AE696" s="199"/>
      <c r="AF696" s="199"/>
      <c r="AG696" s="199"/>
      <c r="AH696" s="199"/>
      <c r="AI696" s="199"/>
      <c r="AJ696" s="199"/>
      <c r="AK696" s="199"/>
      <c r="AL696" s="199"/>
      <c r="AM696" s="199"/>
    </row>
    <row r="697" spans="1:39">
      <c r="A697" s="712"/>
      <c r="B697" s="199"/>
      <c r="C697" s="1164"/>
      <c r="D697" s="1735"/>
      <c r="E697" s="712"/>
      <c r="F697" s="327"/>
      <c r="G697" s="1736"/>
      <c r="H697" s="712"/>
      <c r="I697" s="712"/>
      <c r="J697" s="199"/>
      <c r="K697" s="712"/>
      <c r="L697" s="712"/>
      <c r="M697" s="711"/>
      <c r="N697" s="1737"/>
      <c r="O697" s="711"/>
      <c r="P697" s="1738"/>
      <c r="Q697" s="1739"/>
      <c r="R697" s="1740"/>
      <c r="S697" s="1056"/>
      <c r="T697" s="1741"/>
      <c r="U697" s="1056"/>
      <c r="V697" s="199"/>
      <c r="W697" s="199"/>
      <c r="X697" s="199"/>
      <c r="Y697" s="199"/>
      <c r="Z697" s="199"/>
      <c r="AA697" s="199"/>
      <c r="AB697" s="199"/>
      <c r="AC697" s="199"/>
      <c r="AD697" s="199"/>
      <c r="AE697" s="199"/>
      <c r="AF697" s="199"/>
      <c r="AG697" s="199"/>
      <c r="AH697" s="199"/>
      <c r="AI697" s="199"/>
      <c r="AJ697" s="199"/>
      <c r="AK697" s="199"/>
      <c r="AL697" s="199"/>
      <c r="AM697" s="199"/>
    </row>
    <row r="698" spans="1:39">
      <c r="A698" s="712"/>
      <c r="B698" s="199"/>
      <c r="C698" s="1164"/>
      <c r="D698" s="1735"/>
      <c r="E698" s="712"/>
      <c r="F698" s="327"/>
      <c r="G698" s="1736"/>
      <c r="H698" s="712"/>
      <c r="I698" s="712"/>
      <c r="J698" s="199"/>
      <c r="K698" s="712"/>
      <c r="L698" s="712"/>
      <c r="M698" s="711"/>
      <c r="N698" s="1737"/>
      <c r="O698" s="711"/>
      <c r="P698" s="1738"/>
      <c r="Q698" s="1739"/>
      <c r="R698" s="1740"/>
      <c r="S698" s="1056"/>
      <c r="T698" s="1741"/>
      <c r="U698" s="1056"/>
      <c r="V698" s="199"/>
      <c r="W698" s="199"/>
      <c r="X698" s="199"/>
      <c r="Y698" s="199"/>
      <c r="Z698" s="199"/>
      <c r="AA698" s="199"/>
      <c r="AB698" s="199"/>
      <c r="AC698" s="199"/>
      <c r="AD698" s="199"/>
      <c r="AE698" s="199"/>
      <c r="AF698" s="199"/>
      <c r="AG698" s="199"/>
      <c r="AH698" s="199"/>
      <c r="AI698" s="199"/>
      <c r="AJ698" s="199"/>
      <c r="AK698" s="199"/>
      <c r="AL698" s="199"/>
      <c r="AM698" s="199"/>
    </row>
    <row r="699" spans="1:39">
      <c r="A699" s="712"/>
      <c r="B699" s="199"/>
      <c r="C699" s="1164"/>
      <c r="D699" s="1735"/>
      <c r="E699" s="712"/>
      <c r="F699" s="327"/>
      <c r="G699" s="1736"/>
      <c r="H699" s="712"/>
      <c r="I699" s="712"/>
      <c r="J699" s="199"/>
      <c r="K699" s="712"/>
      <c r="L699" s="712"/>
      <c r="M699" s="711"/>
      <c r="N699" s="1737"/>
      <c r="O699" s="711"/>
      <c r="P699" s="1738"/>
      <c r="Q699" s="1739"/>
      <c r="R699" s="1740"/>
      <c r="S699" s="1056"/>
      <c r="T699" s="1741"/>
      <c r="U699" s="1056"/>
      <c r="V699" s="199"/>
      <c r="W699" s="199"/>
      <c r="X699" s="199"/>
      <c r="Y699" s="199"/>
      <c r="Z699" s="199"/>
      <c r="AA699" s="199"/>
      <c r="AB699" s="199"/>
      <c r="AC699" s="199"/>
      <c r="AD699" s="199"/>
      <c r="AE699" s="199"/>
      <c r="AF699" s="199"/>
      <c r="AG699" s="199"/>
      <c r="AH699" s="199"/>
      <c r="AI699" s="199"/>
      <c r="AJ699" s="199"/>
      <c r="AK699" s="199"/>
      <c r="AL699" s="199"/>
      <c r="AM699" s="199"/>
    </row>
    <row r="700" spans="1:39">
      <c r="A700" s="712"/>
      <c r="B700" s="199"/>
      <c r="C700" s="1164"/>
      <c r="D700" s="1735"/>
      <c r="E700" s="712"/>
      <c r="F700" s="327"/>
      <c r="G700" s="1736"/>
      <c r="H700" s="712"/>
      <c r="I700" s="712"/>
      <c r="J700" s="199"/>
      <c r="K700" s="712"/>
      <c r="L700" s="712"/>
      <c r="M700" s="711"/>
      <c r="N700" s="1737"/>
      <c r="O700" s="711"/>
      <c r="P700" s="1738"/>
      <c r="Q700" s="1739"/>
      <c r="R700" s="1740"/>
      <c r="S700" s="1056"/>
      <c r="T700" s="1741"/>
      <c r="U700" s="1056"/>
      <c r="V700" s="199"/>
      <c r="W700" s="199"/>
      <c r="X700" s="199"/>
      <c r="Y700" s="199"/>
      <c r="Z700" s="199"/>
      <c r="AA700" s="199"/>
      <c r="AB700" s="199"/>
      <c r="AC700" s="199"/>
      <c r="AD700" s="199"/>
      <c r="AE700" s="199"/>
      <c r="AF700" s="199"/>
      <c r="AG700" s="199"/>
      <c r="AH700" s="199"/>
      <c r="AI700" s="199"/>
      <c r="AJ700" s="199"/>
      <c r="AK700" s="199"/>
      <c r="AL700" s="199"/>
      <c r="AM700" s="199"/>
    </row>
    <row r="701" spans="1:39">
      <c r="A701" s="712"/>
      <c r="B701" s="199"/>
      <c r="C701" s="1164"/>
      <c r="D701" s="1735"/>
      <c r="E701" s="712"/>
      <c r="F701" s="327"/>
      <c r="G701" s="1736"/>
      <c r="H701" s="712"/>
      <c r="I701" s="712"/>
      <c r="J701" s="199"/>
      <c r="K701" s="712"/>
      <c r="L701" s="712"/>
      <c r="M701" s="711"/>
      <c r="N701" s="1737"/>
      <c r="O701" s="711"/>
      <c r="P701" s="1738"/>
      <c r="Q701" s="1739"/>
      <c r="R701" s="1740"/>
      <c r="S701" s="1056"/>
      <c r="T701" s="1741"/>
      <c r="U701" s="1056"/>
      <c r="V701" s="199"/>
      <c r="W701" s="199"/>
      <c r="X701" s="199"/>
      <c r="Y701" s="199"/>
      <c r="Z701" s="199"/>
      <c r="AA701" s="199"/>
      <c r="AB701" s="199"/>
      <c r="AC701" s="199"/>
      <c r="AD701" s="199"/>
      <c r="AE701" s="199"/>
      <c r="AF701" s="199"/>
      <c r="AG701" s="199"/>
      <c r="AH701" s="199"/>
      <c r="AI701" s="199"/>
      <c r="AJ701" s="199"/>
      <c r="AK701" s="199"/>
      <c r="AL701" s="199"/>
      <c r="AM701" s="199"/>
    </row>
    <row r="702" spans="1:39">
      <c r="A702" s="712"/>
      <c r="B702" s="199"/>
      <c r="C702" s="1164"/>
      <c r="D702" s="1735"/>
      <c r="E702" s="712"/>
      <c r="F702" s="327"/>
      <c r="G702" s="1736"/>
      <c r="H702" s="712"/>
      <c r="I702" s="712"/>
      <c r="J702" s="199"/>
      <c r="K702" s="712"/>
      <c r="L702" s="712"/>
      <c r="M702" s="711"/>
      <c r="N702" s="1737"/>
      <c r="O702" s="711"/>
      <c r="P702" s="1738"/>
      <c r="Q702" s="1739"/>
      <c r="R702" s="1740"/>
      <c r="S702" s="1056"/>
      <c r="T702" s="1741"/>
      <c r="U702" s="1056"/>
      <c r="V702" s="199"/>
      <c r="W702" s="199"/>
      <c r="X702" s="199"/>
      <c r="Y702" s="199"/>
      <c r="Z702" s="199"/>
      <c r="AA702" s="199"/>
      <c r="AB702" s="199"/>
      <c r="AC702" s="199"/>
      <c r="AD702" s="199"/>
      <c r="AE702" s="199"/>
      <c r="AF702" s="199"/>
      <c r="AG702" s="199"/>
      <c r="AH702" s="199"/>
      <c r="AI702" s="199"/>
      <c r="AJ702" s="199"/>
      <c r="AK702" s="199"/>
      <c r="AL702" s="199"/>
      <c r="AM702" s="199"/>
    </row>
    <row r="703" spans="1:39">
      <c r="A703" s="712"/>
      <c r="B703" s="199"/>
      <c r="C703" s="1164"/>
      <c r="D703" s="1735"/>
      <c r="E703" s="712"/>
      <c r="F703" s="327"/>
      <c r="G703" s="1736"/>
      <c r="H703" s="712"/>
      <c r="I703" s="712"/>
      <c r="J703" s="199"/>
      <c r="K703" s="712"/>
      <c r="L703" s="712"/>
      <c r="M703" s="711"/>
      <c r="N703" s="1737"/>
      <c r="O703" s="711"/>
      <c r="P703" s="1738"/>
      <c r="Q703" s="1739"/>
      <c r="R703" s="1740"/>
      <c r="S703" s="1056"/>
      <c r="T703" s="1741"/>
      <c r="U703" s="1056"/>
      <c r="V703" s="199"/>
      <c r="W703" s="199"/>
      <c r="X703" s="199"/>
      <c r="Y703" s="199"/>
      <c r="Z703" s="199"/>
      <c r="AA703" s="199"/>
      <c r="AB703" s="199"/>
      <c r="AC703" s="199"/>
      <c r="AD703" s="199"/>
      <c r="AE703" s="199"/>
      <c r="AF703" s="199"/>
      <c r="AG703" s="199"/>
      <c r="AH703" s="199"/>
      <c r="AI703" s="199"/>
      <c r="AJ703" s="199"/>
      <c r="AK703" s="199"/>
      <c r="AL703" s="199"/>
      <c r="AM703" s="199"/>
    </row>
    <row r="704" spans="1:39">
      <c r="A704" s="712"/>
      <c r="B704" s="199"/>
      <c r="C704" s="1164"/>
      <c r="D704" s="1735"/>
      <c r="E704" s="712"/>
      <c r="F704" s="327"/>
      <c r="G704" s="1736"/>
      <c r="H704" s="712"/>
      <c r="I704" s="712"/>
      <c r="J704" s="199"/>
      <c r="K704" s="712"/>
      <c r="L704" s="712"/>
      <c r="M704" s="711"/>
      <c r="N704" s="1737"/>
      <c r="O704" s="711"/>
      <c r="P704" s="1738"/>
      <c r="Q704" s="1739"/>
      <c r="R704" s="1740"/>
      <c r="S704" s="1056"/>
      <c r="T704" s="1741"/>
      <c r="U704" s="1056"/>
      <c r="V704" s="199"/>
      <c r="W704" s="199"/>
      <c r="X704" s="199"/>
      <c r="Y704" s="199"/>
      <c r="Z704" s="199"/>
      <c r="AA704" s="199"/>
      <c r="AB704" s="199"/>
      <c r="AC704" s="199"/>
      <c r="AD704" s="199"/>
      <c r="AE704" s="199"/>
      <c r="AF704" s="199"/>
      <c r="AG704" s="199"/>
      <c r="AH704" s="199"/>
      <c r="AI704" s="199"/>
      <c r="AJ704" s="199"/>
      <c r="AK704" s="199"/>
      <c r="AL704" s="199"/>
      <c r="AM704" s="199"/>
    </row>
    <row r="705" spans="1:39">
      <c r="A705" s="712"/>
      <c r="B705" s="199"/>
      <c r="C705" s="1164"/>
      <c r="D705" s="1735"/>
      <c r="E705" s="712"/>
      <c r="F705" s="327"/>
      <c r="G705" s="1736"/>
      <c r="H705" s="712"/>
      <c r="I705" s="712"/>
      <c r="J705" s="199"/>
      <c r="K705" s="712"/>
      <c r="L705" s="712"/>
      <c r="M705" s="711"/>
      <c r="N705" s="1737"/>
      <c r="O705" s="711"/>
      <c r="P705" s="1738"/>
      <c r="Q705" s="1739"/>
      <c r="R705" s="1740"/>
      <c r="S705" s="1056"/>
      <c r="T705" s="1741"/>
      <c r="U705" s="1056"/>
      <c r="V705" s="199"/>
      <c r="W705" s="199"/>
      <c r="X705" s="199"/>
      <c r="Y705" s="199"/>
      <c r="Z705" s="199"/>
      <c r="AA705" s="199"/>
      <c r="AB705" s="199"/>
      <c r="AC705" s="199"/>
      <c r="AD705" s="199"/>
      <c r="AE705" s="199"/>
      <c r="AF705" s="199"/>
      <c r="AG705" s="199"/>
      <c r="AH705" s="199"/>
      <c r="AI705" s="199"/>
      <c r="AJ705" s="199"/>
      <c r="AK705" s="199"/>
      <c r="AL705" s="199"/>
      <c r="AM705" s="199"/>
    </row>
    <row r="706" spans="1:39">
      <c r="A706" s="712"/>
      <c r="B706" s="199"/>
      <c r="C706" s="1164"/>
      <c r="D706" s="1735"/>
      <c r="E706" s="712"/>
      <c r="F706" s="327"/>
      <c r="G706" s="1736"/>
      <c r="H706" s="712"/>
      <c r="I706" s="712"/>
      <c r="J706" s="199"/>
      <c r="K706" s="712"/>
      <c r="L706" s="712"/>
      <c r="M706" s="711"/>
      <c r="N706" s="1737"/>
      <c r="O706" s="711"/>
      <c r="P706" s="1738"/>
      <c r="Q706" s="1739"/>
      <c r="R706" s="1740"/>
      <c r="S706" s="1056"/>
      <c r="T706" s="1741"/>
      <c r="U706" s="1056"/>
      <c r="V706" s="199"/>
      <c r="W706" s="199"/>
      <c r="X706" s="199"/>
      <c r="Y706" s="199"/>
      <c r="Z706" s="199"/>
      <c r="AA706" s="199"/>
      <c r="AB706" s="199"/>
      <c r="AC706" s="199"/>
      <c r="AD706" s="199"/>
      <c r="AE706" s="199"/>
      <c r="AF706" s="199"/>
      <c r="AG706" s="199"/>
      <c r="AH706" s="199"/>
      <c r="AI706" s="199"/>
      <c r="AJ706" s="199"/>
      <c r="AK706" s="199"/>
      <c r="AL706" s="199"/>
      <c r="AM706" s="199"/>
    </row>
    <row r="707" spans="1:39">
      <c r="A707" s="712"/>
      <c r="B707" s="199"/>
      <c r="C707" s="1164"/>
      <c r="D707" s="1735"/>
      <c r="E707" s="712"/>
      <c r="F707" s="327"/>
      <c r="G707" s="1736"/>
      <c r="H707" s="712"/>
      <c r="I707" s="712"/>
      <c r="J707" s="199"/>
      <c r="K707" s="712"/>
      <c r="L707" s="712"/>
      <c r="M707" s="711"/>
      <c r="N707" s="1737"/>
      <c r="O707" s="711"/>
      <c r="P707" s="1738"/>
      <c r="Q707" s="1739"/>
      <c r="R707" s="1740"/>
      <c r="S707" s="1056"/>
      <c r="T707" s="1741"/>
      <c r="U707" s="1056"/>
      <c r="V707" s="199"/>
      <c r="W707" s="199"/>
      <c r="X707" s="199"/>
      <c r="Y707" s="199"/>
      <c r="Z707" s="199"/>
      <c r="AA707" s="199"/>
      <c r="AB707" s="199"/>
      <c r="AC707" s="199"/>
      <c r="AD707" s="199"/>
      <c r="AE707" s="199"/>
      <c r="AF707" s="199"/>
      <c r="AG707" s="199"/>
      <c r="AH707" s="199"/>
      <c r="AI707" s="199"/>
      <c r="AJ707" s="199"/>
      <c r="AK707" s="199"/>
      <c r="AL707" s="199"/>
      <c r="AM707" s="199"/>
    </row>
    <row r="708" spans="1:39">
      <c r="A708" s="712"/>
      <c r="B708" s="199"/>
      <c r="C708" s="1164"/>
      <c r="D708" s="1735"/>
      <c r="E708" s="712"/>
      <c r="F708" s="327"/>
      <c r="G708" s="1736"/>
      <c r="H708" s="712"/>
      <c r="I708" s="712"/>
      <c r="J708" s="199"/>
      <c r="K708" s="712"/>
      <c r="L708" s="712"/>
      <c r="M708" s="711"/>
      <c r="N708" s="1737"/>
      <c r="O708" s="711"/>
      <c r="P708" s="1738"/>
      <c r="Q708" s="1739"/>
      <c r="R708" s="1740"/>
      <c r="S708" s="1056"/>
      <c r="T708" s="1741"/>
      <c r="U708" s="1056"/>
      <c r="V708" s="199"/>
      <c r="W708" s="199"/>
      <c r="X708" s="199"/>
      <c r="Y708" s="199"/>
      <c r="Z708" s="199"/>
      <c r="AA708" s="199"/>
      <c r="AB708" s="199"/>
      <c r="AC708" s="199"/>
      <c r="AD708" s="199"/>
      <c r="AE708" s="199"/>
      <c r="AF708" s="199"/>
      <c r="AG708" s="199"/>
      <c r="AH708" s="199"/>
      <c r="AI708" s="199"/>
      <c r="AJ708" s="199"/>
      <c r="AK708" s="199"/>
      <c r="AL708" s="199"/>
      <c r="AM708" s="199"/>
    </row>
    <row r="709" spans="1:39">
      <c r="A709" s="712"/>
      <c r="B709" s="199"/>
      <c r="C709" s="1164"/>
      <c r="D709" s="1735"/>
      <c r="E709" s="712"/>
      <c r="F709" s="327"/>
      <c r="G709" s="1736"/>
      <c r="H709" s="712"/>
      <c r="I709" s="712"/>
      <c r="J709" s="199"/>
      <c r="K709" s="712"/>
      <c r="L709" s="712"/>
      <c r="M709" s="711"/>
      <c r="N709" s="1737"/>
      <c r="O709" s="711"/>
      <c r="P709" s="1738"/>
      <c r="Q709" s="1739"/>
      <c r="R709" s="1740"/>
      <c r="S709" s="1056"/>
      <c r="T709" s="1741"/>
      <c r="U709" s="1056"/>
      <c r="V709" s="199"/>
      <c r="W709" s="199"/>
      <c r="X709" s="199"/>
      <c r="Y709" s="199"/>
      <c r="Z709" s="199"/>
      <c r="AA709" s="199"/>
      <c r="AB709" s="199"/>
      <c r="AC709" s="199"/>
      <c r="AD709" s="199"/>
      <c r="AE709" s="199"/>
      <c r="AF709" s="199"/>
      <c r="AG709" s="199"/>
      <c r="AH709" s="199"/>
      <c r="AI709" s="199"/>
      <c r="AJ709" s="199"/>
      <c r="AK709" s="199"/>
      <c r="AL709" s="199"/>
      <c r="AM709" s="199"/>
    </row>
    <row r="710" spans="1:39">
      <c r="A710" s="712"/>
      <c r="B710" s="199"/>
      <c r="C710" s="1164"/>
      <c r="D710" s="1735"/>
      <c r="E710" s="712"/>
      <c r="F710" s="327"/>
      <c r="G710" s="1736"/>
      <c r="H710" s="712"/>
      <c r="I710" s="712"/>
      <c r="J710" s="199"/>
      <c r="K710" s="712"/>
      <c r="L710" s="712"/>
      <c r="M710" s="711"/>
      <c r="N710" s="1737"/>
      <c r="O710" s="711"/>
      <c r="P710" s="1738"/>
      <c r="Q710" s="1739"/>
      <c r="R710" s="1740"/>
      <c r="S710" s="1056"/>
      <c r="T710" s="1741"/>
      <c r="U710" s="1056"/>
      <c r="V710" s="199"/>
      <c r="W710" s="199"/>
      <c r="X710" s="199"/>
      <c r="Y710" s="199"/>
      <c r="Z710" s="199"/>
      <c r="AA710" s="199"/>
      <c r="AB710" s="199"/>
      <c r="AC710" s="199"/>
      <c r="AD710" s="199"/>
      <c r="AE710" s="199"/>
      <c r="AF710" s="199"/>
      <c r="AG710" s="199"/>
      <c r="AH710" s="199"/>
      <c r="AI710" s="199"/>
      <c r="AJ710" s="199"/>
      <c r="AK710" s="199"/>
      <c r="AL710" s="199"/>
      <c r="AM710" s="199"/>
    </row>
    <row r="711" spans="1:39">
      <c r="A711" s="712"/>
      <c r="B711" s="199"/>
      <c r="C711" s="1164"/>
      <c r="D711" s="1735"/>
      <c r="E711" s="712"/>
      <c r="F711" s="327"/>
      <c r="G711" s="1736"/>
      <c r="H711" s="712"/>
      <c r="I711" s="712"/>
      <c r="J711" s="199"/>
      <c r="K711" s="712"/>
      <c r="L711" s="712"/>
      <c r="M711" s="711"/>
      <c r="N711" s="1737"/>
      <c r="O711" s="711"/>
      <c r="P711" s="1738"/>
      <c r="Q711" s="1739"/>
      <c r="R711" s="1740"/>
      <c r="S711" s="1056"/>
      <c r="T711" s="1741"/>
      <c r="U711" s="1056"/>
      <c r="V711" s="199"/>
      <c r="W711" s="199"/>
      <c r="X711" s="199"/>
      <c r="Y711" s="199"/>
      <c r="Z711" s="199"/>
      <c r="AA711" s="199"/>
      <c r="AB711" s="199"/>
      <c r="AC711" s="199"/>
      <c r="AD711" s="199"/>
      <c r="AE711" s="199"/>
      <c r="AF711" s="199"/>
      <c r="AG711" s="199"/>
      <c r="AH711" s="199"/>
      <c r="AI711" s="199"/>
      <c r="AJ711" s="199"/>
      <c r="AK711" s="199"/>
      <c r="AL711" s="199"/>
      <c r="AM711" s="199"/>
    </row>
    <row r="712" spans="1:39">
      <c r="A712" s="712"/>
      <c r="B712" s="199"/>
      <c r="C712" s="1164"/>
      <c r="D712" s="1735"/>
      <c r="E712" s="712"/>
      <c r="F712" s="327"/>
      <c r="G712" s="1736"/>
      <c r="H712" s="712"/>
      <c r="I712" s="712"/>
      <c r="J712" s="199"/>
      <c r="K712" s="712"/>
      <c r="L712" s="712"/>
      <c r="M712" s="711"/>
      <c r="N712" s="1737"/>
      <c r="O712" s="711"/>
      <c r="P712" s="1738"/>
      <c r="Q712" s="1739"/>
      <c r="R712" s="1740"/>
      <c r="S712" s="1056"/>
      <c r="T712" s="1741"/>
      <c r="U712" s="1056"/>
      <c r="V712" s="199"/>
      <c r="W712" s="199"/>
      <c r="X712" s="199"/>
      <c r="Y712" s="199"/>
      <c r="Z712" s="199"/>
      <c r="AA712" s="199"/>
      <c r="AB712" s="199"/>
      <c r="AC712" s="199"/>
      <c r="AD712" s="199"/>
      <c r="AE712" s="199"/>
      <c r="AF712" s="199"/>
      <c r="AG712" s="199"/>
      <c r="AH712" s="199"/>
      <c r="AI712" s="199"/>
      <c r="AJ712" s="199"/>
      <c r="AK712" s="199"/>
      <c r="AL712" s="199"/>
      <c r="AM712" s="199"/>
    </row>
    <row r="713" spans="1:39">
      <c r="A713" s="712"/>
      <c r="B713" s="199"/>
      <c r="C713" s="1164"/>
      <c r="D713" s="1735"/>
      <c r="E713" s="712"/>
      <c r="F713" s="327"/>
      <c r="G713" s="1736"/>
      <c r="H713" s="712"/>
      <c r="I713" s="712"/>
      <c r="J713" s="199"/>
      <c r="K713" s="712"/>
      <c r="L713" s="712"/>
      <c r="M713" s="711"/>
      <c r="N713" s="1737"/>
      <c r="O713" s="711"/>
      <c r="P713" s="1738"/>
      <c r="Q713" s="1739"/>
      <c r="R713" s="1740"/>
      <c r="S713" s="1056"/>
      <c r="T713" s="1741"/>
      <c r="U713" s="1056"/>
      <c r="V713" s="199"/>
      <c r="W713" s="199"/>
      <c r="X713" s="199"/>
      <c r="Y713" s="199"/>
      <c r="Z713" s="199"/>
      <c r="AA713" s="199"/>
      <c r="AB713" s="199"/>
      <c r="AC713" s="199"/>
      <c r="AD713" s="199"/>
      <c r="AE713" s="199"/>
      <c r="AF713" s="199"/>
      <c r="AG713" s="199"/>
      <c r="AH713" s="199"/>
      <c r="AI713" s="199"/>
      <c r="AJ713" s="199"/>
      <c r="AK713" s="199"/>
      <c r="AL713" s="199"/>
      <c r="AM713" s="199"/>
    </row>
    <row r="714" spans="1:39">
      <c r="A714" s="712"/>
      <c r="B714" s="199"/>
      <c r="C714" s="1164"/>
      <c r="D714" s="1735"/>
      <c r="E714" s="712"/>
      <c r="F714" s="327"/>
      <c r="G714" s="1736"/>
      <c r="H714" s="712"/>
      <c r="I714" s="712"/>
      <c r="J714" s="199"/>
      <c r="K714" s="712"/>
      <c r="L714" s="712"/>
      <c r="M714" s="711"/>
      <c r="N714" s="1737"/>
      <c r="O714" s="711"/>
      <c r="P714" s="1738"/>
      <c r="Q714" s="1739"/>
      <c r="R714" s="1740"/>
      <c r="S714" s="1056"/>
      <c r="T714" s="1741"/>
      <c r="U714" s="1056"/>
      <c r="V714" s="199"/>
      <c r="W714" s="199"/>
      <c r="X714" s="199"/>
      <c r="Y714" s="199"/>
      <c r="Z714" s="199"/>
      <c r="AA714" s="199"/>
      <c r="AB714" s="199"/>
      <c r="AC714" s="199"/>
      <c r="AD714" s="199"/>
      <c r="AE714" s="199"/>
      <c r="AF714" s="199"/>
      <c r="AG714" s="199"/>
      <c r="AH714" s="199"/>
      <c r="AI714" s="199"/>
      <c r="AJ714" s="199"/>
      <c r="AK714" s="199"/>
      <c r="AL714" s="199"/>
      <c r="AM714" s="199"/>
    </row>
    <row r="715" spans="1:39">
      <c r="A715" s="712"/>
      <c r="B715" s="199"/>
      <c r="C715" s="1164"/>
      <c r="D715" s="1735"/>
      <c r="E715" s="712"/>
      <c r="F715" s="327"/>
      <c r="G715" s="1736"/>
      <c r="H715" s="712"/>
      <c r="I715" s="712"/>
      <c r="J715" s="199"/>
      <c r="K715" s="712"/>
      <c r="L715" s="712"/>
      <c r="M715" s="711"/>
      <c r="N715" s="1737"/>
      <c r="O715" s="711"/>
      <c r="P715" s="1738"/>
      <c r="Q715" s="1739"/>
      <c r="R715" s="1740"/>
      <c r="S715" s="1056"/>
      <c r="T715" s="1741"/>
      <c r="U715" s="1056"/>
      <c r="V715" s="199"/>
      <c r="W715" s="199"/>
      <c r="X715" s="199"/>
      <c r="Y715" s="199"/>
      <c r="Z715" s="199"/>
      <c r="AA715" s="199"/>
      <c r="AB715" s="199"/>
      <c r="AC715" s="199"/>
      <c r="AD715" s="199"/>
      <c r="AE715" s="199"/>
      <c r="AF715" s="199"/>
      <c r="AG715" s="199"/>
      <c r="AH715" s="199"/>
      <c r="AI715" s="199"/>
      <c r="AJ715" s="199"/>
      <c r="AK715" s="199"/>
      <c r="AL715" s="199"/>
      <c r="AM715" s="199"/>
    </row>
    <row r="716" spans="1:39">
      <c r="A716" s="712"/>
      <c r="B716" s="199"/>
      <c r="C716" s="1164"/>
      <c r="D716" s="1735"/>
      <c r="E716" s="712"/>
      <c r="F716" s="327"/>
      <c r="G716" s="1736"/>
      <c r="H716" s="712"/>
      <c r="I716" s="712"/>
      <c r="J716" s="199"/>
      <c r="K716" s="712"/>
      <c r="L716" s="712"/>
      <c r="M716" s="711"/>
      <c r="N716" s="1737"/>
      <c r="O716" s="711"/>
      <c r="P716" s="1738"/>
      <c r="Q716" s="1739"/>
      <c r="R716" s="1740"/>
      <c r="S716" s="1056"/>
      <c r="T716" s="1741"/>
      <c r="U716" s="1056"/>
      <c r="V716" s="199"/>
      <c r="W716" s="199"/>
      <c r="X716" s="199"/>
      <c r="Y716" s="199"/>
      <c r="Z716" s="199"/>
      <c r="AA716" s="199"/>
      <c r="AB716" s="199"/>
      <c r="AC716" s="199"/>
      <c r="AD716" s="199"/>
      <c r="AE716" s="199"/>
      <c r="AF716" s="199"/>
      <c r="AG716" s="199"/>
      <c r="AH716" s="199"/>
      <c r="AI716" s="199"/>
      <c r="AJ716" s="199"/>
      <c r="AK716" s="199"/>
      <c r="AL716" s="199"/>
      <c r="AM716" s="199"/>
    </row>
    <row r="717" spans="1:39">
      <c r="A717" s="712"/>
      <c r="B717" s="199"/>
      <c r="C717" s="1164"/>
      <c r="D717" s="1735"/>
      <c r="E717" s="712"/>
      <c r="F717" s="327"/>
      <c r="G717" s="1736"/>
      <c r="H717" s="712"/>
      <c r="I717" s="712"/>
      <c r="J717" s="199"/>
      <c r="K717" s="712"/>
      <c r="L717" s="712"/>
      <c r="M717" s="711"/>
      <c r="N717" s="1737"/>
      <c r="O717" s="711"/>
      <c r="P717" s="1738"/>
      <c r="Q717" s="1739"/>
      <c r="R717" s="1740"/>
      <c r="S717" s="1056"/>
      <c r="T717" s="1741"/>
      <c r="U717" s="1056"/>
      <c r="V717" s="199"/>
      <c r="W717" s="199"/>
      <c r="X717" s="199"/>
      <c r="Y717" s="199"/>
      <c r="Z717" s="199"/>
      <c r="AA717" s="199"/>
      <c r="AB717" s="199"/>
      <c r="AC717" s="199"/>
      <c r="AD717" s="199"/>
      <c r="AE717" s="199"/>
      <c r="AF717" s="199"/>
      <c r="AG717" s="199"/>
      <c r="AH717" s="199"/>
      <c r="AI717" s="199"/>
      <c r="AJ717" s="199"/>
      <c r="AK717" s="199"/>
      <c r="AL717" s="199"/>
      <c r="AM717" s="199"/>
    </row>
    <row r="718" spans="1:39">
      <c r="A718" s="712"/>
      <c r="B718" s="199"/>
      <c r="C718" s="1164"/>
      <c r="D718" s="1735"/>
      <c r="E718" s="712"/>
      <c r="F718" s="327"/>
      <c r="G718" s="1736"/>
      <c r="H718" s="712"/>
      <c r="I718" s="712"/>
      <c r="J718" s="199"/>
      <c r="K718" s="712"/>
      <c r="L718" s="712"/>
      <c r="M718" s="711"/>
      <c r="N718" s="1737"/>
      <c r="O718" s="711"/>
      <c r="P718" s="1738"/>
      <c r="Q718" s="1739"/>
      <c r="R718" s="1740"/>
      <c r="S718" s="1056"/>
      <c r="T718" s="1741"/>
      <c r="U718" s="1056"/>
      <c r="V718" s="199"/>
      <c r="W718" s="199"/>
      <c r="X718" s="199"/>
      <c r="Y718" s="199"/>
      <c r="Z718" s="199"/>
      <c r="AA718" s="199"/>
      <c r="AB718" s="199"/>
      <c r="AC718" s="199"/>
      <c r="AD718" s="199"/>
      <c r="AE718" s="199"/>
      <c r="AF718" s="199"/>
      <c r="AG718" s="199"/>
      <c r="AH718" s="199"/>
      <c r="AI718" s="199"/>
      <c r="AJ718" s="199"/>
      <c r="AK718" s="199"/>
      <c r="AL718" s="199"/>
      <c r="AM718" s="199"/>
    </row>
    <row r="719" spans="1:39">
      <c r="A719" s="712"/>
      <c r="B719" s="199"/>
      <c r="C719" s="1164"/>
      <c r="D719" s="1735"/>
      <c r="E719" s="712"/>
      <c r="F719" s="327"/>
      <c r="G719" s="1736"/>
      <c r="H719" s="712"/>
      <c r="I719" s="712"/>
      <c r="J719" s="199"/>
      <c r="K719" s="712"/>
      <c r="L719" s="712"/>
      <c r="M719" s="711"/>
      <c r="N719" s="1737"/>
      <c r="O719" s="711"/>
      <c r="P719" s="1738"/>
      <c r="Q719" s="1739"/>
      <c r="R719" s="1740"/>
      <c r="S719" s="1056"/>
      <c r="T719" s="1741"/>
      <c r="U719" s="1056"/>
      <c r="V719" s="199"/>
      <c r="W719" s="199"/>
      <c r="X719" s="199"/>
      <c r="Y719" s="199"/>
      <c r="Z719" s="199"/>
      <c r="AA719" s="199"/>
      <c r="AB719" s="199"/>
      <c r="AC719" s="199"/>
      <c r="AD719" s="199"/>
      <c r="AE719" s="199"/>
      <c r="AF719" s="199"/>
      <c r="AG719" s="199"/>
      <c r="AH719" s="199"/>
      <c r="AI719" s="199"/>
      <c r="AJ719" s="199"/>
      <c r="AK719" s="199"/>
      <c r="AL719" s="199"/>
      <c r="AM719" s="199"/>
    </row>
    <row r="720" spans="1:39">
      <c r="A720" s="712"/>
      <c r="B720" s="199"/>
      <c r="C720" s="1164"/>
      <c r="D720" s="1735"/>
      <c r="E720" s="712"/>
      <c r="F720" s="327"/>
      <c r="G720" s="1736"/>
      <c r="H720" s="712"/>
      <c r="I720" s="712"/>
      <c r="J720" s="199"/>
      <c r="K720" s="712"/>
      <c r="L720" s="712"/>
      <c r="M720" s="711"/>
      <c r="N720" s="1737"/>
      <c r="O720" s="711"/>
      <c r="P720" s="1738"/>
      <c r="Q720" s="1739"/>
      <c r="R720" s="1740"/>
      <c r="S720" s="1056"/>
      <c r="T720" s="1741"/>
      <c r="U720" s="1056"/>
      <c r="V720" s="199"/>
      <c r="W720" s="199"/>
      <c r="X720" s="199"/>
      <c r="Y720" s="199"/>
      <c r="Z720" s="199"/>
      <c r="AA720" s="199"/>
      <c r="AB720" s="199"/>
      <c r="AC720" s="199"/>
      <c r="AD720" s="199"/>
      <c r="AE720" s="199"/>
      <c r="AF720" s="199"/>
      <c r="AG720" s="199"/>
      <c r="AH720" s="199"/>
      <c r="AI720" s="199"/>
      <c r="AJ720" s="199"/>
      <c r="AK720" s="199"/>
      <c r="AL720" s="199"/>
      <c r="AM720" s="199"/>
    </row>
    <row r="721" spans="1:39">
      <c r="A721" s="712"/>
      <c r="B721" s="199"/>
      <c r="C721" s="1164"/>
      <c r="D721" s="1735"/>
      <c r="E721" s="712"/>
      <c r="F721" s="327"/>
      <c r="G721" s="1736"/>
      <c r="H721" s="712"/>
      <c r="I721" s="712"/>
      <c r="J721" s="199"/>
      <c r="K721" s="712"/>
      <c r="L721" s="712"/>
      <c r="M721" s="711"/>
      <c r="N721" s="1737"/>
      <c r="O721" s="711"/>
      <c r="P721" s="1738"/>
      <c r="Q721" s="1739"/>
      <c r="R721" s="1740"/>
      <c r="S721" s="1056"/>
      <c r="T721" s="1741"/>
      <c r="U721" s="1056"/>
      <c r="V721" s="199"/>
      <c r="W721" s="199"/>
      <c r="X721" s="199"/>
      <c r="Y721" s="199"/>
      <c r="Z721" s="199"/>
      <c r="AA721" s="199"/>
      <c r="AB721" s="199"/>
      <c r="AC721" s="199"/>
      <c r="AD721" s="199"/>
      <c r="AE721" s="199"/>
      <c r="AF721" s="199"/>
      <c r="AG721" s="199"/>
      <c r="AH721" s="199"/>
      <c r="AI721" s="199"/>
      <c r="AJ721" s="199"/>
      <c r="AK721" s="199"/>
      <c r="AL721" s="199"/>
      <c r="AM721" s="199"/>
    </row>
    <row r="722" spans="1:39">
      <c r="A722" s="712"/>
      <c r="B722" s="199"/>
      <c r="C722" s="1164"/>
      <c r="D722" s="1735"/>
      <c r="E722" s="712"/>
      <c r="F722" s="327"/>
      <c r="G722" s="1736"/>
      <c r="H722" s="712"/>
      <c r="I722" s="712"/>
      <c r="J722" s="199"/>
      <c r="K722" s="712"/>
      <c r="L722" s="712"/>
      <c r="M722" s="711"/>
      <c r="N722" s="1737"/>
      <c r="O722" s="711"/>
      <c r="P722" s="1738"/>
      <c r="Q722" s="1739"/>
      <c r="R722" s="1740"/>
      <c r="S722" s="1056"/>
      <c r="T722" s="1741"/>
      <c r="U722" s="1056"/>
      <c r="V722" s="199"/>
      <c r="W722" s="199"/>
      <c r="X722" s="199"/>
      <c r="Y722" s="199"/>
      <c r="Z722" s="199"/>
      <c r="AA722" s="199"/>
      <c r="AB722" s="199"/>
      <c r="AC722" s="199"/>
      <c r="AD722" s="199"/>
      <c r="AE722" s="199"/>
      <c r="AF722" s="199"/>
      <c r="AG722" s="199"/>
      <c r="AH722" s="199"/>
      <c r="AI722" s="199"/>
      <c r="AJ722" s="199"/>
      <c r="AK722" s="199"/>
      <c r="AL722" s="199"/>
      <c r="AM722" s="199"/>
    </row>
    <row r="723" spans="1:39">
      <c r="A723" s="712"/>
      <c r="B723" s="199"/>
      <c r="C723" s="1164"/>
      <c r="D723" s="1735"/>
      <c r="E723" s="712"/>
      <c r="F723" s="327"/>
      <c r="G723" s="1736"/>
      <c r="H723" s="712"/>
      <c r="I723" s="712"/>
      <c r="J723" s="199"/>
      <c r="K723" s="712"/>
      <c r="L723" s="712"/>
      <c r="M723" s="711"/>
      <c r="N723" s="1737"/>
      <c r="O723" s="711"/>
      <c r="P723" s="1738"/>
      <c r="Q723" s="1739"/>
      <c r="R723" s="1740"/>
      <c r="S723" s="1056"/>
      <c r="T723" s="1741"/>
      <c r="U723" s="1056"/>
      <c r="V723" s="199"/>
      <c r="W723" s="199"/>
      <c r="X723" s="199"/>
      <c r="Y723" s="199"/>
      <c r="Z723" s="199"/>
      <c r="AA723" s="199"/>
      <c r="AB723" s="199"/>
      <c r="AC723" s="199"/>
      <c r="AD723" s="199"/>
      <c r="AE723" s="199"/>
      <c r="AF723" s="199"/>
      <c r="AG723" s="199"/>
      <c r="AH723" s="199"/>
      <c r="AI723" s="199"/>
      <c r="AJ723" s="199"/>
      <c r="AK723" s="199"/>
      <c r="AL723" s="199"/>
      <c r="AM723" s="199"/>
    </row>
    <row r="724" spans="1:39">
      <c r="A724" s="712"/>
      <c r="B724" s="199"/>
      <c r="C724" s="1164"/>
      <c r="D724" s="1735"/>
      <c r="E724" s="712"/>
      <c r="F724" s="327"/>
      <c r="G724" s="1736"/>
      <c r="H724" s="712"/>
      <c r="I724" s="712"/>
      <c r="J724" s="199"/>
      <c r="K724" s="712"/>
      <c r="L724" s="712"/>
      <c r="M724" s="711"/>
      <c r="N724" s="1737"/>
      <c r="O724" s="711"/>
      <c r="P724" s="1738"/>
      <c r="Q724" s="1739"/>
      <c r="R724" s="1740"/>
      <c r="S724" s="1056"/>
      <c r="T724" s="1741"/>
      <c r="U724" s="1056"/>
      <c r="V724" s="199"/>
      <c r="W724" s="199"/>
      <c r="X724" s="199"/>
      <c r="Y724" s="199"/>
      <c r="Z724" s="199"/>
      <c r="AA724" s="199"/>
      <c r="AB724" s="199"/>
      <c r="AC724" s="199"/>
      <c r="AD724" s="199"/>
      <c r="AE724" s="199"/>
      <c r="AF724" s="199"/>
      <c r="AG724" s="199"/>
      <c r="AH724" s="199"/>
      <c r="AI724" s="199"/>
      <c r="AJ724" s="199"/>
      <c r="AK724" s="199"/>
      <c r="AL724" s="199"/>
      <c r="AM724" s="199"/>
    </row>
    <row r="725" spans="1:39">
      <c r="A725" s="712"/>
      <c r="B725" s="199"/>
      <c r="C725" s="1164"/>
      <c r="D725" s="1735"/>
      <c r="E725" s="712"/>
      <c r="F725" s="327"/>
      <c r="G725" s="1736"/>
      <c r="H725" s="712"/>
      <c r="I725" s="712"/>
      <c r="J725" s="199"/>
      <c r="K725" s="712"/>
      <c r="L725" s="712"/>
      <c r="M725" s="711"/>
      <c r="N725" s="1737"/>
      <c r="O725" s="711"/>
      <c r="P725" s="1738"/>
      <c r="Q725" s="1739"/>
      <c r="R725" s="1740"/>
      <c r="S725" s="1056"/>
      <c r="T725" s="1741"/>
      <c r="U725" s="1056"/>
      <c r="V725" s="199"/>
      <c r="W725" s="199"/>
      <c r="X725" s="199"/>
      <c r="Y725" s="199"/>
      <c r="Z725" s="199"/>
      <c r="AA725" s="199"/>
      <c r="AB725" s="199"/>
      <c r="AC725" s="199"/>
      <c r="AD725" s="199"/>
      <c r="AE725" s="199"/>
      <c r="AF725" s="199"/>
      <c r="AG725" s="199"/>
      <c r="AH725" s="199"/>
      <c r="AI725" s="199"/>
      <c r="AJ725" s="199"/>
      <c r="AK725" s="199"/>
      <c r="AL725" s="199"/>
      <c r="AM725" s="199"/>
    </row>
    <row r="726" spans="1:39">
      <c r="A726" s="712"/>
      <c r="B726" s="199"/>
      <c r="C726" s="1164"/>
      <c r="D726" s="1735"/>
      <c r="E726" s="712"/>
      <c r="F726" s="327"/>
      <c r="G726" s="1736"/>
      <c r="H726" s="712"/>
      <c r="I726" s="712"/>
      <c r="J726" s="199"/>
      <c r="K726" s="712"/>
      <c r="L726" s="712"/>
      <c r="M726" s="711"/>
      <c r="N726" s="1737"/>
      <c r="O726" s="711"/>
      <c r="P726" s="1738"/>
      <c r="Q726" s="1739"/>
      <c r="R726" s="1740"/>
      <c r="S726" s="1056"/>
      <c r="T726" s="1741"/>
      <c r="U726" s="1056"/>
      <c r="V726" s="199"/>
      <c r="W726" s="199"/>
      <c r="X726" s="199"/>
      <c r="Y726" s="199"/>
      <c r="Z726" s="199"/>
      <c r="AA726" s="199"/>
      <c r="AB726" s="199"/>
      <c r="AC726" s="199"/>
      <c r="AD726" s="199"/>
      <c r="AE726" s="199"/>
      <c r="AF726" s="199"/>
      <c r="AG726" s="199"/>
      <c r="AH726" s="199"/>
      <c r="AI726" s="199"/>
      <c r="AJ726" s="199"/>
      <c r="AK726" s="199"/>
      <c r="AL726" s="199"/>
      <c r="AM726" s="199"/>
    </row>
    <row r="727" spans="1:39">
      <c r="A727" s="712"/>
      <c r="B727" s="199"/>
      <c r="C727" s="1164"/>
      <c r="D727" s="1735"/>
      <c r="E727" s="712"/>
      <c r="F727" s="327"/>
      <c r="G727" s="1736"/>
      <c r="H727" s="712"/>
      <c r="I727" s="712"/>
      <c r="J727" s="199"/>
      <c r="K727" s="712"/>
      <c r="L727" s="712"/>
      <c r="M727" s="711"/>
      <c r="N727" s="1737"/>
      <c r="O727" s="711"/>
      <c r="P727" s="1738"/>
      <c r="Q727" s="1739"/>
      <c r="R727" s="1740"/>
      <c r="S727" s="1056"/>
      <c r="T727" s="1741"/>
      <c r="U727" s="1056"/>
      <c r="V727" s="199"/>
      <c r="W727" s="199"/>
      <c r="X727" s="199"/>
      <c r="Y727" s="199"/>
      <c r="Z727" s="199"/>
      <c r="AA727" s="199"/>
      <c r="AB727" s="199"/>
      <c r="AC727" s="199"/>
      <c r="AD727" s="199"/>
      <c r="AE727" s="199"/>
      <c r="AF727" s="199"/>
      <c r="AG727" s="199"/>
      <c r="AH727" s="199"/>
      <c r="AI727" s="199"/>
      <c r="AJ727" s="199"/>
      <c r="AK727" s="199"/>
      <c r="AL727" s="199"/>
      <c r="AM727" s="199"/>
    </row>
    <row r="728" spans="1:39">
      <c r="A728" s="712"/>
      <c r="B728" s="199"/>
      <c r="C728" s="1164"/>
      <c r="D728" s="1735"/>
      <c r="E728" s="712"/>
      <c r="F728" s="327"/>
      <c r="G728" s="1736"/>
      <c r="H728" s="712"/>
      <c r="I728" s="712"/>
      <c r="J728" s="199"/>
      <c r="K728" s="712"/>
      <c r="L728" s="712"/>
      <c r="M728" s="711"/>
      <c r="N728" s="1737"/>
      <c r="O728" s="711"/>
      <c r="P728" s="1738"/>
      <c r="Q728" s="1739"/>
      <c r="R728" s="1740"/>
      <c r="S728" s="1056"/>
      <c r="T728" s="1741"/>
      <c r="U728" s="1056"/>
      <c r="V728" s="199"/>
      <c r="W728" s="199"/>
      <c r="X728" s="199"/>
      <c r="Y728" s="199"/>
      <c r="Z728" s="199"/>
      <c r="AA728" s="199"/>
      <c r="AB728" s="199"/>
      <c r="AC728" s="199"/>
      <c r="AD728" s="199"/>
      <c r="AE728" s="199"/>
      <c r="AF728" s="199"/>
      <c r="AG728" s="199"/>
      <c r="AH728" s="199"/>
      <c r="AI728" s="199"/>
      <c r="AJ728" s="199"/>
      <c r="AK728" s="199"/>
      <c r="AL728" s="199"/>
      <c r="AM728" s="199"/>
    </row>
    <row r="729" spans="1:39">
      <c r="A729" s="712"/>
      <c r="B729" s="199"/>
      <c r="C729" s="1164"/>
      <c r="D729" s="1735"/>
      <c r="E729" s="712"/>
      <c r="F729" s="327"/>
      <c r="G729" s="1736"/>
      <c r="H729" s="712"/>
      <c r="I729" s="712"/>
      <c r="J729" s="199"/>
      <c r="K729" s="712"/>
      <c r="L729" s="712"/>
      <c r="M729" s="711"/>
      <c r="N729" s="1737"/>
      <c r="O729" s="711"/>
      <c r="P729" s="1738"/>
      <c r="Q729" s="1739"/>
      <c r="R729" s="1740"/>
      <c r="S729" s="1056"/>
      <c r="T729" s="1741"/>
      <c r="U729" s="1056"/>
      <c r="V729" s="199"/>
      <c r="W729" s="199"/>
      <c r="X729" s="199"/>
      <c r="Y729" s="199"/>
      <c r="Z729" s="199"/>
      <c r="AA729" s="199"/>
      <c r="AB729" s="199"/>
      <c r="AC729" s="199"/>
      <c r="AD729" s="199"/>
      <c r="AE729" s="199"/>
      <c r="AF729" s="199"/>
      <c r="AG729" s="199"/>
      <c r="AH729" s="199"/>
      <c r="AI729" s="199"/>
      <c r="AJ729" s="199"/>
      <c r="AK729" s="199"/>
      <c r="AL729" s="199"/>
      <c r="AM729" s="199"/>
    </row>
    <row r="730" spans="1:39">
      <c r="A730" s="712"/>
      <c r="B730" s="199"/>
      <c r="C730" s="1164"/>
      <c r="D730" s="1735"/>
      <c r="E730" s="712"/>
      <c r="F730" s="327"/>
      <c r="G730" s="1736"/>
      <c r="H730" s="712"/>
      <c r="I730" s="712"/>
      <c r="J730" s="199"/>
      <c r="K730" s="712"/>
      <c r="L730" s="712"/>
      <c r="M730" s="711"/>
      <c r="N730" s="1737"/>
      <c r="O730" s="711"/>
      <c r="P730" s="1738"/>
      <c r="Q730" s="1739"/>
      <c r="R730" s="1740"/>
      <c r="S730" s="1056"/>
      <c r="T730" s="1741"/>
      <c r="U730" s="1056"/>
      <c r="V730" s="199"/>
      <c r="W730" s="199"/>
      <c r="X730" s="199"/>
      <c r="Y730" s="199"/>
      <c r="Z730" s="199"/>
      <c r="AA730" s="199"/>
      <c r="AB730" s="199"/>
      <c r="AC730" s="199"/>
      <c r="AD730" s="199"/>
      <c r="AE730" s="199"/>
      <c r="AF730" s="199"/>
      <c r="AG730" s="199"/>
      <c r="AH730" s="199"/>
      <c r="AI730" s="199"/>
      <c r="AJ730" s="199"/>
      <c r="AK730" s="199"/>
      <c r="AL730" s="199"/>
      <c r="AM730" s="199"/>
    </row>
    <row r="731" spans="1:39">
      <c r="A731" s="712"/>
      <c r="B731" s="199"/>
      <c r="C731" s="1164"/>
      <c r="D731" s="1735"/>
      <c r="E731" s="712"/>
      <c r="F731" s="327"/>
      <c r="G731" s="1736"/>
      <c r="H731" s="712"/>
      <c r="I731" s="712"/>
      <c r="J731" s="199"/>
      <c r="K731" s="712"/>
      <c r="L731" s="712"/>
      <c r="M731" s="711"/>
      <c r="N731" s="1737"/>
      <c r="O731" s="711"/>
      <c r="P731" s="1738"/>
      <c r="Q731" s="1739"/>
      <c r="R731" s="1740"/>
      <c r="S731" s="1056"/>
      <c r="T731" s="1741"/>
      <c r="U731" s="1056"/>
      <c r="V731" s="199"/>
      <c r="W731" s="199"/>
      <c r="X731" s="199"/>
      <c r="Y731" s="199"/>
      <c r="Z731" s="199"/>
      <c r="AA731" s="199"/>
      <c r="AB731" s="199"/>
      <c r="AC731" s="199"/>
      <c r="AD731" s="199"/>
      <c r="AE731" s="199"/>
      <c r="AF731" s="199"/>
      <c r="AG731" s="199"/>
      <c r="AH731" s="199"/>
      <c r="AI731" s="199"/>
      <c r="AJ731" s="199"/>
      <c r="AK731" s="199"/>
      <c r="AL731" s="199"/>
      <c r="AM731" s="199"/>
    </row>
    <row r="732" spans="1:39">
      <c r="A732" s="712"/>
      <c r="B732" s="199"/>
      <c r="C732" s="1164"/>
      <c r="D732" s="1735"/>
      <c r="E732" s="712"/>
      <c r="F732" s="327"/>
      <c r="G732" s="1736"/>
      <c r="H732" s="712"/>
      <c r="I732" s="712"/>
      <c r="J732" s="199"/>
      <c r="K732" s="712"/>
      <c r="L732" s="712"/>
      <c r="M732" s="711"/>
      <c r="N732" s="1737"/>
      <c r="O732" s="711"/>
      <c r="P732" s="1738"/>
      <c r="Q732" s="1739"/>
      <c r="R732" s="1740"/>
      <c r="S732" s="1056"/>
      <c r="T732" s="1741"/>
      <c r="U732" s="1056"/>
      <c r="V732" s="199"/>
      <c r="W732" s="199"/>
      <c r="X732" s="199"/>
      <c r="Y732" s="199"/>
      <c r="Z732" s="199"/>
      <c r="AA732" s="199"/>
      <c r="AB732" s="199"/>
      <c r="AC732" s="199"/>
      <c r="AD732" s="199"/>
      <c r="AE732" s="199"/>
      <c r="AF732" s="199"/>
      <c r="AG732" s="199"/>
      <c r="AH732" s="199"/>
      <c r="AI732" s="199"/>
      <c r="AJ732" s="199"/>
      <c r="AK732" s="199"/>
      <c r="AL732" s="199"/>
      <c r="AM732" s="199"/>
    </row>
    <row r="733" spans="1:39">
      <c r="A733" s="712"/>
      <c r="B733" s="199"/>
      <c r="C733" s="1164"/>
      <c r="D733" s="1735"/>
      <c r="E733" s="712"/>
      <c r="F733" s="327"/>
      <c r="G733" s="1736"/>
      <c r="H733" s="712"/>
      <c r="I733" s="712"/>
      <c r="J733" s="199"/>
      <c r="K733" s="712"/>
      <c r="L733" s="712"/>
      <c r="M733" s="711"/>
      <c r="N733" s="1737"/>
      <c r="O733" s="711"/>
      <c r="P733" s="1738"/>
      <c r="Q733" s="1739"/>
      <c r="R733" s="1740"/>
      <c r="S733" s="1056"/>
      <c r="T733" s="1741"/>
      <c r="U733" s="1056"/>
      <c r="V733" s="199"/>
      <c r="W733" s="199"/>
      <c r="X733" s="199"/>
      <c r="Y733" s="199"/>
      <c r="Z733" s="199"/>
      <c r="AA733" s="199"/>
      <c r="AB733" s="199"/>
      <c r="AC733" s="199"/>
      <c r="AD733" s="199"/>
      <c r="AE733" s="199"/>
      <c r="AF733" s="199"/>
      <c r="AG733" s="199"/>
      <c r="AH733" s="199"/>
      <c r="AI733" s="199"/>
      <c r="AJ733" s="199"/>
      <c r="AK733" s="199"/>
      <c r="AL733" s="199"/>
      <c r="AM733" s="199"/>
    </row>
    <row r="734" spans="1:39">
      <c r="A734" s="712"/>
      <c r="B734" s="199"/>
      <c r="C734" s="1164"/>
      <c r="D734" s="1735"/>
      <c r="E734" s="712"/>
      <c r="F734" s="327"/>
      <c r="G734" s="1736"/>
      <c r="H734" s="712"/>
      <c r="I734" s="712"/>
      <c r="J734" s="199"/>
      <c r="K734" s="712"/>
      <c r="L734" s="712"/>
      <c r="M734" s="711"/>
      <c r="N734" s="1737"/>
      <c r="O734" s="711"/>
      <c r="P734" s="1738"/>
      <c r="Q734" s="1739"/>
      <c r="R734" s="1740"/>
      <c r="S734" s="1056"/>
      <c r="T734" s="1741"/>
      <c r="U734" s="1056"/>
      <c r="V734" s="199"/>
      <c r="W734" s="199"/>
      <c r="X734" s="199"/>
      <c r="Y734" s="199"/>
      <c r="Z734" s="199"/>
      <c r="AA734" s="199"/>
      <c r="AB734" s="199"/>
      <c r="AC734" s="199"/>
      <c r="AD734" s="199"/>
      <c r="AE734" s="199"/>
      <c r="AF734" s="199"/>
      <c r="AG734" s="199"/>
      <c r="AH734" s="199"/>
      <c r="AI734" s="199"/>
      <c r="AJ734" s="199"/>
      <c r="AK734" s="199"/>
      <c r="AL734" s="199"/>
      <c r="AM734" s="199"/>
    </row>
    <row r="735" spans="1:39">
      <c r="A735" s="712"/>
      <c r="B735" s="199"/>
      <c r="C735" s="1164"/>
      <c r="D735" s="1735"/>
      <c r="E735" s="712"/>
      <c r="F735" s="327"/>
      <c r="G735" s="1736"/>
      <c r="H735" s="712"/>
      <c r="I735" s="712"/>
      <c r="J735" s="199"/>
      <c r="K735" s="712"/>
      <c r="L735" s="712"/>
      <c r="M735" s="711"/>
      <c r="N735" s="1737"/>
      <c r="O735" s="711"/>
      <c r="P735" s="1738"/>
      <c r="Q735" s="1739"/>
      <c r="R735" s="1740"/>
      <c r="S735" s="1056"/>
      <c r="T735" s="1741"/>
      <c r="U735" s="1056"/>
      <c r="V735" s="199"/>
      <c r="W735" s="199"/>
      <c r="X735" s="199"/>
      <c r="Y735" s="199"/>
      <c r="Z735" s="199"/>
      <c r="AA735" s="199"/>
      <c r="AB735" s="199"/>
      <c r="AC735" s="199"/>
      <c r="AD735" s="199"/>
      <c r="AE735" s="199"/>
      <c r="AF735" s="199"/>
      <c r="AG735" s="199"/>
      <c r="AH735" s="199"/>
      <c r="AI735" s="199"/>
      <c r="AJ735" s="199"/>
      <c r="AK735" s="199"/>
      <c r="AL735" s="199"/>
      <c r="AM735" s="199"/>
    </row>
    <row r="736" spans="1:39">
      <c r="A736" s="712"/>
      <c r="B736" s="199"/>
      <c r="C736" s="1164"/>
      <c r="D736" s="1735"/>
      <c r="E736" s="712"/>
      <c r="F736" s="327"/>
      <c r="G736" s="1736"/>
      <c r="H736" s="712"/>
      <c r="I736" s="712"/>
      <c r="J736" s="199"/>
      <c r="K736" s="712"/>
      <c r="L736" s="712"/>
      <c r="M736" s="711"/>
      <c r="N736" s="1737"/>
      <c r="O736" s="711"/>
      <c r="P736" s="1738"/>
      <c r="Q736" s="1739"/>
      <c r="R736" s="1740"/>
      <c r="S736" s="1056"/>
      <c r="T736" s="1741"/>
      <c r="U736" s="1056"/>
      <c r="V736" s="199"/>
      <c r="W736" s="199"/>
      <c r="X736" s="199"/>
      <c r="Y736" s="199"/>
      <c r="Z736" s="199"/>
      <c r="AA736" s="199"/>
      <c r="AB736" s="199"/>
      <c r="AC736" s="199"/>
      <c r="AD736" s="199"/>
      <c r="AE736" s="199"/>
      <c r="AF736" s="199"/>
      <c r="AG736" s="199"/>
      <c r="AH736" s="199"/>
      <c r="AI736" s="199"/>
      <c r="AJ736" s="199"/>
      <c r="AK736" s="199"/>
      <c r="AL736" s="199"/>
      <c r="AM736" s="199"/>
    </row>
    <row r="737" spans="1:39">
      <c r="A737" s="712"/>
      <c r="B737" s="199"/>
      <c r="C737" s="1164"/>
      <c r="D737" s="1735"/>
      <c r="E737" s="712"/>
      <c r="F737" s="327"/>
      <c r="G737" s="1736"/>
      <c r="H737" s="712"/>
      <c r="I737" s="712"/>
      <c r="J737" s="199"/>
      <c r="K737" s="712"/>
      <c r="L737" s="712"/>
      <c r="M737" s="711"/>
      <c r="N737" s="1737"/>
      <c r="O737" s="711"/>
      <c r="P737" s="1738"/>
      <c r="Q737" s="1739"/>
      <c r="R737" s="1740"/>
      <c r="S737" s="1056"/>
      <c r="T737" s="1741"/>
      <c r="U737" s="1056"/>
      <c r="V737" s="199"/>
      <c r="W737" s="199"/>
      <c r="X737" s="199"/>
      <c r="Y737" s="199"/>
      <c r="Z737" s="199"/>
      <c r="AA737" s="199"/>
      <c r="AB737" s="199"/>
      <c r="AC737" s="199"/>
      <c r="AD737" s="199"/>
      <c r="AE737" s="199"/>
      <c r="AF737" s="199"/>
      <c r="AG737" s="199"/>
      <c r="AH737" s="199"/>
      <c r="AI737" s="199"/>
      <c r="AJ737" s="199"/>
      <c r="AK737" s="199"/>
      <c r="AL737" s="199"/>
      <c r="AM737" s="199"/>
    </row>
    <row r="738" spans="1:39">
      <c r="A738" s="712"/>
      <c r="B738" s="199"/>
      <c r="C738" s="1164"/>
      <c r="D738" s="1735"/>
      <c r="E738" s="712"/>
      <c r="F738" s="327"/>
      <c r="G738" s="1736"/>
      <c r="H738" s="712"/>
      <c r="I738" s="712"/>
      <c r="J738" s="199"/>
      <c r="K738" s="712"/>
      <c r="L738" s="712"/>
      <c r="M738" s="711"/>
      <c r="N738" s="1737"/>
      <c r="O738" s="711"/>
      <c r="P738" s="1738"/>
      <c r="Q738" s="1739"/>
      <c r="R738" s="1740"/>
      <c r="S738" s="1056"/>
      <c r="T738" s="1741"/>
      <c r="U738" s="1056"/>
      <c r="V738" s="199"/>
      <c r="W738" s="199"/>
      <c r="X738" s="199"/>
      <c r="Y738" s="199"/>
      <c r="Z738" s="199"/>
      <c r="AA738" s="199"/>
      <c r="AB738" s="199"/>
      <c r="AC738" s="199"/>
      <c r="AD738" s="199"/>
      <c r="AE738" s="199"/>
      <c r="AF738" s="199"/>
      <c r="AG738" s="199"/>
      <c r="AH738" s="199"/>
      <c r="AI738" s="199"/>
      <c r="AJ738" s="199"/>
      <c r="AK738" s="199"/>
      <c r="AL738" s="199"/>
      <c r="AM738" s="199"/>
    </row>
    <row r="739" spans="1:39">
      <c r="A739" s="712"/>
      <c r="B739" s="199"/>
      <c r="C739" s="1164"/>
      <c r="D739" s="1735"/>
      <c r="E739" s="712"/>
      <c r="F739" s="327"/>
      <c r="G739" s="1736"/>
      <c r="H739" s="712"/>
      <c r="I739" s="712"/>
      <c r="J739" s="199"/>
      <c r="K739" s="712"/>
      <c r="L739" s="712"/>
      <c r="M739" s="711"/>
      <c r="N739" s="1737"/>
      <c r="O739" s="711"/>
      <c r="P739" s="1738"/>
      <c r="Q739" s="1739"/>
      <c r="R739" s="1740"/>
      <c r="S739" s="1056"/>
      <c r="T739" s="1741"/>
      <c r="U739" s="1056"/>
      <c r="V739" s="199"/>
      <c r="W739" s="199"/>
      <c r="X739" s="199"/>
      <c r="Y739" s="199"/>
      <c r="Z739" s="199"/>
      <c r="AA739" s="199"/>
      <c r="AB739" s="199"/>
      <c r="AC739" s="199"/>
      <c r="AD739" s="199"/>
      <c r="AE739" s="199"/>
      <c r="AF739" s="199"/>
      <c r="AG739" s="199"/>
      <c r="AH739" s="199"/>
      <c r="AI739" s="199"/>
      <c r="AJ739" s="199"/>
      <c r="AK739" s="199"/>
      <c r="AL739" s="199"/>
      <c r="AM739" s="199"/>
    </row>
    <row r="740" spans="1:39">
      <c r="A740" s="712"/>
      <c r="B740" s="199"/>
      <c r="C740" s="1164"/>
      <c r="D740" s="1735"/>
      <c r="E740" s="712"/>
      <c r="F740" s="327"/>
      <c r="G740" s="1736"/>
      <c r="H740" s="712"/>
      <c r="I740" s="712"/>
      <c r="J740" s="199"/>
      <c r="K740" s="712"/>
      <c r="L740" s="712"/>
      <c r="M740" s="711"/>
      <c r="N740" s="1737"/>
      <c r="O740" s="711"/>
      <c r="P740" s="1738"/>
      <c r="Q740" s="1739"/>
      <c r="R740" s="1740"/>
      <c r="S740" s="1056"/>
      <c r="T740" s="1741"/>
      <c r="U740" s="1056"/>
      <c r="V740" s="199"/>
      <c r="W740" s="199"/>
      <c r="X740" s="199"/>
      <c r="Y740" s="199"/>
      <c r="Z740" s="199"/>
      <c r="AA740" s="199"/>
      <c r="AB740" s="199"/>
      <c r="AC740" s="199"/>
      <c r="AD740" s="199"/>
      <c r="AE740" s="199"/>
      <c r="AF740" s="199"/>
      <c r="AG740" s="199"/>
      <c r="AH740" s="199"/>
      <c r="AI740" s="199"/>
      <c r="AJ740" s="199"/>
      <c r="AK740" s="199"/>
      <c r="AL740" s="199"/>
      <c r="AM740" s="199"/>
    </row>
    <row r="741" spans="1:39">
      <c r="A741" s="712"/>
      <c r="B741" s="199"/>
      <c r="C741" s="1164"/>
      <c r="D741" s="1735"/>
      <c r="E741" s="712"/>
      <c r="F741" s="327"/>
      <c r="G741" s="1736"/>
      <c r="H741" s="712"/>
      <c r="I741" s="712"/>
      <c r="J741" s="199"/>
      <c r="K741" s="712"/>
      <c r="L741" s="712"/>
      <c r="M741" s="711"/>
      <c r="N741" s="1737"/>
      <c r="O741" s="711"/>
      <c r="P741" s="1738"/>
      <c r="Q741" s="1739"/>
      <c r="R741" s="1740"/>
      <c r="S741" s="1056"/>
      <c r="T741" s="1741"/>
      <c r="U741" s="1056"/>
      <c r="V741" s="199"/>
      <c r="W741" s="199"/>
      <c r="X741" s="199"/>
      <c r="Y741" s="199"/>
      <c r="Z741" s="199"/>
      <c r="AA741" s="199"/>
      <c r="AB741" s="199"/>
      <c r="AC741" s="199"/>
      <c r="AD741" s="199"/>
      <c r="AE741" s="199"/>
      <c r="AF741" s="199"/>
      <c r="AG741" s="199"/>
      <c r="AH741" s="199"/>
      <c r="AI741" s="199"/>
      <c r="AJ741" s="199"/>
      <c r="AK741" s="199"/>
      <c r="AL741" s="199"/>
      <c r="AM741" s="199"/>
    </row>
    <row r="742" spans="1:39">
      <c r="A742" s="712"/>
      <c r="B742" s="199"/>
      <c r="C742" s="1164"/>
      <c r="D742" s="1735"/>
      <c r="E742" s="712"/>
      <c r="F742" s="327"/>
      <c r="G742" s="1736"/>
      <c r="H742" s="712"/>
      <c r="I742" s="712"/>
      <c r="J742" s="199"/>
      <c r="K742" s="712"/>
      <c r="L742" s="712"/>
      <c r="M742" s="711"/>
      <c r="N742" s="1737"/>
      <c r="O742" s="711"/>
      <c r="P742" s="1738"/>
      <c r="Q742" s="1739"/>
      <c r="R742" s="1740"/>
      <c r="S742" s="1056"/>
      <c r="T742" s="1741"/>
      <c r="U742" s="1056"/>
      <c r="V742" s="199"/>
      <c r="W742" s="199"/>
      <c r="X742" s="199"/>
      <c r="Y742" s="199"/>
      <c r="Z742" s="199"/>
      <c r="AA742" s="199"/>
      <c r="AB742" s="199"/>
      <c r="AC742" s="199"/>
      <c r="AD742" s="199"/>
      <c r="AE742" s="199"/>
      <c r="AF742" s="199"/>
      <c r="AG742" s="199"/>
      <c r="AH742" s="199"/>
      <c r="AI742" s="199"/>
      <c r="AJ742" s="199"/>
      <c r="AK742" s="199"/>
      <c r="AL742" s="199"/>
      <c r="AM742" s="199"/>
    </row>
    <row r="743" spans="1:39">
      <c r="A743" s="712"/>
      <c r="B743" s="199"/>
      <c r="C743" s="1164"/>
      <c r="D743" s="1735"/>
      <c r="E743" s="712"/>
      <c r="F743" s="327"/>
      <c r="G743" s="1736"/>
      <c r="H743" s="712"/>
      <c r="I743" s="712"/>
      <c r="J743" s="199"/>
      <c r="K743" s="712"/>
      <c r="L743" s="712"/>
      <c r="M743" s="711"/>
      <c r="N743" s="1737"/>
      <c r="O743" s="711"/>
      <c r="P743" s="1738"/>
      <c r="Q743" s="1739"/>
      <c r="R743" s="1740"/>
      <c r="S743" s="1056"/>
      <c r="T743" s="1741"/>
      <c r="U743" s="1056"/>
      <c r="V743" s="199"/>
      <c r="W743" s="199"/>
      <c r="X743" s="199"/>
      <c r="Y743" s="199"/>
      <c r="Z743" s="199"/>
      <c r="AA743" s="199"/>
      <c r="AB743" s="199"/>
      <c r="AC743" s="199"/>
      <c r="AD743" s="199"/>
      <c r="AE743" s="199"/>
      <c r="AF743" s="199"/>
      <c r="AG743" s="199"/>
      <c r="AH743" s="199"/>
      <c r="AI743" s="199"/>
      <c r="AJ743" s="199"/>
      <c r="AK743" s="199"/>
      <c r="AL743" s="199"/>
      <c r="AM743" s="199"/>
    </row>
    <row r="744" spans="1:39">
      <c r="A744" s="712"/>
      <c r="B744" s="199"/>
      <c r="C744" s="1164"/>
      <c r="D744" s="1735"/>
      <c r="E744" s="712"/>
      <c r="F744" s="327"/>
      <c r="G744" s="1736"/>
      <c r="H744" s="712"/>
      <c r="I744" s="712"/>
      <c r="J744" s="199"/>
      <c r="K744" s="712"/>
      <c r="L744" s="712"/>
      <c r="M744" s="711"/>
      <c r="N744" s="1737"/>
      <c r="O744" s="711"/>
      <c r="P744" s="1738"/>
      <c r="Q744" s="1739"/>
      <c r="R744" s="1740"/>
      <c r="S744" s="1056"/>
      <c r="T744" s="1741"/>
      <c r="U744" s="1056"/>
      <c r="V744" s="199"/>
      <c r="W744" s="199"/>
      <c r="X744" s="199"/>
      <c r="Y744" s="199"/>
      <c r="Z744" s="199"/>
      <c r="AA744" s="199"/>
      <c r="AB744" s="199"/>
      <c r="AC744" s="199"/>
      <c r="AD744" s="199"/>
      <c r="AE744" s="199"/>
      <c r="AF744" s="199"/>
      <c r="AG744" s="199"/>
      <c r="AH744" s="199"/>
      <c r="AI744" s="199"/>
      <c r="AJ744" s="199"/>
      <c r="AK744" s="199"/>
      <c r="AL744" s="199"/>
      <c r="AM744" s="199"/>
    </row>
    <row r="745" spans="1:39">
      <c r="A745" s="712"/>
      <c r="B745" s="199"/>
      <c r="C745" s="1164"/>
      <c r="D745" s="1735"/>
      <c r="E745" s="712"/>
      <c r="F745" s="327"/>
      <c r="G745" s="1736"/>
      <c r="H745" s="712"/>
      <c r="I745" s="712"/>
      <c r="J745" s="199"/>
      <c r="K745" s="712"/>
      <c r="L745" s="712"/>
      <c r="M745" s="711"/>
      <c r="N745" s="1737"/>
      <c r="O745" s="711"/>
      <c r="P745" s="1738"/>
      <c r="Q745" s="1739"/>
      <c r="R745" s="1740"/>
      <c r="S745" s="1056"/>
      <c r="T745" s="1741"/>
      <c r="U745" s="1056"/>
      <c r="V745" s="199"/>
      <c r="W745" s="199"/>
      <c r="X745" s="199"/>
      <c r="Y745" s="199"/>
      <c r="Z745" s="199"/>
      <c r="AA745" s="199"/>
      <c r="AB745" s="199"/>
      <c r="AC745" s="199"/>
      <c r="AD745" s="199"/>
      <c r="AE745" s="199"/>
      <c r="AF745" s="199"/>
      <c r="AG745" s="199"/>
      <c r="AH745" s="199"/>
      <c r="AI745" s="199"/>
      <c r="AJ745" s="199"/>
      <c r="AK745" s="199"/>
      <c r="AL745" s="199"/>
      <c r="AM745" s="199"/>
    </row>
    <row r="746" spans="1:39">
      <c r="A746" s="712"/>
      <c r="B746" s="199"/>
      <c r="C746" s="1164"/>
      <c r="D746" s="1735"/>
      <c r="E746" s="712"/>
      <c r="F746" s="327"/>
      <c r="G746" s="1736"/>
      <c r="H746" s="712"/>
      <c r="I746" s="712"/>
      <c r="J746" s="199"/>
      <c r="K746" s="712"/>
      <c r="L746" s="712"/>
      <c r="M746" s="711"/>
      <c r="N746" s="1737"/>
      <c r="O746" s="711"/>
      <c r="P746" s="1738"/>
      <c r="Q746" s="1739"/>
      <c r="R746" s="1740"/>
      <c r="S746" s="1056"/>
      <c r="T746" s="1741"/>
      <c r="U746" s="1056"/>
      <c r="V746" s="199"/>
      <c r="W746" s="199"/>
      <c r="X746" s="199"/>
      <c r="Y746" s="199"/>
      <c r="Z746" s="199"/>
      <c r="AA746" s="199"/>
      <c r="AB746" s="199"/>
      <c r="AC746" s="199"/>
      <c r="AD746" s="199"/>
      <c r="AE746" s="199"/>
      <c r="AF746" s="199"/>
      <c r="AG746" s="199"/>
      <c r="AH746" s="199"/>
      <c r="AI746" s="199"/>
      <c r="AJ746" s="199"/>
      <c r="AK746" s="199"/>
      <c r="AL746" s="199"/>
      <c r="AM746" s="199"/>
    </row>
    <row r="747" spans="1:39">
      <c r="A747" s="712"/>
      <c r="B747" s="199"/>
      <c r="C747" s="1164"/>
      <c r="D747" s="1735"/>
      <c r="E747" s="712"/>
      <c r="F747" s="327"/>
      <c r="G747" s="1736"/>
      <c r="H747" s="712"/>
      <c r="I747" s="712"/>
      <c r="J747" s="199"/>
      <c r="K747" s="712"/>
      <c r="L747" s="712"/>
      <c r="M747" s="711"/>
      <c r="N747" s="1737"/>
      <c r="O747" s="711"/>
      <c r="P747" s="1738"/>
      <c r="Q747" s="1739"/>
      <c r="R747" s="1740"/>
      <c r="S747" s="1056"/>
      <c r="T747" s="1741"/>
      <c r="U747" s="1056"/>
      <c r="V747" s="199"/>
      <c r="W747" s="199"/>
      <c r="X747" s="199"/>
      <c r="Y747" s="199"/>
      <c r="Z747" s="199"/>
      <c r="AA747" s="199"/>
      <c r="AB747" s="199"/>
      <c r="AC747" s="199"/>
      <c r="AD747" s="199"/>
      <c r="AE747" s="199"/>
      <c r="AF747" s="199"/>
      <c r="AG747" s="199"/>
      <c r="AH747" s="199"/>
      <c r="AI747" s="199"/>
      <c r="AJ747" s="199"/>
      <c r="AK747" s="199"/>
      <c r="AL747" s="199"/>
      <c r="AM747" s="199"/>
    </row>
    <row r="748" spans="1:39">
      <c r="A748" s="712"/>
      <c r="B748" s="199"/>
      <c r="C748" s="1164"/>
      <c r="D748" s="1735"/>
      <c r="E748" s="712"/>
      <c r="F748" s="327"/>
      <c r="G748" s="1736"/>
      <c r="H748" s="712"/>
      <c r="I748" s="712"/>
      <c r="J748" s="199"/>
      <c r="K748" s="712"/>
      <c r="L748" s="712"/>
      <c r="M748" s="711"/>
      <c r="N748" s="1737"/>
      <c r="O748" s="711"/>
      <c r="P748" s="1738"/>
      <c r="Q748" s="1739"/>
      <c r="R748" s="1740"/>
      <c r="S748" s="1056"/>
      <c r="T748" s="1741"/>
      <c r="U748" s="1056"/>
      <c r="V748" s="199"/>
      <c r="W748" s="199"/>
      <c r="X748" s="199"/>
      <c r="Y748" s="199"/>
      <c r="Z748" s="199"/>
      <c r="AA748" s="199"/>
      <c r="AB748" s="199"/>
      <c r="AC748" s="199"/>
      <c r="AD748" s="199"/>
      <c r="AE748" s="199"/>
      <c r="AF748" s="199"/>
      <c r="AG748" s="199"/>
      <c r="AH748" s="199"/>
      <c r="AI748" s="199"/>
      <c r="AJ748" s="199"/>
      <c r="AK748" s="199"/>
      <c r="AL748" s="199"/>
      <c r="AM748" s="199"/>
    </row>
    <row r="749" spans="1:39">
      <c r="A749" s="712"/>
      <c r="B749" s="199"/>
      <c r="C749" s="1164"/>
      <c r="D749" s="1735"/>
      <c r="E749" s="712"/>
      <c r="F749" s="327"/>
      <c r="G749" s="1736"/>
      <c r="H749" s="712"/>
      <c r="I749" s="712"/>
      <c r="J749" s="199"/>
      <c r="K749" s="712"/>
      <c r="L749" s="712"/>
      <c r="M749" s="711"/>
      <c r="N749" s="1737"/>
      <c r="O749" s="711"/>
      <c r="P749" s="1738"/>
      <c r="Q749" s="1739"/>
      <c r="R749" s="1740"/>
      <c r="S749" s="1056"/>
      <c r="T749" s="1741"/>
      <c r="U749" s="1056"/>
      <c r="V749" s="199"/>
      <c r="W749" s="199"/>
      <c r="X749" s="199"/>
      <c r="Y749" s="199"/>
      <c r="Z749" s="199"/>
      <c r="AA749" s="199"/>
      <c r="AB749" s="199"/>
      <c r="AC749" s="199"/>
      <c r="AD749" s="199"/>
      <c r="AE749" s="199"/>
      <c r="AF749" s="199"/>
      <c r="AG749" s="199"/>
      <c r="AH749" s="199"/>
      <c r="AI749" s="199"/>
      <c r="AJ749" s="199"/>
      <c r="AK749" s="199"/>
      <c r="AL749" s="199"/>
      <c r="AM749" s="199"/>
    </row>
    <row r="750" spans="1:39">
      <c r="A750" s="712"/>
      <c r="B750" s="199"/>
      <c r="C750" s="1164"/>
      <c r="D750" s="1735"/>
      <c r="E750" s="712"/>
      <c r="F750" s="327"/>
      <c r="G750" s="1736"/>
      <c r="H750" s="712"/>
      <c r="I750" s="712"/>
      <c r="J750" s="199"/>
      <c r="K750" s="712"/>
      <c r="L750" s="712"/>
      <c r="M750" s="711"/>
      <c r="N750" s="1737"/>
      <c r="O750" s="711"/>
      <c r="P750" s="1738"/>
      <c r="Q750" s="1739"/>
      <c r="R750" s="1740"/>
      <c r="S750" s="1056"/>
      <c r="T750" s="1741"/>
      <c r="U750" s="1056"/>
      <c r="V750" s="199"/>
      <c r="W750" s="199"/>
      <c r="X750" s="199"/>
      <c r="Y750" s="199"/>
      <c r="Z750" s="199"/>
      <c r="AA750" s="199"/>
      <c r="AB750" s="199"/>
      <c r="AC750" s="199"/>
      <c r="AD750" s="199"/>
      <c r="AE750" s="199"/>
      <c r="AF750" s="199"/>
      <c r="AG750" s="199"/>
      <c r="AH750" s="199"/>
      <c r="AI750" s="199"/>
      <c r="AJ750" s="199"/>
      <c r="AK750" s="199"/>
      <c r="AL750" s="199"/>
      <c r="AM750" s="199"/>
    </row>
    <row r="751" spans="1:39">
      <c r="A751" s="712"/>
      <c r="B751" s="199"/>
      <c r="C751" s="1164"/>
      <c r="D751" s="1735"/>
      <c r="E751" s="712"/>
      <c r="F751" s="327"/>
      <c r="G751" s="1736"/>
      <c r="H751" s="712"/>
      <c r="I751" s="712"/>
      <c r="J751" s="199"/>
      <c r="K751" s="712"/>
      <c r="L751" s="712"/>
      <c r="M751" s="711"/>
      <c r="N751" s="1737"/>
      <c r="O751" s="711"/>
      <c r="P751" s="1738"/>
      <c r="Q751" s="1739"/>
      <c r="R751" s="1740"/>
      <c r="S751" s="1056"/>
      <c r="T751" s="1741"/>
      <c r="U751" s="1056"/>
      <c r="V751" s="199"/>
      <c r="W751" s="199"/>
      <c r="X751" s="199"/>
      <c r="Y751" s="199"/>
      <c r="Z751" s="199"/>
      <c r="AA751" s="199"/>
      <c r="AB751" s="199"/>
      <c r="AC751" s="199"/>
      <c r="AD751" s="199"/>
      <c r="AE751" s="199"/>
      <c r="AF751" s="199"/>
      <c r="AG751" s="199"/>
      <c r="AH751" s="199"/>
      <c r="AI751" s="199"/>
      <c r="AJ751" s="199"/>
      <c r="AK751" s="199"/>
      <c r="AL751" s="199"/>
      <c r="AM751" s="199"/>
    </row>
    <row r="752" spans="1:39">
      <c r="A752" s="712"/>
      <c r="B752" s="199"/>
      <c r="C752" s="1164"/>
      <c r="D752" s="1735"/>
      <c r="E752" s="712"/>
      <c r="F752" s="327"/>
      <c r="G752" s="1736"/>
      <c r="H752" s="712"/>
      <c r="I752" s="712"/>
      <c r="J752" s="199"/>
      <c r="K752" s="712"/>
      <c r="L752" s="712"/>
      <c r="M752" s="711"/>
      <c r="N752" s="1737"/>
      <c r="O752" s="711"/>
      <c r="P752" s="1738"/>
      <c r="Q752" s="1739"/>
      <c r="R752" s="1740"/>
      <c r="S752" s="1056"/>
      <c r="T752" s="1741"/>
      <c r="U752" s="1056"/>
      <c r="V752" s="199"/>
      <c r="W752" s="199"/>
      <c r="X752" s="199"/>
      <c r="Y752" s="199"/>
      <c r="Z752" s="199"/>
      <c r="AA752" s="199"/>
      <c r="AB752" s="199"/>
      <c r="AC752" s="199"/>
      <c r="AD752" s="199"/>
      <c r="AE752" s="199"/>
      <c r="AF752" s="199"/>
      <c r="AG752" s="199"/>
      <c r="AH752" s="199"/>
      <c r="AI752" s="199"/>
      <c r="AJ752" s="199"/>
      <c r="AK752" s="199"/>
      <c r="AL752" s="199"/>
      <c r="AM752" s="199"/>
    </row>
    <row r="753" spans="1:39">
      <c r="A753" s="712"/>
      <c r="B753" s="199"/>
      <c r="C753" s="1164"/>
      <c r="D753" s="1735"/>
      <c r="E753" s="712"/>
      <c r="F753" s="327"/>
      <c r="G753" s="1736"/>
      <c r="H753" s="712"/>
      <c r="I753" s="712"/>
      <c r="J753" s="199"/>
      <c r="K753" s="712"/>
      <c r="L753" s="712"/>
      <c r="M753" s="711"/>
      <c r="N753" s="1737"/>
      <c r="O753" s="711"/>
      <c r="P753" s="1738"/>
      <c r="Q753" s="1739"/>
      <c r="R753" s="1740"/>
      <c r="S753" s="1056"/>
      <c r="T753" s="1741"/>
      <c r="U753" s="1056"/>
      <c r="V753" s="199"/>
      <c r="W753" s="199"/>
      <c r="X753" s="199"/>
      <c r="Y753" s="199"/>
      <c r="Z753" s="199"/>
      <c r="AA753" s="199"/>
      <c r="AB753" s="199"/>
      <c r="AC753" s="199"/>
      <c r="AD753" s="199"/>
      <c r="AE753" s="199"/>
      <c r="AF753" s="199"/>
      <c r="AG753" s="199"/>
      <c r="AH753" s="199"/>
      <c r="AI753" s="199"/>
      <c r="AJ753" s="199"/>
      <c r="AK753" s="199"/>
      <c r="AL753" s="199"/>
      <c r="AM753" s="199"/>
    </row>
    <row r="754" spans="1:39">
      <c r="A754" s="712"/>
      <c r="B754" s="199"/>
      <c r="C754" s="1164"/>
      <c r="D754" s="1735"/>
      <c r="E754" s="712"/>
      <c r="F754" s="327"/>
      <c r="G754" s="1736"/>
      <c r="H754" s="712"/>
      <c r="I754" s="712"/>
      <c r="J754" s="199"/>
      <c r="K754" s="712"/>
      <c r="L754" s="712"/>
      <c r="M754" s="711"/>
      <c r="N754" s="1737"/>
      <c r="O754" s="711"/>
      <c r="P754" s="1738"/>
      <c r="Q754" s="1739"/>
      <c r="R754" s="1740"/>
      <c r="S754" s="1056"/>
      <c r="T754" s="1741"/>
      <c r="U754" s="1056"/>
      <c r="V754" s="199"/>
      <c r="W754" s="199"/>
      <c r="X754" s="199"/>
      <c r="Y754" s="199"/>
      <c r="Z754" s="199"/>
      <c r="AA754" s="199"/>
      <c r="AB754" s="199"/>
      <c r="AC754" s="199"/>
      <c r="AD754" s="199"/>
      <c r="AE754" s="199"/>
      <c r="AF754" s="199"/>
      <c r="AG754" s="199"/>
      <c r="AH754" s="199"/>
      <c r="AI754" s="199"/>
      <c r="AJ754" s="199"/>
      <c r="AK754" s="199"/>
      <c r="AL754" s="199"/>
      <c r="AM754" s="199"/>
    </row>
    <row r="755" spans="1:39">
      <c r="A755" s="712"/>
      <c r="B755" s="199"/>
      <c r="C755" s="1164"/>
      <c r="D755" s="1735"/>
      <c r="E755" s="712"/>
      <c r="F755" s="327"/>
      <c r="G755" s="1736"/>
      <c r="H755" s="712"/>
      <c r="I755" s="712"/>
      <c r="J755" s="199"/>
      <c r="K755" s="712"/>
      <c r="L755" s="712"/>
      <c r="M755" s="711"/>
      <c r="N755" s="1737"/>
      <c r="O755" s="711"/>
      <c r="P755" s="1738"/>
      <c r="Q755" s="1739"/>
      <c r="R755" s="1740"/>
      <c r="S755" s="1056"/>
      <c r="T755" s="1741"/>
      <c r="U755" s="1056"/>
      <c r="V755" s="199"/>
      <c r="W755" s="199"/>
      <c r="X755" s="199"/>
      <c r="Y755" s="199"/>
      <c r="Z755" s="199"/>
      <c r="AA755" s="199"/>
      <c r="AB755" s="199"/>
      <c r="AC755" s="199"/>
      <c r="AD755" s="199"/>
      <c r="AE755" s="199"/>
      <c r="AF755" s="199"/>
      <c r="AG755" s="199"/>
      <c r="AH755" s="199"/>
      <c r="AI755" s="199"/>
      <c r="AJ755" s="199"/>
      <c r="AK755" s="199"/>
      <c r="AL755" s="199"/>
      <c r="AM755" s="199"/>
    </row>
    <row r="756" spans="1:39">
      <c r="A756" s="712"/>
      <c r="B756" s="199"/>
      <c r="C756" s="1164"/>
      <c r="D756" s="1735"/>
      <c r="E756" s="712"/>
      <c r="F756" s="327"/>
      <c r="G756" s="1736"/>
      <c r="H756" s="712"/>
      <c r="I756" s="712"/>
      <c r="J756" s="199"/>
      <c r="K756" s="712"/>
      <c r="L756" s="712"/>
      <c r="M756" s="711"/>
      <c r="N756" s="1737"/>
      <c r="O756" s="711"/>
      <c r="P756" s="1738"/>
      <c r="Q756" s="1739"/>
      <c r="R756" s="1740"/>
      <c r="S756" s="1056"/>
      <c r="T756" s="1741"/>
      <c r="U756" s="1056"/>
      <c r="V756" s="199"/>
      <c r="W756" s="199"/>
      <c r="X756" s="199"/>
      <c r="Y756" s="199"/>
      <c r="Z756" s="199"/>
      <c r="AA756" s="199"/>
      <c r="AB756" s="199"/>
      <c r="AC756" s="199"/>
      <c r="AD756" s="199"/>
      <c r="AE756" s="199"/>
      <c r="AF756" s="199"/>
      <c r="AG756" s="199"/>
      <c r="AH756" s="199"/>
      <c r="AI756" s="199"/>
      <c r="AJ756" s="199"/>
      <c r="AK756" s="199"/>
      <c r="AL756" s="199"/>
      <c r="AM756" s="199"/>
    </row>
    <row r="757" spans="1:39">
      <c r="A757" s="712"/>
      <c r="B757" s="199"/>
      <c r="C757" s="1164"/>
      <c r="D757" s="1735"/>
      <c r="E757" s="712"/>
      <c r="F757" s="327"/>
      <c r="G757" s="1736"/>
      <c r="H757" s="712"/>
      <c r="I757" s="712"/>
      <c r="J757" s="199"/>
      <c r="K757" s="712"/>
      <c r="L757" s="712"/>
      <c r="M757" s="711"/>
      <c r="N757" s="1737"/>
      <c r="O757" s="711"/>
      <c r="P757" s="1738"/>
      <c r="Q757" s="1739"/>
      <c r="R757" s="1740"/>
      <c r="S757" s="1056"/>
      <c r="T757" s="1741"/>
      <c r="U757" s="1056"/>
      <c r="V757" s="199"/>
      <c r="W757" s="199"/>
      <c r="X757" s="199"/>
      <c r="Y757" s="199"/>
      <c r="Z757" s="199"/>
      <c r="AA757" s="199"/>
      <c r="AB757" s="199"/>
      <c r="AC757" s="199"/>
      <c r="AD757" s="199"/>
      <c r="AE757" s="199"/>
      <c r="AF757" s="199"/>
      <c r="AG757" s="199"/>
      <c r="AH757" s="199"/>
      <c r="AI757" s="199"/>
      <c r="AJ757" s="199"/>
      <c r="AK757" s="199"/>
      <c r="AL757" s="199"/>
      <c r="AM757" s="199"/>
    </row>
    <row r="758" spans="1:39">
      <c r="A758" s="712"/>
      <c r="B758" s="199"/>
      <c r="C758" s="1164"/>
      <c r="D758" s="1735"/>
      <c r="E758" s="712"/>
      <c r="F758" s="327"/>
      <c r="G758" s="1736"/>
      <c r="H758" s="712"/>
      <c r="I758" s="712"/>
      <c r="J758" s="199"/>
      <c r="K758" s="712"/>
      <c r="L758" s="712"/>
      <c r="M758" s="711"/>
      <c r="N758" s="1737"/>
      <c r="O758" s="711"/>
      <c r="P758" s="1738"/>
      <c r="Q758" s="1739"/>
      <c r="R758" s="1740"/>
      <c r="S758" s="1056"/>
      <c r="T758" s="1741"/>
      <c r="U758" s="1056"/>
      <c r="V758" s="199"/>
      <c r="W758" s="199"/>
      <c r="X758" s="199"/>
      <c r="Y758" s="199"/>
      <c r="Z758" s="199"/>
      <c r="AA758" s="199"/>
      <c r="AB758" s="199"/>
      <c r="AC758" s="199"/>
      <c r="AD758" s="199"/>
      <c r="AE758" s="199"/>
      <c r="AF758" s="199"/>
      <c r="AG758" s="199"/>
      <c r="AH758" s="199"/>
      <c r="AI758" s="199"/>
      <c r="AJ758" s="199"/>
      <c r="AK758" s="199"/>
      <c r="AL758" s="199"/>
      <c r="AM758" s="199"/>
    </row>
    <row r="759" spans="1:39">
      <c r="A759" s="712"/>
      <c r="B759" s="199"/>
      <c r="C759" s="1164"/>
      <c r="D759" s="1735"/>
      <c r="E759" s="712"/>
      <c r="F759" s="327"/>
      <c r="G759" s="1736"/>
      <c r="H759" s="712"/>
      <c r="I759" s="712"/>
      <c r="J759" s="199"/>
      <c r="K759" s="712"/>
      <c r="L759" s="712"/>
      <c r="M759" s="711"/>
      <c r="N759" s="1737"/>
      <c r="O759" s="711"/>
      <c r="P759" s="1738"/>
      <c r="Q759" s="1739"/>
      <c r="R759" s="1740"/>
      <c r="S759" s="1056"/>
      <c r="T759" s="1741"/>
      <c r="U759" s="1056"/>
      <c r="V759" s="199"/>
      <c r="W759" s="199"/>
      <c r="X759" s="199"/>
      <c r="Y759" s="199"/>
      <c r="Z759" s="199"/>
      <c r="AA759" s="199"/>
      <c r="AB759" s="199"/>
      <c r="AC759" s="199"/>
      <c r="AD759" s="199"/>
      <c r="AE759" s="199"/>
      <c r="AF759" s="199"/>
      <c r="AG759" s="199"/>
      <c r="AH759" s="199"/>
      <c r="AI759" s="199"/>
      <c r="AJ759" s="199"/>
      <c r="AK759" s="199"/>
      <c r="AL759" s="199"/>
      <c r="AM759" s="199"/>
    </row>
    <row r="760" spans="1:39">
      <c r="A760" s="712"/>
      <c r="B760" s="199"/>
      <c r="C760" s="1164"/>
      <c r="D760" s="1735"/>
      <c r="E760" s="712"/>
      <c r="F760" s="327"/>
      <c r="G760" s="1736"/>
      <c r="H760" s="712"/>
      <c r="I760" s="712"/>
      <c r="J760" s="199"/>
      <c r="K760" s="712"/>
      <c r="L760" s="712"/>
      <c r="M760" s="711"/>
      <c r="N760" s="1737"/>
      <c r="O760" s="711"/>
      <c r="P760" s="1738"/>
      <c r="Q760" s="1739"/>
      <c r="R760" s="1740"/>
      <c r="S760" s="1056"/>
      <c r="T760" s="1741"/>
      <c r="U760" s="1056"/>
      <c r="V760" s="199"/>
      <c r="W760" s="199"/>
      <c r="X760" s="199"/>
      <c r="Y760" s="199"/>
      <c r="Z760" s="199"/>
      <c r="AA760" s="199"/>
      <c r="AB760" s="199"/>
      <c r="AC760" s="199"/>
      <c r="AD760" s="199"/>
      <c r="AE760" s="199"/>
      <c r="AF760" s="199"/>
      <c r="AG760" s="199"/>
      <c r="AH760" s="199"/>
      <c r="AI760" s="199"/>
      <c r="AJ760" s="199"/>
      <c r="AK760" s="199"/>
      <c r="AL760" s="199"/>
      <c r="AM760" s="199"/>
    </row>
    <row r="761" spans="1:39">
      <c r="A761" s="712"/>
      <c r="B761" s="199"/>
      <c r="C761" s="1164"/>
      <c r="D761" s="1735"/>
      <c r="E761" s="712"/>
      <c r="F761" s="327"/>
      <c r="G761" s="1736"/>
      <c r="H761" s="712"/>
      <c r="I761" s="712"/>
      <c r="J761" s="199"/>
      <c r="K761" s="712"/>
      <c r="L761" s="712"/>
      <c r="M761" s="711"/>
      <c r="N761" s="1737"/>
      <c r="O761" s="711"/>
      <c r="P761" s="1738"/>
      <c r="Q761" s="1739"/>
      <c r="R761" s="1740"/>
      <c r="S761" s="1056"/>
      <c r="T761" s="1741"/>
      <c r="U761" s="1056"/>
      <c r="V761" s="199"/>
      <c r="W761" s="199"/>
      <c r="X761" s="199"/>
      <c r="Y761" s="199"/>
      <c r="Z761" s="199"/>
      <c r="AA761" s="199"/>
      <c r="AB761" s="199"/>
      <c r="AC761" s="199"/>
      <c r="AD761" s="199"/>
      <c r="AE761" s="199"/>
      <c r="AF761" s="199"/>
      <c r="AG761" s="199"/>
      <c r="AH761" s="199"/>
      <c r="AI761" s="199"/>
      <c r="AJ761" s="199"/>
      <c r="AK761" s="199"/>
      <c r="AL761" s="199"/>
      <c r="AM761" s="199"/>
    </row>
    <row r="762" spans="1:39">
      <c r="A762" s="712"/>
      <c r="B762" s="199"/>
      <c r="C762" s="1164"/>
      <c r="D762" s="1735"/>
      <c r="E762" s="712"/>
      <c r="F762" s="327"/>
      <c r="G762" s="1736"/>
      <c r="H762" s="712"/>
      <c r="I762" s="712"/>
      <c r="J762" s="199"/>
      <c r="K762" s="712"/>
      <c r="L762" s="712"/>
      <c r="M762" s="711"/>
      <c r="N762" s="1737"/>
      <c r="O762" s="711"/>
      <c r="P762" s="1738"/>
      <c r="Q762" s="1739"/>
      <c r="R762" s="1740"/>
      <c r="S762" s="1056"/>
      <c r="T762" s="1741"/>
      <c r="U762" s="1056"/>
      <c r="V762" s="199"/>
      <c r="W762" s="199"/>
      <c r="X762" s="199"/>
      <c r="Y762" s="199"/>
      <c r="Z762" s="199"/>
      <c r="AA762" s="199"/>
      <c r="AB762" s="199"/>
      <c r="AC762" s="199"/>
      <c r="AD762" s="199"/>
      <c r="AE762" s="199"/>
      <c r="AF762" s="199"/>
      <c r="AG762" s="199"/>
      <c r="AH762" s="199"/>
      <c r="AI762" s="199"/>
      <c r="AJ762" s="199"/>
      <c r="AK762" s="199"/>
      <c r="AL762" s="199"/>
      <c r="AM762" s="199"/>
    </row>
    <row r="763" spans="1:39">
      <c r="A763" s="712"/>
      <c r="B763" s="199"/>
      <c r="C763" s="1164"/>
      <c r="D763" s="1735"/>
      <c r="E763" s="712"/>
      <c r="F763" s="327"/>
      <c r="G763" s="1736"/>
      <c r="H763" s="712"/>
      <c r="I763" s="712"/>
      <c r="J763" s="199"/>
      <c r="K763" s="712"/>
      <c r="L763" s="712"/>
      <c r="M763" s="711"/>
      <c r="N763" s="1737"/>
      <c r="O763" s="711"/>
      <c r="P763" s="1738"/>
      <c r="Q763" s="1739"/>
      <c r="R763" s="1740"/>
      <c r="S763" s="1056"/>
      <c r="T763" s="1741"/>
      <c r="U763" s="1056"/>
      <c r="V763" s="199"/>
      <c r="W763" s="199"/>
      <c r="X763" s="199"/>
      <c r="Y763" s="199"/>
      <c r="Z763" s="199"/>
      <c r="AA763" s="199"/>
      <c r="AB763" s="199"/>
      <c r="AC763" s="199"/>
      <c r="AD763" s="199"/>
      <c r="AE763" s="199"/>
      <c r="AF763" s="199"/>
      <c r="AG763" s="199"/>
      <c r="AH763" s="199"/>
      <c r="AI763" s="199"/>
      <c r="AJ763" s="199"/>
      <c r="AK763" s="199"/>
      <c r="AL763" s="199"/>
      <c r="AM763" s="199"/>
    </row>
    <row r="764" spans="1:39">
      <c r="A764" s="712"/>
      <c r="B764" s="199"/>
      <c r="C764" s="1164"/>
      <c r="D764" s="1735"/>
      <c r="E764" s="712"/>
      <c r="F764" s="327"/>
      <c r="G764" s="1736"/>
      <c r="H764" s="712"/>
      <c r="I764" s="712"/>
      <c r="J764" s="199"/>
      <c r="K764" s="712"/>
      <c r="L764" s="712"/>
      <c r="M764" s="711"/>
      <c r="N764" s="1737"/>
      <c r="O764" s="711"/>
      <c r="P764" s="1738"/>
      <c r="Q764" s="1739"/>
      <c r="R764" s="1740"/>
      <c r="S764" s="1056"/>
      <c r="T764" s="1741"/>
      <c r="U764" s="1056"/>
      <c r="V764" s="199"/>
      <c r="W764" s="199"/>
      <c r="X764" s="199"/>
      <c r="Y764" s="199"/>
      <c r="Z764" s="199"/>
      <c r="AA764" s="199"/>
      <c r="AB764" s="199"/>
      <c r="AC764" s="199"/>
      <c r="AD764" s="199"/>
      <c r="AE764" s="199"/>
      <c r="AF764" s="199"/>
      <c r="AG764" s="199"/>
      <c r="AH764" s="199"/>
      <c r="AI764" s="199"/>
      <c r="AJ764" s="199"/>
      <c r="AK764" s="199"/>
      <c r="AL764" s="199"/>
      <c r="AM764" s="199"/>
    </row>
    <row r="765" spans="1:39">
      <c r="A765" s="712"/>
      <c r="B765" s="199"/>
      <c r="C765" s="1164"/>
      <c r="D765" s="1735"/>
      <c r="E765" s="712"/>
      <c r="F765" s="327"/>
      <c r="G765" s="1736"/>
      <c r="H765" s="712"/>
      <c r="I765" s="712"/>
      <c r="J765" s="199"/>
      <c r="K765" s="712"/>
      <c r="L765" s="712"/>
      <c r="M765" s="711"/>
      <c r="N765" s="1737"/>
      <c r="O765" s="711"/>
      <c r="P765" s="1738"/>
      <c r="Q765" s="1739"/>
      <c r="R765" s="1740"/>
      <c r="S765" s="1056"/>
      <c r="T765" s="1741"/>
      <c r="U765" s="1056"/>
      <c r="V765" s="199"/>
      <c r="W765" s="199"/>
      <c r="X765" s="199"/>
      <c r="Y765" s="199"/>
      <c r="Z765" s="199"/>
      <c r="AA765" s="199"/>
      <c r="AB765" s="199"/>
      <c r="AC765" s="199"/>
      <c r="AD765" s="199"/>
      <c r="AE765" s="199"/>
      <c r="AF765" s="199"/>
      <c r="AG765" s="199"/>
      <c r="AH765" s="199"/>
      <c r="AI765" s="199"/>
      <c r="AJ765" s="199"/>
      <c r="AK765" s="199"/>
      <c r="AL765" s="199"/>
      <c r="AM765" s="199"/>
    </row>
    <row r="766" spans="1:39">
      <c r="A766" s="712"/>
      <c r="B766" s="199"/>
      <c r="C766" s="1164"/>
      <c r="D766" s="1735"/>
      <c r="E766" s="712"/>
      <c r="F766" s="327"/>
      <c r="G766" s="1736"/>
      <c r="H766" s="712"/>
      <c r="I766" s="712"/>
      <c r="J766" s="199"/>
      <c r="K766" s="712"/>
      <c r="L766" s="712"/>
      <c r="M766" s="711"/>
      <c r="N766" s="1737"/>
      <c r="O766" s="711"/>
      <c r="P766" s="1738"/>
      <c r="Q766" s="1739"/>
      <c r="R766" s="1740"/>
      <c r="S766" s="1056"/>
      <c r="T766" s="1741"/>
      <c r="U766" s="1056"/>
      <c r="V766" s="199"/>
      <c r="W766" s="199"/>
      <c r="X766" s="199"/>
      <c r="Y766" s="199"/>
      <c r="Z766" s="199"/>
      <c r="AA766" s="199"/>
      <c r="AB766" s="199"/>
      <c r="AC766" s="199"/>
      <c r="AD766" s="199"/>
      <c r="AE766" s="199"/>
      <c r="AF766" s="199"/>
      <c r="AG766" s="199"/>
      <c r="AH766" s="199"/>
      <c r="AI766" s="199"/>
      <c r="AJ766" s="199"/>
      <c r="AK766" s="199"/>
      <c r="AL766" s="199"/>
      <c r="AM766" s="199"/>
    </row>
    <row r="767" spans="1:39">
      <c r="A767" s="712"/>
      <c r="B767" s="199"/>
      <c r="C767" s="1164"/>
      <c r="D767" s="1735"/>
      <c r="E767" s="712"/>
      <c r="F767" s="327"/>
      <c r="G767" s="1736"/>
      <c r="H767" s="712"/>
      <c r="I767" s="712"/>
      <c r="J767" s="199"/>
      <c r="K767" s="712"/>
      <c r="L767" s="712"/>
      <c r="M767" s="711"/>
      <c r="N767" s="1737"/>
      <c r="O767" s="711"/>
      <c r="P767" s="1738"/>
      <c r="Q767" s="1739"/>
      <c r="R767" s="1740"/>
      <c r="S767" s="1056"/>
      <c r="T767" s="1741"/>
      <c r="U767" s="1056"/>
      <c r="V767" s="199"/>
      <c r="W767" s="199"/>
      <c r="X767" s="199"/>
      <c r="Y767" s="199"/>
      <c r="Z767" s="199"/>
      <c r="AA767" s="199"/>
      <c r="AB767" s="199"/>
      <c r="AC767" s="199"/>
      <c r="AD767" s="199"/>
      <c r="AE767" s="199"/>
      <c r="AF767" s="199"/>
      <c r="AG767" s="199"/>
      <c r="AH767" s="199"/>
      <c r="AI767" s="199"/>
      <c r="AJ767" s="199"/>
      <c r="AK767" s="199"/>
      <c r="AL767" s="199"/>
      <c r="AM767" s="199"/>
    </row>
    <row r="768" spans="1:39">
      <c r="A768" s="712"/>
      <c r="B768" s="199"/>
      <c r="C768" s="1164"/>
      <c r="D768" s="1735"/>
      <c r="E768" s="712"/>
      <c r="F768" s="327"/>
      <c r="G768" s="1736"/>
      <c r="H768" s="712"/>
      <c r="I768" s="712"/>
      <c r="J768" s="199"/>
      <c r="K768" s="712"/>
      <c r="L768" s="712"/>
      <c r="M768" s="711"/>
      <c r="N768" s="1737"/>
      <c r="O768" s="711"/>
      <c r="P768" s="1738"/>
      <c r="Q768" s="1739"/>
      <c r="R768" s="1740"/>
      <c r="S768" s="1056"/>
      <c r="T768" s="1741"/>
      <c r="U768" s="1056"/>
      <c r="V768" s="199"/>
      <c r="W768" s="199"/>
      <c r="X768" s="199"/>
      <c r="Y768" s="199"/>
      <c r="Z768" s="199"/>
      <c r="AA768" s="199"/>
      <c r="AB768" s="199"/>
      <c r="AC768" s="199"/>
      <c r="AD768" s="199"/>
      <c r="AE768" s="199"/>
      <c r="AF768" s="199"/>
      <c r="AG768" s="199"/>
      <c r="AH768" s="199"/>
      <c r="AI768" s="199"/>
      <c r="AJ768" s="199"/>
      <c r="AK768" s="199"/>
      <c r="AL768" s="199"/>
      <c r="AM768" s="199"/>
    </row>
    <row r="769" spans="1:39">
      <c r="A769" s="712"/>
      <c r="B769" s="199"/>
      <c r="C769" s="1164"/>
      <c r="D769" s="1735"/>
      <c r="E769" s="712"/>
      <c r="F769" s="327"/>
      <c r="G769" s="1736"/>
      <c r="H769" s="712"/>
      <c r="I769" s="712"/>
      <c r="J769" s="199"/>
      <c r="K769" s="712"/>
      <c r="L769" s="712"/>
      <c r="M769" s="711"/>
      <c r="N769" s="1737"/>
      <c r="O769" s="711"/>
      <c r="P769" s="1738"/>
      <c r="Q769" s="1739"/>
      <c r="R769" s="1740"/>
      <c r="S769" s="1056"/>
      <c r="T769" s="1741"/>
      <c r="U769" s="1056"/>
      <c r="V769" s="199"/>
      <c r="W769" s="199"/>
      <c r="X769" s="199"/>
      <c r="Y769" s="199"/>
      <c r="Z769" s="199"/>
      <c r="AA769" s="199"/>
      <c r="AB769" s="199"/>
      <c r="AC769" s="199"/>
      <c r="AD769" s="199"/>
      <c r="AE769" s="199"/>
      <c r="AF769" s="199"/>
      <c r="AG769" s="199"/>
      <c r="AH769" s="199"/>
      <c r="AI769" s="199"/>
      <c r="AJ769" s="199"/>
      <c r="AK769" s="199"/>
      <c r="AL769" s="199"/>
      <c r="AM769" s="199"/>
    </row>
    <row r="770" spans="1:39">
      <c r="A770" s="712"/>
      <c r="B770" s="199"/>
      <c r="C770" s="1164"/>
      <c r="D770" s="1735"/>
      <c r="E770" s="712"/>
      <c r="F770" s="327"/>
      <c r="G770" s="1736"/>
      <c r="H770" s="712"/>
      <c r="I770" s="712"/>
      <c r="J770" s="199"/>
      <c r="K770" s="712"/>
      <c r="L770" s="712"/>
      <c r="M770" s="711"/>
      <c r="N770" s="1737"/>
      <c r="O770" s="711"/>
      <c r="P770" s="1738"/>
      <c r="Q770" s="1739"/>
      <c r="R770" s="1740"/>
      <c r="S770" s="1056"/>
      <c r="T770" s="1741"/>
      <c r="U770" s="1056"/>
      <c r="V770" s="199"/>
      <c r="W770" s="199"/>
      <c r="X770" s="199"/>
      <c r="Y770" s="199"/>
      <c r="Z770" s="199"/>
      <c r="AA770" s="199"/>
      <c r="AB770" s="199"/>
      <c r="AC770" s="199"/>
      <c r="AD770" s="199"/>
      <c r="AE770" s="199"/>
      <c r="AF770" s="199"/>
      <c r="AG770" s="199"/>
      <c r="AH770" s="199"/>
      <c r="AI770" s="199"/>
      <c r="AJ770" s="199"/>
      <c r="AK770" s="199"/>
      <c r="AL770" s="199"/>
      <c r="AM770" s="199"/>
    </row>
    <row r="771" spans="1:39">
      <c r="A771" s="712"/>
      <c r="B771" s="199"/>
      <c r="C771" s="1164"/>
      <c r="D771" s="1735"/>
      <c r="E771" s="712"/>
      <c r="F771" s="327"/>
      <c r="G771" s="1736"/>
      <c r="H771" s="712"/>
      <c r="I771" s="712"/>
      <c r="J771" s="199"/>
      <c r="K771" s="712"/>
      <c r="L771" s="712"/>
      <c r="M771" s="711"/>
      <c r="N771" s="1737"/>
      <c r="O771" s="711"/>
      <c r="P771" s="1738"/>
      <c r="Q771" s="1739"/>
      <c r="R771" s="1740"/>
      <c r="S771" s="1056"/>
      <c r="T771" s="1741"/>
      <c r="U771" s="1056"/>
      <c r="V771" s="199"/>
      <c r="W771" s="199"/>
      <c r="X771" s="199"/>
      <c r="Y771" s="199"/>
      <c r="Z771" s="199"/>
      <c r="AA771" s="199"/>
      <c r="AB771" s="199"/>
      <c r="AC771" s="199"/>
      <c r="AD771" s="199"/>
      <c r="AE771" s="199"/>
      <c r="AF771" s="199"/>
      <c r="AG771" s="199"/>
      <c r="AH771" s="199"/>
      <c r="AI771" s="199"/>
      <c r="AJ771" s="199"/>
      <c r="AK771" s="199"/>
      <c r="AL771" s="199"/>
      <c r="AM771" s="199"/>
    </row>
    <row r="772" spans="1:39">
      <c r="A772" s="712"/>
      <c r="B772" s="199"/>
      <c r="C772" s="1164"/>
      <c r="D772" s="1735"/>
      <c r="E772" s="712"/>
      <c r="F772" s="327"/>
      <c r="G772" s="1736"/>
      <c r="H772" s="712"/>
      <c r="I772" s="712"/>
      <c r="J772" s="199"/>
      <c r="K772" s="712"/>
      <c r="L772" s="712"/>
      <c r="M772" s="711"/>
      <c r="N772" s="1737"/>
      <c r="O772" s="711"/>
      <c r="P772" s="1738"/>
      <c r="Q772" s="1739"/>
      <c r="R772" s="1740"/>
      <c r="S772" s="1056"/>
      <c r="T772" s="1741"/>
      <c r="U772" s="1056"/>
      <c r="V772" s="199"/>
      <c r="W772" s="199"/>
      <c r="X772" s="199"/>
      <c r="Y772" s="199"/>
      <c r="Z772" s="199"/>
      <c r="AA772" s="199"/>
      <c r="AB772" s="199"/>
      <c r="AC772" s="199"/>
      <c r="AD772" s="199"/>
      <c r="AE772" s="199"/>
      <c r="AF772" s="199"/>
      <c r="AG772" s="199"/>
      <c r="AH772" s="199"/>
      <c r="AI772" s="199"/>
      <c r="AJ772" s="199"/>
      <c r="AK772" s="199"/>
      <c r="AL772" s="199"/>
      <c r="AM772" s="199"/>
    </row>
    <row r="773" spans="1:39">
      <c r="A773" s="712"/>
      <c r="B773" s="199"/>
      <c r="C773" s="1164"/>
      <c r="D773" s="1735"/>
      <c r="E773" s="712"/>
      <c r="F773" s="327"/>
      <c r="G773" s="1736"/>
      <c r="H773" s="712"/>
      <c r="I773" s="712"/>
      <c r="J773" s="199"/>
      <c r="K773" s="712"/>
      <c r="L773" s="712"/>
      <c r="M773" s="711"/>
      <c r="N773" s="1737"/>
      <c r="O773" s="711"/>
      <c r="P773" s="1738"/>
      <c r="Q773" s="1739"/>
      <c r="R773" s="1740"/>
      <c r="S773" s="1056"/>
      <c r="T773" s="1741"/>
      <c r="U773" s="1056"/>
      <c r="V773" s="199"/>
      <c r="W773" s="199"/>
      <c r="X773" s="199"/>
      <c r="Y773" s="199"/>
      <c r="Z773" s="199"/>
      <c r="AA773" s="199"/>
      <c r="AB773" s="199"/>
      <c r="AC773" s="199"/>
      <c r="AD773" s="199"/>
      <c r="AE773" s="199"/>
      <c r="AF773" s="199"/>
      <c r="AG773" s="199"/>
      <c r="AH773" s="199"/>
      <c r="AI773" s="199"/>
      <c r="AJ773" s="199"/>
      <c r="AK773" s="199"/>
      <c r="AL773" s="199"/>
      <c r="AM773" s="199"/>
    </row>
    <row r="774" spans="1:39">
      <c r="A774" s="712"/>
      <c r="B774" s="199"/>
      <c r="C774" s="1164"/>
      <c r="D774" s="1735"/>
      <c r="E774" s="712"/>
      <c r="F774" s="327"/>
      <c r="G774" s="1736"/>
      <c r="H774" s="712"/>
      <c r="I774" s="712"/>
      <c r="J774" s="199"/>
      <c r="K774" s="712"/>
      <c r="L774" s="712"/>
      <c r="M774" s="711"/>
      <c r="N774" s="1737"/>
      <c r="O774" s="711"/>
      <c r="P774" s="1738"/>
      <c r="Q774" s="1739"/>
      <c r="R774" s="1740"/>
      <c r="S774" s="1056"/>
      <c r="T774" s="1741"/>
      <c r="U774" s="1056"/>
      <c r="V774" s="199"/>
      <c r="W774" s="199"/>
      <c r="X774" s="199"/>
      <c r="Y774" s="199"/>
      <c r="Z774" s="199"/>
      <c r="AA774" s="199"/>
      <c r="AB774" s="199"/>
      <c r="AC774" s="199"/>
      <c r="AD774" s="199"/>
      <c r="AE774" s="199"/>
      <c r="AF774" s="199"/>
      <c r="AG774" s="199"/>
      <c r="AH774" s="199"/>
      <c r="AI774" s="199"/>
      <c r="AJ774" s="199"/>
      <c r="AK774" s="199"/>
      <c r="AL774" s="199"/>
      <c r="AM774" s="199"/>
    </row>
    <row r="775" spans="1:39">
      <c r="A775" s="712"/>
      <c r="B775" s="199"/>
      <c r="C775" s="1164"/>
      <c r="D775" s="1735"/>
      <c r="E775" s="712"/>
      <c r="F775" s="327"/>
      <c r="G775" s="1736"/>
      <c r="H775" s="712"/>
      <c r="I775" s="712"/>
      <c r="J775" s="199"/>
      <c r="K775" s="712"/>
      <c r="L775" s="712"/>
      <c r="M775" s="711"/>
      <c r="N775" s="1737"/>
      <c r="O775" s="711"/>
      <c r="P775" s="1738"/>
      <c r="Q775" s="1739"/>
      <c r="R775" s="1740"/>
      <c r="S775" s="1056"/>
      <c r="T775" s="1741"/>
      <c r="U775" s="1056"/>
      <c r="V775" s="199"/>
      <c r="W775" s="199"/>
      <c r="X775" s="199"/>
      <c r="Y775" s="199"/>
      <c r="Z775" s="199"/>
      <c r="AA775" s="199"/>
      <c r="AB775" s="199"/>
      <c r="AC775" s="199"/>
      <c r="AD775" s="199"/>
      <c r="AE775" s="199"/>
      <c r="AF775" s="199"/>
      <c r="AG775" s="199"/>
      <c r="AH775" s="199"/>
      <c r="AI775" s="199"/>
      <c r="AJ775" s="199"/>
      <c r="AK775" s="199"/>
      <c r="AL775" s="199"/>
      <c r="AM775" s="199"/>
    </row>
    <row r="776" spans="1:39">
      <c r="A776" s="712"/>
      <c r="B776" s="199"/>
      <c r="C776" s="1164"/>
      <c r="D776" s="1735"/>
      <c r="E776" s="712"/>
      <c r="F776" s="327"/>
      <c r="G776" s="1736"/>
      <c r="H776" s="712"/>
      <c r="I776" s="712"/>
      <c r="J776" s="199"/>
      <c r="K776" s="712"/>
      <c r="L776" s="712"/>
      <c r="M776" s="711"/>
      <c r="N776" s="1737"/>
      <c r="O776" s="711"/>
      <c r="P776" s="1738"/>
      <c r="Q776" s="1739"/>
      <c r="R776" s="1740"/>
      <c r="S776" s="1056"/>
      <c r="T776" s="1741"/>
      <c r="U776" s="1056"/>
      <c r="V776" s="199"/>
      <c r="W776" s="199"/>
      <c r="X776" s="199"/>
      <c r="Y776" s="199"/>
      <c r="Z776" s="199"/>
      <c r="AA776" s="199"/>
      <c r="AB776" s="199"/>
      <c r="AC776" s="199"/>
      <c r="AD776" s="199"/>
      <c r="AE776" s="199"/>
      <c r="AF776" s="199"/>
      <c r="AG776" s="199"/>
      <c r="AH776" s="199"/>
      <c r="AI776" s="199"/>
      <c r="AJ776" s="199"/>
      <c r="AK776" s="199"/>
      <c r="AL776" s="199"/>
      <c r="AM776" s="199"/>
    </row>
    <row r="777" spans="1:39">
      <c r="A777" s="712"/>
      <c r="B777" s="199"/>
      <c r="C777" s="1164"/>
      <c r="D777" s="1735"/>
      <c r="E777" s="712"/>
      <c r="F777" s="327"/>
      <c r="G777" s="1736"/>
      <c r="H777" s="712"/>
      <c r="I777" s="712"/>
      <c r="J777" s="199"/>
      <c r="K777" s="712"/>
      <c r="L777" s="712"/>
      <c r="M777" s="711"/>
      <c r="N777" s="1737"/>
      <c r="O777" s="711"/>
      <c r="P777" s="1738"/>
      <c r="Q777" s="1739"/>
      <c r="R777" s="1740"/>
      <c r="S777" s="1056"/>
      <c r="T777" s="1741"/>
      <c r="U777" s="1056"/>
      <c r="V777" s="199"/>
      <c r="W777" s="199"/>
      <c r="X777" s="199"/>
      <c r="Y777" s="199"/>
      <c r="Z777" s="199"/>
      <c r="AA777" s="199"/>
      <c r="AB777" s="199"/>
      <c r="AC777" s="199"/>
      <c r="AD777" s="199"/>
      <c r="AE777" s="199"/>
      <c r="AF777" s="199"/>
      <c r="AG777" s="199"/>
      <c r="AH777" s="199"/>
      <c r="AI777" s="199"/>
      <c r="AJ777" s="199"/>
      <c r="AK777" s="199"/>
      <c r="AL777" s="199"/>
      <c r="AM777" s="199"/>
    </row>
    <row r="778" spans="1:39">
      <c r="A778" s="712"/>
      <c r="B778" s="199"/>
      <c r="C778" s="1164"/>
      <c r="D778" s="1735"/>
      <c r="E778" s="712"/>
      <c r="F778" s="327"/>
      <c r="G778" s="1736"/>
      <c r="H778" s="712"/>
      <c r="I778" s="712"/>
      <c r="J778" s="199"/>
      <c r="K778" s="712"/>
      <c r="L778" s="712"/>
      <c r="M778" s="711"/>
      <c r="N778" s="1737"/>
      <c r="O778" s="711"/>
      <c r="P778" s="1738"/>
      <c r="Q778" s="1739"/>
      <c r="R778" s="1740"/>
      <c r="S778" s="1056"/>
      <c r="T778" s="1741"/>
      <c r="U778" s="1056"/>
      <c r="V778" s="199"/>
      <c r="W778" s="199"/>
      <c r="X778" s="199"/>
      <c r="Y778" s="199"/>
      <c r="Z778" s="199"/>
      <c r="AA778" s="199"/>
      <c r="AB778" s="199"/>
      <c r="AC778" s="199"/>
      <c r="AD778" s="199"/>
      <c r="AE778" s="199"/>
      <c r="AF778" s="199"/>
      <c r="AG778" s="199"/>
      <c r="AH778" s="199"/>
      <c r="AI778" s="199"/>
      <c r="AJ778" s="199"/>
      <c r="AK778" s="199"/>
      <c r="AL778" s="199"/>
      <c r="AM778" s="199"/>
    </row>
    <row r="779" spans="1:39">
      <c r="A779" s="712"/>
      <c r="B779" s="199"/>
      <c r="C779" s="1164"/>
      <c r="D779" s="1735"/>
      <c r="E779" s="712"/>
      <c r="F779" s="327"/>
      <c r="G779" s="1736"/>
      <c r="H779" s="712"/>
      <c r="I779" s="712"/>
      <c r="J779" s="199"/>
      <c r="K779" s="712"/>
      <c r="L779" s="712"/>
      <c r="M779" s="711"/>
      <c r="N779" s="1737"/>
      <c r="O779" s="711"/>
      <c r="P779" s="1738"/>
      <c r="Q779" s="1739"/>
      <c r="R779" s="1740"/>
      <c r="S779" s="1056"/>
      <c r="T779" s="1741"/>
      <c r="U779" s="1056"/>
      <c r="V779" s="199"/>
      <c r="W779" s="199"/>
      <c r="X779" s="199"/>
      <c r="Y779" s="199"/>
      <c r="Z779" s="199"/>
      <c r="AA779" s="199"/>
      <c r="AB779" s="199"/>
      <c r="AC779" s="199"/>
      <c r="AD779" s="199"/>
      <c r="AE779" s="199"/>
      <c r="AF779" s="199"/>
      <c r="AG779" s="199"/>
      <c r="AH779" s="199"/>
      <c r="AI779" s="199"/>
      <c r="AJ779" s="199"/>
      <c r="AK779" s="199"/>
      <c r="AL779" s="199"/>
      <c r="AM779" s="199"/>
    </row>
    <row r="780" spans="1:39">
      <c r="A780" s="712"/>
      <c r="B780" s="199"/>
      <c r="C780" s="1164"/>
      <c r="D780" s="1735"/>
      <c r="E780" s="712"/>
      <c r="F780" s="327"/>
      <c r="G780" s="1736"/>
      <c r="H780" s="712"/>
      <c r="I780" s="712"/>
      <c r="J780" s="199"/>
      <c r="K780" s="712"/>
      <c r="L780" s="712"/>
      <c r="M780" s="711"/>
      <c r="N780" s="1737"/>
      <c r="O780" s="711"/>
      <c r="P780" s="1738"/>
      <c r="Q780" s="1739"/>
      <c r="R780" s="1740"/>
      <c r="S780" s="1056"/>
      <c r="T780" s="1741"/>
      <c r="U780" s="1056"/>
      <c r="V780" s="199"/>
      <c r="W780" s="199"/>
      <c r="X780" s="199"/>
      <c r="Y780" s="199"/>
      <c r="Z780" s="199"/>
      <c r="AA780" s="199"/>
      <c r="AB780" s="199"/>
      <c r="AC780" s="199"/>
      <c r="AD780" s="199"/>
      <c r="AE780" s="199"/>
      <c r="AF780" s="199"/>
      <c r="AG780" s="199"/>
      <c r="AH780" s="199"/>
      <c r="AI780" s="199"/>
      <c r="AJ780" s="199"/>
      <c r="AK780" s="199"/>
      <c r="AL780" s="199"/>
      <c r="AM780" s="199"/>
    </row>
    <row r="781" spans="1:39">
      <c r="A781" s="712"/>
      <c r="B781" s="199"/>
      <c r="C781" s="1164"/>
      <c r="D781" s="1735"/>
      <c r="E781" s="712"/>
      <c r="F781" s="327"/>
      <c r="G781" s="1736"/>
      <c r="H781" s="712"/>
      <c r="I781" s="712"/>
      <c r="J781" s="199"/>
      <c r="K781" s="712"/>
      <c r="L781" s="712"/>
      <c r="M781" s="711"/>
      <c r="N781" s="1737"/>
      <c r="O781" s="711"/>
      <c r="P781" s="1738"/>
      <c r="Q781" s="1739"/>
      <c r="R781" s="1740"/>
      <c r="S781" s="1056"/>
      <c r="T781" s="1741"/>
      <c r="U781" s="1056"/>
      <c r="V781" s="199"/>
      <c r="W781" s="199"/>
      <c r="X781" s="199"/>
      <c r="Y781" s="199"/>
      <c r="Z781" s="199"/>
      <c r="AA781" s="199"/>
      <c r="AB781" s="199"/>
      <c r="AC781" s="199"/>
      <c r="AD781" s="199"/>
      <c r="AE781" s="199"/>
      <c r="AF781" s="199"/>
      <c r="AG781" s="199"/>
      <c r="AH781" s="199"/>
      <c r="AI781" s="199"/>
      <c r="AJ781" s="199"/>
      <c r="AK781" s="199"/>
      <c r="AL781" s="199"/>
      <c r="AM781" s="199"/>
    </row>
    <row r="782" spans="1:39">
      <c r="A782" s="712"/>
      <c r="B782" s="199"/>
      <c r="C782" s="1164"/>
      <c r="D782" s="1735"/>
      <c r="E782" s="712"/>
      <c r="F782" s="327"/>
      <c r="G782" s="1736"/>
      <c r="H782" s="712"/>
      <c r="I782" s="712"/>
      <c r="J782" s="199"/>
      <c r="K782" s="712"/>
      <c r="L782" s="712"/>
      <c r="M782" s="711"/>
      <c r="N782" s="1737"/>
      <c r="O782" s="711"/>
      <c r="P782" s="1738"/>
      <c r="Q782" s="1739"/>
      <c r="R782" s="1740"/>
      <c r="S782" s="1056"/>
      <c r="T782" s="1741"/>
      <c r="U782" s="1056"/>
      <c r="V782" s="199"/>
      <c r="W782" s="199"/>
      <c r="X782" s="199"/>
      <c r="Y782" s="199"/>
      <c r="Z782" s="199"/>
      <c r="AA782" s="199"/>
      <c r="AB782" s="199"/>
      <c r="AC782" s="199"/>
      <c r="AD782" s="199"/>
      <c r="AE782" s="199"/>
      <c r="AF782" s="199"/>
      <c r="AG782" s="199"/>
      <c r="AH782" s="199"/>
      <c r="AI782" s="199"/>
      <c r="AJ782" s="199"/>
      <c r="AK782" s="199"/>
      <c r="AL782" s="199"/>
      <c r="AM782" s="199"/>
    </row>
    <row r="783" spans="1:39">
      <c r="A783" s="712"/>
      <c r="B783" s="199"/>
      <c r="C783" s="1164"/>
      <c r="D783" s="1735"/>
      <c r="E783" s="712"/>
      <c r="F783" s="327"/>
      <c r="G783" s="1736"/>
      <c r="H783" s="712"/>
      <c r="I783" s="712"/>
      <c r="J783" s="199"/>
      <c r="K783" s="712"/>
      <c r="L783" s="712"/>
      <c r="M783" s="711"/>
      <c r="N783" s="1737"/>
      <c r="O783" s="711"/>
      <c r="P783" s="1738"/>
      <c r="Q783" s="1739"/>
      <c r="R783" s="1740"/>
      <c r="S783" s="1056"/>
      <c r="T783" s="1741"/>
      <c r="U783" s="1056"/>
      <c r="V783" s="199"/>
      <c r="W783" s="199"/>
      <c r="X783" s="199"/>
      <c r="Y783" s="199"/>
      <c r="Z783" s="199"/>
      <c r="AA783" s="199"/>
      <c r="AB783" s="199"/>
      <c r="AC783" s="199"/>
      <c r="AD783" s="199"/>
      <c r="AE783" s="199"/>
      <c r="AF783" s="199"/>
      <c r="AG783" s="199"/>
      <c r="AH783" s="199"/>
      <c r="AI783" s="199"/>
      <c r="AJ783" s="199"/>
      <c r="AK783" s="199"/>
      <c r="AL783" s="199"/>
      <c r="AM783" s="199"/>
    </row>
    <row r="784" spans="1:39">
      <c r="A784" s="712"/>
      <c r="B784" s="199"/>
      <c r="C784" s="1164"/>
      <c r="D784" s="1735"/>
      <c r="E784" s="712"/>
      <c r="F784" s="327"/>
      <c r="G784" s="1736"/>
      <c r="H784" s="712"/>
      <c r="I784" s="712"/>
      <c r="J784" s="199"/>
      <c r="K784" s="712"/>
      <c r="L784" s="712"/>
      <c r="M784" s="711"/>
      <c r="N784" s="1737"/>
      <c r="O784" s="711"/>
      <c r="P784" s="1738"/>
      <c r="Q784" s="1739"/>
      <c r="R784" s="1740"/>
      <c r="S784" s="1056"/>
      <c r="T784" s="1741"/>
      <c r="U784" s="1056"/>
      <c r="V784" s="199"/>
      <c r="W784" s="199"/>
      <c r="X784" s="199"/>
      <c r="Y784" s="199"/>
      <c r="Z784" s="199"/>
      <c r="AA784" s="199"/>
      <c r="AB784" s="199"/>
      <c r="AC784" s="199"/>
      <c r="AD784" s="199"/>
      <c r="AE784" s="199"/>
      <c r="AF784" s="199"/>
      <c r="AG784" s="199"/>
      <c r="AH784" s="199"/>
      <c r="AI784" s="199"/>
      <c r="AJ784" s="199"/>
      <c r="AK784" s="199"/>
      <c r="AL784" s="199"/>
      <c r="AM784" s="199"/>
    </row>
    <row r="785" spans="1:39">
      <c r="A785" s="712"/>
      <c r="B785" s="199"/>
      <c r="C785" s="1164"/>
      <c r="D785" s="1735"/>
      <c r="E785" s="712"/>
      <c r="F785" s="327"/>
      <c r="G785" s="1736"/>
      <c r="H785" s="712"/>
      <c r="I785" s="712"/>
      <c r="J785" s="199"/>
      <c r="K785" s="712"/>
      <c r="L785" s="712"/>
      <c r="M785" s="711"/>
      <c r="N785" s="1737"/>
      <c r="O785" s="711"/>
      <c r="P785" s="1738"/>
      <c r="Q785" s="1739"/>
      <c r="R785" s="1740"/>
      <c r="S785" s="1056"/>
      <c r="T785" s="1741"/>
      <c r="U785" s="1056"/>
      <c r="V785" s="199"/>
      <c r="W785" s="199"/>
      <c r="X785" s="199"/>
      <c r="Y785" s="199"/>
      <c r="Z785" s="199"/>
      <c r="AA785" s="199"/>
      <c r="AB785" s="199"/>
      <c r="AC785" s="199"/>
      <c r="AD785" s="199"/>
      <c r="AE785" s="199"/>
      <c r="AF785" s="199"/>
      <c r="AG785" s="199"/>
      <c r="AH785" s="199"/>
      <c r="AI785" s="199"/>
      <c r="AJ785" s="199"/>
      <c r="AK785" s="199"/>
      <c r="AL785" s="199"/>
      <c r="AM785" s="199"/>
    </row>
    <row r="786" spans="1:39">
      <c r="A786" s="712"/>
      <c r="B786" s="199"/>
      <c r="C786" s="1164"/>
      <c r="D786" s="1735"/>
      <c r="E786" s="712"/>
      <c r="F786" s="327"/>
      <c r="G786" s="1736"/>
      <c r="H786" s="712"/>
      <c r="I786" s="712"/>
      <c r="J786" s="199"/>
      <c r="K786" s="712"/>
      <c r="L786" s="712"/>
      <c r="M786" s="711"/>
      <c r="N786" s="1737"/>
      <c r="O786" s="711"/>
      <c r="P786" s="1738"/>
      <c r="Q786" s="1739"/>
      <c r="R786" s="1740"/>
      <c r="S786" s="1056"/>
      <c r="T786" s="1741"/>
      <c r="U786" s="1056"/>
      <c r="V786" s="199"/>
      <c r="W786" s="199"/>
      <c r="X786" s="199"/>
      <c r="Y786" s="199"/>
      <c r="Z786" s="199"/>
      <c r="AA786" s="199"/>
      <c r="AB786" s="199"/>
      <c r="AC786" s="199"/>
      <c r="AD786" s="199"/>
      <c r="AE786" s="199"/>
      <c r="AF786" s="199"/>
      <c r="AG786" s="199"/>
      <c r="AH786" s="199"/>
      <c r="AI786" s="199"/>
      <c r="AJ786" s="199"/>
      <c r="AK786" s="199"/>
      <c r="AL786" s="199"/>
      <c r="AM786" s="199"/>
    </row>
    <row r="787" spans="1:39">
      <c r="A787" s="712"/>
      <c r="B787" s="199"/>
      <c r="C787" s="1164"/>
      <c r="D787" s="1735"/>
      <c r="E787" s="712"/>
      <c r="F787" s="327"/>
      <c r="G787" s="1736"/>
      <c r="H787" s="712"/>
      <c r="I787" s="712"/>
      <c r="J787" s="199"/>
      <c r="K787" s="712"/>
      <c r="L787" s="712"/>
      <c r="M787" s="711"/>
      <c r="N787" s="1737"/>
      <c r="O787" s="711"/>
      <c r="P787" s="1738"/>
      <c r="Q787" s="1739"/>
      <c r="R787" s="1740"/>
      <c r="S787" s="1056"/>
      <c r="T787" s="1741"/>
      <c r="U787" s="1056"/>
      <c r="V787" s="199"/>
      <c r="W787" s="199"/>
      <c r="X787" s="199"/>
      <c r="Y787" s="199"/>
      <c r="Z787" s="199"/>
      <c r="AA787" s="199"/>
      <c r="AB787" s="199"/>
      <c r="AC787" s="199"/>
      <c r="AD787" s="199"/>
      <c r="AE787" s="199"/>
      <c r="AF787" s="199"/>
      <c r="AG787" s="199"/>
      <c r="AH787" s="199"/>
      <c r="AI787" s="199"/>
      <c r="AJ787" s="199"/>
      <c r="AK787" s="199"/>
      <c r="AL787" s="199"/>
      <c r="AM787" s="199"/>
    </row>
    <row r="788" spans="1:39">
      <c r="A788" s="712"/>
      <c r="B788" s="199"/>
      <c r="C788" s="1164"/>
      <c r="D788" s="1735"/>
      <c r="E788" s="712"/>
      <c r="F788" s="327"/>
      <c r="G788" s="1736"/>
      <c r="H788" s="712"/>
      <c r="I788" s="712"/>
      <c r="J788" s="199"/>
      <c r="K788" s="712"/>
      <c r="L788" s="712"/>
      <c r="M788" s="711"/>
      <c r="N788" s="1737"/>
      <c r="O788" s="711"/>
      <c r="P788" s="1738"/>
      <c r="Q788" s="1739"/>
      <c r="R788" s="1740"/>
      <c r="S788" s="1056"/>
      <c r="T788" s="1741"/>
      <c r="U788" s="1056"/>
      <c r="V788" s="199"/>
      <c r="W788" s="199"/>
      <c r="X788" s="199"/>
      <c r="Y788" s="199"/>
      <c r="Z788" s="199"/>
      <c r="AA788" s="199"/>
      <c r="AB788" s="199"/>
      <c r="AC788" s="199"/>
      <c r="AD788" s="199"/>
      <c r="AE788" s="199"/>
      <c r="AF788" s="199"/>
      <c r="AG788" s="199"/>
      <c r="AH788" s="199"/>
      <c r="AI788" s="199"/>
      <c r="AJ788" s="199"/>
      <c r="AK788" s="199"/>
      <c r="AL788" s="199"/>
      <c r="AM788" s="199"/>
    </row>
    <row r="789" spans="1:39">
      <c r="A789" s="712"/>
      <c r="B789" s="199"/>
      <c r="C789" s="1164"/>
      <c r="D789" s="1735"/>
      <c r="E789" s="712"/>
      <c r="F789" s="327"/>
      <c r="G789" s="1736"/>
      <c r="H789" s="712"/>
      <c r="I789" s="712"/>
      <c r="J789" s="199"/>
      <c r="K789" s="712"/>
      <c r="L789" s="712"/>
      <c r="M789" s="711"/>
      <c r="N789" s="1737"/>
      <c r="O789" s="711"/>
      <c r="P789" s="1738"/>
      <c r="Q789" s="1739"/>
      <c r="R789" s="1740"/>
      <c r="S789" s="1056"/>
      <c r="T789" s="1741"/>
      <c r="U789" s="1056"/>
      <c r="V789" s="199"/>
      <c r="W789" s="199"/>
      <c r="X789" s="199"/>
      <c r="Y789" s="199"/>
      <c r="Z789" s="199"/>
      <c r="AA789" s="199"/>
      <c r="AB789" s="199"/>
      <c r="AC789" s="199"/>
      <c r="AD789" s="199"/>
      <c r="AE789" s="199"/>
      <c r="AF789" s="199"/>
      <c r="AG789" s="199"/>
      <c r="AH789" s="199"/>
      <c r="AI789" s="199"/>
      <c r="AJ789" s="199"/>
      <c r="AK789" s="199"/>
      <c r="AL789" s="199"/>
      <c r="AM789" s="199"/>
    </row>
    <row r="790" spans="1:39">
      <c r="A790" s="712"/>
      <c r="B790" s="199"/>
      <c r="C790" s="1164"/>
      <c r="D790" s="1735"/>
      <c r="E790" s="712"/>
      <c r="F790" s="327"/>
      <c r="G790" s="1736"/>
      <c r="H790" s="712"/>
      <c r="I790" s="712"/>
      <c r="J790" s="199"/>
      <c r="K790" s="712"/>
      <c r="L790" s="712"/>
      <c r="M790" s="711"/>
      <c r="N790" s="1737"/>
      <c r="O790" s="711"/>
      <c r="P790" s="1738"/>
      <c r="Q790" s="1739"/>
      <c r="R790" s="1740"/>
      <c r="S790" s="1056"/>
      <c r="T790" s="1741"/>
      <c r="U790" s="1056"/>
      <c r="V790" s="199"/>
      <c r="W790" s="199"/>
      <c r="X790" s="199"/>
      <c r="Y790" s="199"/>
      <c r="Z790" s="199"/>
      <c r="AA790" s="199"/>
      <c r="AB790" s="199"/>
      <c r="AC790" s="199"/>
      <c r="AD790" s="199"/>
      <c r="AE790" s="199"/>
      <c r="AF790" s="199"/>
      <c r="AG790" s="199"/>
      <c r="AH790" s="199"/>
      <c r="AI790" s="199"/>
      <c r="AJ790" s="199"/>
      <c r="AK790" s="199"/>
      <c r="AL790" s="199"/>
      <c r="AM790" s="199"/>
    </row>
    <row r="791" spans="1:39">
      <c r="A791" s="712"/>
      <c r="B791" s="199"/>
      <c r="C791" s="1164"/>
      <c r="D791" s="1735"/>
      <c r="E791" s="712"/>
      <c r="F791" s="327"/>
      <c r="G791" s="1736"/>
      <c r="H791" s="712"/>
      <c r="I791" s="712"/>
      <c r="J791" s="199"/>
      <c r="K791" s="712"/>
      <c r="L791" s="712"/>
      <c r="M791" s="711"/>
      <c r="N791" s="1737"/>
      <c r="O791" s="711"/>
      <c r="P791" s="1738"/>
      <c r="Q791" s="1739"/>
      <c r="R791" s="1740"/>
      <c r="S791" s="1056"/>
      <c r="T791" s="1741"/>
      <c r="U791" s="1056"/>
      <c r="V791" s="199"/>
      <c r="W791" s="199"/>
      <c r="X791" s="199"/>
      <c r="Y791" s="199"/>
      <c r="Z791" s="199"/>
      <c r="AA791" s="199"/>
      <c r="AB791" s="199"/>
      <c r="AC791" s="199"/>
      <c r="AD791" s="199"/>
      <c r="AE791" s="199"/>
      <c r="AF791" s="199"/>
      <c r="AG791" s="199"/>
      <c r="AH791" s="199"/>
      <c r="AI791" s="199"/>
      <c r="AJ791" s="199"/>
      <c r="AK791" s="199"/>
      <c r="AL791" s="199"/>
      <c r="AM791" s="199"/>
    </row>
    <row r="792" spans="1:39">
      <c r="A792" s="712"/>
      <c r="B792" s="199"/>
      <c r="C792" s="1164"/>
      <c r="D792" s="1735"/>
      <c r="E792" s="712"/>
      <c r="F792" s="327"/>
      <c r="G792" s="1736"/>
      <c r="H792" s="712"/>
      <c r="I792" s="712"/>
      <c r="J792" s="199"/>
      <c r="K792" s="712"/>
      <c r="L792" s="712"/>
      <c r="M792" s="711"/>
      <c r="N792" s="1737"/>
      <c r="O792" s="711"/>
      <c r="P792" s="1738"/>
      <c r="Q792" s="1739"/>
      <c r="R792" s="1740"/>
      <c r="S792" s="1056"/>
      <c r="T792" s="1741"/>
      <c r="U792" s="1056"/>
      <c r="V792" s="199"/>
      <c r="W792" s="199"/>
      <c r="X792" s="199"/>
      <c r="Y792" s="199"/>
      <c r="Z792" s="199"/>
      <c r="AA792" s="199"/>
      <c r="AB792" s="199"/>
      <c r="AC792" s="199"/>
      <c r="AD792" s="199"/>
      <c r="AE792" s="199"/>
      <c r="AF792" s="199"/>
      <c r="AG792" s="199"/>
      <c r="AH792" s="199"/>
      <c r="AI792" s="199"/>
      <c r="AJ792" s="199"/>
      <c r="AK792" s="199"/>
      <c r="AL792" s="199"/>
      <c r="AM792" s="199"/>
    </row>
    <row r="793" spans="1:39">
      <c r="A793" s="712"/>
      <c r="B793" s="199"/>
      <c r="C793" s="1164"/>
      <c r="D793" s="1735"/>
      <c r="E793" s="712"/>
      <c r="F793" s="327"/>
      <c r="G793" s="1736"/>
      <c r="H793" s="712"/>
      <c r="I793" s="712"/>
      <c r="J793" s="199"/>
      <c r="K793" s="712"/>
      <c r="L793" s="712"/>
      <c r="M793" s="711"/>
      <c r="N793" s="1737"/>
      <c r="O793" s="711"/>
      <c r="P793" s="1738"/>
      <c r="Q793" s="1739"/>
      <c r="R793" s="1740"/>
      <c r="S793" s="1056"/>
      <c r="T793" s="1741"/>
      <c r="U793" s="1056"/>
      <c r="V793" s="199"/>
      <c r="W793" s="199"/>
      <c r="X793" s="199"/>
      <c r="Y793" s="199"/>
      <c r="Z793" s="199"/>
      <c r="AA793" s="199"/>
      <c r="AB793" s="199"/>
      <c r="AC793" s="199"/>
      <c r="AD793" s="199"/>
      <c r="AE793" s="199"/>
      <c r="AF793" s="199"/>
      <c r="AG793" s="199"/>
      <c r="AH793" s="199"/>
      <c r="AI793" s="199"/>
      <c r="AJ793" s="199"/>
      <c r="AK793" s="199"/>
      <c r="AL793" s="199"/>
      <c r="AM793" s="199"/>
    </row>
    <row r="794" spans="1:39">
      <c r="A794" s="712"/>
      <c r="B794" s="199"/>
      <c r="C794" s="1164"/>
      <c r="D794" s="1735"/>
      <c r="E794" s="712"/>
      <c r="F794" s="327"/>
      <c r="G794" s="1736"/>
      <c r="H794" s="712"/>
      <c r="I794" s="712"/>
      <c r="J794" s="199"/>
      <c r="K794" s="712"/>
      <c r="L794" s="712"/>
      <c r="M794" s="711"/>
      <c r="N794" s="1737"/>
      <c r="O794" s="711"/>
      <c r="P794" s="1738"/>
      <c r="Q794" s="1739"/>
      <c r="R794" s="1740"/>
      <c r="S794" s="1056"/>
      <c r="T794" s="1741"/>
      <c r="U794" s="1056"/>
      <c r="V794" s="199"/>
      <c r="W794" s="199"/>
      <c r="X794" s="199"/>
      <c r="Y794" s="199"/>
      <c r="Z794" s="199"/>
      <c r="AA794" s="199"/>
      <c r="AB794" s="199"/>
      <c r="AC794" s="199"/>
      <c r="AD794" s="199"/>
      <c r="AE794" s="199"/>
      <c r="AF794" s="199"/>
      <c r="AG794" s="199"/>
      <c r="AH794" s="199"/>
      <c r="AI794" s="199"/>
      <c r="AJ794" s="199"/>
      <c r="AK794" s="199"/>
      <c r="AL794" s="199"/>
      <c r="AM794" s="199"/>
    </row>
    <row r="795" spans="1:39">
      <c r="A795" s="712"/>
      <c r="B795" s="199"/>
      <c r="C795" s="1164"/>
      <c r="D795" s="1735"/>
      <c r="E795" s="712"/>
      <c r="F795" s="327"/>
      <c r="G795" s="1736"/>
      <c r="H795" s="712"/>
      <c r="I795" s="712"/>
      <c r="J795" s="199"/>
      <c r="K795" s="712"/>
      <c r="L795" s="712"/>
      <c r="M795" s="711"/>
      <c r="N795" s="1737"/>
      <c r="O795" s="711"/>
      <c r="P795" s="1738"/>
      <c r="Q795" s="1739"/>
      <c r="R795" s="1740"/>
      <c r="S795" s="1056"/>
      <c r="T795" s="1741"/>
      <c r="U795" s="1056"/>
      <c r="V795" s="199"/>
      <c r="W795" s="199"/>
      <c r="X795" s="199"/>
      <c r="Y795" s="199"/>
      <c r="Z795" s="199"/>
      <c r="AA795" s="199"/>
      <c r="AB795" s="199"/>
      <c r="AC795" s="199"/>
      <c r="AD795" s="199"/>
      <c r="AE795" s="199"/>
      <c r="AF795" s="199"/>
      <c r="AG795" s="199"/>
      <c r="AH795" s="199"/>
      <c r="AI795" s="199"/>
      <c r="AJ795" s="199"/>
      <c r="AK795" s="199"/>
      <c r="AL795" s="199"/>
      <c r="AM795" s="199"/>
    </row>
    <row r="796" spans="1:39">
      <c r="A796" s="712"/>
      <c r="B796" s="199"/>
      <c r="C796" s="1164"/>
      <c r="D796" s="1735"/>
      <c r="E796" s="712"/>
      <c r="F796" s="327"/>
      <c r="G796" s="1736"/>
      <c r="H796" s="712"/>
      <c r="I796" s="712"/>
      <c r="J796" s="199"/>
      <c r="K796" s="712"/>
      <c r="L796" s="712"/>
      <c r="M796" s="711"/>
      <c r="N796" s="1737"/>
      <c r="O796" s="711"/>
      <c r="P796" s="1738"/>
      <c r="Q796" s="1739"/>
      <c r="R796" s="1740"/>
      <c r="S796" s="1056"/>
      <c r="T796" s="1741"/>
      <c r="U796" s="1056"/>
      <c r="V796" s="199"/>
      <c r="W796" s="199"/>
      <c r="X796" s="199"/>
      <c r="Y796" s="199"/>
      <c r="Z796" s="199"/>
      <c r="AA796" s="199"/>
      <c r="AB796" s="199"/>
      <c r="AC796" s="199"/>
      <c r="AD796" s="199"/>
      <c r="AE796" s="199"/>
      <c r="AF796" s="199"/>
      <c r="AG796" s="199"/>
      <c r="AH796" s="199"/>
      <c r="AI796" s="199"/>
      <c r="AJ796" s="199"/>
      <c r="AK796" s="199"/>
      <c r="AL796" s="199"/>
      <c r="AM796" s="199"/>
    </row>
    <row r="797" spans="1:39">
      <c r="A797" s="712"/>
      <c r="B797" s="199"/>
      <c r="C797" s="1164"/>
      <c r="D797" s="1735"/>
      <c r="E797" s="712"/>
      <c r="F797" s="327"/>
      <c r="G797" s="1736"/>
      <c r="H797" s="712"/>
      <c r="I797" s="712"/>
      <c r="J797" s="199"/>
      <c r="K797" s="712"/>
      <c r="L797" s="712"/>
      <c r="M797" s="711"/>
      <c r="N797" s="1737"/>
      <c r="O797" s="711"/>
      <c r="P797" s="1738"/>
      <c r="Q797" s="1739"/>
      <c r="R797" s="1740"/>
      <c r="S797" s="1056"/>
      <c r="T797" s="1741"/>
      <c r="U797" s="1056"/>
      <c r="V797" s="199"/>
      <c r="W797" s="199"/>
      <c r="X797" s="199"/>
      <c r="Y797" s="199"/>
      <c r="Z797" s="199"/>
      <c r="AA797" s="199"/>
      <c r="AB797" s="199"/>
      <c r="AC797" s="199"/>
      <c r="AD797" s="199"/>
      <c r="AE797" s="199"/>
      <c r="AF797" s="199"/>
      <c r="AG797" s="199"/>
      <c r="AH797" s="199"/>
      <c r="AI797" s="199"/>
      <c r="AJ797" s="199"/>
      <c r="AK797" s="199"/>
      <c r="AL797" s="199"/>
      <c r="AM797" s="199"/>
    </row>
    <row r="798" spans="1:39">
      <c r="A798" s="712"/>
      <c r="B798" s="199"/>
      <c r="C798" s="1164"/>
      <c r="D798" s="1735"/>
      <c r="E798" s="712"/>
      <c r="F798" s="327"/>
      <c r="G798" s="1736"/>
      <c r="H798" s="712"/>
      <c r="I798" s="712"/>
      <c r="J798" s="199"/>
      <c r="K798" s="712"/>
      <c r="L798" s="712"/>
      <c r="M798" s="711"/>
      <c r="N798" s="1737"/>
      <c r="O798" s="711"/>
      <c r="P798" s="1738"/>
      <c r="Q798" s="1739"/>
      <c r="R798" s="1740"/>
      <c r="S798" s="1056"/>
      <c r="T798" s="1741"/>
      <c r="U798" s="1056"/>
      <c r="V798" s="199"/>
      <c r="W798" s="199"/>
      <c r="X798" s="199"/>
      <c r="Y798" s="199"/>
      <c r="Z798" s="199"/>
      <c r="AA798" s="199"/>
      <c r="AB798" s="199"/>
      <c r="AC798" s="199"/>
      <c r="AD798" s="199"/>
      <c r="AE798" s="199"/>
      <c r="AF798" s="199"/>
      <c r="AG798" s="199"/>
      <c r="AH798" s="199"/>
      <c r="AI798" s="199"/>
      <c r="AJ798" s="199"/>
      <c r="AK798" s="199"/>
      <c r="AL798" s="199"/>
      <c r="AM798" s="199"/>
    </row>
    <row r="799" spans="1:39">
      <c r="A799" s="712"/>
      <c r="B799" s="199"/>
      <c r="C799" s="1164"/>
      <c r="D799" s="1735"/>
      <c r="E799" s="712"/>
      <c r="F799" s="327"/>
      <c r="G799" s="1736"/>
      <c r="H799" s="712"/>
      <c r="I799" s="712"/>
      <c r="J799" s="199"/>
      <c r="K799" s="712"/>
      <c r="L799" s="712"/>
      <c r="M799" s="711"/>
      <c r="N799" s="1737"/>
      <c r="O799" s="711"/>
      <c r="P799" s="1738"/>
      <c r="Q799" s="1739"/>
      <c r="R799" s="1740"/>
      <c r="S799" s="1056"/>
      <c r="T799" s="1741"/>
      <c r="U799" s="1056"/>
      <c r="V799" s="199"/>
      <c r="W799" s="199"/>
      <c r="X799" s="199"/>
      <c r="Y799" s="199"/>
      <c r="Z799" s="199"/>
      <c r="AA799" s="199"/>
      <c r="AB799" s="199"/>
      <c r="AC799" s="199"/>
      <c r="AD799" s="199"/>
      <c r="AE799" s="199"/>
      <c r="AF799" s="199"/>
      <c r="AG799" s="199"/>
      <c r="AH799" s="199"/>
      <c r="AI799" s="199"/>
      <c r="AJ799" s="199"/>
      <c r="AK799" s="199"/>
      <c r="AL799" s="199"/>
      <c r="AM799" s="199"/>
    </row>
    <row r="800" spans="1:39">
      <c r="A800" s="712"/>
      <c r="B800" s="199"/>
      <c r="C800" s="1164"/>
      <c r="D800" s="1735"/>
      <c r="E800" s="712"/>
      <c r="F800" s="327"/>
      <c r="G800" s="1736"/>
      <c r="H800" s="712"/>
      <c r="I800" s="712"/>
      <c r="J800" s="199"/>
      <c r="K800" s="712"/>
      <c r="L800" s="712"/>
      <c r="M800" s="711"/>
      <c r="N800" s="1737"/>
      <c r="O800" s="711"/>
      <c r="P800" s="1738"/>
      <c r="Q800" s="1739"/>
      <c r="R800" s="1740"/>
      <c r="S800" s="1056"/>
      <c r="T800" s="1741"/>
      <c r="U800" s="1056"/>
      <c r="V800" s="199"/>
      <c r="W800" s="199"/>
      <c r="X800" s="199"/>
      <c r="Y800" s="199"/>
      <c r="Z800" s="199"/>
      <c r="AA800" s="199"/>
      <c r="AB800" s="199"/>
      <c r="AC800" s="199"/>
      <c r="AD800" s="199"/>
      <c r="AE800" s="199"/>
      <c r="AF800" s="199"/>
      <c r="AG800" s="199"/>
      <c r="AH800" s="199"/>
      <c r="AI800" s="199"/>
      <c r="AJ800" s="199"/>
      <c r="AK800" s="199"/>
      <c r="AL800" s="199"/>
      <c r="AM800" s="199"/>
    </row>
    <row r="801" spans="1:39">
      <c r="A801" s="712"/>
      <c r="B801" s="199"/>
      <c r="C801" s="1164"/>
      <c r="D801" s="1735"/>
      <c r="E801" s="712"/>
      <c r="F801" s="327"/>
      <c r="G801" s="1736"/>
      <c r="H801" s="712"/>
      <c r="I801" s="712"/>
      <c r="J801" s="199"/>
      <c r="K801" s="712"/>
      <c r="L801" s="712"/>
      <c r="M801" s="711"/>
      <c r="N801" s="1737"/>
      <c r="O801" s="711"/>
      <c r="P801" s="1738"/>
      <c r="Q801" s="1739"/>
      <c r="R801" s="1740"/>
      <c r="S801" s="1056"/>
      <c r="T801" s="1741"/>
      <c r="U801" s="1056"/>
      <c r="V801" s="199"/>
      <c r="W801" s="199"/>
      <c r="X801" s="199"/>
      <c r="Y801" s="199"/>
      <c r="Z801" s="199"/>
      <c r="AA801" s="199"/>
      <c r="AB801" s="199"/>
      <c r="AC801" s="199"/>
      <c r="AD801" s="199"/>
      <c r="AE801" s="199"/>
      <c r="AF801" s="199"/>
      <c r="AG801" s="199"/>
      <c r="AH801" s="199"/>
      <c r="AI801" s="199"/>
      <c r="AJ801" s="199"/>
      <c r="AK801" s="199"/>
      <c r="AL801" s="199"/>
      <c r="AM801" s="199"/>
    </row>
    <row r="802" spans="1:39">
      <c r="A802" s="712"/>
      <c r="B802" s="199"/>
      <c r="C802" s="1164"/>
      <c r="D802" s="1735"/>
      <c r="E802" s="712"/>
      <c r="F802" s="327"/>
      <c r="G802" s="1736"/>
      <c r="H802" s="712"/>
      <c r="I802" s="712"/>
      <c r="J802" s="199"/>
      <c r="K802" s="712"/>
      <c r="L802" s="712"/>
      <c r="M802" s="711"/>
      <c r="N802" s="1737"/>
      <c r="O802" s="711"/>
      <c r="P802" s="1738"/>
      <c r="Q802" s="1739"/>
      <c r="R802" s="1740"/>
      <c r="S802" s="1056"/>
      <c r="T802" s="1741"/>
      <c r="U802" s="1056"/>
      <c r="V802" s="199"/>
      <c r="W802" s="199"/>
      <c r="X802" s="199"/>
      <c r="Y802" s="199"/>
      <c r="Z802" s="199"/>
      <c r="AA802" s="199"/>
      <c r="AB802" s="199"/>
      <c r="AC802" s="199"/>
      <c r="AD802" s="199"/>
      <c r="AE802" s="199"/>
      <c r="AF802" s="199"/>
      <c r="AG802" s="199"/>
      <c r="AH802" s="199"/>
      <c r="AI802" s="199"/>
      <c r="AJ802" s="199"/>
      <c r="AK802" s="199"/>
      <c r="AL802" s="199"/>
      <c r="AM802" s="199"/>
    </row>
    <row r="803" spans="1:39">
      <c r="A803" s="712"/>
      <c r="B803" s="199"/>
      <c r="C803" s="1164"/>
      <c r="D803" s="1735"/>
      <c r="E803" s="712"/>
      <c r="F803" s="327"/>
      <c r="G803" s="1736"/>
      <c r="H803" s="712"/>
      <c r="I803" s="712"/>
      <c r="J803" s="199"/>
      <c r="K803" s="712"/>
      <c r="L803" s="712"/>
      <c r="M803" s="711"/>
      <c r="N803" s="1737"/>
      <c r="O803" s="711"/>
      <c r="P803" s="1738"/>
      <c r="Q803" s="1739"/>
      <c r="R803" s="1740"/>
      <c r="S803" s="1056"/>
      <c r="T803" s="1741"/>
      <c r="U803" s="1056"/>
      <c r="V803" s="199"/>
      <c r="W803" s="199"/>
      <c r="X803" s="199"/>
      <c r="Y803" s="199"/>
      <c r="Z803" s="199"/>
      <c r="AA803" s="199"/>
      <c r="AB803" s="199"/>
      <c r="AC803" s="199"/>
      <c r="AD803" s="199"/>
      <c r="AE803" s="199"/>
      <c r="AF803" s="199"/>
      <c r="AG803" s="199"/>
      <c r="AH803" s="199"/>
      <c r="AI803" s="199"/>
      <c r="AJ803" s="199"/>
      <c r="AK803" s="199"/>
      <c r="AL803" s="199"/>
      <c r="AM803" s="199"/>
    </row>
    <row r="804" spans="1:39">
      <c r="A804" s="712"/>
      <c r="B804" s="199"/>
      <c r="C804" s="1164"/>
      <c r="D804" s="1735"/>
      <c r="E804" s="712"/>
      <c r="F804" s="327"/>
      <c r="G804" s="1736"/>
      <c r="H804" s="712"/>
      <c r="I804" s="712"/>
      <c r="J804" s="199"/>
      <c r="K804" s="712"/>
      <c r="L804" s="712"/>
      <c r="M804" s="711"/>
      <c r="N804" s="1737"/>
      <c r="O804" s="711"/>
      <c r="P804" s="1738"/>
      <c r="Q804" s="1739"/>
      <c r="R804" s="1740"/>
      <c r="S804" s="1056"/>
      <c r="T804" s="1741"/>
      <c r="U804" s="1056"/>
      <c r="V804" s="199"/>
      <c r="W804" s="199"/>
      <c r="X804" s="199"/>
      <c r="Y804" s="199"/>
      <c r="Z804" s="199"/>
      <c r="AA804" s="199"/>
      <c r="AB804" s="199"/>
      <c r="AC804" s="199"/>
      <c r="AD804" s="199"/>
      <c r="AE804" s="199"/>
      <c r="AF804" s="199"/>
      <c r="AG804" s="199"/>
      <c r="AH804" s="199"/>
      <c r="AI804" s="199"/>
      <c r="AJ804" s="199"/>
      <c r="AK804" s="199"/>
      <c r="AL804" s="199"/>
      <c r="AM804" s="199"/>
    </row>
    <row r="805" spans="1:39">
      <c r="A805" s="712"/>
      <c r="B805" s="199"/>
      <c r="C805" s="1164"/>
      <c r="D805" s="1735"/>
      <c r="E805" s="712"/>
      <c r="F805" s="327"/>
      <c r="G805" s="1736"/>
      <c r="H805" s="712"/>
      <c r="I805" s="712"/>
      <c r="J805" s="199"/>
      <c r="K805" s="712"/>
      <c r="L805" s="712"/>
      <c r="M805" s="711"/>
      <c r="N805" s="1737"/>
      <c r="O805" s="711"/>
      <c r="P805" s="1738"/>
      <c r="Q805" s="1739"/>
      <c r="R805" s="1740"/>
      <c r="S805" s="1056"/>
      <c r="T805" s="1741"/>
      <c r="U805" s="1056"/>
      <c r="V805" s="199"/>
      <c r="W805" s="199"/>
      <c r="X805" s="199"/>
      <c r="Y805" s="199"/>
      <c r="Z805" s="199"/>
      <c r="AA805" s="199"/>
      <c r="AB805" s="199"/>
      <c r="AC805" s="199"/>
      <c r="AD805" s="199"/>
      <c r="AE805" s="199"/>
      <c r="AF805" s="199"/>
      <c r="AG805" s="199"/>
      <c r="AH805" s="199"/>
      <c r="AI805" s="199"/>
      <c r="AJ805" s="199"/>
      <c r="AK805" s="199"/>
      <c r="AL805" s="199"/>
      <c r="AM805" s="199"/>
    </row>
    <row r="806" spans="1:39">
      <c r="A806" s="712"/>
      <c r="B806" s="199"/>
      <c r="C806" s="1164"/>
      <c r="D806" s="1735"/>
      <c r="E806" s="712"/>
      <c r="F806" s="327"/>
      <c r="G806" s="1736"/>
      <c r="H806" s="712"/>
      <c r="I806" s="712"/>
      <c r="J806" s="199"/>
      <c r="K806" s="712"/>
      <c r="L806" s="712"/>
      <c r="M806" s="711"/>
      <c r="N806" s="1737"/>
      <c r="O806" s="711"/>
      <c r="P806" s="1738"/>
      <c r="Q806" s="1739"/>
      <c r="R806" s="1740"/>
      <c r="S806" s="1056"/>
      <c r="T806" s="1741"/>
      <c r="U806" s="1056"/>
      <c r="V806" s="199"/>
      <c r="W806" s="199"/>
      <c r="X806" s="199"/>
      <c r="Y806" s="199"/>
      <c r="Z806" s="199"/>
      <c r="AA806" s="199"/>
      <c r="AB806" s="199"/>
      <c r="AC806" s="199"/>
      <c r="AD806" s="199"/>
      <c r="AE806" s="199"/>
      <c r="AF806" s="199"/>
      <c r="AG806" s="199"/>
      <c r="AH806" s="199"/>
      <c r="AI806" s="199"/>
      <c r="AJ806" s="199"/>
      <c r="AK806" s="199"/>
      <c r="AL806" s="199"/>
      <c r="AM806" s="199"/>
    </row>
    <row r="807" spans="1:39">
      <c r="A807" s="712"/>
      <c r="B807" s="199"/>
      <c r="C807" s="1164"/>
      <c r="D807" s="1735"/>
      <c r="E807" s="712"/>
      <c r="F807" s="327"/>
      <c r="G807" s="1736"/>
      <c r="H807" s="712"/>
      <c r="I807" s="712"/>
      <c r="J807" s="199"/>
      <c r="K807" s="712"/>
      <c r="L807" s="712"/>
      <c r="M807" s="711"/>
      <c r="N807" s="1737"/>
      <c r="O807" s="711"/>
      <c r="P807" s="1738"/>
      <c r="Q807" s="1739"/>
      <c r="R807" s="1740"/>
      <c r="S807" s="1056"/>
      <c r="T807" s="1741"/>
      <c r="U807" s="1056"/>
      <c r="V807" s="199"/>
      <c r="W807" s="199"/>
      <c r="X807" s="199"/>
      <c r="Y807" s="199"/>
      <c r="Z807" s="199"/>
      <c r="AA807" s="199"/>
      <c r="AB807" s="199"/>
      <c r="AC807" s="199"/>
      <c r="AD807" s="199"/>
      <c r="AE807" s="199"/>
      <c r="AF807" s="199"/>
      <c r="AG807" s="199"/>
      <c r="AH807" s="199"/>
      <c r="AI807" s="199"/>
      <c r="AJ807" s="199"/>
      <c r="AK807" s="199"/>
      <c r="AL807" s="199"/>
      <c r="AM807" s="199"/>
    </row>
    <row r="808" spans="1:39">
      <c r="A808" s="712"/>
      <c r="B808" s="199"/>
      <c r="C808" s="1164"/>
      <c r="D808" s="1735"/>
      <c r="E808" s="712"/>
      <c r="F808" s="327"/>
      <c r="G808" s="1736"/>
      <c r="H808" s="712"/>
      <c r="I808" s="712"/>
      <c r="J808" s="199"/>
      <c r="K808" s="712"/>
      <c r="L808" s="712"/>
      <c r="M808" s="711"/>
      <c r="N808" s="1737"/>
      <c r="O808" s="711"/>
      <c r="P808" s="1738"/>
      <c r="Q808" s="1739"/>
      <c r="R808" s="1740"/>
      <c r="S808" s="1056"/>
      <c r="T808" s="1741"/>
      <c r="U808" s="1056"/>
      <c r="V808" s="199"/>
      <c r="W808" s="199"/>
      <c r="X808" s="199"/>
      <c r="Y808" s="199"/>
      <c r="Z808" s="199"/>
      <c r="AA808" s="199"/>
      <c r="AB808" s="199"/>
      <c r="AC808" s="199"/>
      <c r="AD808" s="199"/>
      <c r="AE808" s="199"/>
      <c r="AF808" s="199"/>
      <c r="AG808" s="199"/>
      <c r="AH808" s="199"/>
      <c r="AI808" s="199"/>
      <c r="AJ808" s="199"/>
      <c r="AK808" s="199"/>
      <c r="AL808" s="199"/>
      <c r="AM808" s="199"/>
    </row>
    <row r="809" spans="1:39">
      <c r="A809" s="712"/>
      <c r="B809" s="199"/>
      <c r="C809" s="1164"/>
      <c r="D809" s="1735"/>
      <c r="E809" s="712"/>
      <c r="F809" s="327"/>
      <c r="G809" s="1736"/>
      <c r="H809" s="712"/>
      <c r="I809" s="712"/>
      <c r="J809" s="199"/>
      <c r="K809" s="712"/>
      <c r="L809" s="712"/>
      <c r="M809" s="711"/>
      <c r="N809" s="1737"/>
      <c r="O809" s="711"/>
      <c r="P809" s="1738"/>
      <c r="Q809" s="1739"/>
      <c r="R809" s="1740"/>
      <c r="S809" s="1056"/>
      <c r="T809" s="1741"/>
      <c r="U809" s="1056"/>
      <c r="V809" s="199"/>
      <c r="W809" s="199"/>
      <c r="X809" s="199"/>
      <c r="Y809" s="199"/>
      <c r="Z809" s="199"/>
      <c r="AA809" s="199"/>
      <c r="AB809" s="199"/>
      <c r="AC809" s="199"/>
      <c r="AD809" s="199"/>
      <c r="AE809" s="199"/>
      <c r="AF809" s="199"/>
      <c r="AG809" s="199"/>
      <c r="AH809" s="199"/>
      <c r="AI809" s="199"/>
      <c r="AJ809" s="199"/>
      <c r="AK809" s="199"/>
      <c r="AL809" s="199"/>
      <c r="AM809" s="199"/>
    </row>
    <row r="810" spans="1:39">
      <c r="A810" s="712"/>
      <c r="B810" s="199"/>
      <c r="C810" s="1164"/>
      <c r="D810" s="1735"/>
      <c r="E810" s="712"/>
      <c r="F810" s="327"/>
      <c r="G810" s="1736"/>
      <c r="H810" s="712"/>
      <c r="I810" s="712"/>
      <c r="J810" s="199"/>
      <c r="K810" s="712"/>
      <c r="L810" s="712"/>
      <c r="M810" s="711"/>
      <c r="N810" s="1737"/>
      <c r="O810" s="711"/>
      <c r="P810" s="1738"/>
      <c r="Q810" s="1739"/>
      <c r="R810" s="1740"/>
      <c r="S810" s="1056"/>
      <c r="T810" s="1741"/>
      <c r="U810" s="1056"/>
      <c r="V810" s="199"/>
      <c r="W810" s="199"/>
      <c r="X810" s="199"/>
      <c r="Y810" s="199"/>
      <c r="Z810" s="199"/>
      <c r="AA810" s="199"/>
      <c r="AB810" s="199"/>
      <c r="AC810" s="199"/>
      <c r="AD810" s="199"/>
      <c r="AE810" s="199"/>
      <c r="AF810" s="199"/>
      <c r="AG810" s="199"/>
      <c r="AH810" s="199"/>
      <c r="AI810" s="199"/>
      <c r="AJ810" s="199"/>
      <c r="AK810" s="199"/>
      <c r="AL810" s="199"/>
      <c r="AM810" s="199"/>
    </row>
    <row r="811" spans="1:39">
      <c r="A811" s="712"/>
      <c r="B811" s="199"/>
      <c r="C811" s="1164"/>
      <c r="D811" s="1735"/>
      <c r="E811" s="712"/>
      <c r="F811" s="327"/>
      <c r="G811" s="1736"/>
      <c r="H811" s="712"/>
      <c r="I811" s="712"/>
      <c r="J811" s="199"/>
      <c r="K811" s="712"/>
      <c r="L811" s="712"/>
      <c r="M811" s="711"/>
      <c r="N811" s="1737"/>
      <c r="O811" s="711"/>
      <c r="P811" s="1738"/>
      <c r="Q811" s="1739"/>
      <c r="R811" s="1740"/>
      <c r="S811" s="1056"/>
      <c r="T811" s="1741"/>
      <c r="U811" s="1056"/>
      <c r="V811" s="199"/>
      <c r="W811" s="199"/>
      <c r="X811" s="199"/>
      <c r="Y811" s="199"/>
      <c r="Z811" s="199"/>
      <c r="AA811" s="199"/>
      <c r="AB811" s="199"/>
      <c r="AC811" s="199"/>
      <c r="AD811" s="199"/>
      <c r="AE811" s="199"/>
      <c r="AF811" s="199"/>
      <c r="AG811" s="199"/>
      <c r="AH811" s="199"/>
      <c r="AI811" s="199"/>
      <c r="AJ811" s="199"/>
      <c r="AK811" s="199"/>
      <c r="AL811" s="199"/>
      <c r="AM811" s="199"/>
    </row>
    <row r="812" spans="1:39">
      <c r="A812" s="712"/>
      <c r="B812" s="199"/>
      <c r="C812" s="1164"/>
      <c r="D812" s="1735"/>
      <c r="E812" s="712"/>
      <c r="F812" s="327"/>
      <c r="G812" s="1736"/>
      <c r="H812" s="712"/>
      <c r="I812" s="712"/>
      <c r="J812" s="199"/>
      <c r="K812" s="712"/>
      <c r="L812" s="712"/>
      <c r="M812" s="711"/>
      <c r="N812" s="1737"/>
      <c r="O812" s="711"/>
      <c r="P812" s="1738"/>
      <c r="Q812" s="1739"/>
      <c r="R812" s="1740"/>
      <c r="S812" s="1056"/>
      <c r="T812" s="1741"/>
      <c r="U812" s="1056"/>
      <c r="V812" s="199"/>
      <c r="W812" s="199"/>
      <c r="X812" s="199"/>
      <c r="Y812" s="199"/>
      <c r="Z812" s="199"/>
      <c r="AA812" s="199"/>
      <c r="AB812" s="199"/>
      <c r="AC812" s="199"/>
      <c r="AD812" s="199"/>
      <c r="AE812" s="199"/>
      <c r="AF812" s="199"/>
      <c r="AG812" s="199"/>
      <c r="AH812" s="199"/>
      <c r="AI812" s="199"/>
      <c r="AJ812" s="199"/>
      <c r="AK812" s="199"/>
      <c r="AL812" s="199"/>
      <c r="AM812" s="199"/>
    </row>
    <row r="813" spans="1:39">
      <c r="A813" s="712"/>
      <c r="B813" s="199"/>
      <c r="C813" s="1164"/>
      <c r="D813" s="1735"/>
      <c r="E813" s="712"/>
      <c r="F813" s="327"/>
      <c r="G813" s="1736"/>
      <c r="H813" s="712"/>
      <c r="I813" s="712"/>
      <c r="J813" s="199"/>
      <c r="K813" s="712"/>
      <c r="L813" s="712"/>
      <c r="M813" s="711"/>
      <c r="N813" s="1737"/>
      <c r="O813" s="711"/>
      <c r="P813" s="1738"/>
      <c r="Q813" s="1739"/>
      <c r="R813" s="1740"/>
      <c r="S813" s="1056"/>
      <c r="T813" s="1741"/>
      <c r="U813" s="1056"/>
      <c r="V813" s="199"/>
      <c r="W813" s="199"/>
      <c r="X813" s="199"/>
      <c r="Y813" s="199"/>
      <c r="Z813" s="199"/>
      <c r="AA813" s="199"/>
      <c r="AB813" s="199"/>
      <c r="AC813" s="199"/>
      <c r="AD813" s="199"/>
      <c r="AE813" s="199"/>
      <c r="AF813" s="199"/>
      <c r="AG813" s="199"/>
      <c r="AH813" s="199"/>
      <c r="AI813" s="199"/>
      <c r="AJ813" s="199"/>
      <c r="AK813" s="199"/>
      <c r="AL813" s="199"/>
      <c r="AM813" s="199"/>
    </row>
    <row r="814" spans="1:39">
      <c r="A814" s="712"/>
      <c r="B814" s="199"/>
      <c r="C814" s="1164"/>
      <c r="D814" s="1735"/>
      <c r="E814" s="712"/>
      <c r="F814" s="327"/>
      <c r="G814" s="1736"/>
      <c r="H814" s="712"/>
      <c r="I814" s="712"/>
      <c r="J814" s="199"/>
      <c r="K814" s="712"/>
      <c r="L814" s="712"/>
      <c r="M814" s="711"/>
      <c r="N814" s="1737"/>
      <c r="O814" s="711"/>
      <c r="P814" s="1738"/>
      <c r="Q814" s="1739"/>
      <c r="R814" s="1740"/>
      <c r="S814" s="1056"/>
      <c r="T814" s="1741"/>
      <c r="U814" s="1056"/>
      <c r="V814" s="199"/>
      <c r="W814" s="199"/>
      <c r="X814" s="199"/>
      <c r="Y814" s="199"/>
      <c r="Z814" s="199"/>
      <c r="AA814" s="199"/>
      <c r="AB814" s="199"/>
      <c r="AC814" s="199"/>
      <c r="AD814" s="199"/>
      <c r="AE814" s="199"/>
      <c r="AF814" s="199"/>
      <c r="AG814" s="199"/>
      <c r="AH814" s="199"/>
      <c r="AI814" s="199"/>
      <c r="AJ814" s="199"/>
      <c r="AK814" s="199"/>
      <c r="AL814" s="199"/>
      <c r="AM814" s="199"/>
    </row>
    <row r="815" spans="1:39">
      <c r="A815" s="712"/>
      <c r="B815" s="199"/>
      <c r="C815" s="1164"/>
      <c r="D815" s="1735"/>
      <c r="E815" s="712"/>
      <c r="F815" s="327"/>
      <c r="G815" s="1736"/>
      <c r="H815" s="712"/>
      <c r="I815" s="712"/>
      <c r="J815" s="199"/>
      <c r="K815" s="712"/>
      <c r="L815" s="712"/>
      <c r="M815" s="711"/>
      <c r="N815" s="1737"/>
      <c r="O815" s="711"/>
      <c r="P815" s="1738"/>
      <c r="Q815" s="1739"/>
      <c r="R815" s="1740"/>
      <c r="S815" s="1056"/>
      <c r="T815" s="1741"/>
      <c r="U815" s="1056"/>
      <c r="V815" s="199"/>
      <c r="W815" s="199"/>
      <c r="X815" s="199"/>
      <c r="Y815" s="199"/>
      <c r="Z815" s="199"/>
      <c r="AA815" s="199"/>
      <c r="AB815" s="199"/>
      <c r="AC815" s="199"/>
      <c r="AD815" s="199"/>
      <c r="AE815" s="199"/>
      <c r="AF815" s="199"/>
      <c r="AG815" s="199"/>
      <c r="AH815" s="199"/>
      <c r="AI815" s="199"/>
      <c r="AJ815" s="199"/>
      <c r="AK815" s="199"/>
      <c r="AL815" s="199"/>
      <c r="AM815" s="199"/>
    </row>
    <row r="816" spans="1:39">
      <c r="A816" s="712"/>
      <c r="B816" s="199"/>
      <c r="C816" s="1164"/>
      <c r="D816" s="1735"/>
      <c r="E816" s="712"/>
      <c r="F816" s="327"/>
      <c r="G816" s="1736"/>
      <c r="H816" s="712"/>
      <c r="I816" s="712"/>
      <c r="J816" s="199"/>
      <c r="K816" s="712"/>
      <c r="L816" s="712"/>
      <c r="M816" s="711"/>
      <c r="N816" s="1737"/>
      <c r="O816" s="711"/>
      <c r="P816" s="1738"/>
      <c r="Q816" s="1739"/>
      <c r="R816" s="1740"/>
      <c r="S816" s="1056"/>
      <c r="T816" s="1741"/>
      <c r="U816" s="1056"/>
      <c r="V816" s="199"/>
      <c r="W816" s="199"/>
      <c r="X816" s="199"/>
      <c r="Y816" s="199"/>
      <c r="Z816" s="199"/>
      <c r="AA816" s="199"/>
      <c r="AB816" s="199"/>
      <c r="AC816" s="199"/>
      <c r="AD816" s="199"/>
      <c r="AE816" s="199"/>
      <c r="AF816" s="199"/>
      <c r="AG816" s="199"/>
      <c r="AH816" s="199"/>
      <c r="AI816" s="199"/>
      <c r="AJ816" s="199"/>
      <c r="AK816" s="199"/>
      <c r="AL816" s="199"/>
      <c r="AM816" s="199"/>
    </row>
    <row r="817" spans="1:39">
      <c r="A817" s="712"/>
      <c r="B817" s="199"/>
      <c r="C817" s="1164"/>
      <c r="D817" s="1735"/>
      <c r="E817" s="712"/>
      <c r="F817" s="327"/>
      <c r="G817" s="1736"/>
      <c r="H817" s="712"/>
      <c r="I817" s="712"/>
      <c r="J817" s="199"/>
      <c r="K817" s="712"/>
      <c r="L817" s="712"/>
      <c r="M817" s="711"/>
      <c r="N817" s="1737"/>
      <c r="O817" s="711"/>
      <c r="P817" s="1738"/>
      <c r="Q817" s="1739"/>
      <c r="R817" s="1740"/>
      <c r="S817" s="1056"/>
      <c r="T817" s="1741"/>
      <c r="U817" s="1056"/>
      <c r="V817" s="199"/>
      <c r="W817" s="199"/>
      <c r="X817" s="199"/>
      <c r="Y817" s="199"/>
      <c r="Z817" s="199"/>
      <c r="AA817" s="199"/>
      <c r="AB817" s="199"/>
      <c r="AC817" s="199"/>
      <c r="AD817" s="199"/>
      <c r="AE817" s="199"/>
      <c r="AF817" s="199"/>
      <c r="AG817" s="199"/>
      <c r="AH817" s="199"/>
      <c r="AI817" s="199"/>
      <c r="AJ817" s="199"/>
      <c r="AK817" s="199"/>
      <c r="AL817" s="199"/>
      <c r="AM817" s="199"/>
    </row>
    <row r="818" spans="1:39">
      <c r="A818" s="712"/>
      <c r="B818" s="199"/>
      <c r="C818" s="1164"/>
      <c r="D818" s="1735"/>
      <c r="E818" s="712"/>
      <c r="F818" s="327"/>
      <c r="G818" s="1736"/>
      <c r="H818" s="712"/>
      <c r="I818" s="712"/>
      <c r="J818" s="199"/>
      <c r="K818" s="712"/>
      <c r="L818" s="712"/>
      <c r="M818" s="711"/>
      <c r="N818" s="1737"/>
      <c r="O818" s="711"/>
      <c r="P818" s="1738"/>
      <c r="Q818" s="1739"/>
      <c r="R818" s="1740"/>
      <c r="S818" s="1056"/>
      <c r="T818" s="1741"/>
      <c r="U818" s="1056"/>
      <c r="V818" s="199"/>
      <c r="W818" s="199"/>
      <c r="X818" s="199"/>
      <c r="Y818" s="199"/>
      <c r="Z818" s="199"/>
      <c r="AA818" s="199"/>
      <c r="AB818" s="199"/>
      <c r="AC818" s="199"/>
      <c r="AD818" s="199"/>
      <c r="AE818" s="199"/>
      <c r="AF818" s="199"/>
      <c r="AG818" s="199"/>
      <c r="AH818" s="199"/>
      <c r="AI818" s="199"/>
      <c r="AJ818" s="199"/>
      <c r="AK818" s="199"/>
      <c r="AL818" s="199"/>
      <c r="AM818" s="199"/>
    </row>
    <row r="819" spans="1:39">
      <c r="A819" s="90"/>
      <c r="C819" s="1742"/>
      <c r="D819" s="1743"/>
      <c r="E819" s="90"/>
      <c r="F819" s="3"/>
      <c r="G819" s="184"/>
      <c r="H819" s="90"/>
      <c r="I819" s="90"/>
      <c r="K819" s="90"/>
      <c r="L819" s="90"/>
      <c r="M819" s="90"/>
      <c r="N819" s="1744"/>
      <c r="O819" s="90"/>
      <c r="Q819" s="5"/>
      <c r="R819" s="1745"/>
      <c r="S819" s="430"/>
      <c r="T819" s="1746"/>
      <c r="U819" s="430"/>
    </row>
    <row r="820" spans="1:39">
      <c r="A820" s="90"/>
      <c r="C820" s="1742"/>
      <c r="D820" s="1743"/>
      <c r="E820" s="90"/>
      <c r="F820" s="3"/>
      <c r="G820" s="184"/>
      <c r="H820" s="90"/>
      <c r="I820" s="90"/>
      <c r="K820" s="90"/>
      <c r="L820" s="90"/>
      <c r="M820" s="90"/>
      <c r="N820" s="1744"/>
      <c r="O820" s="90"/>
      <c r="Q820" s="5"/>
      <c r="R820" s="1745"/>
      <c r="S820" s="430"/>
      <c r="T820" s="1746"/>
      <c r="U820" s="430"/>
    </row>
    <row r="821" spans="1:39">
      <c r="A821" s="90"/>
      <c r="C821" s="1742"/>
      <c r="D821" s="1743"/>
      <c r="E821" s="90"/>
      <c r="F821" s="3"/>
      <c r="G821" s="184"/>
      <c r="H821" s="90"/>
      <c r="I821" s="90"/>
      <c r="K821" s="90"/>
      <c r="L821" s="90"/>
      <c r="M821" s="90"/>
      <c r="N821" s="1744"/>
      <c r="O821" s="90"/>
      <c r="Q821" s="5"/>
      <c r="R821" s="1745"/>
      <c r="S821" s="430"/>
      <c r="T821" s="1746"/>
      <c r="U821" s="430"/>
    </row>
    <row r="822" spans="1:39">
      <c r="A822" s="90"/>
      <c r="C822" s="1742"/>
      <c r="D822" s="1743"/>
      <c r="E822" s="90"/>
      <c r="F822" s="3"/>
      <c r="G822" s="184"/>
      <c r="H822" s="90"/>
      <c r="I822" s="90"/>
      <c r="K822" s="90"/>
      <c r="L822" s="90"/>
      <c r="M822" s="90"/>
      <c r="N822" s="1744"/>
      <c r="O822" s="90"/>
      <c r="Q822" s="5"/>
      <c r="R822" s="1745"/>
      <c r="S822" s="430"/>
      <c r="T822" s="1746"/>
      <c r="U822" s="430"/>
    </row>
    <row r="823" spans="1:39">
      <c r="A823" s="90"/>
      <c r="C823" s="1742"/>
      <c r="D823" s="1743"/>
      <c r="E823" s="90"/>
      <c r="F823" s="3"/>
      <c r="G823" s="184"/>
      <c r="H823" s="90"/>
      <c r="I823" s="90"/>
      <c r="K823" s="90"/>
      <c r="L823" s="90"/>
      <c r="M823" s="90"/>
      <c r="N823" s="1744"/>
      <c r="O823" s="90"/>
      <c r="Q823" s="5"/>
      <c r="R823" s="1745"/>
      <c r="S823" s="430"/>
      <c r="T823" s="1746"/>
      <c r="U823" s="430"/>
    </row>
    <row r="824" spans="1:39">
      <c r="A824" s="90"/>
      <c r="C824" s="1742"/>
      <c r="D824" s="1743"/>
      <c r="E824" s="90"/>
      <c r="F824" s="3"/>
      <c r="G824" s="184"/>
      <c r="H824" s="90"/>
      <c r="I824" s="90"/>
      <c r="K824" s="90"/>
      <c r="L824" s="90"/>
      <c r="M824" s="90"/>
      <c r="N824" s="1744"/>
      <c r="O824" s="90"/>
      <c r="Q824" s="5"/>
      <c r="R824" s="1745"/>
      <c r="S824" s="430"/>
      <c r="T824" s="1746"/>
      <c r="U824" s="430"/>
    </row>
    <row r="825" spans="1:39">
      <c r="A825" s="90"/>
      <c r="C825" s="1742"/>
      <c r="D825" s="1743"/>
      <c r="E825" s="90"/>
      <c r="F825" s="3"/>
      <c r="G825" s="184"/>
      <c r="H825" s="90"/>
      <c r="I825" s="90"/>
      <c r="K825" s="90"/>
      <c r="L825" s="90"/>
      <c r="M825" s="90"/>
      <c r="N825" s="1744"/>
      <c r="O825" s="90"/>
      <c r="Q825" s="5"/>
      <c r="R825" s="1745"/>
      <c r="S825" s="430"/>
      <c r="T825" s="1746"/>
      <c r="U825" s="430"/>
    </row>
    <row r="826" spans="1:39">
      <c r="A826" s="90"/>
      <c r="C826" s="1742"/>
      <c r="D826" s="1743"/>
      <c r="E826" s="90"/>
      <c r="F826" s="3"/>
      <c r="G826" s="184"/>
      <c r="H826" s="90"/>
      <c r="I826" s="90"/>
      <c r="K826" s="90"/>
      <c r="L826" s="90"/>
      <c r="M826" s="90"/>
      <c r="N826" s="1744"/>
      <c r="O826" s="90"/>
      <c r="Q826" s="5"/>
      <c r="R826" s="1745"/>
      <c r="S826" s="430"/>
      <c r="T826" s="1746"/>
      <c r="U826" s="430"/>
    </row>
    <row r="827" spans="1:39">
      <c r="A827" s="90"/>
      <c r="C827" s="1742"/>
      <c r="D827" s="1743"/>
      <c r="E827" s="90"/>
      <c r="F827" s="3"/>
      <c r="G827" s="184"/>
      <c r="H827" s="90"/>
      <c r="I827" s="90"/>
      <c r="K827" s="90"/>
      <c r="L827" s="90"/>
      <c r="M827" s="90"/>
      <c r="N827" s="1744"/>
      <c r="O827" s="90"/>
      <c r="Q827" s="5"/>
      <c r="R827" s="1745"/>
      <c r="S827" s="430"/>
      <c r="T827" s="1746"/>
      <c r="U827" s="430"/>
    </row>
    <row r="828" spans="1:39">
      <c r="A828" s="90"/>
      <c r="C828" s="1742"/>
      <c r="D828" s="1743"/>
      <c r="E828" s="90"/>
      <c r="F828" s="3"/>
      <c r="G828" s="184"/>
      <c r="H828" s="90"/>
      <c r="I828" s="90"/>
      <c r="K828" s="90"/>
      <c r="L828" s="90"/>
      <c r="M828" s="90"/>
      <c r="N828" s="1744"/>
      <c r="O828" s="90"/>
      <c r="Q828" s="5"/>
      <c r="R828" s="1745"/>
      <c r="S828" s="430"/>
      <c r="T828" s="1746"/>
      <c r="U828" s="430"/>
    </row>
    <row r="829" spans="1:39">
      <c r="A829" s="90"/>
      <c r="C829" s="1742"/>
      <c r="D829" s="1743"/>
      <c r="E829" s="90"/>
      <c r="F829" s="3"/>
      <c r="G829" s="184"/>
      <c r="H829" s="90"/>
      <c r="I829" s="90"/>
      <c r="K829" s="90"/>
      <c r="L829" s="90"/>
      <c r="M829" s="90"/>
      <c r="N829" s="1744"/>
      <c r="O829" s="90"/>
      <c r="Q829" s="5"/>
      <c r="R829" s="1745"/>
      <c r="S829" s="430"/>
      <c r="T829" s="1746"/>
      <c r="U829" s="430"/>
    </row>
    <row r="830" spans="1:39">
      <c r="A830" s="90"/>
      <c r="C830" s="1742"/>
      <c r="D830" s="1743"/>
      <c r="E830" s="90"/>
      <c r="F830" s="3"/>
      <c r="G830" s="184"/>
      <c r="H830" s="90"/>
      <c r="I830" s="90"/>
      <c r="K830" s="90"/>
      <c r="L830" s="90"/>
      <c r="M830" s="90"/>
      <c r="N830" s="1744"/>
      <c r="O830" s="90"/>
      <c r="Q830" s="5"/>
      <c r="R830" s="1745"/>
      <c r="S830" s="430"/>
      <c r="T830" s="1746"/>
      <c r="U830" s="430"/>
    </row>
    <row r="831" spans="1:39">
      <c r="A831" s="90"/>
      <c r="C831" s="1742"/>
      <c r="D831" s="1743"/>
      <c r="E831" s="90"/>
      <c r="F831" s="3"/>
      <c r="G831" s="184"/>
      <c r="H831" s="90"/>
      <c r="I831" s="90"/>
      <c r="K831" s="90"/>
      <c r="L831" s="90"/>
      <c r="M831" s="90"/>
      <c r="N831" s="1744"/>
      <c r="O831" s="90"/>
      <c r="Q831" s="5"/>
      <c r="R831" s="1745"/>
      <c r="S831" s="430"/>
      <c r="T831" s="1746"/>
      <c r="U831" s="430"/>
    </row>
    <row r="832" spans="1:39">
      <c r="A832" s="90"/>
      <c r="C832" s="1742"/>
      <c r="D832" s="1743"/>
      <c r="E832" s="90"/>
      <c r="F832" s="3"/>
      <c r="G832" s="184"/>
      <c r="H832" s="90"/>
      <c r="I832" s="90"/>
      <c r="K832" s="90"/>
      <c r="L832" s="90"/>
      <c r="M832" s="90"/>
      <c r="N832" s="1744"/>
      <c r="O832" s="90"/>
      <c r="Q832" s="5"/>
      <c r="R832" s="1745"/>
      <c r="S832" s="430"/>
      <c r="T832" s="1746"/>
      <c r="U832" s="430"/>
    </row>
    <row r="833" spans="1:21">
      <c r="A833" s="90"/>
      <c r="C833" s="1742"/>
      <c r="D833" s="1743"/>
      <c r="E833" s="90"/>
      <c r="F833" s="3"/>
      <c r="G833" s="184"/>
      <c r="H833" s="90"/>
      <c r="I833" s="90"/>
      <c r="K833" s="90"/>
      <c r="L833" s="90"/>
      <c r="M833" s="90"/>
      <c r="N833" s="1744"/>
      <c r="O833" s="90"/>
      <c r="Q833" s="5"/>
      <c r="R833" s="1745"/>
      <c r="S833" s="430"/>
      <c r="T833" s="1746"/>
      <c r="U833" s="430"/>
    </row>
    <row r="834" spans="1:21">
      <c r="A834" s="90"/>
      <c r="C834" s="1742"/>
      <c r="D834" s="1743"/>
      <c r="E834" s="90"/>
      <c r="F834" s="3"/>
      <c r="G834" s="184"/>
      <c r="H834" s="90"/>
      <c r="I834" s="90"/>
      <c r="K834" s="90"/>
      <c r="L834" s="90"/>
      <c r="M834" s="90"/>
      <c r="N834" s="1744"/>
      <c r="O834" s="90"/>
      <c r="Q834" s="5"/>
      <c r="R834" s="1745"/>
      <c r="S834" s="430"/>
      <c r="T834" s="1746"/>
      <c r="U834" s="430"/>
    </row>
    <row r="835" spans="1:21">
      <c r="A835" s="90"/>
      <c r="C835" s="1742"/>
      <c r="D835" s="1743"/>
      <c r="E835" s="90"/>
      <c r="F835" s="3"/>
      <c r="G835" s="184"/>
      <c r="H835" s="90"/>
      <c r="I835" s="90"/>
      <c r="K835" s="90"/>
      <c r="L835" s="90"/>
      <c r="M835" s="90"/>
      <c r="N835" s="1744"/>
      <c r="O835" s="90"/>
      <c r="Q835" s="5"/>
      <c r="R835" s="1745"/>
      <c r="S835" s="430"/>
      <c r="T835" s="1746"/>
      <c r="U835" s="430"/>
    </row>
    <row r="836" spans="1:21">
      <c r="A836" s="90"/>
      <c r="C836" s="1742"/>
      <c r="D836" s="1743"/>
      <c r="E836" s="90"/>
      <c r="F836" s="3"/>
      <c r="G836" s="184"/>
      <c r="H836" s="90"/>
      <c r="I836" s="90"/>
      <c r="K836" s="90"/>
      <c r="L836" s="90"/>
      <c r="M836" s="90"/>
      <c r="N836" s="1744"/>
      <c r="O836" s="90"/>
      <c r="Q836" s="5"/>
      <c r="R836" s="1745"/>
      <c r="S836" s="430"/>
      <c r="T836" s="1746"/>
      <c r="U836" s="430"/>
    </row>
    <row r="837" spans="1:21">
      <c r="A837" s="90"/>
      <c r="C837" s="1742"/>
      <c r="D837" s="1743"/>
      <c r="E837" s="90"/>
      <c r="F837" s="3"/>
      <c r="G837" s="184"/>
      <c r="H837" s="90"/>
      <c r="I837" s="90"/>
      <c r="K837" s="90"/>
      <c r="L837" s="90"/>
      <c r="M837" s="90"/>
      <c r="N837" s="1744"/>
      <c r="O837" s="90"/>
      <c r="Q837" s="5"/>
      <c r="R837" s="1745"/>
      <c r="S837" s="430"/>
      <c r="T837" s="1746"/>
      <c r="U837" s="430"/>
    </row>
    <row r="838" spans="1:21">
      <c r="A838" s="90"/>
      <c r="C838" s="1742"/>
      <c r="D838" s="1743"/>
      <c r="E838" s="90"/>
      <c r="F838" s="3"/>
      <c r="G838" s="184"/>
      <c r="H838" s="90"/>
      <c r="I838" s="90"/>
      <c r="K838" s="90"/>
      <c r="L838" s="90"/>
      <c r="M838" s="90"/>
      <c r="N838" s="1744"/>
      <c r="O838" s="90"/>
      <c r="Q838" s="5"/>
      <c r="R838" s="1745"/>
      <c r="S838" s="430"/>
      <c r="T838" s="1746"/>
      <c r="U838" s="430"/>
    </row>
    <row r="839" spans="1:21">
      <c r="A839" s="90"/>
      <c r="C839" s="1742"/>
      <c r="D839" s="1743"/>
      <c r="E839" s="90"/>
      <c r="F839" s="3"/>
      <c r="G839" s="184"/>
      <c r="H839" s="90"/>
      <c r="I839" s="90"/>
      <c r="K839" s="90"/>
      <c r="L839" s="90"/>
      <c r="M839" s="90"/>
      <c r="N839" s="1744"/>
      <c r="O839" s="90"/>
      <c r="Q839" s="5"/>
      <c r="R839" s="1745"/>
      <c r="S839" s="430"/>
      <c r="T839" s="1746"/>
      <c r="U839" s="430"/>
    </row>
    <row r="840" spans="1:21">
      <c r="A840" s="90"/>
      <c r="C840" s="1742"/>
      <c r="D840" s="1743"/>
      <c r="E840" s="90"/>
      <c r="F840" s="3"/>
      <c r="G840" s="184"/>
      <c r="H840" s="90"/>
      <c r="I840" s="90"/>
      <c r="K840" s="90"/>
      <c r="L840" s="90"/>
      <c r="M840" s="90"/>
      <c r="N840" s="1744"/>
      <c r="O840" s="90"/>
      <c r="Q840" s="5"/>
      <c r="R840" s="1745"/>
      <c r="S840" s="430"/>
      <c r="T840" s="1746"/>
      <c r="U840" s="430"/>
    </row>
    <row r="841" spans="1:21">
      <c r="A841" s="90"/>
      <c r="C841" s="1742"/>
      <c r="D841" s="1743"/>
      <c r="E841" s="90"/>
      <c r="F841" s="3"/>
      <c r="G841" s="184"/>
      <c r="H841" s="90"/>
      <c r="I841" s="90"/>
      <c r="K841" s="90"/>
      <c r="L841" s="90"/>
      <c r="M841" s="90"/>
      <c r="N841" s="1744"/>
      <c r="O841" s="90"/>
      <c r="Q841" s="5"/>
      <c r="R841" s="1745"/>
      <c r="S841" s="430"/>
      <c r="T841" s="1746"/>
      <c r="U841" s="430"/>
    </row>
    <row r="842" spans="1:21">
      <c r="A842" s="90"/>
      <c r="C842" s="1742"/>
      <c r="D842" s="1743"/>
      <c r="E842" s="90"/>
      <c r="F842" s="3"/>
      <c r="G842" s="184"/>
      <c r="H842" s="90"/>
      <c r="I842" s="90"/>
      <c r="K842" s="90"/>
      <c r="L842" s="90"/>
      <c r="M842" s="90"/>
      <c r="N842" s="1744"/>
      <c r="O842" s="90"/>
      <c r="Q842" s="5"/>
      <c r="R842" s="1745"/>
      <c r="S842" s="430"/>
      <c r="T842" s="1746"/>
      <c r="U842" s="430"/>
    </row>
    <row r="843" spans="1:21">
      <c r="A843" s="90"/>
      <c r="C843" s="1742"/>
      <c r="D843" s="1743"/>
      <c r="E843" s="90"/>
      <c r="F843" s="3"/>
      <c r="G843" s="184"/>
      <c r="H843" s="90"/>
      <c r="I843" s="90"/>
      <c r="K843" s="90"/>
      <c r="L843" s="90"/>
      <c r="M843" s="90"/>
      <c r="N843" s="1744"/>
      <c r="O843" s="90"/>
      <c r="Q843" s="5"/>
      <c r="R843" s="1745"/>
      <c r="S843" s="430"/>
      <c r="T843" s="1746"/>
      <c r="U843" s="430"/>
    </row>
    <row r="844" spans="1:21">
      <c r="A844" s="90"/>
      <c r="C844" s="1742"/>
      <c r="D844" s="1743"/>
      <c r="E844" s="90"/>
      <c r="F844" s="3"/>
      <c r="G844" s="184"/>
      <c r="H844" s="90"/>
      <c r="I844" s="90"/>
      <c r="K844" s="90"/>
      <c r="L844" s="90"/>
      <c r="M844" s="90"/>
      <c r="N844" s="1744"/>
      <c r="O844" s="90"/>
      <c r="Q844" s="5"/>
      <c r="R844" s="1745"/>
      <c r="S844" s="430"/>
      <c r="T844" s="1746"/>
      <c r="U844" s="430"/>
    </row>
    <row r="845" spans="1:21">
      <c r="A845" s="90"/>
      <c r="C845" s="1742"/>
      <c r="D845" s="1743"/>
      <c r="E845" s="90"/>
      <c r="F845" s="3"/>
      <c r="G845" s="184"/>
      <c r="H845" s="90"/>
      <c r="I845" s="90"/>
      <c r="K845" s="90"/>
      <c r="L845" s="90"/>
      <c r="M845" s="90"/>
      <c r="N845" s="1744"/>
      <c r="O845" s="90"/>
      <c r="Q845" s="5"/>
      <c r="R845" s="1745"/>
      <c r="S845" s="430"/>
      <c r="T845" s="1746"/>
      <c r="U845" s="430"/>
    </row>
    <row r="846" spans="1:21">
      <c r="A846" s="90"/>
      <c r="C846" s="1742"/>
      <c r="D846" s="1743"/>
      <c r="E846" s="90"/>
      <c r="F846" s="3"/>
      <c r="G846" s="184"/>
      <c r="H846" s="90"/>
      <c r="I846" s="90"/>
      <c r="K846" s="90"/>
      <c r="L846" s="90"/>
      <c r="M846" s="90"/>
      <c r="N846" s="1744"/>
      <c r="O846" s="90"/>
      <c r="Q846" s="5"/>
      <c r="R846" s="1745"/>
      <c r="S846" s="430"/>
      <c r="T846" s="1746"/>
      <c r="U846" s="430"/>
    </row>
    <row r="847" spans="1:21">
      <c r="A847" s="90"/>
      <c r="C847" s="1742"/>
      <c r="D847" s="1743"/>
      <c r="E847" s="90"/>
      <c r="F847" s="3"/>
      <c r="G847" s="184"/>
      <c r="H847" s="90"/>
      <c r="I847" s="90"/>
      <c r="K847" s="90"/>
      <c r="L847" s="90"/>
      <c r="M847" s="90"/>
      <c r="N847" s="1744"/>
      <c r="O847" s="90"/>
      <c r="Q847" s="5"/>
      <c r="R847" s="1745"/>
      <c r="S847" s="430"/>
      <c r="T847" s="1746"/>
      <c r="U847" s="430"/>
    </row>
    <row r="848" spans="1:21">
      <c r="A848" s="90"/>
      <c r="C848" s="1742"/>
      <c r="D848" s="1743"/>
      <c r="E848" s="90"/>
      <c r="F848" s="3"/>
      <c r="G848" s="184"/>
      <c r="H848" s="90"/>
      <c r="I848" s="90"/>
      <c r="K848" s="90"/>
      <c r="L848" s="90"/>
      <c r="M848" s="90"/>
      <c r="N848" s="1744"/>
      <c r="O848" s="90"/>
      <c r="Q848" s="5"/>
      <c r="R848" s="1745"/>
      <c r="S848" s="430"/>
      <c r="T848" s="1746"/>
      <c r="U848" s="430"/>
    </row>
    <row r="849" spans="1:21">
      <c r="A849" s="90"/>
      <c r="C849" s="1742"/>
      <c r="D849" s="1743"/>
      <c r="E849" s="90"/>
      <c r="F849" s="3"/>
      <c r="G849" s="184"/>
      <c r="H849" s="90"/>
      <c r="I849" s="90"/>
      <c r="K849" s="90"/>
      <c r="L849" s="90"/>
      <c r="M849" s="90"/>
      <c r="N849" s="1744"/>
      <c r="O849" s="90"/>
      <c r="Q849" s="5"/>
      <c r="R849" s="1745"/>
      <c r="S849" s="430"/>
      <c r="T849" s="1746"/>
      <c r="U849" s="430"/>
    </row>
    <row r="850" spans="1:21">
      <c r="A850" s="90"/>
      <c r="C850" s="1742"/>
      <c r="D850" s="1743"/>
      <c r="E850" s="90"/>
      <c r="F850" s="3"/>
      <c r="G850" s="184"/>
      <c r="H850" s="90"/>
      <c r="I850" s="90"/>
      <c r="K850" s="90"/>
      <c r="L850" s="90"/>
      <c r="M850" s="90"/>
      <c r="N850" s="1744"/>
      <c r="O850" s="90"/>
      <c r="Q850" s="5"/>
      <c r="R850" s="1745"/>
      <c r="S850" s="430"/>
      <c r="T850" s="1746"/>
      <c r="U850" s="430"/>
    </row>
    <row r="851" spans="1:21">
      <c r="A851" s="90"/>
      <c r="C851" s="1742"/>
      <c r="D851" s="1743"/>
      <c r="E851" s="90"/>
      <c r="F851" s="3"/>
      <c r="G851" s="184"/>
      <c r="H851" s="90"/>
      <c r="I851" s="90"/>
      <c r="K851" s="90"/>
      <c r="L851" s="90"/>
      <c r="M851" s="90"/>
      <c r="N851" s="1744"/>
      <c r="O851" s="90"/>
      <c r="Q851" s="5"/>
      <c r="R851" s="1745"/>
      <c r="S851" s="430"/>
      <c r="T851" s="1746"/>
      <c r="U851" s="430"/>
    </row>
    <row r="852" spans="1:21">
      <c r="A852" s="90"/>
      <c r="C852" s="1742"/>
      <c r="D852" s="1743"/>
      <c r="E852" s="90"/>
      <c r="F852" s="3"/>
      <c r="G852" s="184"/>
      <c r="H852" s="90"/>
      <c r="I852" s="90"/>
      <c r="K852" s="90"/>
      <c r="L852" s="90"/>
      <c r="M852" s="90"/>
      <c r="N852" s="1744"/>
      <c r="O852" s="90"/>
      <c r="Q852" s="5"/>
      <c r="R852" s="1745"/>
      <c r="S852" s="430"/>
      <c r="T852" s="1746"/>
      <c r="U852" s="430"/>
    </row>
    <row r="853" spans="1:21">
      <c r="A853" s="90"/>
      <c r="C853" s="1742"/>
      <c r="D853" s="1743"/>
      <c r="E853" s="90"/>
      <c r="F853" s="3"/>
      <c r="G853" s="184"/>
      <c r="H853" s="90"/>
      <c r="I853" s="90"/>
      <c r="K853" s="90"/>
      <c r="L853" s="90"/>
      <c r="M853" s="90"/>
      <c r="N853" s="1744"/>
      <c r="O853" s="90"/>
      <c r="Q853" s="5"/>
      <c r="R853" s="1745"/>
      <c r="S853" s="430"/>
      <c r="T853" s="1746"/>
      <c r="U853" s="430"/>
    </row>
    <row r="854" spans="1:21">
      <c r="A854" s="90"/>
      <c r="C854" s="1742"/>
      <c r="D854" s="1743"/>
      <c r="E854" s="90"/>
      <c r="F854" s="3"/>
      <c r="G854" s="184"/>
      <c r="H854" s="90"/>
      <c r="I854" s="90"/>
      <c r="K854" s="90"/>
      <c r="L854" s="90"/>
      <c r="M854" s="90"/>
      <c r="N854" s="1744"/>
      <c r="O854" s="90"/>
      <c r="Q854" s="5"/>
      <c r="R854" s="1745"/>
      <c r="S854" s="430"/>
      <c r="T854" s="1746"/>
      <c r="U854" s="430"/>
    </row>
    <row r="855" spans="1:21">
      <c r="A855" s="90"/>
      <c r="C855" s="1742"/>
      <c r="D855" s="1743"/>
      <c r="E855" s="90"/>
      <c r="F855" s="3"/>
      <c r="G855" s="184"/>
      <c r="H855" s="90"/>
      <c r="I855" s="90"/>
      <c r="K855" s="90"/>
      <c r="L855" s="90"/>
      <c r="M855" s="90"/>
      <c r="N855" s="1744"/>
      <c r="O855" s="90"/>
      <c r="Q855" s="5"/>
      <c r="R855" s="1745"/>
      <c r="S855" s="430"/>
      <c r="T855" s="1746"/>
      <c r="U855" s="430"/>
    </row>
    <row r="856" spans="1:21">
      <c r="A856" s="90"/>
      <c r="C856" s="1742"/>
      <c r="D856" s="1743"/>
      <c r="E856" s="90"/>
      <c r="F856" s="3"/>
      <c r="G856" s="184"/>
      <c r="H856" s="90"/>
      <c r="I856" s="90"/>
      <c r="K856" s="90"/>
      <c r="L856" s="90"/>
      <c r="M856" s="90"/>
      <c r="N856" s="1744"/>
      <c r="O856" s="90"/>
      <c r="Q856" s="5"/>
      <c r="R856" s="1745"/>
      <c r="S856" s="430"/>
      <c r="T856" s="1746"/>
      <c r="U856" s="430"/>
    </row>
    <row r="857" spans="1:21">
      <c r="A857" s="90"/>
      <c r="C857" s="1742"/>
      <c r="D857" s="1743"/>
      <c r="E857" s="90"/>
      <c r="F857" s="3"/>
      <c r="G857" s="184"/>
      <c r="H857" s="90"/>
      <c r="I857" s="90"/>
      <c r="K857" s="90"/>
      <c r="L857" s="90"/>
      <c r="M857" s="90"/>
      <c r="N857" s="1744"/>
      <c r="O857" s="90"/>
      <c r="Q857" s="5"/>
      <c r="R857" s="1745"/>
      <c r="S857" s="430"/>
      <c r="T857" s="1746"/>
      <c r="U857" s="430"/>
    </row>
    <row r="858" spans="1:21">
      <c r="A858" s="90"/>
      <c r="C858" s="1742"/>
      <c r="D858" s="1743"/>
      <c r="E858" s="90"/>
      <c r="F858" s="3"/>
      <c r="G858" s="184"/>
      <c r="H858" s="90"/>
      <c r="I858" s="90"/>
      <c r="K858" s="90"/>
      <c r="L858" s="90"/>
      <c r="M858" s="90"/>
      <c r="N858" s="1744"/>
      <c r="O858" s="90"/>
      <c r="Q858" s="5"/>
      <c r="R858" s="1745"/>
      <c r="S858" s="430"/>
      <c r="T858" s="1746"/>
      <c r="U858" s="430"/>
    </row>
    <row r="859" spans="1:21">
      <c r="A859" s="90"/>
      <c r="C859" s="1742"/>
      <c r="D859" s="1743"/>
      <c r="E859" s="90"/>
      <c r="F859" s="3"/>
      <c r="G859" s="184"/>
      <c r="H859" s="90"/>
      <c r="I859" s="90"/>
      <c r="K859" s="90"/>
      <c r="L859" s="90"/>
      <c r="M859" s="90"/>
      <c r="N859" s="1744"/>
      <c r="O859" s="90"/>
      <c r="Q859" s="5"/>
      <c r="R859" s="1745"/>
      <c r="S859" s="430"/>
      <c r="T859" s="1746"/>
      <c r="U859" s="430"/>
    </row>
    <row r="860" spans="1:21">
      <c r="A860" s="90"/>
      <c r="C860" s="1742"/>
      <c r="D860" s="1743"/>
      <c r="E860" s="90"/>
      <c r="F860" s="3"/>
      <c r="G860" s="184"/>
      <c r="H860" s="90"/>
      <c r="I860" s="90"/>
      <c r="K860" s="90"/>
      <c r="L860" s="90"/>
      <c r="M860" s="90"/>
      <c r="N860" s="1744"/>
      <c r="O860" s="90"/>
      <c r="Q860" s="5"/>
      <c r="R860" s="1745"/>
      <c r="S860" s="430"/>
      <c r="T860" s="1746"/>
      <c r="U860" s="430"/>
    </row>
    <row r="861" spans="1:21">
      <c r="A861" s="90"/>
      <c r="C861" s="1742"/>
      <c r="D861" s="1743"/>
      <c r="E861" s="90"/>
      <c r="F861" s="3"/>
      <c r="G861" s="184"/>
      <c r="H861" s="90"/>
      <c r="I861" s="90"/>
      <c r="K861" s="90"/>
      <c r="L861" s="90"/>
      <c r="M861" s="90"/>
      <c r="N861" s="1744"/>
      <c r="O861" s="90"/>
      <c r="Q861" s="5"/>
      <c r="R861" s="1745"/>
      <c r="S861" s="430"/>
      <c r="T861" s="1746"/>
      <c r="U861" s="430"/>
    </row>
    <row r="862" spans="1:21">
      <c r="A862" s="90"/>
      <c r="C862" s="1742"/>
      <c r="D862" s="1743"/>
      <c r="E862" s="90"/>
      <c r="F862" s="3"/>
      <c r="G862" s="184"/>
      <c r="H862" s="90"/>
      <c r="I862" s="90"/>
      <c r="K862" s="90"/>
      <c r="L862" s="90"/>
      <c r="M862" s="90"/>
      <c r="N862" s="1744"/>
      <c r="O862" s="90"/>
      <c r="Q862" s="5"/>
      <c r="R862" s="1745"/>
      <c r="S862" s="430"/>
      <c r="T862" s="1746"/>
      <c r="U862" s="430"/>
    </row>
    <row r="863" spans="1:21">
      <c r="A863" s="90"/>
      <c r="C863" s="1742"/>
      <c r="D863" s="1743"/>
      <c r="E863" s="90"/>
      <c r="F863" s="3"/>
      <c r="G863" s="184"/>
      <c r="H863" s="90"/>
      <c r="I863" s="90"/>
      <c r="K863" s="90"/>
      <c r="L863" s="90"/>
      <c r="M863" s="90"/>
      <c r="N863" s="1744"/>
      <c r="O863" s="90"/>
      <c r="Q863" s="5"/>
      <c r="R863" s="1745"/>
      <c r="S863" s="430"/>
      <c r="T863" s="1746"/>
      <c r="U863" s="430"/>
    </row>
    <row r="864" spans="1:21">
      <c r="A864" s="90"/>
      <c r="C864" s="1742"/>
      <c r="D864" s="1743"/>
      <c r="E864" s="90"/>
      <c r="F864" s="3"/>
      <c r="G864" s="184"/>
      <c r="H864" s="90"/>
      <c r="I864" s="90"/>
      <c r="K864" s="90"/>
      <c r="L864" s="90"/>
      <c r="M864" s="90"/>
      <c r="N864" s="1744"/>
      <c r="O864" s="90"/>
      <c r="Q864" s="5"/>
      <c r="R864" s="1745"/>
      <c r="S864" s="430"/>
      <c r="T864" s="1746"/>
      <c r="U864" s="430"/>
    </row>
    <row r="865" spans="1:21">
      <c r="A865" s="90"/>
      <c r="C865" s="1742"/>
      <c r="D865" s="1743"/>
      <c r="E865" s="90"/>
      <c r="F865" s="3"/>
      <c r="G865" s="184"/>
      <c r="H865" s="90"/>
      <c r="I865" s="90"/>
      <c r="K865" s="90"/>
      <c r="L865" s="90"/>
      <c r="M865" s="90"/>
      <c r="N865" s="1744"/>
      <c r="O865" s="90"/>
      <c r="Q865" s="5"/>
      <c r="R865" s="1745"/>
      <c r="S865" s="430"/>
      <c r="T865" s="1746"/>
      <c r="U865" s="430"/>
    </row>
    <row r="866" spans="1:21">
      <c r="A866" s="90"/>
      <c r="C866" s="1742"/>
      <c r="D866" s="1743"/>
      <c r="E866" s="90"/>
      <c r="F866" s="3"/>
      <c r="G866" s="184"/>
      <c r="H866" s="90"/>
      <c r="I866" s="90"/>
      <c r="K866" s="90"/>
      <c r="L866" s="90"/>
      <c r="M866" s="90"/>
      <c r="N866" s="1744"/>
      <c r="O866" s="90"/>
      <c r="Q866" s="5"/>
      <c r="R866" s="1745"/>
      <c r="S866" s="430"/>
      <c r="T866" s="1746"/>
      <c r="U866" s="430"/>
    </row>
    <row r="867" spans="1:21">
      <c r="A867" s="90"/>
      <c r="C867" s="1742"/>
      <c r="D867" s="1743"/>
      <c r="E867" s="90"/>
      <c r="F867" s="3"/>
      <c r="G867" s="184"/>
      <c r="H867" s="90"/>
      <c r="I867" s="90"/>
      <c r="K867" s="90"/>
      <c r="L867" s="90"/>
      <c r="M867" s="90"/>
      <c r="N867" s="1744"/>
      <c r="O867" s="90"/>
      <c r="Q867" s="5"/>
      <c r="R867" s="1745"/>
      <c r="S867" s="430"/>
      <c r="T867" s="1746"/>
      <c r="U867" s="430"/>
    </row>
    <row r="868" spans="1:21">
      <c r="A868" s="90"/>
      <c r="C868" s="1742"/>
      <c r="D868" s="1743"/>
      <c r="E868" s="90"/>
      <c r="F868" s="3"/>
      <c r="G868" s="184"/>
      <c r="H868" s="90"/>
      <c r="I868" s="90"/>
      <c r="K868" s="90"/>
      <c r="L868" s="90"/>
      <c r="M868" s="90"/>
      <c r="N868" s="1744"/>
      <c r="O868" s="90"/>
      <c r="Q868" s="5"/>
      <c r="R868" s="1745"/>
      <c r="S868" s="430"/>
      <c r="T868" s="1746"/>
      <c r="U868" s="430"/>
    </row>
    <row r="869" spans="1:21">
      <c r="A869" s="90"/>
      <c r="C869" s="1742"/>
      <c r="D869" s="1743"/>
      <c r="E869" s="90"/>
      <c r="F869" s="3"/>
      <c r="G869" s="184"/>
      <c r="H869" s="90"/>
      <c r="I869" s="90"/>
      <c r="K869" s="90"/>
      <c r="L869" s="90"/>
      <c r="M869" s="90"/>
      <c r="N869" s="1744"/>
      <c r="O869" s="90"/>
      <c r="Q869" s="5"/>
      <c r="R869" s="1745"/>
      <c r="S869" s="430"/>
      <c r="T869" s="1746"/>
      <c r="U869" s="430"/>
    </row>
    <row r="870" spans="1:21">
      <c r="A870" s="90"/>
      <c r="C870" s="1742"/>
      <c r="D870" s="1743"/>
      <c r="E870" s="90"/>
      <c r="F870" s="3"/>
      <c r="G870" s="184"/>
      <c r="H870" s="90"/>
      <c r="I870" s="90"/>
      <c r="K870" s="90"/>
      <c r="L870" s="90"/>
      <c r="M870" s="90"/>
      <c r="N870" s="1744"/>
      <c r="O870" s="90"/>
      <c r="Q870" s="5"/>
      <c r="R870" s="1745"/>
      <c r="S870" s="430"/>
      <c r="T870" s="1746"/>
      <c r="U870" s="430"/>
    </row>
    <row r="871" spans="1:21">
      <c r="A871" s="90"/>
      <c r="C871" s="1742"/>
      <c r="D871" s="1743"/>
      <c r="E871" s="90"/>
      <c r="F871" s="3"/>
      <c r="G871" s="184"/>
      <c r="H871" s="90"/>
      <c r="I871" s="90"/>
      <c r="K871" s="90"/>
      <c r="L871" s="90"/>
      <c r="M871" s="90"/>
      <c r="N871" s="1744"/>
      <c r="O871" s="90"/>
      <c r="Q871" s="5"/>
      <c r="R871" s="1745"/>
      <c r="S871" s="430"/>
      <c r="T871" s="1746"/>
      <c r="U871" s="430"/>
    </row>
    <row r="872" spans="1:21">
      <c r="A872" s="90"/>
      <c r="C872" s="1742"/>
      <c r="D872" s="1743"/>
      <c r="E872" s="90"/>
      <c r="F872" s="3"/>
      <c r="G872" s="184"/>
      <c r="H872" s="90"/>
      <c r="I872" s="90"/>
      <c r="K872" s="90"/>
      <c r="L872" s="90"/>
      <c r="M872" s="90"/>
      <c r="N872" s="1744"/>
      <c r="O872" s="90"/>
      <c r="Q872" s="5"/>
      <c r="R872" s="1745"/>
      <c r="S872" s="430"/>
      <c r="T872" s="1746"/>
      <c r="U872" s="430"/>
    </row>
    <row r="873" spans="1:21">
      <c r="A873" s="90"/>
      <c r="C873" s="1742"/>
      <c r="D873" s="1743"/>
      <c r="E873" s="90"/>
      <c r="F873" s="3"/>
      <c r="G873" s="184"/>
      <c r="H873" s="90"/>
      <c r="I873" s="90"/>
      <c r="K873" s="90"/>
      <c r="L873" s="90"/>
      <c r="M873" s="90"/>
      <c r="N873" s="1744"/>
      <c r="O873" s="90"/>
      <c r="Q873" s="5"/>
      <c r="R873" s="1745"/>
      <c r="S873" s="430"/>
      <c r="T873" s="1746"/>
      <c r="U873" s="430"/>
    </row>
    <row r="874" spans="1:21">
      <c r="A874" s="90"/>
      <c r="C874" s="1742"/>
      <c r="D874" s="1743"/>
      <c r="E874" s="90"/>
      <c r="F874" s="3"/>
      <c r="G874" s="184"/>
      <c r="H874" s="90"/>
      <c r="I874" s="90"/>
      <c r="K874" s="90"/>
      <c r="L874" s="90"/>
      <c r="M874" s="90"/>
      <c r="N874" s="1744"/>
      <c r="O874" s="90"/>
      <c r="Q874" s="5"/>
      <c r="R874" s="1745"/>
      <c r="S874" s="430"/>
      <c r="T874" s="1746"/>
      <c r="U874" s="430"/>
    </row>
    <row r="875" spans="1:21">
      <c r="A875" s="90"/>
      <c r="C875" s="1742"/>
      <c r="D875" s="1743"/>
      <c r="E875" s="90"/>
      <c r="F875" s="3"/>
      <c r="G875" s="184"/>
      <c r="H875" s="90"/>
      <c r="I875" s="90"/>
      <c r="K875" s="90"/>
      <c r="L875" s="90"/>
      <c r="M875" s="90"/>
      <c r="N875" s="1744"/>
      <c r="O875" s="90"/>
      <c r="Q875" s="5"/>
      <c r="R875" s="1745"/>
      <c r="S875" s="430"/>
      <c r="T875" s="1746"/>
      <c r="U875" s="430"/>
    </row>
    <row r="876" spans="1:21">
      <c r="A876" s="90"/>
      <c r="C876" s="1742"/>
      <c r="D876" s="1743"/>
      <c r="E876" s="90"/>
      <c r="F876" s="3"/>
      <c r="G876" s="184"/>
      <c r="H876" s="90"/>
      <c r="I876" s="90"/>
      <c r="K876" s="90"/>
      <c r="L876" s="90"/>
      <c r="M876" s="90"/>
      <c r="N876" s="1744"/>
      <c r="O876" s="90"/>
      <c r="Q876" s="5"/>
      <c r="R876" s="1745"/>
      <c r="S876" s="430"/>
      <c r="T876" s="1746"/>
      <c r="U876" s="430"/>
    </row>
    <row r="877" spans="1:21">
      <c r="A877" s="90"/>
      <c r="C877" s="1742"/>
      <c r="D877" s="1743"/>
      <c r="E877" s="90"/>
      <c r="F877" s="3"/>
      <c r="G877" s="184"/>
      <c r="H877" s="90"/>
      <c r="I877" s="90"/>
      <c r="K877" s="90"/>
      <c r="L877" s="90"/>
      <c r="M877" s="90"/>
      <c r="N877" s="1744"/>
      <c r="O877" s="90"/>
      <c r="Q877" s="5"/>
      <c r="R877" s="1745"/>
      <c r="S877" s="430"/>
      <c r="T877" s="1746"/>
      <c r="U877" s="430"/>
    </row>
    <row r="878" spans="1:21">
      <c r="A878" s="90"/>
      <c r="C878" s="1742"/>
      <c r="D878" s="1743"/>
      <c r="E878" s="90"/>
      <c r="F878" s="3"/>
      <c r="G878" s="184"/>
      <c r="H878" s="90"/>
      <c r="I878" s="90"/>
      <c r="K878" s="90"/>
      <c r="L878" s="90"/>
      <c r="M878" s="90"/>
      <c r="N878" s="1744"/>
      <c r="O878" s="90"/>
      <c r="Q878" s="5"/>
      <c r="R878" s="1745"/>
      <c r="S878" s="430"/>
      <c r="T878" s="1746"/>
      <c r="U878" s="430"/>
    </row>
    <row r="879" spans="1:21">
      <c r="A879" s="90"/>
      <c r="C879" s="1742"/>
      <c r="D879" s="1743"/>
      <c r="E879" s="90"/>
      <c r="F879" s="3"/>
      <c r="G879" s="184"/>
      <c r="H879" s="90"/>
      <c r="I879" s="90"/>
      <c r="K879" s="90"/>
      <c r="L879" s="90"/>
      <c r="M879" s="90"/>
      <c r="N879" s="1744"/>
      <c r="O879" s="90"/>
      <c r="Q879" s="5"/>
      <c r="R879" s="1745"/>
      <c r="S879" s="430"/>
      <c r="T879" s="1746"/>
      <c r="U879" s="430"/>
    </row>
    <row r="880" spans="1:21">
      <c r="A880" s="90"/>
      <c r="C880" s="1742"/>
      <c r="D880" s="1743"/>
      <c r="E880" s="90"/>
      <c r="F880" s="3"/>
      <c r="G880" s="184"/>
      <c r="H880" s="90"/>
      <c r="I880" s="90"/>
      <c r="K880" s="90"/>
      <c r="L880" s="90"/>
      <c r="M880" s="90"/>
      <c r="N880" s="1744"/>
      <c r="O880" s="90"/>
      <c r="Q880" s="5"/>
      <c r="R880" s="1745"/>
      <c r="S880" s="430"/>
      <c r="T880" s="1746"/>
      <c r="U880" s="430"/>
    </row>
    <row r="881" spans="1:21">
      <c r="A881" s="90"/>
      <c r="C881" s="1742"/>
      <c r="D881" s="1743"/>
      <c r="E881" s="90"/>
      <c r="F881" s="3"/>
      <c r="G881" s="184"/>
      <c r="H881" s="90"/>
      <c r="I881" s="90"/>
      <c r="K881" s="90"/>
      <c r="L881" s="90"/>
      <c r="M881" s="90"/>
      <c r="N881" s="1744"/>
      <c r="O881" s="90"/>
      <c r="Q881" s="5"/>
      <c r="R881" s="1745"/>
      <c r="S881" s="430"/>
      <c r="T881" s="1746"/>
      <c r="U881" s="430"/>
    </row>
    <row r="882" spans="1:21">
      <c r="A882" s="90"/>
      <c r="C882" s="1742"/>
      <c r="D882" s="1743"/>
      <c r="E882" s="90"/>
      <c r="F882" s="3"/>
      <c r="G882" s="184"/>
      <c r="H882" s="90"/>
      <c r="I882" s="90"/>
      <c r="K882" s="90"/>
      <c r="L882" s="90"/>
      <c r="M882" s="90"/>
      <c r="N882" s="1744"/>
      <c r="O882" s="90"/>
      <c r="Q882" s="5"/>
      <c r="R882" s="1745"/>
      <c r="S882" s="430"/>
      <c r="T882" s="1746"/>
      <c r="U882" s="430"/>
    </row>
    <row r="883" spans="1:21">
      <c r="A883" s="90"/>
      <c r="C883" s="1742"/>
      <c r="D883" s="1743"/>
      <c r="E883" s="90"/>
      <c r="F883" s="3"/>
      <c r="G883" s="184"/>
      <c r="H883" s="90"/>
      <c r="I883" s="90"/>
      <c r="K883" s="90"/>
      <c r="L883" s="90"/>
      <c r="M883" s="90"/>
      <c r="N883" s="1744"/>
      <c r="O883" s="90"/>
      <c r="Q883" s="5"/>
      <c r="R883" s="1745"/>
      <c r="S883" s="430"/>
      <c r="T883" s="1746"/>
      <c r="U883" s="430"/>
    </row>
    <row r="884" spans="1:21">
      <c r="A884" s="90"/>
      <c r="C884" s="1742"/>
      <c r="D884" s="1743"/>
      <c r="E884" s="90"/>
      <c r="F884" s="3"/>
      <c r="G884" s="184"/>
      <c r="H884" s="90"/>
      <c r="I884" s="90"/>
      <c r="K884" s="90"/>
      <c r="L884" s="90"/>
      <c r="M884" s="90"/>
      <c r="N884" s="1744"/>
      <c r="O884" s="90"/>
      <c r="Q884" s="5"/>
      <c r="R884" s="1745"/>
      <c r="S884" s="430"/>
      <c r="T884" s="1746"/>
      <c r="U884" s="430"/>
    </row>
    <row r="885" spans="1:21">
      <c r="A885" s="90"/>
      <c r="C885" s="1742"/>
      <c r="D885" s="1743"/>
      <c r="E885" s="90"/>
      <c r="F885" s="3"/>
      <c r="G885" s="184"/>
      <c r="H885" s="90"/>
      <c r="I885" s="90"/>
      <c r="K885" s="90"/>
      <c r="L885" s="90"/>
      <c r="M885" s="90"/>
      <c r="N885" s="1744"/>
      <c r="O885" s="90"/>
      <c r="Q885" s="5"/>
      <c r="R885" s="1745"/>
      <c r="S885" s="430"/>
      <c r="T885" s="1746"/>
      <c r="U885" s="430"/>
    </row>
    <row r="886" spans="1:21">
      <c r="A886" s="90"/>
      <c r="C886" s="1742"/>
      <c r="D886" s="1743"/>
      <c r="E886" s="90"/>
      <c r="F886" s="3"/>
      <c r="G886" s="184"/>
      <c r="H886" s="90"/>
      <c r="I886" s="90"/>
      <c r="K886" s="90"/>
      <c r="L886" s="90"/>
      <c r="M886" s="90"/>
      <c r="N886" s="1744"/>
      <c r="O886" s="90"/>
      <c r="Q886" s="5"/>
      <c r="R886" s="1745"/>
      <c r="S886" s="430"/>
      <c r="T886" s="1746"/>
      <c r="U886" s="430"/>
    </row>
    <row r="887" spans="1:21">
      <c r="A887" s="90"/>
      <c r="C887" s="1742"/>
      <c r="D887" s="1743"/>
      <c r="E887" s="90"/>
      <c r="F887" s="3"/>
      <c r="G887" s="184"/>
      <c r="H887" s="90"/>
      <c r="I887" s="90"/>
      <c r="K887" s="90"/>
      <c r="L887" s="90"/>
      <c r="M887" s="90"/>
      <c r="N887" s="1744"/>
      <c r="O887" s="90"/>
      <c r="Q887" s="5"/>
      <c r="R887" s="1745"/>
      <c r="S887" s="430"/>
      <c r="T887" s="1746"/>
      <c r="U887" s="430"/>
    </row>
    <row r="888" spans="1:21">
      <c r="A888" s="90"/>
      <c r="C888" s="1742"/>
      <c r="D888" s="1743"/>
      <c r="E888" s="90"/>
      <c r="F888" s="3"/>
      <c r="G888" s="184"/>
      <c r="H888" s="90"/>
      <c r="I888" s="90"/>
      <c r="K888" s="90"/>
      <c r="L888" s="90"/>
      <c r="M888" s="90"/>
      <c r="N888" s="1744"/>
      <c r="O888" s="90"/>
      <c r="Q888" s="5"/>
      <c r="R888" s="1745"/>
      <c r="S888" s="430"/>
      <c r="T888" s="1746"/>
      <c r="U888" s="430"/>
    </row>
    <row r="889" spans="1:21">
      <c r="A889" s="90"/>
      <c r="C889" s="1742"/>
      <c r="D889" s="1743"/>
      <c r="E889" s="90"/>
      <c r="F889" s="3"/>
      <c r="G889" s="184"/>
      <c r="H889" s="90"/>
      <c r="I889" s="90"/>
      <c r="K889" s="90"/>
      <c r="L889" s="90"/>
      <c r="M889" s="90"/>
      <c r="N889" s="1744"/>
      <c r="O889" s="90"/>
      <c r="Q889" s="5"/>
      <c r="R889" s="1745"/>
      <c r="S889" s="430"/>
      <c r="T889" s="1746"/>
      <c r="U889" s="430"/>
    </row>
    <row r="890" spans="1:21">
      <c r="A890" s="90"/>
      <c r="C890" s="1742"/>
      <c r="D890" s="1743"/>
      <c r="E890" s="90"/>
      <c r="F890" s="3"/>
      <c r="G890" s="184"/>
      <c r="H890" s="90"/>
      <c r="I890" s="90"/>
      <c r="K890" s="90"/>
      <c r="L890" s="90"/>
      <c r="M890" s="90"/>
      <c r="N890" s="1744"/>
      <c r="O890" s="90"/>
      <c r="Q890" s="5"/>
      <c r="R890" s="1745"/>
      <c r="S890" s="430"/>
      <c r="T890" s="1746"/>
      <c r="U890" s="430"/>
    </row>
    <row r="891" spans="1:21">
      <c r="A891" s="90"/>
      <c r="C891" s="1742"/>
      <c r="D891" s="1743"/>
      <c r="E891" s="90"/>
      <c r="F891" s="3"/>
      <c r="G891" s="184"/>
      <c r="H891" s="90"/>
      <c r="I891" s="90"/>
      <c r="K891" s="90"/>
      <c r="L891" s="90"/>
      <c r="M891" s="90"/>
      <c r="N891" s="1744"/>
      <c r="O891" s="90"/>
      <c r="Q891" s="5"/>
      <c r="R891" s="1745"/>
      <c r="S891" s="430"/>
      <c r="T891" s="1746"/>
      <c r="U891" s="430"/>
    </row>
    <row r="892" spans="1:21">
      <c r="A892" s="90"/>
      <c r="C892" s="1742"/>
      <c r="D892" s="1743"/>
      <c r="E892" s="90"/>
      <c r="F892" s="3"/>
      <c r="G892" s="184"/>
      <c r="H892" s="90"/>
      <c r="I892" s="90"/>
      <c r="K892" s="90"/>
      <c r="L892" s="90"/>
      <c r="M892" s="90"/>
      <c r="N892" s="1744"/>
      <c r="O892" s="90"/>
      <c r="Q892" s="5"/>
      <c r="R892" s="1745"/>
      <c r="S892" s="430"/>
      <c r="T892" s="1746"/>
      <c r="U892" s="430"/>
    </row>
    <row r="893" spans="1:21">
      <c r="A893" s="90"/>
      <c r="C893" s="1742"/>
      <c r="D893" s="1743"/>
      <c r="E893" s="90"/>
      <c r="F893" s="3"/>
      <c r="G893" s="184"/>
      <c r="H893" s="90"/>
      <c r="I893" s="90"/>
      <c r="K893" s="90"/>
      <c r="L893" s="90"/>
      <c r="M893" s="90"/>
      <c r="N893" s="1744"/>
      <c r="O893" s="90"/>
      <c r="Q893" s="5"/>
      <c r="R893" s="1745"/>
      <c r="S893" s="430"/>
      <c r="T893" s="1746"/>
      <c r="U893" s="430"/>
    </row>
    <row r="894" spans="1:21">
      <c r="A894" s="90"/>
      <c r="C894" s="1742"/>
      <c r="D894" s="1743"/>
      <c r="E894" s="90"/>
      <c r="F894" s="3"/>
      <c r="G894" s="184"/>
      <c r="H894" s="90"/>
      <c r="I894" s="90"/>
      <c r="K894" s="90"/>
      <c r="L894" s="90"/>
      <c r="M894" s="90"/>
      <c r="N894" s="1744"/>
      <c r="O894" s="90"/>
      <c r="Q894" s="5"/>
      <c r="R894" s="1745"/>
      <c r="S894" s="430"/>
      <c r="T894" s="1746"/>
      <c r="U894" s="430"/>
    </row>
    <row r="895" spans="1:21">
      <c r="A895" s="90"/>
      <c r="C895" s="1742"/>
      <c r="D895" s="1743"/>
      <c r="E895" s="90"/>
      <c r="F895" s="3"/>
      <c r="G895" s="184"/>
      <c r="H895" s="90"/>
      <c r="I895" s="90"/>
      <c r="K895" s="90"/>
      <c r="L895" s="90"/>
      <c r="M895" s="90"/>
      <c r="N895" s="1744"/>
      <c r="O895" s="90"/>
      <c r="Q895" s="5"/>
      <c r="R895" s="1745"/>
      <c r="S895" s="430"/>
      <c r="T895" s="1746"/>
      <c r="U895" s="430"/>
    </row>
    <row r="896" spans="1:21">
      <c r="A896" s="90"/>
      <c r="C896" s="1742"/>
      <c r="D896" s="1743"/>
      <c r="E896" s="90"/>
      <c r="F896" s="3"/>
      <c r="G896" s="184"/>
      <c r="H896" s="90"/>
      <c r="I896" s="90"/>
      <c r="K896" s="90"/>
      <c r="L896" s="90"/>
      <c r="M896" s="90"/>
      <c r="N896" s="1744"/>
      <c r="O896" s="90"/>
      <c r="Q896" s="5"/>
      <c r="R896" s="1745"/>
      <c r="S896" s="430"/>
      <c r="T896" s="1746"/>
      <c r="U896" s="430"/>
    </row>
    <row r="897" spans="1:21">
      <c r="A897" s="90"/>
      <c r="C897" s="1742"/>
      <c r="D897" s="1743"/>
      <c r="E897" s="90"/>
      <c r="F897" s="3"/>
      <c r="G897" s="184"/>
      <c r="H897" s="90"/>
      <c r="I897" s="90"/>
      <c r="K897" s="90"/>
      <c r="L897" s="90"/>
      <c r="M897" s="90"/>
      <c r="N897" s="1744"/>
      <c r="O897" s="90"/>
      <c r="Q897" s="5"/>
      <c r="R897" s="1745"/>
      <c r="S897" s="430"/>
      <c r="T897" s="1746"/>
      <c r="U897" s="430"/>
    </row>
    <row r="898" spans="1:21">
      <c r="A898" s="90"/>
      <c r="C898" s="1742"/>
      <c r="D898" s="1743"/>
      <c r="E898" s="90"/>
      <c r="F898" s="3"/>
      <c r="G898" s="184"/>
      <c r="H898" s="90"/>
      <c r="I898" s="90"/>
      <c r="K898" s="90"/>
      <c r="L898" s="90"/>
      <c r="M898" s="90"/>
      <c r="N898" s="1744"/>
      <c r="O898" s="90"/>
      <c r="Q898" s="5"/>
      <c r="R898" s="1745"/>
      <c r="S898" s="430"/>
      <c r="T898" s="1746"/>
      <c r="U898" s="430"/>
    </row>
    <row r="899" spans="1:21">
      <c r="A899" s="90"/>
      <c r="C899" s="1742"/>
      <c r="D899" s="1743"/>
      <c r="E899" s="90"/>
      <c r="F899" s="3"/>
      <c r="G899" s="184"/>
      <c r="H899" s="90"/>
      <c r="I899" s="90"/>
      <c r="K899" s="90"/>
      <c r="L899" s="90"/>
      <c r="M899" s="90"/>
      <c r="N899" s="1744"/>
      <c r="O899" s="90"/>
      <c r="Q899" s="5"/>
      <c r="R899" s="1745"/>
      <c r="S899" s="430"/>
      <c r="T899" s="1746"/>
      <c r="U899" s="430"/>
    </row>
    <row r="900" spans="1:21">
      <c r="A900" s="90"/>
      <c r="C900" s="1742"/>
      <c r="D900" s="1743"/>
      <c r="E900" s="90"/>
      <c r="F900" s="3"/>
      <c r="G900" s="184"/>
      <c r="H900" s="90"/>
      <c r="I900" s="90"/>
      <c r="K900" s="90"/>
      <c r="L900" s="90"/>
      <c r="M900" s="90"/>
      <c r="N900" s="1744"/>
      <c r="O900" s="90"/>
      <c r="Q900" s="5"/>
      <c r="R900" s="1745"/>
      <c r="S900" s="430"/>
      <c r="T900" s="1746"/>
      <c r="U900" s="430"/>
    </row>
    <row r="901" spans="1:21">
      <c r="A901" s="90"/>
      <c r="C901" s="1742"/>
      <c r="D901" s="1743"/>
      <c r="E901" s="90"/>
      <c r="F901" s="3"/>
      <c r="G901" s="184"/>
      <c r="H901" s="90"/>
      <c r="I901" s="90"/>
      <c r="K901" s="90"/>
      <c r="L901" s="90"/>
      <c r="M901" s="90"/>
      <c r="N901" s="1744"/>
      <c r="O901" s="90"/>
      <c r="Q901" s="5"/>
      <c r="R901" s="1745"/>
      <c r="S901" s="430"/>
      <c r="T901" s="1746"/>
      <c r="U901" s="430"/>
    </row>
    <row r="902" spans="1:21">
      <c r="A902" s="90"/>
      <c r="C902" s="1742"/>
      <c r="D902" s="1743"/>
      <c r="E902" s="90"/>
      <c r="F902" s="3"/>
      <c r="G902" s="184"/>
      <c r="H902" s="90"/>
      <c r="I902" s="90"/>
      <c r="K902" s="90"/>
      <c r="L902" s="90"/>
      <c r="M902" s="90"/>
      <c r="N902" s="1744"/>
      <c r="O902" s="90"/>
      <c r="Q902" s="5"/>
      <c r="R902" s="1745"/>
      <c r="S902" s="430"/>
      <c r="T902" s="1746"/>
      <c r="U902" s="430"/>
    </row>
    <row r="903" spans="1:21">
      <c r="A903" s="90"/>
      <c r="C903" s="1742"/>
      <c r="D903" s="1743"/>
      <c r="E903" s="90"/>
      <c r="F903" s="3"/>
      <c r="G903" s="184"/>
      <c r="H903" s="90"/>
      <c r="I903" s="90"/>
      <c r="K903" s="90"/>
      <c r="L903" s="90"/>
      <c r="M903" s="90"/>
      <c r="N903" s="1744"/>
      <c r="O903" s="90"/>
      <c r="Q903" s="5"/>
      <c r="R903" s="1745"/>
      <c r="S903" s="430"/>
      <c r="T903" s="1746"/>
      <c r="U903" s="430"/>
    </row>
    <row r="904" spans="1:21">
      <c r="A904" s="90"/>
      <c r="C904" s="1742"/>
      <c r="D904" s="1743"/>
      <c r="E904" s="90"/>
      <c r="F904" s="3"/>
      <c r="G904" s="184"/>
      <c r="H904" s="90"/>
      <c r="I904" s="90"/>
      <c r="K904" s="90"/>
      <c r="L904" s="90"/>
      <c r="M904" s="90"/>
      <c r="N904" s="1744"/>
      <c r="O904" s="90"/>
      <c r="Q904" s="5"/>
      <c r="R904" s="1745"/>
      <c r="S904" s="430"/>
      <c r="T904" s="1746"/>
      <c r="U904" s="430"/>
    </row>
    <row r="905" spans="1:21">
      <c r="A905" s="90"/>
      <c r="C905" s="1742"/>
      <c r="D905" s="1743"/>
      <c r="E905" s="90"/>
      <c r="F905" s="3"/>
      <c r="G905" s="184"/>
      <c r="H905" s="90"/>
      <c r="I905" s="90"/>
      <c r="K905" s="90"/>
      <c r="L905" s="90"/>
      <c r="M905" s="90"/>
      <c r="N905" s="1744"/>
      <c r="O905" s="90"/>
      <c r="Q905" s="5"/>
      <c r="R905" s="1745"/>
      <c r="S905" s="430"/>
      <c r="T905" s="1746"/>
      <c r="U905" s="430"/>
    </row>
    <row r="906" spans="1:21">
      <c r="A906" s="90"/>
      <c r="C906" s="1742"/>
      <c r="D906" s="1743"/>
      <c r="E906" s="90"/>
      <c r="F906" s="3"/>
      <c r="G906" s="184"/>
      <c r="H906" s="90"/>
      <c r="I906" s="90"/>
      <c r="K906" s="90"/>
      <c r="L906" s="90"/>
      <c r="M906" s="90"/>
      <c r="N906" s="1744"/>
      <c r="O906" s="90"/>
      <c r="Q906" s="5"/>
      <c r="R906" s="1745"/>
      <c r="S906" s="430"/>
      <c r="T906" s="1746"/>
      <c r="U906" s="430"/>
    </row>
    <row r="907" spans="1:21">
      <c r="A907" s="90"/>
      <c r="C907" s="1742"/>
      <c r="D907" s="1743"/>
      <c r="E907" s="90"/>
      <c r="F907" s="3"/>
      <c r="G907" s="184"/>
      <c r="H907" s="90"/>
      <c r="I907" s="90"/>
      <c r="K907" s="90"/>
      <c r="L907" s="90"/>
      <c r="M907" s="90"/>
      <c r="N907" s="1744"/>
      <c r="O907" s="90"/>
      <c r="Q907" s="5"/>
      <c r="R907" s="1745"/>
      <c r="S907" s="430"/>
      <c r="T907" s="1746"/>
      <c r="U907" s="430"/>
    </row>
    <row r="908" spans="1:21">
      <c r="A908" s="90"/>
      <c r="C908" s="1742"/>
      <c r="D908" s="1743"/>
      <c r="E908" s="90"/>
      <c r="F908" s="3"/>
      <c r="G908" s="184"/>
      <c r="H908" s="90"/>
      <c r="I908" s="90"/>
      <c r="K908" s="90"/>
      <c r="L908" s="90"/>
      <c r="M908" s="90"/>
      <c r="N908" s="1744"/>
      <c r="O908" s="90"/>
      <c r="Q908" s="5"/>
      <c r="R908" s="1745"/>
      <c r="S908" s="430"/>
      <c r="T908" s="1746"/>
      <c r="U908" s="430"/>
    </row>
    <row r="909" spans="1:21">
      <c r="A909" s="90"/>
      <c r="C909" s="1742"/>
      <c r="D909" s="1743"/>
      <c r="E909" s="90"/>
      <c r="F909" s="3"/>
      <c r="G909" s="184"/>
      <c r="H909" s="90"/>
      <c r="I909" s="90"/>
      <c r="K909" s="90"/>
      <c r="L909" s="90"/>
      <c r="M909" s="90"/>
      <c r="N909" s="1744"/>
      <c r="O909" s="90"/>
      <c r="Q909" s="5"/>
      <c r="R909" s="1745"/>
      <c r="S909" s="430"/>
      <c r="T909" s="1746"/>
      <c r="U909" s="430"/>
    </row>
    <row r="910" spans="1:21">
      <c r="A910" s="90"/>
      <c r="C910" s="1742"/>
      <c r="D910" s="1743"/>
      <c r="E910" s="90"/>
      <c r="F910" s="3"/>
      <c r="G910" s="184"/>
      <c r="H910" s="90"/>
      <c r="I910" s="90"/>
      <c r="K910" s="90"/>
      <c r="L910" s="90"/>
      <c r="M910" s="90"/>
      <c r="N910" s="1744"/>
      <c r="O910" s="90"/>
      <c r="Q910" s="5"/>
      <c r="R910" s="1745"/>
      <c r="S910" s="430"/>
      <c r="T910" s="1746"/>
      <c r="U910" s="430"/>
    </row>
    <row r="911" spans="1:21">
      <c r="A911" s="90"/>
      <c r="C911" s="1742"/>
      <c r="D911" s="1743"/>
      <c r="E911" s="90"/>
      <c r="F911" s="3"/>
      <c r="G911" s="184"/>
      <c r="H911" s="90"/>
      <c r="I911" s="90"/>
      <c r="K911" s="90"/>
      <c r="L911" s="90"/>
      <c r="M911" s="90"/>
      <c r="N911" s="1744"/>
      <c r="O911" s="90"/>
      <c r="Q911" s="5"/>
      <c r="R911" s="1745"/>
      <c r="S911" s="430"/>
      <c r="T911" s="1746"/>
      <c r="U911" s="430"/>
    </row>
    <row r="912" spans="1:21">
      <c r="A912" s="90"/>
      <c r="C912" s="1742"/>
      <c r="D912" s="1743"/>
      <c r="E912" s="90"/>
      <c r="F912" s="3"/>
      <c r="G912" s="184"/>
      <c r="H912" s="90"/>
      <c r="I912" s="90"/>
      <c r="K912" s="90"/>
      <c r="L912" s="90"/>
      <c r="M912" s="90"/>
      <c r="N912" s="1744"/>
      <c r="O912" s="90"/>
      <c r="Q912" s="5"/>
      <c r="R912" s="1745"/>
      <c r="S912" s="430"/>
      <c r="T912" s="1746"/>
      <c r="U912" s="430"/>
    </row>
    <row r="913" spans="1:21">
      <c r="A913" s="90"/>
      <c r="C913" s="1742"/>
      <c r="D913" s="1743"/>
      <c r="E913" s="90"/>
      <c r="F913" s="3"/>
      <c r="G913" s="184"/>
      <c r="H913" s="90"/>
      <c r="I913" s="90"/>
      <c r="K913" s="90"/>
      <c r="L913" s="90"/>
      <c r="M913" s="90"/>
      <c r="N913" s="1744"/>
      <c r="O913" s="90"/>
      <c r="Q913" s="5"/>
      <c r="R913" s="1745"/>
      <c r="S913" s="430"/>
      <c r="T913" s="1746"/>
      <c r="U913" s="430"/>
    </row>
    <row r="914" spans="1:21">
      <c r="A914" s="90"/>
      <c r="C914" s="1742"/>
      <c r="D914" s="1743"/>
      <c r="E914" s="90"/>
      <c r="F914" s="3"/>
      <c r="G914" s="184"/>
      <c r="H914" s="90"/>
      <c r="I914" s="90"/>
      <c r="K914" s="90"/>
      <c r="L914" s="90"/>
      <c r="M914" s="90"/>
      <c r="N914" s="1744"/>
      <c r="O914" s="90"/>
      <c r="Q914" s="5"/>
      <c r="R914" s="1745"/>
      <c r="S914" s="430"/>
      <c r="T914" s="1746"/>
      <c r="U914" s="430"/>
    </row>
    <row r="915" spans="1:21">
      <c r="A915" s="90"/>
      <c r="C915" s="1742"/>
      <c r="D915" s="1743"/>
      <c r="E915" s="90"/>
      <c r="F915" s="3"/>
      <c r="G915" s="184"/>
      <c r="H915" s="90"/>
      <c r="I915" s="90"/>
      <c r="K915" s="90"/>
      <c r="L915" s="90"/>
      <c r="M915" s="90"/>
      <c r="N915" s="1744"/>
      <c r="O915" s="90"/>
      <c r="Q915" s="5"/>
      <c r="R915" s="1745"/>
      <c r="S915" s="430"/>
      <c r="T915" s="1746"/>
      <c r="U915" s="430"/>
    </row>
    <row r="916" spans="1:21">
      <c r="A916" s="90"/>
      <c r="C916" s="1742"/>
      <c r="D916" s="1743"/>
      <c r="E916" s="90"/>
      <c r="F916" s="3"/>
      <c r="G916" s="184"/>
      <c r="H916" s="90"/>
      <c r="I916" s="90"/>
      <c r="K916" s="90"/>
      <c r="L916" s="90"/>
      <c r="M916" s="90"/>
      <c r="N916" s="1744"/>
      <c r="O916" s="90"/>
      <c r="Q916" s="5"/>
      <c r="R916" s="1745"/>
      <c r="S916" s="430"/>
      <c r="T916" s="1746"/>
      <c r="U916" s="430"/>
    </row>
    <row r="917" spans="1:21">
      <c r="A917" s="90"/>
      <c r="C917" s="1742"/>
      <c r="D917" s="1743"/>
      <c r="E917" s="90"/>
      <c r="F917" s="3"/>
      <c r="G917" s="184"/>
      <c r="H917" s="90"/>
      <c r="I917" s="90"/>
      <c r="K917" s="90"/>
      <c r="L917" s="90"/>
      <c r="M917" s="90"/>
      <c r="N917" s="1744"/>
      <c r="O917" s="90"/>
      <c r="Q917" s="5"/>
      <c r="R917" s="1745"/>
      <c r="S917" s="430"/>
      <c r="T917" s="1746"/>
      <c r="U917" s="430"/>
    </row>
    <row r="918" spans="1:21">
      <c r="A918" s="90"/>
      <c r="C918" s="1742"/>
      <c r="D918" s="1743"/>
      <c r="E918" s="90"/>
      <c r="F918" s="3"/>
      <c r="G918" s="184"/>
      <c r="H918" s="90"/>
      <c r="I918" s="90"/>
      <c r="K918" s="90"/>
      <c r="L918" s="90"/>
      <c r="M918" s="90"/>
      <c r="N918" s="1744"/>
      <c r="O918" s="90"/>
      <c r="Q918" s="5"/>
      <c r="R918" s="1745"/>
      <c r="S918" s="430"/>
      <c r="T918" s="1746"/>
      <c r="U918" s="430"/>
    </row>
    <row r="919" spans="1:21">
      <c r="A919" s="90"/>
      <c r="C919" s="1742"/>
      <c r="D919" s="1743"/>
      <c r="E919" s="90"/>
      <c r="F919" s="3"/>
      <c r="G919" s="184"/>
      <c r="H919" s="90"/>
      <c r="I919" s="90"/>
      <c r="K919" s="90"/>
      <c r="L919" s="90"/>
      <c r="M919" s="90"/>
      <c r="N919" s="1744"/>
      <c r="O919" s="90"/>
      <c r="Q919" s="5"/>
      <c r="R919" s="1745"/>
      <c r="S919" s="430"/>
      <c r="T919" s="1746"/>
      <c r="U919" s="430"/>
    </row>
    <row r="920" spans="1:21">
      <c r="A920" s="90"/>
      <c r="C920" s="1742"/>
      <c r="D920" s="1743"/>
      <c r="E920" s="90"/>
      <c r="F920" s="3"/>
      <c r="G920" s="184"/>
      <c r="H920" s="90"/>
      <c r="I920" s="90"/>
      <c r="K920" s="90"/>
      <c r="L920" s="90"/>
      <c r="M920" s="90"/>
      <c r="N920" s="1744"/>
      <c r="O920" s="90"/>
      <c r="Q920" s="5"/>
      <c r="R920" s="1745"/>
      <c r="S920" s="430"/>
      <c r="T920" s="1746"/>
      <c r="U920" s="430"/>
    </row>
    <row r="921" spans="1:21">
      <c r="A921" s="90"/>
      <c r="C921" s="1742"/>
      <c r="D921" s="1743"/>
      <c r="E921" s="90"/>
      <c r="F921" s="3"/>
      <c r="G921" s="184"/>
      <c r="H921" s="90"/>
      <c r="I921" s="90"/>
      <c r="K921" s="90"/>
      <c r="L921" s="90"/>
      <c r="M921" s="90"/>
      <c r="N921" s="1744"/>
      <c r="O921" s="90"/>
      <c r="Q921" s="5"/>
      <c r="R921" s="1745"/>
      <c r="S921" s="430"/>
      <c r="T921" s="1746"/>
      <c r="U921" s="430"/>
    </row>
    <row r="922" spans="1:21">
      <c r="A922" s="90"/>
      <c r="C922" s="1742"/>
      <c r="D922" s="1743"/>
      <c r="E922" s="90"/>
      <c r="F922" s="3"/>
      <c r="G922" s="184"/>
      <c r="H922" s="90"/>
      <c r="I922" s="90"/>
      <c r="K922" s="90"/>
      <c r="L922" s="90"/>
      <c r="M922" s="90"/>
      <c r="N922" s="1744"/>
      <c r="O922" s="90"/>
      <c r="Q922" s="5"/>
      <c r="R922" s="1745"/>
      <c r="S922" s="430"/>
      <c r="T922" s="1746"/>
      <c r="U922" s="430"/>
    </row>
    <row r="923" spans="1:21">
      <c r="A923" s="90"/>
      <c r="C923" s="1742"/>
      <c r="D923" s="1743"/>
      <c r="E923" s="90"/>
      <c r="F923" s="3"/>
      <c r="G923" s="184"/>
      <c r="H923" s="90"/>
      <c r="I923" s="90"/>
      <c r="K923" s="90"/>
      <c r="L923" s="90"/>
      <c r="M923" s="90"/>
      <c r="N923" s="1744"/>
      <c r="O923" s="90"/>
      <c r="Q923" s="5"/>
      <c r="R923" s="1745"/>
      <c r="S923" s="430"/>
      <c r="T923" s="1746"/>
      <c r="U923" s="430"/>
    </row>
    <row r="924" spans="1:21">
      <c r="A924" s="90"/>
      <c r="C924" s="1742"/>
      <c r="D924" s="1743"/>
      <c r="E924" s="90"/>
      <c r="F924" s="3"/>
      <c r="G924" s="184"/>
      <c r="H924" s="90"/>
      <c r="I924" s="90"/>
      <c r="K924" s="90"/>
      <c r="L924" s="90"/>
      <c r="M924" s="90"/>
      <c r="N924" s="1744"/>
      <c r="O924" s="90"/>
      <c r="Q924" s="5"/>
      <c r="R924" s="1745"/>
      <c r="S924" s="430"/>
      <c r="T924" s="1746"/>
      <c r="U924" s="430"/>
    </row>
    <row r="925" spans="1:21">
      <c r="A925" s="90"/>
      <c r="C925" s="1742"/>
      <c r="D925" s="1743"/>
      <c r="E925" s="90"/>
      <c r="F925" s="3"/>
      <c r="G925" s="184"/>
      <c r="H925" s="90"/>
      <c r="I925" s="90"/>
      <c r="K925" s="90"/>
      <c r="L925" s="90"/>
      <c r="M925" s="90"/>
      <c r="N925" s="1744"/>
      <c r="O925" s="90"/>
      <c r="Q925" s="5"/>
      <c r="R925" s="1745"/>
      <c r="S925" s="430"/>
      <c r="T925" s="1746"/>
      <c r="U925" s="430"/>
    </row>
    <row r="926" spans="1:21">
      <c r="A926" s="90"/>
      <c r="C926" s="1742"/>
      <c r="D926" s="1743"/>
      <c r="E926" s="90"/>
      <c r="F926" s="3"/>
      <c r="G926" s="184"/>
      <c r="H926" s="90"/>
      <c r="I926" s="90"/>
      <c r="K926" s="90"/>
      <c r="L926" s="90"/>
      <c r="M926" s="90"/>
      <c r="N926" s="1744"/>
      <c r="O926" s="90"/>
      <c r="Q926" s="5"/>
      <c r="R926" s="1745"/>
      <c r="S926" s="430"/>
      <c r="T926" s="1746"/>
      <c r="U926" s="430"/>
    </row>
    <row r="927" spans="1:21">
      <c r="A927" s="90"/>
      <c r="C927" s="1742"/>
      <c r="D927" s="1743"/>
      <c r="E927" s="90"/>
      <c r="F927" s="3"/>
      <c r="G927" s="184"/>
      <c r="H927" s="90"/>
      <c r="I927" s="90"/>
      <c r="K927" s="90"/>
      <c r="L927" s="90"/>
      <c r="M927" s="90"/>
      <c r="N927" s="1744"/>
      <c r="O927" s="90"/>
      <c r="Q927" s="5"/>
      <c r="R927" s="1745"/>
      <c r="S927" s="430"/>
      <c r="T927" s="1746"/>
      <c r="U927" s="430"/>
    </row>
    <row r="928" spans="1:21">
      <c r="A928" s="90"/>
      <c r="C928" s="1742"/>
      <c r="D928" s="1743"/>
      <c r="E928" s="90"/>
      <c r="F928" s="3"/>
      <c r="G928" s="184"/>
      <c r="H928" s="90"/>
      <c r="I928" s="90"/>
      <c r="K928" s="90"/>
      <c r="L928" s="90"/>
      <c r="M928" s="90"/>
      <c r="N928" s="1744"/>
      <c r="O928" s="90"/>
      <c r="Q928" s="5"/>
      <c r="R928" s="1745"/>
      <c r="S928" s="430"/>
      <c r="T928" s="1746"/>
      <c r="U928" s="430"/>
    </row>
    <row r="929" spans="1:21">
      <c r="A929" s="90"/>
      <c r="C929" s="1742"/>
      <c r="D929" s="1743"/>
      <c r="E929" s="90"/>
      <c r="F929" s="3"/>
      <c r="G929" s="184"/>
      <c r="H929" s="90"/>
      <c r="I929" s="90"/>
      <c r="K929" s="90"/>
      <c r="L929" s="90"/>
      <c r="M929" s="90"/>
      <c r="N929" s="1744"/>
      <c r="O929" s="90"/>
      <c r="Q929" s="5"/>
      <c r="R929" s="1745"/>
      <c r="S929" s="430"/>
      <c r="T929" s="1746"/>
      <c r="U929" s="430"/>
    </row>
    <row r="930" spans="1:21">
      <c r="A930" s="90"/>
      <c r="C930" s="1742"/>
      <c r="D930" s="1743"/>
      <c r="E930" s="90"/>
      <c r="F930" s="3"/>
      <c r="G930" s="184"/>
      <c r="H930" s="90"/>
      <c r="I930" s="90"/>
      <c r="K930" s="90"/>
      <c r="L930" s="90"/>
      <c r="M930" s="90"/>
      <c r="N930" s="1744"/>
      <c r="O930" s="90"/>
      <c r="Q930" s="5"/>
      <c r="R930" s="1745"/>
      <c r="S930" s="430"/>
      <c r="T930" s="1746"/>
      <c r="U930" s="430"/>
    </row>
    <row r="931" spans="1:21">
      <c r="A931" s="90"/>
      <c r="C931" s="1742"/>
      <c r="D931" s="1743"/>
      <c r="E931" s="90"/>
      <c r="F931" s="3"/>
      <c r="G931" s="184"/>
      <c r="H931" s="90"/>
      <c r="I931" s="90"/>
      <c r="K931" s="90"/>
      <c r="L931" s="90"/>
      <c r="M931" s="90"/>
      <c r="N931" s="1744"/>
      <c r="O931" s="90"/>
      <c r="Q931" s="5"/>
      <c r="R931" s="1745"/>
      <c r="S931" s="430"/>
      <c r="T931" s="1746"/>
      <c r="U931" s="430"/>
    </row>
    <row r="932" spans="1:21">
      <c r="A932" s="90"/>
      <c r="C932" s="1742"/>
      <c r="D932" s="1743"/>
      <c r="E932" s="90"/>
      <c r="F932" s="3"/>
      <c r="G932" s="184"/>
      <c r="H932" s="90"/>
      <c r="I932" s="90"/>
      <c r="K932" s="90"/>
      <c r="L932" s="90"/>
      <c r="M932" s="90"/>
      <c r="N932" s="1744"/>
      <c r="O932" s="90"/>
      <c r="Q932" s="5"/>
      <c r="R932" s="1745"/>
      <c r="S932" s="430"/>
      <c r="T932" s="1746"/>
      <c r="U932" s="430"/>
    </row>
    <row r="933" spans="1:21">
      <c r="A933" s="90"/>
      <c r="C933" s="1742"/>
      <c r="D933" s="1743"/>
      <c r="E933" s="90"/>
      <c r="F933" s="3"/>
      <c r="G933" s="184"/>
      <c r="H933" s="90"/>
      <c r="I933" s="90"/>
      <c r="K933" s="90"/>
      <c r="L933" s="90"/>
      <c r="M933" s="90"/>
      <c r="N933" s="1744"/>
      <c r="O933" s="90"/>
      <c r="Q933" s="5"/>
      <c r="R933" s="1745"/>
      <c r="S933" s="430"/>
      <c r="T933" s="1746"/>
      <c r="U933" s="430"/>
    </row>
    <row r="934" spans="1:21">
      <c r="A934" s="90"/>
      <c r="C934" s="1742"/>
      <c r="D934" s="1743"/>
      <c r="E934" s="90"/>
      <c r="F934" s="3"/>
      <c r="G934" s="184"/>
      <c r="H934" s="90"/>
      <c r="I934" s="90"/>
      <c r="K934" s="90"/>
      <c r="L934" s="90"/>
      <c r="M934" s="90"/>
      <c r="N934" s="1744"/>
      <c r="O934" s="90"/>
      <c r="Q934" s="5"/>
      <c r="R934" s="1745"/>
      <c r="S934" s="430"/>
      <c r="T934" s="1746"/>
      <c r="U934" s="430"/>
    </row>
    <row r="935" spans="1:21">
      <c r="A935" s="90"/>
      <c r="C935" s="1742"/>
      <c r="D935" s="1743"/>
      <c r="E935" s="90"/>
      <c r="F935" s="3"/>
      <c r="G935" s="184"/>
      <c r="H935" s="90"/>
      <c r="I935" s="90"/>
      <c r="K935" s="90"/>
      <c r="L935" s="90"/>
      <c r="M935" s="90"/>
      <c r="N935" s="1744"/>
      <c r="O935" s="90"/>
      <c r="Q935" s="5"/>
      <c r="R935" s="1745"/>
      <c r="S935" s="430"/>
      <c r="T935" s="1746"/>
      <c r="U935" s="430"/>
    </row>
    <row r="936" spans="1:21">
      <c r="A936" s="90"/>
      <c r="C936" s="1742"/>
      <c r="D936" s="1743"/>
      <c r="E936" s="90"/>
      <c r="F936" s="3"/>
      <c r="G936" s="184"/>
      <c r="H936" s="90"/>
      <c r="I936" s="90"/>
      <c r="K936" s="90"/>
      <c r="L936" s="90"/>
      <c r="M936" s="90"/>
      <c r="N936" s="1744"/>
      <c r="O936" s="90"/>
      <c r="Q936" s="5"/>
      <c r="R936" s="1745"/>
      <c r="S936" s="430"/>
      <c r="T936" s="1746"/>
      <c r="U936" s="430"/>
    </row>
    <row r="937" spans="1:21">
      <c r="A937" s="90"/>
      <c r="C937" s="1742"/>
      <c r="D937" s="1743"/>
      <c r="E937" s="90"/>
      <c r="F937" s="3"/>
      <c r="G937" s="184"/>
      <c r="H937" s="90"/>
      <c r="I937" s="90"/>
      <c r="K937" s="90"/>
      <c r="L937" s="90"/>
      <c r="M937" s="90"/>
      <c r="N937" s="1744"/>
      <c r="O937" s="90"/>
      <c r="Q937" s="5"/>
      <c r="R937" s="1745"/>
      <c r="S937" s="430"/>
      <c r="T937" s="1746"/>
      <c r="U937" s="430"/>
    </row>
    <row r="938" spans="1:21">
      <c r="A938" s="90"/>
      <c r="C938" s="1742"/>
      <c r="D938" s="1743"/>
      <c r="E938" s="90"/>
      <c r="F938" s="3"/>
      <c r="G938" s="184"/>
      <c r="H938" s="90"/>
      <c r="I938" s="90"/>
      <c r="K938" s="90"/>
      <c r="L938" s="90"/>
      <c r="M938" s="90"/>
      <c r="N938" s="1744"/>
      <c r="O938" s="90"/>
      <c r="Q938" s="5"/>
      <c r="R938" s="1745"/>
      <c r="S938" s="430"/>
      <c r="T938" s="1746"/>
      <c r="U938" s="430"/>
    </row>
    <row r="939" spans="1:21">
      <c r="A939" s="90"/>
      <c r="C939" s="1742"/>
      <c r="D939" s="1743"/>
      <c r="E939" s="90"/>
      <c r="F939" s="3"/>
      <c r="G939" s="184"/>
      <c r="H939" s="90"/>
      <c r="I939" s="90"/>
      <c r="K939" s="90"/>
      <c r="L939" s="90"/>
      <c r="M939" s="90"/>
      <c r="N939" s="1744"/>
      <c r="O939" s="90"/>
      <c r="Q939" s="5"/>
      <c r="R939" s="1745"/>
      <c r="S939" s="430"/>
      <c r="T939" s="1746"/>
      <c r="U939" s="430"/>
    </row>
    <row r="940" spans="1:21">
      <c r="A940" s="90"/>
      <c r="C940" s="1742"/>
      <c r="D940" s="1743"/>
      <c r="E940" s="90"/>
      <c r="F940" s="3"/>
      <c r="G940" s="184"/>
      <c r="H940" s="90"/>
      <c r="I940" s="90"/>
      <c r="K940" s="90"/>
      <c r="L940" s="90"/>
      <c r="M940" s="90"/>
      <c r="N940" s="1744"/>
      <c r="O940" s="90"/>
      <c r="Q940" s="5"/>
      <c r="R940" s="1745"/>
      <c r="S940" s="430"/>
      <c r="T940" s="1746"/>
      <c r="U940" s="430"/>
    </row>
    <row r="941" spans="1:21">
      <c r="A941" s="90"/>
      <c r="C941" s="1742"/>
      <c r="D941" s="1743"/>
      <c r="E941" s="90"/>
      <c r="F941" s="3"/>
      <c r="G941" s="184"/>
      <c r="H941" s="90"/>
      <c r="I941" s="90"/>
      <c r="K941" s="90"/>
      <c r="L941" s="90"/>
      <c r="M941" s="90"/>
      <c r="N941" s="1744"/>
      <c r="O941" s="90"/>
      <c r="Q941" s="5"/>
      <c r="R941" s="1745"/>
      <c r="S941" s="430"/>
      <c r="T941" s="1746"/>
      <c r="U941" s="430"/>
    </row>
    <row r="942" spans="1:21">
      <c r="A942" s="90"/>
      <c r="C942" s="1742"/>
      <c r="D942" s="1743"/>
      <c r="E942" s="90"/>
      <c r="F942" s="3"/>
      <c r="G942" s="184"/>
      <c r="H942" s="90"/>
      <c r="I942" s="90"/>
      <c r="K942" s="90"/>
      <c r="L942" s="90"/>
      <c r="M942" s="90"/>
      <c r="N942" s="1744"/>
      <c r="O942" s="90"/>
      <c r="Q942" s="5"/>
      <c r="R942" s="1745"/>
      <c r="S942" s="430"/>
      <c r="T942" s="1746"/>
      <c r="U942" s="430"/>
    </row>
    <row r="943" spans="1:21">
      <c r="A943" s="90"/>
      <c r="C943" s="1742"/>
      <c r="D943" s="1743"/>
      <c r="E943" s="90"/>
      <c r="F943" s="3"/>
      <c r="G943" s="184"/>
      <c r="H943" s="90"/>
      <c r="I943" s="90"/>
      <c r="K943" s="90"/>
      <c r="L943" s="90"/>
      <c r="M943" s="90"/>
      <c r="N943" s="1744"/>
      <c r="O943" s="90"/>
      <c r="Q943" s="5"/>
      <c r="R943" s="1745"/>
      <c r="S943" s="430"/>
      <c r="T943" s="1746"/>
      <c r="U943" s="430"/>
    </row>
    <row r="944" spans="1:21">
      <c r="A944" s="90"/>
      <c r="C944" s="1742"/>
      <c r="D944" s="1743"/>
      <c r="E944" s="90"/>
      <c r="F944" s="3"/>
      <c r="G944" s="184"/>
      <c r="H944" s="90"/>
      <c r="I944" s="90"/>
      <c r="K944" s="90"/>
      <c r="L944" s="90"/>
      <c r="M944" s="90"/>
      <c r="N944" s="1744"/>
      <c r="O944" s="90"/>
      <c r="Q944" s="5"/>
      <c r="R944" s="1745"/>
      <c r="S944" s="430"/>
      <c r="T944" s="1746"/>
      <c r="U944" s="430"/>
    </row>
    <row r="945" spans="1:21">
      <c r="A945" s="90"/>
      <c r="C945" s="1742"/>
      <c r="D945" s="1743"/>
      <c r="E945" s="90"/>
      <c r="F945" s="3"/>
      <c r="G945" s="184"/>
      <c r="H945" s="90"/>
      <c r="I945" s="90"/>
      <c r="K945" s="90"/>
      <c r="L945" s="90"/>
      <c r="M945" s="90"/>
      <c r="N945" s="1744"/>
      <c r="O945" s="90"/>
      <c r="Q945" s="5"/>
      <c r="R945" s="1745"/>
      <c r="S945" s="430"/>
      <c r="T945" s="1746"/>
      <c r="U945" s="430"/>
    </row>
    <row r="946" spans="1:21">
      <c r="A946" s="90"/>
      <c r="C946" s="1742"/>
      <c r="D946" s="1743"/>
      <c r="E946" s="90"/>
      <c r="F946" s="3"/>
      <c r="G946" s="184"/>
      <c r="H946" s="90"/>
      <c r="I946" s="90"/>
      <c r="K946" s="90"/>
      <c r="L946" s="90"/>
      <c r="M946" s="90"/>
      <c r="N946" s="1744"/>
      <c r="O946" s="90"/>
      <c r="Q946" s="5"/>
      <c r="R946" s="1745"/>
      <c r="S946" s="430"/>
      <c r="T946" s="1746"/>
      <c r="U946" s="430"/>
    </row>
    <row r="947" spans="1:21">
      <c r="A947" s="90"/>
      <c r="C947" s="1742"/>
      <c r="D947" s="1743"/>
      <c r="E947" s="90"/>
      <c r="F947" s="3"/>
      <c r="G947" s="184"/>
      <c r="H947" s="90"/>
      <c r="I947" s="90"/>
      <c r="K947" s="90"/>
      <c r="L947" s="90"/>
      <c r="M947" s="90"/>
      <c r="N947" s="1744"/>
      <c r="O947" s="90"/>
      <c r="Q947" s="5"/>
      <c r="R947" s="1745"/>
      <c r="S947" s="430"/>
      <c r="T947" s="1746"/>
      <c r="U947" s="430"/>
    </row>
    <row r="948" spans="1:21">
      <c r="A948" s="90"/>
      <c r="C948" s="1742"/>
      <c r="D948" s="1743"/>
      <c r="E948" s="90"/>
      <c r="F948" s="3"/>
      <c r="G948" s="184"/>
      <c r="H948" s="90"/>
      <c r="I948" s="90"/>
      <c r="K948" s="90"/>
      <c r="L948" s="90"/>
      <c r="M948" s="90"/>
      <c r="N948" s="1744"/>
      <c r="O948" s="90"/>
      <c r="Q948" s="5"/>
      <c r="R948" s="1745"/>
      <c r="S948" s="430"/>
      <c r="T948" s="1746"/>
      <c r="U948" s="430"/>
    </row>
    <row r="949" spans="1:21">
      <c r="A949" s="90"/>
      <c r="C949" s="1742"/>
      <c r="D949" s="1743"/>
      <c r="E949" s="90"/>
      <c r="F949" s="3"/>
      <c r="G949" s="184"/>
      <c r="H949" s="90"/>
      <c r="I949" s="90"/>
      <c r="K949" s="90"/>
      <c r="L949" s="90"/>
      <c r="M949" s="90"/>
      <c r="N949" s="1744"/>
      <c r="O949" s="90"/>
      <c r="Q949" s="5"/>
      <c r="R949" s="1745"/>
      <c r="S949" s="430"/>
      <c r="T949" s="1746"/>
      <c r="U949" s="430"/>
    </row>
    <row r="950" spans="1:21">
      <c r="A950" s="90"/>
      <c r="C950" s="1742"/>
      <c r="D950" s="1743"/>
      <c r="E950" s="90"/>
      <c r="F950" s="3"/>
      <c r="G950" s="184"/>
      <c r="H950" s="90"/>
      <c r="I950" s="90"/>
      <c r="K950" s="90"/>
      <c r="L950" s="90"/>
      <c r="M950" s="90"/>
      <c r="N950" s="1744"/>
      <c r="O950" s="90"/>
      <c r="Q950" s="5"/>
      <c r="R950" s="1745"/>
      <c r="S950" s="430"/>
      <c r="T950" s="1746"/>
      <c r="U950" s="430"/>
    </row>
    <row r="951" spans="1:21">
      <c r="A951" s="90"/>
      <c r="C951" s="1742"/>
      <c r="D951" s="1743"/>
      <c r="E951" s="90"/>
      <c r="F951" s="3"/>
      <c r="G951" s="184"/>
      <c r="H951" s="90"/>
      <c r="I951" s="90"/>
      <c r="K951" s="90"/>
      <c r="L951" s="90"/>
      <c r="M951" s="90"/>
      <c r="N951" s="1744"/>
      <c r="O951" s="90"/>
      <c r="Q951" s="5"/>
      <c r="R951" s="1745"/>
      <c r="S951" s="430"/>
      <c r="T951" s="1746"/>
      <c r="U951" s="430"/>
    </row>
    <row r="952" spans="1:21">
      <c r="A952" s="90"/>
      <c r="C952" s="1742"/>
      <c r="D952" s="1743"/>
      <c r="E952" s="90"/>
      <c r="F952" s="3"/>
      <c r="G952" s="184"/>
      <c r="H952" s="90"/>
      <c r="I952" s="90"/>
      <c r="K952" s="90"/>
      <c r="L952" s="90"/>
      <c r="M952" s="90"/>
      <c r="N952" s="1744"/>
      <c r="O952" s="90"/>
      <c r="Q952" s="5"/>
      <c r="R952" s="1745"/>
      <c r="S952" s="430"/>
      <c r="T952" s="1746"/>
      <c r="U952" s="430"/>
    </row>
    <row r="953" spans="1:21">
      <c r="A953" s="90"/>
      <c r="C953" s="1742"/>
      <c r="D953" s="1743"/>
      <c r="E953" s="90"/>
      <c r="F953" s="3"/>
      <c r="G953" s="184"/>
      <c r="H953" s="90"/>
      <c r="I953" s="90"/>
      <c r="K953" s="90"/>
      <c r="L953" s="90"/>
      <c r="M953" s="90"/>
      <c r="N953" s="1744"/>
      <c r="O953" s="90"/>
      <c r="Q953" s="5"/>
      <c r="R953" s="1745"/>
      <c r="S953" s="430"/>
      <c r="T953" s="1746"/>
      <c r="U953" s="430"/>
    </row>
    <row r="954" spans="1:21">
      <c r="A954" s="90"/>
      <c r="C954" s="1742"/>
      <c r="D954" s="1743"/>
      <c r="E954" s="90"/>
      <c r="F954" s="3"/>
      <c r="G954" s="184"/>
      <c r="H954" s="90"/>
      <c r="I954" s="90"/>
      <c r="K954" s="90"/>
      <c r="L954" s="90"/>
      <c r="M954" s="90"/>
      <c r="N954" s="1744"/>
      <c r="O954" s="90"/>
      <c r="Q954" s="5"/>
      <c r="R954" s="1745"/>
      <c r="S954" s="430"/>
      <c r="T954" s="1746"/>
      <c r="U954" s="430"/>
    </row>
    <row r="955" spans="1:21">
      <c r="A955" s="90"/>
      <c r="C955" s="1742"/>
      <c r="D955" s="1743"/>
      <c r="E955" s="90"/>
      <c r="F955" s="3"/>
      <c r="G955" s="184"/>
      <c r="H955" s="90"/>
      <c r="I955" s="90"/>
      <c r="K955" s="90"/>
      <c r="L955" s="90"/>
      <c r="M955" s="90"/>
      <c r="N955" s="1744"/>
      <c r="O955" s="90"/>
      <c r="Q955" s="5"/>
      <c r="R955" s="1745"/>
      <c r="S955" s="430"/>
      <c r="T955" s="1746"/>
      <c r="U955" s="430"/>
    </row>
    <row r="956" spans="1:21">
      <c r="A956" s="90"/>
      <c r="C956" s="1742"/>
      <c r="D956" s="1743"/>
      <c r="E956" s="90"/>
      <c r="F956" s="3"/>
      <c r="G956" s="184"/>
      <c r="H956" s="90"/>
      <c r="I956" s="90"/>
      <c r="K956" s="90"/>
      <c r="L956" s="90"/>
      <c r="M956" s="90"/>
      <c r="N956" s="1744"/>
      <c r="O956" s="90"/>
      <c r="Q956" s="5"/>
      <c r="R956" s="1745"/>
      <c r="S956" s="430"/>
      <c r="T956" s="1746"/>
      <c r="U956" s="430"/>
    </row>
    <row r="957" spans="1:21">
      <c r="A957" s="90"/>
      <c r="C957" s="1742"/>
      <c r="D957" s="1743"/>
      <c r="E957" s="90"/>
      <c r="F957" s="3"/>
      <c r="G957" s="184"/>
      <c r="H957" s="90"/>
      <c r="I957" s="90"/>
      <c r="K957" s="90"/>
      <c r="L957" s="90"/>
      <c r="M957" s="90"/>
      <c r="N957" s="1744"/>
      <c r="O957" s="90"/>
      <c r="Q957" s="5"/>
      <c r="R957" s="1745"/>
      <c r="S957" s="430"/>
      <c r="T957" s="1746"/>
      <c r="U957" s="430"/>
    </row>
    <row r="958" spans="1:21">
      <c r="A958" s="90"/>
      <c r="C958" s="1742"/>
      <c r="D958" s="1743"/>
      <c r="E958" s="90"/>
      <c r="F958" s="3"/>
      <c r="G958" s="184"/>
      <c r="H958" s="90"/>
      <c r="I958" s="90"/>
      <c r="K958" s="90"/>
      <c r="L958" s="90"/>
      <c r="M958" s="90"/>
      <c r="N958" s="1744"/>
      <c r="O958" s="90"/>
      <c r="Q958" s="5"/>
      <c r="R958" s="1745"/>
      <c r="S958" s="430"/>
      <c r="T958" s="1746"/>
      <c r="U958" s="430"/>
    </row>
    <row r="959" spans="1:21">
      <c r="A959" s="90"/>
      <c r="C959" s="1742"/>
      <c r="D959" s="1743"/>
      <c r="E959" s="90"/>
      <c r="F959" s="3"/>
      <c r="G959" s="184"/>
      <c r="H959" s="90"/>
      <c r="I959" s="90"/>
      <c r="K959" s="90"/>
      <c r="L959" s="90"/>
      <c r="M959" s="90"/>
      <c r="N959" s="1744"/>
      <c r="O959" s="90"/>
      <c r="Q959" s="5"/>
      <c r="R959" s="1745"/>
      <c r="S959" s="430"/>
      <c r="T959" s="1746"/>
      <c r="U959" s="430"/>
    </row>
    <row r="960" spans="1:21">
      <c r="A960" s="90"/>
      <c r="C960" s="1742"/>
      <c r="D960" s="1743"/>
      <c r="E960" s="90"/>
      <c r="F960" s="3"/>
      <c r="G960" s="184"/>
      <c r="H960" s="90"/>
      <c r="I960" s="90"/>
      <c r="K960" s="90"/>
      <c r="L960" s="90"/>
      <c r="M960" s="90"/>
      <c r="N960" s="1744"/>
      <c r="O960" s="90"/>
      <c r="Q960" s="5"/>
      <c r="R960" s="1745"/>
      <c r="S960" s="430"/>
      <c r="T960" s="1746"/>
      <c r="U960" s="430"/>
    </row>
    <row r="961" spans="1:21">
      <c r="A961" s="90"/>
      <c r="C961" s="1742"/>
      <c r="D961" s="1743"/>
      <c r="E961" s="90"/>
      <c r="F961" s="3"/>
      <c r="G961" s="184"/>
      <c r="H961" s="90"/>
      <c r="I961" s="90"/>
      <c r="K961" s="90"/>
      <c r="L961" s="90"/>
      <c r="M961" s="90"/>
      <c r="N961" s="1744"/>
      <c r="O961" s="90"/>
      <c r="Q961" s="5"/>
      <c r="R961" s="1745"/>
      <c r="S961" s="430"/>
      <c r="T961" s="1746"/>
      <c r="U961" s="430"/>
    </row>
    <row r="962" spans="1:21">
      <c r="A962" s="90"/>
      <c r="C962" s="1742"/>
      <c r="D962" s="1743"/>
      <c r="E962" s="90"/>
      <c r="F962" s="3"/>
      <c r="G962" s="184"/>
      <c r="H962" s="90"/>
      <c r="I962" s="90"/>
      <c r="K962" s="90"/>
      <c r="L962" s="90"/>
      <c r="M962" s="90"/>
      <c r="N962" s="1744"/>
      <c r="O962" s="90"/>
      <c r="Q962" s="5"/>
      <c r="R962" s="1745"/>
      <c r="S962" s="430"/>
      <c r="T962" s="1746"/>
      <c r="U962" s="430"/>
    </row>
    <row r="963" spans="1:21">
      <c r="A963" s="90"/>
      <c r="C963" s="1742"/>
      <c r="D963" s="1743"/>
      <c r="E963" s="90"/>
      <c r="F963" s="3"/>
      <c r="G963" s="184"/>
      <c r="H963" s="90"/>
      <c r="I963" s="90"/>
      <c r="K963" s="90"/>
      <c r="L963" s="90"/>
      <c r="M963" s="90"/>
      <c r="N963" s="1744"/>
      <c r="O963" s="90"/>
      <c r="Q963" s="5"/>
      <c r="R963" s="1745"/>
      <c r="S963" s="430"/>
      <c r="T963" s="1746"/>
      <c r="U963" s="430"/>
    </row>
    <row r="964" spans="1:21">
      <c r="A964" s="90"/>
      <c r="C964" s="1742"/>
      <c r="D964" s="1743"/>
      <c r="E964" s="90"/>
      <c r="F964" s="3"/>
      <c r="G964" s="184"/>
      <c r="H964" s="90"/>
      <c r="I964" s="90"/>
      <c r="K964" s="90"/>
      <c r="L964" s="90"/>
      <c r="M964" s="90"/>
      <c r="N964" s="1744"/>
      <c r="O964" s="90"/>
      <c r="Q964" s="5"/>
      <c r="R964" s="1745"/>
      <c r="S964" s="430"/>
      <c r="T964" s="1746"/>
      <c r="U964" s="430"/>
    </row>
    <row r="965" spans="1:21">
      <c r="A965" s="90"/>
      <c r="C965" s="1742"/>
      <c r="D965" s="1743"/>
      <c r="E965" s="90"/>
      <c r="F965" s="3"/>
      <c r="G965" s="184"/>
      <c r="H965" s="90"/>
      <c r="I965" s="90"/>
      <c r="K965" s="90"/>
      <c r="L965" s="90"/>
      <c r="M965" s="90"/>
      <c r="N965" s="1744"/>
      <c r="O965" s="90"/>
      <c r="Q965" s="5"/>
      <c r="R965" s="1745"/>
      <c r="S965" s="430"/>
      <c r="T965" s="1746"/>
      <c r="U965" s="430"/>
    </row>
    <row r="966" spans="1:21">
      <c r="A966" s="90"/>
      <c r="C966" s="1742"/>
      <c r="D966" s="1743"/>
      <c r="E966" s="90"/>
      <c r="F966" s="3"/>
      <c r="G966" s="184"/>
      <c r="H966" s="90"/>
      <c r="I966" s="90"/>
      <c r="K966" s="90"/>
      <c r="L966" s="90"/>
      <c r="M966" s="90"/>
      <c r="N966" s="1744"/>
      <c r="O966" s="90"/>
      <c r="Q966" s="5"/>
      <c r="R966" s="1745"/>
      <c r="S966" s="430"/>
      <c r="T966" s="1746"/>
      <c r="U966" s="430"/>
    </row>
    <row r="967" spans="1:21">
      <c r="A967" s="90"/>
      <c r="C967" s="1742"/>
      <c r="D967" s="1743"/>
      <c r="E967" s="90"/>
      <c r="F967" s="3"/>
      <c r="G967" s="184"/>
      <c r="H967" s="90"/>
      <c r="I967" s="90"/>
      <c r="K967" s="90"/>
      <c r="L967" s="90"/>
      <c r="M967" s="90"/>
      <c r="N967" s="1744"/>
      <c r="O967" s="90"/>
      <c r="Q967" s="5"/>
      <c r="R967" s="1745"/>
      <c r="S967" s="430"/>
      <c r="T967" s="1746"/>
      <c r="U967" s="430"/>
    </row>
    <row r="968" spans="1:21">
      <c r="A968" s="90"/>
      <c r="C968" s="1742"/>
      <c r="D968" s="1743"/>
      <c r="E968" s="90"/>
      <c r="F968" s="3"/>
      <c r="G968" s="184"/>
      <c r="H968" s="90"/>
      <c r="I968" s="90"/>
      <c r="K968" s="90"/>
      <c r="L968" s="90"/>
      <c r="M968" s="90"/>
      <c r="N968" s="1744"/>
      <c r="O968" s="90"/>
      <c r="Q968" s="5"/>
      <c r="R968" s="1745"/>
      <c r="S968" s="430"/>
      <c r="T968" s="1746"/>
      <c r="U968" s="430"/>
    </row>
    <row r="969" spans="1:21">
      <c r="A969" s="90"/>
      <c r="C969" s="1742"/>
      <c r="D969" s="1743"/>
      <c r="E969" s="90"/>
      <c r="F969" s="3"/>
      <c r="G969" s="184"/>
      <c r="H969" s="90"/>
      <c r="I969" s="90"/>
      <c r="K969" s="90"/>
      <c r="L969" s="90"/>
      <c r="M969" s="90"/>
      <c r="N969" s="1744"/>
      <c r="O969" s="90"/>
      <c r="Q969" s="5"/>
      <c r="R969" s="1745"/>
      <c r="S969" s="430"/>
      <c r="T969" s="1746"/>
      <c r="U969" s="430"/>
    </row>
    <row r="970" spans="1:21">
      <c r="A970" s="90"/>
      <c r="C970" s="1742"/>
      <c r="D970" s="1743"/>
      <c r="E970" s="90"/>
      <c r="F970" s="3"/>
      <c r="G970" s="184"/>
      <c r="H970" s="90"/>
      <c r="I970" s="90"/>
      <c r="K970" s="90"/>
      <c r="L970" s="90"/>
      <c r="M970" s="90"/>
      <c r="N970" s="1744"/>
      <c r="O970" s="90"/>
      <c r="Q970" s="5"/>
      <c r="R970" s="1745"/>
      <c r="S970" s="430"/>
      <c r="T970" s="1746"/>
      <c r="U970" s="430"/>
    </row>
    <row r="971" spans="1:21">
      <c r="A971" s="90"/>
      <c r="C971" s="1742"/>
      <c r="D971" s="1743"/>
      <c r="E971" s="90"/>
      <c r="F971" s="3"/>
      <c r="G971" s="184"/>
      <c r="H971" s="90"/>
      <c r="I971" s="90"/>
      <c r="K971" s="90"/>
      <c r="L971" s="90"/>
      <c r="M971" s="90"/>
      <c r="N971" s="1744"/>
      <c r="O971" s="90"/>
      <c r="Q971" s="5"/>
      <c r="R971" s="1745"/>
      <c r="S971" s="430"/>
      <c r="T971" s="1746"/>
      <c r="U971" s="430"/>
    </row>
    <row r="972" spans="1:21">
      <c r="A972" s="90"/>
      <c r="C972" s="1742"/>
      <c r="D972" s="1743"/>
      <c r="E972" s="90"/>
      <c r="F972" s="3"/>
      <c r="G972" s="184"/>
      <c r="H972" s="90"/>
      <c r="I972" s="90"/>
      <c r="K972" s="90"/>
      <c r="L972" s="90"/>
      <c r="M972" s="90"/>
      <c r="N972" s="1744"/>
      <c r="O972" s="90"/>
      <c r="Q972" s="5"/>
      <c r="R972" s="1745"/>
      <c r="S972" s="430"/>
      <c r="T972" s="1746"/>
      <c r="U972" s="430"/>
    </row>
    <row r="973" spans="1:21">
      <c r="A973" s="90"/>
      <c r="C973" s="1742"/>
      <c r="D973" s="1743"/>
      <c r="E973" s="90"/>
      <c r="F973" s="3"/>
      <c r="G973" s="184"/>
      <c r="H973" s="90"/>
      <c r="I973" s="90"/>
      <c r="K973" s="90"/>
      <c r="L973" s="90"/>
      <c r="M973" s="90"/>
      <c r="N973" s="1744"/>
      <c r="O973" s="90"/>
      <c r="Q973" s="5"/>
      <c r="R973" s="1745"/>
      <c r="S973" s="430"/>
      <c r="T973" s="1746"/>
      <c r="U973" s="430"/>
    </row>
    <row r="974" spans="1:21">
      <c r="A974" s="90"/>
      <c r="C974" s="1742"/>
      <c r="D974" s="1743"/>
      <c r="E974" s="90"/>
      <c r="F974" s="3"/>
      <c r="G974" s="184"/>
      <c r="H974" s="90"/>
      <c r="I974" s="90"/>
      <c r="K974" s="90"/>
      <c r="L974" s="90"/>
      <c r="M974" s="90"/>
      <c r="N974" s="1744"/>
      <c r="O974" s="90"/>
      <c r="Q974" s="5"/>
      <c r="R974" s="1745"/>
      <c r="S974" s="430"/>
      <c r="T974" s="1746"/>
      <c r="U974" s="430"/>
    </row>
    <row r="975" spans="1:21">
      <c r="A975" s="90"/>
      <c r="C975" s="1742"/>
      <c r="D975" s="1743"/>
      <c r="E975" s="90"/>
      <c r="F975" s="3"/>
      <c r="G975" s="184"/>
      <c r="H975" s="90"/>
      <c r="I975" s="90"/>
      <c r="K975" s="90"/>
      <c r="L975" s="90"/>
      <c r="M975" s="90"/>
      <c r="N975" s="1744"/>
      <c r="O975" s="90"/>
      <c r="Q975" s="5"/>
      <c r="R975" s="1745"/>
      <c r="S975" s="430"/>
      <c r="T975" s="1746"/>
      <c r="U975" s="430"/>
    </row>
    <row r="976" spans="1:21">
      <c r="A976" s="90"/>
      <c r="C976" s="1742"/>
      <c r="D976" s="1743"/>
      <c r="E976" s="90"/>
      <c r="F976" s="3"/>
      <c r="G976" s="184"/>
      <c r="H976" s="90"/>
      <c r="I976" s="90"/>
      <c r="K976" s="90"/>
      <c r="L976" s="90"/>
      <c r="M976" s="90"/>
      <c r="N976" s="1744"/>
      <c r="O976" s="90"/>
      <c r="Q976" s="5"/>
      <c r="R976" s="1745"/>
      <c r="S976" s="430"/>
      <c r="T976" s="1746"/>
      <c r="U976" s="430"/>
    </row>
    <row r="977" spans="1:21">
      <c r="A977" s="90"/>
      <c r="C977" s="1742"/>
      <c r="D977" s="1743"/>
      <c r="E977" s="90"/>
      <c r="F977" s="3"/>
      <c r="G977" s="184"/>
      <c r="H977" s="90"/>
      <c r="I977" s="90"/>
      <c r="K977" s="90"/>
      <c r="L977" s="90"/>
      <c r="M977" s="90"/>
      <c r="N977" s="1744"/>
      <c r="O977" s="90"/>
      <c r="Q977" s="5"/>
      <c r="R977" s="1745"/>
      <c r="S977" s="430"/>
      <c r="T977" s="1746"/>
      <c r="U977" s="430"/>
    </row>
    <row r="978" spans="1:21">
      <c r="A978" s="90"/>
      <c r="C978" s="1742"/>
      <c r="D978" s="1743"/>
      <c r="E978" s="90"/>
      <c r="F978" s="3"/>
      <c r="G978" s="184"/>
      <c r="H978" s="90"/>
      <c r="I978" s="90"/>
      <c r="K978" s="90"/>
      <c r="L978" s="90"/>
      <c r="M978" s="90"/>
      <c r="N978" s="1744"/>
      <c r="O978" s="90"/>
      <c r="Q978" s="5"/>
      <c r="R978" s="1745"/>
      <c r="S978" s="430"/>
      <c r="T978" s="1746"/>
      <c r="U978" s="430"/>
    </row>
    <row r="979" spans="1:21">
      <c r="A979" s="90"/>
      <c r="C979" s="1742"/>
      <c r="D979" s="1743"/>
      <c r="E979" s="90"/>
      <c r="F979" s="3"/>
      <c r="G979" s="184"/>
      <c r="H979" s="90"/>
      <c r="I979" s="90"/>
      <c r="K979" s="90"/>
      <c r="L979" s="90"/>
      <c r="M979" s="90"/>
      <c r="N979" s="1744"/>
      <c r="O979" s="90"/>
      <c r="Q979" s="5"/>
      <c r="R979" s="1745"/>
      <c r="S979" s="430"/>
      <c r="T979" s="1746"/>
      <c r="U979" s="430"/>
    </row>
    <row r="980" spans="1:21">
      <c r="A980" s="90"/>
      <c r="C980" s="1742"/>
      <c r="D980" s="1743"/>
      <c r="E980" s="90"/>
      <c r="F980" s="3"/>
      <c r="G980" s="184"/>
      <c r="H980" s="90"/>
      <c r="I980" s="90"/>
      <c r="K980" s="90"/>
      <c r="L980" s="90"/>
      <c r="M980" s="90"/>
      <c r="N980" s="1744"/>
      <c r="O980" s="90"/>
      <c r="Q980" s="5"/>
      <c r="R980" s="1745"/>
      <c r="S980" s="430"/>
      <c r="T980" s="1746"/>
      <c r="U980" s="430"/>
    </row>
    <row r="981" spans="1:21">
      <c r="A981" s="90"/>
      <c r="C981" s="1742"/>
      <c r="D981" s="1743"/>
      <c r="E981" s="90"/>
      <c r="F981" s="3"/>
      <c r="G981" s="184"/>
      <c r="H981" s="90"/>
      <c r="I981" s="90"/>
      <c r="K981" s="90"/>
      <c r="L981" s="90"/>
      <c r="M981" s="90"/>
      <c r="N981" s="1744"/>
      <c r="O981" s="90"/>
      <c r="Q981" s="5"/>
      <c r="R981" s="1745"/>
      <c r="S981" s="430"/>
      <c r="T981" s="1746"/>
      <c r="U981" s="430"/>
    </row>
    <row r="982" spans="1:21">
      <c r="A982" s="90"/>
      <c r="C982" s="1742"/>
      <c r="D982" s="1743"/>
      <c r="E982" s="90"/>
      <c r="F982" s="3"/>
      <c r="G982" s="184"/>
      <c r="H982" s="90"/>
      <c r="I982" s="90"/>
      <c r="K982" s="90"/>
      <c r="L982" s="90"/>
      <c r="M982" s="90"/>
      <c r="N982" s="1744"/>
      <c r="O982" s="90"/>
      <c r="Q982" s="5"/>
      <c r="R982" s="1745"/>
      <c r="S982" s="430"/>
      <c r="T982" s="1746"/>
      <c r="U982" s="430"/>
    </row>
    <row r="983" spans="1:21">
      <c r="A983" s="90"/>
      <c r="C983" s="1742"/>
      <c r="D983" s="1743"/>
      <c r="E983" s="90"/>
      <c r="F983" s="3"/>
      <c r="G983" s="184"/>
      <c r="H983" s="90"/>
      <c r="I983" s="90"/>
      <c r="K983" s="90"/>
      <c r="L983" s="90"/>
      <c r="M983" s="90"/>
      <c r="N983" s="1744"/>
      <c r="O983" s="90"/>
      <c r="Q983" s="5"/>
      <c r="R983" s="1745"/>
      <c r="S983" s="430"/>
      <c r="T983" s="1746"/>
      <c r="U983" s="430"/>
    </row>
    <row r="984" spans="1:21">
      <c r="A984" s="90"/>
      <c r="C984" s="1742"/>
      <c r="D984" s="1743"/>
      <c r="E984" s="90"/>
      <c r="F984" s="3"/>
      <c r="G984" s="184"/>
      <c r="H984" s="90"/>
      <c r="I984" s="90"/>
      <c r="K984" s="90"/>
      <c r="L984" s="90"/>
      <c r="M984" s="90"/>
      <c r="N984" s="1744"/>
      <c r="O984" s="90"/>
      <c r="Q984" s="5"/>
      <c r="R984" s="1745"/>
      <c r="S984" s="430"/>
      <c r="T984" s="1746"/>
      <c r="U984" s="430"/>
    </row>
    <row r="985" spans="1:21">
      <c r="A985" s="90"/>
      <c r="C985" s="1742"/>
      <c r="D985" s="1743"/>
      <c r="E985" s="90"/>
      <c r="F985" s="3"/>
      <c r="G985" s="184"/>
      <c r="H985" s="90"/>
      <c r="I985" s="90"/>
      <c r="K985" s="90"/>
      <c r="L985" s="90"/>
      <c r="M985" s="90"/>
      <c r="N985" s="1744"/>
      <c r="O985" s="90"/>
      <c r="Q985" s="5"/>
      <c r="R985" s="1745"/>
      <c r="S985" s="430"/>
      <c r="T985" s="1746"/>
      <c r="U985" s="430"/>
    </row>
    <row r="986" spans="1:21">
      <c r="A986" s="90"/>
      <c r="C986" s="1742"/>
      <c r="D986" s="1743"/>
      <c r="E986" s="90"/>
      <c r="F986" s="3"/>
      <c r="G986" s="184"/>
      <c r="H986" s="90"/>
      <c r="I986" s="90"/>
      <c r="K986" s="90"/>
      <c r="L986" s="90"/>
      <c r="M986" s="90"/>
      <c r="N986" s="1744"/>
      <c r="O986" s="90"/>
      <c r="Q986" s="5"/>
      <c r="R986" s="1745"/>
      <c r="S986" s="430"/>
      <c r="T986" s="1746"/>
      <c r="U986" s="430"/>
    </row>
    <row r="987" spans="1:21">
      <c r="A987" s="90"/>
      <c r="C987" s="1742"/>
      <c r="D987" s="1743"/>
      <c r="E987" s="90"/>
      <c r="F987" s="3"/>
      <c r="G987" s="184"/>
      <c r="H987" s="90"/>
      <c r="I987" s="90"/>
      <c r="K987" s="90"/>
      <c r="L987" s="90"/>
      <c r="M987" s="90"/>
      <c r="N987" s="1744"/>
      <c r="O987" s="90"/>
      <c r="Q987" s="5"/>
      <c r="R987" s="1745"/>
      <c r="S987" s="430"/>
      <c r="T987" s="1746"/>
      <c r="U987" s="430"/>
    </row>
    <row r="988" spans="1:21">
      <c r="A988" s="90"/>
      <c r="C988" s="1742"/>
      <c r="D988" s="1743"/>
      <c r="E988" s="90"/>
      <c r="F988" s="3"/>
      <c r="G988" s="184"/>
      <c r="H988" s="90"/>
      <c r="I988" s="90"/>
      <c r="K988" s="90"/>
      <c r="L988" s="90"/>
      <c r="M988" s="90"/>
      <c r="N988" s="1744"/>
      <c r="O988" s="90"/>
      <c r="Q988" s="5"/>
      <c r="R988" s="1745"/>
      <c r="S988" s="430"/>
      <c r="T988" s="1746"/>
      <c r="U988" s="430"/>
    </row>
    <row r="989" spans="1:21">
      <c r="A989" s="90"/>
      <c r="C989" s="1742"/>
      <c r="D989" s="1743"/>
      <c r="E989" s="90"/>
      <c r="F989" s="3"/>
      <c r="G989" s="184"/>
      <c r="H989" s="90"/>
      <c r="I989" s="90"/>
      <c r="K989" s="90"/>
      <c r="L989" s="90"/>
      <c r="M989" s="90"/>
      <c r="N989" s="1744"/>
      <c r="O989" s="90"/>
      <c r="Q989" s="5"/>
      <c r="R989" s="1745"/>
      <c r="S989" s="430"/>
      <c r="T989" s="1746"/>
      <c r="U989" s="430"/>
    </row>
    <row r="990" spans="1:21">
      <c r="A990" s="90"/>
      <c r="C990" s="1742"/>
      <c r="D990" s="1743"/>
      <c r="E990" s="90"/>
      <c r="F990" s="3"/>
      <c r="G990" s="184"/>
      <c r="H990" s="90"/>
      <c r="I990" s="90"/>
      <c r="K990" s="90"/>
      <c r="L990" s="90"/>
      <c r="M990" s="90"/>
      <c r="N990" s="1744"/>
      <c r="O990" s="90"/>
      <c r="Q990" s="5"/>
      <c r="R990" s="1745"/>
      <c r="S990" s="430"/>
      <c r="T990" s="1746"/>
      <c r="U990" s="430"/>
    </row>
    <row r="991" spans="1:21">
      <c r="A991" s="90"/>
      <c r="C991" s="1742"/>
      <c r="D991" s="1743"/>
      <c r="E991" s="90"/>
      <c r="F991" s="3"/>
      <c r="G991" s="184"/>
      <c r="H991" s="90"/>
      <c r="I991" s="90"/>
      <c r="K991" s="90"/>
      <c r="L991" s="90"/>
      <c r="M991" s="90"/>
      <c r="N991" s="1744"/>
      <c r="O991" s="90"/>
      <c r="Q991" s="5"/>
      <c r="R991" s="1745"/>
      <c r="S991" s="430"/>
      <c r="T991" s="1746"/>
      <c r="U991" s="430"/>
    </row>
    <row r="992" spans="1:21">
      <c r="A992" s="90"/>
      <c r="C992" s="1742"/>
      <c r="D992" s="1743"/>
      <c r="E992" s="90"/>
      <c r="F992" s="3"/>
      <c r="G992" s="184"/>
      <c r="H992" s="90"/>
      <c r="I992" s="90"/>
      <c r="K992" s="90"/>
      <c r="L992" s="90"/>
      <c r="M992" s="90"/>
      <c r="N992" s="1744"/>
      <c r="O992" s="90"/>
      <c r="Q992" s="5"/>
      <c r="R992" s="1745"/>
      <c r="S992" s="430"/>
      <c r="T992" s="1746"/>
      <c r="U992" s="430"/>
    </row>
    <row r="993" spans="1:21">
      <c r="A993" s="90"/>
      <c r="C993" s="1742"/>
      <c r="D993" s="1743"/>
      <c r="E993" s="90"/>
      <c r="F993" s="3"/>
      <c r="G993" s="184"/>
      <c r="H993" s="90"/>
      <c r="I993" s="90"/>
      <c r="K993" s="90"/>
      <c r="L993" s="90"/>
      <c r="M993" s="90"/>
      <c r="N993" s="1744"/>
      <c r="O993" s="90"/>
      <c r="Q993" s="5"/>
      <c r="R993" s="1745"/>
      <c r="S993" s="430"/>
      <c r="T993" s="1746"/>
      <c r="U993" s="430"/>
    </row>
    <row r="994" spans="1:21">
      <c r="A994" s="90"/>
      <c r="C994" s="1742"/>
      <c r="D994" s="1743"/>
      <c r="E994" s="90"/>
      <c r="F994" s="3"/>
      <c r="G994" s="184"/>
      <c r="H994" s="90"/>
      <c r="I994" s="90"/>
      <c r="K994" s="90"/>
      <c r="L994" s="90"/>
      <c r="M994" s="90"/>
      <c r="N994" s="1744"/>
      <c r="O994" s="90"/>
      <c r="Q994" s="5"/>
      <c r="R994" s="1745"/>
      <c r="S994" s="430"/>
      <c r="T994" s="1746"/>
      <c r="U994" s="430"/>
    </row>
    <row r="995" spans="1:21">
      <c r="A995" s="90"/>
      <c r="C995" s="1742"/>
      <c r="D995" s="1743"/>
      <c r="E995" s="90"/>
      <c r="F995" s="3"/>
      <c r="G995" s="184"/>
      <c r="H995" s="90"/>
      <c r="I995" s="90"/>
      <c r="K995" s="90"/>
      <c r="L995" s="90"/>
      <c r="M995" s="90"/>
      <c r="N995" s="1744"/>
      <c r="O995" s="90"/>
      <c r="Q995" s="5"/>
      <c r="R995" s="1745"/>
      <c r="S995" s="430"/>
      <c r="T995" s="1746"/>
      <c r="U995" s="430"/>
    </row>
    <row r="996" spans="1:21">
      <c r="A996" s="90"/>
      <c r="C996" s="1742"/>
      <c r="D996" s="1743"/>
      <c r="E996" s="90"/>
      <c r="F996" s="3"/>
      <c r="G996" s="184"/>
      <c r="H996" s="90"/>
      <c r="I996" s="90"/>
      <c r="K996" s="90"/>
      <c r="L996" s="90"/>
      <c r="M996" s="90"/>
      <c r="N996" s="1744"/>
      <c r="O996" s="90"/>
      <c r="Q996" s="5"/>
      <c r="R996" s="1745"/>
      <c r="S996" s="430"/>
      <c r="T996" s="1746"/>
      <c r="U996" s="430"/>
    </row>
    <row r="997" spans="1:21">
      <c r="A997" s="90"/>
      <c r="C997" s="1742"/>
      <c r="D997" s="1743"/>
      <c r="E997" s="90"/>
      <c r="F997" s="3"/>
      <c r="G997" s="184"/>
      <c r="H997" s="90"/>
      <c r="I997" s="90"/>
      <c r="K997" s="90"/>
      <c r="L997" s="90"/>
      <c r="M997" s="90"/>
      <c r="N997" s="1744"/>
      <c r="O997" s="90"/>
      <c r="Q997" s="5"/>
      <c r="R997" s="1745"/>
      <c r="S997" s="430"/>
      <c r="T997" s="1746"/>
      <c r="U997" s="430"/>
    </row>
    <row r="998" spans="1:21">
      <c r="A998" s="90"/>
      <c r="C998" s="1742"/>
      <c r="D998" s="1743"/>
      <c r="E998" s="90"/>
      <c r="F998" s="3"/>
      <c r="G998" s="184"/>
      <c r="H998" s="90"/>
      <c r="I998" s="90"/>
      <c r="K998" s="90"/>
      <c r="L998" s="90"/>
      <c r="M998" s="90"/>
      <c r="N998" s="1744"/>
      <c r="O998" s="90"/>
      <c r="Q998" s="5"/>
      <c r="R998" s="1745"/>
      <c r="S998" s="430"/>
      <c r="T998" s="1746"/>
      <c r="U998" s="430"/>
    </row>
    <row r="999" spans="1:21">
      <c r="A999" s="90"/>
      <c r="C999" s="1742"/>
      <c r="D999" s="1743"/>
      <c r="E999" s="90"/>
      <c r="F999" s="3"/>
      <c r="G999" s="184"/>
      <c r="H999" s="90"/>
      <c r="I999" s="90"/>
      <c r="K999" s="90"/>
      <c r="L999" s="90"/>
      <c r="M999" s="90"/>
      <c r="N999" s="1744"/>
      <c r="O999" s="90"/>
      <c r="Q999" s="5"/>
      <c r="R999" s="1745"/>
      <c r="S999" s="430"/>
      <c r="T999" s="1746"/>
      <c r="U999" s="430"/>
    </row>
    <row r="1000" spans="1:21">
      <c r="A1000" s="90"/>
      <c r="C1000" s="1742"/>
      <c r="D1000" s="1743"/>
      <c r="E1000" s="90"/>
      <c r="F1000" s="3"/>
      <c r="G1000" s="184"/>
      <c r="H1000" s="90"/>
      <c r="I1000" s="90"/>
      <c r="K1000" s="90"/>
      <c r="L1000" s="90"/>
      <c r="M1000" s="90"/>
      <c r="N1000" s="1744"/>
      <c r="O1000" s="90"/>
      <c r="Q1000" s="5"/>
      <c r="R1000" s="1745"/>
      <c r="S1000" s="430"/>
      <c r="T1000" s="1746"/>
      <c r="U1000" s="430"/>
    </row>
    <row r="1001" spans="1:21">
      <c r="A1001" s="90"/>
      <c r="C1001" s="1742"/>
      <c r="D1001" s="1743"/>
      <c r="E1001" s="90"/>
      <c r="F1001" s="3"/>
      <c r="G1001" s="184"/>
      <c r="H1001" s="90"/>
      <c r="I1001" s="90"/>
      <c r="K1001" s="90"/>
      <c r="L1001" s="90"/>
      <c r="M1001" s="90"/>
      <c r="N1001" s="1744"/>
      <c r="O1001" s="90"/>
      <c r="Q1001" s="5"/>
      <c r="R1001" s="1745"/>
      <c r="S1001" s="430"/>
      <c r="T1001" s="1746"/>
      <c r="U1001" s="430"/>
    </row>
    <row r="1002" spans="1:21">
      <c r="A1002" s="90"/>
      <c r="C1002" s="1742"/>
      <c r="D1002" s="1743"/>
      <c r="E1002" s="90"/>
      <c r="F1002" s="3"/>
      <c r="G1002" s="184"/>
      <c r="H1002" s="90"/>
      <c r="I1002" s="90"/>
      <c r="K1002" s="90"/>
      <c r="L1002" s="90"/>
      <c r="M1002" s="90"/>
      <c r="N1002" s="1744"/>
      <c r="O1002" s="90"/>
      <c r="Q1002" s="5"/>
      <c r="R1002" s="1745"/>
      <c r="S1002" s="430"/>
      <c r="T1002" s="1746"/>
      <c r="U1002" s="430"/>
    </row>
    <row r="1003" spans="1:21">
      <c r="A1003" s="90"/>
      <c r="C1003" s="1742"/>
      <c r="D1003" s="1743"/>
      <c r="E1003" s="90"/>
      <c r="F1003" s="3"/>
      <c r="G1003" s="184"/>
      <c r="H1003" s="90"/>
      <c r="I1003" s="90"/>
      <c r="K1003" s="90"/>
      <c r="L1003" s="90"/>
      <c r="M1003" s="90"/>
      <c r="N1003" s="1744"/>
      <c r="O1003" s="90"/>
      <c r="Q1003" s="5"/>
      <c r="R1003" s="1745"/>
      <c r="S1003" s="430"/>
      <c r="T1003" s="1746"/>
      <c r="U1003" s="430"/>
    </row>
    <row r="1004" spans="1:21">
      <c r="A1004" s="90"/>
      <c r="C1004" s="1742"/>
      <c r="D1004" s="1743"/>
      <c r="E1004" s="90"/>
      <c r="F1004" s="3"/>
      <c r="G1004" s="184"/>
      <c r="H1004" s="90"/>
      <c r="I1004" s="90"/>
      <c r="K1004" s="90"/>
      <c r="L1004" s="90"/>
      <c r="M1004" s="90"/>
      <c r="N1004" s="1744"/>
      <c r="O1004" s="90"/>
      <c r="Q1004" s="5"/>
      <c r="R1004" s="1745"/>
      <c r="S1004" s="430"/>
      <c r="T1004" s="1746"/>
      <c r="U1004" s="430"/>
    </row>
    <row r="1005" spans="1:21">
      <c r="A1005" s="90"/>
      <c r="C1005" s="1742"/>
      <c r="D1005" s="1743"/>
      <c r="E1005" s="90"/>
      <c r="F1005" s="3"/>
      <c r="G1005" s="184"/>
      <c r="H1005" s="90"/>
      <c r="I1005" s="90"/>
      <c r="K1005" s="90"/>
      <c r="L1005" s="90"/>
      <c r="M1005" s="90"/>
      <c r="N1005" s="1744"/>
      <c r="O1005" s="90"/>
      <c r="Q1005" s="5"/>
      <c r="R1005" s="1745"/>
      <c r="S1005" s="430"/>
      <c r="T1005" s="1746"/>
      <c r="U1005" s="430"/>
    </row>
    <row r="1006" spans="1:21">
      <c r="A1006" s="90"/>
      <c r="C1006" s="1742"/>
      <c r="D1006" s="1743"/>
      <c r="E1006" s="90"/>
      <c r="F1006" s="3"/>
      <c r="G1006" s="184"/>
      <c r="H1006" s="90"/>
      <c r="I1006" s="90"/>
      <c r="K1006" s="90"/>
      <c r="L1006" s="90"/>
      <c r="M1006" s="90"/>
      <c r="N1006" s="1744"/>
      <c r="O1006" s="90"/>
      <c r="Q1006" s="5"/>
      <c r="R1006" s="1745"/>
      <c r="S1006" s="430"/>
      <c r="T1006" s="1746"/>
      <c r="U1006" s="430"/>
    </row>
    <row r="1007" spans="1:21">
      <c r="A1007" s="90"/>
      <c r="C1007" s="1742"/>
      <c r="D1007" s="1743"/>
      <c r="E1007" s="90"/>
      <c r="F1007" s="3"/>
      <c r="G1007" s="184"/>
      <c r="H1007" s="90"/>
      <c r="I1007" s="90"/>
      <c r="K1007" s="90"/>
      <c r="L1007" s="90"/>
      <c r="M1007" s="90"/>
      <c r="N1007" s="1744"/>
      <c r="O1007" s="90"/>
      <c r="Q1007" s="5"/>
      <c r="R1007" s="1745"/>
      <c r="S1007" s="430"/>
      <c r="T1007" s="1746"/>
      <c r="U1007" s="430"/>
    </row>
    <row r="1008" spans="1:21">
      <c r="A1008" s="90"/>
      <c r="C1008" s="1742"/>
      <c r="D1008" s="1743"/>
      <c r="E1008" s="90"/>
      <c r="F1008" s="3"/>
      <c r="G1008" s="184"/>
      <c r="H1008" s="90"/>
      <c r="I1008" s="90"/>
      <c r="K1008" s="90"/>
      <c r="L1008" s="90"/>
      <c r="M1008" s="90"/>
      <c r="N1008" s="1744"/>
      <c r="O1008" s="90"/>
      <c r="Q1008" s="5"/>
      <c r="R1008" s="1745"/>
      <c r="S1008" s="430"/>
      <c r="T1008" s="1746"/>
      <c r="U1008" s="430"/>
    </row>
    <row r="1009" spans="1:21">
      <c r="A1009" s="90"/>
      <c r="C1009" s="1742"/>
      <c r="D1009" s="1743"/>
      <c r="E1009" s="90"/>
      <c r="F1009" s="3"/>
      <c r="G1009" s="184"/>
      <c r="H1009" s="90"/>
      <c r="I1009" s="90"/>
      <c r="K1009" s="90"/>
      <c r="L1009" s="90"/>
      <c r="M1009" s="90"/>
      <c r="N1009" s="1744"/>
      <c r="O1009" s="90"/>
      <c r="Q1009" s="5"/>
      <c r="R1009" s="1745"/>
      <c r="S1009" s="430"/>
      <c r="T1009" s="1746"/>
      <c r="U1009" s="430"/>
    </row>
    <row r="1010" spans="1:21">
      <c r="A1010" s="90"/>
      <c r="C1010" s="1742"/>
      <c r="D1010" s="1743"/>
      <c r="E1010" s="90"/>
      <c r="F1010" s="3"/>
      <c r="G1010" s="184"/>
      <c r="H1010" s="90"/>
      <c r="I1010" s="90"/>
      <c r="K1010" s="90"/>
      <c r="L1010" s="90"/>
      <c r="M1010" s="90"/>
      <c r="N1010" s="1744"/>
      <c r="O1010" s="90"/>
      <c r="Q1010" s="5"/>
      <c r="R1010" s="1745"/>
      <c r="S1010" s="430"/>
      <c r="T1010" s="1746"/>
      <c r="U1010" s="430"/>
    </row>
    <row r="1011" spans="1:21">
      <c r="A1011" s="90"/>
      <c r="C1011" s="1742"/>
      <c r="D1011" s="1743"/>
      <c r="E1011" s="90"/>
      <c r="F1011" s="3"/>
      <c r="G1011" s="184"/>
      <c r="H1011" s="90"/>
      <c r="I1011" s="90"/>
      <c r="K1011" s="90"/>
      <c r="L1011" s="90"/>
      <c r="M1011" s="90"/>
      <c r="N1011" s="1744"/>
      <c r="O1011" s="90"/>
      <c r="Q1011" s="5"/>
      <c r="R1011" s="1745"/>
      <c r="S1011" s="430"/>
      <c r="T1011" s="1746"/>
      <c r="U1011" s="430"/>
    </row>
    <row r="1012" spans="1:21">
      <c r="A1012" s="90"/>
      <c r="C1012" s="1742"/>
      <c r="D1012" s="1743"/>
      <c r="E1012" s="90"/>
      <c r="F1012" s="3"/>
      <c r="G1012" s="184"/>
      <c r="H1012" s="90"/>
      <c r="I1012" s="90"/>
      <c r="K1012" s="90"/>
      <c r="L1012" s="90"/>
      <c r="M1012" s="90"/>
      <c r="N1012" s="1744"/>
      <c r="O1012" s="90"/>
      <c r="Q1012" s="5"/>
      <c r="R1012" s="1745"/>
      <c r="S1012" s="430"/>
      <c r="T1012" s="1746"/>
      <c r="U1012" s="430"/>
    </row>
    <row r="1013" spans="1:21">
      <c r="A1013" s="90"/>
      <c r="C1013" s="1742"/>
      <c r="D1013" s="1743"/>
      <c r="E1013" s="90"/>
      <c r="F1013" s="3"/>
      <c r="G1013" s="184"/>
      <c r="H1013" s="90"/>
      <c r="I1013" s="90"/>
      <c r="K1013" s="90"/>
      <c r="L1013" s="90"/>
      <c r="M1013" s="90"/>
      <c r="N1013" s="1744"/>
      <c r="O1013" s="90"/>
      <c r="Q1013" s="5"/>
      <c r="R1013" s="1745"/>
      <c r="S1013" s="430"/>
      <c r="T1013" s="1746"/>
      <c r="U1013" s="430"/>
    </row>
    <row r="1014" spans="1:21">
      <c r="A1014" s="90"/>
      <c r="C1014" s="1742"/>
      <c r="D1014" s="1743"/>
      <c r="E1014" s="90"/>
      <c r="F1014" s="3"/>
      <c r="G1014" s="184"/>
      <c r="H1014" s="90"/>
      <c r="I1014" s="90"/>
      <c r="K1014" s="90"/>
      <c r="L1014" s="90"/>
      <c r="M1014" s="90"/>
      <c r="N1014" s="1744"/>
      <c r="O1014" s="90"/>
      <c r="Q1014" s="5"/>
      <c r="R1014" s="1745"/>
      <c r="S1014" s="430"/>
      <c r="T1014" s="1746"/>
      <c r="U1014" s="430"/>
    </row>
    <row r="1015" spans="1:21">
      <c r="A1015" s="90"/>
      <c r="C1015" s="1742"/>
      <c r="D1015" s="1743"/>
      <c r="E1015" s="90"/>
      <c r="F1015" s="3"/>
      <c r="G1015" s="184"/>
      <c r="H1015" s="90"/>
      <c r="I1015" s="90"/>
      <c r="K1015" s="90"/>
      <c r="L1015" s="90"/>
      <c r="M1015" s="90"/>
      <c r="N1015" s="1744"/>
      <c r="O1015" s="90"/>
      <c r="Q1015" s="5"/>
      <c r="R1015" s="1745"/>
      <c r="S1015" s="430"/>
      <c r="T1015" s="1746"/>
      <c r="U1015" s="430"/>
    </row>
    <row r="1016" spans="1:21">
      <c r="A1016" s="90"/>
      <c r="C1016" s="1742"/>
      <c r="D1016" s="1743"/>
      <c r="E1016" s="90"/>
      <c r="F1016" s="3"/>
      <c r="G1016" s="184"/>
      <c r="H1016" s="90"/>
      <c r="I1016" s="90"/>
      <c r="K1016" s="90"/>
      <c r="L1016" s="90"/>
      <c r="M1016" s="90"/>
      <c r="N1016" s="1744"/>
      <c r="O1016" s="90"/>
      <c r="Q1016" s="5"/>
      <c r="R1016" s="1745"/>
      <c r="S1016" s="430"/>
      <c r="T1016" s="1746"/>
      <c r="U1016" s="430"/>
    </row>
    <row r="1017" spans="1:21">
      <c r="A1017" s="90"/>
      <c r="C1017" s="1742"/>
      <c r="D1017" s="1743"/>
      <c r="E1017" s="90"/>
      <c r="F1017" s="3"/>
      <c r="G1017" s="184"/>
      <c r="H1017" s="90"/>
      <c r="I1017" s="90"/>
      <c r="K1017" s="90"/>
      <c r="L1017" s="90"/>
      <c r="M1017" s="90"/>
      <c r="N1017" s="1744"/>
      <c r="O1017" s="90"/>
      <c r="Q1017" s="5"/>
      <c r="R1017" s="1745"/>
      <c r="S1017" s="430"/>
      <c r="T1017" s="1746"/>
      <c r="U1017" s="430"/>
    </row>
    <row r="1018" spans="1:21">
      <c r="A1018" s="90"/>
      <c r="C1018" s="1742"/>
      <c r="D1018" s="1743"/>
      <c r="E1018" s="90"/>
      <c r="F1018" s="3"/>
      <c r="G1018" s="184"/>
      <c r="H1018" s="90"/>
      <c r="I1018" s="90"/>
      <c r="K1018" s="90"/>
      <c r="L1018" s="90"/>
      <c r="M1018" s="90"/>
      <c r="N1018" s="1744"/>
      <c r="O1018" s="90"/>
      <c r="Q1018" s="5"/>
      <c r="R1018" s="1745"/>
      <c r="S1018" s="430"/>
      <c r="T1018" s="1746"/>
      <c r="U1018" s="430"/>
    </row>
    <row r="1019" spans="1:21">
      <c r="A1019" s="90"/>
      <c r="C1019" s="1742"/>
      <c r="D1019" s="1743"/>
      <c r="E1019" s="90"/>
      <c r="F1019" s="3"/>
      <c r="G1019" s="184"/>
      <c r="H1019" s="90"/>
      <c r="I1019" s="90"/>
      <c r="K1019" s="90"/>
      <c r="L1019" s="90"/>
      <c r="M1019" s="90"/>
      <c r="N1019" s="1744"/>
      <c r="O1019" s="90"/>
      <c r="Q1019" s="5"/>
      <c r="R1019" s="1745"/>
      <c r="S1019" s="430"/>
      <c r="T1019" s="1746"/>
      <c r="U1019" s="430"/>
    </row>
    <row r="1020" spans="1:21">
      <c r="A1020" s="90"/>
      <c r="C1020" s="1742"/>
      <c r="D1020" s="1743"/>
      <c r="E1020" s="90"/>
      <c r="F1020" s="3"/>
      <c r="G1020" s="184"/>
      <c r="H1020" s="90"/>
      <c r="I1020" s="90"/>
      <c r="K1020" s="90"/>
      <c r="L1020" s="90"/>
      <c r="M1020" s="90"/>
      <c r="N1020" s="1744"/>
      <c r="O1020" s="90"/>
      <c r="Q1020" s="5"/>
      <c r="R1020" s="1745"/>
      <c r="S1020" s="430"/>
      <c r="T1020" s="1746"/>
      <c r="U1020" s="430"/>
    </row>
    <row r="1021" spans="1:21">
      <c r="A1021" s="90"/>
      <c r="C1021" s="1742"/>
      <c r="D1021" s="1743"/>
      <c r="E1021" s="90"/>
      <c r="F1021" s="3"/>
      <c r="G1021" s="184"/>
      <c r="H1021" s="90"/>
      <c r="I1021" s="90"/>
      <c r="K1021" s="90"/>
      <c r="L1021" s="90"/>
      <c r="M1021" s="90"/>
      <c r="N1021" s="1744"/>
      <c r="O1021" s="90"/>
      <c r="Q1021" s="5"/>
      <c r="R1021" s="1745"/>
      <c r="S1021" s="430"/>
      <c r="T1021" s="1746"/>
      <c r="U1021" s="430"/>
    </row>
    <row r="1022" spans="1:21">
      <c r="A1022" s="90"/>
      <c r="C1022" s="1742"/>
      <c r="D1022" s="1743"/>
      <c r="E1022" s="90"/>
      <c r="F1022" s="3"/>
      <c r="G1022" s="184"/>
      <c r="H1022" s="90"/>
      <c r="I1022" s="90"/>
      <c r="K1022" s="90"/>
      <c r="L1022" s="90"/>
      <c r="M1022" s="90"/>
      <c r="N1022" s="1744"/>
      <c r="O1022" s="90"/>
      <c r="Q1022" s="5"/>
      <c r="R1022" s="1745"/>
      <c r="S1022" s="430"/>
      <c r="T1022" s="1746"/>
      <c r="U1022" s="430"/>
    </row>
    <row r="1023" spans="1:21">
      <c r="A1023" s="90"/>
      <c r="C1023" s="1742"/>
      <c r="D1023" s="1743"/>
      <c r="E1023" s="90"/>
      <c r="F1023" s="3"/>
      <c r="G1023" s="184"/>
      <c r="H1023" s="90"/>
      <c r="I1023" s="90"/>
      <c r="K1023" s="90"/>
      <c r="L1023" s="90"/>
      <c r="M1023" s="90"/>
      <c r="N1023" s="1744"/>
      <c r="O1023" s="90"/>
      <c r="Q1023" s="5"/>
      <c r="R1023" s="1745"/>
      <c r="S1023" s="430"/>
      <c r="T1023" s="1746"/>
      <c r="U1023" s="430"/>
    </row>
    <row r="1024" spans="1:21">
      <c r="A1024" s="90"/>
      <c r="C1024" s="1742"/>
      <c r="D1024" s="1743"/>
      <c r="E1024" s="90"/>
      <c r="F1024" s="3"/>
      <c r="G1024" s="184"/>
      <c r="H1024" s="90"/>
      <c r="I1024" s="90"/>
      <c r="K1024" s="90"/>
      <c r="L1024" s="90"/>
      <c r="M1024" s="90"/>
      <c r="N1024" s="1744"/>
      <c r="O1024" s="90"/>
      <c r="Q1024" s="5"/>
      <c r="R1024" s="1745"/>
      <c r="S1024" s="430"/>
      <c r="T1024" s="1746"/>
      <c r="U1024" s="430"/>
    </row>
    <row r="1025" spans="1:21">
      <c r="A1025" s="90"/>
      <c r="C1025" s="1742"/>
      <c r="D1025" s="1743"/>
      <c r="E1025" s="90"/>
      <c r="F1025" s="3"/>
      <c r="G1025" s="184"/>
      <c r="H1025" s="90"/>
      <c r="I1025" s="90"/>
      <c r="K1025" s="90"/>
      <c r="L1025" s="90"/>
      <c r="M1025" s="90"/>
      <c r="N1025" s="1744"/>
      <c r="O1025" s="90"/>
      <c r="Q1025" s="5"/>
      <c r="R1025" s="1745"/>
      <c r="S1025" s="430"/>
      <c r="T1025" s="1746"/>
      <c r="U1025" s="430"/>
    </row>
    <row r="1026" spans="1:21">
      <c r="A1026" s="90"/>
      <c r="C1026" s="1742"/>
      <c r="D1026" s="1743"/>
      <c r="E1026" s="90"/>
      <c r="F1026" s="3"/>
      <c r="G1026" s="184"/>
      <c r="H1026" s="90"/>
      <c r="I1026" s="90"/>
      <c r="K1026" s="90"/>
      <c r="L1026" s="90"/>
      <c r="M1026" s="90"/>
      <c r="N1026" s="1744"/>
      <c r="O1026" s="90"/>
      <c r="Q1026" s="5"/>
      <c r="R1026" s="1745"/>
      <c r="S1026" s="430"/>
      <c r="T1026" s="1746"/>
      <c r="U1026" s="430"/>
    </row>
    <row r="1027" spans="1:21">
      <c r="A1027" s="90"/>
      <c r="C1027" s="1742"/>
      <c r="D1027" s="1743"/>
      <c r="E1027" s="90"/>
      <c r="F1027" s="3"/>
      <c r="G1027" s="184"/>
      <c r="H1027" s="90"/>
      <c r="I1027" s="90"/>
      <c r="K1027" s="90"/>
      <c r="L1027" s="90"/>
      <c r="M1027" s="90"/>
      <c r="N1027" s="1744"/>
      <c r="O1027" s="90"/>
      <c r="Q1027" s="5"/>
      <c r="R1027" s="1745"/>
      <c r="S1027" s="430"/>
      <c r="T1027" s="1746"/>
      <c r="U1027" s="430"/>
    </row>
    <row r="1028" spans="1:21">
      <c r="A1028" s="90"/>
      <c r="C1028" s="1742"/>
      <c r="D1028" s="1743"/>
      <c r="E1028" s="90"/>
      <c r="F1028" s="3"/>
      <c r="G1028" s="184"/>
      <c r="H1028" s="90"/>
      <c r="I1028" s="90"/>
      <c r="K1028" s="90"/>
      <c r="L1028" s="90"/>
      <c r="M1028" s="90"/>
      <c r="N1028" s="1744"/>
      <c r="O1028" s="90"/>
      <c r="Q1028" s="5"/>
      <c r="R1028" s="1745"/>
      <c r="S1028" s="430"/>
      <c r="T1028" s="1746"/>
      <c r="U1028" s="430"/>
    </row>
    <row r="1029" spans="1:21">
      <c r="A1029" s="90"/>
      <c r="C1029" s="1742"/>
      <c r="D1029" s="1743"/>
      <c r="E1029" s="90"/>
      <c r="F1029" s="3"/>
      <c r="G1029" s="184"/>
      <c r="H1029" s="90"/>
      <c r="I1029" s="90"/>
      <c r="K1029" s="90"/>
      <c r="L1029" s="90"/>
      <c r="M1029" s="90"/>
      <c r="N1029" s="1744"/>
      <c r="O1029" s="90"/>
      <c r="Q1029" s="5"/>
      <c r="R1029" s="1745"/>
      <c r="S1029" s="430"/>
      <c r="T1029" s="1746"/>
      <c r="U1029" s="430"/>
    </row>
    <row r="1030" spans="1:21">
      <c r="A1030" s="90"/>
      <c r="C1030" s="1742"/>
      <c r="D1030" s="1743"/>
      <c r="E1030" s="90"/>
      <c r="F1030" s="3"/>
      <c r="G1030" s="184"/>
      <c r="H1030" s="90"/>
      <c r="I1030" s="90"/>
      <c r="K1030" s="90"/>
      <c r="L1030" s="90"/>
      <c r="M1030" s="90"/>
      <c r="N1030" s="1744"/>
      <c r="O1030" s="90"/>
      <c r="Q1030" s="5"/>
      <c r="R1030" s="1745"/>
      <c r="S1030" s="430"/>
      <c r="T1030" s="1746"/>
      <c r="U1030" s="430"/>
    </row>
    <row r="1031" spans="1:21">
      <c r="A1031" s="90"/>
      <c r="C1031" s="1742"/>
      <c r="D1031" s="1743"/>
      <c r="E1031" s="90"/>
      <c r="F1031" s="3"/>
      <c r="G1031" s="184"/>
      <c r="H1031" s="90"/>
      <c r="I1031" s="90"/>
      <c r="K1031" s="90"/>
      <c r="L1031" s="90"/>
      <c r="M1031" s="90"/>
      <c r="N1031" s="1744"/>
      <c r="O1031" s="90"/>
      <c r="Q1031" s="5"/>
      <c r="R1031" s="1745"/>
      <c r="S1031" s="430"/>
      <c r="T1031" s="1746"/>
      <c r="U1031" s="430"/>
    </row>
    <row r="1032" spans="1:21">
      <c r="A1032" s="90"/>
      <c r="C1032" s="1742"/>
      <c r="D1032" s="1743"/>
      <c r="E1032" s="90"/>
      <c r="F1032" s="3"/>
      <c r="G1032" s="184"/>
      <c r="H1032" s="90"/>
      <c r="I1032" s="90"/>
      <c r="K1032" s="90"/>
      <c r="L1032" s="90"/>
      <c r="M1032" s="90"/>
      <c r="N1032" s="1744"/>
      <c r="O1032" s="90"/>
      <c r="Q1032" s="5"/>
      <c r="R1032" s="1745"/>
      <c r="S1032" s="430"/>
      <c r="T1032" s="1746"/>
      <c r="U1032" s="430"/>
    </row>
    <row r="1033" spans="1:21">
      <c r="A1033" s="90"/>
      <c r="C1033" s="1742"/>
      <c r="D1033" s="1743"/>
      <c r="E1033" s="90"/>
      <c r="F1033" s="3"/>
      <c r="G1033" s="184"/>
      <c r="H1033" s="90"/>
      <c r="I1033" s="90"/>
      <c r="K1033" s="90"/>
      <c r="L1033" s="90"/>
      <c r="M1033" s="90"/>
      <c r="N1033" s="1744"/>
      <c r="O1033" s="90"/>
      <c r="Q1033" s="5"/>
      <c r="R1033" s="1745"/>
      <c r="S1033" s="430"/>
      <c r="T1033" s="1746"/>
      <c r="U1033" s="430"/>
    </row>
    <row r="1034" spans="1:21">
      <c r="A1034" s="90"/>
      <c r="C1034" s="1742"/>
      <c r="D1034" s="1743"/>
      <c r="E1034" s="90"/>
      <c r="F1034" s="3"/>
      <c r="G1034" s="184"/>
      <c r="H1034" s="90"/>
      <c r="I1034" s="90"/>
      <c r="K1034" s="90"/>
      <c r="L1034" s="90"/>
      <c r="M1034" s="90"/>
      <c r="N1034" s="1744"/>
      <c r="O1034" s="90"/>
      <c r="Q1034" s="5"/>
      <c r="R1034" s="1745"/>
      <c r="S1034" s="430"/>
      <c r="T1034" s="1746"/>
      <c r="U1034" s="430"/>
    </row>
    <row r="1035" spans="1:21">
      <c r="A1035" s="90"/>
      <c r="C1035" s="1742"/>
      <c r="D1035" s="1743"/>
      <c r="E1035" s="90"/>
      <c r="F1035" s="3"/>
      <c r="G1035" s="184"/>
      <c r="H1035" s="90"/>
      <c r="I1035" s="90"/>
      <c r="K1035" s="90"/>
      <c r="L1035" s="90"/>
      <c r="M1035" s="90"/>
      <c r="N1035" s="1744"/>
      <c r="O1035" s="90"/>
      <c r="Q1035" s="5"/>
      <c r="R1035" s="1745"/>
      <c r="S1035" s="430"/>
      <c r="T1035" s="1746"/>
      <c r="U1035" s="430"/>
    </row>
    <row r="1036" spans="1:21">
      <c r="A1036" s="90"/>
      <c r="C1036" s="1742"/>
      <c r="D1036" s="1743"/>
      <c r="E1036" s="90"/>
      <c r="F1036" s="3"/>
      <c r="G1036" s="184"/>
      <c r="H1036" s="90"/>
      <c r="I1036" s="90"/>
      <c r="K1036" s="90"/>
      <c r="L1036" s="90"/>
      <c r="M1036" s="90"/>
      <c r="N1036" s="1744"/>
      <c r="O1036" s="90"/>
      <c r="Q1036" s="5"/>
      <c r="R1036" s="1745"/>
      <c r="S1036" s="430"/>
      <c r="T1036" s="1746"/>
      <c r="U1036" s="430"/>
    </row>
    <row r="1037" spans="1:21">
      <c r="A1037" s="90"/>
      <c r="C1037" s="1742"/>
      <c r="D1037" s="1743"/>
      <c r="E1037" s="90"/>
      <c r="F1037" s="3"/>
      <c r="G1037" s="184"/>
      <c r="H1037" s="90"/>
      <c r="I1037" s="90"/>
      <c r="K1037" s="90"/>
      <c r="L1037" s="90"/>
      <c r="M1037" s="90"/>
      <c r="N1037" s="1744"/>
      <c r="O1037" s="90"/>
      <c r="Q1037" s="5"/>
      <c r="R1037" s="1745"/>
      <c r="S1037" s="430"/>
      <c r="T1037" s="1746"/>
      <c r="U1037" s="430"/>
    </row>
    <row r="1038" spans="1:21">
      <c r="A1038" s="90"/>
      <c r="C1038" s="1742"/>
      <c r="D1038" s="1743"/>
      <c r="E1038" s="90"/>
      <c r="F1038" s="3"/>
      <c r="G1038" s="184"/>
      <c r="H1038" s="90"/>
      <c r="I1038" s="90"/>
      <c r="K1038" s="90"/>
      <c r="L1038" s="90"/>
      <c r="M1038" s="90"/>
      <c r="N1038" s="1744"/>
      <c r="O1038" s="90"/>
      <c r="Q1038" s="5"/>
      <c r="R1038" s="1745"/>
      <c r="S1038" s="430"/>
      <c r="T1038" s="1746"/>
      <c r="U1038" s="430"/>
    </row>
    <row r="1039" spans="1:21">
      <c r="A1039" s="90"/>
      <c r="C1039" s="1742"/>
      <c r="D1039" s="1743"/>
      <c r="E1039" s="90"/>
      <c r="F1039" s="3"/>
      <c r="G1039" s="184"/>
      <c r="H1039" s="90"/>
      <c r="I1039" s="90"/>
      <c r="K1039" s="90"/>
      <c r="L1039" s="90"/>
      <c r="M1039" s="90"/>
      <c r="N1039" s="1744"/>
      <c r="O1039" s="90"/>
      <c r="Q1039" s="5"/>
      <c r="R1039" s="1745"/>
      <c r="S1039" s="430"/>
      <c r="T1039" s="1746"/>
      <c r="U1039" s="430"/>
    </row>
    <row r="1040" spans="1:21">
      <c r="A1040" s="90"/>
      <c r="C1040" s="1742"/>
      <c r="D1040" s="1743"/>
      <c r="E1040" s="90"/>
      <c r="F1040" s="3"/>
      <c r="G1040" s="184"/>
      <c r="H1040" s="90"/>
      <c r="I1040" s="90"/>
      <c r="K1040" s="90"/>
      <c r="L1040" s="90"/>
      <c r="M1040" s="90"/>
      <c r="N1040" s="1744"/>
      <c r="O1040" s="90"/>
      <c r="Q1040" s="5"/>
      <c r="R1040" s="1745"/>
      <c r="S1040" s="430"/>
      <c r="T1040" s="1746"/>
      <c r="U1040" s="430"/>
    </row>
    <row r="1041" spans="1:21">
      <c r="A1041" s="90"/>
      <c r="C1041" s="1742"/>
      <c r="D1041" s="1743"/>
      <c r="E1041" s="90"/>
      <c r="F1041" s="3"/>
      <c r="G1041" s="184"/>
      <c r="H1041" s="90"/>
      <c r="I1041" s="90"/>
      <c r="K1041" s="90"/>
      <c r="L1041" s="90"/>
      <c r="M1041" s="90"/>
      <c r="N1041" s="1744"/>
      <c r="O1041" s="90"/>
      <c r="Q1041" s="5"/>
      <c r="R1041" s="1745"/>
      <c r="S1041" s="430"/>
      <c r="T1041" s="1746"/>
      <c r="U1041" s="430"/>
    </row>
    <row r="1042" spans="1:21">
      <c r="A1042" s="90"/>
      <c r="C1042" s="1742"/>
      <c r="D1042" s="1743"/>
      <c r="E1042" s="90"/>
      <c r="F1042" s="3"/>
      <c r="G1042" s="184"/>
      <c r="H1042" s="90"/>
      <c r="I1042" s="90"/>
      <c r="K1042" s="90"/>
      <c r="L1042" s="90"/>
      <c r="M1042" s="90"/>
      <c r="N1042" s="1744"/>
      <c r="O1042" s="90"/>
      <c r="Q1042" s="5"/>
      <c r="R1042" s="1745"/>
      <c r="S1042" s="430"/>
      <c r="T1042" s="1746"/>
      <c r="U1042" s="430"/>
    </row>
    <row r="1043" spans="1:21">
      <c r="A1043" s="90"/>
      <c r="C1043" s="1742"/>
      <c r="D1043" s="1743"/>
      <c r="E1043" s="90"/>
      <c r="F1043" s="3"/>
      <c r="G1043" s="184"/>
      <c r="H1043" s="90"/>
      <c r="I1043" s="90"/>
      <c r="K1043" s="90"/>
      <c r="L1043" s="90"/>
      <c r="M1043" s="90"/>
      <c r="N1043" s="1744"/>
      <c r="O1043" s="90"/>
      <c r="Q1043" s="5"/>
      <c r="R1043" s="1745"/>
      <c r="S1043" s="430"/>
      <c r="T1043" s="1746"/>
      <c r="U1043" s="430"/>
    </row>
    <row r="1044" spans="1:21">
      <c r="A1044" s="90"/>
      <c r="C1044" s="1742"/>
      <c r="D1044" s="1743"/>
      <c r="E1044" s="90"/>
      <c r="F1044" s="3"/>
      <c r="G1044" s="184"/>
      <c r="H1044" s="90"/>
      <c r="I1044" s="90"/>
      <c r="K1044" s="90"/>
      <c r="L1044" s="90"/>
      <c r="M1044" s="90"/>
      <c r="N1044" s="1744"/>
      <c r="O1044" s="90"/>
      <c r="Q1044" s="5"/>
      <c r="R1044" s="1745"/>
      <c r="S1044" s="430"/>
      <c r="T1044" s="1746"/>
      <c r="U1044" s="430"/>
    </row>
    <row r="1045" spans="1:21">
      <c r="A1045" s="90"/>
      <c r="C1045" s="1742"/>
      <c r="D1045" s="1743"/>
      <c r="E1045" s="90"/>
      <c r="F1045" s="3"/>
      <c r="G1045" s="184"/>
      <c r="H1045" s="90"/>
      <c r="I1045" s="90"/>
      <c r="K1045" s="90"/>
      <c r="L1045" s="90"/>
      <c r="M1045" s="90"/>
      <c r="N1045" s="1744"/>
      <c r="O1045" s="90"/>
      <c r="Q1045" s="5"/>
      <c r="R1045" s="1745"/>
      <c r="S1045" s="430"/>
      <c r="T1045" s="1746"/>
      <c r="U1045" s="430"/>
    </row>
    <row r="1046" spans="1:21">
      <c r="A1046" s="90"/>
      <c r="C1046" s="1742"/>
      <c r="D1046" s="1743"/>
      <c r="E1046" s="90"/>
      <c r="F1046" s="3"/>
      <c r="G1046" s="184"/>
      <c r="H1046" s="90"/>
      <c r="I1046" s="90"/>
      <c r="K1046" s="90"/>
      <c r="L1046" s="90"/>
      <c r="M1046" s="90"/>
      <c r="N1046" s="1744"/>
      <c r="O1046" s="90"/>
      <c r="Q1046" s="5"/>
      <c r="R1046" s="1745"/>
      <c r="S1046" s="430"/>
      <c r="T1046" s="1746"/>
      <c r="U1046" s="430"/>
    </row>
    <row r="1047" spans="1:21">
      <c r="A1047" s="90"/>
      <c r="C1047" s="1742"/>
      <c r="D1047" s="1743"/>
      <c r="E1047" s="90"/>
      <c r="F1047" s="3"/>
      <c r="G1047" s="184"/>
      <c r="H1047" s="90"/>
      <c r="I1047" s="90"/>
      <c r="K1047" s="90"/>
      <c r="L1047" s="90"/>
      <c r="M1047" s="90"/>
      <c r="N1047" s="1744"/>
      <c r="O1047" s="90"/>
      <c r="Q1047" s="5"/>
      <c r="R1047" s="1745"/>
      <c r="S1047" s="430"/>
      <c r="T1047" s="1746"/>
      <c r="U1047" s="430"/>
    </row>
    <row r="1048" spans="1:21">
      <c r="A1048" s="90"/>
      <c r="C1048" s="1742"/>
      <c r="D1048" s="1743"/>
      <c r="E1048" s="90"/>
      <c r="F1048" s="3"/>
      <c r="G1048" s="184"/>
      <c r="H1048" s="90"/>
      <c r="I1048" s="90"/>
      <c r="K1048" s="90"/>
      <c r="L1048" s="90"/>
      <c r="M1048" s="90"/>
      <c r="N1048" s="1744"/>
      <c r="O1048" s="90"/>
      <c r="Q1048" s="5"/>
      <c r="R1048" s="1745"/>
      <c r="S1048" s="430"/>
      <c r="T1048" s="1746"/>
      <c r="U1048" s="430"/>
    </row>
    <row r="1049" spans="1:21">
      <c r="A1049" s="90"/>
      <c r="C1049" s="1742"/>
      <c r="D1049" s="1743"/>
      <c r="E1049" s="90"/>
      <c r="F1049" s="3"/>
      <c r="G1049" s="184"/>
      <c r="H1049" s="90"/>
      <c r="I1049" s="90"/>
      <c r="K1049" s="90"/>
      <c r="L1049" s="90"/>
      <c r="M1049" s="90"/>
      <c r="N1049" s="1744"/>
      <c r="O1049" s="90"/>
      <c r="Q1049" s="5"/>
      <c r="R1049" s="1745"/>
      <c r="S1049" s="430"/>
      <c r="T1049" s="1746"/>
      <c r="U1049" s="430"/>
    </row>
    <row r="1050" spans="1:21">
      <c r="A1050" s="90"/>
      <c r="C1050" s="1742"/>
      <c r="D1050" s="1743"/>
      <c r="E1050" s="90"/>
      <c r="F1050" s="3"/>
      <c r="G1050" s="184"/>
      <c r="H1050" s="90"/>
      <c r="I1050" s="90"/>
      <c r="K1050" s="90"/>
      <c r="L1050" s="90"/>
      <c r="M1050" s="90"/>
      <c r="N1050" s="1744"/>
      <c r="O1050" s="90"/>
      <c r="Q1050" s="5"/>
      <c r="R1050" s="1745"/>
      <c r="S1050" s="430"/>
      <c r="T1050" s="1746"/>
      <c r="U1050" s="430"/>
    </row>
    <row r="1051" spans="1:21">
      <c r="A1051" s="90"/>
      <c r="C1051" s="1742"/>
      <c r="D1051" s="1743"/>
      <c r="E1051" s="90"/>
      <c r="F1051" s="3"/>
      <c r="G1051" s="184"/>
      <c r="H1051" s="90"/>
      <c r="I1051" s="90"/>
      <c r="K1051" s="90"/>
      <c r="L1051" s="90"/>
      <c r="M1051" s="90"/>
      <c r="N1051" s="1744"/>
      <c r="O1051" s="90"/>
      <c r="Q1051" s="5"/>
      <c r="R1051" s="1745"/>
      <c r="S1051" s="430"/>
      <c r="T1051" s="1746"/>
      <c r="U1051" s="430"/>
    </row>
    <row r="1052" spans="1:21">
      <c r="A1052" s="90"/>
      <c r="C1052" s="1742"/>
      <c r="D1052" s="1743"/>
      <c r="E1052" s="90"/>
      <c r="F1052" s="3"/>
      <c r="G1052" s="184"/>
      <c r="H1052" s="90"/>
      <c r="I1052" s="90"/>
      <c r="K1052" s="90"/>
      <c r="L1052" s="90"/>
      <c r="M1052" s="90"/>
      <c r="N1052" s="1744"/>
      <c r="O1052" s="90"/>
      <c r="Q1052" s="5"/>
      <c r="R1052" s="1745"/>
      <c r="S1052" s="430"/>
      <c r="T1052" s="1746"/>
      <c r="U1052" s="430"/>
    </row>
    <row r="1053" spans="1:21">
      <c r="A1053" s="90"/>
      <c r="C1053" s="1742"/>
      <c r="D1053" s="1743"/>
      <c r="E1053" s="90"/>
      <c r="F1053" s="3"/>
      <c r="G1053" s="184"/>
      <c r="H1053" s="90"/>
      <c r="I1053" s="90"/>
      <c r="K1053" s="90"/>
      <c r="L1053" s="90"/>
      <c r="M1053" s="90"/>
      <c r="N1053" s="1744"/>
      <c r="O1053" s="90"/>
      <c r="Q1053" s="5"/>
      <c r="R1053" s="1745"/>
      <c r="S1053" s="430"/>
      <c r="T1053" s="1746"/>
      <c r="U1053" s="430"/>
    </row>
    <row r="1054" spans="1:21">
      <c r="A1054" s="90"/>
      <c r="C1054" s="1742"/>
      <c r="D1054" s="1743"/>
      <c r="E1054" s="90"/>
      <c r="F1054" s="3"/>
      <c r="G1054" s="184"/>
      <c r="H1054" s="90"/>
      <c r="I1054" s="90"/>
      <c r="K1054" s="90"/>
      <c r="L1054" s="90"/>
      <c r="M1054" s="90"/>
      <c r="N1054" s="1744"/>
      <c r="O1054" s="90"/>
      <c r="Q1054" s="5"/>
      <c r="R1054" s="1745"/>
      <c r="S1054" s="430"/>
      <c r="T1054" s="1746"/>
      <c r="U1054" s="430"/>
    </row>
    <row r="1055" spans="1:21">
      <c r="A1055" s="90"/>
      <c r="C1055" s="1742"/>
      <c r="D1055" s="1743"/>
      <c r="E1055" s="90"/>
      <c r="F1055" s="3"/>
      <c r="G1055" s="184"/>
      <c r="H1055" s="90"/>
      <c r="I1055" s="90"/>
      <c r="K1055" s="90"/>
      <c r="L1055" s="90"/>
      <c r="M1055" s="90"/>
      <c r="N1055" s="1744"/>
      <c r="O1055" s="90"/>
      <c r="Q1055" s="5"/>
      <c r="R1055" s="1745"/>
      <c r="S1055" s="430"/>
      <c r="T1055" s="1746"/>
      <c r="U1055" s="430"/>
    </row>
    <row r="1056" spans="1:21">
      <c r="A1056" s="90"/>
      <c r="C1056" s="1742"/>
      <c r="D1056" s="1743"/>
      <c r="E1056" s="90"/>
      <c r="F1056" s="3"/>
      <c r="G1056" s="184"/>
      <c r="H1056" s="90"/>
      <c r="I1056" s="90"/>
      <c r="K1056" s="90"/>
      <c r="L1056" s="90"/>
      <c r="M1056" s="90"/>
      <c r="N1056" s="1744"/>
      <c r="O1056" s="90"/>
      <c r="Q1056" s="5"/>
      <c r="R1056" s="1745"/>
      <c r="S1056" s="430"/>
      <c r="T1056" s="1746"/>
      <c r="U1056" s="430"/>
    </row>
    <row r="1057" spans="1:21">
      <c r="A1057" s="90"/>
      <c r="C1057" s="1742"/>
      <c r="D1057" s="1743"/>
      <c r="E1057" s="90"/>
      <c r="F1057" s="3"/>
      <c r="G1057" s="184"/>
      <c r="H1057" s="90"/>
      <c r="I1057" s="90"/>
      <c r="K1057" s="90"/>
      <c r="L1057" s="90"/>
      <c r="M1057" s="90"/>
      <c r="N1057" s="1744"/>
      <c r="O1057" s="90"/>
      <c r="Q1057" s="5"/>
      <c r="R1057" s="1745"/>
      <c r="S1057" s="430"/>
      <c r="T1057" s="1746"/>
      <c r="U1057" s="430"/>
    </row>
    <row r="1058" spans="1:21">
      <c r="A1058" s="90"/>
      <c r="C1058" s="1742"/>
      <c r="D1058" s="1743"/>
      <c r="E1058" s="90"/>
      <c r="F1058" s="3"/>
      <c r="G1058" s="184"/>
      <c r="H1058" s="90"/>
      <c r="I1058" s="90"/>
      <c r="K1058" s="90"/>
      <c r="L1058" s="90"/>
      <c r="M1058" s="90"/>
      <c r="N1058" s="1744"/>
      <c r="O1058" s="90"/>
      <c r="Q1058" s="5"/>
      <c r="R1058" s="1745"/>
      <c r="S1058" s="430"/>
      <c r="T1058" s="1746"/>
      <c r="U1058" s="430"/>
    </row>
    <row r="1059" spans="1:21">
      <c r="A1059" s="90"/>
      <c r="C1059" s="1742"/>
      <c r="D1059" s="1743"/>
      <c r="E1059" s="90"/>
      <c r="F1059" s="3"/>
      <c r="G1059" s="184"/>
      <c r="H1059" s="90"/>
      <c r="I1059" s="90"/>
      <c r="K1059" s="90"/>
      <c r="L1059" s="90"/>
      <c r="M1059" s="90"/>
      <c r="N1059" s="1744"/>
      <c r="O1059" s="90"/>
      <c r="Q1059" s="5"/>
      <c r="R1059" s="1745"/>
      <c r="S1059" s="430"/>
      <c r="T1059" s="1746"/>
      <c r="U1059" s="430"/>
    </row>
    <row r="1060" spans="1:21">
      <c r="A1060" s="90"/>
      <c r="C1060" s="1742"/>
      <c r="D1060" s="1743"/>
      <c r="E1060" s="90"/>
      <c r="F1060" s="3"/>
      <c r="G1060" s="184"/>
      <c r="H1060" s="90"/>
      <c r="I1060" s="90"/>
      <c r="K1060" s="90"/>
      <c r="L1060" s="90"/>
      <c r="M1060" s="90"/>
      <c r="N1060" s="1744"/>
      <c r="O1060" s="90"/>
      <c r="Q1060" s="5"/>
      <c r="R1060" s="1745"/>
      <c r="S1060" s="430"/>
      <c r="T1060" s="1746"/>
      <c r="U1060" s="430"/>
    </row>
    <row r="1061" spans="1:21">
      <c r="A1061" s="90"/>
      <c r="C1061" s="1742"/>
      <c r="D1061" s="1743"/>
      <c r="E1061" s="90"/>
      <c r="F1061" s="3"/>
      <c r="G1061" s="184"/>
      <c r="H1061" s="90"/>
      <c r="I1061" s="90"/>
      <c r="K1061" s="90"/>
      <c r="L1061" s="90"/>
      <c r="M1061" s="90"/>
      <c r="N1061" s="1744"/>
      <c r="O1061" s="90"/>
      <c r="Q1061" s="5"/>
      <c r="R1061" s="1745"/>
      <c r="S1061" s="430"/>
      <c r="T1061" s="1746"/>
      <c r="U1061" s="430"/>
    </row>
    <row r="1062" spans="1:21">
      <c r="A1062" s="90"/>
      <c r="C1062" s="1742"/>
      <c r="D1062" s="1743"/>
      <c r="E1062" s="90"/>
      <c r="F1062" s="3"/>
      <c r="G1062" s="184"/>
      <c r="H1062" s="90"/>
      <c r="I1062" s="90"/>
      <c r="K1062" s="90"/>
      <c r="L1062" s="90"/>
      <c r="M1062" s="90"/>
      <c r="N1062" s="1744"/>
      <c r="O1062" s="90"/>
      <c r="Q1062" s="5"/>
      <c r="R1062" s="1745"/>
      <c r="S1062" s="430"/>
      <c r="T1062" s="1746"/>
      <c r="U1062" s="430"/>
    </row>
    <row r="1063" spans="1:21">
      <c r="A1063" s="90"/>
      <c r="C1063" s="1742"/>
      <c r="D1063" s="1743"/>
      <c r="E1063" s="90"/>
      <c r="F1063" s="3"/>
      <c r="G1063" s="184"/>
      <c r="H1063" s="90"/>
      <c r="I1063" s="90"/>
      <c r="K1063" s="90"/>
      <c r="L1063" s="90"/>
      <c r="M1063" s="90"/>
      <c r="N1063" s="1744"/>
      <c r="O1063" s="90"/>
      <c r="Q1063" s="5"/>
      <c r="R1063" s="1745"/>
      <c r="S1063" s="430"/>
      <c r="T1063" s="1746"/>
      <c r="U1063" s="430"/>
    </row>
    <row r="1064" spans="1:21">
      <c r="A1064" s="90"/>
      <c r="C1064" s="1742"/>
      <c r="D1064" s="1743"/>
      <c r="E1064" s="90"/>
      <c r="F1064" s="3"/>
      <c r="G1064" s="184"/>
      <c r="H1064" s="90"/>
      <c r="I1064" s="90"/>
      <c r="K1064" s="90"/>
      <c r="L1064" s="90"/>
      <c r="M1064" s="90"/>
      <c r="N1064" s="1744"/>
      <c r="O1064" s="90"/>
      <c r="Q1064" s="5"/>
      <c r="R1064" s="1745"/>
      <c r="S1064" s="430"/>
      <c r="T1064" s="1746"/>
      <c r="U1064" s="430"/>
    </row>
    <row r="1065" spans="1:21">
      <c r="A1065" s="90"/>
      <c r="C1065" s="1742"/>
      <c r="D1065" s="1743"/>
      <c r="E1065" s="90"/>
      <c r="F1065" s="3"/>
      <c r="G1065" s="184"/>
      <c r="H1065" s="90"/>
      <c r="I1065" s="90"/>
      <c r="K1065" s="90"/>
      <c r="L1065" s="90"/>
      <c r="M1065" s="90"/>
      <c r="N1065" s="1744"/>
      <c r="O1065" s="90"/>
      <c r="Q1065" s="5"/>
      <c r="R1065" s="1745"/>
      <c r="S1065" s="430"/>
      <c r="T1065" s="1746"/>
      <c r="U1065" s="430"/>
    </row>
    <row r="1066" spans="1:21">
      <c r="A1066" s="90"/>
      <c r="C1066" s="1742"/>
      <c r="D1066" s="1743"/>
      <c r="E1066" s="90"/>
      <c r="F1066" s="3"/>
      <c r="G1066" s="184"/>
      <c r="H1066" s="90"/>
      <c r="I1066" s="90"/>
      <c r="K1066" s="90"/>
      <c r="L1066" s="90"/>
      <c r="M1066" s="90"/>
      <c r="N1066" s="1744"/>
      <c r="O1066" s="90"/>
      <c r="Q1066" s="5"/>
      <c r="R1066" s="1745"/>
      <c r="S1066" s="430"/>
      <c r="T1066" s="1746"/>
      <c r="U1066" s="430"/>
    </row>
    <row r="1067" spans="1:21">
      <c r="A1067" s="90"/>
      <c r="C1067" s="1742"/>
      <c r="D1067" s="1743"/>
      <c r="E1067" s="90"/>
      <c r="F1067" s="3"/>
      <c r="G1067" s="184"/>
      <c r="H1067" s="90"/>
      <c r="I1067" s="90"/>
      <c r="K1067" s="90"/>
      <c r="L1067" s="90"/>
      <c r="M1067" s="90"/>
      <c r="N1067" s="1744"/>
      <c r="O1067" s="90"/>
      <c r="Q1067" s="5"/>
      <c r="R1067" s="1745"/>
      <c r="S1067" s="430"/>
      <c r="T1067" s="1746"/>
      <c r="U1067" s="430"/>
    </row>
    <row r="1068" spans="1:21">
      <c r="A1068" s="90"/>
      <c r="C1068" s="1742"/>
      <c r="D1068" s="1743"/>
      <c r="E1068" s="90"/>
      <c r="F1068" s="3"/>
      <c r="G1068" s="184"/>
      <c r="H1068" s="90"/>
      <c r="I1068" s="90"/>
      <c r="K1068" s="90"/>
      <c r="L1068" s="90"/>
      <c r="M1068" s="90"/>
      <c r="N1068" s="1744"/>
      <c r="O1068" s="90"/>
      <c r="Q1068" s="5"/>
      <c r="R1068" s="1745"/>
      <c r="S1068" s="430"/>
      <c r="T1068" s="1746"/>
      <c r="U1068" s="430"/>
    </row>
    <row r="1069" spans="1:21">
      <c r="A1069" s="90"/>
      <c r="C1069" s="1742"/>
      <c r="D1069" s="1743"/>
      <c r="E1069" s="90"/>
      <c r="F1069" s="3"/>
      <c r="G1069" s="184"/>
      <c r="H1069" s="90"/>
      <c r="I1069" s="90"/>
      <c r="K1069" s="90"/>
      <c r="L1069" s="90"/>
      <c r="M1069" s="90"/>
      <c r="N1069" s="1744"/>
      <c r="O1069" s="90"/>
      <c r="Q1069" s="5"/>
      <c r="R1069" s="1745"/>
      <c r="S1069" s="430"/>
      <c r="T1069" s="1746"/>
      <c r="U1069" s="430"/>
    </row>
    <row r="1070" spans="1:21">
      <c r="A1070" s="90"/>
      <c r="C1070" s="1742"/>
      <c r="D1070" s="1743"/>
      <c r="E1070" s="90"/>
      <c r="F1070" s="3"/>
      <c r="G1070" s="184"/>
      <c r="H1070" s="90"/>
      <c r="I1070" s="90"/>
      <c r="K1070" s="90"/>
      <c r="L1070" s="90"/>
      <c r="M1070" s="90"/>
      <c r="N1070" s="1744"/>
      <c r="O1070" s="90"/>
      <c r="Q1070" s="5"/>
      <c r="R1070" s="1745"/>
      <c r="S1070" s="430"/>
      <c r="T1070" s="1746"/>
      <c r="U1070" s="430"/>
    </row>
    <row r="1071" spans="1:21">
      <c r="A1071" s="90"/>
      <c r="C1071" s="1742"/>
      <c r="D1071" s="1743"/>
      <c r="E1071" s="90"/>
      <c r="F1071" s="3"/>
      <c r="G1071" s="184"/>
      <c r="H1071" s="90"/>
      <c r="I1071" s="90"/>
      <c r="K1071" s="90"/>
      <c r="L1071" s="90"/>
      <c r="M1071" s="90"/>
      <c r="N1071" s="1744"/>
      <c r="O1071" s="90"/>
      <c r="Q1071" s="5"/>
      <c r="R1071" s="1745"/>
      <c r="S1071" s="430"/>
      <c r="T1071" s="1746"/>
      <c r="U1071" s="430"/>
    </row>
    <row r="1072" spans="1:21">
      <c r="A1072" s="90"/>
      <c r="C1072" s="1742"/>
      <c r="D1072" s="1743"/>
      <c r="E1072" s="90"/>
      <c r="F1072" s="3"/>
      <c r="G1072" s="184"/>
      <c r="H1072" s="90"/>
      <c r="I1072" s="90"/>
      <c r="K1072" s="90"/>
      <c r="L1072" s="90"/>
      <c r="M1072" s="90"/>
      <c r="N1072" s="1744"/>
      <c r="O1072" s="90"/>
      <c r="Q1072" s="5"/>
      <c r="R1072" s="1745"/>
      <c r="S1072" s="430"/>
      <c r="T1072" s="1746"/>
      <c r="U1072" s="430"/>
    </row>
    <row r="1073" spans="1:21">
      <c r="A1073" s="90"/>
      <c r="C1073" s="1742"/>
      <c r="D1073" s="1743"/>
      <c r="E1073" s="90"/>
      <c r="F1073" s="3"/>
      <c r="G1073" s="184"/>
      <c r="H1073" s="90"/>
      <c r="I1073" s="90"/>
      <c r="K1073" s="90"/>
      <c r="L1073" s="90"/>
      <c r="M1073" s="90"/>
      <c r="N1073" s="1744"/>
      <c r="O1073" s="90"/>
      <c r="Q1073" s="5"/>
      <c r="R1073" s="1745"/>
      <c r="S1073" s="430"/>
      <c r="T1073" s="1746"/>
      <c r="U1073" s="430"/>
    </row>
    <row r="1074" spans="1:21">
      <c r="A1074" s="90"/>
      <c r="C1074" s="1742"/>
      <c r="D1074" s="1743"/>
      <c r="E1074" s="90"/>
      <c r="F1074" s="3"/>
      <c r="G1074" s="184"/>
      <c r="H1074" s="90"/>
      <c r="I1074" s="90"/>
      <c r="K1074" s="90"/>
      <c r="L1074" s="90"/>
      <c r="M1074" s="90"/>
      <c r="N1074" s="1744"/>
      <c r="O1074" s="90"/>
      <c r="Q1074" s="5"/>
      <c r="R1074" s="1745"/>
      <c r="S1074" s="430"/>
      <c r="T1074" s="1746"/>
      <c r="U1074" s="430"/>
    </row>
    <row r="1075" spans="1:21">
      <c r="A1075" s="90"/>
      <c r="C1075" s="1742"/>
      <c r="D1075" s="1743"/>
      <c r="E1075" s="90"/>
      <c r="F1075" s="3"/>
      <c r="G1075" s="184"/>
      <c r="H1075" s="90"/>
      <c r="I1075" s="90"/>
      <c r="K1075" s="90"/>
      <c r="L1075" s="90"/>
      <c r="M1075" s="90"/>
      <c r="N1075" s="1744"/>
      <c r="O1075" s="90"/>
      <c r="Q1075" s="5"/>
      <c r="R1075" s="1745"/>
      <c r="S1075" s="430"/>
      <c r="T1075" s="1746"/>
      <c r="U1075" s="430"/>
    </row>
    <row r="1076" spans="1:21">
      <c r="A1076" s="90"/>
      <c r="C1076" s="1742"/>
      <c r="D1076" s="1743"/>
      <c r="E1076" s="90"/>
      <c r="F1076" s="3"/>
      <c r="G1076" s="184"/>
      <c r="H1076" s="90"/>
      <c r="I1076" s="90"/>
      <c r="K1076" s="90"/>
      <c r="L1076" s="90"/>
      <c r="M1076" s="90"/>
      <c r="N1076" s="1744"/>
      <c r="O1076" s="90"/>
      <c r="Q1076" s="5"/>
      <c r="R1076" s="1745"/>
      <c r="S1076" s="430"/>
      <c r="T1076" s="1746"/>
      <c r="U1076" s="430"/>
    </row>
    <row r="1077" spans="1:21">
      <c r="A1077" s="90"/>
      <c r="C1077" s="1742"/>
      <c r="D1077" s="1743"/>
      <c r="E1077" s="90"/>
      <c r="F1077" s="3"/>
      <c r="G1077" s="184"/>
      <c r="H1077" s="90"/>
      <c r="I1077" s="90"/>
      <c r="K1077" s="90"/>
      <c r="L1077" s="90"/>
      <c r="M1077" s="90"/>
      <c r="N1077" s="1744"/>
      <c r="O1077" s="90"/>
      <c r="Q1077" s="5"/>
      <c r="R1077" s="1745"/>
      <c r="S1077" s="430"/>
      <c r="T1077" s="1746"/>
      <c r="U1077" s="430"/>
    </row>
    <row r="1078" spans="1:21">
      <c r="A1078" s="90"/>
      <c r="C1078" s="1742"/>
      <c r="D1078" s="1743"/>
      <c r="E1078" s="90"/>
      <c r="F1078" s="3"/>
      <c r="G1078" s="184"/>
      <c r="H1078" s="90"/>
      <c r="I1078" s="90"/>
      <c r="K1078" s="90"/>
      <c r="L1078" s="90"/>
      <c r="M1078" s="90"/>
      <c r="N1078" s="1744"/>
      <c r="O1078" s="90"/>
      <c r="Q1078" s="5"/>
      <c r="R1078" s="1745"/>
      <c r="S1078" s="430"/>
      <c r="T1078" s="1746"/>
      <c r="U1078" s="430"/>
    </row>
    <row r="1079" spans="1:21">
      <c r="A1079" s="90"/>
      <c r="C1079" s="1742"/>
      <c r="D1079" s="1743"/>
      <c r="E1079" s="90"/>
      <c r="F1079" s="3"/>
      <c r="G1079" s="184"/>
      <c r="H1079" s="90"/>
      <c r="I1079" s="90"/>
      <c r="K1079" s="90"/>
      <c r="L1079" s="90"/>
      <c r="M1079" s="90"/>
      <c r="N1079" s="1744"/>
      <c r="O1079" s="90"/>
      <c r="Q1079" s="5"/>
      <c r="R1079" s="1745"/>
      <c r="S1079" s="430"/>
      <c r="T1079" s="1746"/>
      <c r="U1079" s="430"/>
    </row>
    <row r="1080" spans="1:21">
      <c r="A1080" s="90"/>
      <c r="C1080" s="1742"/>
      <c r="D1080" s="1743"/>
      <c r="E1080" s="90"/>
      <c r="F1080" s="3"/>
      <c r="G1080" s="184"/>
      <c r="H1080" s="90"/>
      <c r="I1080" s="90"/>
      <c r="K1080" s="90"/>
      <c r="L1080" s="90"/>
      <c r="M1080" s="90"/>
      <c r="N1080" s="1744"/>
      <c r="O1080" s="90"/>
      <c r="Q1080" s="5"/>
      <c r="R1080" s="1745"/>
      <c r="S1080" s="430"/>
      <c r="T1080" s="1746"/>
      <c r="U1080" s="430"/>
    </row>
    <row r="1081" spans="1:21">
      <c r="A1081" s="90"/>
      <c r="C1081" s="1742"/>
      <c r="D1081" s="1743"/>
      <c r="E1081" s="90"/>
      <c r="F1081" s="3"/>
      <c r="G1081" s="184"/>
      <c r="H1081" s="90"/>
      <c r="I1081" s="90"/>
      <c r="K1081" s="90"/>
      <c r="L1081" s="90"/>
      <c r="M1081" s="90"/>
      <c r="N1081" s="1744"/>
      <c r="O1081" s="90"/>
      <c r="Q1081" s="5"/>
      <c r="R1081" s="1745"/>
      <c r="S1081" s="430"/>
      <c r="T1081" s="1746"/>
      <c r="U1081" s="430"/>
    </row>
    <row r="1082" spans="1:21">
      <c r="A1082" s="90"/>
      <c r="C1082" s="1742"/>
      <c r="D1082" s="1743"/>
      <c r="E1082" s="90"/>
      <c r="F1082" s="3"/>
      <c r="G1082" s="184"/>
      <c r="H1082" s="90"/>
      <c r="I1082" s="90"/>
      <c r="K1082" s="90"/>
      <c r="L1082" s="90"/>
      <c r="M1082" s="90"/>
      <c r="N1082" s="1744"/>
      <c r="O1082" s="90"/>
      <c r="Q1082" s="5"/>
      <c r="R1082" s="1745"/>
      <c r="S1082" s="430"/>
      <c r="T1082" s="1746"/>
      <c r="U1082" s="430"/>
    </row>
    <row r="1083" spans="1:21">
      <c r="A1083" s="90"/>
      <c r="C1083" s="1742"/>
      <c r="D1083" s="1743"/>
      <c r="E1083" s="90"/>
      <c r="F1083" s="3"/>
      <c r="G1083" s="184"/>
      <c r="H1083" s="90"/>
      <c r="I1083" s="90"/>
      <c r="K1083" s="90"/>
      <c r="L1083" s="90"/>
      <c r="M1083" s="90"/>
      <c r="N1083" s="1744"/>
      <c r="O1083" s="90"/>
      <c r="Q1083" s="5"/>
      <c r="R1083" s="1745"/>
      <c r="S1083" s="430"/>
      <c r="T1083" s="1746"/>
      <c r="U1083" s="430"/>
    </row>
    <row r="1084" spans="1:21">
      <c r="A1084" s="90"/>
      <c r="C1084" s="1742"/>
      <c r="D1084" s="1743"/>
      <c r="E1084" s="90"/>
      <c r="F1084" s="3"/>
      <c r="G1084" s="184"/>
      <c r="H1084" s="90"/>
      <c r="I1084" s="90"/>
      <c r="K1084" s="90"/>
      <c r="L1084" s="90"/>
      <c r="M1084" s="90"/>
      <c r="N1084" s="1744"/>
      <c r="O1084" s="90"/>
      <c r="Q1084" s="5"/>
      <c r="R1084" s="1745"/>
      <c r="S1084" s="430"/>
      <c r="T1084" s="1746"/>
      <c r="U1084" s="430"/>
    </row>
    <row r="1085" spans="1:21">
      <c r="A1085" s="90"/>
      <c r="C1085" s="1742"/>
      <c r="D1085" s="1743"/>
      <c r="E1085" s="90"/>
      <c r="F1085" s="3"/>
      <c r="G1085" s="184"/>
      <c r="H1085" s="90"/>
      <c r="I1085" s="90"/>
      <c r="K1085" s="90"/>
      <c r="L1085" s="90"/>
      <c r="M1085" s="90"/>
      <c r="N1085" s="1744"/>
      <c r="O1085" s="90"/>
      <c r="Q1085" s="5"/>
      <c r="R1085" s="1745"/>
      <c r="S1085" s="430"/>
      <c r="T1085" s="1746"/>
      <c r="U1085" s="430"/>
    </row>
    <row r="1086" spans="1:21">
      <c r="A1086" s="90"/>
      <c r="C1086" s="1742"/>
      <c r="D1086" s="1743"/>
      <c r="E1086" s="90"/>
      <c r="F1086" s="3"/>
      <c r="G1086" s="184"/>
      <c r="H1086" s="90"/>
      <c r="I1086" s="90"/>
      <c r="K1086" s="90"/>
      <c r="L1086" s="90"/>
      <c r="M1086" s="90"/>
      <c r="N1086" s="1744"/>
      <c r="O1086" s="90"/>
      <c r="Q1086" s="5"/>
      <c r="R1086" s="1745"/>
      <c r="S1086" s="430"/>
      <c r="T1086" s="1746"/>
      <c r="U1086" s="430"/>
    </row>
    <row r="1087" spans="1:21">
      <c r="A1087" s="90"/>
      <c r="C1087" s="1742"/>
      <c r="D1087" s="1743"/>
      <c r="E1087" s="90"/>
      <c r="F1087" s="3"/>
      <c r="G1087" s="184"/>
      <c r="H1087" s="90"/>
      <c r="I1087" s="90"/>
      <c r="K1087" s="90"/>
      <c r="L1087" s="90"/>
      <c r="M1087" s="90"/>
      <c r="N1087" s="1744"/>
      <c r="O1087" s="90"/>
      <c r="Q1087" s="5"/>
      <c r="R1087" s="1745"/>
      <c r="S1087" s="430"/>
      <c r="T1087" s="1746"/>
      <c r="U1087" s="430"/>
    </row>
    <row r="1088" spans="1:21">
      <c r="A1088" s="90"/>
      <c r="C1088" s="1742"/>
      <c r="D1088" s="1743"/>
      <c r="E1088" s="90"/>
      <c r="F1088" s="3"/>
      <c r="G1088" s="184"/>
      <c r="H1088" s="90"/>
      <c r="I1088" s="90"/>
      <c r="K1088" s="90"/>
      <c r="L1088" s="90"/>
      <c r="M1088" s="90"/>
      <c r="N1088" s="1744"/>
      <c r="O1088" s="90"/>
      <c r="Q1088" s="5"/>
      <c r="R1088" s="1745"/>
      <c r="S1088" s="430"/>
      <c r="T1088" s="1746"/>
      <c r="U1088" s="430"/>
    </row>
    <row r="1089" spans="1:21">
      <c r="A1089" s="90"/>
      <c r="C1089" s="1742"/>
      <c r="D1089" s="1743"/>
      <c r="E1089" s="90"/>
      <c r="F1089" s="3"/>
      <c r="G1089" s="184"/>
      <c r="H1089" s="90"/>
      <c r="I1089" s="90"/>
      <c r="K1089" s="90"/>
      <c r="L1089" s="90"/>
      <c r="M1089" s="90"/>
      <c r="N1089" s="1744"/>
      <c r="O1089" s="90"/>
      <c r="Q1089" s="5"/>
      <c r="R1089" s="1745"/>
      <c r="S1089" s="430"/>
      <c r="T1089" s="1746"/>
      <c r="U1089" s="430"/>
    </row>
    <row r="1090" spans="1:21">
      <c r="A1090" s="90"/>
      <c r="C1090" s="1742"/>
      <c r="D1090" s="1743"/>
      <c r="E1090" s="90"/>
      <c r="F1090" s="3"/>
      <c r="G1090" s="184"/>
      <c r="H1090" s="90"/>
      <c r="I1090" s="90"/>
      <c r="K1090" s="90"/>
      <c r="L1090" s="90"/>
      <c r="M1090" s="90"/>
      <c r="N1090" s="1744"/>
      <c r="O1090" s="90"/>
      <c r="Q1090" s="5"/>
      <c r="R1090" s="1745"/>
      <c r="S1090" s="430"/>
      <c r="T1090" s="1746"/>
      <c r="U1090" s="430"/>
    </row>
    <row r="1091" spans="1:21">
      <c r="A1091" s="90"/>
      <c r="C1091" s="1742"/>
      <c r="D1091" s="1743"/>
      <c r="E1091" s="90"/>
      <c r="F1091" s="3"/>
      <c r="G1091" s="184"/>
      <c r="H1091" s="90"/>
      <c r="I1091" s="90"/>
      <c r="K1091" s="90"/>
      <c r="L1091" s="90"/>
      <c r="M1091" s="90"/>
      <c r="N1091" s="1744"/>
      <c r="O1091" s="90"/>
      <c r="Q1091" s="5"/>
      <c r="R1091" s="1745"/>
      <c r="S1091" s="430"/>
      <c r="T1091" s="1746"/>
      <c r="U1091" s="430"/>
    </row>
    <row r="1092" spans="1:21">
      <c r="A1092" s="90"/>
      <c r="C1092" s="1742"/>
      <c r="D1092" s="1743"/>
      <c r="E1092" s="90"/>
      <c r="F1092" s="3"/>
      <c r="G1092" s="184"/>
      <c r="H1092" s="90"/>
      <c r="I1092" s="90"/>
      <c r="K1092" s="90"/>
      <c r="L1092" s="90"/>
      <c r="M1092" s="90"/>
      <c r="N1092" s="1744"/>
      <c r="O1092" s="90"/>
      <c r="Q1092" s="5"/>
      <c r="R1092" s="1745"/>
      <c r="S1092" s="430"/>
      <c r="T1092" s="1746"/>
      <c r="U1092" s="430"/>
    </row>
    <row r="1093" spans="1:21">
      <c r="A1093" s="90"/>
      <c r="C1093" s="1742"/>
      <c r="D1093" s="1743"/>
      <c r="E1093" s="90"/>
      <c r="F1093" s="3"/>
      <c r="G1093" s="184"/>
      <c r="H1093" s="90"/>
      <c r="I1093" s="90"/>
      <c r="K1093" s="90"/>
      <c r="L1093" s="90"/>
      <c r="M1093" s="90"/>
      <c r="N1093" s="1744"/>
      <c r="O1093" s="90"/>
      <c r="Q1093" s="5"/>
      <c r="R1093" s="1745"/>
      <c r="S1093" s="430"/>
      <c r="T1093" s="1746"/>
      <c r="U1093" s="430"/>
    </row>
    <row r="1094" spans="1:21">
      <c r="A1094" s="90"/>
      <c r="C1094" s="1742"/>
      <c r="D1094" s="1743"/>
      <c r="E1094" s="90"/>
      <c r="F1094" s="3"/>
      <c r="G1094" s="184"/>
      <c r="H1094" s="90"/>
      <c r="I1094" s="90"/>
      <c r="K1094" s="90"/>
      <c r="L1094" s="90"/>
      <c r="M1094" s="90"/>
      <c r="N1094" s="1744"/>
      <c r="O1094" s="90"/>
      <c r="Q1094" s="5"/>
      <c r="R1094" s="1745"/>
      <c r="S1094" s="430"/>
      <c r="T1094" s="1746"/>
      <c r="U1094" s="430"/>
    </row>
    <row r="1095" spans="1:21">
      <c r="A1095" s="90"/>
      <c r="C1095" s="1742"/>
      <c r="D1095" s="1743"/>
      <c r="E1095" s="90"/>
      <c r="F1095" s="3"/>
      <c r="G1095" s="184"/>
      <c r="H1095" s="90"/>
      <c r="I1095" s="90"/>
      <c r="K1095" s="90"/>
      <c r="L1095" s="90"/>
      <c r="M1095" s="90"/>
      <c r="N1095" s="1744"/>
      <c r="O1095" s="90"/>
      <c r="Q1095" s="5"/>
      <c r="R1095" s="1745"/>
      <c r="S1095" s="430"/>
      <c r="T1095" s="1746"/>
      <c r="U1095" s="430"/>
    </row>
    <row r="1096" spans="1:21">
      <c r="A1096" s="90"/>
      <c r="C1096" s="1742"/>
      <c r="D1096" s="1743"/>
      <c r="E1096" s="90"/>
      <c r="F1096" s="3"/>
      <c r="G1096" s="184"/>
      <c r="H1096" s="90"/>
      <c r="I1096" s="90"/>
      <c r="K1096" s="90"/>
      <c r="L1096" s="90"/>
      <c r="M1096" s="90"/>
      <c r="N1096" s="1744"/>
      <c r="O1096" s="90"/>
      <c r="Q1096" s="5"/>
      <c r="R1096" s="1745"/>
      <c r="S1096" s="430"/>
      <c r="T1096" s="1746"/>
      <c r="U1096" s="430"/>
    </row>
    <row r="1097" spans="1:21">
      <c r="A1097" s="90"/>
      <c r="C1097" s="1742"/>
      <c r="D1097" s="1743"/>
      <c r="E1097" s="90"/>
      <c r="F1097" s="3"/>
      <c r="G1097" s="184"/>
      <c r="H1097" s="90"/>
      <c r="I1097" s="90"/>
      <c r="K1097" s="90"/>
      <c r="L1097" s="90"/>
      <c r="M1097" s="90"/>
      <c r="N1097" s="1744"/>
      <c r="O1097" s="90"/>
      <c r="Q1097" s="5"/>
      <c r="R1097" s="1745"/>
      <c r="S1097" s="430"/>
      <c r="T1097" s="1746"/>
      <c r="U1097" s="430"/>
    </row>
    <row r="1098" spans="1:21">
      <c r="A1098" s="90"/>
      <c r="C1098" s="1742"/>
      <c r="D1098" s="1743"/>
      <c r="E1098" s="90"/>
      <c r="F1098" s="3"/>
      <c r="G1098" s="184"/>
      <c r="H1098" s="90"/>
      <c r="I1098" s="90"/>
      <c r="K1098" s="90"/>
      <c r="L1098" s="90"/>
      <c r="M1098" s="90"/>
      <c r="N1098" s="1744"/>
      <c r="O1098" s="90"/>
      <c r="Q1098" s="5"/>
      <c r="R1098" s="1745"/>
      <c r="S1098" s="430"/>
      <c r="T1098" s="1746"/>
      <c r="U1098" s="430"/>
    </row>
    <row r="1099" spans="1:21">
      <c r="A1099" s="90"/>
      <c r="C1099" s="1742"/>
      <c r="D1099" s="1743"/>
      <c r="E1099" s="90"/>
      <c r="F1099" s="3"/>
      <c r="G1099" s="184"/>
      <c r="H1099" s="90"/>
      <c r="I1099" s="90"/>
      <c r="K1099" s="90"/>
      <c r="L1099" s="90"/>
      <c r="M1099" s="90"/>
      <c r="N1099" s="1744"/>
      <c r="O1099" s="90"/>
      <c r="Q1099" s="5"/>
      <c r="R1099" s="1745"/>
      <c r="S1099" s="430"/>
      <c r="T1099" s="1746"/>
      <c r="U1099" s="430"/>
    </row>
    <row r="1100" spans="1:21">
      <c r="A1100" s="90"/>
      <c r="C1100" s="1742"/>
      <c r="D1100" s="1743"/>
      <c r="E1100" s="90"/>
      <c r="F1100" s="3"/>
      <c r="G1100" s="184"/>
      <c r="H1100" s="90"/>
      <c r="I1100" s="90"/>
      <c r="K1100" s="90"/>
      <c r="L1100" s="90"/>
      <c r="M1100" s="90"/>
      <c r="N1100" s="1744"/>
      <c r="O1100" s="90"/>
      <c r="Q1100" s="5"/>
      <c r="R1100" s="1745"/>
      <c r="S1100" s="430"/>
      <c r="T1100" s="1746"/>
      <c r="U1100" s="430"/>
    </row>
    <row r="1101" spans="1:21">
      <c r="A1101" s="90"/>
      <c r="C1101" s="1742"/>
      <c r="D1101" s="1743"/>
      <c r="E1101" s="90"/>
      <c r="F1101" s="3"/>
      <c r="G1101" s="184"/>
      <c r="H1101" s="90"/>
      <c r="I1101" s="90"/>
      <c r="K1101" s="90"/>
      <c r="L1101" s="90"/>
      <c r="M1101" s="90"/>
      <c r="N1101" s="1744"/>
      <c r="O1101" s="90"/>
      <c r="Q1101" s="5"/>
      <c r="R1101" s="1745"/>
      <c r="S1101" s="430"/>
      <c r="T1101" s="1746"/>
      <c r="U1101" s="430"/>
    </row>
    <row r="1102" spans="1:21">
      <c r="A1102" s="90"/>
      <c r="C1102" s="1742"/>
      <c r="D1102" s="1743"/>
      <c r="E1102" s="90"/>
      <c r="F1102" s="3"/>
      <c r="G1102" s="184"/>
      <c r="H1102" s="90"/>
      <c r="I1102" s="90"/>
      <c r="K1102" s="90"/>
      <c r="L1102" s="90"/>
      <c r="M1102" s="90"/>
      <c r="N1102" s="1744"/>
      <c r="O1102" s="90"/>
      <c r="Q1102" s="5"/>
      <c r="R1102" s="1745"/>
      <c r="S1102" s="430"/>
      <c r="T1102" s="1746"/>
      <c r="U1102" s="430"/>
    </row>
    <row r="1103" spans="1:21">
      <c r="A1103" s="90"/>
      <c r="C1103" s="1742"/>
      <c r="D1103" s="1743"/>
      <c r="E1103" s="90"/>
      <c r="F1103" s="3"/>
      <c r="G1103" s="184"/>
      <c r="H1103" s="90"/>
      <c r="I1103" s="90"/>
      <c r="K1103" s="90"/>
      <c r="L1103" s="90"/>
      <c r="M1103" s="90"/>
      <c r="N1103" s="1744"/>
      <c r="O1103" s="90"/>
      <c r="Q1103" s="5"/>
      <c r="R1103" s="1745"/>
      <c r="S1103" s="430"/>
      <c r="T1103" s="1746"/>
      <c r="U1103" s="430"/>
    </row>
    <row r="1104" spans="1:21">
      <c r="A1104" s="90"/>
      <c r="C1104" s="1742"/>
      <c r="D1104" s="1743"/>
      <c r="E1104" s="90"/>
      <c r="F1104" s="3"/>
      <c r="G1104" s="184"/>
      <c r="H1104" s="90"/>
      <c r="I1104" s="90"/>
      <c r="K1104" s="90"/>
      <c r="L1104" s="90"/>
      <c r="M1104" s="90"/>
      <c r="N1104" s="1744"/>
      <c r="O1104" s="90"/>
      <c r="Q1104" s="5"/>
      <c r="R1104" s="1745"/>
      <c r="S1104" s="430"/>
      <c r="T1104" s="1746"/>
      <c r="U1104" s="430"/>
    </row>
    <row r="1105" spans="1:21">
      <c r="A1105" s="90"/>
      <c r="C1105" s="1742"/>
      <c r="D1105" s="1743"/>
      <c r="E1105" s="90"/>
      <c r="F1105" s="3"/>
      <c r="G1105" s="184"/>
      <c r="H1105" s="90"/>
      <c r="I1105" s="90"/>
      <c r="K1105" s="90"/>
      <c r="L1105" s="90"/>
      <c r="M1105" s="90"/>
      <c r="N1105" s="1744"/>
      <c r="O1105" s="90"/>
      <c r="Q1105" s="5"/>
      <c r="R1105" s="1745"/>
      <c r="S1105" s="430"/>
      <c r="T1105" s="1746"/>
      <c r="U1105" s="430"/>
    </row>
    <row r="1106" spans="1:21">
      <c r="A1106" s="90"/>
      <c r="C1106" s="1742"/>
      <c r="D1106" s="1743"/>
      <c r="E1106" s="90"/>
      <c r="F1106" s="3"/>
      <c r="G1106" s="184"/>
      <c r="H1106" s="90"/>
      <c r="I1106" s="90"/>
      <c r="K1106" s="90"/>
      <c r="L1106" s="90"/>
      <c r="M1106" s="90"/>
      <c r="N1106" s="1744"/>
      <c r="O1106" s="90"/>
      <c r="Q1106" s="5"/>
      <c r="R1106" s="1745"/>
      <c r="S1106" s="430"/>
      <c r="T1106" s="1746"/>
      <c r="U1106" s="430"/>
    </row>
    <row r="1107" spans="1:21">
      <c r="A1107" s="90"/>
      <c r="C1107" s="1742"/>
      <c r="D1107" s="1743"/>
      <c r="E1107" s="90"/>
      <c r="F1107" s="3"/>
      <c r="G1107" s="184"/>
      <c r="H1107" s="90"/>
      <c r="I1107" s="90"/>
      <c r="K1107" s="90"/>
      <c r="L1107" s="90"/>
      <c r="M1107" s="90"/>
      <c r="N1107" s="1744"/>
      <c r="O1107" s="90"/>
      <c r="Q1107" s="5"/>
      <c r="R1107" s="1745"/>
      <c r="S1107" s="430"/>
      <c r="T1107" s="1746"/>
      <c r="U1107" s="430"/>
    </row>
    <row r="1108" spans="1:21">
      <c r="A1108" s="90"/>
      <c r="C1108" s="1742"/>
      <c r="D1108" s="1743"/>
      <c r="E1108" s="90"/>
      <c r="F1108" s="3"/>
      <c r="G1108" s="184"/>
      <c r="H1108" s="90"/>
      <c r="I1108" s="90"/>
      <c r="K1108" s="90"/>
      <c r="L1108" s="90"/>
      <c r="M1108" s="90"/>
      <c r="N1108" s="1744"/>
      <c r="O1108" s="90"/>
      <c r="Q1108" s="5"/>
      <c r="R1108" s="1745"/>
      <c r="S1108" s="430"/>
      <c r="T1108" s="1746"/>
      <c r="U1108" s="430"/>
    </row>
    <row r="1109" spans="1:21">
      <c r="A1109" s="90"/>
      <c r="C1109" s="1742"/>
      <c r="D1109" s="1743"/>
      <c r="E1109" s="90"/>
      <c r="F1109" s="3"/>
      <c r="G1109" s="184"/>
      <c r="H1109" s="90"/>
      <c r="I1109" s="90"/>
      <c r="K1109" s="90"/>
      <c r="L1109" s="90"/>
      <c r="M1109" s="90"/>
      <c r="N1109" s="1744"/>
      <c r="O1109" s="90"/>
      <c r="Q1109" s="5"/>
      <c r="R1109" s="1745"/>
      <c r="S1109" s="430"/>
      <c r="T1109" s="1746"/>
      <c r="U1109" s="430"/>
    </row>
    <row r="1110" spans="1:21">
      <c r="A1110" s="90"/>
      <c r="C1110" s="1742"/>
      <c r="D1110" s="1743"/>
      <c r="E1110" s="90"/>
      <c r="F1110" s="3"/>
      <c r="G1110" s="184"/>
      <c r="H1110" s="90"/>
      <c r="I1110" s="90"/>
      <c r="K1110" s="90"/>
      <c r="L1110" s="90"/>
      <c r="M1110" s="90"/>
      <c r="N1110" s="1744"/>
      <c r="O1110" s="90"/>
      <c r="Q1110" s="5"/>
      <c r="R1110" s="1745"/>
      <c r="S1110" s="430"/>
      <c r="T1110" s="1746"/>
      <c r="U1110" s="430"/>
    </row>
    <row r="1111" spans="1:21">
      <c r="A1111" s="90"/>
      <c r="C1111" s="1742"/>
      <c r="D1111" s="1743"/>
      <c r="E1111" s="90"/>
      <c r="F1111" s="3"/>
      <c r="G1111" s="184"/>
      <c r="H1111" s="90"/>
      <c r="I1111" s="90"/>
      <c r="K1111" s="90"/>
      <c r="L1111" s="90"/>
      <c r="M1111" s="90"/>
      <c r="N1111" s="1744"/>
      <c r="O1111" s="90"/>
      <c r="Q1111" s="5"/>
      <c r="R1111" s="1745"/>
      <c r="S1111" s="430"/>
      <c r="T1111" s="1746"/>
      <c r="U1111" s="430"/>
    </row>
    <row r="1112" spans="1:21">
      <c r="A1112" s="90"/>
      <c r="C1112" s="1742"/>
      <c r="D1112" s="1743"/>
      <c r="E1112" s="90"/>
      <c r="F1112" s="3"/>
      <c r="G1112" s="184"/>
      <c r="H1112" s="90"/>
      <c r="I1112" s="90"/>
      <c r="K1112" s="90"/>
      <c r="L1112" s="90"/>
      <c r="M1112" s="90"/>
      <c r="N1112" s="1744"/>
      <c r="O1112" s="90"/>
      <c r="Q1112" s="5"/>
      <c r="R1112" s="1745"/>
      <c r="S1112" s="430"/>
      <c r="T1112" s="1746"/>
      <c r="U1112" s="430"/>
    </row>
    <row r="1113" spans="1:21">
      <c r="A1113" s="90"/>
      <c r="C1113" s="1742"/>
      <c r="D1113" s="1743"/>
      <c r="E1113" s="90"/>
      <c r="F1113" s="3"/>
      <c r="G1113" s="184"/>
      <c r="H1113" s="90"/>
      <c r="I1113" s="90"/>
      <c r="K1113" s="90"/>
      <c r="L1113" s="90"/>
      <c r="M1113" s="90"/>
      <c r="N1113" s="1744"/>
      <c r="O1113" s="90"/>
      <c r="Q1113" s="5"/>
      <c r="R1113" s="1745"/>
      <c r="S1113" s="430"/>
      <c r="T1113" s="1746"/>
      <c r="U1113" s="430"/>
    </row>
    <row r="1114" spans="1:21">
      <c r="A1114" s="90"/>
      <c r="C1114" s="1742"/>
      <c r="D1114" s="1743"/>
      <c r="E1114" s="90"/>
      <c r="F1114" s="3"/>
      <c r="G1114" s="184"/>
      <c r="H1114" s="90"/>
      <c r="I1114" s="90"/>
      <c r="K1114" s="90"/>
      <c r="L1114" s="90"/>
      <c r="M1114" s="90"/>
      <c r="N1114" s="1744"/>
      <c r="O1114" s="90"/>
      <c r="Q1114" s="5"/>
      <c r="R1114" s="1745"/>
      <c r="S1114" s="430"/>
      <c r="T1114" s="1746"/>
      <c r="U1114" s="430"/>
    </row>
    <row r="1115" spans="1:21">
      <c r="A1115" s="90"/>
      <c r="C1115" s="1742"/>
      <c r="D1115" s="1743"/>
      <c r="E1115" s="90"/>
      <c r="F1115" s="3"/>
      <c r="G1115" s="184"/>
      <c r="H1115" s="90"/>
      <c r="I1115" s="90"/>
      <c r="K1115" s="90"/>
      <c r="L1115" s="90"/>
      <c r="M1115" s="90"/>
      <c r="N1115" s="1744"/>
      <c r="O1115" s="90"/>
      <c r="Q1115" s="5"/>
      <c r="R1115" s="1745"/>
      <c r="S1115" s="430"/>
      <c r="T1115" s="1746"/>
      <c r="U1115" s="430"/>
    </row>
    <row r="1116" spans="1:21">
      <c r="A1116" s="90"/>
      <c r="C1116" s="1742"/>
      <c r="D1116" s="1743"/>
      <c r="E1116" s="90"/>
      <c r="F1116" s="3"/>
      <c r="G1116" s="184"/>
      <c r="H1116" s="90"/>
      <c r="I1116" s="90"/>
      <c r="K1116" s="90"/>
      <c r="L1116" s="90"/>
      <c r="M1116" s="90"/>
      <c r="N1116" s="1744"/>
      <c r="O1116" s="90"/>
      <c r="Q1116" s="5"/>
      <c r="R1116" s="1745"/>
      <c r="S1116" s="430"/>
      <c r="T1116" s="1746"/>
      <c r="U1116" s="430"/>
    </row>
    <row r="1117" spans="1:21">
      <c r="A1117" s="90"/>
      <c r="C1117" s="1742"/>
      <c r="D1117" s="1743"/>
      <c r="E1117" s="90"/>
      <c r="F1117" s="3"/>
      <c r="G1117" s="184"/>
      <c r="H1117" s="90"/>
      <c r="I1117" s="90"/>
      <c r="K1117" s="90"/>
      <c r="L1117" s="90"/>
      <c r="M1117" s="90"/>
      <c r="N1117" s="1744"/>
      <c r="O1117" s="90"/>
      <c r="Q1117" s="5"/>
      <c r="R1117" s="1745"/>
      <c r="S1117" s="430"/>
      <c r="T1117" s="1746"/>
      <c r="U1117" s="430"/>
    </row>
    <row r="1118" spans="1:21">
      <c r="A1118" s="90"/>
      <c r="C1118" s="1742"/>
      <c r="D1118" s="1743"/>
      <c r="E1118" s="90"/>
      <c r="F1118" s="3"/>
      <c r="G1118" s="184"/>
      <c r="H1118" s="90"/>
      <c r="I1118" s="90"/>
      <c r="K1118" s="90"/>
      <c r="L1118" s="90"/>
      <c r="M1118" s="90"/>
      <c r="N1118" s="1744"/>
      <c r="O1118" s="90"/>
      <c r="Q1118" s="5"/>
      <c r="R1118" s="1745"/>
      <c r="S1118" s="430"/>
      <c r="T1118" s="1746"/>
      <c r="U1118" s="430"/>
    </row>
    <row r="1119" spans="1:21">
      <c r="A1119" s="90"/>
      <c r="C1119" s="1742"/>
      <c r="D1119" s="1743"/>
      <c r="E1119" s="90"/>
      <c r="F1119" s="3"/>
      <c r="G1119" s="184"/>
      <c r="H1119" s="90"/>
      <c r="I1119" s="90"/>
      <c r="K1119" s="90"/>
      <c r="L1119" s="90"/>
      <c r="M1119" s="90"/>
      <c r="N1119" s="1744"/>
      <c r="O1119" s="90"/>
      <c r="Q1119" s="5"/>
      <c r="R1119" s="1745"/>
      <c r="S1119" s="430"/>
      <c r="T1119" s="1746"/>
      <c r="U1119" s="430"/>
    </row>
    <row r="1120" spans="1:21">
      <c r="A1120" s="90"/>
      <c r="C1120" s="1742"/>
      <c r="D1120" s="1743"/>
      <c r="E1120" s="90"/>
      <c r="F1120" s="3"/>
      <c r="G1120" s="184"/>
      <c r="H1120" s="90"/>
      <c r="I1120" s="90"/>
      <c r="K1120" s="90"/>
      <c r="L1120" s="90"/>
      <c r="M1120" s="90"/>
      <c r="N1120" s="1744"/>
      <c r="O1120" s="90"/>
      <c r="Q1120" s="5"/>
      <c r="R1120" s="1745"/>
      <c r="S1120" s="430"/>
      <c r="T1120" s="1746"/>
      <c r="U1120" s="430"/>
    </row>
    <row r="1121" spans="1:21">
      <c r="A1121" s="90"/>
      <c r="C1121" s="1742"/>
      <c r="D1121" s="1743"/>
      <c r="E1121" s="90"/>
      <c r="F1121" s="3"/>
      <c r="G1121" s="184"/>
      <c r="H1121" s="90"/>
      <c r="I1121" s="90"/>
      <c r="K1121" s="90"/>
      <c r="L1121" s="90"/>
      <c r="M1121" s="90"/>
      <c r="N1121" s="1744"/>
      <c r="O1121" s="90"/>
      <c r="Q1121" s="5"/>
      <c r="R1121" s="1745"/>
      <c r="S1121" s="430"/>
      <c r="T1121" s="1746"/>
      <c r="U1121" s="430"/>
    </row>
    <row r="1122" spans="1:21">
      <c r="A1122" s="90"/>
      <c r="C1122" s="1742"/>
      <c r="D1122" s="1743"/>
      <c r="E1122" s="90"/>
      <c r="F1122" s="3"/>
      <c r="G1122" s="184"/>
      <c r="H1122" s="90"/>
      <c r="I1122" s="90"/>
      <c r="K1122" s="90"/>
      <c r="L1122" s="90"/>
      <c r="M1122" s="90"/>
      <c r="N1122" s="1744"/>
      <c r="O1122" s="90"/>
      <c r="Q1122" s="5"/>
      <c r="R1122" s="1745"/>
      <c r="S1122" s="430"/>
      <c r="T1122" s="1746"/>
      <c r="U1122" s="430"/>
    </row>
    <row r="1123" spans="1:21">
      <c r="A1123" s="90"/>
      <c r="C1123" s="1742"/>
      <c r="D1123" s="1743"/>
      <c r="E1123" s="90"/>
      <c r="F1123" s="3"/>
      <c r="G1123" s="184"/>
      <c r="H1123" s="90"/>
      <c r="I1123" s="90"/>
      <c r="K1123" s="90"/>
      <c r="L1123" s="90"/>
      <c r="M1123" s="90"/>
      <c r="N1123" s="1744"/>
      <c r="O1123" s="90"/>
      <c r="Q1123" s="5"/>
      <c r="R1123" s="1745"/>
      <c r="S1123" s="430"/>
      <c r="T1123" s="1746"/>
      <c r="U1123" s="430"/>
    </row>
    <row r="1124" spans="1:21">
      <c r="A1124" s="90"/>
      <c r="C1124" s="1742"/>
      <c r="D1124" s="1743"/>
      <c r="E1124" s="90"/>
      <c r="F1124" s="3"/>
      <c r="G1124" s="184"/>
      <c r="H1124" s="90"/>
      <c r="I1124" s="90"/>
      <c r="K1124" s="90"/>
      <c r="L1124" s="90"/>
      <c r="M1124" s="90"/>
      <c r="N1124" s="1744"/>
      <c r="O1124" s="90"/>
      <c r="Q1124" s="5"/>
      <c r="R1124" s="1745"/>
      <c r="S1124" s="430"/>
      <c r="T1124" s="1746"/>
      <c r="U1124" s="430"/>
    </row>
    <row r="1125" spans="1:21">
      <c r="A1125" s="90"/>
      <c r="C1125" s="1742"/>
      <c r="D1125" s="1743"/>
      <c r="E1125" s="90"/>
      <c r="F1125" s="3"/>
      <c r="G1125" s="184"/>
      <c r="H1125" s="90"/>
      <c r="I1125" s="90"/>
      <c r="K1125" s="90"/>
      <c r="L1125" s="90"/>
      <c r="M1125" s="90"/>
      <c r="N1125" s="1744"/>
      <c r="O1125" s="90"/>
      <c r="Q1125" s="5"/>
      <c r="R1125" s="1745"/>
      <c r="S1125" s="430"/>
      <c r="T1125" s="1746"/>
      <c r="U1125" s="430"/>
    </row>
    <row r="1126" spans="1:21">
      <c r="A1126" s="90"/>
      <c r="C1126" s="1742"/>
      <c r="D1126" s="1743"/>
      <c r="E1126" s="90"/>
      <c r="F1126" s="3"/>
      <c r="G1126" s="184"/>
      <c r="H1126" s="90"/>
      <c r="I1126" s="90"/>
      <c r="K1126" s="90"/>
      <c r="L1126" s="90"/>
      <c r="M1126" s="90"/>
      <c r="N1126" s="1744"/>
      <c r="O1126" s="90"/>
      <c r="Q1126" s="5"/>
      <c r="R1126" s="1745"/>
      <c r="S1126" s="430"/>
      <c r="T1126" s="1746"/>
      <c r="U1126" s="430"/>
    </row>
    <row r="1127" spans="1:21">
      <c r="A1127" s="90"/>
      <c r="C1127" s="1742"/>
      <c r="D1127" s="1743"/>
      <c r="E1127" s="90"/>
      <c r="F1127" s="3"/>
      <c r="G1127" s="184"/>
      <c r="H1127" s="90"/>
      <c r="I1127" s="90"/>
      <c r="K1127" s="90"/>
      <c r="L1127" s="90"/>
      <c r="M1127" s="90"/>
      <c r="N1127" s="1744"/>
      <c r="O1127" s="90"/>
      <c r="Q1127" s="5"/>
      <c r="R1127" s="1745"/>
      <c r="S1127" s="430"/>
      <c r="T1127" s="1746"/>
      <c r="U1127" s="430"/>
    </row>
    <row r="1128" spans="1:21">
      <c r="A1128" s="90"/>
      <c r="C1128" s="1742"/>
      <c r="D1128" s="1743"/>
      <c r="E1128" s="90"/>
      <c r="F1128" s="3"/>
      <c r="G1128" s="184"/>
      <c r="H1128" s="90"/>
      <c r="I1128" s="90"/>
      <c r="K1128" s="90"/>
      <c r="L1128" s="90"/>
      <c r="M1128" s="90"/>
      <c r="N1128" s="1744"/>
      <c r="O1128" s="90"/>
      <c r="Q1128" s="5"/>
      <c r="R1128" s="1745"/>
      <c r="S1128" s="430"/>
      <c r="T1128" s="1746"/>
      <c r="U1128" s="430"/>
    </row>
    <row r="1129" spans="1:21">
      <c r="A1129" s="90"/>
      <c r="C1129" s="1742"/>
      <c r="D1129" s="1743"/>
      <c r="E1129" s="90"/>
      <c r="F1129" s="3"/>
      <c r="G1129" s="184"/>
      <c r="H1129" s="90"/>
      <c r="I1129" s="90"/>
      <c r="K1129" s="90"/>
      <c r="L1129" s="90"/>
      <c r="M1129" s="90"/>
      <c r="N1129" s="1744"/>
      <c r="O1129" s="90"/>
      <c r="Q1129" s="5"/>
      <c r="R1129" s="1745"/>
      <c r="S1129" s="430"/>
      <c r="T1129" s="1746"/>
      <c r="U1129" s="430"/>
    </row>
    <row r="1130" spans="1:21">
      <c r="A1130" s="90"/>
      <c r="C1130" s="1742"/>
      <c r="D1130" s="1743"/>
      <c r="E1130" s="90"/>
      <c r="F1130" s="3"/>
      <c r="G1130" s="184"/>
      <c r="H1130" s="90"/>
      <c r="I1130" s="90"/>
      <c r="K1130" s="90"/>
      <c r="L1130" s="90"/>
      <c r="M1130" s="90"/>
      <c r="N1130" s="1744"/>
      <c r="O1130" s="90"/>
      <c r="Q1130" s="5"/>
      <c r="R1130" s="1745"/>
      <c r="S1130" s="430"/>
      <c r="T1130" s="1746"/>
      <c r="U1130" s="430"/>
    </row>
    <row r="1131" spans="1:21">
      <c r="A1131" s="90"/>
      <c r="C1131" s="1742"/>
      <c r="D1131" s="1743"/>
      <c r="E1131" s="90"/>
      <c r="F1131" s="3"/>
      <c r="G1131" s="184"/>
      <c r="H1131" s="90"/>
      <c r="I1131" s="90"/>
      <c r="K1131" s="90"/>
      <c r="L1131" s="90"/>
      <c r="M1131" s="90"/>
      <c r="N1131" s="1744"/>
      <c r="O1131" s="90"/>
      <c r="Q1131" s="5"/>
      <c r="R1131" s="1745"/>
      <c r="S1131" s="430"/>
      <c r="T1131" s="1746"/>
      <c r="U1131" s="430"/>
    </row>
    <row r="1132" spans="1:21">
      <c r="A1132" s="90"/>
      <c r="C1132" s="1742"/>
      <c r="D1132" s="1743"/>
      <c r="E1132" s="90"/>
      <c r="F1132" s="3"/>
      <c r="G1132" s="184"/>
      <c r="H1132" s="90"/>
      <c r="I1132" s="90"/>
      <c r="K1132" s="90"/>
      <c r="L1132" s="90"/>
      <c r="M1132" s="90"/>
      <c r="N1132" s="1744"/>
      <c r="O1132" s="90"/>
      <c r="Q1132" s="5"/>
      <c r="R1132" s="1745"/>
      <c r="S1132" s="430"/>
      <c r="T1132" s="1746"/>
      <c r="U1132" s="430"/>
    </row>
    <row r="1133" spans="1:21">
      <c r="A1133" s="90"/>
      <c r="C1133" s="1742"/>
      <c r="D1133" s="1743"/>
      <c r="E1133" s="90"/>
      <c r="F1133" s="3"/>
      <c r="G1133" s="184"/>
      <c r="H1133" s="90"/>
      <c r="I1133" s="90"/>
      <c r="K1133" s="90"/>
      <c r="L1133" s="90"/>
      <c r="M1133" s="90"/>
      <c r="N1133" s="1744"/>
      <c r="O1133" s="90"/>
      <c r="Q1133" s="5"/>
      <c r="R1133" s="1745"/>
      <c r="S1133" s="430"/>
      <c r="T1133" s="1746"/>
      <c r="U1133" s="430"/>
    </row>
    <row r="1134" spans="1:21">
      <c r="A1134" s="90"/>
      <c r="C1134" s="1742"/>
      <c r="D1134" s="1743"/>
      <c r="E1134" s="90"/>
      <c r="F1134" s="3"/>
      <c r="G1134" s="184"/>
      <c r="H1134" s="90"/>
      <c r="I1134" s="90"/>
      <c r="K1134" s="90"/>
      <c r="L1134" s="90"/>
      <c r="M1134" s="90"/>
      <c r="N1134" s="1744"/>
      <c r="O1134" s="90"/>
      <c r="Q1134" s="5"/>
      <c r="R1134" s="1745"/>
      <c r="S1134" s="430"/>
      <c r="T1134" s="1746"/>
      <c r="U1134" s="430"/>
    </row>
    <row r="1135" spans="1:21">
      <c r="A1135" s="90"/>
      <c r="C1135" s="1742"/>
      <c r="D1135" s="1743"/>
      <c r="E1135" s="90"/>
      <c r="F1135" s="3"/>
      <c r="G1135" s="184"/>
      <c r="H1135" s="90"/>
      <c r="I1135" s="90"/>
      <c r="K1135" s="90"/>
      <c r="L1135" s="90"/>
      <c r="M1135" s="90"/>
      <c r="N1135" s="1744"/>
      <c r="O1135" s="90"/>
      <c r="Q1135" s="5"/>
      <c r="R1135" s="1745"/>
      <c r="S1135" s="430"/>
      <c r="T1135" s="1746"/>
      <c r="U1135" s="430"/>
    </row>
    <row r="1136" spans="1:21">
      <c r="A1136" s="90"/>
      <c r="C1136" s="1742"/>
      <c r="D1136" s="1743"/>
      <c r="E1136" s="90"/>
      <c r="F1136" s="3"/>
      <c r="G1136" s="184"/>
      <c r="H1136" s="90"/>
      <c r="I1136" s="90"/>
      <c r="K1136" s="90"/>
      <c r="L1136" s="90"/>
      <c r="M1136" s="90"/>
      <c r="N1136" s="1744"/>
      <c r="O1136" s="90"/>
      <c r="Q1136" s="5"/>
      <c r="R1136" s="1745"/>
      <c r="S1136" s="430"/>
      <c r="T1136" s="1746"/>
      <c r="U1136" s="430"/>
    </row>
    <row r="1137" spans="1:21">
      <c r="A1137" s="90"/>
      <c r="C1137" s="1742"/>
      <c r="D1137" s="1743"/>
      <c r="E1137" s="90"/>
      <c r="F1137" s="3"/>
      <c r="G1137" s="184"/>
      <c r="H1137" s="90"/>
      <c r="I1137" s="90"/>
      <c r="K1137" s="90"/>
      <c r="L1137" s="90"/>
      <c r="M1137" s="90"/>
      <c r="N1137" s="1744"/>
      <c r="O1137" s="90"/>
      <c r="Q1137" s="5"/>
      <c r="R1137" s="1745"/>
      <c r="S1137" s="430"/>
      <c r="T1137" s="1746"/>
      <c r="U1137" s="430"/>
    </row>
    <row r="1138" spans="1:21">
      <c r="A1138" s="90"/>
      <c r="C1138" s="1742"/>
      <c r="D1138" s="1743"/>
      <c r="E1138" s="90"/>
      <c r="F1138" s="3"/>
      <c r="G1138" s="184"/>
      <c r="H1138" s="90"/>
      <c r="I1138" s="90"/>
      <c r="K1138" s="90"/>
      <c r="L1138" s="90"/>
      <c r="M1138" s="90"/>
      <c r="N1138" s="1744"/>
      <c r="O1138" s="90"/>
      <c r="Q1138" s="5"/>
      <c r="R1138" s="1745"/>
      <c r="S1138" s="430"/>
      <c r="T1138" s="1746"/>
      <c r="U1138" s="430"/>
    </row>
    <row r="1139" spans="1:21">
      <c r="A1139" s="90"/>
      <c r="C1139" s="1742"/>
      <c r="D1139" s="1743"/>
      <c r="E1139" s="90"/>
      <c r="F1139" s="3"/>
      <c r="G1139" s="184"/>
      <c r="H1139" s="90"/>
      <c r="I1139" s="90"/>
      <c r="K1139" s="90"/>
      <c r="L1139" s="90"/>
      <c r="M1139" s="90"/>
      <c r="N1139" s="1744"/>
      <c r="O1139" s="90"/>
      <c r="Q1139" s="5"/>
      <c r="R1139" s="1745"/>
      <c r="S1139" s="430"/>
      <c r="T1139" s="1746"/>
      <c r="U1139" s="430"/>
    </row>
  </sheetData>
  <autoFilter ref="A1:AC384">
    <filterColumn colId="2">
      <filters>
        <filter val="LPP(LOCO)"/>
      </filters>
    </filterColumn>
  </autoFilter>
  <conditionalFormatting sqref="O384:Q384">
    <cfRule type="expression" dxfId="2654" priority="1">
      <formula>AND(ISNUMBER(O384),TRUNC(O384)&lt;TODAY())</formula>
    </cfRule>
  </conditionalFormatting>
  <conditionalFormatting sqref="F384">
    <cfRule type="containsText" dxfId="2653" priority="2" operator="containsText" text="F">
      <formula>NOT(ISERROR(SEARCH(("F"),(F384))))</formula>
    </cfRule>
  </conditionalFormatting>
  <conditionalFormatting sqref="O383:Q383">
    <cfRule type="expression" dxfId="2652" priority="3">
      <formula>AND(ISNUMBER(O383),TRUNC(O383)&lt;TODAY())</formula>
    </cfRule>
  </conditionalFormatting>
  <conditionalFormatting sqref="F383">
    <cfRule type="containsText" dxfId="2651" priority="4" operator="containsText" text="F">
      <formula>NOT(ISERROR(SEARCH(("F"),(F383))))</formula>
    </cfRule>
  </conditionalFormatting>
  <conditionalFormatting sqref="P362">
    <cfRule type="expression" dxfId="2650" priority="5">
      <formula>AND(ISNUMBER(P362),TRUNC(P362)&lt;TODAY())</formula>
    </cfRule>
  </conditionalFormatting>
  <conditionalFormatting sqref="O362">
    <cfRule type="expression" dxfId="2649" priority="6">
      <formula>AND(ISNUMBER(O362),TRUNC(O362)&lt;TODAY())</formula>
    </cfRule>
  </conditionalFormatting>
  <conditionalFormatting sqref="Q362">
    <cfRule type="expression" dxfId="2648" priority="7">
      <formula>AND(ISNUMBER(Q362),TRUNC(Q362)&lt;TODAY())</formula>
    </cfRule>
  </conditionalFormatting>
  <conditionalFormatting sqref="F362">
    <cfRule type="containsText" dxfId="2647" priority="8" operator="containsText" text="F">
      <formula>NOT(ISERROR(SEARCH(("F"),(F362))))</formula>
    </cfRule>
  </conditionalFormatting>
  <conditionalFormatting sqref="O360:O361">
    <cfRule type="expression" dxfId="2646" priority="9">
      <formula>AND(ISNUMBER(O360),TRUNC(O360)&lt;TODAY())</formula>
    </cfRule>
  </conditionalFormatting>
  <conditionalFormatting sqref="Q360:Q361">
    <cfRule type="expression" dxfId="2645" priority="10">
      <formula>AND(ISNUMBER(Q360),TRUNC(Q360)&lt;TODAY())</formula>
    </cfRule>
  </conditionalFormatting>
  <conditionalFormatting sqref="F360:F361">
    <cfRule type="containsText" dxfId="2644" priority="11" operator="containsText" text="F">
      <formula>NOT(ISERROR(SEARCH(("F"),(F360))))</formula>
    </cfRule>
  </conditionalFormatting>
  <conditionalFormatting sqref="V360:V361">
    <cfRule type="notContainsBlanks" dxfId="2643" priority="12">
      <formula>LEN(TRIM(V360))&gt;0</formula>
    </cfRule>
  </conditionalFormatting>
  <conditionalFormatting sqref="P360:P361">
    <cfRule type="expression" dxfId="2642" priority="13">
      <formula>AND(ISNUMBER(P360),TRUNC(P360)&lt;TODAY())</formula>
    </cfRule>
  </conditionalFormatting>
  <conditionalFormatting sqref="P360:P361">
    <cfRule type="expression" dxfId="2641" priority="14">
      <formula>AND(ISNUMBER(P360),TRUNC(P360)&lt;TODAY())</formula>
    </cfRule>
  </conditionalFormatting>
  <conditionalFormatting sqref="F359">
    <cfRule type="containsText" dxfId="2640" priority="15" operator="containsText" text="F">
      <formula>NOT(ISERROR(SEARCH(("F"),(F359))))</formula>
    </cfRule>
  </conditionalFormatting>
  <conditionalFormatting sqref="P359:Q359">
    <cfRule type="expression" dxfId="2639" priority="16">
      <formula>AND(ISNUMBER(P359),TRUNC(P359)&lt;TODAY())</formula>
    </cfRule>
  </conditionalFormatting>
  <conditionalFormatting sqref="O358:Q358">
    <cfRule type="expression" dxfId="2638" priority="17">
      <formula>AND(ISNUMBER(O358),TRUNC(O358)&lt;TODAY())</formula>
    </cfRule>
  </conditionalFormatting>
  <conditionalFormatting sqref="F358">
    <cfRule type="containsText" dxfId="2637" priority="18" operator="containsText" text="F">
      <formula>NOT(ISERROR(SEARCH(("F"),(F358))))</formula>
    </cfRule>
  </conditionalFormatting>
  <conditionalFormatting sqref="P357">
    <cfRule type="expression" dxfId="2636" priority="19">
      <formula>AND(ISNUMBER(P357),TRUNC(P357)&lt;TODAY())</formula>
    </cfRule>
  </conditionalFormatting>
  <conditionalFormatting sqref="O357">
    <cfRule type="expression" dxfId="2635" priority="20">
      <formula>AND(ISNUMBER(O357),TRUNC(O357)&lt;TODAY())</formula>
    </cfRule>
  </conditionalFormatting>
  <conditionalFormatting sqref="Q357">
    <cfRule type="expression" dxfId="2634" priority="21">
      <formula>AND(ISNUMBER(Q357),TRUNC(Q357)&lt;TODAY())</formula>
    </cfRule>
  </conditionalFormatting>
  <conditionalFormatting sqref="F357">
    <cfRule type="containsText" dxfId="2633" priority="22" operator="containsText" text="F">
      <formula>NOT(ISERROR(SEARCH(("F"),(F357))))</formula>
    </cfRule>
  </conditionalFormatting>
  <conditionalFormatting sqref="O356:Q356">
    <cfRule type="expression" dxfId="2632" priority="23">
      <formula>AND(ISNUMBER(O356),TRUNC(O356)&lt;TODAY())</formula>
    </cfRule>
  </conditionalFormatting>
  <conditionalFormatting sqref="F356">
    <cfRule type="containsText" dxfId="2631" priority="24" operator="containsText" text="F">
      <formula>NOT(ISERROR(SEARCH(("F"),(F356))))</formula>
    </cfRule>
  </conditionalFormatting>
  <conditionalFormatting sqref="O355:Q355">
    <cfRule type="expression" dxfId="2630" priority="25">
      <formula>AND(ISNUMBER(O355),TRUNC(O355)&lt;TODAY())</formula>
    </cfRule>
  </conditionalFormatting>
  <conditionalFormatting sqref="F355">
    <cfRule type="containsText" dxfId="2629" priority="26" operator="containsText" text="F">
      <formula>NOT(ISERROR(SEARCH(("F"),(F355))))</formula>
    </cfRule>
  </conditionalFormatting>
  <conditionalFormatting sqref="O354:Q354">
    <cfRule type="expression" dxfId="2628" priority="27">
      <formula>AND(ISNUMBER(O354),TRUNC(O354)&lt;TODAY())</formula>
    </cfRule>
  </conditionalFormatting>
  <conditionalFormatting sqref="Q354">
    <cfRule type="expression" dxfId="2627" priority="28">
      <formula>AND(ISNUMBER(Q354),TRUNC(Q354)&lt;TODAY())</formula>
    </cfRule>
  </conditionalFormatting>
  <conditionalFormatting sqref="F354">
    <cfRule type="containsText" dxfId="2626" priority="29" operator="containsText" text="F">
      <formula>NOT(ISERROR(SEARCH(("F"),(F354))))</formula>
    </cfRule>
  </conditionalFormatting>
  <conditionalFormatting sqref="F353">
    <cfRule type="containsText" dxfId="2625" priority="30" operator="containsText" text="F">
      <formula>NOT(ISERROR(SEARCH(("F"),(F353))))</formula>
    </cfRule>
  </conditionalFormatting>
  <conditionalFormatting sqref="O353">
    <cfRule type="colorScale" priority="31">
      <colorScale>
        <cfvo type="min" val="0"/>
        <cfvo type="max" val="0"/>
        <color rgb="FF57BB8A"/>
        <color rgb="FFFFFFFF"/>
      </colorScale>
    </cfRule>
  </conditionalFormatting>
  <conditionalFormatting sqref="Q353">
    <cfRule type="expression" dxfId="2624" priority="32">
      <formula>AND(ISNUMBER(Q353),TRUNC(Q353)&lt;TODAY())</formula>
    </cfRule>
  </conditionalFormatting>
  <conditionalFormatting sqref="F352">
    <cfRule type="containsText" dxfId="2623" priority="33" operator="containsText" text="F">
      <formula>NOT(ISERROR(SEARCH(("F"),(F352))))</formula>
    </cfRule>
  </conditionalFormatting>
  <conditionalFormatting sqref="P352">
    <cfRule type="expression" dxfId="2622" priority="34">
      <formula>AND(ISNUMBER(P352),TRUNC(P352)&lt;TODAY())</formula>
    </cfRule>
  </conditionalFormatting>
  <conditionalFormatting sqref="P352">
    <cfRule type="expression" dxfId="2621" priority="35">
      <formula>P352&lt;44165</formula>
    </cfRule>
  </conditionalFormatting>
  <conditionalFormatting sqref="Q352">
    <cfRule type="expression" dxfId="2620" priority="36">
      <formula>AND(ISNUMBER(Q352),TRUNC(Q352)&lt;TODAY())</formula>
    </cfRule>
  </conditionalFormatting>
  <conditionalFormatting sqref="O352">
    <cfRule type="expression" dxfId="2619" priority="37">
      <formula>AND(ISNUMBER(O352),TRUNC(O352)&lt;TODAY())</formula>
    </cfRule>
  </conditionalFormatting>
  <conditionalFormatting sqref="F351">
    <cfRule type="containsText" dxfId="2618" priority="38" operator="containsText" text="F">
      <formula>NOT(ISERROR(SEARCH(("F"),(F351))))</formula>
    </cfRule>
  </conditionalFormatting>
  <conditionalFormatting sqref="O351:Q351">
    <cfRule type="expression" dxfId="2617" priority="39">
      <formula>AND(ISNUMBER(O351),TRUNC(O351)&lt;TODAY())</formula>
    </cfRule>
  </conditionalFormatting>
  <conditionalFormatting sqref="F350">
    <cfRule type="containsText" dxfId="2616" priority="40" operator="containsText" text="F">
      <formula>NOT(ISERROR(SEARCH(("F"),(F350))))</formula>
    </cfRule>
  </conditionalFormatting>
  <conditionalFormatting sqref="O350:Q350">
    <cfRule type="expression" dxfId="2615" priority="41">
      <formula>AND(ISNUMBER(O350),TRUNC(O350)&lt;TODAY())</formula>
    </cfRule>
  </conditionalFormatting>
  <conditionalFormatting sqref="P349:Q349">
    <cfRule type="expression" dxfId="2614" priority="42">
      <formula>AND(ISNUMBER(P349),TRUNC(P349)&lt;TODAY())</formula>
    </cfRule>
  </conditionalFormatting>
  <conditionalFormatting sqref="F349">
    <cfRule type="containsText" dxfId="2613" priority="43" operator="containsText" text="F">
      <formula>NOT(ISERROR(SEARCH(("F"),(F349))))</formula>
    </cfRule>
  </conditionalFormatting>
  <conditionalFormatting sqref="O349:Q349">
    <cfRule type="expression" dxfId="2612" priority="44">
      <formula>AND(ISNUMBER(O349),TRUNC(O349)&lt;TODAY())</formula>
    </cfRule>
  </conditionalFormatting>
  <conditionalFormatting sqref="F348">
    <cfRule type="containsText" dxfId="2611" priority="45" operator="containsText" text="F">
      <formula>NOT(ISERROR(SEARCH(("F"),(F348))))</formula>
    </cfRule>
  </conditionalFormatting>
  <conditionalFormatting sqref="O348:Q348">
    <cfRule type="expression" dxfId="2610" priority="46">
      <formula>AND(ISNUMBER(O348),TRUNC(O348)&lt;TODAY())</formula>
    </cfRule>
  </conditionalFormatting>
  <conditionalFormatting sqref="O347:Q347">
    <cfRule type="expression" dxfId="2609" priority="47">
      <formula>AND(ISNUMBER(O347),TRUNC(O347)&lt;TODAY())</formula>
    </cfRule>
  </conditionalFormatting>
  <conditionalFormatting sqref="F347">
    <cfRule type="containsText" dxfId="2608" priority="48" operator="containsText" text="F">
      <formula>NOT(ISERROR(SEARCH(("F"),(F347))))</formula>
    </cfRule>
  </conditionalFormatting>
  <conditionalFormatting sqref="F346">
    <cfRule type="containsText" dxfId="2607" priority="49" operator="containsText" text="F">
      <formula>NOT(ISERROR(SEARCH(("F"),(F346))))</formula>
    </cfRule>
  </conditionalFormatting>
  <conditionalFormatting sqref="O346:Q346">
    <cfRule type="expression" dxfId="2606" priority="50">
      <formula>AND(ISNUMBER(O346),TRUNC(O346)&lt;TODAY())</formula>
    </cfRule>
  </conditionalFormatting>
  <conditionalFormatting sqref="O345:Q345">
    <cfRule type="expression" dxfId="2605" priority="51">
      <formula>AND(ISNUMBER(O345),TRUNC(O345)&lt;TODAY())</formula>
    </cfRule>
  </conditionalFormatting>
  <conditionalFormatting sqref="F345">
    <cfRule type="containsText" dxfId="2604" priority="52" operator="containsText" text="F">
      <formula>NOT(ISERROR(SEARCH(("F"),(F345))))</formula>
    </cfRule>
  </conditionalFormatting>
  <conditionalFormatting sqref="F344">
    <cfRule type="containsText" dxfId="2603" priority="53" operator="containsText" text="F">
      <formula>NOT(ISERROR(SEARCH(("F"),(F344))))</formula>
    </cfRule>
  </conditionalFormatting>
  <conditionalFormatting sqref="O344:Q344">
    <cfRule type="expression" dxfId="2602" priority="54">
      <formula>AND(ISNUMBER(O344),TRUNC(O344)&lt;TODAY())</formula>
    </cfRule>
  </conditionalFormatting>
  <conditionalFormatting sqref="F343">
    <cfRule type="containsText" dxfId="2601" priority="55" operator="containsText" text="F">
      <formula>NOT(ISERROR(SEARCH(("F"),(F343))))</formula>
    </cfRule>
  </conditionalFormatting>
  <conditionalFormatting sqref="O343:Q343">
    <cfRule type="expression" dxfId="2600" priority="56">
      <formula>AND(ISNUMBER(O343),TRUNC(O343)&lt;TODAY())</formula>
    </cfRule>
  </conditionalFormatting>
  <conditionalFormatting sqref="O342:Q342">
    <cfRule type="expression" dxfId="2599" priority="57">
      <formula>AND(ISNUMBER(O342),TRUNC(O342)&lt;TODAY())</formula>
    </cfRule>
  </conditionalFormatting>
  <conditionalFormatting sqref="F342">
    <cfRule type="containsText" dxfId="2598" priority="58" operator="containsText" text="F">
      <formula>NOT(ISERROR(SEARCH(("F"),(F342))))</formula>
    </cfRule>
  </conditionalFormatting>
  <conditionalFormatting sqref="O341:Q341">
    <cfRule type="expression" dxfId="2597" priority="59">
      <formula>AND(ISNUMBER(O341),TRUNC(O341)&lt;TODAY())</formula>
    </cfRule>
  </conditionalFormatting>
  <conditionalFormatting sqref="F341">
    <cfRule type="containsText" dxfId="2596" priority="60" operator="containsText" text="F">
      <formula>NOT(ISERROR(SEARCH(("F"),(F341))))</formula>
    </cfRule>
  </conditionalFormatting>
  <conditionalFormatting sqref="F340">
    <cfRule type="containsText" dxfId="2595" priority="61" operator="containsText" text="F">
      <formula>NOT(ISERROR(SEARCH(("F"),(F340))))</formula>
    </cfRule>
  </conditionalFormatting>
  <conditionalFormatting sqref="O340:Q340">
    <cfRule type="expression" dxfId="2594" priority="62">
      <formula>AND(ISNUMBER(O340),TRUNC(O340)&lt;TODAY())</formula>
    </cfRule>
  </conditionalFormatting>
  <conditionalFormatting sqref="O339:Q339">
    <cfRule type="expression" dxfId="2593" priority="63">
      <formula>AND(ISNUMBER(O339),TRUNC(O339)&lt;TODAY())</formula>
    </cfRule>
  </conditionalFormatting>
  <conditionalFormatting sqref="F339">
    <cfRule type="containsText" dxfId="2592" priority="64" operator="containsText" text="F">
      <formula>NOT(ISERROR(SEARCH(("F"),(F339))))</formula>
    </cfRule>
  </conditionalFormatting>
  <conditionalFormatting sqref="P338">
    <cfRule type="expression" dxfId="2591" priority="65">
      <formula>AND(ISNUMBER(P338),TRUNC(P338)&lt;TODAY())</formula>
    </cfRule>
  </conditionalFormatting>
  <conditionalFormatting sqref="O338:Q338">
    <cfRule type="expression" dxfId="2590" priority="66">
      <formula>AND(ISNUMBER(O338),TRUNC(O338)&lt;TODAY())</formula>
    </cfRule>
  </conditionalFormatting>
  <conditionalFormatting sqref="F338">
    <cfRule type="containsText" dxfId="2589" priority="67" operator="containsText" text="F">
      <formula>NOT(ISERROR(SEARCH(("F"),(F338))))</formula>
    </cfRule>
  </conditionalFormatting>
  <conditionalFormatting sqref="O337:Q337">
    <cfRule type="expression" dxfId="2588" priority="68">
      <formula>AND(ISNUMBER(O337),TRUNC(O337)&lt;TODAY())</formula>
    </cfRule>
  </conditionalFormatting>
  <conditionalFormatting sqref="F337">
    <cfRule type="containsText" dxfId="2587" priority="69" operator="containsText" text="F">
      <formula>NOT(ISERROR(SEARCH(("F"),(F337))))</formula>
    </cfRule>
  </conditionalFormatting>
  <conditionalFormatting sqref="O336:Q336">
    <cfRule type="expression" dxfId="2586" priority="70">
      <formula>AND(ISNUMBER(O336),TRUNC(O336)&lt;TODAY())</formula>
    </cfRule>
  </conditionalFormatting>
  <conditionalFormatting sqref="F335">
    <cfRule type="containsText" dxfId="2585" priority="71" operator="containsText" text="F">
      <formula>NOT(ISERROR(SEARCH(("F"),(F335))))</formula>
    </cfRule>
  </conditionalFormatting>
  <conditionalFormatting sqref="F336">
    <cfRule type="containsText" dxfId="2584" priority="72" operator="containsText" text="F">
      <formula>NOT(ISERROR(SEARCH(("F"),(F336))))</formula>
    </cfRule>
  </conditionalFormatting>
  <conditionalFormatting sqref="O334:Q334">
    <cfRule type="expression" dxfId="2583" priority="73">
      <formula>AND(ISNUMBER(O334),TRUNC(O334)&lt;TODAY())</formula>
    </cfRule>
  </conditionalFormatting>
  <conditionalFormatting sqref="O335:Q335">
    <cfRule type="expression" dxfId="2582" priority="74">
      <formula>AND(ISNUMBER(O335),TRUNC(O335)&lt;TODAY())</formula>
    </cfRule>
  </conditionalFormatting>
  <conditionalFormatting sqref="F333">
    <cfRule type="containsText" dxfId="2581" priority="75" operator="containsText" text="F">
      <formula>NOT(ISERROR(SEARCH(("F"),(F333))))</formula>
    </cfRule>
  </conditionalFormatting>
  <conditionalFormatting sqref="F334">
    <cfRule type="containsText" dxfId="2580" priority="76" operator="containsText" text="F">
      <formula>NOT(ISERROR(SEARCH(("F"),(F334))))</formula>
    </cfRule>
  </conditionalFormatting>
  <conditionalFormatting sqref="O333:Q333">
    <cfRule type="expression" dxfId="2579" priority="77">
      <formula>AND(ISNUMBER(O333),TRUNC(O333)&lt;TODAY())</formula>
    </cfRule>
  </conditionalFormatting>
  <conditionalFormatting sqref="O330">
    <cfRule type="expression" dxfId="2578" priority="78">
      <formula>AND(ISNUMBER(O330),TRUNC(O330)&lt;TODAY())</formula>
    </cfRule>
  </conditionalFormatting>
  <conditionalFormatting sqref="Q330">
    <cfRule type="expression" dxfId="2577" priority="79">
      <formula>AND(ISNUMBER(Q330),TRUNC(Q330)&lt;TODAY())</formula>
    </cfRule>
  </conditionalFormatting>
  <conditionalFormatting sqref="P330:Q330">
    <cfRule type="expression" dxfId="2576" priority="80">
      <formula>AND(ISNUMBER(P330),TRUNC(P330)&lt;TODAY())</formula>
    </cfRule>
  </conditionalFormatting>
  <conditionalFormatting sqref="O331:Q331">
    <cfRule type="expression" dxfId="2575" priority="81">
      <formula>AND(ISNUMBER(O331),TRUNC(O331)&lt;TODAY())</formula>
    </cfRule>
  </conditionalFormatting>
  <conditionalFormatting sqref="O332:Q332">
    <cfRule type="expression" dxfId="2574" priority="82">
      <formula>AND(ISNUMBER(O332),TRUNC(O332)&lt;TODAY())</formula>
    </cfRule>
  </conditionalFormatting>
  <conditionalFormatting sqref="F330">
    <cfRule type="containsText" dxfId="2573" priority="83" operator="containsText" text="F">
      <formula>NOT(ISERROR(SEARCH(("F"),(F330))))</formula>
    </cfRule>
  </conditionalFormatting>
  <conditionalFormatting sqref="F331">
    <cfRule type="containsText" dxfId="2572" priority="84" operator="containsText" text="F">
      <formula>NOT(ISERROR(SEARCH(("F"),(F331))))</formula>
    </cfRule>
  </conditionalFormatting>
  <conditionalFormatting sqref="F332">
    <cfRule type="containsText" dxfId="2571" priority="85" operator="containsText" text="F">
      <formula>NOT(ISERROR(SEARCH(("F"),(F332))))</formula>
    </cfRule>
  </conditionalFormatting>
  <conditionalFormatting sqref="O329:Q329">
    <cfRule type="expression" dxfId="2570" priority="86">
      <formula>AND(ISNUMBER(O329),TRUNC(O329)&lt;TODAY())</formula>
    </cfRule>
  </conditionalFormatting>
  <conditionalFormatting sqref="F329">
    <cfRule type="containsText" dxfId="2569" priority="87" operator="containsText" text="F">
      <formula>NOT(ISERROR(SEARCH(("F"),(F329))))</formula>
    </cfRule>
  </conditionalFormatting>
  <conditionalFormatting sqref="O328:Q328">
    <cfRule type="expression" dxfId="2568" priority="88">
      <formula>AND(ISNUMBER(O328),TRUNC(O328)&lt;TODAY())</formula>
    </cfRule>
  </conditionalFormatting>
  <conditionalFormatting sqref="F328">
    <cfRule type="containsText" dxfId="2567" priority="89" operator="containsText" text="F">
      <formula>NOT(ISERROR(SEARCH(("F"),(F328))))</formula>
    </cfRule>
  </conditionalFormatting>
  <conditionalFormatting sqref="P327">
    <cfRule type="expression" dxfId="2566" priority="90">
      <formula>AND(ISNUMBER(P327),TRUNC(P327)&lt;TODAY())</formula>
    </cfRule>
  </conditionalFormatting>
  <conditionalFormatting sqref="P327">
    <cfRule type="expression" dxfId="2565" priority="91">
      <formula>AND(ISNUMBER(P327),TRUNC(P327)&lt;TODAY())</formula>
    </cfRule>
  </conditionalFormatting>
  <conditionalFormatting sqref="P327">
    <cfRule type="expression" dxfId="2564" priority="92">
      <formula>AND(ISNUMBER(P327),TRUNC(P327)&lt;TODAY())</formula>
    </cfRule>
  </conditionalFormatting>
  <conditionalFormatting sqref="Q327">
    <cfRule type="expression" dxfId="2563" priority="93">
      <formula>AND(ISNUMBER(Q327),TRUNC(Q327)&lt;TODAY())</formula>
    </cfRule>
  </conditionalFormatting>
  <conditionalFormatting sqref="O327">
    <cfRule type="expression" dxfId="2562" priority="94">
      <formula>AND(ISNUMBER(O327),TRUNC(O327)&lt;TODAY())</formula>
    </cfRule>
  </conditionalFormatting>
  <conditionalFormatting sqref="F327">
    <cfRule type="containsText" dxfId="2561" priority="95" operator="containsText" text="F">
      <formula>NOT(ISERROR(SEARCH(("F"),(F327))))</formula>
    </cfRule>
  </conditionalFormatting>
  <conditionalFormatting sqref="F231">
    <cfRule type="containsText" dxfId="2560" priority="96" operator="containsText" text="F">
      <formula>NOT(ISERROR(SEARCH(("F"),(F231))))</formula>
    </cfRule>
  </conditionalFormatting>
  <conditionalFormatting sqref="P231">
    <cfRule type="expression" dxfId="2559" priority="97">
      <formula>AND(ISNUMBER(P231),TRUNC(P231)&lt;TODAY())</formula>
    </cfRule>
  </conditionalFormatting>
  <conditionalFormatting sqref="Q231">
    <cfRule type="expression" dxfId="2558" priority="98">
      <formula>AND(ISNUMBER(Q231),TRUNC(Q231)&lt;TODAY())</formula>
    </cfRule>
  </conditionalFormatting>
  <conditionalFormatting sqref="O231">
    <cfRule type="expression" dxfId="2557" priority="99">
      <formula>AND(ISNUMBER(O231),TRUNC(O231)&lt;TODAY())</formula>
    </cfRule>
  </conditionalFormatting>
  <conditionalFormatting sqref="F232">
    <cfRule type="containsText" dxfId="2556" priority="100" operator="containsText" text="F">
      <formula>NOT(ISERROR(SEARCH(("F"),(F232))))</formula>
    </cfRule>
  </conditionalFormatting>
  <conditionalFormatting sqref="O232">
    <cfRule type="expression" dxfId="2555" priority="101">
      <formula>AND(ISNUMBER(O232),TRUNC(O232)&lt;TODAY())</formula>
    </cfRule>
  </conditionalFormatting>
  <conditionalFormatting sqref="Q232">
    <cfRule type="expression" dxfId="2554" priority="102">
      <formula>AND(ISNUMBER(Q232),TRUNC(Q232)&lt;TODAY())</formula>
    </cfRule>
  </conditionalFormatting>
  <conditionalFormatting sqref="P232">
    <cfRule type="expression" dxfId="2553" priority="103">
      <formula>AND(ISNUMBER(P232),TRUNC(P232)&lt;TODAY())</formula>
    </cfRule>
  </conditionalFormatting>
  <conditionalFormatting sqref="P232">
    <cfRule type="expression" dxfId="2552" priority="104">
      <formula>AND(ISNUMBER(P232),TRUNC(P232)&lt;TODAY())</formula>
    </cfRule>
  </conditionalFormatting>
  <conditionalFormatting sqref="P232">
    <cfRule type="expression" dxfId="2551" priority="105">
      <formula>P232&lt;44165</formula>
    </cfRule>
  </conditionalFormatting>
  <conditionalFormatting sqref="F230">
    <cfRule type="containsText" dxfId="2550" priority="106" operator="containsText" text="F">
      <formula>NOT(ISERROR(SEARCH(("F"),(F230))))</formula>
    </cfRule>
  </conditionalFormatting>
  <conditionalFormatting sqref="O230:Q230">
    <cfRule type="expression" dxfId="2549" priority="107">
      <formula>AND(ISNUMBER(O230),TRUNC(O230)&lt;TODAY())</formula>
    </cfRule>
  </conditionalFormatting>
  <conditionalFormatting sqref="F326">
    <cfRule type="containsText" dxfId="2548" priority="108" operator="containsText" text="F">
      <formula>NOT(ISERROR(SEARCH(("F"),(F326))))</formula>
    </cfRule>
  </conditionalFormatting>
  <conditionalFormatting sqref="O326:Q326">
    <cfRule type="expression" dxfId="2547" priority="109">
      <formula>AND(ISNUMBER(O326),TRUNC(O326)&lt;TODAY())</formula>
    </cfRule>
  </conditionalFormatting>
  <conditionalFormatting sqref="F325">
    <cfRule type="containsText" dxfId="2546" priority="110" operator="containsText" text="F">
      <formula>NOT(ISERROR(SEARCH(("F"),(F325))))</formula>
    </cfRule>
  </conditionalFormatting>
  <conditionalFormatting sqref="P325">
    <cfRule type="expression" dxfId="2545" priority="111">
      <formula>AND(ISNUMBER(P325),TRUNC(P325)&lt;TODAY())</formula>
    </cfRule>
  </conditionalFormatting>
  <conditionalFormatting sqref="O325">
    <cfRule type="expression" dxfId="2544" priority="112">
      <formula>AND(ISNUMBER(O325),TRUNC(O325)&lt;TODAY())</formula>
    </cfRule>
  </conditionalFormatting>
  <conditionalFormatting sqref="Q325">
    <cfRule type="expression" dxfId="2543" priority="113">
      <formula>AND(ISNUMBER(Q325),TRUNC(Q325)&lt;TODAY())</formula>
    </cfRule>
  </conditionalFormatting>
  <conditionalFormatting sqref="O381:Q381">
    <cfRule type="expression" dxfId="2542" priority="114">
      <formula>AND(ISNUMBER(O381),TRUNC(O381)&lt;TODAY())</formula>
    </cfRule>
  </conditionalFormatting>
  <conditionalFormatting sqref="F381:F382">
    <cfRule type="containsText" dxfId="2541" priority="115" operator="containsText" text="F">
      <formula>NOT(ISERROR(SEARCH(("F"),(F381))))</formula>
    </cfRule>
  </conditionalFormatting>
  <conditionalFormatting sqref="O380:Q380">
    <cfRule type="expression" dxfId="2540" priority="116">
      <formula>AND(ISNUMBER(O380),TRUNC(O380)&lt;TODAY())</formula>
    </cfRule>
  </conditionalFormatting>
  <conditionalFormatting sqref="F380">
    <cfRule type="containsText" dxfId="2539" priority="117" operator="containsText" text="F">
      <formula>NOT(ISERROR(SEARCH(("F"),(F380))))</formula>
    </cfRule>
  </conditionalFormatting>
  <conditionalFormatting sqref="O377:Q377">
    <cfRule type="expression" dxfId="2538" priority="118">
      <formula>AND(ISNUMBER(O377),TRUNC(O377)&lt;TODAY())</formula>
    </cfRule>
  </conditionalFormatting>
  <conditionalFormatting sqref="O378:Q378">
    <cfRule type="expression" dxfId="2537" priority="119">
      <formula>AND(ISNUMBER(O378),TRUNC(O378)&lt;TODAY())</formula>
    </cfRule>
  </conditionalFormatting>
  <conditionalFormatting sqref="P379">
    <cfRule type="expression" dxfId="2536" priority="120">
      <formula>AND(ISNUMBER(P379),TRUNC(P379)&lt;TODAY())</formula>
    </cfRule>
  </conditionalFormatting>
  <conditionalFormatting sqref="Q379">
    <cfRule type="expression" dxfId="2535" priority="121">
      <formula>AND(ISNUMBER(Q379),TRUNC(Q379)&lt;TODAY())</formula>
    </cfRule>
  </conditionalFormatting>
  <conditionalFormatting sqref="F378">
    <cfRule type="containsText" dxfId="2534" priority="122" operator="containsText" text="F">
      <formula>NOT(ISERROR(SEARCH(("F"),(F378))))</formula>
    </cfRule>
  </conditionalFormatting>
  <conditionalFormatting sqref="F379">
    <cfRule type="containsText" dxfId="2533" priority="123" operator="containsText" text="F">
      <formula>NOT(ISERROR(SEARCH(("F"),(F379))))</formula>
    </cfRule>
  </conditionalFormatting>
  <conditionalFormatting sqref="F377">
    <cfRule type="containsText" dxfId="2532" priority="124" operator="containsText" text="F">
      <formula>NOT(ISERROR(SEARCH(("F"),(F377))))</formula>
    </cfRule>
  </conditionalFormatting>
  <conditionalFormatting sqref="P324:Q324">
    <cfRule type="expression" dxfId="2531" priority="125">
      <formula>AND(ISNUMBER(P324),TRUNC(P324)&lt;TODAY())</formula>
    </cfRule>
  </conditionalFormatting>
  <conditionalFormatting sqref="F324">
    <cfRule type="containsText" dxfId="2530" priority="126" operator="containsText" text="F">
      <formula>NOT(ISERROR(SEARCH(("F"),(F324))))</formula>
    </cfRule>
  </conditionalFormatting>
  <conditionalFormatting sqref="O373:Q373">
    <cfRule type="expression" dxfId="2529" priority="127">
      <formula>AND(ISNUMBER(O373),TRUNC(O373)&lt;TODAY())</formula>
    </cfRule>
  </conditionalFormatting>
  <conditionalFormatting sqref="O372:Q372">
    <cfRule type="expression" dxfId="2528" priority="128">
      <formula>AND(ISNUMBER(O372),TRUNC(O372)&lt;TODAY())</formula>
    </cfRule>
  </conditionalFormatting>
  <conditionalFormatting sqref="L373 L376">
    <cfRule type="expression" dxfId="2527" priority="129">
      <formula>AND(ISNUMBER(L373),TRUNC(L373)&lt;TODAY())</formula>
    </cfRule>
  </conditionalFormatting>
  <conditionalFormatting sqref="O376:Q376">
    <cfRule type="expression" dxfId="2526" priority="130">
      <formula>AND(ISNUMBER(O376),TRUNC(O376)&lt;TODAY())</formula>
    </cfRule>
  </conditionalFormatting>
  <conditionalFormatting sqref="O364:Q364">
    <cfRule type="expression" dxfId="2525" priority="131">
      <formula>AND(ISNUMBER(O364),TRUNC(O364)&lt;TODAY())</formula>
    </cfRule>
  </conditionalFormatting>
  <conditionalFormatting sqref="O365:Q365">
    <cfRule type="expression" dxfId="2524" priority="132">
      <formula>AND(ISNUMBER(O365),TRUNC(O365)&lt;TODAY())</formula>
    </cfRule>
  </conditionalFormatting>
  <conditionalFormatting sqref="O366:Q366">
    <cfRule type="expression" dxfId="2523" priority="133">
      <formula>AND(ISNUMBER(O366),TRUNC(O366)&lt;TODAY())</formula>
    </cfRule>
  </conditionalFormatting>
  <conditionalFormatting sqref="O367">
    <cfRule type="expression" dxfId="2522" priority="134">
      <formula>AND(ISNUMBER(O367),TRUNC(O367)&lt;TODAY())</formula>
    </cfRule>
  </conditionalFormatting>
  <conditionalFormatting sqref="P367">
    <cfRule type="expression" dxfId="2521" priority="135">
      <formula>AND(ISNUMBER(P367),TRUNC(P367)&lt;TODAY())</formula>
    </cfRule>
  </conditionalFormatting>
  <conditionalFormatting sqref="P367">
    <cfRule type="expression" dxfId="2520" priority="136">
      <formula>P367&lt;44043</formula>
    </cfRule>
  </conditionalFormatting>
  <conditionalFormatting sqref="Q367">
    <cfRule type="expression" dxfId="2519" priority="137">
      <formula>AND(ISNUMBER(Q367),TRUNC(Q367)&lt;TODAY())</formula>
    </cfRule>
  </conditionalFormatting>
  <conditionalFormatting sqref="O370:Q370">
    <cfRule type="expression" dxfId="2518" priority="138">
      <formula>AND(ISNUMBER(O370),TRUNC(O370)&lt;TODAY())</formula>
    </cfRule>
  </conditionalFormatting>
  <conditionalFormatting sqref="O371:Q371">
    <cfRule type="expression" dxfId="2517" priority="139">
      <formula>AND(ISNUMBER(O371),TRUNC(O371)&lt;TODAY())</formula>
    </cfRule>
  </conditionalFormatting>
  <conditionalFormatting sqref="P371">
    <cfRule type="expression" dxfId="2516" priority="140">
      <formula>AND(ISNUMBER(P371),TRUNC(P371)&lt;TODAY())</formula>
    </cfRule>
  </conditionalFormatting>
  <conditionalFormatting sqref="O374:Q374">
    <cfRule type="expression" dxfId="2515" priority="141">
      <formula>AND(ISNUMBER(O374),TRUNC(O374)&lt;TODAY())</formula>
    </cfRule>
  </conditionalFormatting>
  <conditionalFormatting sqref="O363:Q363">
    <cfRule type="expression" dxfId="2514" priority="142">
      <formula>AND(ISNUMBER(O363),TRUNC(O363)&lt;TODAY())</formula>
    </cfRule>
  </conditionalFormatting>
  <conditionalFormatting sqref="O368:Q368">
    <cfRule type="expression" dxfId="2513" priority="143">
      <formula>AND(ISNUMBER(O368),TRUNC(O368)&lt;TODAY())</formula>
    </cfRule>
  </conditionalFormatting>
  <conditionalFormatting sqref="O369:Q369">
    <cfRule type="expression" dxfId="2512" priority="144">
      <formula>AND(ISNUMBER(O369),TRUNC(O369)&lt;TODAY())</formula>
    </cfRule>
  </conditionalFormatting>
  <conditionalFormatting sqref="F363">
    <cfRule type="containsText" dxfId="2511" priority="145" operator="containsText" text="F">
      <formula>NOT(ISERROR(SEARCH(("F"),(F363))))</formula>
    </cfRule>
  </conditionalFormatting>
  <conditionalFormatting sqref="F364">
    <cfRule type="containsText" dxfId="2510" priority="146" operator="containsText" text="F">
      <formula>NOT(ISERROR(SEARCH(("F"),(F364))))</formula>
    </cfRule>
  </conditionalFormatting>
  <conditionalFormatting sqref="F365">
    <cfRule type="containsText" dxfId="2509" priority="147" operator="containsText" text="F">
      <formula>NOT(ISERROR(SEARCH(("F"),(F365))))</formula>
    </cfRule>
  </conditionalFormatting>
  <conditionalFormatting sqref="F366">
    <cfRule type="containsText" dxfId="2508" priority="148" operator="containsText" text="F">
      <formula>NOT(ISERROR(SEARCH(("F"),(F366))))</formula>
    </cfRule>
  </conditionalFormatting>
  <conditionalFormatting sqref="F367">
    <cfRule type="containsText" dxfId="2507" priority="149" operator="containsText" text="F">
      <formula>NOT(ISERROR(SEARCH(("F"),(F367))))</formula>
    </cfRule>
  </conditionalFormatting>
  <conditionalFormatting sqref="F368">
    <cfRule type="containsText" dxfId="2506" priority="150" operator="containsText" text="F">
      <formula>NOT(ISERROR(SEARCH(("F"),(F368))))</formula>
    </cfRule>
  </conditionalFormatting>
  <conditionalFormatting sqref="F369">
    <cfRule type="containsText" dxfId="2505" priority="151" operator="containsText" text="F">
      <formula>NOT(ISERROR(SEARCH(("F"),(F369))))</formula>
    </cfRule>
  </conditionalFormatting>
  <conditionalFormatting sqref="F370">
    <cfRule type="containsText" dxfId="2504" priority="152" operator="containsText" text="F">
      <formula>NOT(ISERROR(SEARCH(("F"),(F370))))</formula>
    </cfRule>
  </conditionalFormatting>
  <conditionalFormatting sqref="F373">
    <cfRule type="containsText" dxfId="2503" priority="153" operator="containsText" text="F">
      <formula>NOT(ISERROR(SEARCH(("F"),(F373))))</formula>
    </cfRule>
  </conditionalFormatting>
  <conditionalFormatting sqref="F371">
    <cfRule type="containsText" dxfId="2502" priority="154" operator="containsText" text="F">
      <formula>NOT(ISERROR(SEARCH(("F"),(F371))))</formula>
    </cfRule>
  </conditionalFormatting>
  <conditionalFormatting sqref="F376">
    <cfRule type="containsText" dxfId="2501" priority="155" operator="containsText" text="F">
      <formula>NOT(ISERROR(SEARCH(("F"),(F376))))</formula>
    </cfRule>
  </conditionalFormatting>
  <conditionalFormatting sqref="F372">
    <cfRule type="containsText" dxfId="2500" priority="156" operator="containsText" text="F">
      <formula>NOT(ISERROR(SEARCH(("F"),(F372))))</formula>
    </cfRule>
  </conditionalFormatting>
  <conditionalFormatting sqref="F375">
    <cfRule type="containsText" dxfId="2499" priority="157" operator="containsText" text="F">
      <formula>NOT(ISERROR(SEARCH(("F"),(F375))))</formula>
    </cfRule>
  </conditionalFormatting>
  <conditionalFormatting sqref="O375:Q375">
    <cfRule type="expression" dxfId="2498" priority="158">
      <formula>AND(ISNUMBER(O375),TRUNC(O375)&lt;TODAY())</formula>
    </cfRule>
  </conditionalFormatting>
  <conditionalFormatting sqref="F374">
    <cfRule type="containsText" dxfId="2497" priority="159" operator="containsText" text="F">
      <formula>NOT(ISERROR(SEARCH(("F"),(F374))))</formula>
    </cfRule>
  </conditionalFormatting>
  <conditionalFormatting sqref="O323:Q323">
    <cfRule type="expression" dxfId="2496" priority="160">
      <formula>AND(ISNUMBER(O323),TRUNC(O323)&lt;TODAY())</formula>
    </cfRule>
  </conditionalFormatting>
  <conditionalFormatting sqref="F323">
    <cfRule type="containsText" dxfId="2495" priority="161" operator="containsText" text="F">
      <formula>NOT(ISERROR(SEARCH(("F"),(F323))))</formula>
    </cfRule>
  </conditionalFormatting>
  <conditionalFormatting sqref="O322">
    <cfRule type="expression" dxfId="2494" priority="162">
      <formula>AND(ISNUMBER(O322),TRUNC(O322)&lt;TODAY())</formula>
    </cfRule>
  </conditionalFormatting>
  <conditionalFormatting sqref="P322:Q322">
    <cfRule type="expression" dxfId="2493" priority="163">
      <formula>AND(ISNUMBER(P322),TRUNC(P322)&lt;TODAY())</formula>
    </cfRule>
  </conditionalFormatting>
  <conditionalFormatting sqref="P322">
    <cfRule type="expression" dxfId="2492" priority="164">
      <formula>AND(ISNUMBER(P322),TRUNC(P322)&lt;TODAY())</formula>
    </cfRule>
  </conditionalFormatting>
  <conditionalFormatting sqref="F322">
    <cfRule type="containsText" dxfId="2491" priority="165" operator="containsText" text="F">
      <formula>NOT(ISERROR(SEARCH(("F"),(F322))))</formula>
    </cfRule>
  </conditionalFormatting>
  <conditionalFormatting sqref="F321">
    <cfRule type="containsText" dxfId="2490" priority="166" operator="containsText" text="F">
      <formula>NOT(ISERROR(SEARCH(("F"),(F321))))</formula>
    </cfRule>
  </conditionalFormatting>
  <conditionalFormatting sqref="O321">
    <cfRule type="expression" dxfId="2489" priority="167">
      <formula>AND(ISNUMBER(O321),TRUNC(O321)&lt;TODAY())</formula>
    </cfRule>
  </conditionalFormatting>
  <conditionalFormatting sqref="Q321">
    <cfRule type="expression" dxfId="2488" priority="168">
      <formula>AND(ISNUMBER(Q321),TRUNC(Q321)&lt;TODAY())</formula>
    </cfRule>
  </conditionalFormatting>
  <conditionalFormatting sqref="P321">
    <cfRule type="expression" dxfId="2487" priority="169">
      <formula>AND(ISNUMBER(P321),TRUNC(P321)&lt;TODAY())</formula>
    </cfRule>
  </conditionalFormatting>
  <conditionalFormatting sqref="F319">
    <cfRule type="containsText" dxfId="2486" priority="170" operator="containsText" text="F">
      <formula>NOT(ISERROR(SEARCH(("F"),(F319))))</formula>
    </cfRule>
  </conditionalFormatting>
  <conditionalFormatting sqref="F320">
    <cfRule type="containsText" dxfId="2485" priority="171" operator="containsText" text="F">
      <formula>NOT(ISERROR(SEARCH(("F"),(F320))))</formula>
    </cfRule>
  </conditionalFormatting>
  <conditionalFormatting sqref="O319:Q319">
    <cfRule type="expression" dxfId="2484" priority="172">
      <formula>AND(ISNUMBER(O319),TRUNC(O319)&lt;TODAY())</formula>
    </cfRule>
  </conditionalFormatting>
  <conditionalFormatting sqref="O320:Q320">
    <cfRule type="expression" dxfId="2483" priority="173">
      <formula>AND(ISNUMBER(O320),TRUNC(O320)&lt;TODAY())</formula>
    </cfRule>
  </conditionalFormatting>
  <conditionalFormatting sqref="F318">
    <cfRule type="containsText" dxfId="2482" priority="174" operator="containsText" text="F">
      <formula>NOT(ISERROR(SEARCH(("F"),(F318))))</formula>
    </cfRule>
  </conditionalFormatting>
  <conditionalFormatting sqref="O318:Q318">
    <cfRule type="expression" dxfId="2481" priority="175">
      <formula>AND(ISNUMBER(O318),TRUNC(O318)&lt;TODAY())</formula>
    </cfRule>
  </conditionalFormatting>
  <conditionalFormatting sqref="Q317">
    <cfRule type="expression" dxfId="2480" priority="176">
      <formula>AND(ISNUMBER(Q317),TRUNC(Q317)&lt;TODAY())</formula>
    </cfRule>
  </conditionalFormatting>
  <conditionalFormatting sqref="P317">
    <cfRule type="expression" dxfId="2479" priority="177">
      <formula>AND(ISNUMBER(P317),TRUNC(P317)&lt;TODAY())</formula>
    </cfRule>
  </conditionalFormatting>
  <conditionalFormatting sqref="F317">
    <cfRule type="containsText" dxfId="2478" priority="178" operator="containsText" text="F">
      <formula>NOT(ISERROR(SEARCH(("F"),(F317))))</formula>
    </cfRule>
  </conditionalFormatting>
  <conditionalFormatting sqref="O317">
    <cfRule type="expression" dxfId="2477" priority="179">
      <formula>AND(ISNUMBER(O317),TRUNC(O317)&lt;TODAY())</formula>
    </cfRule>
  </conditionalFormatting>
  <conditionalFormatting sqref="P316">
    <cfRule type="expression" dxfId="2476" priority="180">
      <formula>AND(ISNUMBER(P316),TRUNC(P316)&lt;TODAY())</formula>
    </cfRule>
  </conditionalFormatting>
  <conditionalFormatting sqref="P316">
    <cfRule type="expression" dxfId="2475" priority="181">
      <formula>AND(ISNUMBER(P316),TRUNC(P316)&lt;TODAY())</formula>
    </cfRule>
  </conditionalFormatting>
  <conditionalFormatting sqref="O316">
    <cfRule type="expression" dxfId="2474" priority="182">
      <formula>AND(ISNUMBER(O316),TRUNC(O316)&lt;TODAY())</formula>
    </cfRule>
  </conditionalFormatting>
  <conditionalFormatting sqref="P316:Q316">
    <cfRule type="expression" dxfId="2473" priority="183">
      <formula>AND(ISNUMBER(P316),TRUNC(P316)&lt;TODAY())</formula>
    </cfRule>
  </conditionalFormatting>
  <conditionalFormatting sqref="F316">
    <cfRule type="containsText" dxfId="2472" priority="184" operator="containsText" text="F">
      <formula>NOT(ISERROR(SEARCH(("F"),(F316))))</formula>
    </cfRule>
  </conditionalFormatting>
  <conditionalFormatting sqref="V316">
    <cfRule type="notContainsBlanks" dxfId="2471" priority="185">
      <formula>LEN(TRIM(V316))&gt;0</formula>
    </cfRule>
  </conditionalFormatting>
  <conditionalFormatting sqref="F314">
    <cfRule type="containsText" dxfId="2470" priority="186" operator="containsText" text="F">
      <formula>NOT(ISERROR(SEARCH(("F"),(F314))))</formula>
    </cfRule>
  </conditionalFormatting>
  <conditionalFormatting sqref="O314">
    <cfRule type="expression" dxfId="2469" priority="187">
      <formula>AND(ISNUMBER(O314),TRUNC(O314)&lt;TODAY())</formula>
    </cfRule>
  </conditionalFormatting>
  <conditionalFormatting sqref="P314">
    <cfRule type="expression" dxfId="2468" priority="188">
      <formula>AND(ISNUMBER(P314),TRUNC(P314)&lt;TODAY())</formula>
    </cfRule>
  </conditionalFormatting>
  <conditionalFormatting sqref="Q314">
    <cfRule type="expression" dxfId="2467" priority="189">
      <formula>AND(ISNUMBER(Q314),TRUNC(Q314)&lt;TODAY())</formula>
    </cfRule>
  </conditionalFormatting>
  <conditionalFormatting sqref="O313:Q313">
    <cfRule type="expression" dxfId="2466" priority="190">
      <formula>AND(ISNUMBER(O313),TRUNC(O313)&lt;TODAY())</formula>
    </cfRule>
  </conditionalFormatting>
  <conditionalFormatting sqref="F313">
    <cfRule type="containsText" dxfId="2465" priority="191" operator="containsText" text="F">
      <formula>NOT(ISERROR(SEARCH(("F"),(F313))))</formula>
    </cfRule>
  </conditionalFormatting>
  <conditionalFormatting sqref="F315">
    <cfRule type="containsText" dxfId="2464" priority="192" operator="containsText" text="F">
      <formula>NOT(ISERROR(SEARCH(("F"),(F315))))</formula>
    </cfRule>
  </conditionalFormatting>
  <conditionalFormatting sqref="O315:Q315">
    <cfRule type="expression" dxfId="2463" priority="193">
      <formula>AND(ISNUMBER(O315),TRUNC(O315)&lt;TODAY())</formula>
    </cfRule>
  </conditionalFormatting>
  <conditionalFormatting sqref="Q312">
    <cfRule type="expression" dxfId="2462" priority="194">
      <formula>AND(ISNUMBER(Q312),TRUNC(Q312)&lt;TODAY())</formula>
    </cfRule>
  </conditionalFormatting>
  <conditionalFormatting sqref="P312">
    <cfRule type="expression" dxfId="2461" priority="195">
      <formula>AND(ISNUMBER(P312),TRUNC(P312)&lt;TODAY())</formula>
    </cfRule>
  </conditionalFormatting>
  <conditionalFormatting sqref="F312">
    <cfRule type="containsText" dxfId="2460" priority="196" operator="containsText" text="F">
      <formula>NOT(ISERROR(SEARCH(("F"),(F312))))</formula>
    </cfRule>
  </conditionalFormatting>
  <conditionalFormatting sqref="O312">
    <cfRule type="expression" dxfId="2459" priority="197">
      <formula>AND(ISNUMBER(O312),TRUNC(O312)&lt;TODAY())</formula>
    </cfRule>
  </conditionalFormatting>
  <conditionalFormatting sqref="F311">
    <cfRule type="containsText" dxfId="2458" priority="198" operator="containsText" text="F">
      <formula>NOT(ISERROR(SEARCH(("F"),(F311))))</formula>
    </cfRule>
  </conditionalFormatting>
  <conditionalFormatting sqref="P311">
    <cfRule type="expression" dxfId="2457" priority="199">
      <formula>AND(ISNUMBER(P311),TRUNC(P311)&lt;TODAY())</formula>
    </cfRule>
  </conditionalFormatting>
  <conditionalFormatting sqref="Q311">
    <cfRule type="expression" dxfId="2456" priority="200">
      <formula>AND(ISNUMBER(Q311),TRUNC(Q311)&lt;TODAY())</formula>
    </cfRule>
  </conditionalFormatting>
  <conditionalFormatting sqref="O311">
    <cfRule type="expression" dxfId="2455" priority="201">
      <formula>AND(ISNUMBER(O311),TRUNC(O311)&lt;TODAY())</formula>
    </cfRule>
  </conditionalFormatting>
  <conditionalFormatting sqref="Q310">
    <cfRule type="expression" dxfId="2454" priority="202">
      <formula>AND(ISNUMBER(Q310),TRUNC(Q310)&lt;TODAY())</formula>
    </cfRule>
  </conditionalFormatting>
  <conditionalFormatting sqref="O310">
    <cfRule type="expression" dxfId="2453" priority="203">
      <formula>AND(ISNUMBER(O310),TRUNC(O310)&lt;TODAY())</formula>
    </cfRule>
  </conditionalFormatting>
  <conditionalFormatting sqref="F310">
    <cfRule type="containsText" dxfId="2452" priority="204" operator="containsText" text="F">
      <formula>NOT(ISERROR(SEARCH(("F"),(F310))))</formula>
    </cfRule>
  </conditionalFormatting>
  <conditionalFormatting sqref="P310">
    <cfRule type="expression" dxfId="2451" priority="205">
      <formula>AND(ISNUMBER(P310),TRUNC(P310)&lt;TODAY())</formula>
    </cfRule>
  </conditionalFormatting>
  <conditionalFormatting sqref="O309">
    <cfRule type="expression" dxfId="2450" priority="206">
      <formula>AND(ISNUMBER(O309),TRUNC(O309)&lt;TODAY())</formula>
    </cfRule>
  </conditionalFormatting>
  <conditionalFormatting sqref="P309">
    <cfRule type="expression" dxfId="2449" priority="207">
      <formula>AND(ISNUMBER(P309),TRUNC(P309)&lt;TODAY())</formula>
    </cfRule>
  </conditionalFormatting>
  <conditionalFormatting sqref="F309">
    <cfRule type="containsText" dxfId="2448" priority="208" operator="containsText" text="F">
      <formula>NOT(ISERROR(SEARCH(("F"),(F309))))</formula>
    </cfRule>
  </conditionalFormatting>
  <conditionalFormatting sqref="O229">
    <cfRule type="expression" dxfId="2447" priority="209">
      <formula>AND(ISNUMBER(O229),TRUNC(O229)&lt;TODAY())</formula>
    </cfRule>
  </conditionalFormatting>
  <conditionalFormatting sqref="Q229">
    <cfRule type="expression" dxfId="2446" priority="210">
      <formula>AND(ISNUMBER(Q229),TRUNC(Q229)&lt;TODAY())</formula>
    </cfRule>
  </conditionalFormatting>
  <conditionalFormatting sqref="P229">
    <cfRule type="expression" dxfId="2445" priority="211">
      <formula>AND(ISNUMBER(P229),TRUNC(P229)&lt;TODAY())</formula>
    </cfRule>
  </conditionalFormatting>
  <conditionalFormatting sqref="F229">
    <cfRule type="containsText" dxfId="2444" priority="212" operator="containsText" text="F">
      <formula>NOT(ISERROR(SEARCH(("F"),(F229))))</formula>
    </cfRule>
  </conditionalFormatting>
  <conditionalFormatting sqref="O227">
    <cfRule type="expression" dxfId="2443" priority="213">
      <formula>AND(ISNUMBER(O227),TRUNC(O227)&lt;TODAY())</formula>
    </cfRule>
  </conditionalFormatting>
  <conditionalFormatting sqref="P227:Q227">
    <cfRule type="expression" dxfId="2442" priority="214">
      <formula>AND(ISNUMBER(P227),TRUNC(P227)&lt;TODAY())</formula>
    </cfRule>
  </conditionalFormatting>
  <conditionalFormatting sqref="P227">
    <cfRule type="expression" dxfId="2441" priority="215">
      <formula>AND(ISNUMBER(P227),TRUNC(P227)&lt;TODAY())</formula>
    </cfRule>
  </conditionalFormatting>
  <conditionalFormatting sqref="F227">
    <cfRule type="containsText" dxfId="2440" priority="216" operator="containsText" text="F">
      <formula>NOT(ISERROR(SEARCH(("F"),(F227))))</formula>
    </cfRule>
  </conditionalFormatting>
  <conditionalFormatting sqref="F228">
    <cfRule type="containsText" dxfId="2439" priority="217" operator="containsText" text="F">
      <formula>NOT(ISERROR(SEARCH(("F"),(F228))))</formula>
    </cfRule>
  </conditionalFormatting>
  <conditionalFormatting sqref="P228">
    <cfRule type="expression" dxfId="2438" priority="218">
      <formula>AND(ISNUMBER(P228),TRUNC(P228)&lt;TODAY())</formula>
    </cfRule>
  </conditionalFormatting>
  <conditionalFormatting sqref="Q228">
    <cfRule type="expression" dxfId="2437" priority="219">
      <formula>AND(ISNUMBER(Q228),TRUNC(Q228)&lt;TODAY())</formula>
    </cfRule>
  </conditionalFormatting>
  <conditionalFormatting sqref="O228">
    <cfRule type="expression" dxfId="2436" priority="220">
      <formula>AND(ISNUMBER(O228),TRUNC(O228)&lt;TODAY())</formula>
    </cfRule>
  </conditionalFormatting>
  <conditionalFormatting sqref="F226">
    <cfRule type="containsText" dxfId="2435" priority="221" operator="containsText" text="F">
      <formula>NOT(ISERROR(SEARCH(("F"),(F226))))</formula>
    </cfRule>
  </conditionalFormatting>
  <conditionalFormatting sqref="O226:Q226">
    <cfRule type="expression" dxfId="2434" priority="222">
      <formula>AND(ISNUMBER(O226),TRUNC(O226)&lt;TODAY())</formula>
    </cfRule>
  </conditionalFormatting>
  <conditionalFormatting sqref="P224">
    <cfRule type="expression" dxfId="2433" priority="223">
      <formula>P224&lt;44043</formula>
    </cfRule>
  </conditionalFormatting>
  <conditionalFormatting sqref="P224">
    <cfRule type="expression" dxfId="2432" priority="224">
      <formula>AND(ISNUMBER(P224),TRUNC(P224)&lt;TODAY())</formula>
    </cfRule>
  </conditionalFormatting>
  <conditionalFormatting sqref="Q224">
    <cfRule type="expression" dxfId="2431" priority="225">
      <formula>AND(ISNUMBER(Q224),TRUNC(Q224)&lt;TODAY())</formula>
    </cfRule>
  </conditionalFormatting>
  <conditionalFormatting sqref="O224">
    <cfRule type="expression" dxfId="2430" priority="226">
      <formula>AND(ISNUMBER(O224),TRUNC(O224)&lt;TODAY())</formula>
    </cfRule>
  </conditionalFormatting>
  <conditionalFormatting sqref="F224">
    <cfRule type="containsText" dxfId="2429" priority="227" operator="containsText" text="F">
      <formula>NOT(ISERROR(SEARCH(("F"),(F224))))</formula>
    </cfRule>
  </conditionalFormatting>
  <conditionalFormatting sqref="O223">
    <cfRule type="expression" dxfId="2428" priority="228">
      <formula>AND(ISNUMBER(O223),TRUNC(O223)&lt;TODAY())</formula>
    </cfRule>
  </conditionalFormatting>
  <conditionalFormatting sqref="Q223">
    <cfRule type="expression" dxfId="2427" priority="229">
      <formula>AND(ISNUMBER(Q223),TRUNC(Q223)&lt;TODAY())</formula>
    </cfRule>
  </conditionalFormatting>
  <conditionalFormatting sqref="P223">
    <cfRule type="expression" dxfId="2426" priority="230">
      <formula>AND(ISNUMBER(P223),TRUNC(P223)&lt;TODAY())</formula>
    </cfRule>
  </conditionalFormatting>
  <conditionalFormatting sqref="F223">
    <cfRule type="containsText" dxfId="2425" priority="231" operator="containsText" text="F">
      <formula>NOT(ISERROR(SEARCH(("F"),(F223))))</formula>
    </cfRule>
  </conditionalFormatting>
  <conditionalFormatting sqref="O222:Q222">
    <cfRule type="expression" dxfId="2424" priority="232">
      <formula>AND(ISNUMBER(O222),TRUNC(O222)&lt;TODAY())</formula>
    </cfRule>
  </conditionalFormatting>
  <conditionalFormatting sqref="F222">
    <cfRule type="containsText" dxfId="2423" priority="233" operator="containsText" text="F">
      <formula>NOT(ISERROR(SEARCH(("F"),(F222))))</formula>
    </cfRule>
  </conditionalFormatting>
  <conditionalFormatting sqref="F221">
    <cfRule type="containsText" dxfId="2422" priority="234" operator="containsText" text="F">
      <formula>NOT(ISERROR(SEARCH(("F"),(F221))))</formula>
    </cfRule>
  </conditionalFormatting>
  <conditionalFormatting sqref="P221">
    <cfRule type="expression" dxfId="2421" priority="235">
      <formula>AND(ISNUMBER(P221),TRUNC(P221)&lt;TODAY())</formula>
    </cfRule>
  </conditionalFormatting>
  <conditionalFormatting sqref="O221">
    <cfRule type="expression" dxfId="2420" priority="236">
      <formula>AND(ISNUMBER(O221),TRUNC(O221)&lt;TODAY())</formula>
    </cfRule>
  </conditionalFormatting>
  <conditionalFormatting sqref="Q221">
    <cfRule type="expression" dxfId="2419" priority="237">
      <formula>AND(ISNUMBER(Q221),TRUNC(Q221)&lt;TODAY())</formula>
    </cfRule>
  </conditionalFormatting>
  <conditionalFormatting sqref="O220">
    <cfRule type="expression" dxfId="2418" priority="238">
      <formula>AND(ISNUMBER(O220),TRUNC(O220)&lt;TODAY())</formula>
    </cfRule>
  </conditionalFormatting>
  <conditionalFormatting sqref="P220">
    <cfRule type="expression" dxfId="2417" priority="239">
      <formula>AND(ISNUMBER(P220),TRUNC(P220)&lt;TODAY())</formula>
    </cfRule>
  </conditionalFormatting>
  <conditionalFormatting sqref="F220">
    <cfRule type="containsText" dxfId="2416" priority="240" operator="containsText" text="F">
      <formula>NOT(ISERROR(SEARCH(("F"),(F220))))</formula>
    </cfRule>
  </conditionalFormatting>
  <conditionalFormatting sqref="Q220">
    <cfRule type="expression" dxfId="2415" priority="241">
      <formula>AND(ISNUMBER(Q220),TRUNC(Q220)&lt;TODAY())</formula>
    </cfRule>
  </conditionalFormatting>
  <conditionalFormatting sqref="O219:Q219">
    <cfRule type="expression" dxfId="2414" priority="242">
      <formula>AND(ISNUMBER(O219),TRUNC(O219)&lt;TODAY())</formula>
    </cfRule>
  </conditionalFormatting>
  <conditionalFormatting sqref="F219">
    <cfRule type="containsText" dxfId="2413" priority="243" operator="containsText" text="F">
      <formula>NOT(ISERROR(SEARCH(("F"),(F219))))</formula>
    </cfRule>
  </conditionalFormatting>
  <conditionalFormatting sqref="F218">
    <cfRule type="containsText" dxfId="2412" priority="244" operator="containsText" text="F">
      <formula>NOT(ISERROR(SEARCH(("F"),(F218))))</formula>
    </cfRule>
  </conditionalFormatting>
  <conditionalFormatting sqref="O218">
    <cfRule type="expression" dxfId="2411" priority="245">
      <formula>AND(ISNUMBER(O218),TRUNC(O218)&lt;TODAY())</formula>
    </cfRule>
  </conditionalFormatting>
  <conditionalFormatting sqref="P217">
    <cfRule type="expression" dxfId="2410" priority="246">
      <formula>AND(ISNUMBER(P217),TRUNC(P217)&lt;TODAY())</formula>
    </cfRule>
  </conditionalFormatting>
  <conditionalFormatting sqref="P217">
    <cfRule type="expression" dxfId="2409" priority="247">
      <formula>AND(ISNUMBER(P217),TRUNC(P217)&lt;TODAY())</formula>
    </cfRule>
  </conditionalFormatting>
  <conditionalFormatting sqref="Q217">
    <cfRule type="expression" dxfId="2408" priority="248">
      <formula>AND(ISNUMBER(Q217),TRUNC(Q217)&lt;TODAY())</formula>
    </cfRule>
  </conditionalFormatting>
  <conditionalFormatting sqref="O217">
    <cfRule type="expression" dxfId="2407" priority="249">
      <formula>AND(ISNUMBER(O217),TRUNC(O217)&lt;TODAY())</formula>
    </cfRule>
  </conditionalFormatting>
  <conditionalFormatting sqref="F217">
    <cfRule type="containsText" dxfId="2406" priority="250" operator="containsText" text="F">
      <formula>NOT(ISERROR(SEARCH(("F"),(F217))))</formula>
    </cfRule>
  </conditionalFormatting>
  <conditionalFormatting sqref="V217">
    <cfRule type="notContainsBlanks" dxfId="2405" priority="251">
      <formula>LEN(TRIM(V217))&gt;0</formula>
    </cfRule>
  </conditionalFormatting>
  <conditionalFormatting sqref="F216">
    <cfRule type="containsText" dxfId="2404" priority="252" operator="containsText" text="F">
      <formula>NOT(ISERROR(SEARCH(("F"),(F216))))</formula>
    </cfRule>
  </conditionalFormatting>
  <conditionalFormatting sqref="O216:Q216">
    <cfRule type="expression" dxfId="2403" priority="253">
      <formula>AND(ISNUMBER(O216),TRUNC(O216)&lt;TODAY())</formula>
    </cfRule>
  </conditionalFormatting>
  <conditionalFormatting sqref="O215:Q215">
    <cfRule type="expression" dxfId="2402" priority="254">
      <formula>AND(ISNUMBER(O215),TRUNC(O215)&lt;TODAY())</formula>
    </cfRule>
  </conditionalFormatting>
  <conditionalFormatting sqref="F215">
    <cfRule type="containsText" dxfId="2401" priority="255" operator="containsText" text="F">
      <formula>NOT(ISERROR(SEARCH(("F"),(F215))))</formula>
    </cfRule>
  </conditionalFormatting>
  <conditionalFormatting sqref="Q214">
    <cfRule type="expression" dxfId="2400" priority="256">
      <formula>AND(ISNUMBER(Q214),TRUNC(Q214)&lt;TODAY())</formula>
    </cfRule>
  </conditionalFormatting>
  <conditionalFormatting sqref="P214">
    <cfRule type="expression" dxfId="2399" priority="257">
      <formula>AND(ISNUMBER(P214),TRUNC(P214)&lt;TODAY())</formula>
    </cfRule>
  </conditionalFormatting>
  <conditionalFormatting sqref="F214">
    <cfRule type="containsText" dxfId="2398" priority="258" operator="containsText" text="F">
      <formula>NOT(ISERROR(SEARCH(("F"),(F214))))</formula>
    </cfRule>
  </conditionalFormatting>
  <conditionalFormatting sqref="O214">
    <cfRule type="expression" dxfId="2397" priority="259">
      <formula>AND(ISNUMBER(O214),TRUNC(O214)&lt;TODAY())</formula>
    </cfRule>
  </conditionalFormatting>
  <conditionalFormatting sqref="F308">
    <cfRule type="containsText" dxfId="2396" priority="260" operator="containsText" text="F">
      <formula>NOT(ISERROR(SEARCH(("F"),(F308))))</formula>
    </cfRule>
  </conditionalFormatting>
  <conditionalFormatting sqref="O308:Q308">
    <cfRule type="expression" dxfId="2395" priority="261">
      <formula>AND(ISNUMBER(O308),TRUNC(O308)&lt;TODAY())</formula>
    </cfRule>
  </conditionalFormatting>
  <conditionalFormatting sqref="F306:F307">
    <cfRule type="containsText" dxfId="2394" priority="262" operator="containsText" text="F">
      <formula>NOT(ISERROR(SEARCH(("F"),(F306))))</formula>
    </cfRule>
  </conditionalFormatting>
  <conditionalFormatting sqref="F306">
    <cfRule type="containsText" dxfId="2393" priority="263" operator="containsText" text="F">
      <formula>NOT(ISERROR(SEARCH(("F"),(F306))))</formula>
    </cfRule>
  </conditionalFormatting>
  <conditionalFormatting sqref="O306:Q307">
    <cfRule type="expression" dxfId="2392" priority="264">
      <formula>AND(ISNUMBER(O306),TRUNC(O306)&lt;TODAY())</formula>
    </cfRule>
  </conditionalFormatting>
  <conditionalFormatting sqref="F305">
    <cfRule type="containsText" dxfId="2391" priority="265" operator="containsText" text="F">
      <formula>NOT(ISERROR(SEARCH(("F"),(F305))))</formula>
    </cfRule>
  </conditionalFormatting>
  <conditionalFormatting sqref="O305:Q305">
    <cfRule type="expression" dxfId="2390" priority="266">
      <formula>AND(ISNUMBER(O305),TRUNC(O305)&lt;TODAY())</formula>
    </cfRule>
  </conditionalFormatting>
  <conditionalFormatting sqref="F304">
    <cfRule type="containsText" dxfId="2389" priority="267" operator="containsText" text="F">
      <formula>NOT(ISERROR(SEARCH(("F"),(F304))))</formula>
    </cfRule>
  </conditionalFormatting>
  <conditionalFormatting sqref="F304">
    <cfRule type="containsText" dxfId="2388" priority="268" operator="containsText" text="F">
      <formula>NOT(ISERROR(SEARCH(("F"),(F304))))</formula>
    </cfRule>
  </conditionalFormatting>
  <conditionalFormatting sqref="O304:Q304">
    <cfRule type="expression" dxfId="2387" priority="269">
      <formula>AND(ISNUMBER(O304),TRUNC(O304)&lt;TODAY())</formula>
    </cfRule>
  </conditionalFormatting>
  <conditionalFormatting sqref="F303">
    <cfRule type="containsText" dxfId="2386" priority="270" operator="containsText" text="F">
      <formula>NOT(ISERROR(SEARCH(("F"),(F303))))</formula>
    </cfRule>
  </conditionalFormatting>
  <conditionalFormatting sqref="F302">
    <cfRule type="containsText" dxfId="2385" priority="271" operator="containsText" text="F">
      <formula>NOT(ISERROR(SEARCH(("F"),(F302))))</formula>
    </cfRule>
  </conditionalFormatting>
  <conditionalFormatting sqref="F302:F303">
    <cfRule type="containsText" dxfId="2384" priority="272" operator="containsText" text="F">
      <formula>NOT(ISERROR(SEARCH(("F"),(F302))))</formula>
    </cfRule>
  </conditionalFormatting>
  <conditionalFormatting sqref="F302:F303">
    <cfRule type="containsText" dxfId="2383" priority="273" operator="containsText" text="F">
      <formula>NOT(ISERROR(SEARCH(("F"),(F302))))</formula>
    </cfRule>
  </conditionalFormatting>
  <conditionalFormatting sqref="O302:Q302">
    <cfRule type="expression" dxfId="2382" priority="274">
      <formula>AND(ISNUMBER(O302),TRUNC(O302)&lt;TODAY())</formula>
    </cfRule>
  </conditionalFormatting>
  <conditionalFormatting sqref="O303">
    <cfRule type="expression" dxfId="2381" priority="275">
      <formula>AND(ISNUMBER(O303),TRUNC(O303)&lt;TODAY())</formula>
    </cfRule>
  </conditionalFormatting>
  <conditionalFormatting sqref="P303">
    <cfRule type="expression" dxfId="2380" priority="276">
      <formula>AND(ISNUMBER(P303),TRUNC(P303)&lt;TODAY())</formula>
    </cfRule>
  </conditionalFormatting>
  <conditionalFormatting sqref="Q303">
    <cfRule type="expression" dxfId="2379" priority="277">
      <formula>AND(ISNUMBER(Q303),TRUNC(Q303)&lt;TODAY())</formula>
    </cfRule>
  </conditionalFormatting>
  <conditionalFormatting sqref="F301">
    <cfRule type="containsText" dxfId="2378" priority="278" operator="containsText" text="F">
      <formula>NOT(ISERROR(SEARCH(("F"),(F301))))</formula>
    </cfRule>
  </conditionalFormatting>
  <conditionalFormatting sqref="F301">
    <cfRule type="containsText" dxfId="2377" priority="279" operator="containsText" text="F">
      <formula>NOT(ISERROR(SEARCH(("F"),(F301))))</formula>
    </cfRule>
  </conditionalFormatting>
  <conditionalFormatting sqref="F301">
    <cfRule type="containsText" dxfId="2376" priority="280" operator="containsText" text="F">
      <formula>NOT(ISERROR(SEARCH(("F"),(F301))))</formula>
    </cfRule>
  </conditionalFormatting>
  <conditionalFormatting sqref="F301">
    <cfRule type="containsText" dxfId="2375" priority="281" operator="containsText" text="F">
      <formula>NOT(ISERROR(SEARCH(("F"),(F301))))</formula>
    </cfRule>
  </conditionalFormatting>
  <conditionalFormatting sqref="O301">
    <cfRule type="expression" dxfId="2374" priority="282">
      <formula>AND(ISNUMBER(O301),TRUNC(O301)&lt;TODAY())</formula>
    </cfRule>
  </conditionalFormatting>
  <conditionalFormatting sqref="P301">
    <cfRule type="expression" dxfId="2373" priority="283">
      <formula>AND(ISNUMBER(P301),TRUNC(P301)&lt;TODAY())</formula>
    </cfRule>
  </conditionalFormatting>
  <conditionalFormatting sqref="Q301">
    <cfRule type="expression" dxfId="2372" priority="284">
      <formula>AND(ISNUMBER(Q301),TRUNC(Q301)&lt;TODAY())</formula>
    </cfRule>
  </conditionalFormatting>
  <conditionalFormatting sqref="P300">
    <cfRule type="expression" dxfId="2371" priority="285">
      <formula>AND(ISNUMBER(P300),TRUNC(P300)&lt;TODAY())</formula>
    </cfRule>
  </conditionalFormatting>
  <conditionalFormatting sqref="P300:Q300">
    <cfRule type="expression" dxfId="2370" priority="286">
      <formula>AND(ISNUMBER(P300),TRUNC(P300)&lt;TODAY())</formula>
    </cfRule>
  </conditionalFormatting>
  <conditionalFormatting sqref="O300">
    <cfRule type="expression" dxfId="2369" priority="287">
      <formula>AND(ISNUMBER(O300),TRUNC(O300)&lt;TODAY())</formula>
    </cfRule>
  </conditionalFormatting>
  <conditionalFormatting sqref="F300">
    <cfRule type="containsText" dxfId="2368" priority="288" operator="containsText" text="F">
      <formula>NOT(ISERROR(SEARCH(("F"),(F300))))</formula>
    </cfRule>
  </conditionalFormatting>
  <conditionalFormatting sqref="O299:Q299">
    <cfRule type="expression" dxfId="2367" priority="289">
      <formula>AND(ISNUMBER(O299),TRUNC(O299)&lt;TODAY())</formula>
    </cfRule>
  </conditionalFormatting>
  <conditionalFormatting sqref="F299">
    <cfRule type="containsText" dxfId="2366" priority="290" operator="containsText" text="F">
      <formula>NOT(ISERROR(SEARCH(("F"),(F299))))</formula>
    </cfRule>
  </conditionalFormatting>
  <conditionalFormatting sqref="F298">
    <cfRule type="containsText" dxfId="2365" priority="291" operator="containsText" text="F">
      <formula>NOT(ISERROR(SEARCH(("F"),(F298))))</formula>
    </cfRule>
  </conditionalFormatting>
  <conditionalFormatting sqref="O298:Q298">
    <cfRule type="expression" dxfId="2364" priority="292">
      <formula>AND(ISNUMBER(O298),TRUNC(O298)&lt;TODAY())</formula>
    </cfRule>
  </conditionalFormatting>
  <conditionalFormatting sqref="F295:F297">
    <cfRule type="containsText" dxfId="2363" priority="293" operator="containsText" text="F">
      <formula>NOT(ISERROR(SEARCH(("F"),(F295))))</formula>
    </cfRule>
  </conditionalFormatting>
  <conditionalFormatting sqref="O295:Q297">
    <cfRule type="expression" dxfId="2362" priority="294">
      <formula>AND(ISNUMBER(O295),TRUNC(O295)&lt;TODAY())</formula>
    </cfRule>
  </conditionalFormatting>
  <conditionalFormatting sqref="F293:F294">
    <cfRule type="containsText" dxfId="2361" priority="295" operator="containsText" text="F">
      <formula>NOT(ISERROR(SEARCH(("F"),(F293))))</formula>
    </cfRule>
  </conditionalFormatting>
  <conditionalFormatting sqref="O293:Q294">
    <cfRule type="expression" dxfId="2360" priority="296">
      <formula>AND(ISNUMBER(O293),TRUNC(O293)&lt;TODAY())</formula>
    </cfRule>
  </conditionalFormatting>
  <conditionalFormatting sqref="F292">
    <cfRule type="containsText" dxfId="2359" priority="297" operator="containsText" text="F">
      <formula>NOT(ISERROR(SEARCH(("F"),(F292))))</formula>
    </cfRule>
  </conditionalFormatting>
  <conditionalFormatting sqref="F292">
    <cfRule type="containsText" dxfId="2358" priority="298" operator="containsText" text="F">
      <formula>NOT(ISERROR(SEARCH(("F"),(F292))))</formula>
    </cfRule>
  </conditionalFormatting>
  <conditionalFormatting sqref="O292:Q292">
    <cfRule type="expression" dxfId="2357" priority="299">
      <formula>AND(ISNUMBER(O292),TRUNC(O292)&lt;TODAY())</formula>
    </cfRule>
  </conditionalFormatting>
  <conditionalFormatting sqref="O291:Q291">
    <cfRule type="expression" dxfId="2356" priority="300">
      <formula>AND(ISNUMBER(O291),TRUNC(O291)&lt;TODAY())</formula>
    </cfRule>
  </conditionalFormatting>
  <conditionalFormatting sqref="F291">
    <cfRule type="containsText" dxfId="2355" priority="301" operator="containsText" text="F">
      <formula>NOT(ISERROR(SEARCH(("F"),(F291))))</formula>
    </cfRule>
  </conditionalFormatting>
  <conditionalFormatting sqref="F291">
    <cfRule type="containsText" dxfId="2354" priority="302" operator="containsText" text="F">
      <formula>NOT(ISERROR(SEARCH(("F"),(F291))))</formula>
    </cfRule>
  </conditionalFormatting>
  <conditionalFormatting sqref="F290">
    <cfRule type="containsText" dxfId="2353" priority="303" operator="containsText" text="F">
      <formula>NOT(ISERROR(SEARCH(("F"),(F290))))</formula>
    </cfRule>
  </conditionalFormatting>
  <conditionalFormatting sqref="F290">
    <cfRule type="containsText" dxfId="2352" priority="304" operator="containsText" text="F">
      <formula>NOT(ISERROR(SEARCH(("F"),(F290))))</formula>
    </cfRule>
  </conditionalFormatting>
  <conditionalFormatting sqref="F290">
    <cfRule type="containsText" dxfId="2351" priority="305" operator="containsText" text="F">
      <formula>NOT(ISERROR(SEARCH(("F"),(F290))))</formula>
    </cfRule>
  </conditionalFormatting>
  <conditionalFormatting sqref="F290">
    <cfRule type="containsText" dxfId="2350" priority="306" operator="containsText" text="F">
      <formula>NOT(ISERROR(SEARCH(("F"),(F290))))</formula>
    </cfRule>
  </conditionalFormatting>
  <conditionalFormatting sqref="F290">
    <cfRule type="containsText" dxfId="2349" priority="307" operator="containsText" text="F">
      <formula>NOT(ISERROR(SEARCH(("F"),(F290))))</formula>
    </cfRule>
  </conditionalFormatting>
  <conditionalFormatting sqref="O290">
    <cfRule type="expression" dxfId="2348" priority="308">
      <formula>AND(ISNUMBER(O290),TRUNC(O290)&lt;TODAY())</formula>
    </cfRule>
  </conditionalFormatting>
  <conditionalFormatting sqref="Q290">
    <cfRule type="expression" dxfId="2347" priority="309">
      <formula>AND(ISNUMBER(Q290),TRUNC(Q290)&lt;TODAY())</formula>
    </cfRule>
  </conditionalFormatting>
  <conditionalFormatting sqref="Q290">
    <cfRule type="expression" dxfId="2346" priority="310">
      <formula>AND(ISNUMBER(Q290),TRUNC(Q290)&lt;TODAY())</formula>
    </cfRule>
  </conditionalFormatting>
  <conditionalFormatting sqref="P290">
    <cfRule type="expression" dxfId="2345" priority="311">
      <formula>AND(ISNUMBER(P290),TRUNC(P290)&lt;TODAY())</formula>
    </cfRule>
  </conditionalFormatting>
  <conditionalFormatting sqref="F289">
    <cfRule type="containsText" dxfId="2344" priority="312" operator="containsText" text="F">
      <formula>NOT(ISERROR(SEARCH(("F"),(F289))))</formula>
    </cfRule>
  </conditionalFormatting>
  <conditionalFormatting sqref="F289">
    <cfRule type="containsText" dxfId="2343" priority="313" operator="containsText" text="F">
      <formula>NOT(ISERROR(SEARCH(("F"),(F289))))</formula>
    </cfRule>
  </conditionalFormatting>
  <conditionalFormatting sqref="F289">
    <cfRule type="containsText" dxfId="2342" priority="314" operator="containsText" text="F">
      <formula>NOT(ISERROR(SEARCH(("F"),(F289))))</formula>
    </cfRule>
  </conditionalFormatting>
  <conditionalFormatting sqref="F289">
    <cfRule type="containsText" dxfId="2341" priority="315" operator="containsText" text="F">
      <formula>NOT(ISERROR(SEARCH(("F"),(F289))))</formula>
    </cfRule>
  </conditionalFormatting>
  <conditionalFormatting sqref="O288:Q288">
    <cfRule type="expression" dxfId="2340" priority="316">
      <formula>AND(ISNUMBER(O288),TRUNC(O288)&lt;TODAY())</formula>
    </cfRule>
  </conditionalFormatting>
  <conditionalFormatting sqref="F288">
    <cfRule type="containsText" dxfId="2339" priority="317" operator="containsText" text="F">
      <formula>NOT(ISERROR(SEARCH(("F"),(F288))))</formula>
    </cfRule>
  </conditionalFormatting>
  <conditionalFormatting sqref="O287:Q287">
    <cfRule type="expression" dxfId="2338" priority="318">
      <formula>AND(ISNUMBER(O287),TRUNC(O287)&lt;TODAY())</formula>
    </cfRule>
  </conditionalFormatting>
  <conditionalFormatting sqref="F287">
    <cfRule type="containsText" dxfId="2337" priority="319" operator="containsText" text="F">
      <formula>NOT(ISERROR(SEARCH(("F"),(F287))))</formula>
    </cfRule>
  </conditionalFormatting>
  <conditionalFormatting sqref="F287">
    <cfRule type="containsText" dxfId="2336" priority="320" operator="containsText" text="F">
      <formula>NOT(ISERROR(SEARCH(("F"),(F287))))</formula>
    </cfRule>
  </conditionalFormatting>
  <conditionalFormatting sqref="F287">
    <cfRule type="containsText" dxfId="2335" priority="321" operator="containsText" text="F">
      <formula>NOT(ISERROR(SEARCH(("F"),(F287))))</formula>
    </cfRule>
  </conditionalFormatting>
  <conditionalFormatting sqref="F287">
    <cfRule type="containsText" dxfId="2334" priority="322" operator="containsText" text="F">
      <formula>NOT(ISERROR(SEARCH(("F"),(F287))))</formula>
    </cfRule>
  </conditionalFormatting>
  <conditionalFormatting sqref="F287">
    <cfRule type="containsText" dxfId="2333" priority="323" operator="containsText" text="F">
      <formula>NOT(ISERROR(SEARCH(("F"),(F287))))</formula>
    </cfRule>
  </conditionalFormatting>
  <conditionalFormatting sqref="F286">
    <cfRule type="containsText" dxfId="2332" priority="324" operator="containsText" text="F">
      <formula>NOT(ISERROR(SEARCH(("F"),(F286))))</formula>
    </cfRule>
  </conditionalFormatting>
  <conditionalFormatting sqref="O286:Q286">
    <cfRule type="expression" dxfId="2331" priority="325">
      <formula>AND(ISNUMBER(O286),TRUNC(O286)&lt;TODAY())</formula>
    </cfRule>
  </conditionalFormatting>
  <conditionalFormatting sqref="O285:Q285">
    <cfRule type="expression" dxfId="2330" priority="326">
      <formula>AND(ISNUMBER(O285),TRUNC(O285)&lt;TODAY())</formula>
    </cfRule>
  </conditionalFormatting>
  <conditionalFormatting sqref="F285">
    <cfRule type="containsText" dxfId="2329" priority="327" operator="containsText" text="F">
      <formula>NOT(ISERROR(SEARCH(("F"),(F285))))</formula>
    </cfRule>
  </conditionalFormatting>
  <conditionalFormatting sqref="O284:Q284">
    <cfRule type="expression" dxfId="2328" priority="328">
      <formula>AND(ISNUMBER(O284),TRUNC(O284)&lt;TODAY())</formula>
    </cfRule>
  </conditionalFormatting>
  <conditionalFormatting sqref="F284">
    <cfRule type="containsText" dxfId="2327" priority="329" operator="containsText" text="F">
      <formula>NOT(ISERROR(SEARCH(("F"),(F284))))</formula>
    </cfRule>
  </conditionalFormatting>
  <conditionalFormatting sqref="O283:Q283">
    <cfRule type="expression" dxfId="2326" priority="330">
      <formula>AND(ISNUMBER(O283),TRUNC(O283)&lt;TODAY())</formula>
    </cfRule>
  </conditionalFormatting>
  <conditionalFormatting sqref="O282:Q282">
    <cfRule type="expression" dxfId="2325" priority="331">
      <formula>AND(ISNUMBER(O282),TRUNC(O282)&lt;TODAY())</formula>
    </cfRule>
  </conditionalFormatting>
  <conditionalFormatting sqref="F282">
    <cfRule type="containsText" dxfId="2324" priority="332" operator="containsText" text="F">
      <formula>NOT(ISERROR(SEARCH(("F"),(F282))))</formula>
    </cfRule>
  </conditionalFormatting>
  <conditionalFormatting sqref="O281">
    <cfRule type="expression" dxfId="2323" priority="333">
      <formula>AND(ISNUMBER(O281),TRUNC(O281)&lt;TODAY())</formula>
    </cfRule>
  </conditionalFormatting>
  <conditionalFormatting sqref="P281">
    <cfRule type="expression" dxfId="2322" priority="334">
      <formula>AND(ISNUMBER(P281),TRUNC(P281)&lt;TODAY())</formula>
    </cfRule>
  </conditionalFormatting>
  <conditionalFormatting sqref="Q281">
    <cfRule type="expression" dxfId="2321" priority="335">
      <formula>AND(ISNUMBER(Q281),TRUNC(Q281)&lt;TODAY())</formula>
    </cfRule>
  </conditionalFormatting>
  <conditionalFormatting sqref="F281">
    <cfRule type="containsText" dxfId="2320" priority="336" operator="containsText" text="F">
      <formula>NOT(ISERROR(SEARCH(("F"),(F281))))</formula>
    </cfRule>
  </conditionalFormatting>
  <conditionalFormatting sqref="F280">
    <cfRule type="containsText" dxfId="2319" priority="337" operator="containsText" text="F">
      <formula>NOT(ISERROR(SEARCH(("F"),(F280))))</formula>
    </cfRule>
  </conditionalFormatting>
  <conditionalFormatting sqref="Q280">
    <cfRule type="expression" dxfId="2318" priority="338">
      <formula>AND(ISNUMBER(Q280),TRUNC(Q280)&lt;TODAY())</formula>
    </cfRule>
  </conditionalFormatting>
  <conditionalFormatting sqref="O280">
    <cfRule type="expression" dxfId="2317" priority="339">
      <formula>AND(ISNUMBER(O280),TRUNC(O280)&lt;TODAY())</formula>
    </cfRule>
  </conditionalFormatting>
  <conditionalFormatting sqref="P280">
    <cfRule type="expression" dxfId="2316" priority="340">
      <formula>AND(ISNUMBER(P280),TRUNC(P280)&lt;TODAY())</formula>
    </cfRule>
  </conditionalFormatting>
  <conditionalFormatting sqref="O279:Q279">
    <cfRule type="expression" dxfId="2315" priority="341">
      <formula>AND(ISNUMBER(O279),TRUNC(O279)&lt;TODAY())</formula>
    </cfRule>
  </conditionalFormatting>
  <conditionalFormatting sqref="F279">
    <cfRule type="containsText" dxfId="2314" priority="342" operator="containsText" text="F">
      <formula>NOT(ISERROR(SEARCH(("F"),(F279))))</formula>
    </cfRule>
  </conditionalFormatting>
  <conditionalFormatting sqref="O143:Q143">
    <cfRule type="expression" dxfId="2313" priority="343">
      <formula>AND(ISNUMBER(O143),TRUNC(O143)&lt;TODAY())</formula>
    </cfRule>
  </conditionalFormatting>
  <conditionalFormatting sqref="F143">
    <cfRule type="containsText" dxfId="2312" priority="344" operator="containsText" text="F">
      <formula>NOT(ISERROR(SEARCH(("F"),(F143))))</formula>
    </cfRule>
  </conditionalFormatting>
  <conditionalFormatting sqref="F142">
    <cfRule type="containsText" dxfId="2311" priority="345" operator="containsText" text="F">
      <formula>NOT(ISERROR(SEARCH(("F"),(F142))))</formula>
    </cfRule>
  </conditionalFormatting>
  <conditionalFormatting sqref="P142:Q142">
    <cfRule type="expression" dxfId="2310" priority="346">
      <formula>AND(ISNUMBER(P142),TRUNC(P142)&lt;TODAY())</formula>
    </cfRule>
  </conditionalFormatting>
  <conditionalFormatting sqref="P142">
    <cfRule type="expression" dxfId="2309" priority="347">
      <formula>AND(ISNUMBER(P142),TRUNC(P142)&lt;TODAY())</formula>
    </cfRule>
  </conditionalFormatting>
  <conditionalFormatting sqref="V142">
    <cfRule type="notContainsBlanks" dxfId="2308" priority="348">
      <formula>LEN(TRIM(V142))&gt;0</formula>
    </cfRule>
  </conditionalFormatting>
  <conditionalFormatting sqref="O142">
    <cfRule type="expression" dxfId="2307" priority="349">
      <formula>AND(ISNUMBER(O142),TRUNC(O142)&lt;TODAY())</formula>
    </cfRule>
  </conditionalFormatting>
  <conditionalFormatting sqref="F141">
    <cfRule type="containsText" dxfId="2306" priority="350" operator="containsText" text="F">
      <formula>NOT(ISERROR(SEARCH(("F"),(F141))))</formula>
    </cfRule>
  </conditionalFormatting>
  <conditionalFormatting sqref="O141">
    <cfRule type="expression" dxfId="2305" priority="351">
      <formula>AND(ISNUMBER(O141),TRUNC(O141)&lt;TODAY())</formula>
    </cfRule>
  </conditionalFormatting>
  <conditionalFormatting sqref="P141">
    <cfRule type="expression" dxfId="2304" priority="352">
      <formula>P141&lt;44165</formula>
    </cfRule>
  </conditionalFormatting>
  <conditionalFormatting sqref="Q141">
    <cfRule type="expression" dxfId="2303" priority="353">
      <formula>AND(ISNUMBER(Q141),TRUNC(Q141)&lt;TODAY())</formula>
    </cfRule>
  </conditionalFormatting>
  <conditionalFormatting sqref="O140:Q140">
    <cfRule type="expression" dxfId="2302" priority="354">
      <formula>AND(ISNUMBER(O140),TRUNC(O140)&lt;TODAY())</formula>
    </cfRule>
  </conditionalFormatting>
  <conditionalFormatting sqref="F140">
    <cfRule type="containsText" dxfId="2301" priority="355" operator="containsText" text="F">
      <formula>NOT(ISERROR(SEARCH(("F"),(F140))))</formula>
    </cfRule>
  </conditionalFormatting>
  <conditionalFormatting sqref="O139:Q139">
    <cfRule type="expression" dxfId="2300" priority="356">
      <formula>AND(ISNUMBER(O139),TRUNC(O139)&lt;TODAY())</formula>
    </cfRule>
  </conditionalFormatting>
  <conditionalFormatting sqref="F139">
    <cfRule type="containsText" dxfId="2299" priority="357" operator="containsText" text="F">
      <formula>NOT(ISERROR(SEARCH(("F"),(F139))))</formula>
    </cfRule>
  </conditionalFormatting>
  <conditionalFormatting sqref="F138">
    <cfRule type="containsText" dxfId="2298" priority="358" operator="containsText" text="F">
      <formula>NOT(ISERROR(SEARCH(("F"),(F138))))</formula>
    </cfRule>
  </conditionalFormatting>
  <conditionalFormatting sqref="O138">
    <cfRule type="expression" dxfId="2297" priority="359">
      <formula>AND(ISNUMBER(O138),TRUNC(O138)&lt;TODAY())</formula>
    </cfRule>
  </conditionalFormatting>
  <conditionalFormatting sqref="Q138">
    <cfRule type="expression" dxfId="2296" priority="360">
      <formula>AND(ISNUMBER(Q138),TRUNC(Q138)&lt;TODAY())</formula>
    </cfRule>
  </conditionalFormatting>
  <conditionalFormatting sqref="P138">
    <cfRule type="expression" dxfId="2295" priority="361">
      <formula>AND(ISNUMBER(P138),TRUNC(P138)&lt;TODAY())</formula>
    </cfRule>
  </conditionalFormatting>
  <conditionalFormatting sqref="V138">
    <cfRule type="notContainsBlanks" dxfId="2294" priority="362">
      <formula>LEN(TRIM(V138))&gt;0</formula>
    </cfRule>
  </conditionalFormatting>
  <conditionalFormatting sqref="F137">
    <cfRule type="containsText" dxfId="2293" priority="363" operator="containsText" text="F">
      <formula>NOT(ISERROR(SEARCH(("F"),(F137))))</formula>
    </cfRule>
  </conditionalFormatting>
  <conditionalFormatting sqref="Q137">
    <cfRule type="expression" dxfId="2292" priority="364">
      <formula>AND(ISNUMBER(Q137),TRUNC(Q137)&lt;TODAY())</formula>
    </cfRule>
  </conditionalFormatting>
  <conditionalFormatting sqref="O137">
    <cfRule type="expression" dxfId="2291" priority="365">
      <formula>AND(ISNUMBER(O137),TRUNC(O137)&lt;TODAY())</formula>
    </cfRule>
  </conditionalFormatting>
  <conditionalFormatting sqref="P137">
    <cfRule type="expression" dxfId="2290" priority="366">
      <formula>AND(ISNUMBER(P137),TRUNC(P137)&lt;TODAY())</formula>
    </cfRule>
  </conditionalFormatting>
  <conditionalFormatting sqref="Q136">
    <cfRule type="expression" dxfId="2289" priority="367">
      <formula>AND(ISNUMBER(Q136),TRUNC(Q136)&lt;TODAY())</formula>
    </cfRule>
  </conditionalFormatting>
  <conditionalFormatting sqref="P136:Q136">
    <cfRule type="expression" dxfId="2288" priority="368">
      <formula>AND(ISNUMBER(P136),TRUNC(P136)&lt;TODAY())</formula>
    </cfRule>
  </conditionalFormatting>
  <conditionalFormatting sqref="O136">
    <cfRule type="expression" dxfId="2287" priority="369">
      <formula>AND(ISNUMBER(O136),TRUNC(O136)&lt;TODAY())</formula>
    </cfRule>
  </conditionalFormatting>
  <conditionalFormatting sqref="P136">
    <cfRule type="expression" dxfId="2286" priority="370">
      <formula>AND(ISNUMBER(P136),TRUNC(P136)&lt;TODAY())</formula>
    </cfRule>
  </conditionalFormatting>
  <conditionalFormatting sqref="F136">
    <cfRule type="containsText" dxfId="2285" priority="371" operator="containsText" text="F">
      <formula>NOT(ISERROR(SEARCH(("F"),(F136))))</formula>
    </cfRule>
  </conditionalFormatting>
  <conditionalFormatting sqref="V136">
    <cfRule type="notContainsBlanks" dxfId="2284" priority="372">
      <formula>LEN(TRIM(V136))&gt;0</formula>
    </cfRule>
  </conditionalFormatting>
  <conditionalFormatting sqref="O135:Q135">
    <cfRule type="expression" dxfId="2283" priority="373">
      <formula>AND(ISNUMBER(O135),TRUNC(O135)&lt;TODAY())</formula>
    </cfRule>
  </conditionalFormatting>
  <conditionalFormatting sqref="F135">
    <cfRule type="containsText" dxfId="2282" priority="374" operator="containsText" text="F">
      <formula>NOT(ISERROR(SEARCH(("F"),(F135))))</formula>
    </cfRule>
  </conditionalFormatting>
  <conditionalFormatting sqref="F134">
    <cfRule type="containsText" dxfId="2281" priority="375" operator="containsText" text="F">
      <formula>NOT(ISERROR(SEARCH(("F"),(F134))))</formula>
    </cfRule>
  </conditionalFormatting>
  <conditionalFormatting sqref="O134:Q134">
    <cfRule type="expression" dxfId="2280" priority="376">
      <formula>AND(ISNUMBER(O134),TRUNC(O134)&lt;TODAY())</formula>
    </cfRule>
  </conditionalFormatting>
  <conditionalFormatting sqref="F133">
    <cfRule type="containsText" dxfId="2279" priority="377" operator="containsText" text="F">
      <formula>NOT(ISERROR(SEARCH(("F"),(F133))))</formula>
    </cfRule>
  </conditionalFormatting>
  <conditionalFormatting sqref="O133">
    <cfRule type="expression" dxfId="2278" priority="378">
      <formula>AND(ISNUMBER(O133),TRUNC(O133)&lt;TODAY())</formula>
    </cfRule>
  </conditionalFormatting>
  <conditionalFormatting sqref="Q133">
    <cfRule type="expression" dxfId="2277" priority="379">
      <formula>AND(ISNUMBER(Q133),TRUNC(Q133)&lt;TODAY())</formula>
    </cfRule>
  </conditionalFormatting>
  <conditionalFormatting sqref="P133:Q133">
    <cfRule type="expression" dxfId="2276" priority="380">
      <formula>AND(ISNUMBER(P133),TRUNC(P133)&lt;TODAY())</formula>
    </cfRule>
  </conditionalFormatting>
  <conditionalFormatting sqref="O132:Q132">
    <cfRule type="expression" dxfId="2275" priority="381">
      <formula>AND(ISNUMBER(O132),TRUNC(O132)&lt;TODAY())</formula>
    </cfRule>
  </conditionalFormatting>
  <conditionalFormatting sqref="X132">
    <cfRule type="notContainsBlanks" dxfId="2274" priority="382">
      <formula>LEN(TRIM(X132))&gt;0</formula>
    </cfRule>
  </conditionalFormatting>
  <conditionalFormatting sqref="F132">
    <cfRule type="containsText" dxfId="2273" priority="383" operator="containsText" text="F">
      <formula>NOT(ISERROR(SEARCH(("F"),(F132))))</formula>
    </cfRule>
  </conditionalFormatting>
  <conditionalFormatting sqref="F49">
    <cfRule type="containsText" dxfId="2272" priority="384" operator="containsText" text="F">
      <formula>NOT(ISERROR(SEARCH(("F"),(F49))))</formula>
    </cfRule>
  </conditionalFormatting>
  <conditionalFormatting sqref="O49:Q49">
    <cfRule type="expression" dxfId="2271" priority="385">
      <formula>AND(ISNUMBER(O49),TRUNC(O49)&lt;TODAY())</formula>
    </cfRule>
  </conditionalFormatting>
  <conditionalFormatting sqref="W48">
    <cfRule type="notContainsBlanks" dxfId="2270" priority="386">
      <formula>LEN(TRIM(W48))&gt;0</formula>
    </cfRule>
  </conditionalFormatting>
  <conditionalFormatting sqref="F48">
    <cfRule type="containsText" dxfId="2269" priority="387" operator="containsText" text="F">
      <formula>NOT(ISERROR(SEARCH(("F"),(F48))))</formula>
    </cfRule>
  </conditionalFormatting>
  <conditionalFormatting sqref="P48">
    <cfRule type="expression" dxfId="2268" priority="388">
      <formula>AND(ISNUMBER(P48),TRUNC(P48)&lt;TODAY())</formula>
    </cfRule>
  </conditionalFormatting>
  <conditionalFormatting sqref="O48">
    <cfRule type="expression" dxfId="2267" priority="389">
      <formula>AND(ISNUMBER(O48),TRUNC(O48)&lt;TODAY())</formula>
    </cfRule>
  </conditionalFormatting>
  <conditionalFormatting sqref="P40">
    <cfRule type="expression" dxfId="2266" priority="390">
      <formula>AND(ISNUMBER(P40),TRUNC(P40)&lt;TODAY())</formula>
    </cfRule>
  </conditionalFormatting>
  <conditionalFormatting sqref="P40:Q40">
    <cfRule type="expression" dxfId="2265" priority="391">
      <formula>AND(ISNUMBER(P40),TRUNC(P40)&lt;TODAY())</formula>
    </cfRule>
  </conditionalFormatting>
  <conditionalFormatting sqref="O40">
    <cfRule type="expression" dxfId="2264" priority="392">
      <formula>AND(ISNUMBER(O40),TRUNC(O40)&lt;TODAY())</formula>
    </cfRule>
  </conditionalFormatting>
  <conditionalFormatting sqref="F40">
    <cfRule type="containsText" dxfId="2263" priority="393" operator="containsText" text="F">
      <formula>NOT(ISERROR(SEARCH(("F"),(F40))))</formula>
    </cfRule>
  </conditionalFormatting>
  <conditionalFormatting sqref="O47:Q47">
    <cfRule type="expression" dxfId="2262" priority="394">
      <formula>AND(ISNUMBER(O47),TRUNC(O47)&lt;TODAY())</formula>
    </cfRule>
  </conditionalFormatting>
  <conditionalFormatting sqref="F47">
    <cfRule type="containsText" dxfId="2261" priority="395" operator="containsText" text="F">
      <formula>NOT(ISERROR(SEARCH(("F"),(F47))))</formula>
    </cfRule>
  </conditionalFormatting>
  <conditionalFormatting sqref="F39">
    <cfRule type="containsText" dxfId="2260" priority="396" operator="containsText" text="F">
      <formula>NOT(ISERROR(SEARCH(("F"),(F39))))</formula>
    </cfRule>
  </conditionalFormatting>
  <conditionalFormatting sqref="O39:Q39">
    <cfRule type="expression" dxfId="2259" priority="397">
      <formula>AND(ISNUMBER(O39),TRUNC(O39)&lt;TODAY())</formula>
    </cfRule>
  </conditionalFormatting>
  <conditionalFormatting sqref="F38">
    <cfRule type="containsText" dxfId="2258" priority="398" operator="containsText" text="F">
      <formula>NOT(ISERROR(SEARCH(("F"),(F38))))</formula>
    </cfRule>
  </conditionalFormatting>
  <conditionalFormatting sqref="O38:Q38">
    <cfRule type="expression" dxfId="2257" priority="399">
      <formula>AND(ISNUMBER(O38),TRUNC(O38)&lt;TODAY())</formula>
    </cfRule>
  </conditionalFormatting>
  <conditionalFormatting sqref="F37">
    <cfRule type="containsText" dxfId="2256" priority="400" operator="containsText" text="F">
      <formula>NOT(ISERROR(SEARCH(("F"),(F37))))</formula>
    </cfRule>
  </conditionalFormatting>
  <conditionalFormatting sqref="P37">
    <cfRule type="expression" dxfId="2255" priority="401">
      <formula>AND(ISNUMBER(P37),TRUNC(P37)&lt;TODAY())</formula>
    </cfRule>
  </conditionalFormatting>
  <conditionalFormatting sqref="Q37">
    <cfRule type="expression" dxfId="2254" priority="402">
      <formula>AND(ISNUMBER(Q37),TRUNC(Q37)&lt;TODAY())</formula>
    </cfRule>
  </conditionalFormatting>
  <conditionalFormatting sqref="Q37">
    <cfRule type="expression" dxfId="2253" priority="403">
      <formula>AND(ISNUMBER(Q37),TRUNC(Q37)&lt;TODAY())</formula>
    </cfRule>
  </conditionalFormatting>
  <conditionalFormatting sqref="O37">
    <cfRule type="expression" dxfId="2252" priority="404">
      <formula>AND(ISNUMBER(O37),TRUNC(O37)&lt;TODAY())</formula>
    </cfRule>
  </conditionalFormatting>
  <conditionalFormatting sqref="F213">
    <cfRule type="containsText" dxfId="2251" priority="405" operator="containsText" text="F">
      <formula>NOT(ISERROR(SEARCH(("F"),(F213))))</formula>
    </cfRule>
  </conditionalFormatting>
  <conditionalFormatting sqref="O213">
    <cfRule type="expression" dxfId="2250" priority="406">
      <formula>AND(ISNUMBER(O213),TRUNC(O213)&lt;TODAY())</formula>
    </cfRule>
  </conditionalFormatting>
  <conditionalFormatting sqref="P213">
    <cfRule type="expression" dxfId="2249" priority="407">
      <formula>AND(ISNUMBER(P213),TRUNC(P213)&lt;TODAY())</formula>
    </cfRule>
  </conditionalFormatting>
  <conditionalFormatting sqref="Q213">
    <cfRule type="expression" dxfId="2248" priority="408">
      <formula>AND(ISNUMBER(Q213),TRUNC(Q213)&lt;TODAY())</formula>
    </cfRule>
  </conditionalFormatting>
  <conditionalFormatting sqref="F212">
    <cfRule type="containsText" dxfId="2247" priority="409" operator="containsText" text="F">
      <formula>NOT(ISERROR(SEARCH(("F"),(F212))))</formula>
    </cfRule>
  </conditionalFormatting>
  <conditionalFormatting sqref="O212:Q212">
    <cfRule type="expression" dxfId="2246" priority="410">
      <formula>AND(ISNUMBER(O212),TRUNC(O212)&lt;TODAY())</formula>
    </cfRule>
  </conditionalFormatting>
  <conditionalFormatting sqref="F237:F278">
    <cfRule type="containsText" dxfId="2245" priority="411" operator="containsText" text="F">
      <formula>NOT(ISERROR(SEARCH(("F"),(F237))))</formula>
    </cfRule>
  </conditionalFormatting>
  <conditionalFormatting sqref="F235">
    <cfRule type="containsText" dxfId="2244" priority="412" operator="containsText" text="F">
      <formula>NOT(ISERROR(SEARCH(("F"),(F235))))</formula>
    </cfRule>
  </conditionalFormatting>
  <conditionalFormatting sqref="O235:Q235">
    <cfRule type="expression" dxfId="2243" priority="413">
      <formula>AND(ISNUMBER(O235),TRUNC(O235)&lt;TODAY())</formula>
    </cfRule>
  </conditionalFormatting>
  <conditionalFormatting sqref="N73:Q73">
    <cfRule type="expression" dxfId="2242" priority="414">
      <formula>AND(ISNUMBER(N73),TRUNC(N73)&lt;TODAY())</formula>
    </cfRule>
  </conditionalFormatting>
  <conditionalFormatting sqref="F42 F73 F236">
    <cfRule type="containsText" dxfId="2241" priority="415" operator="containsText" text="F">
      <formula>NOT(ISERROR(SEARCH(("F"),(F42))))</formula>
    </cfRule>
  </conditionalFormatting>
  <conditionalFormatting sqref="F83:F115 F225 F233">
    <cfRule type="containsText" dxfId="2240" priority="416" operator="containsText" text="F">
      <formula>NOT(ISERROR(SEARCH(("F"),(F83))))</formula>
    </cfRule>
  </conditionalFormatting>
  <conditionalFormatting sqref="O83:Q83 O225:Q225 O233:Q233">
    <cfRule type="expression" dxfId="2239" priority="417">
      <formula>AND(ISNUMBER(O83),TRUNC(O83)&lt;TODAY())</formula>
    </cfRule>
  </conditionalFormatting>
  <conditionalFormatting sqref="Q64">
    <cfRule type="expression" dxfId="2238" priority="418">
      <formula>AND(ISNUMBER(Q64),TRUNC(Q64)&lt;TODAY())</formula>
    </cfRule>
  </conditionalFormatting>
  <conditionalFormatting sqref="Q60">
    <cfRule type="expression" dxfId="2237" priority="419">
      <formula>AND(ISNUMBER(Q60),TRUNC(Q60)&lt;TODAY())</formula>
    </cfRule>
  </conditionalFormatting>
  <conditionalFormatting sqref="F60:F64">
    <cfRule type="containsText" dxfId="2236" priority="420" operator="containsText" text="F">
      <formula>NOT(ISERROR(SEARCH(("F"),(F60))))</formula>
    </cfRule>
  </conditionalFormatting>
  <conditionalFormatting sqref="O64">
    <cfRule type="expression" dxfId="2235" priority="421">
      <formula>AND(ISNUMBER(O64),TRUNC(O64)&lt;TODAY())</formula>
    </cfRule>
  </conditionalFormatting>
  <conditionalFormatting sqref="P64">
    <cfRule type="expression" dxfId="2234" priority="422">
      <formula>AND(ISNUMBER(P64),TRUNC(P64)&lt;TODAY())</formula>
    </cfRule>
  </conditionalFormatting>
  <conditionalFormatting sqref="O62:O63">
    <cfRule type="expression" dxfId="2233" priority="423">
      <formula>AND(ISNUMBER(O62),TRUNC(O62)&lt;TODAY())</formula>
    </cfRule>
  </conditionalFormatting>
  <conditionalFormatting sqref="O61">
    <cfRule type="expression" dxfId="2232" priority="424">
      <formula>AND(ISNUMBER(O61),TRUNC(O61)&lt;TODAY())</formula>
    </cfRule>
  </conditionalFormatting>
  <conditionalFormatting sqref="O60">
    <cfRule type="expression" dxfId="2231" priority="425">
      <formula>AND(ISNUMBER(O60),TRUNC(O60)&lt;TODAY())</formula>
    </cfRule>
  </conditionalFormatting>
  <conditionalFormatting sqref="P60">
    <cfRule type="expression" dxfId="2230" priority="426">
      <formula>AND(ISNUMBER(P60),TRUNC(P60)&lt;TODAY())</formula>
    </cfRule>
  </conditionalFormatting>
  <conditionalFormatting sqref="P60">
    <cfRule type="expression" dxfId="2229" priority="427">
      <formula>AND(ISNUMBER(P60),TRUNC(P60)&lt;TODAY())</formula>
    </cfRule>
  </conditionalFormatting>
  <conditionalFormatting sqref="P62:P63">
    <cfRule type="expression" dxfId="2228" priority="428">
      <formula>AND(ISNUMBER(P62),TRUNC(P62)&lt;TODAY())</formula>
    </cfRule>
  </conditionalFormatting>
  <conditionalFormatting sqref="Q62">
    <cfRule type="expression" dxfId="2227" priority="429">
      <formula>AND(ISNUMBER(Q62),TRUNC(Q62)&lt;TODAY())</formula>
    </cfRule>
  </conditionalFormatting>
  <conditionalFormatting sqref="Q61">
    <cfRule type="expression" dxfId="2226" priority="430">
      <formula>AND(ISNUMBER(Q61),TRUNC(Q61)&lt;TODAY())</formula>
    </cfRule>
  </conditionalFormatting>
  <conditionalFormatting sqref="P61">
    <cfRule type="expression" dxfId="2225" priority="431">
      <formula>AND(ISNUMBER(P61),TRUNC(P61)&lt;TODAY())</formula>
    </cfRule>
  </conditionalFormatting>
  <conditionalFormatting sqref="O126:Q126">
    <cfRule type="expression" dxfId="2224" priority="432">
      <formula>AND(ISNUMBER(O126),TRUNC(O126)&lt;TODAY())</formula>
    </cfRule>
  </conditionalFormatting>
  <conditionalFormatting sqref="O70">
    <cfRule type="expression" dxfId="2223" priority="433">
      <formula>AND(ISNUMBER(O70),TRUNC(O70)&lt;TODAY())</formula>
    </cfRule>
  </conditionalFormatting>
  <conditionalFormatting sqref="Q70">
    <cfRule type="expression" dxfId="2222" priority="434">
      <formula>AND(ISNUMBER(Q70),TRUNC(Q70)&lt;TODAY())</formula>
    </cfRule>
  </conditionalFormatting>
  <conditionalFormatting sqref="F2:F9 F11 F13:F18 F41 F43:F46 F50:F59 F70:F72 F80:F82 F131 F144:F211 F234">
    <cfRule type="containsText" dxfId="2221" priority="435" operator="containsText" text="F">
      <formula>NOT(ISERROR(SEARCH(("F"),(F2))))</formula>
    </cfRule>
  </conditionalFormatting>
  <conditionalFormatting sqref="F10 F12 F19:F36 F42 F50:F130 G84:G115">
    <cfRule type="containsText" dxfId="2220" priority="436" operator="containsText" text="F">
      <formula>NOT(ISERROR(SEARCH(("F"),(F10))))</formula>
    </cfRule>
  </conditionalFormatting>
  <conditionalFormatting sqref="P12 P23:P35">
    <cfRule type="expression" dxfId="2219" priority="437">
      <formula>AND(ISNUMBER(P12),TRUNC(P12)&lt;TODAY())</formula>
    </cfRule>
  </conditionalFormatting>
  <conditionalFormatting sqref="P12:Q12 P23:Q35">
    <cfRule type="expression" dxfId="2218" priority="438">
      <formula>AND(ISNUMBER(P12),TRUNC(P12)&lt;TODAY())</formula>
    </cfRule>
  </conditionalFormatting>
  <conditionalFormatting sqref="O12 O23:O35">
    <cfRule type="expression" dxfId="2217" priority="439">
      <formula>AND(ISNUMBER(O12),TRUNC(O12)&lt;TODAY())</formula>
    </cfRule>
  </conditionalFormatting>
  <conditionalFormatting sqref="Q20">
    <cfRule type="expression" dxfId="2216" priority="440">
      <formula>AND(ISNUMBER(Q20),TRUNC(Q20)&lt;TODAY())</formula>
    </cfRule>
  </conditionalFormatting>
  <conditionalFormatting sqref="P20">
    <cfRule type="expression" dxfId="2215" priority="441">
      <formula>AND(ISNUMBER(P20),TRUNC(P20)&lt;TODAY())</formula>
    </cfRule>
  </conditionalFormatting>
  <conditionalFormatting sqref="O20">
    <cfRule type="expression" dxfId="2214" priority="442">
      <formula>AND(ISNUMBER(O20),TRUNC(O20)&lt;TODAY())</formula>
    </cfRule>
  </conditionalFormatting>
  <conditionalFormatting sqref="N1:Q11 U2 U11 N13:Q19 U16:U18 N21:Q22 T21:T22 N36:Q36 N41:Q46 U41 U43:U46 N50:O83 P50:Q125 T65:T66 L84 T84:T115 L86:L88 L92:L93 L96:L98 L101 L103 L106:L110 L113:L114 O116:O125 L117:L118 L122 L124:L127 O127:O130 P127:Q131 L129 P144:P211 Q144:Q145 U146:U191 L147:L152 L154 L159 L165 L167 L174:L180 L182 L186:L188 L190 L192:L193 U193:U197 L195 L197:L199 Q198:Q211 AF200 L201 AF202 L204 L207:L212 AF208 AF211 O225:Q225 O233:Q234 O236:Q236 O238:O240 P238:Q278 AH241:AH278 L251 L254 L256:L262 L265 L267 L272:L273 L275 L277 N382:Q382 N385:Q1139">
    <cfRule type="expression" dxfId="2213" priority="443">
      <formula>AND(ISNUMBER(N1),TRUNC(N1)&lt;TODAY())</formula>
    </cfRule>
  </conditionalFormatting>
  <dataValidations count="12">
    <dataValidation type="list" allowBlank="1" sqref="H2:H25 H37 H40:H41 H43:H46 H48:H49 H52:H59 H65 H67:H73 H77:H83 H131:H145 H212:H233 H235 H279:H286 H295:H300 H305 H309:H350 H352:H353 H355:H357 H360:H381 H383">
      <formula1>"A,B,C"</formula1>
    </dataValidation>
    <dataValidation type="list" allowBlank="1" showInputMessage="1" showErrorMessage="1" prompt="Either M or F" sqref="F2:F37 F40:F46 F48:F83 F84:G84 F85 F86:G115 F116:F286 F291:F300 F305:F350 F352:F353 F355:F357 F359:F383">
      <formula1>"M,F"</formula1>
    </dataValidation>
    <dataValidation type="list" allowBlank="1" showErrorMessage="1" sqref="R2:R25 R33 R40:R384">
      <formula1>"Elect,DSL"</formula1>
    </dataValidation>
    <dataValidation type="custom" allowBlank="1" showDropDown="1" showInputMessage="1" showErrorMessage="1" prompt="Enter a valid date" sqref="M3:M5 Q3:Q5 M37:O40 Q37:Q40 M47:Q49 M83:Q83 M132:O132 Q132 M133:Q134 M135 P135:Q135 M136:Q143 M212:Q216 M217:N217 Q217 M218 O218:Q218 M219:Q233 M235 P235:Q235 M279:Q283 M284:M286 P284:Q286 M287:Q287 M288 P288:Q288 N289 M290:O290 Q290 O291:Q294 M291:M300 P295:Q300 M301:Q301 M302:O302 Q302 M303:Q304 P305:Q305 M305:M308 O306:Q308 M309:Q312 M313:M322 P313:Q322 M323:Q323 M324:M326 P324:Q326 M327:Q330 M331:M336 P331:Q336 M337:Q339 M340:N340 P340:Q340 M341:Q358 N359 P359:Q359 M360:M361 Q360:Q361 M362:Q363 M364 P364:Q364 M365:Q365 M366:M368 P366:Q368 M369:Q369 O370:Q371 P372:Q375 O376:Q376 M370:M377 P377:Q377 M378:Q381 M383:Q384">
      <formula1>OR(NOT(ISERROR(DATEVALUE(M3))), AND(ISNUMBER(M3), LEFT(CELL("format", M3))="D"))</formula1>
    </dataValidation>
    <dataValidation type="list" allowBlank="1" sqref="H26:H36 H50:H51 H74:H76">
      <formula1>"A,B,C"</formula1>
    </dataValidation>
    <dataValidation type="list" allowBlank="1" showErrorMessage="1" sqref="R26:R32 R34:R39">
      <formula1>"Elect,DSL"</formula1>
    </dataValidation>
    <dataValidation type="list" allowBlank="1" sqref="G9 G13:G18 G37:G41 G43:G49 G52:G53 G60:G67 G77:G83 G131:G134 G136:G145 G212:G216 G218:G233 G237 G239:G240 G279:G283 G305 G309:G312 G323 G327:G330 G337:G358 G362:G363 G365 G369:G371 G376 G378:G382 G384">
      <formula1>"UR,SC,ST"</formula1>
    </dataValidation>
    <dataValidation type="list" allowBlank="1" sqref="W47:W49 V136:V139 V141:V142 V217 V219 V284:V286 V288 V295:V299 V305 V317 V360:V361">
      <formula1>"YES,NO,DW"</formula1>
    </dataValidation>
    <dataValidation type="list" allowBlank="1" showErrorMessage="1" sqref="G3:G8 G135 G217 G235:G236 G241 G248 G268:G269 G273 G275 G300 G313:G322 G324:G326 G331:G336 G360:G361 G364 G366:G368 G372:G375 G377">
      <formula1>"UR,SC,ST"</formula1>
    </dataValidation>
    <dataValidation type="list" allowBlank="1" sqref="G359">
      <formula1>"UR,SC,ST"</formula1>
    </dataValidation>
    <dataValidation type="list" allowBlank="1" showErrorMessage="1" sqref="G284:G299 G383">
      <formula1>"UR,SC,ST"</formula1>
    </dataValidation>
    <dataValidation type="custom" allowBlank="1" showDropDown="1" showErrorMessage="1" sqref="N3:P5 P37:P40 P132 N135:O135 O217:P217 N235:O235 N284:O286 N288:O288 P290 N291:N294 N295:O300 P302 N305:O305 N306:N308 N313:O316 N317 N318:O322 N324:O326 N331:O336 N360:P361 N364:O364 N366:O368 N370:N371 N372:O375 N376 N377:O377">
      <formula1>OR(NOT(ISERROR(DATEVALUE(N3))), AND(ISNUMBER(N3), LEFT(CELL("format", N3))="D"))</formula1>
    </dataValidation>
  </dataValidations>
  <hyperlinks>
    <hyperlink ref="U2" r:id="rId1"/>
    <hyperlink ref="U3" r:id="rId2"/>
    <hyperlink ref="AB3" r:id="rId3"/>
    <hyperlink ref="U4" r:id="rId4"/>
    <hyperlink ref="U5" r:id="rId5"/>
    <hyperlink ref="U6" r:id="rId6"/>
    <hyperlink ref="U7" r:id="rId7"/>
    <hyperlink ref="U8" r:id="rId8"/>
    <hyperlink ref="U9" r:id="rId9"/>
    <hyperlink ref="U10" r:id="rId10"/>
    <hyperlink ref="V10" r:id="rId11"/>
    <hyperlink ref="V11" r:id="rId12"/>
    <hyperlink ref="U12" r:id="rId13"/>
    <hyperlink ref="V12" r:id="rId14"/>
    <hyperlink ref="U19" r:id="rId15"/>
    <hyperlink ref="T37" r:id="rId16"/>
    <hyperlink ref="U37" r:id="rId17"/>
    <hyperlink ref="T38" r:id="rId18"/>
    <hyperlink ref="U38" r:id="rId19"/>
    <hyperlink ref="T39" r:id="rId20"/>
    <hyperlink ref="U39" r:id="rId21"/>
    <hyperlink ref="S40" r:id="rId22"/>
    <hyperlink ref="T40" r:id="rId23"/>
    <hyperlink ref="U40" r:id="rId24"/>
    <hyperlink ref="V40" r:id="rId25"/>
    <hyperlink ref="V41" r:id="rId26"/>
    <hyperlink ref="V42" r:id="rId27"/>
    <hyperlink ref="AC45" r:id="rId28"/>
    <hyperlink ref="U46" r:id="rId29"/>
    <hyperlink ref="S47" r:id="rId30"/>
    <hyperlink ref="T47" r:id="rId31"/>
    <hyperlink ref="U47" r:id="rId32"/>
    <hyperlink ref="S48" r:id="rId33"/>
    <hyperlink ref="S49" r:id="rId34"/>
    <hyperlink ref="T50" r:id="rId35"/>
    <hyperlink ref="T51" r:id="rId36"/>
    <hyperlink ref="T52" r:id="rId37"/>
    <hyperlink ref="T53" r:id="rId38"/>
    <hyperlink ref="T54" r:id="rId39"/>
    <hyperlink ref="U54" r:id="rId40"/>
    <hyperlink ref="T55" r:id="rId41"/>
    <hyperlink ref="U55" r:id="rId42"/>
    <hyperlink ref="T56" r:id="rId43"/>
    <hyperlink ref="U56" r:id="rId44"/>
    <hyperlink ref="T57" r:id="rId45"/>
    <hyperlink ref="U57" r:id="rId46"/>
    <hyperlink ref="T58" r:id="rId47"/>
    <hyperlink ref="U58" r:id="rId48"/>
    <hyperlink ref="T59" r:id="rId49"/>
    <hyperlink ref="S60" r:id="rId50"/>
    <hyperlink ref="S61" r:id="rId51"/>
    <hyperlink ref="T61" r:id="rId52"/>
    <hyperlink ref="S62" r:id="rId53"/>
    <hyperlink ref="T62" r:id="rId54"/>
    <hyperlink ref="S63" r:id="rId55"/>
    <hyperlink ref="T63" r:id="rId56"/>
    <hyperlink ref="T65" r:id="rId57"/>
    <hyperlink ref="U65" r:id="rId58"/>
    <hyperlink ref="T66" r:id="rId59"/>
    <hyperlink ref="U66" r:id="rId60"/>
    <hyperlink ref="T67" r:id="rId61"/>
    <hyperlink ref="U67" r:id="rId62"/>
    <hyperlink ref="T68" r:id="rId63"/>
    <hyperlink ref="T69" r:id="rId64"/>
    <hyperlink ref="T70" r:id="rId65"/>
    <hyperlink ref="T71" r:id="rId66"/>
    <hyperlink ref="T72" r:id="rId67"/>
    <hyperlink ref="S73" r:id="rId68"/>
    <hyperlink ref="T73" r:id="rId69"/>
    <hyperlink ref="T74" r:id="rId70"/>
    <hyperlink ref="U74" r:id="rId71"/>
    <hyperlink ref="T75" r:id="rId72"/>
    <hyperlink ref="U75" r:id="rId73"/>
    <hyperlink ref="T76" r:id="rId74"/>
    <hyperlink ref="U76" r:id="rId75"/>
    <hyperlink ref="T77" r:id="rId76"/>
    <hyperlink ref="U77" r:id="rId77"/>
    <hyperlink ref="T78" r:id="rId78"/>
    <hyperlink ref="U78" r:id="rId79"/>
    <hyperlink ref="T79" r:id="rId80"/>
    <hyperlink ref="U79" r:id="rId81"/>
    <hyperlink ref="T80" r:id="rId82"/>
    <hyperlink ref="U80" r:id="rId83"/>
    <hyperlink ref="T81" r:id="rId84"/>
    <hyperlink ref="U81" r:id="rId85"/>
    <hyperlink ref="T82" r:id="rId86"/>
    <hyperlink ref="U82" r:id="rId87"/>
    <hyperlink ref="U83" r:id="rId88"/>
    <hyperlink ref="U105" r:id="rId89"/>
    <hyperlink ref="U109" r:id="rId90"/>
    <hyperlink ref="U112" r:id="rId91"/>
    <hyperlink ref="T116" r:id="rId92"/>
    <hyperlink ref="U116" r:id="rId93"/>
    <hyperlink ref="T117" r:id="rId94"/>
    <hyperlink ref="U117" r:id="rId95"/>
    <hyperlink ref="T118" r:id="rId96"/>
    <hyperlink ref="U118" r:id="rId97"/>
    <hyperlink ref="T119" r:id="rId98"/>
    <hyperlink ref="U119" r:id="rId99"/>
    <hyperlink ref="T120" r:id="rId100"/>
    <hyperlink ref="U120" r:id="rId101"/>
    <hyperlink ref="T121" r:id="rId102"/>
    <hyperlink ref="U121" r:id="rId103"/>
    <hyperlink ref="T122" r:id="rId104"/>
    <hyperlink ref="U122" r:id="rId105"/>
    <hyperlink ref="T123" r:id="rId106"/>
    <hyperlink ref="U123" r:id="rId107"/>
    <hyperlink ref="T124" r:id="rId108"/>
    <hyperlink ref="U124" r:id="rId109"/>
    <hyperlink ref="T125" r:id="rId110"/>
    <hyperlink ref="U125" r:id="rId111"/>
    <hyperlink ref="T126" r:id="rId112"/>
    <hyperlink ref="U126" r:id="rId113"/>
    <hyperlink ref="T127" r:id="rId114"/>
    <hyperlink ref="U127" r:id="rId115"/>
    <hyperlink ref="T128" r:id="rId116"/>
    <hyperlink ref="U128" r:id="rId117"/>
    <hyperlink ref="T129" r:id="rId118"/>
    <hyperlink ref="U129" r:id="rId119"/>
    <hyperlink ref="T130" r:id="rId120"/>
    <hyperlink ref="U130" r:id="rId121"/>
    <hyperlink ref="S132" r:id="rId122"/>
    <hyperlink ref="T132" r:id="rId123"/>
    <hyperlink ref="S133" r:id="rId124"/>
    <hyperlink ref="T133" r:id="rId125"/>
    <hyperlink ref="S134" r:id="rId126"/>
    <hyperlink ref="T134" r:id="rId127"/>
    <hyperlink ref="U134" r:id="rId128"/>
    <hyperlink ref="S135" r:id="rId129"/>
    <hyperlink ref="T135" r:id="rId130"/>
    <hyperlink ref="U135" r:id="rId131"/>
    <hyperlink ref="S136" r:id="rId132"/>
    <hyperlink ref="T136" r:id="rId133"/>
    <hyperlink ref="S137" r:id="rId134"/>
    <hyperlink ref="T137" r:id="rId135"/>
    <hyperlink ref="U137" r:id="rId136"/>
    <hyperlink ref="S138" r:id="rId137"/>
    <hyperlink ref="T138" r:id="rId138"/>
    <hyperlink ref="U138" r:id="rId139"/>
    <hyperlink ref="S139" r:id="rId140"/>
    <hyperlink ref="T139" r:id="rId141"/>
    <hyperlink ref="U139" r:id="rId142"/>
    <hyperlink ref="S140" r:id="rId143"/>
    <hyperlink ref="T140" r:id="rId144"/>
    <hyperlink ref="U140" r:id="rId145"/>
    <hyperlink ref="S141" r:id="rId146"/>
    <hyperlink ref="T141" r:id="rId147"/>
    <hyperlink ref="U141" r:id="rId148"/>
    <hyperlink ref="S142" r:id="rId149"/>
    <hyperlink ref="T142" r:id="rId150"/>
    <hyperlink ref="U142" r:id="rId151"/>
    <hyperlink ref="S143" r:id="rId152"/>
    <hyperlink ref="T143" r:id="rId153"/>
    <hyperlink ref="U143" r:id="rId154"/>
    <hyperlink ref="T145" r:id="rId155"/>
    <hyperlink ref="U146" r:id="rId156"/>
    <hyperlink ref="U147" r:id="rId157"/>
    <hyperlink ref="T149" r:id="rId158"/>
    <hyperlink ref="U152" r:id="rId159"/>
    <hyperlink ref="T167" r:id="rId160"/>
    <hyperlink ref="U171" r:id="rId161"/>
    <hyperlink ref="U176" r:id="rId162"/>
    <hyperlink ref="U181" r:id="rId163"/>
    <hyperlink ref="U186" r:id="rId164"/>
    <hyperlink ref="U190" r:id="rId165"/>
    <hyperlink ref="U192" r:id="rId166"/>
    <hyperlink ref="U195" r:id="rId167"/>
    <hyperlink ref="U196" r:id="rId168"/>
    <hyperlink ref="U205" r:id="rId169"/>
    <hyperlink ref="T206" r:id="rId170"/>
    <hyperlink ref="U207" r:id="rId171"/>
    <hyperlink ref="U208" r:id="rId172"/>
    <hyperlink ref="U209" r:id="rId173"/>
    <hyperlink ref="S212" r:id="rId174"/>
    <hyperlink ref="T212" r:id="rId175"/>
    <hyperlink ref="S213" r:id="rId176"/>
    <hyperlink ref="T213" r:id="rId177"/>
    <hyperlink ref="S214" r:id="rId178"/>
    <hyperlink ref="T214" r:id="rId179"/>
    <hyperlink ref="S215" r:id="rId180"/>
    <hyperlink ref="T215" r:id="rId181"/>
    <hyperlink ref="S216" r:id="rId182"/>
    <hyperlink ref="T216" r:id="rId183"/>
    <hyperlink ref="S217" r:id="rId184"/>
    <hyperlink ref="T217" r:id="rId185"/>
    <hyperlink ref="T218" r:id="rId186"/>
    <hyperlink ref="U218" r:id="rId187"/>
    <hyperlink ref="T219" r:id="rId188"/>
    <hyperlink ref="U219" r:id="rId189"/>
    <hyperlink ref="S220" r:id="rId190"/>
    <hyperlink ref="T220" r:id="rId191"/>
    <hyperlink ref="S221" r:id="rId192"/>
    <hyperlink ref="T221" r:id="rId193"/>
    <hyperlink ref="S222" r:id="rId194"/>
    <hyperlink ref="T222" r:id="rId195"/>
    <hyperlink ref="S223" r:id="rId196"/>
    <hyperlink ref="T223" r:id="rId197"/>
    <hyperlink ref="S224" r:id="rId198"/>
    <hyperlink ref="T224" r:id="rId199"/>
    <hyperlink ref="T225" r:id="rId200"/>
    <hyperlink ref="S226" r:id="rId201"/>
    <hyperlink ref="T226" r:id="rId202"/>
    <hyperlink ref="S227" r:id="rId203"/>
    <hyperlink ref="T227" r:id="rId204"/>
    <hyperlink ref="U227" r:id="rId205"/>
    <hyperlink ref="S228" r:id="rId206"/>
    <hyperlink ref="T228" r:id="rId207"/>
    <hyperlink ref="S229" r:id="rId208"/>
    <hyperlink ref="T229" r:id="rId209"/>
    <hyperlink ref="S230" r:id="rId210"/>
    <hyperlink ref="T230" r:id="rId211"/>
    <hyperlink ref="S231" r:id="rId212"/>
    <hyperlink ref="T231" r:id="rId213"/>
    <hyperlink ref="S232" r:id="rId214"/>
    <hyperlink ref="T232" r:id="rId215"/>
    <hyperlink ref="S236" r:id="rId216"/>
    <hyperlink ref="S237" r:id="rId217"/>
    <hyperlink ref="S238" r:id="rId218"/>
    <hyperlink ref="S239" r:id="rId219"/>
    <hyperlink ref="S240" r:id="rId220"/>
    <hyperlink ref="T243" r:id="rId221"/>
    <hyperlink ref="T244" r:id="rId222"/>
    <hyperlink ref="T245" r:id="rId223"/>
    <hyperlink ref="U245" r:id="rId224"/>
    <hyperlink ref="T246" r:id="rId225"/>
    <hyperlink ref="T250" r:id="rId226"/>
    <hyperlink ref="T255" r:id="rId227"/>
    <hyperlink ref="T261" r:id="rId228"/>
    <hyperlink ref="T263" r:id="rId229"/>
    <hyperlink ref="S264" r:id="rId230"/>
    <hyperlink ref="T267" r:id="rId231"/>
    <hyperlink ref="T272" r:id="rId232"/>
    <hyperlink ref="S279" r:id="rId233"/>
    <hyperlink ref="T279" r:id="rId234"/>
    <hyperlink ref="S280" r:id="rId235"/>
    <hyperlink ref="T280" r:id="rId236"/>
    <hyperlink ref="T281" r:id="rId237"/>
    <hyperlink ref="U281" r:id="rId238"/>
    <hyperlink ref="S282" r:id="rId239"/>
    <hyperlink ref="T282" r:id="rId240"/>
    <hyperlink ref="S283" r:id="rId241"/>
    <hyperlink ref="T283" r:id="rId242"/>
    <hyperlink ref="S284" r:id="rId243"/>
    <hyperlink ref="S285" r:id="rId244"/>
    <hyperlink ref="S286" r:id="rId245"/>
    <hyperlink ref="S287" r:id="rId246"/>
    <hyperlink ref="S288" r:id="rId247"/>
    <hyperlink ref="S289" r:id="rId248"/>
    <hyperlink ref="S290" r:id="rId249"/>
    <hyperlink ref="S291" r:id="rId250"/>
    <hyperlink ref="S292" r:id="rId251"/>
    <hyperlink ref="S293" r:id="rId252"/>
    <hyperlink ref="S294" r:id="rId253"/>
    <hyperlink ref="S295" r:id="rId254"/>
    <hyperlink ref="S296" r:id="rId255"/>
    <hyperlink ref="S297" r:id="rId256"/>
    <hyperlink ref="S298" r:id="rId257"/>
    <hyperlink ref="S299" r:id="rId258"/>
    <hyperlink ref="S300" r:id="rId259"/>
    <hyperlink ref="S301" r:id="rId260"/>
    <hyperlink ref="S302" r:id="rId261"/>
    <hyperlink ref="S303" r:id="rId262"/>
    <hyperlink ref="S304" r:id="rId263"/>
    <hyperlink ref="S305" r:id="rId264"/>
    <hyperlink ref="S306" r:id="rId265"/>
    <hyperlink ref="S307" r:id="rId266"/>
    <hyperlink ref="S308" r:id="rId267"/>
    <hyperlink ref="S309" r:id="rId268"/>
    <hyperlink ref="T309" r:id="rId269"/>
    <hyperlink ref="S310" r:id="rId270"/>
    <hyperlink ref="T310" r:id="rId271"/>
    <hyperlink ref="S311" r:id="rId272"/>
    <hyperlink ref="T311" r:id="rId273"/>
    <hyperlink ref="S312" r:id="rId274"/>
    <hyperlink ref="T312" r:id="rId275"/>
    <hyperlink ref="S313" r:id="rId276"/>
    <hyperlink ref="S314" r:id="rId277"/>
    <hyperlink ref="T314" r:id="rId278"/>
    <hyperlink ref="S315" r:id="rId279"/>
    <hyperlink ref="S316" r:id="rId280"/>
    <hyperlink ref="S317" r:id="rId281"/>
    <hyperlink ref="S319" r:id="rId282"/>
    <hyperlink ref="S320" r:id="rId283"/>
    <hyperlink ref="S321" r:id="rId284"/>
    <hyperlink ref="T321" r:id="rId285"/>
    <hyperlink ref="S322" r:id="rId286"/>
    <hyperlink ref="S324" r:id="rId287"/>
    <hyperlink ref="S326" r:id="rId288"/>
    <hyperlink ref="S328" r:id="rId289"/>
    <hyperlink ref="T328" r:id="rId290"/>
    <hyperlink ref="S329" r:id="rId291"/>
    <hyperlink ref="T329" r:id="rId292"/>
    <hyperlink ref="S330" r:id="rId293"/>
    <hyperlink ref="T330" r:id="rId294"/>
    <hyperlink ref="S331" r:id="rId295"/>
    <hyperlink ref="S332" r:id="rId296"/>
    <hyperlink ref="S333" r:id="rId297"/>
    <hyperlink ref="S334" r:id="rId298"/>
    <hyperlink ref="S335" r:id="rId299"/>
    <hyperlink ref="S336" r:id="rId300"/>
    <hyperlink ref="S337" r:id="rId301"/>
    <hyperlink ref="S338" r:id="rId302"/>
    <hyperlink ref="S340" r:id="rId303"/>
    <hyperlink ref="S341" r:id="rId304"/>
    <hyperlink ref="S342" r:id="rId305"/>
    <hyperlink ref="S343" r:id="rId306"/>
    <hyperlink ref="S344" r:id="rId307"/>
    <hyperlink ref="S345" r:id="rId308"/>
    <hyperlink ref="S352" r:id="rId309"/>
    <hyperlink ref="S353" r:id="rId310"/>
    <hyperlink ref="S354" r:id="rId311"/>
    <hyperlink ref="S355" r:id="rId312"/>
    <hyperlink ref="S356" r:id="rId313"/>
    <hyperlink ref="U358" r:id="rId314"/>
    <hyperlink ref="S359" r:id="rId315"/>
    <hyperlink ref="S360" r:id="rId316"/>
    <hyperlink ref="S361" r:id="rId317"/>
    <hyperlink ref="S362" r:id="rId318"/>
    <hyperlink ref="S364" r:id="rId319"/>
    <hyperlink ref="S372" r:id="rId320"/>
    <hyperlink ref="S373" r:id="rId321"/>
    <hyperlink ref="S374" r:id="rId322"/>
    <hyperlink ref="S380" r:id="rId323"/>
    <hyperlink ref="S381" r:id="rId324"/>
    <hyperlink ref="S383" r:id="rId325"/>
    <hyperlink ref="S384" r:id="rId32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M1751"/>
  <sheetViews>
    <sheetView tabSelected="1" workbookViewId="0">
      <pane ySplit="1" topLeftCell="A2" activePane="bottomLeft" state="frozen"/>
      <selection pane="bottomLeft" sqref="A1:XFD1"/>
    </sheetView>
  </sheetViews>
  <sheetFormatPr defaultColWidth="14.42578125" defaultRowHeight="15" customHeight="1"/>
  <cols>
    <col min="1" max="1" width="9.140625" customWidth="1"/>
    <col min="2" max="2" width="29.7109375" customWidth="1"/>
    <col min="3" max="3" width="13.42578125" customWidth="1"/>
    <col min="4" max="4" width="15.5703125" customWidth="1"/>
    <col min="5" max="5" width="14.5703125" customWidth="1"/>
    <col min="6" max="6" width="10.5703125" customWidth="1"/>
    <col min="7" max="7" width="14.28515625" customWidth="1"/>
    <col min="8" max="8" width="14.85546875" customWidth="1"/>
    <col min="9" max="9" width="18.7109375" customWidth="1"/>
    <col min="10" max="11" width="15.28515625" customWidth="1"/>
    <col min="12" max="12" width="26.42578125" customWidth="1"/>
    <col min="13" max="13" width="13" customWidth="1"/>
    <col min="14" max="14" width="15.140625" customWidth="1"/>
    <col min="15" max="15" width="11.85546875" customWidth="1"/>
    <col min="16" max="16" width="17.140625" customWidth="1"/>
    <col min="17" max="17" width="19.5703125" customWidth="1"/>
    <col min="18" max="18" width="13.140625" customWidth="1"/>
    <col min="19" max="19" width="9.7109375" customWidth="1"/>
    <col min="20" max="20" width="12" customWidth="1"/>
    <col min="21" max="21" width="11.85546875" customWidth="1"/>
    <col min="23" max="23" width="23" customWidth="1"/>
    <col min="24" max="24" width="17.42578125" customWidth="1"/>
    <col min="25" max="25" width="22.5703125" customWidth="1"/>
    <col min="26" max="26" width="15.85546875" customWidth="1"/>
    <col min="27" max="27" width="18.42578125" customWidth="1"/>
    <col min="28" max="28" width="16.140625" customWidth="1"/>
  </cols>
  <sheetData>
    <row r="1" spans="1:39" ht="22.5" customHeight="1">
      <c r="A1" s="620" t="s">
        <v>4165</v>
      </c>
      <c r="B1" s="1747" t="s">
        <v>430</v>
      </c>
      <c r="C1" s="1748" t="s">
        <v>675</v>
      </c>
      <c r="D1" s="1749" t="s">
        <v>432</v>
      </c>
      <c r="E1" s="1750" t="s">
        <v>433</v>
      </c>
      <c r="F1" s="1751" t="s">
        <v>2759</v>
      </c>
      <c r="G1" s="467" t="s">
        <v>15</v>
      </c>
      <c r="H1" s="95" t="s">
        <v>2760</v>
      </c>
      <c r="I1" s="1752" t="s">
        <v>1005</v>
      </c>
      <c r="J1" s="1753" t="s">
        <v>1006</v>
      </c>
      <c r="K1" s="1752" t="s">
        <v>678</v>
      </c>
      <c r="L1" s="1754" t="s">
        <v>23</v>
      </c>
      <c r="M1" s="1755" t="s">
        <v>435</v>
      </c>
      <c r="N1" s="1755" t="s">
        <v>130</v>
      </c>
      <c r="O1" s="1755" t="s">
        <v>1007</v>
      </c>
      <c r="P1" s="1755" t="s">
        <v>1008</v>
      </c>
      <c r="Q1" s="1756" t="s">
        <v>1009</v>
      </c>
      <c r="R1" s="1757" t="s">
        <v>2762</v>
      </c>
      <c r="S1" s="1757" t="s">
        <v>2763</v>
      </c>
      <c r="T1" s="1757" t="s">
        <v>2764</v>
      </c>
      <c r="U1" s="1757" t="s">
        <v>2765</v>
      </c>
      <c r="V1" s="1757" t="s">
        <v>4166</v>
      </c>
      <c r="W1" s="12" t="s">
        <v>2767</v>
      </c>
      <c r="X1" s="12" t="s">
        <v>2768</v>
      </c>
      <c r="Y1" s="1758" t="s">
        <v>2769</v>
      </c>
      <c r="Z1" s="1759" t="s">
        <v>2770</v>
      </c>
      <c r="AA1" s="1759" t="s">
        <v>2771</v>
      </c>
      <c r="AB1" s="667" t="s">
        <v>4167</v>
      </c>
      <c r="AC1" s="738"/>
      <c r="AD1" s="738"/>
      <c r="AE1" s="738"/>
      <c r="AF1" s="738"/>
      <c r="AG1" s="738"/>
      <c r="AH1" s="738"/>
      <c r="AI1" s="738"/>
      <c r="AJ1" s="738"/>
      <c r="AK1" s="738"/>
      <c r="AL1" s="738"/>
      <c r="AM1" s="738"/>
    </row>
    <row r="2" spans="1:39" ht="15.75" customHeight="1">
      <c r="A2" s="944">
        <v>9</v>
      </c>
      <c r="B2" s="426" t="s">
        <v>4168</v>
      </c>
      <c r="C2" s="1121" t="s">
        <v>21</v>
      </c>
      <c r="D2" s="427" t="s">
        <v>4169</v>
      </c>
      <c r="E2" s="1676" t="s">
        <v>4170</v>
      </c>
      <c r="F2" s="946" t="s">
        <v>759</v>
      </c>
      <c r="G2" s="18" t="s">
        <v>77</v>
      </c>
      <c r="H2" s="275"/>
      <c r="I2" s="475">
        <v>919147917968</v>
      </c>
      <c r="J2" s="3"/>
      <c r="K2" s="274" t="s">
        <v>253</v>
      </c>
      <c r="L2" s="274" t="s">
        <v>65</v>
      </c>
      <c r="M2" s="418">
        <v>30456</v>
      </c>
      <c r="N2" s="418">
        <v>52382</v>
      </c>
      <c r="O2" s="428">
        <v>45752</v>
      </c>
      <c r="P2" s="418">
        <v>45906</v>
      </c>
      <c r="Q2" s="418">
        <v>45977</v>
      </c>
      <c r="R2" s="280"/>
      <c r="S2" s="281" t="s">
        <v>4171</v>
      </c>
      <c r="T2" s="281" t="s">
        <v>4172</v>
      </c>
      <c r="U2" s="280"/>
      <c r="V2" s="280"/>
      <c r="W2" s="79"/>
      <c r="X2" s="79"/>
      <c r="Y2" s="79"/>
      <c r="Z2" s="79"/>
      <c r="AA2" s="79"/>
      <c r="AB2" s="311">
        <f ca="1">INT((TODAY()-M2)/365)</f>
        <v>42</v>
      </c>
    </row>
    <row r="3" spans="1:39" ht="15.75" customHeight="1">
      <c r="A3" s="944">
        <v>13</v>
      </c>
      <c r="B3" s="305" t="s">
        <v>4173</v>
      </c>
      <c r="C3" s="1301" t="s">
        <v>22</v>
      </c>
      <c r="D3" s="420" t="s">
        <v>4174</v>
      </c>
      <c r="E3" s="1062" t="s">
        <v>4175</v>
      </c>
      <c r="F3" s="946" t="s">
        <v>759</v>
      </c>
      <c r="G3" s="337" t="s">
        <v>76</v>
      </c>
      <c r="H3" s="307"/>
      <c r="I3" s="303">
        <v>8637382886</v>
      </c>
      <c r="J3" s="303">
        <v>8637382886</v>
      </c>
      <c r="K3" s="274" t="s">
        <v>253</v>
      </c>
      <c r="L3" s="125" t="s">
        <v>67</v>
      </c>
      <c r="M3" s="315">
        <v>31784</v>
      </c>
      <c r="N3" s="315">
        <v>53723</v>
      </c>
      <c r="O3" s="315">
        <v>45987</v>
      </c>
      <c r="P3" s="272">
        <v>45681</v>
      </c>
      <c r="Q3" s="272">
        <v>45574</v>
      </c>
      <c r="R3" s="318" t="s">
        <v>4176</v>
      </c>
      <c r="S3" s="285"/>
      <c r="T3" s="318" t="s">
        <v>4177</v>
      </c>
      <c r="U3" s="285"/>
      <c r="V3" s="285"/>
      <c r="W3" s="3"/>
      <c r="X3" s="3"/>
      <c r="Y3" s="3"/>
      <c r="Z3" s="79"/>
      <c r="AA3" s="79"/>
      <c r="AB3" s="311"/>
    </row>
    <row r="4" spans="1:39" ht="15.75" customHeight="1">
      <c r="A4" s="1760">
        <v>16</v>
      </c>
      <c r="B4" s="1761" t="s">
        <v>4178</v>
      </c>
      <c r="C4" s="1762" t="s">
        <v>22</v>
      </c>
      <c r="D4" s="1763" t="s">
        <v>4179</v>
      </c>
      <c r="E4" s="1764" t="s">
        <v>4180</v>
      </c>
      <c r="F4" s="1764" t="s">
        <v>759</v>
      </c>
      <c r="G4" s="1764" t="s">
        <v>77</v>
      </c>
      <c r="H4" s="1762"/>
      <c r="I4" s="1762">
        <v>9861290567</v>
      </c>
      <c r="J4" s="1765">
        <v>9861290567</v>
      </c>
      <c r="K4" s="1764" t="s">
        <v>253</v>
      </c>
      <c r="L4" s="1766" t="s">
        <v>664</v>
      </c>
      <c r="M4" s="1767">
        <v>30512</v>
      </c>
      <c r="N4" s="1767">
        <v>52443</v>
      </c>
      <c r="O4" s="1768">
        <v>45998</v>
      </c>
      <c r="P4" s="1767">
        <v>45002</v>
      </c>
      <c r="Q4" s="1769">
        <v>44961</v>
      </c>
      <c r="R4" s="1770" t="s">
        <v>4181</v>
      </c>
      <c r="S4" s="1771"/>
      <c r="T4" s="1771"/>
      <c r="U4" s="1771"/>
      <c r="V4" s="1049">
        <f>LEN(D4)</f>
        <v>11</v>
      </c>
      <c r="W4" s="1049"/>
      <c r="X4" s="1118"/>
      <c r="Y4" s="1118"/>
      <c r="Z4" s="1118"/>
      <c r="AA4" s="1118"/>
      <c r="AB4" s="1772">
        <f t="shared" ref="AB4:AB5" ca="1" si="0">INT((TODAY()-M4)/365)</f>
        <v>42</v>
      </c>
      <c r="AC4" s="1118"/>
      <c r="AD4" s="1118"/>
      <c r="AE4" s="1118"/>
      <c r="AF4" s="1118"/>
      <c r="AG4" s="1118"/>
      <c r="AH4" s="1118"/>
      <c r="AI4" s="1118"/>
      <c r="AJ4" s="1118"/>
      <c r="AK4" s="1118"/>
      <c r="AL4" s="1118"/>
      <c r="AM4" s="1118"/>
    </row>
    <row r="5" spans="1:39">
      <c r="A5" s="944">
        <v>17</v>
      </c>
      <c r="B5" s="426" t="s">
        <v>4182</v>
      </c>
      <c r="C5" s="18" t="s">
        <v>21</v>
      </c>
      <c r="D5" s="427" t="s">
        <v>4183</v>
      </c>
      <c r="E5" s="620" t="s">
        <v>4184</v>
      </c>
      <c r="F5" s="946" t="s">
        <v>759</v>
      </c>
      <c r="G5" s="18" t="s">
        <v>77</v>
      </c>
      <c r="H5" s="275"/>
      <c r="I5" s="475">
        <v>918249408498</v>
      </c>
      <c r="J5" s="3"/>
      <c r="K5" s="274" t="s">
        <v>253</v>
      </c>
      <c r="L5" s="274" t="s">
        <v>65</v>
      </c>
      <c r="M5" s="418">
        <v>27065</v>
      </c>
      <c r="N5" s="418">
        <v>49003</v>
      </c>
      <c r="O5" s="428">
        <v>45205</v>
      </c>
      <c r="P5" s="418">
        <v>45738</v>
      </c>
      <c r="Q5" s="418">
        <v>45804</v>
      </c>
      <c r="R5" s="280"/>
      <c r="S5" s="281" t="s">
        <v>4185</v>
      </c>
      <c r="T5" s="281" t="s">
        <v>4186</v>
      </c>
      <c r="U5" s="280"/>
      <c r="V5" s="285"/>
      <c r="W5" s="79"/>
      <c r="X5" s="79"/>
      <c r="Y5" s="79"/>
      <c r="Z5" s="79"/>
      <c r="AA5" s="79"/>
      <c r="AB5" s="311">
        <f t="shared" ca="1" si="0"/>
        <v>52</v>
      </c>
      <c r="AD5" s="79"/>
      <c r="AE5" s="79"/>
      <c r="AF5" s="79"/>
      <c r="AG5" s="79"/>
      <c r="AH5" s="79"/>
    </row>
    <row r="6" spans="1:39" ht="15.75" customHeight="1">
      <c r="A6" s="1689"/>
      <c r="B6" s="1773" t="s">
        <v>4187</v>
      </c>
      <c r="C6" s="284" t="s">
        <v>22</v>
      </c>
      <c r="D6" s="1599" t="s">
        <v>4188</v>
      </c>
      <c r="E6" s="1370" t="s">
        <v>4189</v>
      </c>
      <c r="F6" s="274" t="s">
        <v>3258</v>
      </c>
      <c r="G6" s="284" t="s">
        <v>76</v>
      </c>
      <c r="H6" s="391"/>
      <c r="I6" s="475">
        <v>916201192438</v>
      </c>
      <c r="J6" s="284"/>
      <c r="K6" s="274" t="s">
        <v>253</v>
      </c>
      <c r="L6" s="274" t="s">
        <v>299</v>
      </c>
      <c r="M6" s="272">
        <v>36036</v>
      </c>
      <c r="N6" s="272">
        <f>EOMONTH(M6,(12*60))</f>
        <v>57953</v>
      </c>
      <c r="O6" s="400"/>
      <c r="P6" s="279"/>
      <c r="Q6" s="418"/>
      <c r="R6" s="338"/>
      <c r="S6" s="393"/>
      <c r="T6" s="403"/>
      <c r="U6" s="393"/>
      <c r="V6" s="383"/>
      <c r="W6" s="395"/>
      <c r="X6" s="79"/>
      <c r="Y6" s="395"/>
      <c r="Z6" s="79"/>
      <c r="AA6" s="383"/>
      <c r="AB6" s="282"/>
      <c r="AC6" s="383"/>
      <c r="AD6" s="383"/>
      <c r="AE6" s="383"/>
      <c r="AF6" s="383"/>
      <c r="AG6" s="383"/>
      <c r="AH6" s="383"/>
      <c r="AI6" s="384"/>
      <c r="AJ6" s="384"/>
      <c r="AK6" s="384"/>
      <c r="AL6" s="384"/>
      <c r="AM6" s="384"/>
    </row>
    <row r="7" spans="1:39" ht="15.75" customHeight="1">
      <c r="A7" s="944">
        <v>21</v>
      </c>
      <c r="B7" s="305" t="s">
        <v>4190</v>
      </c>
      <c r="C7" s="303" t="s">
        <v>22</v>
      </c>
      <c r="D7" s="1460" t="s">
        <v>4191</v>
      </c>
      <c r="E7" s="681" t="s">
        <v>4192</v>
      </c>
      <c r="F7" s="946" t="s">
        <v>759</v>
      </c>
      <c r="G7" s="337" t="s">
        <v>76</v>
      </c>
      <c r="H7" s="307"/>
      <c r="I7" s="475">
        <v>919230985263</v>
      </c>
      <c r="J7" s="307"/>
      <c r="K7" s="274" t="s">
        <v>253</v>
      </c>
      <c r="L7" s="18" t="s">
        <v>62</v>
      </c>
      <c r="M7" s="315">
        <v>30688</v>
      </c>
      <c r="N7" s="315">
        <v>52627</v>
      </c>
      <c r="O7" s="315">
        <v>45340</v>
      </c>
      <c r="P7" s="272">
        <v>45165</v>
      </c>
      <c r="Q7" s="272">
        <v>45636</v>
      </c>
      <c r="R7" s="318" t="s">
        <v>4193</v>
      </c>
      <c r="S7" s="285"/>
      <c r="T7" s="317"/>
      <c r="U7" s="285"/>
      <c r="V7" s="285"/>
      <c r="W7" s="3"/>
      <c r="X7" s="90"/>
      <c r="Y7" s="90"/>
      <c r="AB7" s="311"/>
      <c r="AC7" s="311"/>
      <c r="AD7" s="311"/>
      <c r="AE7" s="311"/>
      <c r="AF7" s="311"/>
      <c r="AG7" s="311"/>
      <c r="AH7" s="311"/>
      <c r="AI7" s="311"/>
      <c r="AJ7" s="311"/>
      <c r="AK7" s="311"/>
      <c r="AL7" s="311"/>
      <c r="AM7" s="311"/>
    </row>
    <row r="8" spans="1:39" ht="15.75" customHeight="1">
      <c r="A8" s="944">
        <v>22</v>
      </c>
      <c r="B8" s="426" t="s">
        <v>4194</v>
      </c>
      <c r="C8" s="18" t="s">
        <v>21</v>
      </c>
      <c r="D8" s="427" t="s">
        <v>4195</v>
      </c>
      <c r="E8" s="18" t="s">
        <v>4196</v>
      </c>
      <c r="F8" s="674" t="s">
        <v>759</v>
      </c>
      <c r="G8" s="18" t="s">
        <v>77</v>
      </c>
      <c r="H8" s="275"/>
      <c r="I8" s="475">
        <v>917278385356</v>
      </c>
      <c r="J8" s="433"/>
      <c r="K8" s="274" t="s">
        <v>253</v>
      </c>
      <c r="L8" s="274" t="s">
        <v>54</v>
      </c>
      <c r="M8" s="418">
        <v>32836</v>
      </c>
      <c r="N8" s="418">
        <v>54757</v>
      </c>
      <c r="O8" s="428">
        <v>46147</v>
      </c>
      <c r="P8" s="272">
        <v>45566</v>
      </c>
      <c r="Q8" s="1683">
        <v>45605</v>
      </c>
      <c r="R8" s="429" t="s">
        <v>4197</v>
      </c>
      <c r="S8" s="430"/>
      <c r="T8" s="280"/>
      <c r="U8" s="280"/>
      <c r="V8" s="280"/>
      <c r="W8" s="282">
        <f t="shared" ref="W8:W9" ca="1" si="1">INT((TODAY()-M8)/365)</f>
        <v>36</v>
      </c>
    </row>
    <row r="9" spans="1:39" ht="15.75" customHeight="1">
      <c r="A9" s="944">
        <v>30</v>
      </c>
      <c r="B9" s="971" t="s">
        <v>4198</v>
      </c>
      <c r="C9" s="1301" t="s">
        <v>20</v>
      </c>
      <c r="D9" s="427" t="s">
        <v>4199</v>
      </c>
      <c r="E9" s="973" t="s">
        <v>4200</v>
      </c>
      <c r="F9" s="674" t="s">
        <v>759</v>
      </c>
      <c r="G9" s="18" t="s">
        <v>78</v>
      </c>
      <c r="H9" s="275"/>
      <c r="I9" s="18">
        <v>9694403532</v>
      </c>
      <c r="J9" s="18">
        <v>9694403532</v>
      </c>
      <c r="K9" s="274" t="s">
        <v>253</v>
      </c>
      <c r="L9" s="274" t="s">
        <v>65</v>
      </c>
      <c r="M9" s="418">
        <v>34005</v>
      </c>
      <c r="N9" s="418">
        <v>55943</v>
      </c>
      <c r="O9" s="440">
        <v>46511</v>
      </c>
      <c r="P9" s="418">
        <v>45459</v>
      </c>
      <c r="Q9" s="418">
        <v>45382</v>
      </c>
      <c r="R9" s="281" t="s">
        <v>4201</v>
      </c>
      <c r="S9" s="281" t="s">
        <v>4202</v>
      </c>
      <c r="T9" s="280"/>
      <c r="U9" s="280"/>
      <c r="V9" s="280"/>
      <c r="W9" s="282">
        <f t="shared" ca="1" si="1"/>
        <v>33</v>
      </c>
    </row>
    <row r="10" spans="1:39" ht="12" customHeight="1">
      <c r="A10" s="944">
        <v>31</v>
      </c>
      <c r="B10" s="426" t="s">
        <v>4203</v>
      </c>
      <c r="C10" s="18" t="s">
        <v>21</v>
      </c>
      <c r="D10" s="427" t="s">
        <v>4204</v>
      </c>
      <c r="E10" s="681" t="s">
        <v>4205</v>
      </c>
      <c r="F10" s="674" t="s">
        <v>759</v>
      </c>
      <c r="G10" s="18" t="s">
        <v>76</v>
      </c>
      <c r="H10" s="275"/>
      <c r="I10" s="475">
        <v>918388886769</v>
      </c>
      <c r="J10" s="433"/>
      <c r="K10" s="274" t="s">
        <v>253</v>
      </c>
      <c r="L10" s="125" t="s">
        <v>69</v>
      </c>
      <c r="M10" s="418">
        <v>33401</v>
      </c>
      <c r="N10" s="418">
        <v>55334</v>
      </c>
      <c r="O10" s="428">
        <v>46138</v>
      </c>
      <c r="P10" s="272">
        <v>45566</v>
      </c>
      <c r="Q10" s="418">
        <v>45605</v>
      </c>
      <c r="R10" s="281" t="s">
        <v>4206</v>
      </c>
      <c r="S10" s="638" t="s">
        <v>4207</v>
      </c>
      <c r="T10" s="79"/>
      <c r="U10" s="79"/>
      <c r="V10" s="280"/>
      <c r="W10" s="282"/>
      <c r="X10" s="79"/>
      <c r="Y10" s="79"/>
      <c r="Z10" s="79"/>
      <c r="AA10" s="79"/>
      <c r="AB10" s="79"/>
      <c r="AC10" s="79"/>
      <c r="AD10" s="79"/>
      <c r="AE10" s="79"/>
    </row>
    <row r="11" spans="1:39" ht="15.75" customHeight="1">
      <c r="A11" s="944">
        <v>32</v>
      </c>
      <c r="B11" s="1774" t="s">
        <v>4208</v>
      </c>
      <c r="C11" s="18" t="s">
        <v>22</v>
      </c>
      <c r="D11" s="427" t="s">
        <v>4209</v>
      </c>
      <c r="E11" s="18" t="s">
        <v>4210</v>
      </c>
      <c r="F11" s="674" t="s">
        <v>759</v>
      </c>
      <c r="G11" s="18" t="s">
        <v>77</v>
      </c>
      <c r="H11" s="275"/>
      <c r="I11" s="475">
        <v>919046451708</v>
      </c>
      <c r="J11" s="433"/>
      <c r="K11" s="274" t="s">
        <v>253</v>
      </c>
      <c r="L11" s="125" t="s">
        <v>57</v>
      </c>
      <c r="M11" s="418">
        <v>33073</v>
      </c>
      <c r="N11" s="418">
        <v>53904</v>
      </c>
      <c r="O11" s="428">
        <v>45854</v>
      </c>
      <c r="P11" s="418">
        <v>45485</v>
      </c>
      <c r="Q11" s="981">
        <v>45353</v>
      </c>
      <c r="R11" s="281" t="s">
        <v>4211</v>
      </c>
      <c r="S11" s="79"/>
      <c r="T11" s="79"/>
      <c r="U11" s="79"/>
      <c r="V11" s="280"/>
      <c r="W11" s="282">
        <f ca="1">INT((TODAY()-M11)/365)</f>
        <v>35</v>
      </c>
    </row>
    <row r="12" spans="1:39" ht="18.75">
      <c r="A12" s="944">
        <v>40</v>
      </c>
      <c r="B12" s="305" t="s">
        <v>4212</v>
      </c>
      <c r="C12" s="303" t="s">
        <v>22</v>
      </c>
      <c r="D12" s="420" t="s">
        <v>4213</v>
      </c>
      <c r="E12" s="681" t="s">
        <v>4214</v>
      </c>
      <c r="F12" s="946" t="s">
        <v>759</v>
      </c>
      <c r="G12" s="337" t="s">
        <v>76</v>
      </c>
      <c r="H12" s="307"/>
      <c r="I12" s="303">
        <v>7908023963</v>
      </c>
      <c r="J12" s="303">
        <v>7797414604</v>
      </c>
      <c r="K12" s="274" t="s">
        <v>253</v>
      </c>
      <c r="L12" s="274" t="s">
        <v>55</v>
      </c>
      <c r="M12" s="315">
        <v>29962</v>
      </c>
      <c r="N12" s="315">
        <v>51897</v>
      </c>
      <c r="O12" s="315">
        <v>46013</v>
      </c>
      <c r="P12" s="981">
        <v>45905</v>
      </c>
      <c r="Q12" s="418">
        <v>45916</v>
      </c>
      <c r="R12" s="317"/>
      <c r="S12" s="285"/>
      <c r="T12" s="317"/>
      <c r="U12" s="285"/>
      <c r="V12" s="285"/>
      <c r="W12" s="3"/>
      <c r="X12" s="90"/>
      <c r="Y12" s="90"/>
      <c r="AB12" s="311"/>
    </row>
    <row r="13" spans="1:39" ht="15.75" customHeight="1">
      <c r="A13" s="944">
        <v>44</v>
      </c>
      <c r="B13" s="305" t="s">
        <v>4215</v>
      </c>
      <c r="C13" s="1301" t="s">
        <v>22</v>
      </c>
      <c r="D13" s="420" t="s">
        <v>4216</v>
      </c>
      <c r="E13" s="1136" t="s">
        <v>4217</v>
      </c>
      <c r="F13" s="946" t="s">
        <v>759</v>
      </c>
      <c r="G13" s="337" t="s">
        <v>76</v>
      </c>
      <c r="H13" s="307"/>
      <c r="I13" s="303">
        <v>9123035464</v>
      </c>
      <c r="J13" s="303">
        <v>9143277651</v>
      </c>
      <c r="K13" s="274" t="s">
        <v>253</v>
      </c>
      <c r="L13" s="274" t="s">
        <v>299</v>
      </c>
      <c r="M13" s="315">
        <v>31173</v>
      </c>
      <c r="N13" s="315">
        <v>53113</v>
      </c>
      <c r="O13" s="315">
        <v>45953</v>
      </c>
      <c r="P13" s="272">
        <v>45681</v>
      </c>
      <c r="Q13" s="272">
        <v>45536</v>
      </c>
      <c r="R13" s="318" t="s">
        <v>4218</v>
      </c>
      <c r="S13" s="285"/>
      <c r="T13" s="318" t="s">
        <v>4219</v>
      </c>
      <c r="U13" s="285"/>
      <c r="V13" s="285"/>
      <c r="W13" s="3"/>
      <c r="X13" s="3"/>
      <c r="Y13" s="3"/>
      <c r="Z13" s="79"/>
      <c r="AA13" s="79"/>
      <c r="AB13" s="311"/>
    </row>
    <row r="14" spans="1:39" ht="15.75" customHeight="1">
      <c r="A14" s="944">
        <v>45</v>
      </c>
      <c r="B14" s="276" t="s">
        <v>4220</v>
      </c>
      <c r="C14" s="405" t="s">
        <v>22</v>
      </c>
      <c r="D14" s="1570" t="s">
        <v>4221</v>
      </c>
      <c r="E14" s="938" t="s">
        <v>4222</v>
      </c>
      <c r="F14" s="946" t="s">
        <v>759</v>
      </c>
      <c r="G14" s="337" t="s">
        <v>76</v>
      </c>
      <c r="H14" s="307"/>
      <c r="I14" s="307">
        <v>9002079026</v>
      </c>
      <c r="J14" s="307">
        <v>9002079026</v>
      </c>
      <c r="K14" s="274" t="s">
        <v>253</v>
      </c>
      <c r="L14" s="274" t="s">
        <v>299</v>
      </c>
      <c r="M14" s="315">
        <v>25583</v>
      </c>
      <c r="N14" s="315">
        <v>47514</v>
      </c>
      <c r="O14" s="315">
        <v>45586</v>
      </c>
      <c r="P14" s="315">
        <v>45637</v>
      </c>
      <c r="Q14" s="302">
        <v>45731</v>
      </c>
      <c r="R14" s="318" t="s">
        <v>4223</v>
      </c>
      <c r="S14" s="79"/>
      <c r="T14" s="318" t="s">
        <v>4224</v>
      </c>
      <c r="U14" s="285"/>
      <c r="V14" s="285"/>
      <c r="W14" s="3"/>
      <c r="X14" s="3"/>
      <c r="Y14" s="3"/>
      <c r="Z14" s="79"/>
      <c r="AA14" s="79"/>
      <c r="AB14" s="311">
        <f ca="1">INT((TODAY()-M14)/365)</f>
        <v>56</v>
      </c>
      <c r="AC14" s="311"/>
      <c r="AD14" s="311"/>
      <c r="AE14" s="311"/>
      <c r="AF14" s="311"/>
      <c r="AG14" s="311"/>
      <c r="AH14" s="311"/>
      <c r="AI14" s="311"/>
      <c r="AJ14" s="311"/>
      <c r="AK14" s="311"/>
      <c r="AL14" s="311"/>
      <c r="AM14" s="311"/>
    </row>
    <row r="15" spans="1:39" ht="15.75" customHeight="1">
      <c r="A15" s="944">
        <v>50</v>
      </c>
      <c r="B15" s="305" t="s">
        <v>4225</v>
      </c>
      <c r="C15" s="1301" t="s">
        <v>22</v>
      </c>
      <c r="D15" s="1460" t="s">
        <v>4226</v>
      </c>
      <c r="E15" s="1136" t="s">
        <v>4227</v>
      </c>
      <c r="F15" s="946" t="s">
        <v>759</v>
      </c>
      <c r="G15" s="337" t="s">
        <v>76</v>
      </c>
      <c r="H15" s="307"/>
      <c r="I15" s="303">
        <v>8961717213</v>
      </c>
      <c r="J15" s="307"/>
      <c r="K15" s="274" t="s">
        <v>253</v>
      </c>
      <c r="L15" s="125" t="s">
        <v>69</v>
      </c>
      <c r="M15" s="315">
        <v>34252</v>
      </c>
      <c r="N15" s="315">
        <v>56188</v>
      </c>
      <c r="O15" s="315">
        <v>45123</v>
      </c>
      <c r="P15" s="272">
        <v>45323</v>
      </c>
      <c r="Q15" s="272">
        <v>45323</v>
      </c>
      <c r="R15" s="318" t="s">
        <v>4228</v>
      </c>
      <c r="S15" s="285"/>
      <c r="T15" s="317"/>
      <c r="U15" s="285"/>
      <c r="V15" s="285"/>
      <c r="W15" s="3"/>
      <c r="X15" s="3"/>
      <c r="Y15" s="395"/>
      <c r="Z15" s="79"/>
      <c r="AA15" s="383"/>
      <c r="AB15" s="208"/>
      <c r="AC15" s="384"/>
      <c r="AD15" s="384"/>
      <c r="AE15" s="384"/>
      <c r="AF15" s="384"/>
      <c r="AG15" s="384"/>
      <c r="AH15" s="384"/>
      <c r="AI15" s="384"/>
      <c r="AJ15" s="384"/>
      <c r="AK15" s="384"/>
      <c r="AL15" s="384"/>
      <c r="AM15" s="384"/>
    </row>
    <row r="16" spans="1:39" ht="15.75" customHeight="1">
      <c r="A16" s="944">
        <v>56</v>
      </c>
      <c r="B16" s="305" t="s">
        <v>4229</v>
      </c>
      <c r="C16" s="1301" t="s">
        <v>22</v>
      </c>
      <c r="D16" s="1460" t="s">
        <v>4230</v>
      </c>
      <c r="E16" s="1136" t="s">
        <v>4231</v>
      </c>
      <c r="F16" s="946" t="s">
        <v>759</v>
      </c>
      <c r="G16" s="337" t="s">
        <v>76</v>
      </c>
      <c r="H16" s="307"/>
      <c r="I16" s="475">
        <v>919333221435</v>
      </c>
      <c r="J16" s="307"/>
      <c r="K16" s="274" t="s">
        <v>253</v>
      </c>
      <c r="L16" s="303" t="s">
        <v>256</v>
      </c>
      <c r="M16" s="315">
        <v>31841</v>
      </c>
      <c r="N16" s="315">
        <v>53782</v>
      </c>
      <c r="O16" s="315">
        <v>45964</v>
      </c>
      <c r="P16" s="272">
        <v>45681</v>
      </c>
      <c r="Q16" s="418">
        <v>45693</v>
      </c>
      <c r="R16" s="318" t="s">
        <v>4232</v>
      </c>
      <c r="S16" s="318" t="s">
        <v>4233</v>
      </c>
      <c r="T16" s="285"/>
      <c r="U16" s="285"/>
      <c r="V16" s="285"/>
      <c r="W16" s="3"/>
      <c r="X16" s="3"/>
      <c r="Y16" s="3"/>
      <c r="Z16" s="79"/>
      <c r="AA16" s="79"/>
      <c r="AB16" s="311"/>
    </row>
    <row r="17" spans="1:39" ht="15.75" customHeight="1">
      <c r="A17" s="944">
        <v>63</v>
      </c>
      <c r="B17" s="426" t="s">
        <v>4234</v>
      </c>
      <c r="C17" s="1121" t="s">
        <v>22</v>
      </c>
      <c r="D17" s="427" t="s">
        <v>4235</v>
      </c>
      <c r="E17" s="1136" t="s">
        <v>4236</v>
      </c>
      <c r="F17" s="674" t="s">
        <v>759</v>
      </c>
      <c r="G17" s="18" t="s">
        <v>77</v>
      </c>
      <c r="H17" s="275"/>
      <c r="I17" s="475">
        <v>919800305824</v>
      </c>
      <c r="J17" s="3"/>
      <c r="K17" s="274" t="s">
        <v>253</v>
      </c>
      <c r="L17" s="274" t="s">
        <v>351</v>
      </c>
      <c r="M17" s="418">
        <v>32859</v>
      </c>
      <c r="N17" s="418">
        <v>54788</v>
      </c>
      <c r="O17" s="428">
        <v>45860</v>
      </c>
      <c r="P17" s="418">
        <v>45485</v>
      </c>
      <c r="Q17" s="418">
        <v>45353</v>
      </c>
      <c r="R17" s="281" t="s">
        <v>4237</v>
      </c>
      <c r="S17" s="281" t="s">
        <v>4238</v>
      </c>
      <c r="T17" s="280"/>
      <c r="U17" s="280"/>
      <c r="V17" s="280"/>
      <c r="W17" s="282">
        <f ca="1">INT((TODAY()-M17)/365)</f>
        <v>36</v>
      </c>
      <c r="X17" s="79"/>
      <c r="Y17" s="395"/>
      <c r="Z17" s="79"/>
      <c r="AA17" s="383"/>
      <c r="AB17" s="208"/>
      <c r="AC17" s="384"/>
      <c r="AD17" s="384"/>
      <c r="AE17" s="384"/>
      <c r="AF17" s="384"/>
      <c r="AG17" s="384"/>
      <c r="AH17" s="384"/>
      <c r="AI17" s="384"/>
      <c r="AJ17" s="384"/>
      <c r="AK17" s="384"/>
      <c r="AL17" s="384"/>
      <c r="AM17" s="384"/>
    </row>
    <row r="18" spans="1:39" ht="15.75" customHeight="1">
      <c r="A18" s="944">
        <v>67</v>
      </c>
      <c r="B18" s="426" t="s">
        <v>4239</v>
      </c>
      <c r="C18" s="18" t="s">
        <v>21</v>
      </c>
      <c r="D18" s="1775" t="s">
        <v>4240</v>
      </c>
      <c r="E18" s="681" t="s">
        <v>4241</v>
      </c>
      <c r="F18" s="674" t="s">
        <v>759</v>
      </c>
      <c r="G18" s="18" t="s">
        <v>77</v>
      </c>
      <c r="H18" s="275"/>
      <c r="I18" s="475">
        <v>919902314400</v>
      </c>
      <c r="J18" s="3"/>
      <c r="K18" s="274" t="s">
        <v>253</v>
      </c>
      <c r="L18" s="274" t="s">
        <v>59</v>
      </c>
      <c r="M18" s="418">
        <v>33264</v>
      </c>
      <c r="N18" s="418">
        <v>55184</v>
      </c>
      <c r="O18" s="428">
        <v>46147</v>
      </c>
      <c r="P18" s="272">
        <v>45566</v>
      </c>
      <c r="Q18" s="418">
        <v>45605</v>
      </c>
      <c r="R18" s="429" t="s">
        <v>4242</v>
      </c>
      <c r="S18" s="281" t="s">
        <v>4243</v>
      </c>
      <c r="T18" s="280"/>
      <c r="U18" s="280"/>
      <c r="V18" s="280"/>
      <c r="W18" s="282"/>
      <c r="X18" s="79"/>
    </row>
    <row r="19" spans="1:39" ht="15.75" customHeight="1">
      <c r="A19" s="944">
        <v>68</v>
      </c>
      <c r="B19" s="426" t="s">
        <v>4244</v>
      </c>
      <c r="C19" s="18" t="s">
        <v>21</v>
      </c>
      <c r="D19" s="427" t="s">
        <v>4245</v>
      </c>
      <c r="E19" s="681" t="s">
        <v>4246</v>
      </c>
      <c r="F19" s="674" t="s">
        <v>759</v>
      </c>
      <c r="G19" s="18" t="s">
        <v>76</v>
      </c>
      <c r="H19" s="275"/>
      <c r="I19" s="475">
        <v>919564062905</v>
      </c>
      <c r="J19" s="3"/>
      <c r="K19" s="274" t="s">
        <v>253</v>
      </c>
      <c r="L19" s="274" t="s">
        <v>256</v>
      </c>
      <c r="M19" s="418">
        <v>33257</v>
      </c>
      <c r="N19" s="418">
        <v>55184</v>
      </c>
      <c r="O19" s="428">
        <v>46137</v>
      </c>
      <c r="P19" s="272">
        <v>45566</v>
      </c>
      <c r="Q19" s="418">
        <v>45605</v>
      </c>
      <c r="R19" s="281" t="s">
        <v>4247</v>
      </c>
      <c r="S19" s="281" t="s">
        <v>4248</v>
      </c>
      <c r="T19" s="280"/>
      <c r="U19" s="280"/>
      <c r="V19" s="280"/>
      <c r="W19" s="282"/>
      <c r="X19" s="79"/>
      <c r="Y19" s="395"/>
      <c r="Z19" s="79"/>
      <c r="AA19" s="383"/>
      <c r="AB19" s="282"/>
      <c r="AC19" s="383"/>
      <c r="AD19" s="383"/>
      <c r="AE19" s="383"/>
      <c r="AF19" s="383"/>
      <c r="AG19" s="383"/>
      <c r="AH19" s="383"/>
      <c r="AI19" s="384"/>
      <c r="AJ19" s="384"/>
      <c r="AK19" s="384"/>
      <c r="AL19" s="384"/>
      <c r="AM19" s="384"/>
    </row>
    <row r="20" spans="1:39" ht="15.75" customHeight="1">
      <c r="A20" s="944">
        <v>71</v>
      </c>
      <c r="B20" s="1776" t="s">
        <v>4249</v>
      </c>
      <c r="C20" s="18" t="s">
        <v>21</v>
      </c>
      <c r="D20" s="427" t="s">
        <v>4250</v>
      </c>
      <c r="E20" s="681" t="s">
        <v>4251</v>
      </c>
      <c r="F20" s="674" t="s">
        <v>759</v>
      </c>
      <c r="G20" s="18" t="s">
        <v>77</v>
      </c>
      <c r="H20" s="275"/>
      <c r="I20" s="475">
        <v>919230881646</v>
      </c>
      <c r="J20" s="3"/>
      <c r="K20" s="274" t="s">
        <v>253</v>
      </c>
      <c r="L20" s="274" t="s">
        <v>65</v>
      </c>
      <c r="M20" s="418">
        <v>29900</v>
      </c>
      <c r="N20" s="418">
        <v>51835</v>
      </c>
      <c r="O20" s="428">
        <v>45963</v>
      </c>
      <c r="P20" s="418">
        <v>45176</v>
      </c>
      <c r="Q20" s="418">
        <v>46117</v>
      </c>
      <c r="R20" s="281" t="s">
        <v>4252</v>
      </c>
      <c r="S20" s="281" t="s">
        <v>3564</v>
      </c>
      <c r="T20" s="280"/>
      <c r="U20" s="280"/>
      <c r="V20" s="280"/>
      <c r="W20" s="282">
        <f ca="1">INT((TODAY()-M20)/365)</f>
        <v>44</v>
      </c>
      <c r="X20" s="79"/>
      <c r="Y20" s="395"/>
      <c r="Z20" s="79"/>
      <c r="AA20" s="383"/>
      <c r="AB20" s="282"/>
      <c r="AC20" s="383"/>
      <c r="AD20" s="383"/>
      <c r="AE20" s="383"/>
      <c r="AF20" s="383"/>
      <c r="AG20" s="383"/>
      <c r="AH20" s="383"/>
      <c r="AI20" s="384"/>
      <c r="AJ20" s="384"/>
      <c r="AK20" s="384"/>
      <c r="AL20" s="384"/>
      <c r="AM20" s="384"/>
    </row>
    <row r="21" spans="1:39" ht="15.75" customHeight="1">
      <c r="A21" s="944">
        <v>74</v>
      </c>
      <c r="B21" s="422" t="s">
        <v>4253</v>
      </c>
      <c r="C21" s="18" t="s">
        <v>22</v>
      </c>
      <c r="D21" s="423" t="s">
        <v>4254</v>
      </c>
      <c r="E21" s="681" t="s">
        <v>4255</v>
      </c>
      <c r="F21" s="1024" t="s">
        <v>759</v>
      </c>
      <c r="G21" s="337" t="s">
        <v>77</v>
      </c>
      <c r="H21" s="307"/>
      <c r="I21" s="303">
        <v>8617882816</v>
      </c>
      <c r="J21" s="303">
        <v>8617882816</v>
      </c>
      <c r="K21" s="274" t="s">
        <v>253</v>
      </c>
      <c r="L21" s="274" t="s">
        <v>58</v>
      </c>
      <c r="M21" s="315">
        <v>31391</v>
      </c>
      <c r="N21" s="315">
        <v>53327</v>
      </c>
      <c r="O21" s="315">
        <v>45997</v>
      </c>
      <c r="P21" s="272">
        <v>45165</v>
      </c>
      <c r="Q21" s="272">
        <v>45978</v>
      </c>
      <c r="R21" s="318" t="s">
        <v>4256</v>
      </c>
      <c r="S21" s="285"/>
      <c r="T21" s="317"/>
      <c r="U21" s="285"/>
      <c r="V21" s="285"/>
      <c r="W21" s="3"/>
      <c r="X21" s="3"/>
      <c r="Y21" s="395"/>
      <c r="Z21" s="79"/>
      <c r="AA21" s="383"/>
      <c r="AB21" s="282"/>
      <c r="AC21" s="383"/>
      <c r="AD21" s="383"/>
      <c r="AE21" s="383"/>
      <c r="AF21" s="384"/>
      <c r="AG21" s="384"/>
      <c r="AH21" s="384"/>
      <c r="AI21" s="384"/>
      <c r="AJ21" s="384"/>
      <c r="AK21" s="384"/>
      <c r="AL21" s="384"/>
      <c r="AM21" s="384"/>
    </row>
    <row r="22" spans="1:39">
      <c r="A22" s="944">
        <v>76</v>
      </c>
      <c r="B22" s="401" t="s">
        <v>4257</v>
      </c>
      <c r="C22" s="1777" t="s">
        <v>22</v>
      </c>
      <c r="D22" s="562" t="s">
        <v>4258</v>
      </c>
      <c r="E22" s="703" t="s">
        <v>4259</v>
      </c>
      <c r="F22" s="284" t="s">
        <v>759</v>
      </c>
      <c r="G22" s="703" t="s">
        <v>76</v>
      </c>
      <c r="H22" s="284" t="s">
        <v>266</v>
      </c>
      <c r="I22" s="391">
        <v>9002736388</v>
      </c>
      <c r="J22" s="284">
        <v>9002071088</v>
      </c>
      <c r="K22" s="284" t="s">
        <v>253</v>
      </c>
      <c r="L22" s="284" t="s">
        <v>52</v>
      </c>
      <c r="M22" s="272">
        <v>31483</v>
      </c>
      <c r="N22" s="272">
        <v>53417</v>
      </c>
      <c r="O22" s="272">
        <v>46138</v>
      </c>
      <c r="P22" s="278">
        <v>45499</v>
      </c>
      <c r="Q22" s="419">
        <v>45385</v>
      </c>
      <c r="R22" s="998"/>
      <c r="S22" s="955" t="s">
        <v>4260</v>
      </c>
      <c r="T22" s="955" t="s">
        <v>4261</v>
      </c>
      <c r="U22" s="1778"/>
      <c r="V22" s="1779">
        <f>LEN(D22)</f>
        <v>11</v>
      </c>
      <c r="W22" s="1780"/>
      <c r="X22" s="282">
        <f ca="1">INT((TODAY()-M22)/365)</f>
        <v>40</v>
      </c>
      <c r="Y22" s="395"/>
      <c r="Z22" s="704"/>
      <c r="AA22" s="383"/>
      <c r="AB22" s="282"/>
      <c r="AC22" s="383"/>
      <c r="AD22" s="383"/>
      <c r="AE22" s="383"/>
      <c r="AF22" s="383"/>
      <c r="AG22" s="383"/>
      <c r="AH22" s="383"/>
      <c r="AI22" s="384"/>
      <c r="AJ22" s="384"/>
      <c r="AK22" s="384"/>
      <c r="AL22" s="384"/>
      <c r="AM22" s="384"/>
    </row>
    <row r="23" spans="1:39" ht="15.75" customHeight="1">
      <c r="A23" s="944">
        <v>80</v>
      </c>
      <c r="B23" s="351" t="s">
        <v>4262</v>
      </c>
      <c r="C23" s="274" t="s">
        <v>22</v>
      </c>
      <c r="D23" s="1640" t="s">
        <v>4263</v>
      </c>
      <c r="E23" s="303" t="s">
        <v>4264</v>
      </c>
      <c r="F23" s="946" t="s">
        <v>759</v>
      </c>
      <c r="G23" s="274" t="s">
        <v>76</v>
      </c>
      <c r="H23" s="275"/>
      <c r="I23" s="275">
        <v>7585878790</v>
      </c>
      <c r="J23" s="275">
        <v>7585878790</v>
      </c>
      <c r="K23" s="274" t="s">
        <v>253</v>
      </c>
      <c r="L23" s="445" t="s">
        <v>61</v>
      </c>
      <c r="M23" s="272">
        <v>32664</v>
      </c>
      <c r="N23" s="272">
        <v>54604</v>
      </c>
      <c r="O23" s="320">
        <v>46183</v>
      </c>
      <c r="P23" s="278">
        <v>45562</v>
      </c>
      <c r="Q23" s="419">
        <v>45576</v>
      </c>
      <c r="R23" s="281" t="s">
        <v>4265</v>
      </c>
      <c r="S23" s="280"/>
      <c r="T23" s="281" t="s">
        <v>4266</v>
      </c>
      <c r="U23" s="280"/>
      <c r="V23" s="285"/>
      <c r="W23" s="79"/>
      <c r="X23" s="79"/>
      <c r="Y23" s="79"/>
      <c r="AB23" s="311">
        <f ca="1">INT((TODAY()-M23)/365)</f>
        <v>36</v>
      </c>
      <c r="AC23" s="311"/>
      <c r="AD23" s="311"/>
      <c r="AE23" s="311"/>
      <c r="AF23" s="311"/>
      <c r="AG23" s="311"/>
      <c r="AH23" s="311"/>
      <c r="AI23" s="311"/>
      <c r="AJ23" s="311"/>
      <c r="AK23" s="311"/>
      <c r="AL23" s="311"/>
      <c r="AM23" s="311"/>
    </row>
    <row r="24" spans="1:39" ht="15.75" customHeight="1">
      <c r="A24" s="944">
        <v>81</v>
      </c>
      <c r="B24" s="351" t="s">
        <v>4267</v>
      </c>
      <c r="C24" s="1301" t="s">
        <v>22</v>
      </c>
      <c r="D24" s="1781" t="s">
        <v>4268</v>
      </c>
      <c r="E24" s="1004" t="s">
        <v>4269</v>
      </c>
      <c r="F24" s="674" t="s">
        <v>759</v>
      </c>
      <c r="G24" s="274" t="s">
        <v>76</v>
      </c>
      <c r="H24" s="275"/>
      <c r="I24" s="275">
        <v>9836450477</v>
      </c>
      <c r="J24" s="1782">
        <v>9836450477</v>
      </c>
      <c r="K24" s="274" t="s">
        <v>253</v>
      </c>
      <c r="L24" s="274" t="s">
        <v>61</v>
      </c>
      <c r="M24" s="272">
        <v>32988</v>
      </c>
      <c r="N24" s="272">
        <v>54908</v>
      </c>
      <c r="O24" s="320">
        <v>46526</v>
      </c>
      <c r="P24" s="272">
        <v>45875</v>
      </c>
      <c r="Q24" s="419">
        <v>45891</v>
      </c>
      <c r="R24" s="281" t="s">
        <v>4270</v>
      </c>
      <c r="S24" s="280"/>
      <c r="T24" s="338"/>
      <c r="U24" s="280"/>
      <c r="V24" s="285"/>
      <c r="W24" s="282">
        <f ca="1">INT((TODAY()-M24)/365)</f>
        <v>35</v>
      </c>
      <c r="X24" s="79"/>
      <c r="Y24" s="79"/>
      <c r="Z24" s="79"/>
      <c r="AA24" s="79"/>
    </row>
    <row r="25" spans="1:39" ht="15.75" customHeight="1">
      <c r="A25" s="1006">
        <v>10</v>
      </c>
      <c r="B25" s="426" t="s">
        <v>4271</v>
      </c>
      <c r="C25" s="18" t="s">
        <v>22</v>
      </c>
      <c r="D25" s="427" t="s">
        <v>4272</v>
      </c>
      <c r="E25" s="18" t="s">
        <v>4273</v>
      </c>
      <c r="F25" s="18" t="s">
        <v>3258</v>
      </c>
      <c r="G25" s="18" t="s">
        <v>78</v>
      </c>
      <c r="H25" s="275"/>
      <c r="I25" s="461">
        <v>9147918116</v>
      </c>
      <c r="J25" s="433"/>
      <c r="K25" s="274" t="s">
        <v>253</v>
      </c>
      <c r="L25" s="274" t="s">
        <v>50</v>
      </c>
      <c r="M25" s="418">
        <v>30350</v>
      </c>
      <c r="N25" s="418">
        <v>52290</v>
      </c>
      <c r="O25" s="428">
        <v>45963</v>
      </c>
      <c r="P25" s="418">
        <v>45199</v>
      </c>
      <c r="Q25" s="418">
        <v>45136</v>
      </c>
      <c r="R25" s="429" t="s">
        <v>4274</v>
      </c>
      <c r="S25" s="430"/>
      <c r="T25" s="430"/>
      <c r="U25" s="430"/>
      <c r="V25" s="430"/>
      <c r="X25" s="1220">
        <f ca="1">INT((TODAY()-M25)/365)</f>
        <v>43</v>
      </c>
    </row>
    <row r="26" spans="1:39" ht="15.75" customHeight="1">
      <c r="A26" s="980">
        <v>44</v>
      </c>
      <c r="B26" s="422" t="s">
        <v>4275</v>
      </c>
      <c r="C26" s="18" t="s">
        <v>22</v>
      </c>
      <c r="D26" s="423" t="s">
        <v>4276</v>
      </c>
      <c r="E26" s="681" t="s">
        <v>4277</v>
      </c>
      <c r="F26" s="946" t="s">
        <v>759</v>
      </c>
      <c r="G26" s="337" t="s">
        <v>76</v>
      </c>
      <c r="H26" s="307"/>
      <c r="I26" s="887">
        <v>919230881592</v>
      </c>
      <c r="J26" s="303">
        <v>9908751276</v>
      </c>
      <c r="K26" s="274" t="s">
        <v>253</v>
      </c>
      <c r="L26" s="303" t="s">
        <v>44</v>
      </c>
      <c r="M26" s="315">
        <v>34135</v>
      </c>
      <c r="N26" s="315">
        <v>56065</v>
      </c>
      <c r="O26" s="315">
        <v>45750</v>
      </c>
      <c r="P26" s="418">
        <v>45738</v>
      </c>
      <c r="Q26" s="272">
        <v>45542</v>
      </c>
      <c r="R26" s="318" t="s">
        <v>4278</v>
      </c>
      <c r="S26" s="285"/>
      <c r="T26" s="317"/>
      <c r="U26" s="285"/>
      <c r="V26" s="285"/>
      <c r="W26" s="90"/>
      <c r="X26" s="3"/>
      <c r="Y26" s="395"/>
      <c r="Z26" s="79"/>
      <c r="AA26" s="383"/>
      <c r="AB26" s="282"/>
      <c r="AC26" s="383"/>
      <c r="AD26" s="383"/>
      <c r="AE26" s="383"/>
      <c r="AF26" s="384"/>
      <c r="AG26" s="384"/>
      <c r="AH26" s="384"/>
      <c r="AI26" s="384"/>
      <c r="AJ26" s="384"/>
      <c r="AK26" s="384"/>
      <c r="AL26" s="384"/>
      <c r="AM26" s="384"/>
    </row>
    <row r="27" spans="1:39" ht="15.75" customHeight="1">
      <c r="A27" s="980">
        <v>51</v>
      </c>
      <c r="B27" s="422" t="s">
        <v>4279</v>
      </c>
      <c r="C27" s="18" t="s">
        <v>22</v>
      </c>
      <c r="D27" s="423" t="s">
        <v>4280</v>
      </c>
      <c r="E27" s="681" t="s">
        <v>4281</v>
      </c>
      <c r="F27" s="946" t="s">
        <v>759</v>
      </c>
      <c r="G27" s="337" t="s">
        <v>76</v>
      </c>
      <c r="H27" s="307"/>
      <c r="I27" s="703">
        <v>8617796331</v>
      </c>
      <c r="J27" s="303">
        <v>8479843499</v>
      </c>
      <c r="K27" s="274" t="s">
        <v>253</v>
      </c>
      <c r="L27" s="537" t="s">
        <v>48</v>
      </c>
      <c r="M27" s="315">
        <v>31107</v>
      </c>
      <c r="N27" s="315">
        <v>53052</v>
      </c>
      <c r="O27" s="315">
        <v>45997</v>
      </c>
      <c r="P27" s="272">
        <v>44988</v>
      </c>
      <c r="Q27" s="272">
        <v>46117</v>
      </c>
      <c r="R27" s="318" t="s">
        <v>4282</v>
      </c>
      <c r="S27" s="285"/>
      <c r="T27" s="317"/>
      <c r="U27" s="285"/>
      <c r="V27" s="285"/>
      <c r="W27" s="90"/>
      <c r="X27" s="3"/>
      <c r="Y27" s="395"/>
      <c r="Z27" s="79"/>
      <c r="AA27" s="383"/>
      <c r="AB27" s="282"/>
      <c r="AC27" s="383"/>
      <c r="AD27" s="383"/>
      <c r="AE27" s="383"/>
      <c r="AF27" s="383"/>
      <c r="AG27" s="383"/>
      <c r="AH27" s="383"/>
      <c r="AI27" s="384"/>
      <c r="AJ27" s="384"/>
      <c r="AK27" s="384"/>
      <c r="AL27" s="384"/>
      <c r="AM27" s="384"/>
    </row>
    <row r="28" spans="1:39" ht="15.75" customHeight="1">
      <c r="A28" s="1006">
        <v>24</v>
      </c>
      <c r="B28" s="422" t="s">
        <v>4283</v>
      </c>
      <c r="C28" s="18" t="s">
        <v>22</v>
      </c>
      <c r="D28" s="423" t="s">
        <v>4284</v>
      </c>
      <c r="E28" s="681" t="s">
        <v>4285</v>
      </c>
      <c r="F28" s="946" t="s">
        <v>759</v>
      </c>
      <c r="G28" s="337" t="s">
        <v>77</v>
      </c>
      <c r="H28" s="307"/>
      <c r="I28" s="461">
        <v>8910125949</v>
      </c>
      <c r="J28" s="303">
        <v>8910125949</v>
      </c>
      <c r="K28" s="274" t="s">
        <v>253</v>
      </c>
      <c r="L28" s="274" t="s">
        <v>59</v>
      </c>
      <c r="M28" s="315">
        <v>31725</v>
      </c>
      <c r="N28" s="315">
        <v>53661</v>
      </c>
      <c r="O28" s="315">
        <v>46012</v>
      </c>
      <c r="P28" s="272">
        <v>45151</v>
      </c>
      <c r="Q28" s="1058">
        <v>45113</v>
      </c>
      <c r="R28" s="339" t="s">
        <v>4286</v>
      </c>
      <c r="V28" s="425"/>
      <c r="W28" s="90"/>
      <c r="X28" s="90"/>
      <c r="Y28" s="90"/>
      <c r="AB28" s="311"/>
    </row>
    <row r="29" spans="1:39" ht="15.75" customHeight="1">
      <c r="A29" s="1006">
        <v>5</v>
      </c>
      <c r="B29" s="691" t="s">
        <v>4287</v>
      </c>
      <c r="C29" s="18" t="s">
        <v>22</v>
      </c>
      <c r="D29" s="423" t="s">
        <v>4288</v>
      </c>
      <c r="E29" s="681" t="s">
        <v>4289</v>
      </c>
      <c r="F29" s="946" t="s">
        <v>759</v>
      </c>
      <c r="G29" s="337" t="s">
        <v>76</v>
      </c>
      <c r="H29" s="307"/>
      <c r="I29" s="303">
        <v>8777725284</v>
      </c>
      <c r="J29" s="303">
        <v>7809542846</v>
      </c>
      <c r="K29" s="274" t="s">
        <v>253</v>
      </c>
      <c r="L29" s="274" t="s">
        <v>50</v>
      </c>
      <c r="M29" s="315">
        <v>30336</v>
      </c>
      <c r="N29" s="315">
        <v>52262</v>
      </c>
      <c r="O29" s="315">
        <v>45997</v>
      </c>
      <c r="P29" s="272">
        <v>45197</v>
      </c>
      <c r="Q29" s="272">
        <v>45197</v>
      </c>
      <c r="R29" s="339" t="s">
        <v>4290</v>
      </c>
      <c r="S29" s="285"/>
      <c r="T29" s="317"/>
      <c r="U29" s="285"/>
      <c r="V29" s="285"/>
      <c r="W29" s="90"/>
      <c r="X29" s="90"/>
      <c r="Y29" s="90"/>
      <c r="AB29" s="311"/>
    </row>
    <row r="30" spans="1:39" ht="15.75" customHeight="1">
      <c r="A30" s="1006">
        <v>28</v>
      </c>
      <c r="B30" s="422" t="s">
        <v>4291</v>
      </c>
      <c r="C30" s="18" t="s">
        <v>22</v>
      </c>
      <c r="D30" s="423" t="s">
        <v>4292</v>
      </c>
      <c r="E30" s="681" t="s">
        <v>4293</v>
      </c>
      <c r="F30" s="946" t="s">
        <v>759</v>
      </c>
      <c r="G30" s="337" t="s">
        <v>77</v>
      </c>
      <c r="H30" s="307"/>
      <c r="I30" s="385">
        <v>9777906965</v>
      </c>
      <c r="J30" s="303">
        <v>9777906965</v>
      </c>
      <c r="K30" s="274" t="s">
        <v>253</v>
      </c>
      <c r="L30" s="274" t="s">
        <v>50</v>
      </c>
      <c r="M30" s="315">
        <v>30493</v>
      </c>
      <c r="N30" s="315">
        <v>52412</v>
      </c>
      <c r="O30" s="315">
        <v>45959</v>
      </c>
      <c r="P30" s="272">
        <v>45197</v>
      </c>
      <c r="Q30" s="272">
        <v>45197</v>
      </c>
      <c r="R30" s="339" t="s">
        <v>4294</v>
      </c>
      <c r="V30" s="425"/>
      <c r="W30" s="90"/>
      <c r="X30" s="90"/>
      <c r="Y30" s="90"/>
      <c r="AB30" s="311"/>
    </row>
    <row r="31" spans="1:39" ht="15.75" customHeight="1">
      <c r="A31" s="1783">
        <v>1</v>
      </c>
      <c r="B31" s="305" t="s">
        <v>4295</v>
      </c>
      <c r="C31" s="303" t="s">
        <v>22</v>
      </c>
      <c r="D31" s="1784" t="s">
        <v>4296</v>
      </c>
      <c r="E31" s="681" t="s">
        <v>4297</v>
      </c>
      <c r="F31" s="946" t="s">
        <v>759</v>
      </c>
      <c r="G31" s="337" t="s">
        <v>77</v>
      </c>
      <c r="H31" s="307"/>
      <c r="I31" s="1785">
        <v>8389882290</v>
      </c>
      <c r="J31" s="307"/>
      <c r="K31" s="274" t="s">
        <v>253</v>
      </c>
      <c r="L31" s="274" t="s">
        <v>54</v>
      </c>
      <c r="M31" s="315">
        <v>31837</v>
      </c>
      <c r="N31" s="315">
        <v>53782</v>
      </c>
      <c r="O31" s="315">
        <v>45522</v>
      </c>
      <c r="P31" s="272">
        <v>45176</v>
      </c>
      <c r="Q31" s="272">
        <v>45190</v>
      </c>
      <c r="R31" s="339" t="s">
        <v>4298</v>
      </c>
      <c r="S31" s="425"/>
      <c r="T31" s="441"/>
      <c r="U31" s="425"/>
      <c r="V31" s="425"/>
      <c r="W31" s="90"/>
      <c r="X31" s="90"/>
      <c r="Y31" s="90"/>
      <c r="AB31" s="311"/>
    </row>
    <row r="32" spans="1:39" ht="15.75" customHeight="1">
      <c r="A32" s="1006">
        <v>17</v>
      </c>
      <c r="B32" s="305" t="s">
        <v>4299</v>
      </c>
      <c r="C32" s="303" t="s">
        <v>22</v>
      </c>
      <c r="D32" s="1696" t="s">
        <v>4300</v>
      </c>
      <c r="E32" s="681" t="s">
        <v>4301</v>
      </c>
      <c r="F32" s="946" t="s">
        <v>759</v>
      </c>
      <c r="G32" s="337" t="s">
        <v>76</v>
      </c>
      <c r="H32" s="307"/>
      <c r="I32" s="1309">
        <v>9735011162</v>
      </c>
      <c r="J32" s="307"/>
      <c r="K32" s="274" t="s">
        <v>253</v>
      </c>
      <c r="L32" s="303" t="s">
        <v>664</v>
      </c>
      <c r="M32" s="315">
        <v>32991</v>
      </c>
      <c r="N32" s="315">
        <v>54908</v>
      </c>
      <c r="O32" s="315">
        <v>45847</v>
      </c>
      <c r="P32" s="272">
        <v>45187</v>
      </c>
      <c r="Q32" s="424">
        <v>46117</v>
      </c>
      <c r="R32" s="339" t="s">
        <v>4302</v>
      </c>
      <c r="S32" s="425"/>
      <c r="T32" s="441"/>
      <c r="U32" s="425"/>
      <c r="V32" s="425"/>
      <c r="W32" s="90"/>
      <c r="X32" s="90"/>
      <c r="Y32" s="90"/>
      <c r="AB32" s="311"/>
    </row>
    <row r="33" spans="1:39" ht="15.75" customHeight="1">
      <c r="A33" s="980">
        <v>8</v>
      </c>
      <c r="B33" s="1072" t="s">
        <v>4303</v>
      </c>
      <c r="C33" s="1301" t="s">
        <v>22</v>
      </c>
      <c r="D33" s="636" t="s">
        <v>4304</v>
      </c>
      <c r="E33" s="681" t="s">
        <v>4305</v>
      </c>
      <c r="F33" s="946" t="s">
        <v>759</v>
      </c>
      <c r="G33" s="337" t="s">
        <v>76</v>
      </c>
      <c r="H33" s="307"/>
      <c r="I33" s="1309">
        <v>9147918084</v>
      </c>
      <c r="J33" s="307"/>
      <c r="K33" s="274" t="s">
        <v>253</v>
      </c>
      <c r="L33" s="274" t="s">
        <v>52</v>
      </c>
      <c r="M33" s="315">
        <v>30800</v>
      </c>
      <c r="N33" s="315">
        <v>52717</v>
      </c>
      <c r="O33" s="315">
        <v>45963</v>
      </c>
      <c r="P33" s="272">
        <v>45118</v>
      </c>
      <c r="Q33" s="272">
        <v>46063</v>
      </c>
      <c r="R33" s="318" t="s">
        <v>4306</v>
      </c>
      <c r="S33" s="285"/>
      <c r="T33" s="317"/>
      <c r="U33" s="285"/>
      <c r="V33" s="285"/>
      <c r="W33" s="3"/>
      <c r="X33" s="3"/>
      <c r="Y33" s="382"/>
      <c r="Z33" s="382"/>
      <c r="AA33" s="382"/>
      <c r="AB33" s="311"/>
    </row>
    <row r="34" spans="1:39" ht="18.75">
      <c r="A34" s="980">
        <v>79</v>
      </c>
      <c r="B34" s="305" t="s">
        <v>4307</v>
      </c>
      <c r="C34" s="303" t="s">
        <v>22</v>
      </c>
      <c r="D34" s="438" t="s">
        <v>4308</v>
      </c>
      <c r="E34" s="681" t="s">
        <v>4309</v>
      </c>
      <c r="F34" s="946" t="s">
        <v>759</v>
      </c>
      <c r="G34" s="337" t="s">
        <v>76</v>
      </c>
      <c r="H34" s="307"/>
      <c r="I34" s="887">
        <v>917003985955</v>
      </c>
      <c r="J34" s="79"/>
      <c r="K34" s="274" t="s">
        <v>253</v>
      </c>
      <c r="L34" s="303" t="s">
        <v>56</v>
      </c>
      <c r="M34" s="315">
        <v>33073</v>
      </c>
      <c r="N34" s="315">
        <v>55000</v>
      </c>
      <c r="O34" s="315">
        <v>45119</v>
      </c>
      <c r="P34" s="272">
        <v>46074</v>
      </c>
      <c r="Q34" s="272">
        <v>46007</v>
      </c>
      <c r="R34" s="318" t="s">
        <v>4310</v>
      </c>
      <c r="S34" s="285"/>
      <c r="T34" s="317"/>
      <c r="U34" s="285"/>
      <c r="V34" s="285"/>
      <c r="W34" s="90"/>
      <c r="X34" s="3"/>
      <c r="Y34" s="395"/>
      <c r="Z34" s="79"/>
      <c r="AA34" s="383"/>
      <c r="AB34" s="282"/>
      <c r="AC34" s="383"/>
      <c r="AD34" s="383"/>
      <c r="AE34" s="383"/>
      <c r="AF34" s="383"/>
      <c r="AG34" s="383"/>
      <c r="AH34" s="383"/>
      <c r="AI34" s="384"/>
      <c r="AJ34" s="384"/>
      <c r="AK34" s="384"/>
      <c r="AL34" s="384"/>
      <c r="AM34" s="384"/>
    </row>
    <row r="35" spans="1:39" ht="18.75">
      <c r="A35" s="980">
        <v>62</v>
      </c>
      <c r="B35" s="305" t="s">
        <v>4311</v>
      </c>
      <c r="C35" s="303" t="s">
        <v>22</v>
      </c>
      <c r="D35" s="438" t="s">
        <v>4312</v>
      </c>
      <c r="E35" s="681" t="s">
        <v>4313</v>
      </c>
      <c r="F35" s="946" t="s">
        <v>759</v>
      </c>
      <c r="G35" s="337" t="s">
        <v>76</v>
      </c>
      <c r="H35" s="307"/>
      <c r="I35" s="887">
        <v>918981762803</v>
      </c>
      <c r="J35" s="79"/>
      <c r="K35" s="274" t="s">
        <v>253</v>
      </c>
      <c r="L35" s="303" t="s">
        <v>56</v>
      </c>
      <c r="M35" s="315">
        <v>33249</v>
      </c>
      <c r="N35" s="315">
        <v>55184</v>
      </c>
      <c r="O35" s="315">
        <v>45112</v>
      </c>
      <c r="P35" s="272">
        <v>46074</v>
      </c>
      <c r="Q35" s="272">
        <v>46007</v>
      </c>
      <c r="R35" s="318" t="s">
        <v>4314</v>
      </c>
      <c r="S35" s="285"/>
      <c r="T35" s="317"/>
      <c r="U35" s="285"/>
      <c r="V35" s="285"/>
      <c r="W35" s="90"/>
      <c r="X35" s="3"/>
      <c r="Y35" s="395"/>
      <c r="Z35" s="79"/>
      <c r="AA35" s="383"/>
      <c r="AB35" s="282"/>
      <c r="AC35" s="383"/>
      <c r="AD35" s="383"/>
      <c r="AE35" s="383"/>
      <c r="AF35" s="383"/>
      <c r="AG35" s="383"/>
      <c r="AH35" s="383"/>
      <c r="AI35" s="384"/>
      <c r="AJ35" s="384"/>
      <c r="AK35" s="384"/>
      <c r="AL35" s="384"/>
      <c r="AM35" s="384"/>
    </row>
    <row r="36" spans="1:39" ht="18.75">
      <c r="A36" s="980">
        <v>88</v>
      </c>
      <c r="B36" s="305" t="s">
        <v>4315</v>
      </c>
      <c r="C36" s="303" t="s">
        <v>22</v>
      </c>
      <c r="D36" s="438" t="s">
        <v>4316</v>
      </c>
      <c r="E36" s="681" t="s">
        <v>4317</v>
      </c>
      <c r="F36" s="946" t="s">
        <v>759</v>
      </c>
      <c r="G36" s="337" t="s">
        <v>76</v>
      </c>
      <c r="H36" s="307"/>
      <c r="I36" s="703">
        <v>8967795338</v>
      </c>
      <c r="J36" s="307"/>
      <c r="K36" s="274" t="s">
        <v>253</v>
      </c>
      <c r="L36" s="274" t="s">
        <v>55</v>
      </c>
      <c r="M36" s="315">
        <v>34871</v>
      </c>
      <c r="N36" s="315">
        <v>56795</v>
      </c>
      <c r="O36" s="315">
        <v>45106</v>
      </c>
      <c r="P36" s="272">
        <v>46106</v>
      </c>
      <c r="Q36" s="599">
        <v>45892</v>
      </c>
      <c r="R36" s="318" t="s">
        <v>4318</v>
      </c>
      <c r="S36" s="285"/>
      <c r="T36" s="317"/>
      <c r="U36" s="285"/>
      <c r="V36" s="285"/>
      <c r="W36" s="90"/>
      <c r="X36" s="3"/>
      <c r="Y36" s="395"/>
      <c r="Z36" s="79"/>
      <c r="AA36" s="383"/>
      <c r="AB36" s="282"/>
      <c r="AC36" s="383"/>
      <c r="AD36" s="383"/>
      <c r="AE36" s="383"/>
      <c r="AF36" s="383"/>
      <c r="AG36" s="383"/>
      <c r="AH36" s="383"/>
      <c r="AI36" s="384"/>
      <c r="AJ36" s="384"/>
      <c r="AK36" s="384"/>
      <c r="AL36" s="384"/>
      <c r="AM36" s="384"/>
    </row>
    <row r="37" spans="1:39" ht="15.75" customHeight="1">
      <c r="A37" s="1006">
        <v>50</v>
      </c>
      <c r="B37" s="305" t="s">
        <v>4319</v>
      </c>
      <c r="C37" s="303" t="s">
        <v>22</v>
      </c>
      <c r="D37" s="675">
        <v>53120134441</v>
      </c>
      <c r="E37" s="681" t="s">
        <v>4320</v>
      </c>
      <c r="F37" s="1024" t="s">
        <v>759</v>
      </c>
      <c r="G37" s="337" t="s">
        <v>76</v>
      </c>
      <c r="H37" s="307"/>
      <c r="I37" s="303">
        <v>9432493360</v>
      </c>
      <c r="J37" s="303">
        <v>9432493360</v>
      </c>
      <c r="K37" s="274" t="s">
        <v>253</v>
      </c>
      <c r="L37" s="274" t="s">
        <v>61</v>
      </c>
      <c r="M37" s="315">
        <v>30725</v>
      </c>
      <c r="N37" s="315">
        <v>52656</v>
      </c>
      <c r="O37" s="315">
        <v>46015</v>
      </c>
      <c r="P37" s="272">
        <v>45121</v>
      </c>
      <c r="Q37" s="272">
        <v>45661</v>
      </c>
      <c r="R37" s="318" t="s">
        <v>4321</v>
      </c>
      <c r="S37" s="285"/>
      <c r="T37" s="317"/>
      <c r="U37" s="285"/>
      <c r="V37" s="285"/>
      <c r="W37" s="90"/>
      <c r="X37" s="90"/>
      <c r="Y37" s="90"/>
      <c r="AB37" s="311"/>
    </row>
    <row r="38" spans="1:39" ht="15.75" customHeight="1">
      <c r="A38" s="1006">
        <v>32</v>
      </c>
      <c r="B38" s="305" t="s">
        <v>4322</v>
      </c>
      <c r="C38" s="303" t="s">
        <v>22</v>
      </c>
      <c r="D38" s="675">
        <v>53120134469</v>
      </c>
      <c r="E38" s="681" t="s">
        <v>4323</v>
      </c>
      <c r="F38" s="946" t="s">
        <v>759</v>
      </c>
      <c r="G38" s="337" t="s">
        <v>76</v>
      </c>
      <c r="H38" s="307"/>
      <c r="I38" s="461">
        <v>7608018306</v>
      </c>
      <c r="J38" s="307"/>
      <c r="K38" s="274" t="s">
        <v>253</v>
      </c>
      <c r="L38" s="303" t="s">
        <v>417</v>
      </c>
      <c r="M38" s="315">
        <v>32231</v>
      </c>
      <c r="N38" s="315">
        <v>54148</v>
      </c>
      <c r="O38" s="315">
        <v>45964</v>
      </c>
      <c r="P38" s="272">
        <v>46178</v>
      </c>
      <c r="Q38" s="272">
        <v>46117</v>
      </c>
      <c r="R38" s="339" t="s">
        <v>4324</v>
      </c>
      <c r="S38" s="430"/>
      <c r="T38" s="430"/>
      <c r="U38" s="430"/>
      <c r="V38" s="425"/>
      <c r="W38" s="90"/>
      <c r="X38" s="90"/>
      <c r="Y38" s="90"/>
      <c r="AB38" s="311"/>
    </row>
    <row r="39" spans="1:39" ht="15.75" customHeight="1">
      <c r="A39" s="1006" t="s">
        <v>4325</v>
      </c>
      <c r="B39" s="305" t="s">
        <v>4326</v>
      </c>
      <c r="C39" s="303" t="s">
        <v>22</v>
      </c>
      <c r="D39" s="1009">
        <v>53162099708</v>
      </c>
      <c r="E39" s="681" t="s">
        <v>4327</v>
      </c>
      <c r="F39" s="1024" t="s">
        <v>759</v>
      </c>
      <c r="G39" s="337" t="s">
        <v>77</v>
      </c>
      <c r="H39" s="307"/>
      <c r="I39" s="303">
        <v>9433312712</v>
      </c>
      <c r="J39" s="303">
        <v>8763126224</v>
      </c>
      <c r="K39" s="274" t="s">
        <v>253</v>
      </c>
      <c r="L39" s="125" t="s">
        <v>57</v>
      </c>
      <c r="M39" s="315">
        <v>30284</v>
      </c>
      <c r="N39" s="315">
        <v>52200</v>
      </c>
      <c r="O39" s="315">
        <v>45900</v>
      </c>
      <c r="P39" s="272">
        <v>45106</v>
      </c>
      <c r="Q39" s="272">
        <v>46060</v>
      </c>
      <c r="R39" s="317"/>
      <c r="S39" s="285"/>
      <c r="T39" s="317"/>
      <c r="U39" s="285"/>
      <c r="V39" s="285"/>
      <c r="W39" s="90"/>
      <c r="X39" s="90"/>
      <c r="Y39" s="90"/>
      <c r="AB39" s="311"/>
    </row>
    <row r="40" spans="1:39" ht="18.75">
      <c r="A40" s="980">
        <v>81</v>
      </c>
      <c r="B40" s="305" t="s">
        <v>4328</v>
      </c>
      <c r="C40" s="303" t="s">
        <v>22</v>
      </c>
      <c r="D40" s="1645" t="s">
        <v>4329</v>
      </c>
      <c r="E40" s="681" t="s">
        <v>4330</v>
      </c>
      <c r="F40" s="946" t="s">
        <v>759</v>
      </c>
      <c r="G40" s="337" t="s">
        <v>76</v>
      </c>
      <c r="H40" s="307"/>
      <c r="I40" s="703">
        <v>7439099489</v>
      </c>
      <c r="J40" s="303">
        <v>7439099489</v>
      </c>
      <c r="K40" s="274" t="s">
        <v>253</v>
      </c>
      <c r="L40" s="274" t="s">
        <v>50</v>
      </c>
      <c r="M40" s="315">
        <v>27756</v>
      </c>
      <c r="N40" s="315">
        <v>49674</v>
      </c>
      <c r="O40" s="315">
        <v>45516</v>
      </c>
      <c r="P40" s="272">
        <v>45345</v>
      </c>
      <c r="Q40" s="272">
        <v>45323</v>
      </c>
      <c r="R40" s="318" t="s">
        <v>4331</v>
      </c>
      <c r="S40" s="285"/>
      <c r="T40" s="317"/>
      <c r="U40" s="285"/>
      <c r="V40" s="285"/>
      <c r="W40" s="3"/>
      <c r="X40" s="3"/>
      <c r="Y40" s="395"/>
      <c r="Z40" s="79"/>
      <c r="AA40" s="383"/>
      <c r="AB40" s="282"/>
      <c r="AC40" s="383"/>
      <c r="AD40" s="383"/>
      <c r="AE40" s="383"/>
      <c r="AF40" s="383"/>
      <c r="AG40" s="383"/>
      <c r="AH40" s="383"/>
      <c r="AI40" s="384"/>
      <c r="AJ40" s="384"/>
      <c r="AK40" s="384"/>
      <c r="AL40" s="384"/>
      <c r="AM40" s="384"/>
    </row>
    <row r="41" spans="1:39" ht="15.75" customHeight="1">
      <c r="A41" s="980">
        <v>91</v>
      </c>
      <c r="B41" s="305" t="s">
        <v>4332</v>
      </c>
      <c r="C41" s="303" t="s">
        <v>22</v>
      </c>
      <c r="D41" s="1645" t="s">
        <v>4333</v>
      </c>
      <c r="E41" s="681" t="s">
        <v>4334</v>
      </c>
      <c r="F41" s="946" t="s">
        <v>759</v>
      </c>
      <c r="G41" s="337" t="s">
        <v>76</v>
      </c>
      <c r="H41" s="307"/>
      <c r="I41" s="703">
        <v>7381719499</v>
      </c>
      <c r="J41" s="303">
        <v>9748584758</v>
      </c>
      <c r="K41" s="274" t="s">
        <v>253</v>
      </c>
      <c r="L41" s="284" t="s">
        <v>62</v>
      </c>
      <c r="M41" s="315">
        <v>30541</v>
      </c>
      <c r="N41" s="315">
        <v>52474</v>
      </c>
      <c r="O41" s="315">
        <v>45978</v>
      </c>
      <c r="P41" s="272">
        <v>45681</v>
      </c>
      <c r="Q41" s="272">
        <v>45574</v>
      </c>
      <c r="R41" s="318" t="s">
        <v>4335</v>
      </c>
      <c r="S41" s="285"/>
      <c r="T41" s="317"/>
      <c r="U41" s="285"/>
      <c r="V41" s="285"/>
      <c r="W41" s="3"/>
      <c r="X41" s="3"/>
      <c r="Y41" s="395"/>
      <c r="Z41" s="79"/>
      <c r="AA41" s="383"/>
      <c r="AB41" s="282"/>
      <c r="AC41" s="383"/>
      <c r="AD41" s="383"/>
      <c r="AE41" s="383"/>
      <c r="AF41" s="383"/>
      <c r="AG41" s="383"/>
      <c r="AH41" s="383"/>
      <c r="AI41" s="384"/>
      <c r="AJ41" s="384"/>
      <c r="AK41" s="384"/>
      <c r="AL41" s="384"/>
      <c r="AM41" s="384"/>
    </row>
    <row r="42" spans="1:39" ht="15.75" customHeight="1">
      <c r="A42" s="1006">
        <v>19</v>
      </c>
      <c r="B42" s="305" t="s">
        <v>4336</v>
      </c>
      <c r="C42" s="303" t="s">
        <v>22</v>
      </c>
      <c r="D42" s="1009">
        <v>53162131100</v>
      </c>
      <c r="E42" s="681" t="s">
        <v>4337</v>
      </c>
      <c r="F42" s="946" t="s">
        <v>759</v>
      </c>
      <c r="G42" s="337" t="s">
        <v>76</v>
      </c>
      <c r="H42" s="307"/>
      <c r="I42" s="303">
        <v>7064104916</v>
      </c>
      <c r="J42" s="303">
        <v>7064104916</v>
      </c>
      <c r="K42" s="274" t="s">
        <v>253</v>
      </c>
      <c r="L42" s="274" t="s">
        <v>54</v>
      </c>
      <c r="M42" s="315">
        <v>31396</v>
      </c>
      <c r="N42" s="315">
        <v>53327</v>
      </c>
      <c r="O42" s="315">
        <v>45973</v>
      </c>
      <c r="P42" s="418">
        <v>45905</v>
      </c>
      <c r="Q42" s="418">
        <v>45916</v>
      </c>
      <c r="R42" s="339" t="s">
        <v>4338</v>
      </c>
      <c r="S42" s="425"/>
      <c r="T42" s="441"/>
      <c r="U42" s="425"/>
      <c r="V42" s="425"/>
      <c r="W42" s="90"/>
      <c r="X42" s="90"/>
      <c r="Y42" s="90"/>
      <c r="AB42" s="311"/>
    </row>
    <row r="43" spans="1:39" ht="15.75" customHeight="1">
      <c r="A43" s="1006">
        <v>49</v>
      </c>
      <c r="B43" s="305" t="s">
        <v>4339</v>
      </c>
      <c r="C43" s="303" t="s">
        <v>22</v>
      </c>
      <c r="D43" s="1009">
        <v>53120132264</v>
      </c>
      <c r="E43" s="681" t="s">
        <v>4340</v>
      </c>
      <c r="F43" s="1024" t="s">
        <v>759</v>
      </c>
      <c r="G43" s="337" t="s">
        <v>77</v>
      </c>
      <c r="H43" s="307"/>
      <c r="I43" s="303">
        <v>8250745953</v>
      </c>
      <c r="J43" s="303">
        <v>8250745953</v>
      </c>
      <c r="K43" s="274" t="s">
        <v>253</v>
      </c>
      <c r="L43" s="1362" t="s">
        <v>417</v>
      </c>
      <c r="M43" s="315">
        <v>32425</v>
      </c>
      <c r="N43" s="315">
        <v>54362</v>
      </c>
      <c r="O43" s="315">
        <v>45767</v>
      </c>
      <c r="P43" s="272">
        <v>45373</v>
      </c>
      <c r="Q43" s="272">
        <v>45342</v>
      </c>
      <c r="R43" s="318" t="s">
        <v>4341</v>
      </c>
      <c r="S43" s="285"/>
      <c r="T43" s="317"/>
      <c r="U43" s="285"/>
      <c r="V43" s="285"/>
      <c r="W43" s="90"/>
      <c r="X43" s="90"/>
      <c r="Y43" s="90"/>
      <c r="AB43" s="311"/>
    </row>
    <row r="44" spans="1:39" ht="15.75" customHeight="1">
      <c r="A44" s="1006">
        <v>57</v>
      </c>
      <c r="B44" s="305" t="s">
        <v>4342</v>
      </c>
      <c r="C44" s="303" t="s">
        <v>22</v>
      </c>
      <c r="D44" s="1009">
        <v>53162131103</v>
      </c>
      <c r="E44" s="681" t="s">
        <v>4343</v>
      </c>
      <c r="F44" s="1024" t="s">
        <v>759</v>
      </c>
      <c r="G44" s="337" t="s">
        <v>76</v>
      </c>
      <c r="H44" s="307"/>
      <c r="I44" s="303">
        <v>9337063350</v>
      </c>
      <c r="J44" s="303">
        <v>9337063350</v>
      </c>
      <c r="K44" s="274" t="s">
        <v>253</v>
      </c>
      <c r="L44" s="445" t="s">
        <v>61</v>
      </c>
      <c r="M44" s="315">
        <v>30015</v>
      </c>
      <c r="N44" s="315">
        <v>51956</v>
      </c>
      <c r="O44" s="315">
        <v>45977</v>
      </c>
      <c r="P44" s="272">
        <v>45681</v>
      </c>
      <c r="Q44" s="272">
        <v>45548</v>
      </c>
      <c r="R44" s="318" t="s">
        <v>4344</v>
      </c>
      <c r="S44" s="285"/>
      <c r="T44" s="317"/>
      <c r="U44" s="285"/>
      <c r="V44" s="285"/>
      <c r="W44" s="90"/>
      <c r="X44" s="90"/>
      <c r="Y44" s="90"/>
      <c r="AB44" s="311"/>
    </row>
    <row r="45" spans="1:39" ht="15.75" customHeight="1">
      <c r="A45" s="1006">
        <v>53</v>
      </c>
      <c r="B45" s="305" t="s">
        <v>4345</v>
      </c>
      <c r="C45" s="303" t="s">
        <v>22</v>
      </c>
      <c r="D45" s="1009" t="s">
        <v>4346</v>
      </c>
      <c r="E45" s="681" t="s">
        <v>4347</v>
      </c>
      <c r="F45" s="1024" t="s">
        <v>759</v>
      </c>
      <c r="G45" s="337" t="s">
        <v>77</v>
      </c>
      <c r="H45" s="307"/>
      <c r="I45" s="303">
        <v>6302008724</v>
      </c>
      <c r="J45" s="303">
        <v>6302008724</v>
      </c>
      <c r="K45" s="274" t="s">
        <v>253</v>
      </c>
      <c r="L45" s="274" t="s">
        <v>56</v>
      </c>
      <c r="M45" s="315">
        <v>31279</v>
      </c>
      <c r="N45" s="315">
        <v>53205</v>
      </c>
      <c r="O45" s="315">
        <v>45726</v>
      </c>
      <c r="P45" s="272">
        <v>45996</v>
      </c>
      <c r="Q45" s="272">
        <v>45607</v>
      </c>
      <c r="R45" s="318" t="s">
        <v>4348</v>
      </c>
      <c r="S45" s="285"/>
      <c r="T45" s="317"/>
      <c r="U45" s="285"/>
      <c r="V45" s="285"/>
      <c r="W45" s="90"/>
      <c r="X45" s="90"/>
      <c r="Y45" s="90"/>
      <c r="AB45" s="311"/>
    </row>
    <row r="46" spans="1:39" ht="15.75" customHeight="1">
      <c r="A46" s="944">
        <v>45</v>
      </c>
      <c r="B46" s="305" t="s">
        <v>4349</v>
      </c>
      <c r="C46" s="303" t="s">
        <v>22</v>
      </c>
      <c r="D46" s="1009">
        <v>53162131178</v>
      </c>
      <c r="E46" s="681" t="s">
        <v>4350</v>
      </c>
      <c r="F46" s="1690" t="s">
        <v>759</v>
      </c>
      <c r="G46" s="337" t="s">
        <v>76</v>
      </c>
      <c r="H46" s="1584"/>
      <c r="I46" s="303">
        <v>8250005248</v>
      </c>
      <c r="J46" s="303">
        <v>9748091420</v>
      </c>
      <c r="K46" s="274" t="s">
        <v>253</v>
      </c>
      <c r="L46" s="125" t="s">
        <v>67</v>
      </c>
      <c r="M46" s="315">
        <v>30378</v>
      </c>
      <c r="N46" s="315">
        <v>52321</v>
      </c>
      <c r="O46" s="315">
        <v>46013</v>
      </c>
      <c r="P46" s="272">
        <v>45681</v>
      </c>
      <c r="Q46" s="272">
        <v>45661</v>
      </c>
      <c r="R46" s="318" t="s">
        <v>4351</v>
      </c>
      <c r="S46" s="285"/>
      <c r="T46" s="317"/>
      <c r="U46" s="285"/>
      <c r="V46" s="285"/>
      <c r="W46" s="3"/>
      <c r="X46" s="3"/>
      <c r="Y46" s="3"/>
      <c r="Z46" s="79"/>
      <c r="AA46" s="79"/>
      <c r="AB46" s="311"/>
    </row>
    <row r="47" spans="1:39" ht="15.75" customHeight="1">
      <c r="A47" s="980">
        <v>18</v>
      </c>
      <c r="B47" s="305" t="s">
        <v>4352</v>
      </c>
      <c r="C47" s="303" t="s">
        <v>22</v>
      </c>
      <c r="D47" s="1645" t="s">
        <v>4353</v>
      </c>
      <c r="E47" s="681" t="s">
        <v>4354</v>
      </c>
      <c r="F47" s="946" t="s">
        <v>759</v>
      </c>
      <c r="G47" s="337" t="s">
        <v>76</v>
      </c>
      <c r="H47" s="307"/>
      <c r="I47" s="703">
        <v>8101115252</v>
      </c>
      <c r="J47" s="303">
        <v>8101115252</v>
      </c>
      <c r="K47" s="274" t="s">
        <v>253</v>
      </c>
      <c r="L47" s="274" t="s">
        <v>256</v>
      </c>
      <c r="M47" s="315">
        <v>33340</v>
      </c>
      <c r="N47" s="315">
        <v>55273</v>
      </c>
      <c r="O47" s="315">
        <v>46048</v>
      </c>
      <c r="P47" s="272">
        <v>45681</v>
      </c>
      <c r="Q47" s="272">
        <v>45574</v>
      </c>
      <c r="R47" s="317"/>
      <c r="S47" s="285"/>
      <c r="T47" s="317"/>
      <c r="U47" s="285"/>
      <c r="V47" s="285"/>
      <c r="W47" s="3"/>
      <c r="X47" s="90"/>
    </row>
    <row r="48" spans="1:39" ht="18.75">
      <c r="A48" s="1006">
        <v>52</v>
      </c>
      <c r="B48" s="305" t="s">
        <v>4355</v>
      </c>
      <c r="C48" s="303" t="s">
        <v>22</v>
      </c>
      <c r="D48" s="1009">
        <v>53162131240</v>
      </c>
      <c r="E48" s="1010" t="s">
        <v>4356</v>
      </c>
      <c r="F48" s="1024" t="s">
        <v>759</v>
      </c>
      <c r="G48" s="337" t="s">
        <v>77</v>
      </c>
      <c r="H48" s="307"/>
      <c r="I48" s="1786">
        <v>6291769879</v>
      </c>
      <c r="J48" s="307"/>
      <c r="K48" s="274" t="s">
        <v>253</v>
      </c>
      <c r="L48" s="274" t="s">
        <v>52</v>
      </c>
      <c r="M48" s="315">
        <v>32648</v>
      </c>
      <c r="N48" s="315">
        <v>54574</v>
      </c>
      <c r="O48" s="315">
        <v>46002</v>
      </c>
      <c r="P48" s="272">
        <v>45996</v>
      </c>
      <c r="Q48" s="272">
        <v>45980</v>
      </c>
      <c r="R48" s="317"/>
      <c r="S48" s="285"/>
      <c r="T48" s="317"/>
      <c r="U48" s="285"/>
      <c r="V48" s="285"/>
      <c r="W48" s="90"/>
      <c r="X48" s="3"/>
      <c r="Y48" s="3"/>
      <c r="Z48" s="79"/>
      <c r="AA48" s="79"/>
      <c r="AB48" s="382"/>
      <c r="AC48" s="79"/>
      <c r="AD48" s="79"/>
      <c r="AE48" s="79"/>
    </row>
    <row r="49" spans="1:39" ht="18.75">
      <c r="A49" s="1006">
        <v>54</v>
      </c>
      <c r="B49" s="305" t="s">
        <v>4357</v>
      </c>
      <c r="C49" s="303" t="s">
        <v>22</v>
      </c>
      <c r="D49" s="1009">
        <v>53100050209</v>
      </c>
      <c r="E49" s="1010" t="s">
        <v>4358</v>
      </c>
      <c r="F49" s="1024" t="s">
        <v>759</v>
      </c>
      <c r="G49" s="337" t="s">
        <v>77</v>
      </c>
      <c r="H49" s="307"/>
      <c r="I49" s="1303">
        <v>9641640932</v>
      </c>
      <c r="J49" s="645"/>
      <c r="K49" s="274" t="s">
        <v>253</v>
      </c>
      <c r="L49" s="274" t="s">
        <v>256</v>
      </c>
      <c r="M49" s="315">
        <v>26094</v>
      </c>
      <c r="N49" s="315">
        <v>48029</v>
      </c>
      <c r="O49" s="315">
        <v>45429</v>
      </c>
      <c r="P49" s="272">
        <v>45791</v>
      </c>
      <c r="Q49" s="1316">
        <v>45748</v>
      </c>
      <c r="R49" s="315"/>
      <c r="S49" s="285"/>
      <c r="T49" s="317"/>
      <c r="U49" s="285"/>
      <c r="V49" s="285"/>
      <c r="W49" s="90"/>
      <c r="X49" s="3"/>
      <c r="Y49" s="3"/>
      <c r="Z49" s="79"/>
      <c r="AA49" s="79"/>
      <c r="AB49" s="382"/>
      <c r="AC49" s="79"/>
      <c r="AD49" s="79"/>
      <c r="AE49" s="79"/>
    </row>
    <row r="50" spans="1:39" ht="15.75" customHeight="1">
      <c r="A50" s="1006">
        <v>59</v>
      </c>
      <c r="B50" s="301" t="s">
        <v>4359</v>
      </c>
      <c r="C50" s="284" t="s">
        <v>22</v>
      </c>
      <c r="D50" s="1122">
        <v>27329804317</v>
      </c>
      <c r="E50" s="681" t="s">
        <v>4360</v>
      </c>
      <c r="F50" s="686" t="s">
        <v>759</v>
      </c>
      <c r="G50" s="284" t="s">
        <v>77</v>
      </c>
      <c r="H50" s="391"/>
      <c r="I50" s="1309">
        <v>6290403164</v>
      </c>
      <c r="J50" s="284"/>
      <c r="K50" s="274" t="s">
        <v>253</v>
      </c>
      <c r="L50" s="274" t="s">
        <v>417</v>
      </c>
      <c r="M50" s="272">
        <v>34181</v>
      </c>
      <c r="N50" s="272">
        <v>56096</v>
      </c>
      <c r="O50" s="400">
        <v>46086</v>
      </c>
      <c r="P50" s="279">
        <v>45504</v>
      </c>
      <c r="Q50" s="302">
        <v>45412</v>
      </c>
      <c r="R50" s="394" t="s">
        <v>4361</v>
      </c>
      <c r="S50" s="393"/>
      <c r="T50" s="403"/>
      <c r="U50" s="393"/>
      <c r="V50" s="383"/>
      <c r="W50" s="563"/>
      <c r="X50" s="3"/>
      <c r="Y50" s="395"/>
      <c r="Z50" s="79"/>
      <c r="AA50" s="383"/>
      <c r="AB50" s="282"/>
      <c r="AC50" s="383"/>
      <c r="AD50" s="383"/>
      <c r="AE50" s="383"/>
      <c r="AF50" s="383"/>
      <c r="AG50" s="383"/>
      <c r="AH50" s="383"/>
      <c r="AI50" s="384"/>
      <c r="AJ50" s="384"/>
      <c r="AK50" s="384"/>
      <c r="AL50" s="384"/>
      <c r="AM50" s="384"/>
    </row>
    <row r="51" spans="1:39" ht="15.75" customHeight="1">
      <c r="A51" s="980">
        <v>19</v>
      </c>
      <c r="B51" s="305" t="s">
        <v>4362</v>
      </c>
      <c r="C51" s="303" t="s">
        <v>22</v>
      </c>
      <c r="D51" s="1699" t="s">
        <v>4363</v>
      </c>
      <c r="E51" s="1136" t="s">
        <v>4364</v>
      </c>
      <c r="F51" s="946" t="s">
        <v>3258</v>
      </c>
      <c r="G51" s="337" t="s">
        <v>76</v>
      </c>
      <c r="H51" s="307"/>
      <c r="I51" s="1295">
        <v>919230881559</v>
      </c>
      <c r="J51" s="307"/>
      <c r="K51" s="274" t="s">
        <v>253</v>
      </c>
      <c r="L51" s="274" t="s">
        <v>43</v>
      </c>
      <c r="M51" s="315">
        <v>33736</v>
      </c>
      <c r="N51" s="315">
        <v>55670</v>
      </c>
      <c r="O51" s="315">
        <v>45285</v>
      </c>
      <c r="P51" s="272">
        <v>45144</v>
      </c>
      <c r="Q51" s="272">
        <v>46032</v>
      </c>
      <c r="R51" s="318" t="s">
        <v>4365</v>
      </c>
      <c r="S51" s="285"/>
      <c r="T51" s="317"/>
      <c r="U51" s="285"/>
      <c r="V51" s="285"/>
      <c r="W51" s="3"/>
      <c r="X51" s="3"/>
      <c r="Y51" s="3"/>
      <c r="Z51" s="79"/>
      <c r="AA51" s="79"/>
      <c r="AB51" s="311"/>
    </row>
    <row r="52" spans="1:39" ht="15.75" customHeight="1">
      <c r="A52" s="1787">
        <v>11</v>
      </c>
      <c r="B52" s="1788" t="s">
        <v>1079</v>
      </c>
      <c r="C52" s="1789" t="s">
        <v>22</v>
      </c>
      <c r="D52" s="1790" t="s">
        <v>4366</v>
      </c>
      <c r="E52" s="1791" t="s">
        <v>4367</v>
      </c>
      <c r="F52" s="1789" t="s">
        <v>759</v>
      </c>
      <c r="G52" s="1789" t="s">
        <v>76</v>
      </c>
      <c r="H52" s="1792"/>
      <c r="I52" s="1789">
        <v>917384950930</v>
      </c>
      <c r="J52" s="1793"/>
      <c r="K52" s="274" t="s">
        <v>253</v>
      </c>
      <c r="L52" s="366" t="s">
        <v>299</v>
      </c>
      <c r="M52" s="329">
        <v>34832</v>
      </c>
      <c r="N52" s="329">
        <v>56765</v>
      </c>
      <c r="O52" s="1794">
        <v>45262</v>
      </c>
      <c r="P52" s="329">
        <v>46151</v>
      </c>
      <c r="Q52" s="1637">
        <v>46063</v>
      </c>
      <c r="R52" s="1795" t="s">
        <v>4368</v>
      </c>
      <c r="S52" s="334"/>
      <c r="T52" s="630"/>
      <c r="U52" s="334"/>
      <c r="V52" s="334"/>
      <c r="W52" s="334"/>
      <c r="X52" s="334"/>
      <c r="Y52" s="199"/>
      <c r="Z52" s="199"/>
      <c r="AA52" s="334"/>
      <c r="AB52" s="199"/>
      <c r="AC52" s="199"/>
      <c r="AD52" s="199"/>
      <c r="AE52" s="199"/>
      <c r="AF52" s="199"/>
      <c r="AG52" s="199"/>
      <c r="AH52" s="199"/>
      <c r="AI52" s="199"/>
      <c r="AJ52" s="199"/>
      <c r="AK52" s="199"/>
      <c r="AL52" s="199"/>
      <c r="AM52" s="199"/>
    </row>
    <row r="53" spans="1:39">
      <c r="A53" s="980">
        <v>2</v>
      </c>
      <c r="B53" s="1096" t="s">
        <v>4369</v>
      </c>
      <c r="C53" s="284" t="s">
        <v>22</v>
      </c>
      <c r="D53" s="518">
        <v>3429802891</v>
      </c>
      <c r="E53" s="1120" t="s">
        <v>4370</v>
      </c>
      <c r="F53" s="1700" t="s">
        <v>759</v>
      </c>
      <c r="G53" s="284" t="s">
        <v>76</v>
      </c>
      <c r="H53" s="1701"/>
      <c r="I53" s="1644">
        <v>9147918078</v>
      </c>
      <c r="J53" s="284"/>
      <c r="K53" s="274" t="s">
        <v>253</v>
      </c>
      <c r="L53" s="274" t="s">
        <v>50</v>
      </c>
      <c r="M53" s="272">
        <v>33579</v>
      </c>
      <c r="N53" s="272">
        <v>55518</v>
      </c>
      <c r="O53" s="400">
        <v>45262</v>
      </c>
      <c r="P53" s="279">
        <v>46150</v>
      </c>
      <c r="Q53" s="302">
        <v>46063</v>
      </c>
      <c r="R53" s="394" t="s">
        <v>4371</v>
      </c>
      <c r="S53" s="393"/>
      <c r="T53" s="403"/>
      <c r="U53" s="393"/>
      <c r="V53" s="383"/>
      <c r="W53" s="395"/>
      <c r="X53" s="79"/>
      <c r="Y53" s="395"/>
      <c r="Z53" s="79"/>
      <c r="AA53" s="383"/>
      <c r="AB53" s="282"/>
      <c r="AC53" s="383"/>
      <c r="AD53" s="383"/>
      <c r="AE53" s="383"/>
      <c r="AF53" s="383"/>
      <c r="AG53" s="383"/>
      <c r="AH53" s="383"/>
      <c r="AI53" s="384"/>
      <c r="AJ53" s="384"/>
      <c r="AK53" s="384"/>
      <c r="AL53" s="384"/>
      <c r="AM53" s="384"/>
    </row>
    <row r="54" spans="1:39">
      <c r="A54" s="980">
        <v>3</v>
      </c>
      <c r="B54" s="1096" t="s">
        <v>4372</v>
      </c>
      <c r="C54" s="284" t="s">
        <v>22</v>
      </c>
      <c r="D54" s="518">
        <v>3429802899</v>
      </c>
      <c r="E54" s="1120" t="s">
        <v>4373</v>
      </c>
      <c r="F54" s="1700" t="s">
        <v>759</v>
      </c>
      <c r="G54" s="284" t="s">
        <v>77</v>
      </c>
      <c r="H54" s="1701"/>
      <c r="I54" s="1643">
        <v>9147918079</v>
      </c>
      <c r="J54" s="284"/>
      <c r="K54" s="274" t="s">
        <v>253</v>
      </c>
      <c r="L54" s="274" t="s">
        <v>50</v>
      </c>
      <c r="M54" s="272">
        <v>34334</v>
      </c>
      <c r="N54" s="272">
        <v>56249</v>
      </c>
      <c r="O54" s="400">
        <v>45262</v>
      </c>
      <c r="P54" s="279">
        <v>46150</v>
      </c>
      <c r="Q54" s="302">
        <v>46063</v>
      </c>
      <c r="R54" s="403"/>
      <c r="S54" s="393"/>
      <c r="T54" s="403"/>
      <c r="U54" s="393"/>
      <c r="V54" s="383"/>
      <c r="W54" s="395"/>
      <c r="X54" s="79"/>
      <c r="Y54" s="395"/>
      <c r="Z54" s="79"/>
      <c r="AA54" s="383"/>
      <c r="AB54" s="282"/>
      <c r="AC54" s="383"/>
      <c r="AD54" s="383"/>
      <c r="AE54" s="383"/>
      <c r="AF54" s="383"/>
      <c r="AG54" s="383"/>
      <c r="AH54" s="383"/>
      <c r="AI54" s="384"/>
      <c r="AJ54" s="384"/>
      <c r="AK54" s="384"/>
      <c r="AL54" s="384"/>
      <c r="AM54" s="384"/>
    </row>
    <row r="55" spans="1:39">
      <c r="A55" s="1006">
        <v>58</v>
      </c>
      <c r="B55" s="301" t="s">
        <v>4374</v>
      </c>
      <c r="C55" s="284" t="s">
        <v>22</v>
      </c>
      <c r="D55" s="1122">
        <v>3429801245</v>
      </c>
      <c r="E55" s="681" t="s">
        <v>4375</v>
      </c>
      <c r="F55" s="686" t="s">
        <v>759</v>
      </c>
      <c r="G55" s="284" t="s">
        <v>77</v>
      </c>
      <c r="H55" s="391"/>
      <c r="I55" s="1309">
        <v>9007796675</v>
      </c>
      <c r="J55" s="284"/>
      <c r="K55" s="274" t="s">
        <v>253</v>
      </c>
      <c r="L55" s="274" t="s">
        <v>56</v>
      </c>
      <c r="M55" s="272">
        <v>31071</v>
      </c>
      <c r="N55" s="272">
        <v>52993</v>
      </c>
      <c r="O55" s="400">
        <v>46191</v>
      </c>
      <c r="P55" s="279">
        <v>45517</v>
      </c>
      <c r="Q55" s="302">
        <v>45387</v>
      </c>
      <c r="R55" s="394" t="s">
        <v>4376</v>
      </c>
      <c r="S55" s="393"/>
      <c r="T55" s="403"/>
      <c r="U55" s="393"/>
      <c r="V55" s="383"/>
      <c r="W55" s="563"/>
      <c r="X55" s="3"/>
      <c r="Y55" s="395"/>
      <c r="Z55" s="79"/>
      <c r="AA55" s="383"/>
      <c r="AB55" s="282"/>
      <c r="AC55" s="383"/>
      <c r="AD55" s="383"/>
      <c r="AE55" s="383"/>
      <c r="AF55" s="383"/>
      <c r="AG55" s="383"/>
      <c r="AH55" s="383"/>
      <c r="AI55" s="384"/>
      <c r="AJ55" s="384"/>
      <c r="AK55" s="384"/>
      <c r="AL55" s="384"/>
      <c r="AM55" s="384"/>
    </row>
    <row r="56" spans="1:39">
      <c r="A56" s="980">
        <v>92</v>
      </c>
      <c r="B56" s="301" t="s">
        <v>963</v>
      </c>
      <c r="C56" s="284" t="s">
        <v>22</v>
      </c>
      <c r="D56" s="1646" t="s">
        <v>4377</v>
      </c>
      <c r="E56" s="1120" t="s">
        <v>4378</v>
      </c>
      <c r="F56" s="274" t="s">
        <v>759</v>
      </c>
      <c r="G56" s="284" t="s">
        <v>77</v>
      </c>
      <c r="H56" s="391"/>
      <c r="I56" s="1295">
        <v>917602151344</v>
      </c>
      <c r="J56" s="284"/>
      <c r="K56" s="274" t="s">
        <v>253</v>
      </c>
      <c r="L56" s="274" t="s">
        <v>62</v>
      </c>
      <c r="M56" s="272">
        <v>33383</v>
      </c>
      <c r="N56" s="272">
        <v>55304</v>
      </c>
      <c r="O56" s="400">
        <v>45193</v>
      </c>
      <c r="P56" s="279">
        <v>45744</v>
      </c>
      <c r="Q56" s="302">
        <v>45744</v>
      </c>
      <c r="R56" s="394" t="s">
        <v>4379</v>
      </c>
      <c r="S56" s="393"/>
      <c r="T56" s="403"/>
      <c r="U56" s="393"/>
      <c r="V56" s="383"/>
      <c r="W56" s="395"/>
      <c r="X56" s="79"/>
      <c r="Y56" s="395"/>
      <c r="Z56" s="79"/>
      <c r="AA56" s="383"/>
      <c r="AB56" s="282"/>
      <c r="AC56" s="383"/>
      <c r="AD56" s="383"/>
      <c r="AE56" s="383"/>
      <c r="AF56" s="383"/>
      <c r="AG56" s="383"/>
      <c r="AH56" s="383"/>
      <c r="AI56" s="384"/>
      <c r="AJ56" s="384"/>
      <c r="AK56" s="384"/>
      <c r="AL56" s="384"/>
      <c r="AM56" s="384"/>
    </row>
    <row r="57" spans="1:39" ht="15.75" customHeight="1">
      <c r="A57" s="980">
        <v>7</v>
      </c>
      <c r="B57" s="301" t="s">
        <v>4380</v>
      </c>
      <c r="C57" s="284" t="s">
        <v>22</v>
      </c>
      <c r="D57" s="1699" t="s">
        <v>4381</v>
      </c>
      <c r="E57" s="1120" t="s">
        <v>4382</v>
      </c>
      <c r="F57" s="274" t="s">
        <v>759</v>
      </c>
      <c r="G57" s="284" t="s">
        <v>76</v>
      </c>
      <c r="H57" s="391"/>
      <c r="I57" s="407">
        <v>917003715892</v>
      </c>
      <c r="J57" s="284"/>
      <c r="K57" s="274" t="s">
        <v>253</v>
      </c>
      <c r="L57" s="274" t="s">
        <v>256</v>
      </c>
      <c r="M57" s="272">
        <v>31041</v>
      </c>
      <c r="N57" s="272">
        <v>52962</v>
      </c>
      <c r="O57" s="400">
        <v>45900</v>
      </c>
      <c r="P57" s="279">
        <v>45349</v>
      </c>
      <c r="Q57" s="302">
        <v>45349</v>
      </c>
      <c r="R57" s="403"/>
      <c r="S57" s="393"/>
      <c r="T57" s="403"/>
      <c r="U57" s="393"/>
      <c r="V57" s="383"/>
      <c r="W57" s="395"/>
    </row>
    <row r="58" spans="1:39" ht="18.75">
      <c r="A58" s="980">
        <v>67</v>
      </c>
      <c r="B58" s="305" t="s">
        <v>4383</v>
      </c>
      <c r="C58" s="303" t="s">
        <v>22</v>
      </c>
      <c r="D58" s="1645" t="s">
        <v>4384</v>
      </c>
      <c r="E58" s="1010" t="s">
        <v>4385</v>
      </c>
      <c r="F58" s="946" t="s">
        <v>759</v>
      </c>
      <c r="G58" s="337" t="s">
        <v>77</v>
      </c>
      <c r="H58" s="307"/>
      <c r="I58" s="703">
        <v>9051489019</v>
      </c>
      <c r="J58" s="307"/>
      <c r="K58" s="274" t="s">
        <v>253</v>
      </c>
      <c r="L58" s="125" t="s">
        <v>69</v>
      </c>
      <c r="M58" s="315">
        <v>29436</v>
      </c>
      <c r="N58" s="315">
        <v>51379</v>
      </c>
      <c r="O58" s="315">
        <v>45860</v>
      </c>
      <c r="P58" s="272">
        <v>45485</v>
      </c>
      <c r="Q58" s="272">
        <v>45383</v>
      </c>
      <c r="R58" s="318" t="s">
        <v>4386</v>
      </c>
      <c r="S58" s="285"/>
      <c r="T58" s="317"/>
      <c r="U58" s="285"/>
      <c r="V58" s="285"/>
      <c r="W58" s="3"/>
      <c r="X58" s="3"/>
      <c r="Y58" s="395"/>
      <c r="Z58" s="79"/>
      <c r="AA58" s="383"/>
      <c r="AB58" s="282"/>
      <c r="AC58" s="383"/>
      <c r="AD58" s="383"/>
      <c r="AE58" s="383"/>
      <c r="AF58" s="383"/>
      <c r="AG58" s="383"/>
      <c r="AH58" s="383"/>
      <c r="AI58" s="384"/>
      <c r="AJ58" s="384"/>
      <c r="AK58" s="384"/>
      <c r="AL58" s="384"/>
      <c r="AM58" s="384"/>
    </row>
    <row r="59" spans="1:39">
      <c r="A59" s="980">
        <v>37</v>
      </c>
      <c r="B59" s="301" t="s">
        <v>4387</v>
      </c>
      <c r="C59" s="284" t="s">
        <v>22</v>
      </c>
      <c r="D59" s="1699" t="s">
        <v>4388</v>
      </c>
      <c r="E59" s="1120" t="s">
        <v>4389</v>
      </c>
      <c r="F59" s="274" t="s">
        <v>759</v>
      </c>
      <c r="G59" s="284" t="s">
        <v>76</v>
      </c>
      <c r="H59" s="391"/>
      <c r="I59" s="284">
        <v>9874932348</v>
      </c>
      <c r="J59" s="284"/>
      <c r="K59" s="274" t="s">
        <v>253</v>
      </c>
      <c r="L59" s="274" t="s">
        <v>55</v>
      </c>
      <c r="M59" s="272">
        <v>35336</v>
      </c>
      <c r="N59" s="272">
        <v>57253</v>
      </c>
      <c r="O59" s="400">
        <v>45262</v>
      </c>
      <c r="P59" s="279">
        <v>46151</v>
      </c>
      <c r="Q59" s="302">
        <v>46063</v>
      </c>
      <c r="R59" s="394" t="s">
        <v>4390</v>
      </c>
      <c r="S59" s="393"/>
      <c r="T59" s="403"/>
      <c r="U59" s="393"/>
      <c r="V59" s="383"/>
      <c r="W59" s="395"/>
      <c r="Y59" s="90"/>
      <c r="AB59" s="311"/>
    </row>
    <row r="60" spans="1:39">
      <c r="A60" s="980">
        <v>74</v>
      </c>
      <c r="B60" s="1096" t="s">
        <v>4391</v>
      </c>
      <c r="C60" s="284" t="s">
        <v>22</v>
      </c>
      <c r="D60" s="1642" t="s">
        <v>4392</v>
      </c>
      <c r="E60" s="681" t="s">
        <v>4393</v>
      </c>
      <c r="F60" s="274" t="s">
        <v>759</v>
      </c>
      <c r="G60" s="284" t="s">
        <v>76</v>
      </c>
      <c r="H60" s="391"/>
      <c r="I60" s="1295">
        <v>916290245911</v>
      </c>
      <c r="J60" s="284"/>
      <c r="K60" s="274" t="s">
        <v>253</v>
      </c>
      <c r="L60" s="274" t="s">
        <v>61</v>
      </c>
      <c r="M60" s="272">
        <v>33100</v>
      </c>
      <c r="N60" s="315">
        <v>55031</v>
      </c>
      <c r="O60" s="400">
        <v>45164</v>
      </c>
      <c r="P60" s="279">
        <v>45186</v>
      </c>
      <c r="Q60" s="302">
        <v>45916</v>
      </c>
      <c r="R60" s="394" t="s">
        <v>4394</v>
      </c>
      <c r="S60" s="393"/>
      <c r="T60" s="403"/>
      <c r="U60" s="393"/>
      <c r="V60" s="383"/>
      <c r="W60" s="395"/>
      <c r="X60" s="79"/>
      <c r="Y60" s="395"/>
      <c r="Z60" s="79"/>
      <c r="AA60" s="383"/>
      <c r="AB60" s="282"/>
      <c r="AC60" s="383"/>
      <c r="AD60" s="383"/>
      <c r="AE60" s="383"/>
      <c r="AF60" s="383"/>
      <c r="AG60" s="383"/>
      <c r="AH60" s="383"/>
      <c r="AI60" s="384"/>
      <c r="AJ60" s="384"/>
      <c r="AK60" s="384"/>
      <c r="AL60" s="384"/>
      <c r="AM60" s="384"/>
    </row>
    <row r="61" spans="1:39" ht="15.75" customHeight="1">
      <c r="A61" s="980">
        <v>22</v>
      </c>
      <c r="B61" s="301" t="s">
        <v>4395</v>
      </c>
      <c r="C61" s="284" t="s">
        <v>22</v>
      </c>
      <c r="D61" s="1646" t="s">
        <v>4396</v>
      </c>
      <c r="E61" s="1702" t="s">
        <v>4397</v>
      </c>
      <c r="F61" s="274" t="s">
        <v>759</v>
      </c>
      <c r="G61" s="284" t="s">
        <v>76</v>
      </c>
      <c r="H61" s="391"/>
      <c r="I61" s="1295">
        <v>919230881562</v>
      </c>
      <c r="J61" s="284"/>
      <c r="K61" s="274" t="s">
        <v>253</v>
      </c>
      <c r="L61" s="274" t="s">
        <v>256</v>
      </c>
      <c r="M61" s="272" t="s">
        <v>4398</v>
      </c>
      <c r="N61" s="272">
        <v>54819</v>
      </c>
      <c r="O61" s="400">
        <v>45262</v>
      </c>
      <c r="P61" s="279">
        <v>46151</v>
      </c>
      <c r="Q61" s="302">
        <v>46063</v>
      </c>
      <c r="R61" s="394" t="s">
        <v>4399</v>
      </c>
      <c r="S61" s="393"/>
      <c r="T61" s="403"/>
      <c r="U61" s="393"/>
      <c r="V61" s="383"/>
      <c r="W61" s="395"/>
      <c r="X61" s="79"/>
      <c r="Y61" s="3"/>
      <c r="Z61" s="79"/>
      <c r="AA61" s="79"/>
      <c r="AB61" s="311"/>
    </row>
    <row r="62" spans="1:39">
      <c r="A62" s="980">
        <v>85</v>
      </c>
      <c r="B62" s="301" t="s">
        <v>4400</v>
      </c>
      <c r="C62" s="284" t="s">
        <v>22</v>
      </c>
      <c r="D62" s="1699" t="s">
        <v>4401</v>
      </c>
      <c r="E62" s="1120" t="s">
        <v>4402</v>
      </c>
      <c r="F62" s="274" t="s">
        <v>759</v>
      </c>
      <c r="G62" s="284" t="s">
        <v>76</v>
      </c>
      <c r="H62" s="391"/>
      <c r="I62" s="1295">
        <v>917980977202</v>
      </c>
      <c r="J62" s="284"/>
      <c r="K62" s="274" t="s">
        <v>253</v>
      </c>
      <c r="L62" s="303" t="s">
        <v>56</v>
      </c>
      <c r="M62" s="272">
        <v>33831</v>
      </c>
      <c r="N62" s="272">
        <v>55762</v>
      </c>
      <c r="O62" s="400">
        <v>45262</v>
      </c>
      <c r="P62" s="279">
        <v>46178</v>
      </c>
      <c r="Q62" s="302">
        <v>46063</v>
      </c>
      <c r="R62" s="394" t="s">
        <v>4403</v>
      </c>
      <c r="S62" s="393"/>
      <c r="T62" s="403"/>
      <c r="U62" s="393"/>
      <c r="V62" s="383"/>
      <c r="W62" s="395"/>
      <c r="X62" s="79"/>
      <c r="Y62" s="395"/>
      <c r="Z62" s="79"/>
      <c r="AA62" s="383"/>
      <c r="AB62" s="282"/>
      <c r="AC62" s="383"/>
      <c r="AD62" s="383"/>
      <c r="AE62" s="383"/>
      <c r="AF62" s="383"/>
      <c r="AG62" s="383"/>
      <c r="AH62" s="383"/>
      <c r="AI62" s="384"/>
      <c r="AJ62" s="384"/>
      <c r="AK62" s="384"/>
      <c r="AL62" s="384"/>
      <c r="AM62" s="384"/>
    </row>
    <row r="63" spans="1:39">
      <c r="A63" s="980">
        <v>41</v>
      </c>
      <c r="B63" s="301" t="s">
        <v>4404</v>
      </c>
      <c r="C63" s="284" t="s">
        <v>22</v>
      </c>
      <c r="D63" s="1796" t="s">
        <v>4405</v>
      </c>
      <c r="E63" s="681" t="s">
        <v>4406</v>
      </c>
      <c r="F63" s="274" t="s">
        <v>759</v>
      </c>
      <c r="G63" s="284" t="s">
        <v>76</v>
      </c>
      <c r="H63" s="391"/>
      <c r="I63" s="1295">
        <v>919475727380</v>
      </c>
      <c r="J63" s="284"/>
      <c r="K63" s="274" t="s">
        <v>253</v>
      </c>
      <c r="L63" s="1217" t="s">
        <v>417</v>
      </c>
      <c r="M63" s="272">
        <v>30447</v>
      </c>
      <c r="N63" s="272">
        <v>52382</v>
      </c>
      <c r="O63" s="400">
        <v>46188</v>
      </c>
      <c r="P63" s="279">
        <v>45550</v>
      </c>
      <c r="Q63" s="302">
        <v>45520</v>
      </c>
      <c r="R63" s="394" t="s">
        <v>4407</v>
      </c>
      <c r="S63" s="393"/>
      <c r="T63" s="403"/>
      <c r="U63" s="393"/>
      <c r="V63" s="383"/>
      <c r="W63" s="395"/>
      <c r="X63" s="79"/>
      <c r="Y63" s="3"/>
      <c r="Z63" s="79"/>
      <c r="AA63" s="79"/>
      <c r="AB63" s="382"/>
      <c r="AC63" s="79"/>
      <c r="AD63" s="79"/>
      <c r="AE63" s="79"/>
    </row>
    <row r="64" spans="1:39">
      <c r="A64" s="1797">
        <v>57</v>
      </c>
      <c r="B64" s="1798" t="s">
        <v>4408</v>
      </c>
      <c r="C64" s="1799" t="s">
        <v>22</v>
      </c>
      <c r="D64" s="1800" t="s">
        <v>4409</v>
      </c>
      <c r="E64" s="1801" t="s">
        <v>4410</v>
      </c>
      <c r="F64" s="1799" t="s">
        <v>759</v>
      </c>
      <c r="G64" s="1799" t="s">
        <v>76</v>
      </c>
      <c r="H64" s="1802"/>
      <c r="I64" s="1803">
        <v>919000000000</v>
      </c>
      <c r="J64" s="1804"/>
      <c r="K64" s="274" t="s">
        <v>253</v>
      </c>
      <c r="L64" s="1799" t="s">
        <v>61</v>
      </c>
      <c r="M64" s="1805">
        <v>33963</v>
      </c>
      <c r="N64" s="1805">
        <v>55884</v>
      </c>
      <c r="O64" s="1806">
        <v>45171</v>
      </c>
      <c r="P64" s="1805">
        <v>46019</v>
      </c>
      <c r="Q64" s="1806">
        <v>45913</v>
      </c>
      <c r="R64" s="1807" t="s">
        <v>4411</v>
      </c>
      <c r="S64" s="1808"/>
      <c r="T64" s="1804"/>
      <c r="U64" s="1808"/>
      <c r="V64" s="1808"/>
      <c r="W64" s="1808"/>
      <c r="X64" s="1808"/>
      <c r="Y64" s="1808"/>
      <c r="Z64" s="1808"/>
      <c r="AA64" s="1808"/>
      <c r="AB64" s="1809"/>
      <c r="AC64" s="1808"/>
      <c r="AD64" s="1808"/>
      <c r="AE64" s="1808"/>
      <c r="AF64" s="1808"/>
      <c r="AG64" s="1808"/>
      <c r="AH64" s="1808"/>
      <c r="AI64" s="1810"/>
      <c r="AJ64" s="1810"/>
      <c r="AK64" s="1810"/>
      <c r="AL64" s="1810"/>
      <c r="AM64" s="1810"/>
    </row>
    <row r="65" spans="1:39" ht="15.75" customHeight="1">
      <c r="A65" s="980">
        <v>14</v>
      </c>
      <c r="B65" s="301" t="s">
        <v>4412</v>
      </c>
      <c r="C65" s="284" t="s">
        <v>22</v>
      </c>
      <c r="D65" s="1120">
        <v>27429803664</v>
      </c>
      <c r="E65" s="1120" t="s">
        <v>4413</v>
      </c>
      <c r="F65" s="1700" t="s">
        <v>759</v>
      </c>
      <c r="G65" s="284" t="s">
        <v>77</v>
      </c>
      <c r="H65" s="1701"/>
      <c r="I65" s="1309">
        <v>8637586519</v>
      </c>
      <c r="J65" s="284"/>
      <c r="K65" s="274" t="s">
        <v>253</v>
      </c>
      <c r="L65" s="274" t="s">
        <v>61</v>
      </c>
      <c r="M65" s="272">
        <v>33008</v>
      </c>
      <c r="N65" s="272">
        <v>54939</v>
      </c>
      <c r="O65" s="400">
        <v>45129</v>
      </c>
      <c r="P65" s="279">
        <v>45340</v>
      </c>
      <c r="Q65" s="302">
        <v>45368</v>
      </c>
      <c r="R65" s="394" t="s">
        <v>4414</v>
      </c>
      <c r="S65" s="393"/>
      <c r="T65" s="403"/>
      <c r="U65" s="393"/>
      <c r="V65" s="383"/>
      <c r="W65" s="395"/>
      <c r="X65" s="3"/>
      <c r="Y65" s="79"/>
      <c r="Z65" s="79"/>
    </row>
    <row r="66" spans="1:39">
      <c r="A66" s="1006">
        <v>60</v>
      </c>
      <c r="B66" s="301" t="s">
        <v>4415</v>
      </c>
      <c r="C66" s="284" t="s">
        <v>22</v>
      </c>
      <c r="D66" s="527">
        <v>3429802603</v>
      </c>
      <c r="E66" s="681" t="s">
        <v>4416</v>
      </c>
      <c r="F66" s="274" t="s">
        <v>759</v>
      </c>
      <c r="G66" s="284" t="s">
        <v>77</v>
      </c>
      <c r="H66" s="391"/>
      <c r="I66" s="461">
        <v>7001301731</v>
      </c>
      <c r="J66" s="284"/>
      <c r="K66" s="274" t="s">
        <v>253</v>
      </c>
      <c r="L66" s="125" t="s">
        <v>54</v>
      </c>
      <c r="M66" s="272">
        <v>29590</v>
      </c>
      <c r="N66" s="272">
        <v>51532</v>
      </c>
      <c r="O66" s="647">
        <v>45171</v>
      </c>
      <c r="P66" s="400">
        <v>46020</v>
      </c>
      <c r="Q66" s="279">
        <v>45951</v>
      </c>
      <c r="R66" s="394" t="s">
        <v>4417</v>
      </c>
      <c r="S66" s="393"/>
      <c r="T66" s="403"/>
      <c r="U66" s="393"/>
      <c r="V66" s="383"/>
      <c r="W66" s="563"/>
      <c r="X66" s="3"/>
      <c r="Y66" s="395"/>
      <c r="Z66" s="79"/>
      <c r="AA66" s="383"/>
      <c r="AB66" s="282"/>
      <c r="AC66" s="383"/>
      <c r="AD66" s="383"/>
      <c r="AE66" s="383"/>
      <c r="AF66" s="383"/>
      <c r="AG66" s="383"/>
      <c r="AH66" s="383"/>
      <c r="AI66" s="384"/>
      <c r="AJ66" s="384"/>
      <c r="AK66" s="384"/>
      <c r="AL66" s="384"/>
      <c r="AM66" s="384"/>
    </row>
    <row r="67" spans="1:39">
      <c r="A67" s="980">
        <v>48</v>
      </c>
      <c r="B67" s="301" t="s">
        <v>4418</v>
      </c>
      <c r="C67" s="284" t="s">
        <v>22</v>
      </c>
      <c r="D67" s="1646" t="s">
        <v>4419</v>
      </c>
      <c r="E67" s="1120" t="s">
        <v>4420</v>
      </c>
      <c r="F67" s="274" t="s">
        <v>759</v>
      </c>
      <c r="G67" s="284" t="s">
        <v>76</v>
      </c>
      <c r="H67" s="391"/>
      <c r="I67" s="284">
        <v>8961422678</v>
      </c>
      <c r="J67" s="284"/>
      <c r="K67" s="274" t="s">
        <v>253</v>
      </c>
      <c r="L67" s="274" t="s">
        <v>44</v>
      </c>
      <c r="M67" s="272">
        <v>32861</v>
      </c>
      <c r="N67" s="272">
        <v>54788</v>
      </c>
      <c r="O67" s="400">
        <v>45262</v>
      </c>
      <c r="P67" s="279">
        <v>46151</v>
      </c>
      <c r="Q67" s="302">
        <v>46063</v>
      </c>
      <c r="R67" s="394" t="s">
        <v>4421</v>
      </c>
      <c r="S67" s="393"/>
      <c r="T67" s="403"/>
      <c r="U67" s="393"/>
      <c r="V67" s="383"/>
      <c r="W67" s="395"/>
      <c r="X67" s="79"/>
      <c r="Y67" s="395"/>
      <c r="Z67" s="79"/>
      <c r="AA67" s="383"/>
      <c r="AB67" s="282"/>
      <c r="AC67" s="383"/>
      <c r="AD67" s="383"/>
      <c r="AE67" s="383"/>
      <c r="AF67" s="383"/>
      <c r="AG67" s="383"/>
      <c r="AH67" s="383"/>
      <c r="AI67" s="384"/>
      <c r="AJ67" s="384"/>
      <c r="AK67" s="384"/>
      <c r="AL67" s="384"/>
      <c r="AM67" s="384"/>
    </row>
    <row r="68" spans="1:39" ht="16.5" customHeight="1">
      <c r="A68" s="980">
        <v>31</v>
      </c>
      <c r="B68" s="301" t="s">
        <v>4422</v>
      </c>
      <c r="C68" s="284" t="s">
        <v>22</v>
      </c>
      <c r="D68" s="1120">
        <v>3429802012</v>
      </c>
      <c r="E68" s="1120" t="s">
        <v>4423</v>
      </c>
      <c r="F68" s="274" t="s">
        <v>759</v>
      </c>
      <c r="G68" s="284" t="s">
        <v>76</v>
      </c>
      <c r="H68" s="391"/>
      <c r="I68" s="461">
        <v>9230881558</v>
      </c>
      <c r="J68" s="284"/>
      <c r="K68" s="274" t="s">
        <v>253</v>
      </c>
      <c r="L68" s="439" t="s">
        <v>417</v>
      </c>
      <c r="M68" s="272">
        <v>31978</v>
      </c>
      <c r="N68" s="272">
        <v>53904</v>
      </c>
      <c r="O68" s="400">
        <v>46252</v>
      </c>
      <c r="P68" s="279">
        <v>45653</v>
      </c>
      <c r="Q68" s="302">
        <v>45576</v>
      </c>
      <c r="R68" s="403"/>
      <c r="S68" s="393"/>
      <c r="T68" s="403"/>
      <c r="U68" s="393"/>
      <c r="V68" s="383"/>
      <c r="W68" s="563"/>
      <c r="X68" s="90"/>
      <c r="Y68" s="90"/>
      <c r="AB68" s="311"/>
    </row>
    <row r="69" spans="1:39" ht="15.75" customHeight="1">
      <c r="A69" s="980">
        <v>82</v>
      </c>
      <c r="B69" s="301" t="s">
        <v>4424</v>
      </c>
      <c r="C69" s="284" t="s">
        <v>22</v>
      </c>
      <c r="D69" s="1699" t="s">
        <v>4425</v>
      </c>
      <c r="E69" s="1120" t="s">
        <v>4426</v>
      </c>
      <c r="F69" s="274" t="s">
        <v>759</v>
      </c>
      <c r="G69" s="284" t="s">
        <v>77</v>
      </c>
      <c r="H69" s="391"/>
      <c r="I69" s="284">
        <v>8515908969</v>
      </c>
      <c r="J69" s="284"/>
      <c r="K69" s="274" t="s">
        <v>253</v>
      </c>
      <c r="L69" s="274" t="s">
        <v>56</v>
      </c>
      <c r="M69" s="272">
        <v>33897</v>
      </c>
      <c r="N69" s="272">
        <v>55823</v>
      </c>
      <c r="O69" s="400">
        <v>45262</v>
      </c>
      <c r="P69" s="279">
        <v>46151</v>
      </c>
      <c r="Q69" s="302">
        <v>46063</v>
      </c>
      <c r="R69" s="394" t="s">
        <v>4427</v>
      </c>
      <c r="S69" s="393"/>
      <c r="T69" s="403"/>
      <c r="U69" s="393"/>
      <c r="V69" s="383"/>
      <c r="W69" s="395"/>
      <c r="X69" s="79"/>
      <c r="Y69" s="395"/>
      <c r="Z69" s="79"/>
      <c r="AA69" s="383"/>
      <c r="AB69" s="282"/>
      <c r="AC69" s="383"/>
      <c r="AD69" s="383"/>
      <c r="AE69" s="383"/>
      <c r="AF69" s="383"/>
      <c r="AG69" s="383"/>
      <c r="AH69" s="383"/>
      <c r="AI69" s="384"/>
      <c r="AJ69" s="384"/>
      <c r="AK69" s="384"/>
      <c r="AL69" s="384"/>
      <c r="AM69" s="384"/>
    </row>
    <row r="70" spans="1:39" ht="15.75" customHeight="1">
      <c r="A70" s="980">
        <v>65</v>
      </c>
      <c r="B70" s="301" t="s">
        <v>4428</v>
      </c>
      <c r="C70" s="284" t="s">
        <v>22</v>
      </c>
      <c r="D70" s="1699" t="s">
        <v>4429</v>
      </c>
      <c r="E70" s="1120" t="s">
        <v>4430</v>
      </c>
      <c r="F70" s="274" t="s">
        <v>759</v>
      </c>
      <c r="G70" s="284" t="s">
        <v>77</v>
      </c>
      <c r="H70" s="391"/>
      <c r="I70" s="284">
        <v>7278766435</v>
      </c>
      <c r="J70" s="284"/>
      <c r="K70" s="274" t="s">
        <v>253</v>
      </c>
      <c r="L70" s="274" t="s">
        <v>61</v>
      </c>
      <c r="M70" s="272">
        <v>34125</v>
      </c>
      <c r="N70" s="272">
        <v>56065</v>
      </c>
      <c r="O70" s="400">
        <v>45262</v>
      </c>
      <c r="P70" s="279">
        <v>46151</v>
      </c>
      <c r="Q70" s="302">
        <v>46063</v>
      </c>
      <c r="R70" s="394" t="s">
        <v>4431</v>
      </c>
      <c r="S70" s="393"/>
      <c r="T70" s="403"/>
      <c r="U70" s="393"/>
      <c r="V70" s="383"/>
      <c r="W70" s="395"/>
      <c r="X70" s="79"/>
      <c r="Y70" s="395"/>
      <c r="Z70" s="79"/>
      <c r="AA70" s="383"/>
      <c r="AB70" s="282"/>
      <c r="AC70" s="383"/>
      <c r="AD70" s="383"/>
      <c r="AE70" s="383"/>
      <c r="AF70" s="383"/>
      <c r="AG70" s="383"/>
      <c r="AH70" s="383"/>
      <c r="AI70" s="384"/>
      <c r="AJ70" s="384"/>
      <c r="AK70" s="384"/>
      <c r="AL70" s="384"/>
      <c r="AM70" s="384"/>
    </row>
    <row r="71" spans="1:39" ht="15.75" customHeight="1">
      <c r="A71" s="980">
        <v>25</v>
      </c>
      <c r="B71" s="301" t="s">
        <v>4432</v>
      </c>
      <c r="C71" s="284" t="s">
        <v>22</v>
      </c>
      <c r="D71" s="1796" t="s">
        <v>4433</v>
      </c>
      <c r="E71" s="1136" t="s">
        <v>4434</v>
      </c>
      <c r="F71" s="274" t="s">
        <v>759</v>
      </c>
      <c r="G71" s="284" t="s">
        <v>76</v>
      </c>
      <c r="H71" s="391"/>
      <c r="I71" s="1295">
        <v>919230881567</v>
      </c>
      <c r="J71" s="284"/>
      <c r="K71" s="274" t="s">
        <v>253</v>
      </c>
      <c r="L71" s="18" t="s">
        <v>62</v>
      </c>
      <c r="M71" s="272">
        <v>33039</v>
      </c>
      <c r="N71" s="272">
        <v>54969</v>
      </c>
      <c r="O71" s="400">
        <v>46163</v>
      </c>
      <c r="P71" s="279">
        <v>45566</v>
      </c>
      <c r="Q71" s="302">
        <v>45552</v>
      </c>
      <c r="R71" s="394" t="s">
        <v>4435</v>
      </c>
      <c r="S71" s="393"/>
      <c r="T71" s="403"/>
      <c r="U71" s="393"/>
      <c r="V71" s="383"/>
      <c r="W71" s="395"/>
      <c r="X71" s="79"/>
      <c r="Y71" s="3"/>
      <c r="Z71" s="79"/>
      <c r="AA71" s="79"/>
      <c r="AB71" s="382"/>
      <c r="AC71" s="79"/>
      <c r="AD71" s="79"/>
      <c r="AE71" s="79"/>
      <c r="AF71" s="79"/>
      <c r="AG71" s="79"/>
      <c r="AH71" s="79"/>
    </row>
    <row r="72" spans="1:39" ht="15.75" customHeight="1">
      <c r="A72" s="974">
        <v>1</v>
      </c>
      <c r="B72" s="976" t="s">
        <v>4436</v>
      </c>
      <c r="C72" s="405" t="s">
        <v>14</v>
      </c>
      <c r="D72" s="1460" t="s">
        <v>4437</v>
      </c>
      <c r="E72" s="1064" t="s">
        <v>4438</v>
      </c>
      <c r="F72" s="946" t="s">
        <v>759</v>
      </c>
      <c r="G72" s="870" t="s">
        <v>77</v>
      </c>
      <c r="H72" s="499" t="s">
        <v>279</v>
      </c>
      <c r="I72" s="307">
        <v>9002071656</v>
      </c>
      <c r="J72" s="307">
        <v>9002071656</v>
      </c>
      <c r="K72" s="274" t="s">
        <v>253</v>
      </c>
      <c r="L72" s="274" t="s">
        <v>351</v>
      </c>
      <c r="M72" s="278">
        <v>24781</v>
      </c>
      <c r="N72" s="278">
        <v>46721</v>
      </c>
      <c r="O72" s="278">
        <v>45237</v>
      </c>
      <c r="P72" s="278">
        <v>45523</v>
      </c>
      <c r="Q72" s="272">
        <v>45509</v>
      </c>
      <c r="R72" s="285"/>
      <c r="S72" s="285"/>
      <c r="T72" s="318" t="s">
        <v>4439</v>
      </c>
      <c r="U72" s="318" t="s">
        <v>4439</v>
      </c>
      <c r="V72" s="285"/>
      <c r="W72" s="532">
        <v>42698</v>
      </c>
      <c r="X72" s="3"/>
      <c r="Y72" s="3"/>
      <c r="Z72" s="286" t="s">
        <v>84</v>
      </c>
      <c r="AA72" s="79"/>
      <c r="AB72" s="311">
        <f t="shared" ref="AB72:AB75" ca="1" si="2">INT((TODAY()-M72)/365)</f>
        <v>58</v>
      </c>
    </row>
    <row r="73" spans="1:39" ht="15.75" customHeight="1">
      <c r="A73" s="974">
        <v>3</v>
      </c>
      <c r="B73" s="305" t="s">
        <v>4440</v>
      </c>
      <c r="C73" s="1301" t="s">
        <v>14</v>
      </c>
      <c r="D73" s="1460" t="s">
        <v>4441</v>
      </c>
      <c r="E73" s="1123" t="s">
        <v>4442</v>
      </c>
      <c r="F73" s="946" t="s">
        <v>759</v>
      </c>
      <c r="G73" s="870" t="s">
        <v>76</v>
      </c>
      <c r="H73" s="499" t="s">
        <v>279</v>
      </c>
      <c r="I73" s="307">
        <v>9002079082</v>
      </c>
      <c r="J73" s="307"/>
      <c r="K73" s="274" t="s">
        <v>253</v>
      </c>
      <c r="L73" s="439" t="s">
        <v>351</v>
      </c>
      <c r="M73" s="315">
        <v>24517</v>
      </c>
      <c r="N73" s="315">
        <v>46446</v>
      </c>
      <c r="O73" s="315">
        <v>45349</v>
      </c>
      <c r="P73" s="279">
        <v>45274</v>
      </c>
      <c r="Q73" s="272">
        <v>45509</v>
      </c>
      <c r="R73" s="285"/>
      <c r="S73" s="79"/>
      <c r="T73" s="318" t="s">
        <v>4443</v>
      </c>
      <c r="U73" s="318" t="s">
        <v>4443</v>
      </c>
      <c r="V73" s="285"/>
      <c r="W73" s="3"/>
      <c r="X73" s="18" t="s">
        <v>1986</v>
      </c>
      <c r="Y73" s="18">
        <v>1</v>
      </c>
      <c r="Z73" s="197" t="s">
        <v>84</v>
      </c>
      <c r="AB73" s="311">
        <f t="shared" ca="1" si="2"/>
        <v>59</v>
      </c>
    </row>
    <row r="74" spans="1:39" ht="15.75" customHeight="1">
      <c r="A74" s="974">
        <v>5</v>
      </c>
      <c r="B74" s="276" t="s">
        <v>4444</v>
      </c>
      <c r="C74" s="1301" t="s">
        <v>14</v>
      </c>
      <c r="D74" s="1458" t="s">
        <v>4445</v>
      </c>
      <c r="E74" s="1123" t="s">
        <v>4446</v>
      </c>
      <c r="F74" s="946" t="s">
        <v>759</v>
      </c>
      <c r="G74" s="870" t="s">
        <v>77</v>
      </c>
      <c r="H74" s="303" t="s">
        <v>279</v>
      </c>
      <c r="I74" s="703">
        <v>9002079615</v>
      </c>
      <c r="J74" s="703">
        <v>9002079615</v>
      </c>
      <c r="K74" s="274" t="s">
        <v>253</v>
      </c>
      <c r="L74" s="398" t="s">
        <v>351</v>
      </c>
      <c r="M74" s="315">
        <v>28464</v>
      </c>
      <c r="N74" s="315">
        <v>50405</v>
      </c>
      <c r="O74" s="315">
        <v>45631</v>
      </c>
      <c r="P74" s="315">
        <v>46164</v>
      </c>
      <c r="Q74" s="316">
        <v>45398</v>
      </c>
      <c r="R74" s="285"/>
      <c r="S74" s="285"/>
      <c r="T74" s="318" t="s">
        <v>4447</v>
      </c>
      <c r="U74" s="318" t="s">
        <v>4448</v>
      </c>
      <c r="V74" s="285"/>
      <c r="W74" s="3"/>
      <c r="X74" s="18" t="s">
        <v>1660</v>
      </c>
      <c r="Y74" s="18">
        <v>2</v>
      </c>
      <c r="Z74" s="286" t="s">
        <v>85</v>
      </c>
      <c r="AB74" s="382">
        <f t="shared" ca="1" si="2"/>
        <v>48</v>
      </c>
    </row>
    <row r="75" spans="1:39" ht="15.75" customHeight="1">
      <c r="A75" s="974">
        <v>6</v>
      </c>
      <c r="B75" s="351" t="s">
        <v>4449</v>
      </c>
      <c r="C75" s="323" t="s">
        <v>14</v>
      </c>
      <c r="D75" s="564" t="s">
        <v>4450</v>
      </c>
      <c r="E75" s="582" t="s">
        <v>4451</v>
      </c>
      <c r="F75" s="274" t="s">
        <v>759</v>
      </c>
      <c r="G75" s="284" t="s">
        <v>76</v>
      </c>
      <c r="H75" s="284" t="s">
        <v>279</v>
      </c>
      <c r="I75" s="391">
        <v>9002071739</v>
      </c>
      <c r="J75" s="391">
        <v>9002071739</v>
      </c>
      <c r="K75" s="274" t="s">
        <v>253</v>
      </c>
      <c r="L75" s="274" t="s">
        <v>351</v>
      </c>
      <c r="M75" s="390">
        <v>24473</v>
      </c>
      <c r="N75" s="289">
        <v>46418</v>
      </c>
      <c r="O75" s="272">
        <v>45287</v>
      </c>
      <c r="P75" s="272">
        <v>45268</v>
      </c>
      <c r="Q75" s="302">
        <v>45284</v>
      </c>
      <c r="R75" s="393"/>
      <c r="S75" s="393"/>
      <c r="T75" s="394" t="s">
        <v>4452</v>
      </c>
      <c r="U75" s="394" t="s">
        <v>4452</v>
      </c>
      <c r="V75" s="383">
        <f>LEN(TEXT(D75,0))</f>
        <v>11</v>
      </c>
      <c r="W75" s="584">
        <v>43265</v>
      </c>
      <c r="X75" s="79"/>
      <c r="Y75" s="395"/>
      <c r="Z75" s="197" t="s">
        <v>84</v>
      </c>
      <c r="AA75" s="384"/>
      <c r="AB75" s="208">
        <f t="shared" ca="1" si="2"/>
        <v>59</v>
      </c>
    </row>
    <row r="76" spans="1:39" ht="15.75" customHeight="1">
      <c r="A76" s="974">
        <v>9</v>
      </c>
      <c r="B76" s="1811" t="s">
        <v>1050</v>
      </c>
      <c r="C76" s="409" t="s">
        <v>14</v>
      </c>
      <c r="D76" s="1812" t="s">
        <v>4453</v>
      </c>
      <c r="E76" s="630"/>
      <c r="F76" s="366" t="s">
        <v>759</v>
      </c>
      <c r="G76" s="1789" t="s">
        <v>76</v>
      </c>
      <c r="H76" s="1621" t="s">
        <v>266</v>
      </c>
      <c r="I76" s="1813">
        <v>9002071706</v>
      </c>
      <c r="J76" s="1792"/>
      <c r="K76" s="274" t="s">
        <v>253</v>
      </c>
      <c r="L76" s="274" t="s">
        <v>299</v>
      </c>
      <c r="M76" s="329">
        <v>26689</v>
      </c>
      <c r="N76" s="329">
        <v>48610</v>
      </c>
      <c r="O76" s="330"/>
      <c r="P76" s="330"/>
      <c r="Q76" s="330"/>
      <c r="R76" s="334"/>
      <c r="S76" s="334"/>
      <c r="T76" s="630"/>
      <c r="U76" s="334"/>
      <c r="V76" s="334"/>
      <c r="W76" s="1380"/>
      <c r="X76" s="334"/>
      <c r="Y76" s="334"/>
      <c r="Z76" s="199"/>
      <c r="AA76" s="199"/>
      <c r="AB76" s="199"/>
      <c r="AC76" s="199"/>
      <c r="AD76" s="199"/>
      <c r="AE76" s="199"/>
      <c r="AF76" s="199"/>
      <c r="AG76" s="199"/>
      <c r="AH76" s="199"/>
      <c r="AI76" s="199"/>
      <c r="AJ76" s="199"/>
      <c r="AK76" s="199"/>
      <c r="AL76" s="199"/>
      <c r="AM76" s="199"/>
    </row>
    <row r="77" spans="1:39" ht="15.75" customHeight="1">
      <c r="A77" s="974">
        <v>10</v>
      </c>
      <c r="B77" s="1814" t="s">
        <v>4454</v>
      </c>
      <c r="C77" s="421" t="s">
        <v>14</v>
      </c>
      <c r="D77" s="1815" t="s">
        <v>4455</v>
      </c>
      <c r="E77" s="1816" t="s">
        <v>4456</v>
      </c>
      <c r="F77" s="946" t="s">
        <v>759</v>
      </c>
      <c r="G77" s="870" t="s">
        <v>76</v>
      </c>
      <c r="H77" s="303" t="s">
        <v>279</v>
      </c>
      <c r="I77" s="1817">
        <v>9002079749</v>
      </c>
      <c r="J77" s="1817">
        <v>9002079749</v>
      </c>
      <c r="K77" s="274" t="s">
        <v>253</v>
      </c>
      <c r="L77" s="274" t="s">
        <v>351</v>
      </c>
      <c r="M77" s="844">
        <v>26803</v>
      </c>
      <c r="N77" s="844">
        <v>48730</v>
      </c>
      <c r="O77" s="844">
        <v>45384</v>
      </c>
      <c r="P77" s="844">
        <v>45796</v>
      </c>
      <c r="Q77" s="855">
        <v>45731</v>
      </c>
      <c r="R77" s="285"/>
      <c r="S77" s="285"/>
      <c r="T77" s="318" t="s">
        <v>4457</v>
      </c>
      <c r="U77" s="280"/>
      <c r="V77" s="285"/>
      <c r="W77" s="3"/>
      <c r="X77" s="18" t="s">
        <v>281</v>
      </c>
      <c r="Y77" s="18">
        <v>1</v>
      </c>
      <c r="Z77" s="197" t="s">
        <v>85</v>
      </c>
      <c r="AB77" s="311">
        <f t="shared" ref="AB77:AB78" ca="1" si="3">INT((TODAY()-M77)/365)</f>
        <v>52</v>
      </c>
    </row>
    <row r="78" spans="1:39" ht="18.75">
      <c r="A78" s="974">
        <v>12</v>
      </c>
      <c r="B78" s="1461" t="s">
        <v>4458</v>
      </c>
      <c r="C78" s="18" t="s">
        <v>14</v>
      </c>
      <c r="D78" s="1460" t="s">
        <v>4459</v>
      </c>
      <c r="E78" s="303" t="s">
        <v>4460</v>
      </c>
      <c r="F78" s="685" t="s">
        <v>759</v>
      </c>
      <c r="G78" s="337" t="s">
        <v>77</v>
      </c>
      <c r="H78" s="303" t="s">
        <v>279</v>
      </c>
      <c r="I78" s="307">
        <v>8420320055</v>
      </c>
      <c r="J78" s="1818">
        <v>9339758715</v>
      </c>
      <c r="K78" s="307" t="s">
        <v>253</v>
      </c>
      <c r="L78" s="274" t="s">
        <v>351</v>
      </c>
      <c r="M78" s="278">
        <v>30913</v>
      </c>
      <c r="N78" s="315">
        <v>52840</v>
      </c>
      <c r="O78" s="278">
        <v>45686</v>
      </c>
      <c r="P78" s="278">
        <v>46220</v>
      </c>
      <c r="Q78" s="272">
        <v>45989</v>
      </c>
      <c r="R78" s="285"/>
      <c r="S78" s="285"/>
      <c r="T78" s="318" t="s">
        <v>4461</v>
      </c>
      <c r="U78" s="318" t="s">
        <v>4461</v>
      </c>
      <c r="V78" s="285">
        <f t="shared" ref="V78:V82" si="4">LEN(D78)</f>
        <v>11</v>
      </c>
      <c r="W78" s="90"/>
      <c r="X78" s="90"/>
      <c r="Y78" s="90"/>
      <c r="AB78" s="311">
        <f t="shared" ca="1" si="3"/>
        <v>41</v>
      </c>
    </row>
    <row r="79" spans="1:39" ht="15.75" customHeight="1">
      <c r="A79" s="974">
        <v>13</v>
      </c>
      <c r="B79" s="270" t="s">
        <v>4462</v>
      </c>
      <c r="C79" s="274" t="s">
        <v>14</v>
      </c>
      <c r="D79" s="1819" t="s">
        <v>4463</v>
      </c>
      <c r="E79" s="137" t="s">
        <v>4464</v>
      </c>
      <c r="F79" s="274" t="s">
        <v>759</v>
      </c>
      <c r="G79" s="274" t="s">
        <v>77</v>
      </c>
      <c r="H79" s="484" t="s">
        <v>266</v>
      </c>
      <c r="I79" s="275">
        <v>9002071775</v>
      </c>
      <c r="J79" s="275"/>
      <c r="K79" s="307" t="s">
        <v>253</v>
      </c>
      <c r="L79" s="274" t="s">
        <v>69</v>
      </c>
      <c r="M79" s="272">
        <v>26359</v>
      </c>
      <c r="N79" s="272">
        <v>48273</v>
      </c>
      <c r="O79" s="320">
        <v>45221</v>
      </c>
      <c r="P79" s="315">
        <v>45283</v>
      </c>
      <c r="Q79" s="272">
        <v>45355</v>
      </c>
      <c r="R79" s="280"/>
      <c r="S79" s="280"/>
      <c r="T79" s="281" t="s">
        <v>4465</v>
      </c>
      <c r="U79" s="281" t="s">
        <v>4466</v>
      </c>
      <c r="V79" s="79">
        <f t="shared" si="4"/>
        <v>11</v>
      </c>
      <c r="W79" s="208">
        <f t="shared" ref="W79:W80" ca="1" si="5">INT((TODAY()-M79)/365)</f>
        <v>54</v>
      </c>
      <c r="Y79" s="298"/>
      <c r="Z79" s="298"/>
      <c r="AA79" s="298"/>
      <c r="AB79" s="298"/>
      <c r="AC79" s="298"/>
      <c r="AD79" s="298"/>
      <c r="AE79" s="298"/>
      <c r="AF79" s="298"/>
      <c r="AG79" s="298"/>
      <c r="AH79" s="298"/>
      <c r="AI79" s="298"/>
      <c r="AJ79" s="298"/>
      <c r="AK79" s="298"/>
      <c r="AL79" s="298"/>
      <c r="AM79" s="298"/>
    </row>
    <row r="80" spans="1:39" ht="15.75" customHeight="1">
      <c r="A80" s="974">
        <v>14</v>
      </c>
      <c r="B80" s="542" t="s">
        <v>4467</v>
      </c>
      <c r="C80" s="274" t="s">
        <v>14</v>
      </c>
      <c r="D80" s="1820" t="s">
        <v>4468</v>
      </c>
      <c r="E80" s="303" t="s">
        <v>4469</v>
      </c>
      <c r="F80" s="900" t="s">
        <v>759</v>
      </c>
      <c r="G80" s="274" t="s">
        <v>76</v>
      </c>
      <c r="H80" s="274" t="s">
        <v>279</v>
      </c>
      <c r="I80" s="1821">
        <v>9002079758</v>
      </c>
      <c r="J80" s="275"/>
      <c r="K80" s="307" t="s">
        <v>253</v>
      </c>
      <c r="L80" s="274" t="s">
        <v>50</v>
      </c>
      <c r="M80" s="272">
        <v>30212</v>
      </c>
      <c r="N80" s="272">
        <v>52139</v>
      </c>
      <c r="O80" s="320">
        <v>46060</v>
      </c>
      <c r="P80" s="272">
        <v>45305</v>
      </c>
      <c r="Q80" s="302">
        <v>45284</v>
      </c>
      <c r="R80" s="280"/>
      <c r="S80" s="280"/>
      <c r="T80" s="281" t="s">
        <v>4470</v>
      </c>
      <c r="U80" s="281" t="s">
        <v>4471</v>
      </c>
      <c r="V80" s="280">
        <f t="shared" si="4"/>
        <v>11</v>
      </c>
      <c r="W80" s="208">
        <f t="shared" ca="1" si="5"/>
        <v>43</v>
      </c>
    </row>
    <row r="81" spans="1:39" ht="15.75">
      <c r="A81" s="974">
        <v>15</v>
      </c>
      <c r="B81" s="270" t="s">
        <v>4472</v>
      </c>
      <c r="C81" s="274" t="s">
        <v>14</v>
      </c>
      <c r="D81" s="562" t="s">
        <v>4473</v>
      </c>
      <c r="E81" s="1019" t="s">
        <v>4474</v>
      </c>
      <c r="F81" s="685" t="s">
        <v>759</v>
      </c>
      <c r="G81" s="274" t="s">
        <v>76</v>
      </c>
      <c r="H81" s="303" t="s">
        <v>279</v>
      </c>
      <c r="I81" s="275">
        <v>9002071041</v>
      </c>
      <c r="J81" s="306">
        <v>9007316406</v>
      </c>
      <c r="K81" s="307" t="s">
        <v>253</v>
      </c>
      <c r="L81" s="274" t="s">
        <v>69</v>
      </c>
      <c r="M81" s="272">
        <v>33323</v>
      </c>
      <c r="N81" s="272">
        <v>55243</v>
      </c>
      <c r="O81" s="272">
        <v>45888</v>
      </c>
      <c r="P81" s="272">
        <v>45257</v>
      </c>
      <c r="Q81" s="272">
        <v>45242</v>
      </c>
      <c r="R81" s="998"/>
      <c r="S81" s="485"/>
      <c r="T81" s="486" t="s">
        <v>4475</v>
      </c>
      <c r="U81" s="486" t="s">
        <v>4476</v>
      </c>
      <c r="V81" s="382">
        <f t="shared" si="4"/>
        <v>11</v>
      </c>
      <c r="W81" s="382"/>
      <c r="X81" s="382"/>
      <c r="Y81" s="382"/>
      <c r="Z81" s="382"/>
      <c r="AA81" s="382"/>
      <c r="AB81" s="311">
        <f ca="1">INT((TODAY()-M81)/365)</f>
        <v>35</v>
      </c>
    </row>
    <row r="82" spans="1:39" ht="15.75" customHeight="1">
      <c r="A82" s="974">
        <v>16</v>
      </c>
      <c r="B82" s="270" t="s">
        <v>4477</v>
      </c>
      <c r="C82" s="274" t="s">
        <v>14</v>
      </c>
      <c r="D82" s="562" t="s">
        <v>4478</v>
      </c>
      <c r="E82" s="303" t="s">
        <v>4479</v>
      </c>
      <c r="F82" s="18" t="s">
        <v>759</v>
      </c>
      <c r="G82" s="274" t="s">
        <v>76</v>
      </c>
      <c r="H82" s="274" t="s">
        <v>279</v>
      </c>
      <c r="I82" s="275">
        <v>8420320031</v>
      </c>
      <c r="J82" s="306">
        <v>8420320031</v>
      </c>
      <c r="K82" s="307" t="s">
        <v>253</v>
      </c>
      <c r="L82" s="274" t="s">
        <v>351</v>
      </c>
      <c r="M82" s="272">
        <v>29970</v>
      </c>
      <c r="N82" s="272">
        <v>51897</v>
      </c>
      <c r="O82" s="272">
        <v>45930</v>
      </c>
      <c r="P82" s="278">
        <v>45559</v>
      </c>
      <c r="Q82" s="279">
        <v>45527</v>
      </c>
      <c r="R82" s="998"/>
      <c r="S82" s="485"/>
      <c r="T82" s="486" t="s">
        <v>4480</v>
      </c>
      <c r="U82" s="486" t="s">
        <v>4481</v>
      </c>
      <c r="V82" s="382">
        <f t="shared" si="4"/>
        <v>11</v>
      </c>
      <c r="W82" s="311"/>
      <c r="X82" s="208">
        <f ca="1">INT((TODAY()-M82)/365)</f>
        <v>44</v>
      </c>
      <c r="Y82" s="311"/>
      <c r="Z82" s="311"/>
      <c r="AA82" s="311"/>
      <c r="AB82" s="311"/>
    </row>
    <row r="83" spans="1:39" ht="15.75" customHeight="1">
      <c r="A83" s="974">
        <v>18</v>
      </c>
      <c r="B83" s="642" t="s">
        <v>4482</v>
      </c>
      <c r="C83" s="391" t="s">
        <v>14</v>
      </c>
      <c r="D83" s="1822" t="s">
        <v>4483</v>
      </c>
      <c r="E83" s="582" t="s">
        <v>4484</v>
      </c>
      <c r="F83" s="274" t="s">
        <v>759</v>
      </c>
      <c r="G83" s="284" t="s">
        <v>76</v>
      </c>
      <c r="H83" s="284" t="s">
        <v>279</v>
      </c>
      <c r="I83" s="480">
        <v>9002079032</v>
      </c>
      <c r="J83" s="391"/>
      <c r="K83" s="307" t="s">
        <v>253</v>
      </c>
      <c r="L83" s="125" t="s">
        <v>69</v>
      </c>
      <c r="M83" s="1823">
        <v>25936</v>
      </c>
      <c r="N83" s="481">
        <v>47879</v>
      </c>
      <c r="O83" s="424">
        <v>45281</v>
      </c>
      <c r="P83" s="424">
        <v>45705</v>
      </c>
      <c r="Q83" s="387">
        <v>45705</v>
      </c>
      <c r="R83" s="393"/>
      <c r="S83" s="393"/>
      <c r="T83" s="394" t="s">
        <v>4485</v>
      </c>
      <c r="U83" s="394" t="s">
        <v>4486</v>
      </c>
      <c r="V83" s="383">
        <f t="shared" ref="V83:V86" si="6">LEN(TEXT(D83,0))</f>
        <v>11</v>
      </c>
      <c r="W83" s="1017">
        <v>44116</v>
      </c>
      <c r="Y83" s="563"/>
      <c r="Z83" s="197" t="s">
        <v>84</v>
      </c>
      <c r="AA83" s="384"/>
      <c r="AB83" s="208">
        <f t="shared" ref="AB83:AB88" ca="1" si="7">INT((TODAY()-M83)/365)</f>
        <v>55</v>
      </c>
    </row>
    <row r="84" spans="1:39" ht="15.75" customHeight="1">
      <c r="A84" s="974">
        <v>17</v>
      </c>
      <c r="B84" s="351" t="s">
        <v>4487</v>
      </c>
      <c r="C84" s="323" t="s">
        <v>14</v>
      </c>
      <c r="D84" s="564" t="s">
        <v>4488</v>
      </c>
      <c r="E84" s="1676" t="s">
        <v>4489</v>
      </c>
      <c r="F84" s="686" t="s">
        <v>759</v>
      </c>
      <c r="G84" s="284" t="s">
        <v>76</v>
      </c>
      <c r="H84" s="284" t="s">
        <v>279</v>
      </c>
      <c r="I84" s="391">
        <v>9002071861</v>
      </c>
      <c r="J84" s="391">
        <v>9002071861</v>
      </c>
      <c r="K84" s="307" t="s">
        <v>253</v>
      </c>
      <c r="L84" s="274" t="s">
        <v>351</v>
      </c>
      <c r="M84" s="390">
        <v>27793</v>
      </c>
      <c r="N84" s="289">
        <v>49734</v>
      </c>
      <c r="O84" s="392">
        <v>45119</v>
      </c>
      <c r="P84" s="278">
        <v>45667</v>
      </c>
      <c r="Q84" s="300">
        <v>45591</v>
      </c>
      <c r="R84" s="393"/>
      <c r="S84" s="393"/>
      <c r="T84" s="394" t="s">
        <v>4490</v>
      </c>
      <c r="U84" s="394" t="s">
        <v>4490</v>
      </c>
      <c r="V84" s="383">
        <f t="shared" si="6"/>
        <v>11</v>
      </c>
      <c r="W84" s="583">
        <v>44116</v>
      </c>
      <c r="X84" s="79"/>
      <c r="Y84" s="395"/>
      <c r="Z84" s="286" t="s">
        <v>84</v>
      </c>
      <c r="AA84" s="383"/>
      <c r="AB84" s="208">
        <f t="shared" ca="1" si="7"/>
        <v>50</v>
      </c>
      <c r="AC84" s="384"/>
      <c r="AD84" s="384"/>
      <c r="AE84" s="384"/>
      <c r="AF84" s="384"/>
      <c r="AG84" s="384"/>
      <c r="AH84" s="384"/>
      <c r="AI84" s="384"/>
      <c r="AJ84" s="384"/>
      <c r="AK84" s="384"/>
    </row>
    <row r="85" spans="1:39" ht="15.75" customHeight="1">
      <c r="A85" s="1066">
        <v>9</v>
      </c>
      <c r="B85" s="351" t="s">
        <v>4491</v>
      </c>
      <c r="C85" s="323" t="s">
        <v>14</v>
      </c>
      <c r="D85" s="1824" t="s">
        <v>4492</v>
      </c>
      <c r="E85" s="582" t="s">
        <v>4493</v>
      </c>
      <c r="F85" s="274" t="s">
        <v>759</v>
      </c>
      <c r="G85" s="284" t="s">
        <v>76</v>
      </c>
      <c r="H85" s="284" t="s">
        <v>279</v>
      </c>
      <c r="I85" s="391">
        <v>9002071185</v>
      </c>
      <c r="J85" s="391">
        <v>9002071185</v>
      </c>
      <c r="K85" s="307" t="s">
        <v>253</v>
      </c>
      <c r="L85" s="398" t="s">
        <v>50</v>
      </c>
      <c r="M85" s="390">
        <v>24840</v>
      </c>
      <c r="N85" s="289">
        <v>46783</v>
      </c>
      <c r="O85" s="392">
        <v>45297</v>
      </c>
      <c r="P85" s="278">
        <v>45667</v>
      </c>
      <c r="Q85" s="915">
        <v>45453</v>
      </c>
      <c r="R85" s="393"/>
      <c r="S85" s="393"/>
      <c r="T85" s="394" t="s">
        <v>4494</v>
      </c>
      <c r="U85" s="394" t="s">
        <v>4494</v>
      </c>
      <c r="V85" s="383">
        <f t="shared" si="6"/>
        <v>11</v>
      </c>
      <c r="W85" s="1017">
        <v>44116</v>
      </c>
      <c r="Y85" s="563"/>
      <c r="Z85" s="197" t="s">
        <v>84</v>
      </c>
      <c r="AA85" s="384"/>
      <c r="AB85" s="208">
        <f t="shared" ca="1" si="7"/>
        <v>58</v>
      </c>
      <c r="AC85" s="384"/>
      <c r="AD85" s="384"/>
      <c r="AE85" s="384"/>
      <c r="AF85" s="384"/>
      <c r="AG85" s="384"/>
      <c r="AH85" s="384"/>
      <c r="AI85" s="384"/>
      <c r="AJ85" s="384"/>
      <c r="AK85" s="384"/>
      <c r="AL85" s="384"/>
      <c r="AM85" s="384"/>
    </row>
    <row r="86" spans="1:39" ht="15.75" customHeight="1">
      <c r="A86" s="1066">
        <v>13</v>
      </c>
      <c r="B86" s="351" t="s">
        <v>4495</v>
      </c>
      <c r="C86" s="391" t="s">
        <v>14</v>
      </c>
      <c r="D86" s="564" t="s">
        <v>4496</v>
      </c>
      <c r="E86" s="582" t="s">
        <v>4497</v>
      </c>
      <c r="F86" s="274" t="s">
        <v>759</v>
      </c>
      <c r="G86" s="284" t="s">
        <v>77</v>
      </c>
      <c r="H86" s="284" t="s">
        <v>279</v>
      </c>
      <c r="I86" s="391">
        <v>9002079785</v>
      </c>
      <c r="J86" s="284"/>
      <c r="K86" s="307" t="s">
        <v>253</v>
      </c>
      <c r="L86" s="274" t="s">
        <v>351</v>
      </c>
      <c r="M86" s="390">
        <v>26097</v>
      </c>
      <c r="N86" s="289">
        <v>48029</v>
      </c>
      <c r="O86" s="272">
        <v>45267</v>
      </c>
      <c r="P86" s="272">
        <v>46035</v>
      </c>
      <c r="Q86" s="272">
        <v>45509</v>
      </c>
      <c r="R86" s="393"/>
      <c r="S86" s="393"/>
      <c r="T86" s="394" t="s">
        <v>4498</v>
      </c>
      <c r="U86" s="394" t="s">
        <v>4499</v>
      </c>
      <c r="V86" s="383">
        <f t="shared" si="6"/>
        <v>11</v>
      </c>
      <c r="W86" s="1017">
        <v>44123</v>
      </c>
      <c r="Y86" s="563"/>
      <c r="Z86" s="197" t="s">
        <v>84</v>
      </c>
      <c r="AA86" s="384"/>
      <c r="AB86" s="208">
        <f t="shared" ca="1" si="7"/>
        <v>54</v>
      </c>
    </row>
    <row r="87" spans="1:39" ht="15.75" customHeight="1">
      <c r="A87" s="1155">
        <v>2</v>
      </c>
      <c r="B87" s="1461" t="s">
        <v>4500</v>
      </c>
      <c r="C87" s="323" t="s">
        <v>14</v>
      </c>
      <c r="D87" s="1462" t="s">
        <v>4501</v>
      </c>
      <c r="E87" s="1123" t="s">
        <v>4502</v>
      </c>
      <c r="F87" s="946" t="s">
        <v>759</v>
      </c>
      <c r="G87" s="870" t="s">
        <v>76</v>
      </c>
      <c r="H87" s="303" t="s">
        <v>279</v>
      </c>
      <c r="I87" s="307">
        <v>9002079040</v>
      </c>
      <c r="J87" s="307"/>
      <c r="K87" s="307" t="s">
        <v>253</v>
      </c>
      <c r="L87" s="398" t="s">
        <v>351</v>
      </c>
      <c r="M87" s="315">
        <v>27761</v>
      </c>
      <c r="N87" s="315">
        <v>49705</v>
      </c>
      <c r="O87" s="279">
        <v>45722</v>
      </c>
      <c r="P87" s="279">
        <v>45274</v>
      </c>
      <c r="Q87" s="302">
        <v>45481</v>
      </c>
      <c r="R87" s="318" t="s">
        <v>4503</v>
      </c>
      <c r="S87" s="285"/>
      <c r="T87" s="318" t="s">
        <v>4504</v>
      </c>
      <c r="U87" s="285"/>
      <c r="V87" s="285"/>
      <c r="W87" s="90"/>
      <c r="X87" s="137" t="s">
        <v>1986</v>
      </c>
      <c r="Y87" s="137">
        <v>1</v>
      </c>
      <c r="Z87" s="197" t="s">
        <v>84</v>
      </c>
      <c r="AB87" s="311">
        <f t="shared" ca="1" si="7"/>
        <v>50</v>
      </c>
    </row>
    <row r="88" spans="1:39" ht="15" customHeight="1">
      <c r="A88" s="1066">
        <v>11</v>
      </c>
      <c r="B88" s="276" t="s">
        <v>4505</v>
      </c>
      <c r="C88" s="405" t="s">
        <v>14</v>
      </c>
      <c r="D88" s="1458" t="s">
        <v>4506</v>
      </c>
      <c r="E88" s="900" t="s">
        <v>4507</v>
      </c>
      <c r="F88" s="686" t="s">
        <v>759</v>
      </c>
      <c r="G88" s="870" t="s">
        <v>77</v>
      </c>
      <c r="H88" s="284" t="s">
        <v>279</v>
      </c>
      <c r="I88" s="276">
        <v>9002079772</v>
      </c>
      <c r="J88" s="703">
        <v>9002079772</v>
      </c>
      <c r="K88" s="307" t="s">
        <v>253</v>
      </c>
      <c r="L88" s="274" t="s">
        <v>351</v>
      </c>
      <c r="M88" s="278">
        <v>27093</v>
      </c>
      <c r="N88" s="315">
        <v>49034</v>
      </c>
      <c r="O88" s="278">
        <v>45722</v>
      </c>
      <c r="P88" s="278">
        <v>45454</v>
      </c>
      <c r="Q88" s="915">
        <v>45453</v>
      </c>
      <c r="R88" s="285"/>
      <c r="S88" s="285"/>
      <c r="T88" s="318" t="s">
        <v>4508</v>
      </c>
      <c r="U88" s="317"/>
      <c r="V88" s="285">
        <f>LEN(D88)</f>
        <v>11</v>
      </c>
      <c r="W88" s="532">
        <v>44119</v>
      </c>
      <c r="X88" s="18" t="s">
        <v>4509</v>
      </c>
      <c r="Y88" s="3"/>
      <c r="Z88" s="286" t="s">
        <v>84</v>
      </c>
      <c r="AA88" s="1363" t="s">
        <v>4510</v>
      </c>
      <c r="AB88" s="208">
        <f t="shared" ca="1" si="7"/>
        <v>52</v>
      </c>
      <c r="AC88" s="298"/>
      <c r="AD88" s="298"/>
      <c r="AE88" s="298"/>
      <c r="AF88" s="298"/>
      <c r="AG88" s="298"/>
      <c r="AH88" s="298"/>
      <c r="AI88" s="298"/>
      <c r="AJ88" s="298"/>
      <c r="AK88" s="298"/>
      <c r="AL88" s="298"/>
      <c r="AM88" s="298"/>
    </row>
    <row r="89" spans="1:39" ht="15.75" customHeight="1">
      <c r="A89" s="1066">
        <v>19</v>
      </c>
      <c r="B89" s="293" t="s">
        <v>4511</v>
      </c>
      <c r="C89" s="391" t="s">
        <v>14</v>
      </c>
      <c r="D89" s="562" t="s">
        <v>4512</v>
      </c>
      <c r="E89" s="274" t="s">
        <v>4513</v>
      </c>
      <c r="F89" s="274" t="s">
        <v>759</v>
      </c>
      <c r="G89" s="274" t="s">
        <v>77</v>
      </c>
      <c r="H89" s="274" t="s">
        <v>279</v>
      </c>
      <c r="I89" s="293">
        <v>9002071710</v>
      </c>
      <c r="J89" s="275"/>
      <c r="K89" s="307" t="s">
        <v>253</v>
      </c>
      <c r="L89" s="274" t="s">
        <v>351</v>
      </c>
      <c r="M89" s="272">
        <v>25144</v>
      </c>
      <c r="N89" s="289">
        <v>47087</v>
      </c>
      <c r="O89" s="272">
        <v>45232</v>
      </c>
      <c r="P89" s="272">
        <v>45807</v>
      </c>
      <c r="Q89" s="272">
        <v>45677</v>
      </c>
      <c r="R89" s="280"/>
      <c r="S89" s="295"/>
      <c r="T89" s="888"/>
      <c r="U89" s="296" t="s">
        <v>1300</v>
      </c>
      <c r="V89" s="297">
        <f t="shared" ref="V89:V91" si="8">LEN(TEXT(D89,0))</f>
        <v>11</v>
      </c>
      <c r="W89" s="208">
        <f t="shared" ref="W89:W90" ca="1" si="9">INT((TODAY()-M89)/365)</f>
        <v>57</v>
      </c>
      <c r="X89" s="298"/>
      <c r="Y89" s="298"/>
      <c r="Z89" s="298"/>
      <c r="AA89" s="298"/>
      <c r="AB89" s="298"/>
      <c r="AC89" s="298"/>
      <c r="AD89" s="298"/>
      <c r="AE89" s="298"/>
      <c r="AF89" s="298"/>
      <c r="AG89" s="298"/>
      <c r="AH89" s="298"/>
      <c r="AI89" s="298"/>
      <c r="AJ89" s="298"/>
      <c r="AK89" s="298"/>
      <c r="AL89" s="298"/>
      <c r="AM89" s="298"/>
    </row>
    <row r="90" spans="1:39" ht="15.75" customHeight="1">
      <c r="A90" s="1066">
        <v>20</v>
      </c>
      <c r="B90" s="293" t="s">
        <v>4514</v>
      </c>
      <c r="C90" s="391" t="s">
        <v>14</v>
      </c>
      <c r="D90" s="1466" t="s">
        <v>4515</v>
      </c>
      <c r="E90" s="18" t="s">
        <v>4516</v>
      </c>
      <c r="F90" s="274" t="s">
        <v>759</v>
      </c>
      <c r="G90" s="274" t="s">
        <v>77</v>
      </c>
      <c r="H90" s="274" t="s">
        <v>279</v>
      </c>
      <c r="I90" s="293">
        <v>9002071751</v>
      </c>
      <c r="J90" s="284">
        <v>9002071751</v>
      </c>
      <c r="K90" s="307" t="s">
        <v>253</v>
      </c>
      <c r="L90" s="125" t="s">
        <v>69</v>
      </c>
      <c r="M90" s="289">
        <v>26620</v>
      </c>
      <c r="N90" s="289">
        <v>48548</v>
      </c>
      <c r="O90" s="272">
        <v>45294</v>
      </c>
      <c r="P90" s="272">
        <v>46164</v>
      </c>
      <c r="Q90" s="272">
        <v>45845</v>
      </c>
      <c r="R90" s="79"/>
      <c r="S90" s="79"/>
      <c r="T90" s="603" t="s">
        <v>4517</v>
      </c>
      <c r="U90" s="603" t="s">
        <v>4517</v>
      </c>
      <c r="V90" s="297">
        <f t="shared" si="8"/>
        <v>11</v>
      </c>
      <c r="W90" s="208">
        <f t="shared" ca="1" si="9"/>
        <v>53</v>
      </c>
      <c r="X90" s="298"/>
      <c r="Y90" s="298"/>
      <c r="Z90" s="298"/>
      <c r="AA90" s="298"/>
      <c r="AB90" s="298"/>
      <c r="AC90" s="298"/>
      <c r="AD90" s="298"/>
      <c r="AE90" s="298"/>
      <c r="AF90" s="298"/>
      <c r="AG90" s="298"/>
      <c r="AH90" s="298"/>
      <c r="AI90" s="298"/>
      <c r="AJ90" s="298"/>
      <c r="AK90" s="298"/>
      <c r="AL90" s="298"/>
      <c r="AM90" s="298"/>
    </row>
    <row r="91" spans="1:39" ht="15.75" customHeight="1">
      <c r="A91" s="1066">
        <v>8</v>
      </c>
      <c r="B91" s="276" t="s">
        <v>4518</v>
      </c>
      <c r="C91" s="307" t="s">
        <v>14</v>
      </c>
      <c r="D91" s="1458" t="s">
        <v>4519</v>
      </c>
      <c r="E91" s="900" t="s">
        <v>4520</v>
      </c>
      <c r="F91" s="686" t="s">
        <v>759</v>
      </c>
      <c r="G91" s="870" t="s">
        <v>78</v>
      </c>
      <c r="H91" s="284" t="s">
        <v>279</v>
      </c>
      <c r="I91" s="276">
        <v>8420320001</v>
      </c>
      <c r="J91" s="307"/>
      <c r="K91" s="307" t="s">
        <v>253</v>
      </c>
      <c r="L91" s="445" t="s">
        <v>61</v>
      </c>
      <c r="M91" s="921">
        <v>31413</v>
      </c>
      <c r="N91" s="278">
        <v>53358</v>
      </c>
      <c r="O91" s="921">
        <v>45130</v>
      </c>
      <c r="P91" s="278">
        <v>46074</v>
      </c>
      <c r="Q91" s="302">
        <v>46050</v>
      </c>
      <c r="R91" s="393"/>
      <c r="S91" s="285"/>
      <c r="T91" s="318" t="s">
        <v>4521</v>
      </c>
      <c r="U91" s="318" t="s">
        <v>4522</v>
      </c>
      <c r="V91" s="383">
        <f t="shared" si="8"/>
        <v>11</v>
      </c>
      <c r="W91" s="532">
        <v>44119</v>
      </c>
      <c r="X91" s="18" t="s">
        <v>4509</v>
      </c>
      <c r="Y91" s="3"/>
      <c r="Z91" s="286" t="s">
        <v>84</v>
      </c>
      <c r="AA91" s="1363" t="s">
        <v>4523</v>
      </c>
      <c r="AB91" s="208">
        <f ca="1">INT((TODAY()-M91)/365)</f>
        <v>40</v>
      </c>
      <c r="AC91" s="384"/>
      <c r="AD91" s="384"/>
      <c r="AE91" s="384"/>
      <c r="AF91" s="384"/>
      <c r="AG91" s="384"/>
      <c r="AH91" s="384"/>
      <c r="AI91" s="384"/>
      <c r="AJ91" s="384"/>
      <c r="AK91" s="384"/>
      <c r="AL91" s="384"/>
      <c r="AM91" s="384"/>
    </row>
    <row r="92" spans="1:39" ht="15.75" customHeight="1">
      <c r="A92" s="1155">
        <v>1</v>
      </c>
      <c r="B92" s="351" t="s">
        <v>4524</v>
      </c>
      <c r="C92" s="307" t="s">
        <v>14</v>
      </c>
      <c r="D92" s="1820" t="s">
        <v>4525</v>
      </c>
      <c r="E92" s="303" t="s">
        <v>4526</v>
      </c>
      <c r="F92" s="274" t="s">
        <v>759</v>
      </c>
      <c r="G92" s="274" t="s">
        <v>76</v>
      </c>
      <c r="H92" s="274" t="s">
        <v>279</v>
      </c>
      <c r="I92" s="275">
        <v>9002079088</v>
      </c>
      <c r="J92" s="284">
        <v>6202892181</v>
      </c>
      <c r="K92" s="307" t="s">
        <v>253</v>
      </c>
      <c r="L92" s="398" t="s">
        <v>69</v>
      </c>
      <c r="M92" s="272">
        <v>32268</v>
      </c>
      <c r="N92" s="272">
        <v>54209</v>
      </c>
      <c r="O92" s="320">
        <v>45929</v>
      </c>
      <c r="P92" s="272">
        <v>45305</v>
      </c>
      <c r="Q92" s="302">
        <v>45284</v>
      </c>
      <c r="R92" s="280"/>
      <c r="S92" s="280"/>
      <c r="T92" s="281" t="s">
        <v>4527</v>
      </c>
      <c r="U92" s="280"/>
      <c r="V92" s="280">
        <f t="shared" ref="V92:V95" si="10">LEN(D92)</f>
        <v>11</v>
      </c>
      <c r="W92" s="208">
        <f t="shared" ref="W92:W95" ca="1" si="11">INT((TODAY()-M92)/365)</f>
        <v>37</v>
      </c>
      <c r="AC92" s="311"/>
      <c r="AD92" s="311"/>
      <c r="AE92" s="311"/>
      <c r="AF92" s="311"/>
      <c r="AG92" s="311"/>
      <c r="AH92" s="311"/>
    </row>
    <row r="93" spans="1:39" ht="15.75" customHeight="1">
      <c r="A93" s="1162">
        <v>46</v>
      </c>
      <c r="B93" s="351" t="s">
        <v>4528</v>
      </c>
      <c r="C93" s="307" t="s">
        <v>14</v>
      </c>
      <c r="D93" s="1820" t="s">
        <v>4529</v>
      </c>
      <c r="E93" s="1004" t="s">
        <v>4530</v>
      </c>
      <c r="F93" s="274" t="s">
        <v>759</v>
      </c>
      <c r="G93" s="274" t="s">
        <v>78</v>
      </c>
      <c r="H93" s="274" t="s">
        <v>266</v>
      </c>
      <c r="I93" s="275">
        <v>9002071399</v>
      </c>
      <c r="J93" s="284">
        <v>8444035708</v>
      </c>
      <c r="K93" s="274" t="s">
        <v>253</v>
      </c>
      <c r="L93" s="274" t="s">
        <v>61</v>
      </c>
      <c r="M93" s="272">
        <v>30980</v>
      </c>
      <c r="N93" s="272">
        <v>52901</v>
      </c>
      <c r="O93" s="277">
        <v>46245</v>
      </c>
      <c r="P93" s="315">
        <v>46195</v>
      </c>
      <c r="Q93" s="272">
        <v>45816</v>
      </c>
      <c r="R93" s="280"/>
      <c r="S93" s="280"/>
      <c r="T93" s="281" t="s">
        <v>4531</v>
      </c>
      <c r="U93" s="280"/>
      <c r="V93" s="280">
        <f t="shared" si="10"/>
        <v>11</v>
      </c>
      <c r="W93" s="282">
        <f t="shared" ca="1" si="11"/>
        <v>41</v>
      </c>
      <c r="X93" s="79"/>
      <c r="Y93" s="79"/>
      <c r="Z93" s="79"/>
      <c r="AA93" s="79"/>
      <c r="AC93" s="311"/>
      <c r="AD93" s="311"/>
      <c r="AE93" s="311"/>
      <c r="AF93" s="311"/>
      <c r="AG93" s="311"/>
      <c r="AH93" s="311"/>
    </row>
    <row r="94" spans="1:39" ht="15.75" customHeight="1">
      <c r="A94" s="1155">
        <v>6</v>
      </c>
      <c r="B94" s="351" t="s">
        <v>4532</v>
      </c>
      <c r="C94" s="307" t="s">
        <v>14</v>
      </c>
      <c r="D94" s="1820" t="s">
        <v>4533</v>
      </c>
      <c r="E94" s="540" t="s">
        <v>4534</v>
      </c>
      <c r="F94" s="18" t="s">
        <v>759</v>
      </c>
      <c r="G94" s="274" t="s">
        <v>77</v>
      </c>
      <c r="H94" s="274" t="s">
        <v>266</v>
      </c>
      <c r="I94" s="1825">
        <v>9002079071</v>
      </c>
      <c r="J94" s="275"/>
      <c r="K94" s="274" t="s">
        <v>253</v>
      </c>
      <c r="L94" s="303" t="s">
        <v>61</v>
      </c>
      <c r="M94" s="272">
        <v>32613</v>
      </c>
      <c r="N94" s="272">
        <v>54543</v>
      </c>
      <c r="O94" s="320">
        <v>46012</v>
      </c>
      <c r="P94" s="315">
        <v>45816</v>
      </c>
      <c r="Q94" s="272">
        <v>46131</v>
      </c>
      <c r="R94" s="280"/>
      <c r="S94" s="280"/>
      <c r="T94" s="281" t="s">
        <v>4535</v>
      </c>
      <c r="U94" s="280"/>
      <c r="V94" s="280">
        <f t="shared" si="10"/>
        <v>11</v>
      </c>
      <c r="W94" s="282">
        <f t="shared" ca="1" si="11"/>
        <v>36</v>
      </c>
      <c r="X94" s="79"/>
      <c r="Y94" s="79"/>
      <c r="Z94" s="79"/>
      <c r="AA94" s="79"/>
      <c r="AC94" s="311"/>
      <c r="AD94" s="311"/>
      <c r="AE94" s="311"/>
      <c r="AF94" s="311"/>
      <c r="AG94" s="311"/>
      <c r="AH94" s="311"/>
    </row>
    <row r="95" spans="1:39" ht="15.75" customHeight="1">
      <c r="A95" s="1155">
        <v>3</v>
      </c>
      <c r="B95" s="301" t="s">
        <v>4536</v>
      </c>
      <c r="C95" s="307" t="s">
        <v>81</v>
      </c>
      <c r="D95" s="1640" t="s">
        <v>4537</v>
      </c>
      <c r="E95" s="303" t="s">
        <v>4538</v>
      </c>
      <c r="F95" s="274" t="s">
        <v>759</v>
      </c>
      <c r="G95" s="274" t="s">
        <v>76</v>
      </c>
      <c r="H95" s="274" t="s">
        <v>279</v>
      </c>
      <c r="I95" s="275">
        <v>9002071761</v>
      </c>
      <c r="J95" s="284">
        <v>9002071016</v>
      </c>
      <c r="K95" s="274" t="s">
        <v>253</v>
      </c>
      <c r="L95" s="537" t="s">
        <v>48</v>
      </c>
      <c r="M95" s="272">
        <v>31907</v>
      </c>
      <c r="N95" s="272">
        <v>53843</v>
      </c>
      <c r="O95" s="320">
        <v>45202</v>
      </c>
      <c r="P95" s="315">
        <v>45190</v>
      </c>
      <c r="Q95" s="272">
        <v>45796</v>
      </c>
      <c r="R95" s="280"/>
      <c r="S95" s="280"/>
      <c r="T95" s="1592" t="s">
        <v>4539</v>
      </c>
      <c r="U95" s="280"/>
      <c r="V95" s="280">
        <f t="shared" si="10"/>
        <v>11</v>
      </c>
      <c r="W95" s="208">
        <f t="shared" ca="1" si="11"/>
        <v>38</v>
      </c>
    </row>
    <row r="96" spans="1:39" ht="15.75" customHeight="1">
      <c r="A96" s="1155">
        <v>4</v>
      </c>
      <c r="B96" s="1461" t="s">
        <v>4540</v>
      </c>
      <c r="C96" s="307" t="s">
        <v>81</v>
      </c>
      <c r="D96" s="1462" t="s">
        <v>4541</v>
      </c>
      <c r="E96" s="620" t="s">
        <v>4542</v>
      </c>
      <c r="F96" s="946" t="s">
        <v>759</v>
      </c>
      <c r="G96" s="870" t="s">
        <v>76</v>
      </c>
      <c r="H96" s="303" t="s">
        <v>279</v>
      </c>
      <c r="I96" s="307">
        <v>9002079021</v>
      </c>
      <c r="J96" s="703">
        <v>7003144279</v>
      </c>
      <c r="K96" s="274" t="s">
        <v>253</v>
      </c>
      <c r="L96" s="398" t="s">
        <v>50</v>
      </c>
      <c r="M96" s="315">
        <v>26786</v>
      </c>
      <c r="N96" s="315">
        <v>48730</v>
      </c>
      <c r="O96" s="315">
        <v>45848</v>
      </c>
      <c r="P96" s="315">
        <v>46136</v>
      </c>
      <c r="Q96" s="316">
        <v>46017</v>
      </c>
      <c r="R96" s="285"/>
      <c r="S96" s="285"/>
      <c r="T96" s="318" t="s">
        <v>4543</v>
      </c>
      <c r="U96" s="285"/>
      <c r="V96" s="285"/>
      <c r="W96" s="90"/>
      <c r="X96" s="137" t="s">
        <v>1660</v>
      </c>
      <c r="Y96" s="137">
        <v>2</v>
      </c>
      <c r="Z96" s="197" t="s">
        <v>85</v>
      </c>
      <c r="AB96" s="311">
        <f ca="1">INT((TODAY()-M96)/365)</f>
        <v>52</v>
      </c>
    </row>
    <row r="97" spans="1:39" ht="18.75">
      <c r="A97" s="1155">
        <v>7</v>
      </c>
      <c r="B97" s="276" t="s">
        <v>4544</v>
      </c>
      <c r="C97" s="274" t="s">
        <v>81</v>
      </c>
      <c r="D97" s="1460" t="s">
        <v>4545</v>
      </c>
      <c r="E97" s="1826" t="s">
        <v>4546</v>
      </c>
      <c r="F97" s="274" t="s">
        <v>759</v>
      </c>
      <c r="G97" s="875" t="s">
        <v>2363</v>
      </c>
      <c r="H97" s="274" t="s">
        <v>279</v>
      </c>
      <c r="I97" s="1827">
        <v>9002071745</v>
      </c>
      <c r="J97" s="690"/>
      <c r="K97" s="274" t="s">
        <v>253</v>
      </c>
      <c r="L97" s="445" t="s">
        <v>61</v>
      </c>
      <c r="M97" s="278">
        <v>25723</v>
      </c>
      <c r="N97" s="315">
        <v>47664</v>
      </c>
      <c r="O97" s="278">
        <v>45417</v>
      </c>
      <c r="P97" s="278">
        <v>45375</v>
      </c>
      <c r="Q97" s="302">
        <v>45232</v>
      </c>
      <c r="R97" s="285"/>
      <c r="S97" s="285"/>
      <c r="T97" s="318" t="s">
        <v>4547</v>
      </c>
      <c r="U97" s="285"/>
      <c r="V97" s="285">
        <f t="shared" ref="V97:V99" si="12">LEN(D97)</f>
        <v>11</v>
      </c>
      <c r="W97" s="282">
        <f ca="1">INT((TODAY()-M97)/365)</f>
        <v>55</v>
      </c>
      <c r="X97" s="3"/>
      <c r="Y97" s="382"/>
      <c r="Z97" s="382"/>
      <c r="AA97" s="382"/>
      <c r="AB97" s="311"/>
      <c r="AC97" s="311"/>
      <c r="AD97" s="311"/>
      <c r="AE97" s="311"/>
      <c r="AF97" s="311"/>
      <c r="AG97" s="311"/>
      <c r="AH97" s="311"/>
      <c r="AI97" s="311"/>
      <c r="AJ97" s="311"/>
      <c r="AK97" s="311"/>
      <c r="AL97" s="311"/>
      <c r="AM97" s="311"/>
    </row>
    <row r="98" spans="1:39" ht="15.75" customHeight="1">
      <c r="A98" s="18">
        <v>25</v>
      </c>
      <c r="B98" s="293" t="s">
        <v>4548</v>
      </c>
      <c r="C98" s="307" t="s">
        <v>81</v>
      </c>
      <c r="D98" s="304">
        <v>50205877003</v>
      </c>
      <c r="E98" s="1004" t="s">
        <v>4549</v>
      </c>
      <c r="F98" s="274" t="s">
        <v>759</v>
      </c>
      <c r="G98" s="18" t="s">
        <v>76</v>
      </c>
      <c r="I98" s="275">
        <v>9002071114</v>
      </c>
      <c r="K98" s="274" t="s">
        <v>253</v>
      </c>
      <c r="L98" s="398" t="s">
        <v>69</v>
      </c>
      <c r="M98" s="272">
        <v>24602</v>
      </c>
      <c r="N98" s="272">
        <v>46538</v>
      </c>
      <c r="O98" s="272">
        <v>45448</v>
      </c>
      <c r="P98" s="315">
        <v>45190</v>
      </c>
      <c r="Q98" s="272">
        <v>45145</v>
      </c>
      <c r="R98" s="1134"/>
      <c r="S98" s="485"/>
      <c r="T98" s="486" t="s">
        <v>4550</v>
      </c>
      <c r="U98" s="485"/>
      <c r="V98" s="382">
        <f t="shared" si="12"/>
        <v>11</v>
      </c>
      <c r="W98" s="382"/>
      <c r="X98" s="282">
        <f t="shared" ref="X98:X99" ca="1" si="13">INT((TODAY()-M98)/365)</f>
        <v>58</v>
      </c>
      <c r="Y98" s="382"/>
      <c r="Z98" s="382"/>
      <c r="AA98" s="382"/>
      <c r="AB98" s="311"/>
      <c r="AC98" s="311"/>
      <c r="AD98" s="311"/>
      <c r="AE98" s="311"/>
      <c r="AF98" s="311"/>
      <c r="AG98" s="311"/>
      <c r="AH98" s="311"/>
      <c r="AI98" s="311"/>
      <c r="AJ98" s="311"/>
      <c r="AK98" s="311"/>
      <c r="AL98" s="311"/>
      <c r="AM98" s="311"/>
    </row>
    <row r="99" spans="1:39" ht="15.75" customHeight="1">
      <c r="A99" s="961">
        <v>2</v>
      </c>
      <c r="B99" s="276" t="s">
        <v>4551</v>
      </c>
      <c r="C99" s="307" t="s">
        <v>81</v>
      </c>
      <c r="D99" s="1523" t="s">
        <v>4552</v>
      </c>
      <c r="E99" s="1828" t="s">
        <v>4553</v>
      </c>
      <c r="F99" s="18" t="s">
        <v>759</v>
      </c>
      <c r="G99" s="875" t="s">
        <v>76</v>
      </c>
      <c r="H99" s="284" t="s">
        <v>266</v>
      </c>
      <c r="I99" s="1644">
        <v>9330028487</v>
      </c>
      <c r="J99" s="307"/>
      <c r="K99" s="274" t="s">
        <v>253</v>
      </c>
      <c r="L99" s="445" t="s">
        <v>61</v>
      </c>
      <c r="M99" s="278">
        <v>29261</v>
      </c>
      <c r="N99" s="315">
        <v>51194</v>
      </c>
      <c r="O99" s="278">
        <v>45460</v>
      </c>
      <c r="P99" s="278">
        <v>45667</v>
      </c>
      <c r="Q99" s="387">
        <v>45622</v>
      </c>
      <c r="R99" s="339" t="s">
        <v>4554</v>
      </c>
      <c r="S99" s="425"/>
      <c r="T99" s="339" t="s">
        <v>4555</v>
      </c>
      <c r="U99" s="425"/>
      <c r="V99" s="425">
        <f t="shared" si="12"/>
        <v>11</v>
      </c>
      <c r="W99" s="90"/>
      <c r="X99" s="1220">
        <f t="shared" ca="1" si="13"/>
        <v>46</v>
      </c>
      <c r="Y99" s="311"/>
      <c r="Z99" s="311"/>
      <c r="AA99" s="311"/>
      <c r="AB99" s="311"/>
      <c r="AC99" s="311"/>
      <c r="AD99" s="311"/>
      <c r="AE99" s="311"/>
      <c r="AF99" s="311"/>
      <c r="AG99" s="311"/>
      <c r="AH99" s="311"/>
      <c r="AI99" s="311"/>
      <c r="AJ99" s="311"/>
      <c r="AK99" s="311"/>
      <c r="AL99" s="311"/>
      <c r="AM99" s="311"/>
    </row>
    <row r="100" spans="1:39" ht="15.75" customHeight="1">
      <c r="A100" s="1051">
        <v>66</v>
      </c>
      <c r="B100" s="688" t="s">
        <v>4556</v>
      </c>
      <c r="C100" s="307" t="s">
        <v>81</v>
      </c>
      <c r="D100" s="1642" t="s">
        <v>4557</v>
      </c>
      <c r="E100" s="582" t="s">
        <v>4558</v>
      </c>
      <c r="F100" s="958" t="s">
        <v>759</v>
      </c>
      <c r="G100" s="284" t="s">
        <v>76</v>
      </c>
      <c r="H100" s="303" t="s">
        <v>266</v>
      </c>
      <c r="I100" s="284">
        <v>8777592273</v>
      </c>
      <c r="J100" s="306">
        <v>8777592273</v>
      </c>
      <c r="K100" s="274" t="s">
        <v>253</v>
      </c>
      <c r="L100" s="18" t="s">
        <v>50</v>
      </c>
      <c r="M100" s="272">
        <v>32544</v>
      </c>
      <c r="N100" s="289">
        <v>54482</v>
      </c>
      <c r="O100" s="272">
        <v>46188</v>
      </c>
      <c r="P100" s="302">
        <v>45695</v>
      </c>
      <c r="Q100" s="272">
        <v>45674</v>
      </c>
      <c r="R100" s="294"/>
      <c r="S100" s="295"/>
      <c r="T100" s="296" t="s">
        <v>4559</v>
      </c>
      <c r="U100" s="888"/>
      <c r="V100" s="297">
        <f>LEN(TEXT(D100,0))</f>
        <v>11</v>
      </c>
      <c r="W100" s="297"/>
      <c r="X100" s="297"/>
      <c r="Y100" s="3"/>
      <c r="Z100" s="79"/>
      <c r="AA100" s="79"/>
      <c r="AB100" s="311">
        <f t="shared" ref="AB100:AB101" ca="1" si="14">INT((TODAY()-M100)/365)</f>
        <v>37</v>
      </c>
    </row>
    <row r="101" spans="1:39" ht="15.75" customHeight="1">
      <c r="A101" s="1051">
        <v>60</v>
      </c>
      <c r="B101" s="365" t="s">
        <v>4560</v>
      </c>
      <c r="C101" s="307" t="s">
        <v>81</v>
      </c>
      <c r="D101" s="1829" t="s">
        <v>4561</v>
      </c>
      <c r="E101" s="18" t="s">
        <v>4562</v>
      </c>
      <c r="F101" s="624" t="s">
        <v>759</v>
      </c>
      <c r="G101" s="366" t="s">
        <v>77</v>
      </c>
      <c r="H101" s="274" t="s">
        <v>266</v>
      </c>
      <c r="I101" s="1643">
        <v>9002071801</v>
      </c>
      <c r="J101" s="381">
        <v>9433624834</v>
      </c>
      <c r="K101" s="274" t="s">
        <v>253</v>
      </c>
      <c r="L101" s="409" t="s">
        <v>50</v>
      </c>
      <c r="M101" s="368">
        <v>28157</v>
      </c>
      <c r="N101" s="368">
        <v>50071</v>
      </c>
      <c r="O101" s="371">
        <v>45277</v>
      </c>
      <c r="P101" s="368">
        <v>45131</v>
      </c>
      <c r="Q101" s="380">
        <v>45127</v>
      </c>
      <c r="R101" s="372" t="s">
        <v>4563</v>
      </c>
      <c r="S101" s="333" t="s">
        <v>4564</v>
      </c>
      <c r="T101" s="374" t="s">
        <v>4565</v>
      </c>
      <c r="U101" s="332"/>
      <c r="V101" s="375">
        <f>LEN(D101)</f>
        <v>11</v>
      </c>
      <c r="W101" s="1189">
        <f t="shared" ref="W101:W102" ca="1" si="15">INT((TODAY()-M101)/365)</f>
        <v>49</v>
      </c>
      <c r="X101" s="311"/>
      <c r="Y101" s="90"/>
      <c r="AB101" s="311">
        <f t="shared" ca="1" si="14"/>
        <v>49</v>
      </c>
    </row>
    <row r="102" spans="1:39">
      <c r="A102" s="697">
        <v>14</v>
      </c>
      <c r="B102" s="490" t="s">
        <v>4566</v>
      </c>
      <c r="C102" s="307" t="s">
        <v>81</v>
      </c>
      <c r="D102" s="1830" t="s">
        <v>4567</v>
      </c>
      <c r="E102" s="484" t="s">
        <v>4568</v>
      </c>
      <c r="F102" s="484" t="s">
        <v>759</v>
      </c>
      <c r="G102" s="484" t="s">
        <v>77</v>
      </c>
      <c r="H102" s="484" t="s">
        <v>266</v>
      </c>
      <c r="I102" s="547">
        <v>9038973577</v>
      </c>
      <c r="J102" s="1636">
        <v>9038973577</v>
      </c>
      <c r="K102" s="274" t="s">
        <v>253</v>
      </c>
      <c r="L102" s="537" t="s">
        <v>48</v>
      </c>
      <c r="M102" s="498">
        <v>31110</v>
      </c>
      <c r="N102" s="546">
        <v>53052</v>
      </c>
      <c r="O102" s="498">
        <v>46179</v>
      </c>
      <c r="P102" s="511">
        <v>45695</v>
      </c>
      <c r="Q102" s="498">
        <v>45675</v>
      </c>
      <c r="R102" s="1292"/>
      <c r="S102" s="1293" t="s">
        <v>4569</v>
      </c>
      <c r="T102" s="1831" t="s">
        <v>4570</v>
      </c>
      <c r="U102" s="1288"/>
      <c r="V102" s="1290">
        <f>LEN(TEXT(D102,0))</f>
        <v>11</v>
      </c>
      <c r="W102" s="282">
        <f t="shared" ca="1" si="15"/>
        <v>41</v>
      </c>
      <c r="X102" s="1291"/>
      <c r="Y102" s="696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</row>
    <row r="103" spans="1:39" ht="15.75" customHeight="1">
      <c r="A103" s="961">
        <v>50</v>
      </c>
      <c r="B103" s="688" t="s">
        <v>4571</v>
      </c>
      <c r="C103" s="307" t="s">
        <v>81</v>
      </c>
      <c r="D103" s="489">
        <v>50205617900</v>
      </c>
      <c r="E103" s="345" t="s">
        <v>4572</v>
      </c>
      <c r="F103" s="137" t="s">
        <v>759</v>
      </c>
      <c r="G103" s="274" t="s">
        <v>77</v>
      </c>
      <c r="H103" s="274" t="s">
        <v>266</v>
      </c>
      <c r="I103" s="558">
        <v>9002071202</v>
      </c>
      <c r="J103" s="284">
        <v>9002624110</v>
      </c>
      <c r="K103" s="274" t="s">
        <v>253</v>
      </c>
      <c r="L103" s="18" t="s">
        <v>50</v>
      </c>
      <c r="M103" s="272">
        <v>29377</v>
      </c>
      <c r="N103" s="272">
        <v>51317</v>
      </c>
      <c r="O103" s="272">
        <v>45813</v>
      </c>
      <c r="P103" s="272">
        <v>45628</v>
      </c>
      <c r="Q103" s="302">
        <v>45649</v>
      </c>
      <c r="R103" s="955" t="s">
        <v>4573</v>
      </c>
      <c r="S103" s="485"/>
      <c r="T103" s="1363" t="s">
        <v>4574</v>
      </c>
      <c r="U103" s="485"/>
      <c r="V103" s="382">
        <f>LEN(D103)</f>
        <v>11</v>
      </c>
      <c r="W103" s="382"/>
      <c r="X103" s="48">
        <f ca="1">INT((TODAY()-M103)/365)</f>
        <v>45</v>
      </c>
      <c r="Y103" s="297"/>
      <c r="Z103" s="297"/>
      <c r="AA103" s="297"/>
      <c r="AB103" s="298"/>
      <c r="AC103" s="298"/>
      <c r="AD103" s="298"/>
      <c r="AE103" s="298"/>
      <c r="AF103" s="298"/>
      <c r="AG103" s="311"/>
      <c r="AH103" s="311"/>
      <c r="AI103" s="311"/>
      <c r="AJ103" s="311"/>
      <c r="AK103" s="311"/>
      <c r="AL103" s="311"/>
      <c r="AM103" s="311"/>
    </row>
    <row r="104" spans="1:39" ht="15.75" customHeight="1">
      <c r="A104" s="961">
        <v>72</v>
      </c>
      <c r="B104" s="293" t="s">
        <v>4575</v>
      </c>
      <c r="C104" s="307" t="s">
        <v>81</v>
      </c>
      <c r="D104" s="306">
        <v>50205618289</v>
      </c>
      <c r="E104" s="1676" t="s">
        <v>4576</v>
      </c>
      <c r="F104" s="946" t="s">
        <v>759</v>
      </c>
      <c r="G104" s="284" t="s">
        <v>76</v>
      </c>
      <c r="H104" s="303" t="s">
        <v>1567</v>
      </c>
      <c r="I104" s="547">
        <v>9804922205</v>
      </c>
      <c r="J104" s="284">
        <v>9804922205</v>
      </c>
      <c r="K104" s="274" t="s">
        <v>253</v>
      </c>
      <c r="L104" s="274" t="s">
        <v>50</v>
      </c>
      <c r="M104" s="289">
        <v>32022</v>
      </c>
      <c r="N104" s="289">
        <v>53965</v>
      </c>
      <c r="O104" s="400">
        <v>46256</v>
      </c>
      <c r="P104" s="315">
        <v>45321</v>
      </c>
      <c r="Q104" s="302">
        <v>45276</v>
      </c>
      <c r="R104" s="394" t="s">
        <v>4577</v>
      </c>
      <c r="S104" s="393"/>
      <c r="T104" s="394" t="s">
        <v>4578</v>
      </c>
      <c r="U104" s="280"/>
      <c r="V104" s="383">
        <f>LEN(TEXT(D104,0))</f>
        <v>11</v>
      </c>
      <c r="W104" s="395"/>
      <c r="X104" s="90"/>
      <c r="Y104" s="382"/>
      <c r="Z104" s="382"/>
      <c r="AA104" s="382"/>
      <c r="AB104" s="311"/>
      <c r="AC104" s="311"/>
      <c r="AD104" s="311"/>
      <c r="AE104" s="311"/>
      <c r="AF104" s="311"/>
      <c r="AG104" s="311"/>
      <c r="AH104" s="311"/>
      <c r="AI104" s="311"/>
      <c r="AJ104" s="311"/>
      <c r="AK104" s="311"/>
      <c r="AL104" s="311"/>
      <c r="AM104" s="311"/>
    </row>
    <row r="105" spans="1:39" ht="15.75" customHeight="1">
      <c r="A105" s="961">
        <v>71</v>
      </c>
      <c r="B105" s="276" t="s">
        <v>4579</v>
      </c>
      <c r="C105" s="307" t="s">
        <v>81</v>
      </c>
      <c r="D105" s="677">
        <v>50205618265</v>
      </c>
      <c r="E105" s="18" t="s">
        <v>4580</v>
      </c>
      <c r="F105" s="284" t="s">
        <v>759</v>
      </c>
      <c r="G105" s="385" t="s">
        <v>77</v>
      </c>
      <c r="H105" s="303" t="s">
        <v>1567</v>
      </c>
      <c r="I105" s="536">
        <v>9002071145</v>
      </c>
      <c r="J105" s="307">
        <v>9679202235</v>
      </c>
      <c r="K105" s="274" t="s">
        <v>253</v>
      </c>
      <c r="L105" s="303" t="s">
        <v>69</v>
      </c>
      <c r="M105" s="315">
        <v>32924</v>
      </c>
      <c r="N105" s="315">
        <v>54847</v>
      </c>
      <c r="O105" s="315">
        <v>46231</v>
      </c>
      <c r="P105" s="844">
        <v>45321</v>
      </c>
      <c r="Q105" s="302">
        <v>45276</v>
      </c>
      <c r="R105" s="339" t="s">
        <v>4581</v>
      </c>
      <c r="S105" s="425"/>
      <c r="T105" s="339" t="s">
        <v>4582</v>
      </c>
      <c r="U105" s="425"/>
      <c r="V105" s="388">
        <f ca="1">INT((TODAY()-M105)/365)</f>
        <v>36</v>
      </c>
      <c r="W105" s="311"/>
      <c r="X105" s="1647"/>
      <c r="Y105" s="563"/>
      <c r="AA105" s="384"/>
      <c r="AB105" s="384"/>
      <c r="AC105" s="384"/>
      <c r="AD105" s="384"/>
      <c r="AE105" s="384"/>
      <c r="AF105" s="384"/>
      <c r="AG105" s="384"/>
      <c r="AH105" s="384"/>
      <c r="AI105" s="384"/>
      <c r="AJ105" s="384"/>
      <c r="AK105" s="384"/>
      <c r="AL105" s="384"/>
      <c r="AM105" s="384"/>
    </row>
    <row r="106" spans="1:39" ht="15.75" customHeight="1">
      <c r="A106" s="1131">
        <v>1</v>
      </c>
      <c r="B106" s="351" t="s">
        <v>4583</v>
      </c>
      <c r="C106" s="1301" t="s">
        <v>20</v>
      </c>
      <c r="D106" s="1562" t="s">
        <v>4584</v>
      </c>
      <c r="E106" s="686" t="s">
        <v>4585</v>
      </c>
      <c r="F106" s="274" t="s">
        <v>759</v>
      </c>
      <c r="G106" s="274" t="s">
        <v>77</v>
      </c>
      <c r="H106" s="275"/>
      <c r="I106" s="275">
        <v>9437583176</v>
      </c>
      <c r="J106" s="275"/>
      <c r="K106" s="274" t="s">
        <v>253</v>
      </c>
      <c r="L106" s="274" t="s">
        <v>43</v>
      </c>
      <c r="M106" s="272">
        <v>27243</v>
      </c>
      <c r="N106" s="272">
        <v>49187</v>
      </c>
      <c r="O106" s="320">
        <v>45613</v>
      </c>
      <c r="P106" s="272">
        <v>45849</v>
      </c>
      <c r="Q106" s="419">
        <v>45850</v>
      </c>
      <c r="R106" s="281" t="s">
        <v>4586</v>
      </c>
      <c r="S106" s="280"/>
      <c r="T106" s="280"/>
      <c r="U106" s="280"/>
      <c r="V106" s="280">
        <f>LEN(D106)</f>
        <v>11</v>
      </c>
      <c r="W106" s="79"/>
      <c r="X106" s="79"/>
      <c r="Y106" s="79"/>
      <c r="Z106" s="79"/>
      <c r="AA106" s="79"/>
      <c r="AB106" s="208">
        <f ca="1">INT((TODAY()-M106)/365)</f>
        <v>51</v>
      </c>
      <c r="AF106" s="384"/>
      <c r="AG106" s="384"/>
      <c r="AH106" s="384"/>
      <c r="AI106" s="384"/>
      <c r="AJ106" s="384"/>
      <c r="AK106" s="384"/>
      <c r="AL106" s="384"/>
      <c r="AM106" s="384"/>
    </row>
    <row r="107" spans="1:39" ht="15.75" customHeight="1">
      <c r="A107" s="1131">
        <v>3</v>
      </c>
      <c r="B107" s="293" t="s">
        <v>4587</v>
      </c>
      <c r="C107" s="1301" t="s">
        <v>21</v>
      </c>
      <c r="D107" s="1651" t="s">
        <v>4588</v>
      </c>
      <c r="E107" s="1004" t="s">
        <v>4589</v>
      </c>
      <c r="F107" s="274" t="s">
        <v>759</v>
      </c>
      <c r="G107" s="274" t="s">
        <v>76</v>
      </c>
      <c r="H107" s="275"/>
      <c r="I107" s="275">
        <v>7586860206</v>
      </c>
      <c r="J107" s="690"/>
      <c r="K107" s="274" t="s">
        <v>253</v>
      </c>
      <c r="L107" s="274" t="s">
        <v>65</v>
      </c>
      <c r="M107" s="272">
        <v>35029</v>
      </c>
      <c r="N107" s="272">
        <v>56948</v>
      </c>
      <c r="O107" s="272">
        <v>46526</v>
      </c>
      <c r="P107" s="279">
        <v>46038</v>
      </c>
      <c r="Q107" s="279">
        <v>45891</v>
      </c>
      <c r="R107" s="486" t="s">
        <v>4590</v>
      </c>
      <c r="S107" s="79"/>
      <c r="T107" s="485"/>
      <c r="U107" s="485"/>
      <c r="V107" s="285"/>
      <c r="W107" s="311"/>
      <c r="X107" s="208">
        <f t="shared" ref="X107:X108" ca="1" si="16">INT((TODAY()-M107)/365)</f>
        <v>30</v>
      </c>
      <c r="Y107" s="311"/>
      <c r="Z107" s="311"/>
      <c r="AA107" s="311"/>
      <c r="AB107" s="311"/>
    </row>
    <row r="108" spans="1:39" ht="15.75" customHeight="1">
      <c r="A108" s="1131">
        <v>4</v>
      </c>
      <c r="B108" s="293" t="s">
        <v>4591</v>
      </c>
      <c r="C108" s="405" t="s">
        <v>21</v>
      </c>
      <c r="D108" s="1651" t="s">
        <v>4592</v>
      </c>
      <c r="E108" s="686" t="s">
        <v>4593</v>
      </c>
      <c r="F108" s="274" t="s">
        <v>759</v>
      </c>
      <c r="G108" s="274" t="s">
        <v>76</v>
      </c>
      <c r="H108" s="275"/>
      <c r="I108" s="275">
        <v>8240668144</v>
      </c>
      <c r="J108" s="1124"/>
      <c r="K108" s="274" t="s">
        <v>253</v>
      </c>
      <c r="L108" s="274" t="s">
        <v>65</v>
      </c>
      <c r="M108" s="272">
        <v>35166</v>
      </c>
      <c r="N108" s="272">
        <v>57100</v>
      </c>
      <c r="O108" s="272">
        <v>46510</v>
      </c>
      <c r="P108" s="279">
        <v>46038</v>
      </c>
      <c r="Q108" s="279">
        <v>45891</v>
      </c>
      <c r="R108" s="603" t="s">
        <v>4594</v>
      </c>
      <c r="S108" s="485"/>
      <c r="T108" s="485"/>
      <c r="U108" s="485"/>
      <c r="V108" s="382">
        <f>LEN(D108)</f>
        <v>11</v>
      </c>
      <c r="W108" s="311"/>
      <c r="X108" s="208">
        <f t="shared" ca="1" si="16"/>
        <v>29</v>
      </c>
      <c r="Y108" s="311"/>
      <c r="Z108" s="311"/>
      <c r="AA108" s="311"/>
      <c r="AB108" s="311"/>
      <c r="AC108" s="311"/>
      <c r="AD108" s="311"/>
      <c r="AE108" s="311"/>
      <c r="AF108" s="311"/>
      <c r="AG108" s="311"/>
      <c r="AH108" s="311"/>
      <c r="AI108" s="311"/>
      <c r="AJ108" s="311"/>
      <c r="AK108" s="311"/>
      <c r="AL108" s="311"/>
      <c r="AM108" s="311"/>
    </row>
    <row r="109" spans="1:39">
      <c r="A109" s="1131">
        <v>5</v>
      </c>
      <c r="B109" s="351" t="s">
        <v>4595</v>
      </c>
      <c r="C109" s="307" t="s">
        <v>21</v>
      </c>
      <c r="D109" s="1820" t="s">
        <v>4596</v>
      </c>
      <c r="E109" s="303" t="s">
        <v>4597</v>
      </c>
      <c r="F109" s="18" t="s">
        <v>759</v>
      </c>
      <c r="G109" s="274" t="s">
        <v>76</v>
      </c>
      <c r="H109" s="275"/>
      <c r="I109" s="275">
        <v>7003388785</v>
      </c>
      <c r="J109" s="284">
        <v>9903608161</v>
      </c>
      <c r="K109" s="274" t="s">
        <v>253</v>
      </c>
      <c r="L109" s="274" t="s">
        <v>65</v>
      </c>
      <c r="M109" s="272">
        <v>34645</v>
      </c>
      <c r="N109" s="272">
        <v>56583</v>
      </c>
      <c r="O109" s="320">
        <v>46522</v>
      </c>
      <c r="P109" s="272">
        <v>45996</v>
      </c>
      <c r="Q109" s="419">
        <v>46087</v>
      </c>
      <c r="R109" s="281" t="s">
        <v>4598</v>
      </c>
      <c r="S109" s="281" t="s">
        <v>4599</v>
      </c>
      <c r="T109" s="338"/>
      <c r="U109" s="280"/>
      <c r="V109" s="285"/>
      <c r="W109" s="208">
        <f t="shared" ref="W109:W110" ca="1" si="17">INT((TODAY()-M109)/365)</f>
        <v>31</v>
      </c>
    </row>
    <row r="110" spans="1:39" ht="15.75" customHeight="1">
      <c r="A110" s="1131">
        <v>6</v>
      </c>
      <c r="B110" s="301" t="s">
        <v>4600</v>
      </c>
      <c r="C110" s="307" t="s">
        <v>21</v>
      </c>
      <c r="D110" s="1820" t="s">
        <v>4601</v>
      </c>
      <c r="E110" s="703" t="s">
        <v>4602</v>
      </c>
      <c r="F110" s="18" t="s">
        <v>759</v>
      </c>
      <c r="G110" s="284" t="s">
        <v>76</v>
      </c>
      <c r="H110" s="275"/>
      <c r="I110" s="391">
        <v>7003388785</v>
      </c>
      <c r="J110" s="284">
        <v>7890145670</v>
      </c>
      <c r="K110" s="274" t="s">
        <v>253</v>
      </c>
      <c r="L110" s="274" t="s">
        <v>65</v>
      </c>
      <c r="M110" s="272">
        <v>34127</v>
      </c>
      <c r="N110" s="272">
        <v>56065</v>
      </c>
      <c r="O110" s="320">
        <v>46540</v>
      </c>
      <c r="P110" s="272">
        <v>46158</v>
      </c>
      <c r="Q110" s="419">
        <v>46088</v>
      </c>
      <c r="R110" s="1592" t="s">
        <v>4603</v>
      </c>
      <c r="S110" s="1778"/>
      <c r="T110" s="1778"/>
      <c r="U110" s="1778"/>
      <c r="V110" s="1778">
        <f>LEN(D110)</f>
        <v>11</v>
      </c>
      <c r="W110" s="208">
        <f t="shared" ca="1" si="17"/>
        <v>32</v>
      </c>
      <c r="X110" s="705"/>
      <c r="Y110" s="705"/>
      <c r="Z110" s="705"/>
      <c r="AA110" s="705"/>
      <c r="AB110" s="705"/>
    </row>
    <row r="111" spans="1:39" ht="15.75" customHeight="1">
      <c r="A111" s="1131">
        <v>7</v>
      </c>
      <c r="B111" s="351" t="s">
        <v>4604</v>
      </c>
      <c r="C111" s="1301" t="s">
        <v>20</v>
      </c>
      <c r="D111" s="1832" t="s">
        <v>4605</v>
      </c>
      <c r="E111" s="527" t="s">
        <v>4606</v>
      </c>
      <c r="F111" s="946" t="s">
        <v>759</v>
      </c>
      <c r="G111" s="284" t="s">
        <v>77</v>
      </c>
      <c r="H111" s="275"/>
      <c r="I111" s="432">
        <v>9382473474</v>
      </c>
      <c r="J111" s="432">
        <v>9382473474</v>
      </c>
      <c r="K111" s="274" t="s">
        <v>253</v>
      </c>
      <c r="L111" s="274" t="s">
        <v>256</v>
      </c>
      <c r="M111" s="272">
        <v>31902</v>
      </c>
      <c r="N111" s="272">
        <v>53843</v>
      </c>
      <c r="O111" s="320">
        <v>46264</v>
      </c>
      <c r="P111" s="272">
        <v>45653</v>
      </c>
      <c r="Q111" s="419">
        <v>45959</v>
      </c>
      <c r="R111" s="1592" t="s">
        <v>4607</v>
      </c>
      <c r="S111" s="1592" t="s">
        <v>4608</v>
      </c>
      <c r="T111" s="1778"/>
      <c r="U111" s="1778"/>
      <c r="V111" s="285"/>
      <c r="W111" s="705"/>
      <c r="X111" s="705"/>
      <c r="Y111" s="705"/>
      <c r="Z111" s="705"/>
      <c r="AA111" s="705"/>
      <c r="AB111" s="311">
        <f t="shared" ref="AB111:AB112" ca="1" si="18">INT((TODAY()-M111)/365)</f>
        <v>38</v>
      </c>
    </row>
    <row r="112" spans="1:39" ht="15.75" customHeight="1">
      <c r="A112" s="1131">
        <v>10</v>
      </c>
      <c r="B112" s="351" t="s">
        <v>4609</v>
      </c>
      <c r="C112" s="303" t="s">
        <v>20</v>
      </c>
      <c r="D112" s="621" t="s">
        <v>4610</v>
      </c>
      <c r="E112" s="303" t="s">
        <v>4611</v>
      </c>
      <c r="F112" s="946" t="s">
        <v>759</v>
      </c>
      <c r="G112" s="274" t="s">
        <v>77</v>
      </c>
      <c r="H112" s="275"/>
      <c r="I112" s="275">
        <v>9692125115</v>
      </c>
      <c r="J112" s="284">
        <v>8918471072</v>
      </c>
      <c r="K112" s="274" t="s">
        <v>253</v>
      </c>
      <c r="L112" s="274" t="s">
        <v>43</v>
      </c>
      <c r="M112" s="272">
        <v>30776</v>
      </c>
      <c r="N112" s="272">
        <v>52717</v>
      </c>
      <c r="O112" s="277">
        <v>45622</v>
      </c>
      <c r="P112" s="272">
        <v>45996</v>
      </c>
      <c r="Q112" s="419">
        <v>45951</v>
      </c>
      <c r="R112" s="281" t="s">
        <v>4612</v>
      </c>
      <c r="S112" s="1592" t="s">
        <v>4613</v>
      </c>
      <c r="T112" s="79"/>
      <c r="U112" s="1833"/>
      <c r="V112" s="285"/>
      <c r="AB112" s="311">
        <f t="shared" ca="1" si="18"/>
        <v>41</v>
      </c>
    </row>
    <row r="113" spans="1:39" ht="15.75" customHeight="1">
      <c r="A113" s="1131">
        <v>12</v>
      </c>
      <c r="B113" s="399" t="s">
        <v>4614</v>
      </c>
      <c r="C113" s="303" t="s">
        <v>20</v>
      </c>
      <c r="D113" s="1820" t="s">
        <v>4615</v>
      </c>
      <c r="E113" s="303" t="s">
        <v>4616</v>
      </c>
      <c r="F113" s="970" t="s">
        <v>759</v>
      </c>
      <c r="G113" s="274" t="s">
        <v>77</v>
      </c>
      <c r="H113" s="275"/>
      <c r="I113" s="275">
        <v>9062491794</v>
      </c>
      <c r="J113" s="284">
        <v>9062491794</v>
      </c>
      <c r="K113" s="274" t="s">
        <v>253</v>
      </c>
      <c r="L113" s="1217" t="s">
        <v>57</v>
      </c>
      <c r="M113" s="272">
        <v>31979</v>
      </c>
      <c r="N113" s="272">
        <v>53904</v>
      </c>
      <c r="O113" s="320">
        <v>45859</v>
      </c>
      <c r="P113" s="272">
        <v>45485</v>
      </c>
      <c r="Q113" s="419">
        <v>45356</v>
      </c>
      <c r="R113" s="281" t="s">
        <v>4617</v>
      </c>
      <c r="S113" s="281" t="s">
        <v>4618</v>
      </c>
      <c r="T113" s="280"/>
      <c r="U113" s="280"/>
      <c r="V113" s="285"/>
      <c r="W113" s="208">
        <f ca="1">INT((TODAY()-M113)/365)</f>
        <v>38</v>
      </c>
    </row>
    <row r="114" spans="1:39" ht="15.75" customHeight="1">
      <c r="A114" s="1131">
        <v>14</v>
      </c>
      <c r="B114" s="293" t="s">
        <v>4619</v>
      </c>
      <c r="C114" s="1301" t="s">
        <v>21</v>
      </c>
      <c r="D114" s="562" t="s">
        <v>4620</v>
      </c>
      <c r="E114" s="1004" t="s">
        <v>4621</v>
      </c>
      <c r="F114" s="274" t="s">
        <v>759</v>
      </c>
      <c r="G114" s="274" t="s">
        <v>76</v>
      </c>
      <c r="H114" s="275"/>
      <c r="I114" s="275">
        <v>7980273342</v>
      </c>
      <c r="J114" s="690">
        <v>7980273342</v>
      </c>
      <c r="K114" s="274" t="s">
        <v>253</v>
      </c>
      <c r="L114" s="274" t="s">
        <v>65</v>
      </c>
      <c r="M114" s="272">
        <v>32992</v>
      </c>
      <c r="N114" s="272">
        <v>54908</v>
      </c>
      <c r="O114" s="272">
        <v>46529</v>
      </c>
      <c r="P114" s="279">
        <v>45996</v>
      </c>
      <c r="Q114" s="279">
        <v>45951</v>
      </c>
      <c r="R114" s="603" t="s">
        <v>4622</v>
      </c>
      <c r="S114" s="485"/>
      <c r="T114" s="485"/>
      <c r="U114" s="485"/>
      <c r="V114" s="285"/>
      <c r="W114" s="382"/>
      <c r="X114" s="208">
        <f ca="1">INT((TODAY()-M114)/365)</f>
        <v>35</v>
      </c>
      <c r="Y114" s="382"/>
      <c r="Z114" s="382"/>
      <c r="AA114" s="382"/>
      <c r="AB114" s="311"/>
    </row>
    <row r="115" spans="1:39" ht="15.75" customHeight="1">
      <c r="A115" s="1131">
        <v>16</v>
      </c>
      <c r="B115" s="399" t="s">
        <v>4623</v>
      </c>
      <c r="C115" s="307" t="s">
        <v>21</v>
      </c>
      <c r="D115" s="1834" t="s">
        <v>4624</v>
      </c>
      <c r="E115" s="303" t="s">
        <v>4625</v>
      </c>
      <c r="F115" s="970" t="s">
        <v>759</v>
      </c>
      <c r="G115" s="274" t="s">
        <v>76</v>
      </c>
      <c r="H115" s="275"/>
      <c r="I115" s="275">
        <v>9113791001</v>
      </c>
      <c r="J115" s="275"/>
      <c r="K115" s="274" t="s">
        <v>253</v>
      </c>
      <c r="L115" s="274" t="s">
        <v>65</v>
      </c>
      <c r="M115" s="272">
        <v>33952</v>
      </c>
      <c r="N115" s="272">
        <v>55884</v>
      </c>
      <c r="O115" s="320">
        <v>45489</v>
      </c>
      <c r="P115" s="272">
        <v>45566</v>
      </c>
      <c r="Q115" s="272">
        <v>45552</v>
      </c>
      <c r="R115" s="281" t="s">
        <v>4626</v>
      </c>
      <c r="S115" s="280"/>
      <c r="T115" s="280"/>
      <c r="U115" s="280"/>
      <c r="V115" s="285"/>
      <c r="W115" s="208">
        <f t="shared" ref="W115:W116" ca="1" si="19">INT((TODAY()-M115)/365)</f>
        <v>33</v>
      </c>
    </row>
    <row r="116" spans="1:39" ht="15.75" customHeight="1">
      <c r="A116" s="1131">
        <v>17</v>
      </c>
      <c r="B116" s="426" t="s">
        <v>4627</v>
      </c>
      <c r="C116" s="307" t="s">
        <v>21</v>
      </c>
      <c r="D116" s="427" t="s">
        <v>4628</v>
      </c>
      <c r="E116" s="620" t="s">
        <v>4629</v>
      </c>
      <c r="F116" s="970" t="s">
        <v>759</v>
      </c>
      <c r="G116" s="18" t="s">
        <v>76</v>
      </c>
      <c r="H116" s="275"/>
      <c r="I116" s="432">
        <v>7003212074</v>
      </c>
      <c r="J116" s="3"/>
      <c r="K116" s="274" t="s">
        <v>253</v>
      </c>
      <c r="L116" s="274" t="s">
        <v>65</v>
      </c>
      <c r="M116" s="418">
        <v>32407</v>
      </c>
      <c r="N116" s="418">
        <v>54331</v>
      </c>
      <c r="O116" s="428">
        <v>46152</v>
      </c>
      <c r="P116" s="272">
        <v>45566</v>
      </c>
      <c r="Q116" s="981">
        <v>45552</v>
      </c>
      <c r="R116" s="281" t="s">
        <v>4630</v>
      </c>
      <c r="S116" s="280"/>
      <c r="T116" s="280"/>
      <c r="U116" s="280"/>
      <c r="V116" s="285"/>
      <c r="W116" s="208">
        <f t="shared" ca="1" si="19"/>
        <v>37</v>
      </c>
    </row>
    <row r="117" spans="1:39" ht="15.75" customHeight="1">
      <c r="A117" s="1131">
        <v>18</v>
      </c>
      <c r="B117" s="351" t="s">
        <v>4631</v>
      </c>
      <c r="C117" s="303" t="s">
        <v>20</v>
      </c>
      <c r="D117" s="1640" t="s">
        <v>4632</v>
      </c>
      <c r="E117" s="303" t="s">
        <v>4633</v>
      </c>
      <c r="F117" s="946" t="s">
        <v>759</v>
      </c>
      <c r="G117" s="274" t="s">
        <v>76</v>
      </c>
      <c r="H117" s="275"/>
      <c r="I117" s="275">
        <v>7549601632</v>
      </c>
      <c r="J117" s="284">
        <v>7549601632</v>
      </c>
      <c r="K117" s="274" t="s">
        <v>253</v>
      </c>
      <c r="L117" s="274" t="s">
        <v>50</v>
      </c>
      <c r="M117" s="272">
        <v>34486</v>
      </c>
      <c r="N117" s="272">
        <v>56280</v>
      </c>
      <c r="O117" s="277">
        <v>46144</v>
      </c>
      <c r="P117" s="424">
        <v>46001</v>
      </c>
      <c r="Q117" s="419">
        <v>45572</v>
      </c>
      <c r="R117" s="281" t="s">
        <v>4634</v>
      </c>
      <c r="S117" s="280"/>
      <c r="T117" s="280"/>
      <c r="U117" s="280"/>
      <c r="V117" s="285"/>
      <c r="AB117" s="311">
        <f ca="1">INT((TODAY()-M117)/365)</f>
        <v>31</v>
      </c>
    </row>
    <row r="118" spans="1:39" ht="15.75" customHeight="1">
      <c r="A118" s="1131">
        <v>19</v>
      </c>
      <c r="B118" s="399" t="s">
        <v>4635</v>
      </c>
      <c r="C118" s="303" t="s">
        <v>20</v>
      </c>
      <c r="D118" s="1820" t="s">
        <v>4636</v>
      </c>
      <c r="E118" s="491" t="s">
        <v>4637</v>
      </c>
      <c r="F118" s="970" t="s">
        <v>759</v>
      </c>
      <c r="G118" s="274" t="s">
        <v>77</v>
      </c>
      <c r="H118" s="275"/>
      <c r="I118" s="275">
        <v>9831655331</v>
      </c>
      <c r="J118" s="275">
        <v>9831655331</v>
      </c>
      <c r="K118" s="274" t="s">
        <v>253</v>
      </c>
      <c r="L118" s="18" t="s">
        <v>55</v>
      </c>
      <c r="M118" s="272">
        <v>33806</v>
      </c>
      <c r="N118" s="272">
        <v>55731</v>
      </c>
      <c r="O118" s="320">
        <v>45111</v>
      </c>
      <c r="P118" s="272">
        <v>46019</v>
      </c>
      <c r="Q118" s="419">
        <v>45891</v>
      </c>
      <c r="R118" s="281" t="s">
        <v>4638</v>
      </c>
      <c r="S118" s="281" t="s">
        <v>4639</v>
      </c>
      <c r="T118" s="280"/>
      <c r="U118" s="280"/>
      <c r="V118" s="280">
        <f>LEN(D118)</f>
        <v>11</v>
      </c>
      <c r="W118" s="208">
        <f t="shared" ref="W118:W120" ca="1" si="20">INT((TODAY()-M118)/365)</f>
        <v>33</v>
      </c>
    </row>
    <row r="119" spans="1:39" ht="15.75" customHeight="1">
      <c r="A119" s="1131">
        <v>20</v>
      </c>
      <c r="B119" s="426" t="s">
        <v>4640</v>
      </c>
      <c r="C119" s="307" t="s">
        <v>21</v>
      </c>
      <c r="D119" s="427" t="s">
        <v>4641</v>
      </c>
      <c r="E119" s="620" t="s">
        <v>4642</v>
      </c>
      <c r="F119" s="674" t="s">
        <v>759</v>
      </c>
      <c r="G119" s="18" t="s">
        <v>76</v>
      </c>
      <c r="H119" s="275"/>
      <c r="I119" s="941">
        <v>918296136104</v>
      </c>
      <c r="J119" s="18">
        <v>8296136104</v>
      </c>
      <c r="K119" s="274" t="s">
        <v>253</v>
      </c>
      <c r="L119" s="274" t="s">
        <v>65</v>
      </c>
      <c r="M119" s="418">
        <v>31835</v>
      </c>
      <c r="N119" s="418">
        <v>53751</v>
      </c>
      <c r="O119" s="428">
        <v>46264</v>
      </c>
      <c r="P119" s="279">
        <v>45765</v>
      </c>
      <c r="Q119" s="418">
        <v>45605</v>
      </c>
      <c r="R119" s="280"/>
      <c r="S119" s="281" t="s">
        <v>4643</v>
      </c>
      <c r="T119" s="280"/>
      <c r="U119" s="280"/>
      <c r="V119" s="285"/>
      <c r="W119" s="208">
        <f t="shared" ca="1" si="20"/>
        <v>39</v>
      </c>
      <c r="AC119" s="311"/>
      <c r="AD119" s="311"/>
      <c r="AE119" s="311"/>
      <c r="AF119" s="311"/>
      <c r="AG119" s="311"/>
      <c r="AH119" s="311"/>
      <c r="AI119" s="311"/>
      <c r="AJ119" s="311"/>
      <c r="AK119" s="311"/>
      <c r="AL119" s="311"/>
      <c r="AM119" s="311"/>
    </row>
    <row r="120" spans="1:39" ht="15.75" customHeight="1">
      <c r="A120" s="1131">
        <v>21</v>
      </c>
      <c r="B120" s="399" t="s">
        <v>987</v>
      </c>
      <c r="C120" s="303" t="s">
        <v>20</v>
      </c>
      <c r="D120" s="1587" t="s">
        <v>4644</v>
      </c>
      <c r="E120" s="303" t="s">
        <v>4645</v>
      </c>
      <c r="F120" s="674" t="s">
        <v>759</v>
      </c>
      <c r="G120" s="274" t="s">
        <v>77</v>
      </c>
      <c r="H120" s="275"/>
      <c r="I120" s="275">
        <v>7001384723</v>
      </c>
      <c r="J120" s="275"/>
      <c r="K120" s="274" t="s">
        <v>253</v>
      </c>
      <c r="L120" s="18" t="s">
        <v>62</v>
      </c>
      <c r="M120" s="272">
        <v>33248</v>
      </c>
      <c r="N120" s="272">
        <v>55184</v>
      </c>
      <c r="O120" s="320">
        <v>45358</v>
      </c>
      <c r="P120" s="418">
        <v>45821</v>
      </c>
      <c r="Q120" s="419">
        <v>45832</v>
      </c>
      <c r="R120" s="281" t="s">
        <v>4646</v>
      </c>
      <c r="S120" s="280"/>
      <c r="T120" s="280"/>
      <c r="U120" s="280"/>
      <c r="V120" s="285"/>
      <c r="W120" s="208">
        <f t="shared" ca="1" si="20"/>
        <v>35</v>
      </c>
    </row>
    <row r="121" spans="1:39" ht="15.75" customHeight="1">
      <c r="A121" s="1131">
        <v>22</v>
      </c>
      <c r="B121" s="351" t="s">
        <v>4647</v>
      </c>
      <c r="C121" s="303" t="s">
        <v>20</v>
      </c>
      <c r="D121" s="1640" t="s">
        <v>4648</v>
      </c>
      <c r="E121" s="274" t="s">
        <v>4649</v>
      </c>
      <c r="F121" s="274" t="s">
        <v>759</v>
      </c>
      <c r="G121" s="274" t="s">
        <v>76</v>
      </c>
      <c r="H121" s="275"/>
      <c r="I121" s="275">
        <v>8981578884</v>
      </c>
      <c r="J121" s="1835">
        <v>8296287680</v>
      </c>
      <c r="K121" s="274" t="s">
        <v>253</v>
      </c>
      <c r="L121" s="1362" t="s">
        <v>58</v>
      </c>
      <c r="M121" s="272">
        <v>31644</v>
      </c>
      <c r="N121" s="272">
        <v>53570</v>
      </c>
      <c r="O121" s="320">
        <v>46131</v>
      </c>
      <c r="P121" s="272">
        <v>45566</v>
      </c>
      <c r="Q121" s="418">
        <v>45605</v>
      </c>
      <c r="R121" s="281" t="s">
        <v>4650</v>
      </c>
      <c r="S121" s="281" t="s">
        <v>4651</v>
      </c>
      <c r="T121" s="280"/>
      <c r="U121" s="280"/>
      <c r="V121" s="79">
        <f>LEN(D121)</f>
        <v>10</v>
      </c>
      <c r="X121" s="79"/>
      <c r="Y121" s="79"/>
      <c r="Z121" s="79"/>
      <c r="AA121" s="79"/>
      <c r="AB121" s="282">
        <f ca="1">INT((TODAY()-M121)/365)</f>
        <v>39</v>
      </c>
      <c r="AC121" s="79"/>
      <c r="AD121" s="79"/>
      <c r="AE121" s="79"/>
      <c r="AF121" s="79"/>
      <c r="AG121" s="79"/>
      <c r="AH121" s="79"/>
    </row>
    <row r="122" spans="1:39" ht="15.75" customHeight="1">
      <c r="A122" s="1131">
        <v>24</v>
      </c>
      <c r="B122" s="351" t="s">
        <v>4652</v>
      </c>
      <c r="C122" s="303" t="s">
        <v>21</v>
      </c>
      <c r="D122" s="1781" t="s">
        <v>4653</v>
      </c>
      <c r="E122" s="303" t="s">
        <v>4654</v>
      </c>
      <c r="F122" s="18" t="s">
        <v>3258</v>
      </c>
      <c r="G122" s="274" t="s">
        <v>76</v>
      </c>
      <c r="H122" s="275"/>
      <c r="I122" s="275">
        <v>9038379706</v>
      </c>
      <c r="J122" s="275">
        <v>9038379706</v>
      </c>
      <c r="K122" s="274" t="s">
        <v>253</v>
      </c>
      <c r="L122" s="274" t="s">
        <v>65</v>
      </c>
      <c r="M122" s="272">
        <v>34306</v>
      </c>
      <c r="N122" s="272">
        <v>56249</v>
      </c>
      <c r="O122" s="320">
        <v>46533</v>
      </c>
      <c r="P122" s="272">
        <v>45875</v>
      </c>
      <c r="Q122" s="419">
        <v>45891</v>
      </c>
      <c r="R122" s="281" t="s">
        <v>4655</v>
      </c>
      <c r="S122" s="280"/>
      <c r="T122" s="280"/>
      <c r="U122" s="280"/>
      <c r="V122" s="285"/>
      <c r="W122" s="208">
        <f ca="1">INT((TODAY()-M122)/365)</f>
        <v>32</v>
      </c>
      <c r="AC122" s="705"/>
      <c r="AD122" s="705"/>
      <c r="AE122" s="705"/>
      <c r="AF122" s="705"/>
      <c r="AG122" s="705"/>
      <c r="AH122" s="705"/>
      <c r="AI122" s="705"/>
      <c r="AJ122" s="705"/>
      <c r="AK122" s="705"/>
      <c r="AL122" s="705"/>
      <c r="AM122" s="705"/>
    </row>
    <row r="123" spans="1:39" ht="15.75" customHeight="1">
      <c r="A123" s="1131">
        <v>25</v>
      </c>
      <c r="B123" s="351" t="s">
        <v>4656</v>
      </c>
      <c r="C123" s="303" t="s">
        <v>21</v>
      </c>
      <c r="D123" s="1781" t="s">
        <v>4657</v>
      </c>
      <c r="E123" s="303" t="s">
        <v>4658</v>
      </c>
      <c r="F123" s="1007" t="s">
        <v>759</v>
      </c>
      <c r="G123" s="274" t="s">
        <v>76</v>
      </c>
      <c r="H123" s="275"/>
      <c r="I123" s="275">
        <v>8017020314</v>
      </c>
      <c r="J123" s="275"/>
      <c r="K123" s="274" t="s">
        <v>253</v>
      </c>
      <c r="L123" s="274" t="s">
        <v>65</v>
      </c>
      <c r="M123" s="272">
        <v>33566</v>
      </c>
      <c r="N123" s="272">
        <v>55487</v>
      </c>
      <c r="O123" s="320">
        <v>45118</v>
      </c>
      <c r="P123" s="272">
        <v>46040</v>
      </c>
      <c r="Q123" s="419">
        <v>45948</v>
      </c>
      <c r="R123" s="281" t="s">
        <v>4659</v>
      </c>
      <c r="S123" s="280"/>
      <c r="T123" s="79"/>
      <c r="U123" s="280"/>
      <c r="V123" s="79">
        <f t="shared" ref="V123:V124" si="21">LEN(D123)</f>
        <v>11</v>
      </c>
      <c r="X123" s="208">
        <f ca="1">INT((TODAY()-M123)/365)</f>
        <v>34</v>
      </c>
      <c r="Y123" s="311"/>
      <c r="Z123" s="311"/>
      <c r="AA123" s="31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1"/>
      <c r="AM123" s="311"/>
    </row>
    <row r="124" spans="1:39" ht="15.75" customHeight="1">
      <c r="A124" s="1131">
        <v>26</v>
      </c>
      <c r="B124" s="351" t="s">
        <v>4660</v>
      </c>
      <c r="C124" s="405" t="s">
        <v>21</v>
      </c>
      <c r="D124" s="1587" t="s">
        <v>4661</v>
      </c>
      <c r="E124" s="1676" t="s">
        <v>4662</v>
      </c>
      <c r="F124" s="274" t="s">
        <v>759</v>
      </c>
      <c r="G124" s="274" t="s">
        <v>76</v>
      </c>
      <c r="H124" s="391"/>
      <c r="I124" s="275">
        <v>9471986861</v>
      </c>
      <c r="J124" s="275"/>
      <c r="K124" s="274" t="s">
        <v>253</v>
      </c>
      <c r="L124" s="274" t="s">
        <v>65</v>
      </c>
      <c r="M124" s="272">
        <v>32147</v>
      </c>
      <c r="N124" s="272">
        <v>54088</v>
      </c>
      <c r="O124" s="320">
        <v>45368</v>
      </c>
      <c r="P124" s="272">
        <v>45849</v>
      </c>
      <c r="Q124" s="419">
        <v>45768</v>
      </c>
      <c r="R124" s="281" t="s">
        <v>4663</v>
      </c>
      <c r="S124" s="280"/>
      <c r="T124" s="280"/>
      <c r="U124" s="280"/>
      <c r="V124" s="79">
        <f t="shared" si="21"/>
        <v>11</v>
      </c>
      <c r="Y124" s="90"/>
      <c r="AB124" s="208">
        <f ca="1">INT((TODAY()-M124)/365)</f>
        <v>38</v>
      </c>
    </row>
    <row r="125" spans="1:39" ht="15.75" customHeight="1">
      <c r="A125" s="1131">
        <v>27</v>
      </c>
      <c r="B125" s="426" t="s">
        <v>4664</v>
      </c>
      <c r="C125" s="307" t="s">
        <v>21</v>
      </c>
      <c r="D125" s="1832" t="s">
        <v>4665</v>
      </c>
      <c r="E125" s="620" t="s">
        <v>4666</v>
      </c>
      <c r="F125" s="970" t="s">
        <v>759</v>
      </c>
      <c r="G125" s="18" t="s">
        <v>76</v>
      </c>
      <c r="H125" s="275"/>
      <c r="I125" s="432">
        <v>6260054949</v>
      </c>
      <c r="J125" s="3"/>
      <c r="K125" s="274" t="s">
        <v>253</v>
      </c>
      <c r="L125" s="274" t="s">
        <v>65</v>
      </c>
      <c r="M125" s="418">
        <v>33270</v>
      </c>
      <c r="N125" s="418">
        <v>55212</v>
      </c>
      <c r="O125" s="428">
        <v>45908</v>
      </c>
      <c r="P125" s="418">
        <v>45348</v>
      </c>
      <c r="Q125" s="418">
        <v>45776</v>
      </c>
      <c r="R125" s="321" t="s">
        <v>4667</v>
      </c>
      <c r="S125" s="281" t="s">
        <v>4668</v>
      </c>
      <c r="T125" s="280"/>
      <c r="U125" s="280"/>
      <c r="V125" s="285"/>
      <c r="X125" s="208">
        <f ca="1">INT((TODAY()-M125)/365)</f>
        <v>35</v>
      </c>
      <c r="AC125" s="311"/>
      <c r="AD125" s="311"/>
      <c r="AE125" s="311"/>
      <c r="AF125" s="311"/>
      <c r="AG125" s="311"/>
      <c r="AH125" s="311"/>
      <c r="AI125" s="311"/>
      <c r="AJ125" s="311"/>
      <c r="AK125" s="311"/>
      <c r="AL125" s="311"/>
      <c r="AM125" s="311"/>
    </row>
    <row r="126" spans="1:39" ht="15.75" customHeight="1">
      <c r="A126" s="1131">
        <v>28</v>
      </c>
      <c r="B126" s="426" t="s">
        <v>4669</v>
      </c>
      <c r="C126" s="307" t="s">
        <v>21</v>
      </c>
      <c r="D126" s="1832" t="s">
        <v>4670</v>
      </c>
      <c r="E126" s="620" t="s">
        <v>4671</v>
      </c>
      <c r="F126" s="970" t="s">
        <v>759</v>
      </c>
      <c r="G126" s="18" t="s">
        <v>76</v>
      </c>
      <c r="H126" s="275"/>
      <c r="I126" s="432">
        <v>7602121232</v>
      </c>
      <c r="J126" s="3"/>
      <c r="K126" s="274" t="s">
        <v>253</v>
      </c>
      <c r="L126" s="274" t="s">
        <v>65</v>
      </c>
      <c r="M126" s="418">
        <v>32583</v>
      </c>
      <c r="N126" s="418">
        <v>54513</v>
      </c>
      <c r="O126" s="428">
        <v>45720</v>
      </c>
      <c r="P126" s="418">
        <v>45348</v>
      </c>
      <c r="Q126" s="418">
        <v>46087</v>
      </c>
      <c r="R126" s="281" t="s">
        <v>4672</v>
      </c>
      <c r="S126" s="281" t="s">
        <v>4673</v>
      </c>
      <c r="T126" s="280"/>
      <c r="U126" s="280"/>
      <c r="V126" s="285"/>
      <c r="W126" s="282">
        <f t="shared" ref="W126:W127" ca="1" si="22">INT((TODAY()-M126)/365)</f>
        <v>37</v>
      </c>
      <c r="X126" s="79"/>
      <c r="Y126" s="79"/>
      <c r="Z126" s="79"/>
      <c r="AA126" s="79"/>
      <c r="AC126" s="311"/>
      <c r="AD126" s="311"/>
      <c r="AE126" s="311"/>
      <c r="AF126" s="311"/>
      <c r="AG126" s="311"/>
      <c r="AH126" s="311"/>
      <c r="AI126" s="311"/>
      <c r="AJ126" s="311"/>
      <c r="AK126" s="311"/>
      <c r="AL126" s="311"/>
      <c r="AM126" s="311"/>
    </row>
    <row r="127" spans="1:39" ht="15.75" customHeight="1">
      <c r="A127" s="1131">
        <v>29</v>
      </c>
      <c r="B127" s="351" t="s">
        <v>4674</v>
      </c>
      <c r="C127" s="405" t="s">
        <v>21</v>
      </c>
      <c r="D127" s="1587" t="s">
        <v>4675</v>
      </c>
      <c r="E127" s="421" t="s">
        <v>4676</v>
      </c>
      <c r="F127" s="970" t="s">
        <v>759</v>
      </c>
      <c r="G127" s="274" t="s">
        <v>76</v>
      </c>
      <c r="H127" s="275"/>
      <c r="I127" s="275">
        <v>7654636819</v>
      </c>
      <c r="J127" s="275">
        <v>7654636819</v>
      </c>
      <c r="K127" s="274" t="s">
        <v>253</v>
      </c>
      <c r="L127" s="274" t="s">
        <v>65</v>
      </c>
      <c r="M127" s="272">
        <v>33552</v>
      </c>
      <c r="N127" s="272">
        <v>55487</v>
      </c>
      <c r="O127" s="320">
        <v>46133</v>
      </c>
      <c r="P127" s="272">
        <v>45566</v>
      </c>
      <c r="Q127" s="272">
        <v>45552</v>
      </c>
      <c r="R127" s="281" t="s">
        <v>4677</v>
      </c>
      <c r="S127" s="281" t="s">
        <v>4678</v>
      </c>
      <c r="T127" s="280"/>
      <c r="U127" s="280"/>
      <c r="V127" s="285"/>
      <c r="W127" s="282">
        <f t="shared" ca="1" si="22"/>
        <v>34</v>
      </c>
      <c r="Y127" s="79"/>
      <c r="Z127" s="79"/>
      <c r="AA127" s="79"/>
      <c r="AC127" s="311"/>
      <c r="AD127" s="311"/>
      <c r="AE127" s="311"/>
      <c r="AF127" s="311"/>
      <c r="AG127" s="311"/>
      <c r="AH127" s="311"/>
      <c r="AI127" s="311"/>
      <c r="AJ127" s="311"/>
      <c r="AK127" s="311"/>
      <c r="AL127" s="311"/>
      <c r="AM127" s="311"/>
    </row>
    <row r="128" spans="1:39" ht="15.75" customHeight="1">
      <c r="A128" s="1131">
        <v>30</v>
      </c>
      <c r="B128" s="293" t="s">
        <v>4679</v>
      </c>
      <c r="C128" s="405" t="s">
        <v>21</v>
      </c>
      <c r="D128" s="1067" t="s">
        <v>4680</v>
      </c>
      <c r="E128" s="1004" t="s">
        <v>4681</v>
      </c>
      <c r="F128" s="1007" t="s">
        <v>759</v>
      </c>
      <c r="G128" s="274" t="s">
        <v>76</v>
      </c>
      <c r="H128" s="275"/>
      <c r="I128" s="275">
        <v>9679969423</v>
      </c>
      <c r="J128" s="690">
        <v>9679969423</v>
      </c>
      <c r="K128" s="274" t="s">
        <v>253</v>
      </c>
      <c r="L128" s="274" t="s">
        <v>65</v>
      </c>
      <c r="M128" s="272">
        <v>34583</v>
      </c>
      <c r="N128" s="272">
        <v>56522</v>
      </c>
      <c r="O128" s="272">
        <v>46519</v>
      </c>
      <c r="P128" s="279">
        <v>45905</v>
      </c>
      <c r="Q128" s="279">
        <v>45951</v>
      </c>
      <c r="R128" s="603" t="s">
        <v>4682</v>
      </c>
      <c r="S128" s="486" t="s">
        <v>4683</v>
      </c>
      <c r="T128" s="280"/>
      <c r="U128" s="485"/>
      <c r="V128" s="285"/>
      <c r="W128" s="382"/>
      <c r="X128" s="208">
        <f ca="1">INT((TODAY()-M128)/365)</f>
        <v>31</v>
      </c>
      <c r="Y128" s="382"/>
      <c r="Z128" s="382"/>
      <c r="AA128" s="382"/>
      <c r="AB128" s="311"/>
      <c r="AC128" s="311"/>
      <c r="AD128" s="311"/>
      <c r="AE128" s="311"/>
      <c r="AF128" s="311"/>
      <c r="AG128" s="311"/>
      <c r="AH128" s="311"/>
      <c r="AI128" s="311"/>
      <c r="AJ128" s="311"/>
      <c r="AK128" s="311"/>
      <c r="AL128" s="311"/>
      <c r="AM128" s="311"/>
    </row>
    <row r="129" spans="1:39" ht="15.75" customHeight="1">
      <c r="A129" s="1131">
        <v>31</v>
      </c>
      <c r="B129" s="351" t="s">
        <v>4684</v>
      </c>
      <c r="C129" s="307" t="s">
        <v>21</v>
      </c>
      <c r="D129" s="1781" t="s">
        <v>4685</v>
      </c>
      <c r="E129" s="303" t="s">
        <v>4686</v>
      </c>
      <c r="F129" s="674" t="s">
        <v>3258</v>
      </c>
      <c r="G129" s="274" t="s">
        <v>76</v>
      </c>
      <c r="H129" s="275"/>
      <c r="I129" s="275">
        <v>9674094361</v>
      </c>
      <c r="J129" s="284">
        <v>9674094631</v>
      </c>
      <c r="K129" s="274" t="s">
        <v>253</v>
      </c>
      <c r="L129" s="274" t="s">
        <v>65</v>
      </c>
      <c r="M129" s="272">
        <v>33028</v>
      </c>
      <c r="N129" s="272">
        <v>54969</v>
      </c>
      <c r="O129" s="320">
        <v>46519</v>
      </c>
      <c r="P129" s="272">
        <v>45875</v>
      </c>
      <c r="Q129" s="419">
        <v>45891</v>
      </c>
      <c r="R129" s="281" t="s">
        <v>4687</v>
      </c>
      <c r="S129" s="281" t="s">
        <v>4688</v>
      </c>
      <c r="T129" s="280"/>
      <c r="U129" s="280"/>
      <c r="V129" s="285"/>
      <c r="W129" s="208">
        <f t="shared" ref="W129:W130" ca="1" si="23">INT((TODAY()-M129)/365)</f>
        <v>35</v>
      </c>
    </row>
    <row r="130" spans="1:39" ht="15.75" customHeight="1">
      <c r="A130" s="1131">
        <v>32</v>
      </c>
      <c r="B130" s="293" t="s">
        <v>4689</v>
      </c>
      <c r="C130" s="1301" t="s">
        <v>21</v>
      </c>
      <c r="D130" s="1781" t="s">
        <v>4690</v>
      </c>
      <c r="E130" s="303" t="s">
        <v>4691</v>
      </c>
      <c r="F130" s="674" t="s">
        <v>759</v>
      </c>
      <c r="G130" s="274" t="s">
        <v>76</v>
      </c>
      <c r="H130" s="275"/>
      <c r="I130" s="275">
        <v>8145629855</v>
      </c>
      <c r="J130" s="284">
        <v>8145629855</v>
      </c>
      <c r="K130" s="274" t="s">
        <v>253</v>
      </c>
      <c r="L130" s="274" t="s">
        <v>65</v>
      </c>
      <c r="M130" s="272">
        <v>34931</v>
      </c>
      <c r="N130" s="272">
        <v>56857</v>
      </c>
      <c r="O130" s="320">
        <v>45126</v>
      </c>
      <c r="P130" s="424">
        <v>45905</v>
      </c>
      <c r="Q130" s="1836">
        <v>45916</v>
      </c>
      <c r="R130" s="281" t="s">
        <v>4692</v>
      </c>
      <c r="S130" s="280"/>
      <c r="T130" s="280"/>
      <c r="U130" s="280"/>
      <c r="V130" s="280">
        <f t="shared" ref="V130:V131" si="24">LEN(D130)</f>
        <v>11</v>
      </c>
      <c r="W130" s="208">
        <f t="shared" ca="1" si="23"/>
        <v>30</v>
      </c>
    </row>
    <row r="131" spans="1:39" ht="15.75" customHeight="1">
      <c r="A131" s="1131">
        <v>33</v>
      </c>
      <c r="B131" s="293" t="s">
        <v>4693</v>
      </c>
      <c r="C131" s="405" t="s">
        <v>21</v>
      </c>
      <c r="D131" s="1651" t="s">
        <v>4694</v>
      </c>
      <c r="E131" s="1004" t="s">
        <v>4695</v>
      </c>
      <c r="F131" s="274" t="s">
        <v>3258</v>
      </c>
      <c r="G131" s="274" t="s">
        <v>76</v>
      </c>
      <c r="H131" s="275"/>
      <c r="I131" s="275">
        <v>9804206598</v>
      </c>
      <c r="J131" s="306">
        <v>6290315228</v>
      </c>
      <c r="K131" s="274" t="s">
        <v>253</v>
      </c>
      <c r="L131" s="274" t="s">
        <v>65</v>
      </c>
      <c r="M131" s="272">
        <v>34864</v>
      </c>
      <c r="N131" s="272">
        <v>56795</v>
      </c>
      <c r="O131" s="272">
        <v>45115</v>
      </c>
      <c r="P131" s="279">
        <v>45905</v>
      </c>
      <c r="Q131" s="279">
        <v>45860</v>
      </c>
      <c r="R131" s="603" t="s">
        <v>4696</v>
      </c>
      <c r="S131" s="485"/>
      <c r="T131" s="280"/>
      <c r="U131" s="485"/>
      <c r="V131" s="382">
        <f t="shared" si="24"/>
        <v>11</v>
      </c>
      <c r="W131" s="382"/>
      <c r="X131" s="282">
        <f ca="1">INT((TODAY()-M131)/365)</f>
        <v>30</v>
      </c>
      <c r="Y131" s="382"/>
      <c r="Z131" s="382"/>
      <c r="AA131" s="382"/>
      <c r="AB131" s="311"/>
      <c r="AC131" s="311"/>
      <c r="AD131" s="311"/>
      <c r="AE131" s="311"/>
      <c r="AF131" s="311"/>
      <c r="AG131" s="311"/>
      <c r="AH131" s="311"/>
      <c r="AI131" s="311"/>
      <c r="AJ131" s="311"/>
      <c r="AK131" s="311"/>
      <c r="AL131" s="311"/>
      <c r="AM131" s="311"/>
    </row>
    <row r="132" spans="1:39" ht="15.75" customHeight="1">
      <c r="A132" s="1131">
        <v>35</v>
      </c>
      <c r="B132" s="426" t="s">
        <v>1124</v>
      </c>
      <c r="C132" s="405" t="s">
        <v>21</v>
      </c>
      <c r="D132" s="1820" t="s">
        <v>4697</v>
      </c>
      <c r="E132" s="1053" t="s">
        <v>4698</v>
      </c>
      <c r="F132" s="674" t="s">
        <v>759</v>
      </c>
      <c r="G132" s="18" t="s">
        <v>76</v>
      </c>
      <c r="H132" s="275"/>
      <c r="I132" s="275">
        <v>8563814890</v>
      </c>
      <c r="J132" s="284">
        <v>8563814890</v>
      </c>
      <c r="K132" s="274" t="s">
        <v>253</v>
      </c>
      <c r="L132" s="274" t="s">
        <v>65</v>
      </c>
      <c r="M132" s="272">
        <v>33765</v>
      </c>
      <c r="N132" s="272">
        <v>55700</v>
      </c>
      <c r="O132" s="320">
        <v>46132</v>
      </c>
      <c r="P132" s="272">
        <v>45653</v>
      </c>
      <c r="Q132" s="272">
        <v>45552</v>
      </c>
      <c r="R132" s="281" t="s">
        <v>4699</v>
      </c>
      <c r="S132" s="281" t="s">
        <v>4700</v>
      </c>
      <c r="T132" s="280"/>
      <c r="U132" s="280"/>
      <c r="V132" s="285"/>
      <c r="W132" s="282">
        <f ca="1">INT((TODAY()-M132)/365)</f>
        <v>33</v>
      </c>
      <c r="X132" s="79"/>
      <c r="Y132" s="79"/>
      <c r="Z132" s="79"/>
      <c r="AA132" s="79"/>
      <c r="AC132" s="311"/>
      <c r="AD132" s="311"/>
      <c r="AE132" s="311"/>
      <c r="AF132" s="311"/>
      <c r="AG132" s="311"/>
      <c r="AH132" s="311"/>
      <c r="AI132" s="311"/>
      <c r="AJ132" s="311"/>
      <c r="AK132" s="311"/>
      <c r="AL132" s="311"/>
      <c r="AM132" s="311"/>
    </row>
    <row r="133" spans="1:39" ht="15.75" customHeight="1">
      <c r="A133" s="1131">
        <v>36</v>
      </c>
      <c r="B133" s="276" t="s">
        <v>4701</v>
      </c>
      <c r="C133" s="405" t="s">
        <v>21</v>
      </c>
      <c r="D133" s="1458" t="s">
        <v>4702</v>
      </c>
      <c r="E133" s="1132" t="s">
        <v>4703</v>
      </c>
      <c r="F133" s="685" t="s">
        <v>759</v>
      </c>
      <c r="G133" s="875" t="s">
        <v>76</v>
      </c>
      <c r="H133" s="307"/>
      <c r="I133" s="307">
        <v>9002079756</v>
      </c>
      <c r="J133" s="307"/>
      <c r="K133" s="274" t="s">
        <v>253</v>
      </c>
      <c r="L133" s="274" t="s">
        <v>65</v>
      </c>
      <c r="M133" s="921">
        <v>28887</v>
      </c>
      <c r="N133" s="315">
        <v>50801</v>
      </c>
      <c r="O133" s="315">
        <v>45336</v>
      </c>
      <c r="P133" s="315">
        <v>46150</v>
      </c>
      <c r="Q133" s="302">
        <v>45160</v>
      </c>
      <c r="R133" s="280"/>
      <c r="S133" s="318" t="s">
        <v>4704</v>
      </c>
      <c r="T133" s="79"/>
      <c r="U133" s="317"/>
      <c r="V133" s="285"/>
      <c r="W133" s="3"/>
      <c r="X133" s="3"/>
      <c r="Y133" s="3"/>
      <c r="Z133" s="79"/>
      <c r="AA133" s="79"/>
      <c r="AB133" s="311">
        <f ca="1">INT((TODAY()-M133)/365)</f>
        <v>47</v>
      </c>
    </row>
    <row r="134" spans="1:39" ht="15.75" customHeight="1">
      <c r="A134" s="1131">
        <v>37</v>
      </c>
      <c r="B134" s="293" t="s">
        <v>4705</v>
      </c>
      <c r="C134" s="405" t="s">
        <v>21</v>
      </c>
      <c r="D134" s="1448" t="s">
        <v>4706</v>
      </c>
      <c r="E134" s="1004" t="s">
        <v>4707</v>
      </c>
      <c r="F134" s="18" t="s">
        <v>759</v>
      </c>
      <c r="G134" s="274" t="s">
        <v>76</v>
      </c>
      <c r="H134" s="275"/>
      <c r="I134" s="275">
        <v>9679056567</v>
      </c>
      <c r="J134" s="306">
        <v>9679056567</v>
      </c>
      <c r="K134" s="274" t="s">
        <v>253</v>
      </c>
      <c r="L134" s="274" t="s">
        <v>65</v>
      </c>
      <c r="M134" s="272">
        <v>33685</v>
      </c>
      <c r="N134" s="272">
        <v>55609</v>
      </c>
      <c r="O134" s="272">
        <v>45420</v>
      </c>
      <c r="P134" s="279">
        <v>46038</v>
      </c>
      <c r="Q134" s="279">
        <v>45832</v>
      </c>
      <c r="R134" s="603" t="s">
        <v>4708</v>
      </c>
      <c r="S134" s="486" t="s">
        <v>4709</v>
      </c>
      <c r="T134" s="485"/>
      <c r="U134" s="485"/>
      <c r="V134" s="285"/>
      <c r="W134" s="382"/>
      <c r="X134" s="282">
        <f ca="1">INT((TODAY()-M134)/365)</f>
        <v>34</v>
      </c>
      <c r="Y134" s="382"/>
      <c r="Z134" s="382"/>
      <c r="AA134" s="382"/>
      <c r="AB134" s="311"/>
    </row>
    <row r="135" spans="1:39" ht="15.75" customHeight="1">
      <c r="A135" s="1131">
        <v>38</v>
      </c>
      <c r="B135" s="276" t="s">
        <v>4710</v>
      </c>
      <c r="C135" s="405" t="s">
        <v>21</v>
      </c>
      <c r="D135" s="1458" t="s">
        <v>4711</v>
      </c>
      <c r="E135" s="1132" t="s">
        <v>4712</v>
      </c>
      <c r="F135" s="685" t="s">
        <v>759</v>
      </c>
      <c r="G135" s="875" t="s">
        <v>76</v>
      </c>
      <c r="H135" s="307"/>
      <c r="I135" s="307">
        <v>9002079300</v>
      </c>
      <c r="J135" s="703">
        <v>9002079300</v>
      </c>
      <c r="K135" s="274" t="s">
        <v>253</v>
      </c>
      <c r="L135" s="274" t="s">
        <v>65</v>
      </c>
      <c r="M135" s="921">
        <v>29043</v>
      </c>
      <c r="N135" s="315">
        <v>50982</v>
      </c>
      <c r="O135" s="315">
        <v>45480</v>
      </c>
      <c r="P135" s="1837">
        <v>45598</v>
      </c>
      <c r="Q135" s="302">
        <v>45328</v>
      </c>
      <c r="R135" s="280"/>
      <c r="S135" s="318" t="s">
        <v>1538</v>
      </c>
      <c r="T135" s="285"/>
      <c r="U135" s="317"/>
      <c r="V135" s="285"/>
      <c r="W135" s="3"/>
      <c r="X135" s="3"/>
      <c r="Y135" s="3"/>
      <c r="Z135" s="79"/>
      <c r="AA135" s="79"/>
      <c r="AB135" s="311">
        <f ca="1">INT((TODAY()-M135)/365)</f>
        <v>46</v>
      </c>
    </row>
    <row r="136" spans="1:39" ht="15.75" customHeight="1">
      <c r="A136" s="1131">
        <v>39</v>
      </c>
      <c r="B136" s="351" t="s">
        <v>4713</v>
      </c>
      <c r="C136" s="405" t="s">
        <v>21</v>
      </c>
      <c r="D136" s="1781" t="s">
        <v>4714</v>
      </c>
      <c r="E136" s="303" t="s">
        <v>4715</v>
      </c>
      <c r="F136" s="18" t="s">
        <v>3258</v>
      </c>
      <c r="G136" s="274" t="s">
        <v>76</v>
      </c>
      <c r="H136" s="275"/>
      <c r="I136" s="275">
        <v>8961273578</v>
      </c>
      <c r="J136" s="275"/>
      <c r="K136" s="274" t="s">
        <v>253</v>
      </c>
      <c r="L136" s="274" t="s">
        <v>65</v>
      </c>
      <c r="M136" s="272">
        <v>33460</v>
      </c>
      <c r="N136" s="272">
        <v>55396</v>
      </c>
      <c r="O136" s="320">
        <v>45116</v>
      </c>
      <c r="P136" s="272">
        <v>46019</v>
      </c>
      <c r="Q136" s="419">
        <v>45916</v>
      </c>
      <c r="R136" s="281" t="s">
        <v>4716</v>
      </c>
      <c r="S136" s="280"/>
      <c r="T136" s="280"/>
      <c r="U136" s="280"/>
      <c r="V136" s="79">
        <f t="shared" ref="V136:V137" si="25">LEN(D136)</f>
        <v>11</v>
      </c>
      <c r="X136" s="208">
        <f t="shared" ref="X136:X137" ca="1" si="26">INT((TODAY()-M136)/365)</f>
        <v>34</v>
      </c>
      <c r="Y136" s="311"/>
      <c r="Z136" s="311"/>
      <c r="AA136" s="311"/>
      <c r="AB136" s="311"/>
      <c r="AC136" s="311"/>
      <c r="AD136" s="311"/>
      <c r="AE136" s="311"/>
      <c r="AF136" s="311"/>
      <c r="AG136" s="311"/>
      <c r="AH136" s="311"/>
      <c r="AI136" s="311"/>
      <c r="AJ136" s="311"/>
      <c r="AK136" s="311"/>
      <c r="AL136" s="311"/>
      <c r="AM136" s="311"/>
    </row>
    <row r="137" spans="1:39">
      <c r="A137" s="1131">
        <v>41</v>
      </c>
      <c r="B137" s="293" t="s">
        <v>4717</v>
      </c>
      <c r="C137" s="307" t="s">
        <v>21</v>
      </c>
      <c r="D137" s="1651" t="s">
        <v>4718</v>
      </c>
      <c r="E137" s="303" t="s">
        <v>4719</v>
      </c>
      <c r="F137" s="18" t="s">
        <v>3258</v>
      </c>
      <c r="G137" s="274" t="s">
        <v>76</v>
      </c>
      <c r="H137" s="275"/>
      <c r="I137" s="275">
        <v>8637038841</v>
      </c>
      <c r="J137" s="690">
        <v>8637038841</v>
      </c>
      <c r="K137" s="274" t="s">
        <v>253</v>
      </c>
      <c r="L137" s="274" t="s">
        <v>65</v>
      </c>
      <c r="M137" s="272">
        <v>32874</v>
      </c>
      <c r="N137" s="272">
        <v>54788</v>
      </c>
      <c r="O137" s="272">
        <v>45963</v>
      </c>
      <c r="P137" s="315">
        <v>45222</v>
      </c>
      <c r="Q137" s="279">
        <v>46087</v>
      </c>
      <c r="R137" s="603" t="s">
        <v>4720</v>
      </c>
      <c r="S137" s="486" t="s">
        <v>4721</v>
      </c>
      <c r="T137" s="280"/>
      <c r="U137" s="485"/>
      <c r="V137" s="382">
        <f t="shared" si="25"/>
        <v>11</v>
      </c>
      <c r="W137" s="311"/>
      <c r="X137" s="282">
        <f t="shared" ca="1" si="26"/>
        <v>36</v>
      </c>
      <c r="Y137" s="382"/>
      <c r="Z137" s="382"/>
      <c r="AA137" s="382"/>
      <c r="AB137" s="382"/>
      <c r="AC137" s="79"/>
      <c r="AD137" s="79"/>
      <c r="AE137" s="79"/>
      <c r="AF137" s="79"/>
      <c r="AG137" s="79"/>
      <c r="AH137" s="79"/>
    </row>
    <row r="138" spans="1:39" ht="15.75" customHeight="1">
      <c r="A138" s="1131">
        <v>42</v>
      </c>
      <c r="B138" s="351" t="s">
        <v>4722</v>
      </c>
      <c r="C138" s="405" t="s">
        <v>21</v>
      </c>
      <c r="D138" s="1781" t="s">
        <v>4723</v>
      </c>
      <c r="E138" s="1838" t="s">
        <v>4724</v>
      </c>
      <c r="F138" s="674" t="s">
        <v>759</v>
      </c>
      <c r="G138" s="274" t="s">
        <v>76</v>
      </c>
      <c r="H138" s="275"/>
      <c r="I138" s="275">
        <v>9681024379</v>
      </c>
      <c r="J138" s="275">
        <v>9681024379</v>
      </c>
      <c r="K138" s="274" t="s">
        <v>253</v>
      </c>
      <c r="L138" s="274" t="s">
        <v>65</v>
      </c>
      <c r="M138" s="272">
        <v>32011</v>
      </c>
      <c r="N138" s="272">
        <v>53935</v>
      </c>
      <c r="O138" s="320">
        <v>45420</v>
      </c>
      <c r="P138" s="272">
        <v>46038</v>
      </c>
      <c r="Q138" s="419">
        <v>45829</v>
      </c>
      <c r="R138" s="281" t="s">
        <v>4725</v>
      </c>
      <c r="S138" s="280"/>
      <c r="T138" s="280"/>
      <c r="U138" s="280"/>
      <c r="V138" s="285"/>
      <c r="W138" s="208">
        <f t="shared" ref="W138:W140" ca="1" si="27">INT((TODAY()-M138)/365)</f>
        <v>38</v>
      </c>
      <c r="AC138" s="311"/>
      <c r="AD138" s="311"/>
      <c r="AE138" s="311"/>
      <c r="AF138" s="311"/>
      <c r="AG138" s="311"/>
      <c r="AH138" s="311"/>
      <c r="AI138" s="311"/>
      <c r="AJ138" s="311"/>
      <c r="AK138" s="311"/>
      <c r="AL138" s="311"/>
      <c r="AM138" s="311"/>
    </row>
    <row r="139" spans="1:39" ht="15.75" customHeight="1">
      <c r="A139" s="1131">
        <v>43</v>
      </c>
      <c r="B139" s="351" t="s">
        <v>4726</v>
      </c>
      <c r="C139" s="1301" t="s">
        <v>21</v>
      </c>
      <c r="D139" s="1781" t="s">
        <v>4727</v>
      </c>
      <c r="E139" s="303" t="s">
        <v>4728</v>
      </c>
      <c r="F139" s="674" t="s">
        <v>759</v>
      </c>
      <c r="G139" s="274" t="s">
        <v>76</v>
      </c>
      <c r="H139" s="275"/>
      <c r="I139" s="275">
        <v>6291619713</v>
      </c>
      <c r="J139" s="275"/>
      <c r="K139" s="274" t="s">
        <v>253</v>
      </c>
      <c r="L139" s="439" t="s">
        <v>65</v>
      </c>
      <c r="M139" s="272">
        <v>34076</v>
      </c>
      <c r="N139" s="272">
        <v>56004</v>
      </c>
      <c r="O139" s="277">
        <v>46515</v>
      </c>
      <c r="P139" s="272">
        <v>45875</v>
      </c>
      <c r="Q139" s="419">
        <v>45891</v>
      </c>
      <c r="R139" s="281" t="s">
        <v>4729</v>
      </c>
      <c r="S139" s="280"/>
      <c r="T139" s="280"/>
      <c r="U139" s="280"/>
      <c r="V139" s="285"/>
      <c r="W139" s="282">
        <f t="shared" ca="1" si="27"/>
        <v>32</v>
      </c>
      <c r="X139" s="79"/>
      <c r="Y139" s="79"/>
      <c r="Z139" s="79"/>
      <c r="AA139" s="79"/>
    </row>
    <row r="140" spans="1:39" ht="15.75" customHeight="1">
      <c r="A140" s="1131">
        <v>44</v>
      </c>
      <c r="B140" s="688" t="s">
        <v>4730</v>
      </c>
      <c r="C140" s="1301" t="s">
        <v>21</v>
      </c>
      <c r="D140" s="1781" t="s">
        <v>4731</v>
      </c>
      <c r="E140" s="303" t="s">
        <v>4732</v>
      </c>
      <c r="F140" s="674" t="s">
        <v>759</v>
      </c>
      <c r="G140" s="274" t="s">
        <v>76</v>
      </c>
      <c r="H140" s="275"/>
      <c r="I140" s="275">
        <v>9007261873</v>
      </c>
      <c r="J140" s="275"/>
      <c r="K140" s="274" t="s">
        <v>253</v>
      </c>
      <c r="L140" s="274" t="s">
        <v>65</v>
      </c>
      <c r="M140" s="272">
        <v>34017</v>
      </c>
      <c r="N140" s="272">
        <v>55943</v>
      </c>
      <c r="O140" s="320">
        <v>46517</v>
      </c>
      <c r="P140" s="272">
        <v>46038</v>
      </c>
      <c r="Q140" s="419">
        <v>45951</v>
      </c>
      <c r="R140" s="281" t="s">
        <v>4733</v>
      </c>
      <c r="S140" s="280"/>
      <c r="T140" s="280"/>
      <c r="U140" s="280"/>
      <c r="V140" s="280">
        <f t="shared" ref="V140:V141" si="28">LEN(D140)</f>
        <v>11</v>
      </c>
      <c r="W140" s="282">
        <f t="shared" ca="1" si="27"/>
        <v>33</v>
      </c>
      <c r="X140" s="79"/>
      <c r="Y140" s="79"/>
      <c r="Z140" s="79"/>
      <c r="AA140" s="79"/>
      <c r="AC140" s="382"/>
      <c r="AD140" s="382"/>
      <c r="AE140" s="382"/>
      <c r="AF140" s="382"/>
      <c r="AG140" s="382"/>
      <c r="AH140" s="382"/>
      <c r="AI140" s="311"/>
      <c r="AJ140" s="311"/>
      <c r="AK140" s="311"/>
      <c r="AL140" s="311"/>
      <c r="AM140" s="311"/>
    </row>
    <row r="141" spans="1:39" ht="15.75" customHeight="1">
      <c r="A141" s="1131">
        <v>45</v>
      </c>
      <c r="B141" s="293" t="s">
        <v>4734</v>
      </c>
      <c r="C141" s="561" t="s">
        <v>20</v>
      </c>
      <c r="D141" s="1651" t="s">
        <v>4735</v>
      </c>
      <c r="E141" s="274" t="s">
        <v>4736</v>
      </c>
      <c r="F141" s="18" t="s">
        <v>759</v>
      </c>
      <c r="G141" s="274" t="s">
        <v>77</v>
      </c>
      <c r="H141" s="275"/>
      <c r="I141" s="275">
        <v>7001264367</v>
      </c>
      <c r="J141" s="690"/>
      <c r="K141" s="274" t="s">
        <v>253</v>
      </c>
      <c r="L141" s="274" t="s">
        <v>256</v>
      </c>
      <c r="M141" s="272">
        <v>35152</v>
      </c>
      <c r="N141" s="272">
        <v>57070</v>
      </c>
      <c r="O141" s="272">
        <v>46515</v>
      </c>
      <c r="P141" s="279">
        <v>46038</v>
      </c>
      <c r="Q141" s="279">
        <v>45891</v>
      </c>
      <c r="R141" s="603" t="s">
        <v>4737</v>
      </c>
      <c r="S141" s="485"/>
      <c r="T141" s="280"/>
      <c r="U141" s="280"/>
      <c r="V141" s="382">
        <f t="shared" si="28"/>
        <v>11</v>
      </c>
      <c r="W141" s="311"/>
      <c r="X141" s="208">
        <f ca="1">INT((TODAY()-M141)/365)</f>
        <v>29</v>
      </c>
      <c r="Y141" s="311"/>
      <c r="Z141" s="311"/>
      <c r="AA141" s="311"/>
      <c r="AB141" s="311"/>
      <c r="AC141" s="311"/>
      <c r="AD141" s="311"/>
      <c r="AE141" s="311"/>
      <c r="AF141" s="311"/>
      <c r="AG141" s="311"/>
      <c r="AH141" s="311"/>
      <c r="AI141" s="311"/>
      <c r="AJ141" s="311"/>
      <c r="AK141" s="311"/>
      <c r="AL141" s="311"/>
      <c r="AM141" s="311"/>
    </row>
    <row r="142" spans="1:39" ht="15.75" customHeight="1">
      <c r="A142" s="1131">
        <v>46</v>
      </c>
      <c r="B142" s="276" t="s">
        <v>4738</v>
      </c>
      <c r="C142" s="405" t="s">
        <v>21</v>
      </c>
      <c r="D142" s="1458" t="s">
        <v>4739</v>
      </c>
      <c r="E142" s="1132" t="s">
        <v>4740</v>
      </c>
      <c r="F142" s="685" t="s">
        <v>759</v>
      </c>
      <c r="G142" s="875" t="s">
        <v>76</v>
      </c>
      <c r="H142" s="307"/>
      <c r="I142" s="307">
        <v>9002079779</v>
      </c>
      <c r="J142" s="703">
        <v>7980277270</v>
      </c>
      <c r="K142" s="274" t="s">
        <v>253</v>
      </c>
      <c r="L142" s="274" t="s">
        <v>65</v>
      </c>
      <c r="M142" s="921">
        <v>28797</v>
      </c>
      <c r="N142" s="315">
        <v>50495</v>
      </c>
      <c r="O142" s="315">
        <v>45436</v>
      </c>
      <c r="P142" s="278">
        <v>45562</v>
      </c>
      <c r="Q142" s="302">
        <v>45328</v>
      </c>
      <c r="R142" s="285"/>
      <c r="S142" s="318" t="s">
        <v>4741</v>
      </c>
      <c r="T142" s="285"/>
      <c r="U142" s="285"/>
      <c r="V142" s="285"/>
      <c r="W142" s="3"/>
      <c r="X142" s="3"/>
      <c r="Y142" s="3"/>
      <c r="Z142" s="79"/>
      <c r="AA142" s="79"/>
      <c r="AB142" s="311">
        <f t="shared" ref="AB142:AB143" ca="1" si="29">INT((TODAY()-M142)/365)</f>
        <v>47</v>
      </c>
    </row>
    <row r="143" spans="1:39" ht="15.75" customHeight="1">
      <c r="A143" s="1131">
        <v>49</v>
      </c>
      <c r="B143" s="276" t="s">
        <v>4742</v>
      </c>
      <c r="C143" s="405" t="s">
        <v>21</v>
      </c>
      <c r="D143" s="1458" t="s">
        <v>4743</v>
      </c>
      <c r="E143" s="860" t="s">
        <v>4744</v>
      </c>
      <c r="F143" s="685" t="s">
        <v>759</v>
      </c>
      <c r="G143" s="875" t="s">
        <v>76</v>
      </c>
      <c r="H143" s="307"/>
      <c r="I143" s="307">
        <v>9002079784</v>
      </c>
      <c r="J143" s="703">
        <v>9002079784</v>
      </c>
      <c r="K143" s="274" t="s">
        <v>253</v>
      </c>
      <c r="L143" s="274" t="s">
        <v>65</v>
      </c>
      <c r="M143" s="315">
        <v>24852</v>
      </c>
      <c r="N143" s="315">
        <v>46783</v>
      </c>
      <c r="O143" s="315">
        <v>45304</v>
      </c>
      <c r="P143" s="315">
        <v>45628</v>
      </c>
      <c r="Q143" s="272">
        <v>45271</v>
      </c>
      <c r="R143" s="285"/>
      <c r="S143" s="318" t="s">
        <v>4745</v>
      </c>
      <c r="T143" s="285"/>
      <c r="U143" s="285"/>
      <c r="V143" s="285"/>
      <c r="W143" s="3"/>
      <c r="X143" s="3"/>
      <c r="Y143" s="3"/>
      <c r="Z143" s="79"/>
      <c r="AA143" s="79"/>
      <c r="AB143" s="311">
        <f t="shared" ca="1" si="29"/>
        <v>58</v>
      </c>
    </row>
    <row r="144" spans="1:39" ht="15.75" customHeight="1">
      <c r="A144" s="1131">
        <v>50</v>
      </c>
      <c r="B144" s="293" t="s">
        <v>4746</v>
      </c>
      <c r="C144" s="405" t="s">
        <v>21</v>
      </c>
      <c r="D144" s="1651" t="s">
        <v>4747</v>
      </c>
      <c r="E144" s="1004" t="s">
        <v>4748</v>
      </c>
      <c r="F144" s="18" t="s">
        <v>759</v>
      </c>
      <c r="G144" s="274" t="s">
        <v>76</v>
      </c>
      <c r="H144" s="275"/>
      <c r="I144" s="275">
        <v>8961921541</v>
      </c>
      <c r="J144" s="690"/>
      <c r="K144" s="274" t="s">
        <v>253</v>
      </c>
      <c r="L144" s="274" t="s">
        <v>65</v>
      </c>
      <c r="M144" s="272">
        <v>33490</v>
      </c>
      <c r="N144" s="272">
        <v>55426</v>
      </c>
      <c r="O144" s="272">
        <v>46519</v>
      </c>
      <c r="P144" s="279">
        <v>45996</v>
      </c>
      <c r="Q144" s="279">
        <v>45951</v>
      </c>
      <c r="R144" s="603" t="s">
        <v>4749</v>
      </c>
      <c r="S144" s="486" t="s">
        <v>4750</v>
      </c>
      <c r="T144" s="280"/>
      <c r="U144" s="485"/>
      <c r="V144" s="285"/>
      <c r="W144" s="382"/>
      <c r="X144" s="282">
        <f t="shared" ref="X144:X145" ca="1" si="30">INT((TODAY()-M144)/365)</f>
        <v>34</v>
      </c>
      <c r="Y144" s="382"/>
      <c r="Z144" s="382"/>
      <c r="AA144" s="382"/>
      <c r="AB144" s="311"/>
    </row>
    <row r="145" spans="1:39" ht="15.75" customHeight="1">
      <c r="A145" s="1131">
        <v>51</v>
      </c>
      <c r="B145" s="293" t="s">
        <v>4751</v>
      </c>
      <c r="C145" s="405" t="s">
        <v>21</v>
      </c>
      <c r="D145" s="1839" t="s">
        <v>4752</v>
      </c>
      <c r="E145" s="1004" t="s">
        <v>4753</v>
      </c>
      <c r="F145" s="18" t="s">
        <v>759</v>
      </c>
      <c r="G145" s="274" t="s">
        <v>76</v>
      </c>
      <c r="H145" s="275"/>
      <c r="I145" s="275">
        <v>8777727838</v>
      </c>
      <c r="J145" s="690"/>
      <c r="K145" s="274" t="s">
        <v>253</v>
      </c>
      <c r="L145" s="274" t="s">
        <v>65</v>
      </c>
      <c r="M145" s="272">
        <v>30783</v>
      </c>
      <c r="N145" s="272">
        <v>52717</v>
      </c>
      <c r="O145" s="272">
        <v>45963</v>
      </c>
      <c r="P145" s="315">
        <v>45222</v>
      </c>
      <c r="Q145" s="279">
        <v>46087</v>
      </c>
      <c r="R145" s="603" t="s">
        <v>4754</v>
      </c>
      <c r="S145" s="485"/>
      <c r="T145" s="485"/>
      <c r="U145" s="485"/>
      <c r="V145" s="285"/>
      <c r="W145" s="382"/>
      <c r="X145" s="282">
        <f t="shared" ca="1" si="30"/>
        <v>41</v>
      </c>
      <c r="Y145" s="382"/>
      <c r="Z145" s="382"/>
      <c r="AA145" s="382"/>
      <c r="AB145" s="311"/>
      <c r="AC145" s="311"/>
      <c r="AD145" s="311"/>
      <c r="AE145" s="311"/>
      <c r="AF145" s="311"/>
      <c r="AG145" s="311"/>
      <c r="AH145" s="311"/>
      <c r="AI145" s="311"/>
      <c r="AJ145" s="311"/>
      <c r="AK145" s="311"/>
      <c r="AL145" s="311"/>
      <c r="AM145" s="311"/>
    </row>
    <row r="146" spans="1:39" ht="15.75" customHeight="1">
      <c r="A146" s="1131">
        <v>52</v>
      </c>
      <c r="B146" s="351" t="s">
        <v>4755</v>
      </c>
      <c r="C146" s="405" t="s">
        <v>21</v>
      </c>
      <c r="D146" s="1781" t="s">
        <v>4756</v>
      </c>
      <c r="E146" s="1004" t="s">
        <v>4757</v>
      </c>
      <c r="F146" s="674" t="s">
        <v>759</v>
      </c>
      <c r="G146" s="274" t="s">
        <v>76</v>
      </c>
      <c r="H146" s="275"/>
      <c r="I146" s="275">
        <v>9775488455</v>
      </c>
      <c r="J146" s="275"/>
      <c r="K146" s="274" t="s">
        <v>253</v>
      </c>
      <c r="L146" s="274" t="s">
        <v>65</v>
      </c>
      <c r="M146" s="272">
        <v>34773</v>
      </c>
      <c r="N146" s="272">
        <v>53052</v>
      </c>
      <c r="O146" s="320">
        <v>45120</v>
      </c>
      <c r="P146" s="272">
        <v>45875</v>
      </c>
      <c r="Q146" s="419">
        <v>45891</v>
      </c>
      <c r="R146" s="281" t="s">
        <v>4758</v>
      </c>
      <c r="S146" s="281" t="s">
        <v>4759</v>
      </c>
      <c r="T146" s="280"/>
      <c r="U146" s="280"/>
      <c r="V146" s="285"/>
      <c r="W146" s="282">
        <f ca="1">INT((TODAY()-M146)/365)</f>
        <v>31</v>
      </c>
      <c r="X146" s="79"/>
      <c r="Y146" s="79"/>
      <c r="Z146" s="79"/>
      <c r="AA146" s="79"/>
    </row>
    <row r="147" spans="1:39" ht="15.75" customHeight="1">
      <c r="A147" s="1131">
        <v>53</v>
      </c>
      <c r="B147" s="276" t="s">
        <v>4760</v>
      </c>
      <c r="C147" s="405" t="s">
        <v>21</v>
      </c>
      <c r="D147" s="1460" t="s">
        <v>4761</v>
      </c>
      <c r="E147" s="1132" t="s">
        <v>4762</v>
      </c>
      <c r="F147" s="685" t="s">
        <v>759</v>
      </c>
      <c r="G147" s="875" t="s">
        <v>77</v>
      </c>
      <c r="H147" s="307"/>
      <c r="I147" s="307">
        <v>8420320003</v>
      </c>
      <c r="J147" s="307"/>
      <c r="K147" s="274" t="s">
        <v>253</v>
      </c>
      <c r="L147" s="274" t="s">
        <v>65</v>
      </c>
      <c r="M147" s="315">
        <v>26816</v>
      </c>
      <c r="N147" s="315">
        <v>48760</v>
      </c>
      <c r="O147" s="315">
        <v>45450</v>
      </c>
      <c r="P147" s="315">
        <v>45697</v>
      </c>
      <c r="Q147" s="419">
        <v>45299</v>
      </c>
      <c r="R147" s="603" t="s">
        <v>4763</v>
      </c>
      <c r="S147" s="318" t="s">
        <v>4764</v>
      </c>
      <c r="T147" s="285"/>
      <c r="U147" s="285"/>
      <c r="V147" s="285"/>
      <c r="W147" s="3"/>
      <c r="X147" s="3"/>
      <c r="Y147" s="3"/>
      <c r="Z147" s="79"/>
      <c r="AA147" s="79"/>
      <c r="AB147" s="311">
        <f ca="1">INT((TODAY()-M147)/365)</f>
        <v>52</v>
      </c>
    </row>
    <row r="148" spans="1:39" ht="15.75" customHeight="1">
      <c r="A148" s="1131">
        <v>54</v>
      </c>
      <c r="B148" s="293" t="s">
        <v>4765</v>
      </c>
      <c r="C148" s="561" t="s">
        <v>20</v>
      </c>
      <c r="D148" s="562" t="s">
        <v>4766</v>
      </c>
      <c r="E148" s="1004" t="s">
        <v>4767</v>
      </c>
      <c r="F148" s="18" t="s">
        <v>759</v>
      </c>
      <c r="G148" s="274" t="s">
        <v>77</v>
      </c>
      <c r="H148" s="275"/>
      <c r="I148" s="275">
        <v>9883228214</v>
      </c>
      <c r="J148" s="690">
        <v>9883228214</v>
      </c>
      <c r="K148" s="274" t="s">
        <v>253</v>
      </c>
      <c r="L148" s="274" t="s">
        <v>67</v>
      </c>
      <c r="M148" s="272">
        <v>31458</v>
      </c>
      <c r="N148" s="272">
        <v>53386</v>
      </c>
      <c r="O148" s="272">
        <v>45539</v>
      </c>
      <c r="P148" s="315">
        <v>46146</v>
      </c>
      <c r="Q148" s="279">
        <v>46035</v>
      </c>
      <c r="R148" s="486" t="s">
        <v>4763</v>
      </c>
      <c r="S148" s="638" t="s">
        <v>4768</v>
      </c>
      <c r="T148" s="485"/>
      <c r="U148" s="485"/>
      <c r="V148" s="285"/>
      <c r="W148" s="382"/>
      <c r="Y148" s="382"/>
      <c r="Z148" s="382"/>
      <c r="AA148" s="382"/>
      <c r="AB148" s="311"/>
    </row>
    <row r="149" spans="1:39" ht="15.75" customHeight="1">
      <c r="A149" s="1131">
        <v>56</v>
      </c>
      <c r="B149" s="1840" t="s">
        <v>4769</v>
      </c>
      <c r="C149" s="561" t="s">
        <v>20</v>
      </c>
      <c r="D149" s="1640" t="s">
        <v>4770</v>
      </c>
      <c r="E149" s="345" t="s">
        <v>4771</v>
      </c>
      <c r="F149" s="274" t="s">
        <v>759</v>
      </c>
      <c r="G149" s="345" t="s">
        <v>77</v>
      </c>
      <c r="H149" s="275"/>
      <c r="I149" s="343">
        <v>7063359358</v>
      </c>
      <c r="J149" s="1841">
        <v>7063359358</v>
      </c>
      <c r="K149" s="274" t="s">
        <v>253</v>
      </c>
      <c r="L149" s="274" t="s">
        <v>69</v>
      </c>
      <c r="M149" s="342">
        <v>29879</v>
      </c>
      <c r="N149" s="342">
        <v>51805</v>
      </c>
      <c r="O149" s="346">
        <v>46225</v>
      </c>
      <c r="P149" s="1842">
        <v>45388</v>
      </c>
      <c r="Q149" s="419">
        <v>45356</v>
      </c>
      <c r="R149" s="321" t="s">
        <v>4772</v>
      </c>
      <c r="S149" s="281" t="s">
        <v>4773</v>
      </c>
      <c r="T149" s="280"/>
      <c r="U149" s="280"/>
      <c r="V149" s="79">
        <f t="shared" ref="V149:V150" si="31">LEN(D149)</f>
        <v>11</v>
      </c>
      <c r="W149" s="1034"/>
      <c r="X149" s="1034"/>
      <c r="Y149" s="1034"/>
      <c r="Z149" s="1034"/>
      <c r="AA149" s="1034"/>
      <c r="AB149" s="208">
        <f ca="1">INT((TODAY()-M149)/365)</f>
        <v>44</v>
      </c>
    </row>
    <row r="150" spans="1:39" ht="15.75">
      <c r="A150" s="1131">
        <v>59</v>
      </c>
      <c r="B150" s="351" t="s">
        <v>4774</v>
      </c>
      <c r="C150" s="405" t="s">
        <v>21</v>
      </c>
      <c r="D150" s="1781" t="s">
        <v>4775</v>
      </c>
      <c r="E150" s="491" t="s">
        <v>4776</v>
      </c>
      <c r="F150" s="674" t="s">
        <v>759</v>
      </c>
      <c r="G150" s="274" t="s">
        <v>76</v>
      </c>
      <c r="H150" s="275"/>
      <c r="I150" s="275">
        <v>7044485117</v>
      </c>
      <c r="J150" s="1782">
        <v>7074485117</v>
      </c>
      <c r="K150" s="274" t="s">
        <v>253</v>
      </c>
      <c r="L150" s="274" t="s">
        <v>65</v>
      </c>
      <c r="M150" s="272">
        <v>33817</v>
      </c>
      <c r="N150" s="272">
        <v>55731</v>
      </c>
      <c r="O150" s="320">
        <v>45119</v>
      </c>
      <c r="P150" s="272">
        <v>45916</v>
      </c>
      <c r="Q150" s="419">
        <v>45916</v>
      </c>
      <c r="R150" s="281" t="s">
        <v>4777</v>
      </c>
      <c r="S150" s="280"/>
      <c r="T150" s="280"/>
      <c r="U150" s="280"/>
      <c r="V150" s="280">
        <f t="shared" si="31"/>
        <v>11</v>
      </c>
      <c r="W150" s="208">
        <f t="shared" ref="W150:W151" ca="1" si="32">INT((TODAY()-M150)/365)</f>
        <v>33</v>
      </c>
    </row>
    <row r="151" spans="1:39" ht="15.75" customHeight="1">
      <c r="A151" s="1131">
        <v>60</v>
      </c>
      <c r="B151" s="426" t="s">
        <v>4778</v>
      </c>
      <c r="C151" s="405" t="s">
        <v>21</v>
      </c>
      <c r="D151" s="427" t="s">
        <v>4779</v>
      </c>
      <c r="E151" s="620" t="s">
        <v>4780</v>
      </c>
      <c r="F151" s="970" t="s">
        <v>759</v>
      </c>
      <c r="G151" s="18" t="s">
        <v>76</v>
      </c>
      <c r="H151" s="275"/>
      <c r="I151" s="3"/>
      <c r="J151" s="3"/>
      <c r="K151" s="274" t="s">
        <v>253</v>
      </c>
      <c r="L151" s="274" t="s">
        <v>65</v>
      </c>
      <c r="M151" s="418">
        <v>34020</v>
      </c>
      <c r="N151" s="418">
        <v>55943</v>
      </c>
      <c r="O151" s="428">
        <v>46540</v>
      </c>
      <c r="P151" s="418">
        <v>45996</v>
      </c>
      <c r="Q151" s="418">
        <v>45951</v>
      </c>
      <c r="R151" s="281" t="s">
        <v>4781</v>
      </c>
      <c r="S151" s="280"/>
      <c r="T151" s="280"/>
      <c r="U151" s="280"/>
      <c r="V151" s="285"/>
      <c r="W151" s="208">
        <f t="shared" ca="1" si="32"/>
        <v>33</v>
      </c>
      <c r="AC151" s="311"/>
      <c r="AD151" s="311"/>
      <c r="AE151" s="311"/>
      <c r="AF151" s="311"/>
      <c r="AG151" s="311"/>
      <c r="AH151" s="311"/>
      <c r="AI151" s="311"/>
      <c r="AJ151" s="311"/>
      <c r="AK151" s="311"/>
      <c r="AL151" s="311"/>
      <c r="AM151" s="311"/>
    </row>
    <row r="152" spans="1:39">
      <c r="A152" s="1131">
        <v>61</v>
      </c>
      <c r="B152" s="351" t="s">
        <v>4782</v>
      </c>
      <c r="C152" s="405" t="s">
        <v>21</v>
      </c>
      <c r="D152" s="1781" t="s">
        <v>4783</v>
      </c>
      <c r="E152" s="303" t="s">
        <v>4784</v>
      </c>
      <c r="F152" s="18" t="s">
        <v>3258</v>
      </c>
      <c r="G152" s="274" t="s">
        <v>76</v>
      </c>
      <c r="H152" s="275"/>
      <c r="I152" s="275">
        <v>9874573137</v>
      </c>
      <c r="J152" s="284">
        <v>8961047357</v>
      </c>
      <c r="K152" s="274" t="s">
        <v>253</v>
      </c>
      <c r="L152" s="274" t="s">
        <v>65</v>
      </c>
      <c r="M152" s="272">
        <v>35183</v>
      </c>
      <c r="N152" s="272">
        <v>57100</v>
      </c>
      <c r="O152" s="320">
        <v>46522</v>
      </c>
      <c r="P152" s="272">
        <v>45875</v>
      </c>
      <c r="Q152" s="419">
        <v>45891</v>
      </c>
      <c r="R152" s="281" t="s">
        <v>4785</v>
      </c>
      <c r="S152" s="280"/>
      <c r="T152" s="280"/>
      <c r="U152" s="280"/>
      <c r="V152" s="285"/>
      <c r="X152" s="208">
        <f ca="1">INT((TODAY()-M152)/365)</f>
        <v>29</v>
      </c>
      <c r="Y152" s="311"/>
      <c r="Z152" s="311"/>
      <c r="AA152" s="311"/>
      <c r="AB152" s="311"/>
    </row>
    <row r="153" spans="1:39" ht="15.75" customHeight="1">
      <c r="A153" s="1131">
        <v>62</v>
      </c>
      <c r="B153" s="293" t="s">
        <v>4786</v>
      </c>
      <c r="C153" s="1301" t="s">
        <v>20</v>
      </c>
      <c r="D153" s="1781" t="s">
        <v>4787</v>
      </c>
      <c r="E153" s="491" t="s">
        <v>4788</v>
      </c>
      <c r="F153" s="674" t="s">
        <v>759</v>
      </c>
      <c r="G153" s="274" t="s">
        <v>76</v>
      </c>
      <c r="H153" s="275"/>
      <c r="I153" s="275">
        <v>7278028931</v>
      </c>
      <c r="J153" s="275"/>
      <c r="K153" s="274" t="s">
        <v>253</v>
      </c>
      <c r="L153" s="303" t="s">
        <v>256</v>
      </c>
      <c r="M153" s="272">
        <v>33582</v>
      </c>
      <c r="N153" s="272">
        <v>55518</v>
      </c>
      <c r="O153" s="320">
        <v>45115</v>
      </c>
      <c r="P153" s="272">
        <v>46038</v>
      </c>
      <c r="Q153" s="419">
        <v>45980</v>
      </c>
      <c r="R153" s="281" t="s">
        <v>4789</v>
      </c>
      <c r="S153" s="280"/>
      <c r="T153" s="280"/>
      <c r="U153" s="280"/>
      <c r="V153" s="280">
        <f t="shared" ref="V153:V154" si="33">LEN(D153)</f>
        <v>11</v>
      </c>
      <c r="W153" s="208">
        <f t="shared" ref="W153:W155" ca="1" si="34">INT((TODAY()-M153)/365)</f>
        <v>34</v>
      </c>
    </row>
    <row r="154" spans="1:39" ht="15.75" customHeight="1">
      <c r="A154" s="1131">
        <v>63</v>
      </c>
      <c r="B154" s="301" t="s">
        <v>4790</v>
      </c>
      <c r="C154" s="405" t="s">
        <v>21</v>
      </c>
      <c r="D154" s="1781" t="s">
        <v>4791</v>
      </c>
      <c r="E154" s="1843" t="s">
        <v>4792</v>
      </c>
      <c r="F154" s="18" t="s">
        <v>759</v>
      </c>
      <c r="G154" s="284" t="s">
        <v>76</v>
      </c>
      <c r="H154" s="275"/>
      <c r="I154" s="391">
        <v>7872925747</v>
      </c>
      <c r="J154" s="1844">
        <v>8371807920</v>
      </c>
      <c r="K154" s="274" t="s">
        <v>253</v>
      </c>
      <c r="L154" s="274" t="s">
        <v>65</v>
      </c>
      <c r="M154" s="272">
        <v>32859</v>
      </c>
      <c r="N154" s="272">
        <v>54788</v>
      </c>
      <c r="O154" s="320">
        <v>45118</v>
      </c>
      <c r="P154" s="272">
        <v>46038</v>
      </c>
      <c r="Q154" s="419">
        <v>45980</v>
      </c>
      <c r="R154" s="1592" t="s">
        <v>4793</v>
      </c>
      <c r="S154" s="1778"/>
      <c r="T154" s="1778"/>
      <c r="U154" s="1778"/>
      <c r="V154" s="1778">
        <f t="shared" si="33"/>
        <v>11</v>
      </c>
      <c r="W154" s="282">
        <f t="shared" ca="1" si="34"/>
        <v>36</v>
      </c>
      <c r="X154" s="704"/>
      <c r="Y154" s="704"/>
      <c r="Z154" s="704"/>
      <c r="AA154" s="704"/>
      <c r="AB154" s="705"/>
      <c r="AC154" s="705"/>
      <c r="AD154" s="705"/>
      <c r="AE154" s="705"/>
      <c r="AF154" s="705"/>
      <c r="AG154" s="705"/>
      <c r="AH154" s="705"/>
      <c r="AI154" s="705"/>
      <c r="AJ154" s="705"/>
      <c r="AK154" s="705"/>
      <c r="AL154" s="705"/>
      <c r="AM154" s="705"/>
    </row>
    <row r="155" spans="1:39">
      <c r="A155" s="1131">
        <v>64</v>
      </c>
      <c r="B155" s="301" t="s">
        <v>4794</v>
      </c>
      <c r="C155" s="1301" t="s">
        <v>20</v>
      </c>
      <c r="D155" s="1832" t="s">
        <v>4795</v>
      </c>
      <c r="E155" s="1845" t="s">
        <v>4796</v>
      </c>
      <c r="F155" s="18" t="s">
        <v>759</v>
      </c>
      <c r="G155" s="284" t="s">
        <v>77</v>
      </c>
      <c r="H155" s="275"/>
      <c r="I155" s="432">
        <v>9614156565</v>
      </c>
      <c r="J155" s="1835"/>
      <c r="K155" s="274" t="s">
        <v>253</v>
      </c>
      <c r="L155" s="274" t="s">
        <v>54</v>
      </c>
      <c r="M155" s="272">
        <v>32070</v>
      </c>
      <c r="N155" s="272">
        <v>53996</v>
      </c>
      <c r="O155" s="277">
        <v>45352</v>
      </c>
      <c r="P155" s="315">
        <v>46106</v>
      </c>
      <c r="Q155" s="302">
        <v>45977</v>
      </c>
      <c r="R155" s="1592" t="s">
        <v>4797</v>
      </c>
      <c r="S155" s="1833"/>
      <c r="T155" s="1778"/>
      <c r="U155" s="1778"/>
      <c r="V155" s="1778"/>
      <c r="W155" s="282">
        <f t="shared" ca="1" si="34"/>
        <v>38</v>
      </c>
      <c r="X155" s="704"/>
      <c r="Y155" s="79"/>
      <c r="Z155" s="79"/>
      <c r="AA155" s="79"/>
    </row>
    <row r="156" spans="1:39" ht="15.75">
      <c r="A156" s="1131">
        <v>65</v>
      </c>
      <c r="B156" s="351" t="s">
        <v>4798</v>
      </c>
      <c r="C156" s="274" t="s">
        <v>21</v>
      </c>
      <c r="D156" s="1781" t="s">
        <v>4799</v>
      </c>
      <c r="E156" s="274" t="s">
        <v>4800</v>
      </c>
      <c r="F156" s="1007" t="s">
        <v>759</v>
      </c>
      <c r="G156" s="274" t="s">
        <v>76</v>
      </c>
      <c r="H156" s="275"/>
      <c r="I156" s="275">
        <v>9903078285</v>
      </c>
      <c r="J156" s="275"/>
      <c r="K156" s="274" t="s">
        <v>253</v>
      </c>
      <c r="L156" s="274" t="s">
        <v>65</v>
      </c>
      <c r="M156" s="272">
        <v>34355</v>
      </c>
      <c r="N156" s="272">
        <v>56280</v>
      </c>
      <c r="O156" s="320">
        <v>46538</v>
      </c>
      <c r="P156" s="272">
        <v>46075</v>
      </c>
      <c r="Q156" s="419">
        <v>45948</v>
      </c>
      <c r="R156" s="281" t="s">
        <v>4801</v>
      </c>
      <c r="S156" s="285"/>
      <c r="T156" s="317"/>
      <c r="U156" s="285"/>
      <c r="V156" s="79">
        <f t="shared" ref="V156:V159" si="35">LEN(D156)</f>
        <v>11</v>
      </c>
      <c r="X156" s="208">
        <f ca="1">INT((TODAY()-M156)/365)</f>
        <v>32</v>
      </c>
      <c r="Y156" s="311"/>
      <c r="Z156" s="311"/>
      <c r="AA156" s="311"/>
      <c r="AB156" s="311"/>
    </row>
    <row r="157" spans="1:39" ht="15.75" customHeight="1">
      <c r="A157" s="1131">
        <v>70</v>
      </c>
      <c r="B157" s="351" t="s">
        <v>4802</v>
      </c>
      <c r="C157" s="405" t="s">
        <v>21</v>
      </c>
      <c r="D157" s="1781" t="s">
        <v>4803</v>
      </c>
      <c r="E157" s="491" t="s">
        <v>4804</v>
      </c>
      <c r="F157" s="674" t="s">
        <v>759</v>
      </c>
      <c r="G157" s="274" t="s">
        <v>76</v>
      </c>
      <c r="H157" s="275"/>
      <c r="I157" s="275">
        <v>9038676745</v>
      </c>
      <c r="J157" s="275">
        <v>9038676745</v>
      </c>
      <c r="K157" s="274" t="s">
        <v>253</v>
      </c>
      <c r="L157" s="274" t="s">
        <v>65</v>
      </c>
      <c r="M157" s="272">
        <v>34519</v>
      </c>
      <c r="N157" s="272">
        <v>56461</v>
      </c>
      <c r="O157" s="320">
        <v>45130</v>
      </c>
      <c r="P157" s="272">
        <v>46074</v>
      </c>
      <c r="Q157" s="419">
        <v>45980</v>
      </c>
      <c r="R157" s="281" t="s">
        <v>4805</v>
      </c>
      <c r="S157" s="281" t="s">
        <v>4806</v>
      </c>
      <c r="T157" s="280"/>
      <c r="U157" s="280"/>
      <c r="V157" s="280">
        <f t="shared" si="35"/>
        <v>11</v>
      </c>
      <c r="W157" s="208">
        <f t="shared" ref="W157:W159" ca="1" si="36">INT((TODAY()-M157)/365)</f>
        <v>31</v>
      </c>
      <c r="X157" s="79"/>
      <c r="Y157" s="395"/>
      <c r="Z157" s="79"/>
      <c r="AA157" s="383"/>
      <c r="AB157" s="282"/>
      <c r="AC157" s="383"/>
      <c r="AD157" s="383"/>
      <c r="AE157" s="383"/>
      <c r="AF157" s="383"/>
      <c r="AG157" s="383"/>
      <c r="AH157" s="383"/>
      <c r="AI157" s="384"/>
      <c r="AJ157" s="384"/>
      <c r="AK157" s="384"/>
      <c r="AL157" s="384"/>
      <c r="AM157" s="384"/>
    </row>
    <row r="158" spans="1:39" ht="15.75" customHeight="1">
      <c r="A158" s="1131">
        <v>71</v>
      </c>
      <c r="B158" s="301" t="s">
        <v>4807</v>
      </c>
      <c r="C158" s="405" t="s">
        <v>21</v>
      </c>
      <c r="D158" s="1781" t="s">
        <v>4808</v>
      </c>
      <c r="E158" s="491" t="s">
        <v>4809</v>
      </c>
      <c r="F158" s="674" t="s">
        <v>759</v>
      </c>
      <c r="G158" s="274" t="s">
        <v>76</v>
      </c>
      <c r="H158" s="275"/>
      <c r="I158" s="275">
        <v>9123965342</v>
      </c>
      <c r="J158" s="3"/>
      <c r="K158" s="274" t="s">
        <v>253</v>
      </c>
      <c r="L158" s="274" t="s">
        <v>65</v>
      </c>
      <c r="M158" s="272">
        <v>33910</v>
      </c>
      <c r="N158" s="272">
        <v>55853</v>
      </c>
      <c r="O158" s="320">
        <v>46531</v>
      </c>
      <c r="P158" s="272">
        <v>46074</v>
      </c>
      <c r="Q158" s="419">
        <v>46004</v>
      </c>
      <c r="R158" s="281" t="s">
        <v>4810</v>
      </c>
      <c r="S158" s="280"/>
      <c r="T158" s="280"/>
      <c r="U158" s="280"/>
      <c r="V158" s="280">
        <f t="shared" si="35"/>
        <v>11</v>
      </c>
      <c r="W158" s="208">
        <f t="shared" ca="1" si="36"/>
        <v>33</v>
      </c>
      <c r="X158" s="79"/>
      <c r="Y158" s="79"/>
      <c r="Z158" s="79"/>
      <c r="AA158" s="79"/>
      <c r="AB158" s="79"/>
      <c r="AC158" s="79"/>
      <c r="AD158" s="79"/>
      <c r="AE158" s="79"/>
    </row>
    <row r="159" spans="1:39" ht="15.75" customHeight="1">
      <c r="A159" s="1131">
        <v>72</v>
      </c>
      <c r="B159" s="301" t="s">
        <v>4811</v>
      </c>
      <c r="C159" s="405" t="s">
        <v>21</v>
      </c>
      <c r="D159" s="1781" t="s">
        <v>4812</v>
      </c>
      <c r="E159" s="540" t="s">
        <v>4813</v>
      </c>
      <c r="F159" s="970" t="s">
        <v>759</v>
      </c>
      <c r="G159" s="274" t="s">
        <v>76</v>
      </c>
      <c r="H159" s="275"/>
      <c r="I159" s="275">
        <v>8906163223</v>
      </c>
      <c r="J159" s="275"/>
      <c r="K159" s="274" t="s">
        <v>253</v>
      </c>
      <c r="L159" s="274" t="s">
        <v>65</v>
      </c>
      <c r="M159" s="272">
        <v>34551</v>
      </c>
      <c r="N159" s="272">
        <v>56492</v>
      </c>
      <c r="O159" s="320">
        <v>45111</v>
      </c>
      <c r="P159" s="418">
        <v>45905</v>
      </c>
      <c r="Q159" s="418">
        <v>45916</v>
      </c>
      <c r="R159" s="281" t="s">
        <v>4814</v>
      </c>
      <c r="S159" s="280"/>
      <c r="T159" s="280"/>
      <c r="U159" s="280"/>
      <c r="V159" s="280">
        <f t="shared" si="35"/>
        <v>11</v>
      </c>
      <c r="W159" s="282">
        <f t="shared" ca="1" si="36"/>
        <v>31</v>
      </c>
      <c r="Y159" s="79"/>
      <c r="Z159" s="79"/>
      <c r="AA159" s="79"/>
    </row>
    <row r="160" spans="1:39">
      <c r="A160" s="944">
        <v>1</v>
      </c>
      <c r="B160" s="1776" t="s">
        <v>4815</v>
      </c>
      <c r="C160" s="1301" t="s">
        <v>20</v>
      </c>
      <c r="D160" s="427" t="s">
        <v>4816</v>
      </c>
      <c r="E160" s="527" t="s">
        <v>4817</v>
      </c>
      <c r="F160" s="274" t="s">
        <v>759</v>
      </c>
      <c r="G160" s="18" t="s">
        <v>77</v>
      </c>
      <c r="H160" s="275"/>
      <c r="I160" s="432">
        <v>9262583166</v>
      </c>
      <c r="J160" s="433"/>
      <c r="K160" s="274" t="s">
        <v>253</v>
      </c>
      <c r="L160" s="274" t="s">
        <v>65</v>
      </c>
      <c r="M160" s="418">
        <v>35151</v>
      </c>
      <c r="N160" s="418">
        <v>57070</v>
      </c>
      <c r="O160" s="320">
        <v>46551</v>
      </c>
      <c r="P160" s="272">
        <v>46178</v>
      </c>
      <c r="Q160" s="272">
        <v>46004</v>
      </c>
      <c r="R160" s="281" t="s">
        <v>4818</v>
      </c>
      <c r="S160" s="281" t="s">
        <v>4819</v>
      </c>
      <c r="T160" s="280"/>
      <c r="U160" s="280"/>
      <c r="V160" s="79"/>
      <c r="W160" s="79"/>
      <c r="X160" s="282">
        <f t="shared" ref="X160:X161" ca="1" si="37">INT((TODAY()-M160)/365)</f>
        <v>29</v>
      </c>
      <c r="Y160" s="382"/>
      <c r="Z160" s="382"/>
      <c r="AA160" s="311"/>
      <c r="AB160" s="311"/>
    </row>
    <row r="161" spans="1:39">
      <c r="A161" s="944">
        <v>58</v>
      </c>
      <c r="B161" s="426" t="s">
        <v>4820</v>
      </c>
      <c r="C161" s="1301" t="s">
        <v>20</v>
      </c>
      <c r="D161" s="427" t="s">
        <v>4821</v>
      </c>
      <c r="E161" s="620" t="s">
        <v>4822</v>
      </c>
      <c r="F161" s="18" t="s">
        <v>759</v>
      </c>
      <c r="G161" s="18" t="s">
        <v>77</v>
      </c>
      <c r="H161" s="275"/>
      <c r="I161" s="432">
        <v>9668508350</v>
      </c>
      <c r="J161" s="3"/>
      <c r="K161" s="274" t="s">
        <v>253</v>
      </c>
      <c r="L161" s="274" t="s">
        <v>65</v>
      </c>
      <c r="M161" s="418">
        <v>29221</v>
      </c>
      <c r="N161" s="418">
        <v>51135</v>
      </c>
      <c r="O161" s="320">
        <v>45489</v>
      </c>
      <c r="P161" s="418">
        <v>45738</v>
      </c>
      <c r="Q161" s="418">
        <v>45633</v>
      </c>
      <c r="R161" s="281" t="s">
        <v>4823</v>
      </c>
      <c r="S161" s="281" t="s">
        <v>4824</v>
      </c>
      <c r="T161" s="280"/>
      <c r="U161" s="280"/>
      <c r="V161" s="79"/>
      <c r="W161" s="79"/>
      <c r="X161" s="282">
        <f t="shared" ca="1" si="37"/>
        <v>46</v>
      </c>
      <c r="Y161" s="382"/>
      <c r="Z161" s="382"/>
      <c r="AA161" s="382"/>
      <c r="AB161" s="311"/>
    </row>
    <row r="162" spans="1:39" ht="15.75" customHeight="1">
      <c r="A162" s="944">
        <v>25</v>
      </c>
      <c r="B162" s="954" t="s">
        <v>4825</v>
      </c>
      <c r="C162" s="1301" t="s">
        <v>20</v>
      </c>
      <c r="D162" s="833" t="s">
        <v>4826</v>
      </c>
      <c r="E162" s="620" t="s">
        <v>4827</v>
      </c>
      <c r="F162" s="674" t="s">
        <v>759</v>
      </c>
      <c r="G162" s="1133" t="s">
        <v>77</v>
      </c>
      <c r="H162" s="275"/>
      <c r="I162" s="941">
        <v>918247087827</v>
      </c>
      <c r="J162" s="1846"/>
      <c r="K162" s="274" t="s">
        <v>253</v>
      </c>
      <c r="L162" s="274" t="s">
        <v>65</v>
      </c>
      <c r="M162" s="272">
        <v>30818</v>
      </c>
      <c r="N162" s="418">
        <v>52748</v>
      </c>
      <c r="O162" s="418">
        <v>45140</v>
      </c>
      <c r="P162" s="418">
        <v>45388</v>
      </c>
      <c r="Q162" s="302">
        <v>45248</v>
      </c>
      <c r="R162" s="603" t="s">
        <v>4828</v>
      </c>
      <c r="S162" s="486" t="s">
        <v>4829</v>
      </c>
      <c r="T162" s="485"/>
      <c r="U162" s="485"/>
      <c r="V162" s="485"/>
      <c r="W162" s="282">
        <f ca="1">INT((TODAY()-M162)/365)</f>
        <v>41</v>
      </c>
      <c r="X162" s="311"/>
      <c r="Y162" s="311"/>
      <c r="Z162" s="311"/>
      <c r="AA162" s="311"/>
      <c r="AB162" s="311"/>
      <c r="AC162" s="311"/>
      <c r="AD162" s="311"/>
      <c r="AE162" s="311"/>
      <c r="AF162" s="311"/>
      <c r="AG162" s="311"/>
      <c r="AH162" s="311"/>
      <c r="AI162" s="311"/>
      <c r="AJ162" s="311"/>
      <c r="AK162" s="311"/>
      <c r="AL162" s="311"/>
      <c r="AM162" s="311"/>
    </row>
    <row r="163" spans="1:39" ht="15.75" customHeight="1">
      <c r="A163" s="944">
        <v>53</v>
      </c>
      <c r="B163" s="426" t="s">
        <v>4830</v>
      </c>
      <c r="C163" s="1301" t="s">
        <v>20</v>
      </c>
      <c r="D163" s="427" t="s">
        <v>4831</v>
      </c>
      <c r="E163" s="1847" t="s">
        <v>4832</v>
      </c>
      <c r="F163" s="674" t="s">
        <v>759</v>
      </c>
      <c r="G163" s="18" t="s">
        <v>77</v>
      </c>
      <c r="H163" s="275"/>
      <c r="I163" s="432">
        <v>9398099661</v>
      </c>
      <c r="J163" s="275"/>
      <c r="K163" s="274" t="s">
        <v>253</v>
      </c>
      <c r="L163" s="274" t="s">
        <v>65</v>
      </c>
      <c r="M163" s="418">
        <v>32690</v>
      </c>
      <c r="N163" s="418">
        <v>54635</v>
      </c>
      <c r="O163" s="428">
        <v>45963</v>
      </c>
      <c r="P163" s="418">
        <v>45748</v>
      </c>
      <c r="Q163" s="418">
        <v>45693</v>
      </c>
      <c r="R163" s="281" t="s">
        <v>4833</v>
      </c>
      <c r="S163" s="281" t="s">
        <v>4834</v>
      </c>
      <c r="T163" s="280"/>
      <c r="U163" s="280"/>
      <c r="V163" s="280"/>
      <c r="W163" s="79"/>
      <c r="X163" s="282">
        <f t="shared" ref="X163:X164" ca="1" si="38">INT((TODAY()-M163)/365)</f>
        <v>36</v>
      </c>
      <c r="Y163" s="79"/>
      <c r="Z163" s="79"/>
      <c r="AA163" s="79"/>
      <c r="AC163" s="311"/>
      <c r="AD163" s="311"/>
      <c r="AE163" s="311"/>
      <c r="AF163" s="311"/>
      <c r="AG163" s="311"/>
      <c r="AH163" s="311"/>
      <c r="AI163" s="311"/>
      <c r="AJ163" s="311"/>
      <c r="AK163" s="311"/>
      <c r="AL163" s="311"/>
      <c r="AM163" s="311"/>
    </row>
    <row r="164" spans="1:39" ht="15.75">
      <c r="A164" s="944">
        <v>49</v>
      </c>
      <c r="B164" s="426" t="s">
        <v>4835</v>
      </c>
      <c r="C164" s="1301" t="s">
        <v>20</v>
      </c>
      <c r="D164" s="427" t="s">
        <v>4836</v>
      </c>
      <c r="E164" s="18" t="s">
        <v>4837</v>
      </c>
      <c r="F164" s="1007" t="s">
        <v>759</v>
      </c>
      <c r="G164" s="18" t="s">
        <v>77</v>
      </c>
      <c r="H164" s="275"/>
      <c r="I164" s="432">
        <v>9733354555</v>
      </c>
      <c r="J164" s="433"/>
      <c r="K164" s="274" t="s">
        <v>253</v>
      </c>
      <c r="L164" s="274" t="s">
        <v>65</v>
      </c>
      <c r="M164" s="418">
        <v>31121</v>
      </c>
      <c r="N164" s="418">
        <v>53052</v>
      </c>
      <c r="O164" s="428">
        <v>45963</v>
      </c>
      <c r="P164" s="418">
        <v>46150</v>
      </c>
      <c r="Q164" s="418">
        <v>46117</v>
      </c>
      <c r="R164" s="281" t="s">
        <v>4838</v>
      </c>
      <c r="S164" s="281" t="s">
        <v>4839</v>
      </c>
      <c r="T164" s="280"/>
      <c r="U164" s="280"/>
      <c r="V164" s="79"/>
      <c r="X164" s="208">
        <f t="shared" ca="1" si="38"/>
        <v>41</v>
      </c>
      <c r="Y164" s="311"/>
      <c r="Z164" s="311"/>
      <c r="AA164" s="311"/>
      <c r="AB164" s="311"/>
    </row>
    <row r="165" spans="1:39" ht="15.75" customHeight="1">
      <c r="A165" s="980">
        <v>15</v>
      </c>
      <c r="B165" s="301" t="s">
        <v>4840</v>
      </c>
      <c r="C165" s="405" t="s">
        <v>21</v>
      </c>
      <c r="D165" s="1646" t="s">
        <v>4841</v>
      </c>
      <c r="E165" s="1120" t="s">
        <v>4842</v>
      </c>
      <c r="F165" s="274" t="s">
        <v>759</v>
      </c>
      <c r="G165" s="284" t="s">
        <v>78</v>
      </c>
      <c r="H165" s="391"/>
      <c r="I165" s="284">
        <v>9433756067</v>
      </c>
      <c r="J165" s="284"/>
      <c r="K165" s="274" t="s">
        <v>253</v>
      </c>
      <c r="L165" s="274" t="s">
        <v>50</v>
      </c>
      <c r="M165" s="272">
        <v>30693</v>
      </c>
      <c r="N165" s="272">
        <v>52627</v>
      </c>
      <c r="O165" s="400">
        <v>45108</v>
      </c>
      <c r="P165" s="279">
        <v>45425</v>
      </c>
      <c r="Q165" s="302">
        <v>45425</v>
      </c>
      <c r="R165" s="403"/>
      <c r="S165" s="393"/>
      <c r="T165" s="403"/>
      <c r="U165" s="393"/>
      <c r="V165" s="383"/>
      <c r="W165" s="395"/>
    </row>
    <row r="166" spans="1:39" ht="15.75" customHeight="1">
      <c r="A166" s="944">
        <v>55</v>
      </c>
      <c r="B166" s="426" t="s">
        <v>4843</v>
      </c>
      <c r="C166" s="1121" t="s">
        <v>21</v>
      </c>
      <c r="D166" s="427" t="s">
        <v>4844</v>
      </c>
      <c r="E166" s="1136" t="s">
        <v>4845</v>
      </c>
      <c r="F166" s="674" t="s">
        <v>759</v>
      </c>
      <c r="G166" s="18" t="s">
        <v>77</v>
      </c>
      <c r="H166" s="275"/>
      <c r="I166" s="475">
        <v>919333221435</v>
      </c>
      <c r="J166" s="433"/>
      <c r="K166" s="274" t="s">
        <v>253</v>
      </c>
      <c r="L166" s="274" t="s">
        <v>65</v>
      </c>
      <c r="M166" s="418">
        <v>28856</v>
      </c>
      <c r="N166" s="418">
        <v>50770</v>
      </c>
      <c r="O166" s="428">
        <v>45292</v>
      </c>
      <c r="P166" s="418">
        <v>45176</v>
      </c>
      <c r="Q166" s="418">
        <v>45977</v>
      </c>
      <c r="R166" s="281" t="s">
        <v>4846</v>
      </c>
      <c r="S166" s="281" t="s">
        <v>4847</v>
      </c>
      <c r="T166" s="280"/>
      <c r="U166" s="280"/>
      <c r="V166" s="280"/>
      <c r="W166" s="282">
        <f ca="1">INT((TODAY()-M166)/365)</f>
        <v>47</v>
      </c>
      <c r="X166" s="79"/>
      <c r="Y166" s="79"/>
      <c r="Z166" s="79"/>
      <c r="AA166" s="79"/>
    </row>
    <row r="167" spans="1:39" ht="15.75" customHeight="1">
      <c r="A167" s="944">
        <v>57</v>
      </c>
      <c r="B167" s="426" t="s">
        <v>4848</v>
      </c>
      <c r="C167" s="1121" t="s">
        <v>21</v>
      </c>
      <c r="D167" s="427" t="s">
        <v>4849</v>
      </c>
      <c r="E167" s="1053" t="s">
        <v>4850</v>
      </c>
      <c r="F167" s="946" t="s">
        <v>759</v>
      </c>
      <c r="G167" s="18" t="s">
        <v>77</v>
      </c>
      <c r="H167" s="275"/>
      <c r="I167" s="475">
        <v>919147917985</v>
      </c>
      <c r="J167" s="3"/>
      <c r="K167" s="274" t="s">
        <v>253</v>
      </c>
      <c r="L167" s="274" t="s">
        <v>65</v>
      </c>
      <c r="M167" s="418">
        <v>30735</v>
      </c>
      <c r="N167" s="418">
        <v>52655</v>
      </c>
      <c r="O167" s="428">
        <v>45259</v>
      </c>
      <c r="P167" s="418">
        <v>45709</v>
      </c>
      <c r="Q167" s="418">
        <v>45154</v>
      </c>
      <c r="R167" s="280"/>
      <c r="S167" s="281" t="s">
        <v>4851</v>
      </c>
      <c r="T167" s="281" t="s">
        <v>4852</v>
      </c>
      <c r="U167" s="280"/>
      <c r="V167" s="285"/>
      <c r="W167" s="79"/>
      <c r="X167" s="79"/>
      <c r="Y167" s="79"/>
      <c r="Z167" s="79"/>
      <c r="AA167" s="79"/>
      <c r="AB167" s="311">
        <f ca="1">INT((TODAY()-M167)/365)</f>
        <v>42</v>
      </c>
      <c r="AC167" s="311"/>
      <c r="AD167" s="311"/>
      <c r="AE167" s="311"/>
      <c r="AF167" s="311"/>
      <c r="AG167" s="311"/>
      <c r="AH167" s="311"/>
      <c r="AI167" s="311"/>
      <c r="AJ167" s="311"/>
      <c r="AK167" s="311"/>
      <c r="AL167" s="311"/>
      <c r="AM167" s="311"/>
    </row>
    <row r="168" spans="1:39" ht="15.75" customHeight="1">
      <c r="A168" s="944">
        <v>59</v>
      </c>
      <c r="B168" s="426" t="s">
        <v>4853</v>
      </c>
      <c r="C168" s="1121" t="s">
        <v>21</v>
      </c>
      <c r="D168" s="427" t="s">
        <v>4854</v>
      </c>
      <c r="E168" s="137" t="s">
        <v>4855</v>
      </c>
      <c r="F168" s="674" t="s">
        <v>759</v>
      </c>
      <c r="G168" s="18" t="s">
        <v>77</v>
      </c>
      <c r="H168" s="275"/>
      <c r="I168" s="475">
        <v>919007334855</v>
      </c>
      <c r="J168" s="1848"/>
      <c r="K168" s="274" t="s">
        <v>253</v>
      </c>
      <c r="L168" s="274" t="s">
        <v>65</v>
      </c>
      <c r="M168" s="418">
        <v>29064</v>
      </c>
      <c r="N168" s="418">
        <v>50617</v>
      </c>
      <c r="O168" s="428">
        <v>45501</v>
      </c>
      <c r="P168" s="418">
        <v>46178</v>
      </c>
      <c r="Q168" s="418">
        <v>46117</v>
      </c>
      <c r="R168" s="281" t="s">
        <v>4856</v>
      </c>
      <c r="S168" s="281" t="s">
        <v>4857</v>
      </c>
      <c r="T168" s="280"/>
      <c r="U168" s="280"/>
      <c r="V168" s="280"/>
      <c r="W168" s="79"/>
      <c r="X168" s="282">
        <f ca="1">INT((TODAY()-M168)/365)</f>
        <v>46</v>
      </c>
      <c r="Y168" s="79"/>
      <c r="Z168" s="79"/>
      <c r="AA168" s="79"/>
      <c r="AC168" s="311"/>
      <c r="AD168" s="311"/>
      <c r="AE168" s="311"/>
      <c r="AF168" s="311"/>
      <c r="AG168" s="311"/>
      <c r="AH168" s="311"/>
      <c r="AI168" s="311"/>
      <c r="AJ168" s="311"/>
      <c r="AK168" s="311"/>
      <c r="AL168" s="311"/>
      <c r="AM168" s="311"/>
    </row>
    <row r="169" spans="1:39" ht="15.75" customHeight="1">
      <c r="A169" s="944">
        <v>60</v>
      </c>
      <c r="B169" s="426" t="s">
        <v>4858</v>
      </c>
      <c r="C169" s="1121" t="s">
        <v>21</v>
      </c>
      <c r="D169" s="427" t="s">
        <v>4859</v>
      </c>
      <c r="E169" s="1136" t="s">
        <v>4860</v>
      </c>
      <c r="F169" s="674" t="s">
        <v>759</v>
      </c>
      <c r="G169" s="18" t="s">
        <v>76</v>
      </c>
      <c r="H169" s="275"/>
      <c r="I169" s="432">
        <v>9804210355</v>
      </c>
      <c r="J169" s="433"/>
      <c r="K169" s="274" t="s">
        <v>253</v>
      </c>
      <c r="L169" s="274" t="s">
        <v>65</v>
      </c>
      <c r="M169" s="418">
        <v>32679</v>
      </c>
      <c r="N169" s="418">
        <v>54604</v>
      </c>
      <c r="O169" s="320">
        <v>46546</v>
      </c>
      <c r="P169" s="272">
        <v>46178</v>
      </c>
      <c r="Q169" s="272">
        <v>46004</v>
      </c>
      <c r="R169" s="281" t="s">
        <v>4861</v>
      </c>
      <c r="S169" s="281" t="s">
        <v>4862</v>
      </c>
      <c r="T169" s="280"/>
      <c r="U169" s="280"/>
      <c r="V169" s="280"/>
      <c r="W169" s="282">
        <f t="shared" ref="W169:W171" ca="1" si="39">INT((TODAY()-M169)/365)</f>
        <v>36</v>
      </c>
      <c r="X169" s="79"/>
      <c r="Y169" s="79"/>
      <c r="Z169" s="79"/>
      <c r="AA169" s="79"/>
      <c r="AC169" s="311"/>
      <c r="AD169" s="311"/>
      <c r="AE169" s="311"/>
      <c r="AF169" s="311"/>
      <c r="AG169" s="311"/>
      <c r="AH169" s="311"/>
      <c r="AI169" s="311"/>
      <c r="AJ169" s="311"/>
      <c r="AK169" s="311"/>
      <c r="AL169" s="311"/>
      <c r="AM169" s="311"/>
    </row>
    <row r="170" spans="1:39" ht="15.75" customHeight="1">
      <c r="A170" s="944">
        <v>43</v>
      </c>
      <c r="B170" s="426" t="s">
        <v>4863</v>
      </c>
      <c r="C170" s="1121" t="s">
        <v>21</v>
      </c>
      <c r="D170" s="427" t="s">
        <v>4864</v>
      </c>
      <c r="E170" s="1136" t="s">
        <v>4865</v>
      </c>
      <c r="F170" s="674" t="s">
        <v>759</v>
      </c>
      <c r="G170" s="18" t="s">
        <v>78</v>
      </c>
      <c r="H170" s="275"/>
      <c r="I170" s="475">
        <v>918560049231</v>
      </c>
      <c r="J170" s="3"/>
      <c r="K170" s="274" t="s">
        <v>253</v>
      </c>
      <c r="L170" s="274" t="s">
        <v>55</v>
      </c>
      <c r="M170" s="440">
        <v>34571</v>
      </c>
      <c r="N170" s="418">
        <v>56492</v>
      </c>
      <c r="O170" s="428">
        <v>45127</v>
      </c>
      <c r="P170" s="418">
        <v>45459</v>
      </c>
      <c r="Q170" s="418">
        <v>45513</v>
      </c>
      <c r="R170" s="281" t="s">
        <v>4866</v>
      </c>
      <c r="S170" s="281" t="s">
        <v>4867</v>
      </c>
      <c r="T170" s="280"/>
      <c r="U170" s="280"/>
      <c r="V170" s="280"/>
      <c r="W170" s="282">
        <f t="shared" ca="1" si="39"/>
        <v>31</v>
      </c>
      <c r="X170" s="79"/>
      <c r="Y170" s="395"/>
      <c r="Z170" s="79"/>
      <c r="AA170" s="383"/>
      <c r="AB170" s="208"/>
      <c r="AC170" s="384"/>
      <c r="AD170" s="384"/>
      <c r="AE170" s="384"/>
      <c r="AF170" s="384"/>
      <c r="AG170" s="384"/>
      <c r="AH170" s="384"/>
      <c r="AI170" s="384"/>
      <c r="AJ170" s="384"/>
      <c r="AK170" s="384"/>
      <c r="AL170" s="384"/>
      <c r="AM170" s="384"/>
    </row>
    <row r="171" spans="1:39" ht="15.75" customHeight="1">
      <c r="A171" s="944">
        <v>51</v>
      </c>
      <c r="B171" s="286" t="s">
        <v>4868</v>
      </c>
      <c r="C171" s="1121" t="s">
        <v>21</v>
      </c>
      <c r="D171" s="427" t="s">
        <v>4869</v>
      </c>
      <c r="E171" s="1136" t="s">
        <v>4870</v>
      </c>
      <c r="F171" s="674" t="s">
        <v>759</v>
      </c>
      <c r="G171" s="18" t="s">
        <v>76</v>
      </c>
      <c r="H171" s="275"/>
      <c r="I171" s="475">
        <v>919147917993</v>
      </c>
      <c r="J171" s="3"/>
      <c r="K171" s="274" t="s">
        <v>253</v>
      </c>
      <c r="L171" s="274" t="s">
        <v>299</v>
      </c>
      <c r="M171" s="418">
        <v>31945</v>
      </c>
      <c r="N171" s="418">
        <v>53873</v>
      </c>
      <c r="O171" s="428">
        <v>45959</v>
      </c>
      <c r="P171" s="272">
        <v>45653</v>
      </c>
      <c r="Q171" s="418">
        <v>45636</v>
      </c>
      <c r="R171" s="281" t="s">
        <v>4871</v>
      </c>
      <c r="S171" s="1363" t="s">
        <v>4872</v>
      </c>
      <c r="T171" s="281" t="s">
        <v>4873</v>
      </c>
      <c r="U171" s="280"/>
      <c r="V171" s="280"/>
      <c r="W171" s="282">
        <f t="shared" ca="1" si="39"/>
        <v>38</v>
      </c>
      <c r="X171" s="79"/>
      <c r="Y171" s="79"/>
      <c r="Z171" s="79"/>
      <c r="AA171" s="79"/>
    </row>
    <row r="172" spans="1:39" ht="15.75" customHeight="1">
      <c r="A172" s="944">
        <v>46</v>
      </c>
      <c r="B172" s="426" t="s">
        <v>4874</v>
      </c>
      <c r="C172" s="1121" t="s">
        <v>21</v>
      </c>
      <c r="D172" s="427" t="s">
        <v>4875</v>
      </c>
      <c r="E172" s="1019" t="s">
        <v>4876</v>
      </c>
      <c r="F172" s="946" t="s">
        <v>759</v>
      </c>
      <c r="G172" s="18" t="s">
        <v>76</v>
      </c>
      <c r="H172" s="275"/>
      <c r="I172" s="475">
        <v>917978417713</v>
      </c>
      <c r="J172" s="3"/>
      <c r="K172" s="274" t="s">
        <v>253</v>
      </c>
      <c r="L172" s="274" t="s">
        <v>50</v>
      </c>
      <c r="M172" s="418">
        <v>32645</v>
      </c>
      <c r="N172" s="440">
        <v>54574</v>
      </c>
      <c r="O172" s="418">
        <v>45228</v>
      </c>
      <c r="P172" s="418">
        <v>45331</v>
      </c>
      <c r="Q172" s="418">
        <v>45293</v>
      </c>
      <c r="R172" s="280"/>
      <c r="S172" s="281" t="s">
        <v>4877</v>
      </c>
      <c r="T172" s="281" t="s">
        <v>4878</v>
      </c>
      <c r="U172" s="280"/>
      <c r="V172" s="285"/>
      <c r="W172" s="79"/>
      <c r="X172" s="79"/>
      <c r="Y172" s="79"/>
      <c r="Z172" s="79"/>
      <c r="AA172" s="79"/>
      <c r="AB172" s="311">
        <f ca="1">INT((TODAY()-M172)/365)</f>
        <v>36</v>
      </c>
    </row>
    <row r="173" spans="1:39" ht="15.75" customHeight="1">
      <c r="A173" s="1162">
        <v>2</v>
      </c>
      <c r="B173" s="351" t="s">
        <v>4879</v>
      </c>
      <c r="C173" s="1121" t="s">
        <v>31</v>
      </c>
      <c r="D173" s="1820" t="s">
        <v>4880</v>
      </c>
      <c r="E173" s="303" t="s">
        <v>4881</v>
      </c>
      <c r="F173" s="274" t="s">
        <v>759</v>
      </c>
      <c r="G173" s="274" t="s">
        <v>76</v>
      </c>
      <c r="H173" s="274" t="s">
        <v>266</v>
      </c>
      <c r="I173" s="275">
        <v>9002071732</v>
      </c>
      <c r="J173" s="275"/>
      <c r="K173" s="307" t="s">
        <v>253</v>
      </c>
      <c r="L173" s="275" t="s">
        <v>44</v>
      </c>
      <c r="M173" s="272">
        <v>32459</v>
      </c>
      <c r="N173" s="272">
        <v>54392</v>
      </c>
      <c r="O173" s="320">
        <v>46060</v>
      </c>
      <c r="P173" s="272">
        <v>45305</v>
      </c>
      <c r="Q173" s="302">
        <v>45284</v>
      </c>
      <c r="R173" s="280"/>
      <c r="S173" s="280"/>
      <c r="T173" s="321" t="s">
        <v>4882</v>
      </c>
      <c r="U173" s="281" t="s">
        <v>4883</v>
      </c>
      <c r="V173" s="280"/>
      <c r="W173" s="208">
        <f ca="1">INT((TODAY()-M173)/365)</f>
        <v>37</v>
      </c>
    </row>
    <row r="174" spans="1:39" ht="15.75" customHeight="1">
      <c r="A174" s="1162">
        <v>4</v>
      </c>
      <c r="B174" s="276" t="s">
        <v>4884</v>
      </c>
      <c r="C174" s="405" t="s">
        <v>31</v>
      </c>
      <c r="D174" s="1460" t="s">
        <v>4885</v>
      </c>
      <c r="E174" s="1004" t="s">
        <v>4886</v>
      </c>
      <c r="F174" s="685" t="s">
        <v>759</v>
      </c>
      <c r="G174" s="337" t="s">
        <v>76</v>
      </c>
      <c r="H174" s="303" t="s">
        <v>279</v>
      </c>
      <c r="I174" s="307">
        <v>8420320071</v>
      </c>
      <c r="J174" s="307"/>
      <c r="K174" s="307" t="s">
        <v>253</v>
      </c>
      <c r="L174" s="274" t="s">
        <v>64</v>
      </c>
      <c r="M174" s="278">
        <v>29110</v>
      </c>
      <c r="N174" s="315">
        <v>51043</v>
      </c>
      <c r="O174" s="278">
        <v>45547</v>
      </c>
      <c r="P174" s="279">
        <v>45552</v>
      </c>
      <c r="Q174" s="915">
        <v>45453</v>
      </c>
      <c r="R174" s="285"/>
      <c r="S174" s="285"/>
      <c r="T174" s="318" t="s">
        <v>4887</v>
      </c>
      <c r="U174" s="318" t="s">
        <v>4888</v>
      </c>
      <c r="V174" s="285"/>
      <c r="W174" s="3"/>
      <c r="X174" s="3"/>
      <c r="Y174" s="3"/>
      <c r="Z174" s="79"/>
      <c r="AA174" s="79"/>
      <c r="AB174" s="311">
        <f ca="1">INT((TODAY()-M174)/365)</f>
        <v>46</v>
      </c>
    </row>
    <row r="175" spans="1:39" ht="15.75" customHeight="1">
      <c r="A175" s="1162">
        <v>5</v>
      </c>
      <c r="B175" s="351" t="s">
        <v>4889</v>
      </c>
      <c r="C175" s="405" t="s">
        <v>31</v>
      </c>
      <c r="D175" s="1820" t="s">
        <v>4890</v>
      </c>
      <c r="E175" s="303" t="s">
        <v>4891</v>
      </c>
      <c r="F175" s="274" t="s">
        <v>759</v>
      </c>
      <c r="G175" s="274" t="s">
        <v>78</v>
      </c>
      <c r="H175" s="274" t="s">
        <v>266</v>
      </c>
      <c r="I175" s="275">
        <v>9002071779</v>
      </c>
      <c r="J175" s="79"/>
      <c r="K175" s="307" t="s">
        <v>253</v>
      </c>
      <c r="L175" s="18" t="s">
        <v>64</v>
      </c>
      <c r="M175" s="272">
        <v>29294</v>
      </c>
      <c r="N175" s="272">
        <v>51226</v>
      </c>
      <c r="O175" s="320">
        <v>45730</v>
      </c>
      <c r="P175" s="272">
        <v>45776</v>
      </c>
      <c r="Q175" s="272">
        <v>45766</v>
      </c>
      <c r="R175" s="280"/>
      <c r="S175" s="280"/>
      <c r="T175" s="281" t="s">
        <v>4892</v>
      </c>
      <c r="U175" s="281" t="s">
        <v>4893</v>
      </c>
      <c r="V175" s="280">
        <f>LEN(D175)</f>
        <v>11</v>
      </c>
      <c r="W175" s="208">
        <f ca="1">INT((TODAY()-M175)/365)</f>
        <v>46</v>
      </c>
    </row>
    <row r="176" spans="1:39" ht="15.75" customHeight="1">
      <c r="A176" s="1162">
        <v>6</v>
      </c>
      <c r="B176" s="1849" t="s">
        <v>4894</v>
      </c>
      <c r="C176" s="405" t="s">
        <v>31</v>
      </c>
      <c r="D176" s="1815" t="s">
        <v>4895</v>
      </c>
      <c r="E176" s="620" t="s">
        <v>4896</v>
      </c>
      <c r="F176" s="685" t="s">
        <v>759</v>
      </c>
      <c r="G176" s="870" t="s">
        <v>77</v>
      </c>
      <c r="H176" s="303" t="s">
        <v>279</v>
      </c>
      <c r="I176" s="1817">
        <v>9002079730</v>
      </c>
      <c r="J176" s="1368">
        <v>9933852141</v>
      </c>
      <c r="K176" s="1817" t="s">
        <v>253</v>
      </c>
      <c r="L176" s="125" t="s">
        <v>54</v>
      </c>
      <c r="M176" s="315">
        <v>32679</v>
      </c>
      <c r="N176" s="315">
        <v>54604</v>
      </c>
      <c r="O176" s="315">
        <v>45833</v>
      </c>
      <c r="P176" s="315">
        <v>45748</v>
      </c>
      <c r="Q176" s="300">
        <v>45591</v>
      </c>
      <c r="R176" s="285"/>
      <c r="S176" s="285"/>
      <c r="T176" s="318" t="s">
        <v>4897</v>
      </c>
      <c r="U176" s="318" t="s">
        <v>4898</v>
      </c>
      <c r="V176" s="285"/>
      <c r="W176" s="90"/>
      <c r="X176" s="90"/>
      <c r="Y176" s="90"/>
      <c r="AB176" s="311">
        <f t="shared" ref="AB176:AB183" ca="1" si="40">INT((TODAY()-M176)/365)</f>
        <v>36</v>
      </c>
    </row>
    <row r="177" spans="1:39" ht="15.75" customHeight="1">
      <c r="A177" s="1162">
        <v>8</v>
      </c>
      <c r="B177" s="305" t="s">
        <v>4899</v>
      </c>
      <c r="C177" s="405" t="s">
        <v>31</v>
      </c>
      <c r="D177" s="1460" t="s">
        <v>4900</v>
      </c>
      <c r="E177" s="303" t="s">
        <v>4901</v>
      </c>
      <c r="F177" s="685" t="s">
        <v>759</v>
      </c>
      <c r="G177" s="337" t="s">
        <v>76</v>
      </c>
      <c r="H177" s="303" t="s">
        <v>279</v>
      </c>
      <c r="I177" s="307">
        <v>9002071874</v>
      </c>
      <c r="J177" s="307"/>
      <c r="K177" s="307" t="s">
        <v>253</v>
      </c>
      <c r="L177" s="274" t="s">
        <v>417</v>
      </c>
      <c r="M177" s="278">
        <v>27766</v>
      </c>
      <c r="N177" s="315">
        <v>49705</v>
      </c>
      <c r="O177" s="278">
        <v>45673</v>
      </c>
      <c r="P177" s="279">
        <v>45552</v>
      </c>
      <c r="Q177" s="272">
        <v>45509</v>
      </c>
      <c r="R177" s="285"/>
      <c r="S177" s="285"/>
      <c r="T177" s="318" t="s">
        <v>4902</v>
      </c>
      <c r="U177" s="318" t="s">
        <v>4903</v>
      </c>
      <c r="V177" s="285">
        <f t="shared" ref="V177:V181" si="41">LEN(D177)</f>
        <v>11</v>
      </c>
      <c r="W177" s="90"/>
      <c r="X177" s="90"/>
      <c r="Y177" s="90"/>
      <c r="AB177" s="311">
        <f t="shared" ca="1" si="40"/>
        <v>50</v>
      </c>
    </row>
    <row r="178" spans="1:39" ht="15.75" customHeight="1">
      <c r="A178" s="1162">
        <v>9</v>
      </c>
      <c r="B178" s="276" t="s">
        <v>4904</v>
      </c>
      <c r="C178" s="405" t="s">
        <v>31</v>
      </c>
      <c r="D178" s="1460" t="s">
        <v>4905</v>
      </c>
      <c r="E178" s="1218" t="s">
        <v>4906</v>
      </c>
      <c r="F178" s="685" t="s">
        <v>759</v>
      </c>
      <c r="G178" s="337" t="s">
        <v>78</v>
      </c>
      <c r="H178" s="303" t="s">
        <v>279</v>
      </c>
      <c r="I178" s="307">
        <v>9002071813</v>
      </c>
      <c r="J178" s="307">
        <v>9002071813</v>
      </c>
      <c r="K178" s="307" t="s">
        <v>253</v>
      </c>
      <c r="L178" s="125" t="s">
        <v>69</v>
      </c>
      <c r="M178" s="278">
        <v>27766</v>
      </c>
      <c r="N178" s="315">
        <v>49705</v>
      </c>
      <c r="O178" s="278">
        <v>45688</v>
      </c>
      <c r="P178" s="278">
        <v>46220</v>
      </c>
      <c r="Q178" s="302">
        <v>46050</v>
      </c>
      <c r="R178" s="285"/>
      <c r="S178" s="285"/>
      <c r="T178" s="318" t="s">
        <v>4907</v>
      </c>
      <c r="U178" s="318" t="s">
        <v>4907</v>
      </c>
      <c r="V178" s="285">
        <f t="shared" si="41"/>
        <v>11</v>
      </c>
      <c r="W178" s="3"/>
      <c r="X178" s="3"/>
      <c r="Y178" s="3"/>
      <c r="Z178" s="79"/>
      <c r="AA178" s="79"/>
      <c r="AB178" s="311">
        <f t="shared" ca="1" si="40"/>
        <v>50</v>
      </c>
    </row>
    <row r="179" spans="1:39" ht="15.75" customHeight="1">
      <c r="A179" s="1162">
        <v>10</v>
      </c>
      <c r="B179" s="276" t="s">
        <v>4908</v>
      </c>
      <c r="C179" s="405" t="s">
        <v>31</v>
      </c>
      <c r="D179" s="1458" t="s">
        <v>4909</v>
      </c>
      <c r="E179" s="421" t="s">
        <v>4910</v>
      </c>
      <c r="F179" s="685" t="s">
        <v>759</v>
      </c>
      <c r="G179" s="337" t="s">
        <v>76</v>
      </c>
      <c r="H179" s="303" t="s">
        <v>279</v>
      </c>
      <c r="I179" s="307">
        <v>9002071833</v>
      </c>
      <c r="J179" s="307">
        <v>9002071833</v>
      </c>
      <c r="K179" s="307" t="s">
        <v>253</v>
      </c>
      <c r="L179" s="274" t="s">
        <v>55</v>
      </c>
      <c r="M179" s="278">
        <v>31486</v>
      </c>
      <c r="N179" s="315">
        <v>53417</v>
      </c>
      <c r="O179" s="278">
        <v>46015</v>
      </c>
      <c r="P179" s="278">
        <v>45748</v>
      </c>
      <c r="Q179" s="302">
        <v>45649</v>
      </c>
      <c r="R179" s="285"/>
      <c r="S179" s="285"/>
      <c r="T179" s="318" t="s">
        <v>4911</v>
      </c>
      <c r="U179" s="318" t="s">
        <v>4912</v>
      </c>
      <c r="V179" s="285">
        <f t="shared" si="41"/>
        <v>11</v>
      </c>
      <c r="W179" s="3"/>
      <c r="X179" s="3"/>
      <c r="Y179" s="3"/>
      <c r="Z179" s="79"/>
      <c r="AA179" s="79"/>
      <c r="AB179" s="311">
        <f t="shared" ca="1" si="40"/>
        <v>40</v>
      </c>
    </row>
    <row r="180" spans="1:39" ht="18.75">
      <c r="A180" s="1162">
        <v>11</v>
      </c>
      <c r="B180" s="276" t="s">
        <v>4913</v>
      </c>
      <c r="C180" s="405" t="s">
        <v>31</v>
      </c>
      <c r="D180" s="1460" t="s">
        <v>4914</v>
      </c>
      <c r="E180" s="1004" t="s">
        <v>4915</v>
      </c>
      <c r="F180" s="685" t="s">
        <v>759</v>
      </c>
      <c r="G180" s="337" t="s">
        <v>76</v>
      </c>
      <c r="H180" s="303" t="s">
        <v>279</v>
      </c>
      <c r="I180" s="307">
        <v>8420320011</v>
      </c>
      <c r="J180" s="307">
        <v>8420320011</v>
      </c>
      <c r="K180" s="307" t="s">
        <v>253</v>
      </c>
      <c r="L180" s="398" t="s">
        <v>54</v>
      </c>
      <c r="M180" s="278">
        <v>30759</v>
      </c>
      <c r="N180" s="315">
        <v>52687</v>
      </c>
      <c r="O180" s="278">
        <v>46063</v>
      </c>
      <c r="P180" s="278">
        <v>46192</v>
      </c>
      <c r="Q180" s="272">
        <v>46202</v>
      </c>
      <c r="R180" s="285"/>
      <c r="S180" s="285"/>
      <c r="T180" s="285"/>
      <c r="U180" s="318" t="s">
        <v>4916</v>
      </c>
      <c r="V180" s="285">
        <f t="shared" si="41"/>
        <v>11</v>
      </c>
      <c r="W180" s="3"/>
      <c r="X180" s="3"/>
      <c r="Y180" s="3"/>
      <c r="Z180" s="79"/>
      <c r="AA180" s="79"/>
      <c r="AB180" s="311">
        <f t="shared" ca="1" si="40"/>
        <v>42</v>
      </c>
    </row>
    <row r="181" spans="1:39" ht="18.75">
      <c r="A181" s="1162">
        <v>12</v>
      </c>
      <c r="B181" s="276" t="s">
        <v>4917</v>
      </c>
      <c r="C181" s="405" t="s">
        <v>31</v>
      </c>
      <c r="D181" s="1458" t="s">
        <v>4918</v>
      </c>
      <c r="E181" s="303" t="s">
        <v>4919</v>
      </c>
      <c r="F181" s="685" t="s">
        <v>759</v>
      </c>
      <c r="G181" s="337" t="s">
        <v>76</v>
      </c>
      <c r="H181" s="303" t="s">
        <v>279</v>
      </c>
      <c r="I181" s="307">
        <v>9002071344</v>
      </c>
      <c r="J181" s="857">
        <v>9732908354</v>
      </c>
      <c r="K181" s="307" t="s">
        <v>253</v>
      </c>
      <c r="L181" s="18" t="s">
        <v>64</v>
      </c>
      <c r="M181" s="278">
        <v>30970</v>
      </c>
      <c r="N181" s="315">
        <v>52901</v>
      </c>
      <c r="O181" s="278">
        <v>45854</v>
      </c>
      <c r="P181" s="278">
        <v>45891</v>
      </c>
      <c r="Q181" s="387">
        <v>45649</v>
      </c>
      <c r="R181" s="285"/>
      <c r="S181" s="285"/>
      <c r="T181" s="318" t="s">
        <v>4920</v>
      </c>
      <c r="U181" s="318" t="s">
        <v>4921</v>
      </c>
      <c r="V181" s="285">
        <f t="shared" si="41"/>
        <v>11</v>
      </c>
      <c r="W181" s="90"/>
      <c r="X181" s="90"/>
      <c r="Y181" s="90"/>
      <c r="AB181" s="311">
        <f t="shared" ca="1" si="40"/>
        <v>41</v>
      </c>
    </row>
    <row r="182" spans="1:39" ht="15.75" customHeight="1">
      <c r="A182" s="1162">
        <v>13</v>
      </c>
      <c r="B182" s="1850" t="s">
        <v>4922</v>
      </c>
      <c r="C182" s="405" t="s">
        <v>31</v>
      </c>
      <c r="D182" s="1460" t="s">
        <v>4923</v>
      </c>
      <c r="E182" s="1004" t="s">
        <v>4924</v>
      </c>
      <c r="F182" s="685" t="s">
        <v>759</v>
      </c>
      <c r="G182" s="337" t="s">
        <v>76</v>
      </c>
      <c r="H182" s="303" t="s">
        <v>279</v>
      </c>
      <c r="I182" s="307">
        <v>9002071692</v>
      </c>
      <c r="J182" s="703">
        <v>9123851905</v>
      </c>
      <c r="K182" s="307" t="s">
        <v>253</v>
      </c>
      <c r="L182" s="398" t="s">
        <v>417</v>
      </c>
      <c r="M182" s="278">
        <v>24843</v>
      </c>
      <c r="N182" s="315">
        <v>46783</v>
      </c>
      <c r="O182" s="278">
        <v>45297</v>
      </c>
      <c r="P182" s="278">
        <v>46220</v>
      </c>
      <c r="Q182" s="302">
        <v>46050</v>
      </c>
      <c r="R182" s="285"/>
      <c r="S182" s="285"/>
      <c r="T182" s="318" t="s">
        <v>4925</v>
      </c>
      <c r="U182" s="318" t="s">
        <v>4925</v>
      </c>
      <c r="V182" s="285"/>
      <c r="W182" s="3"/>
      <c r="X182" s="3"/>
      <c r="Y182" s="3"/>
      <c r="Z182" s="79"/>
      <c r="AA182" s="79"/>
      <c r="AB182" s="311">
        <f t="shared" ca="1" si="40"/>
        <v>58</v>
      </c>
    </row>
    <row r="183" spans="1:39" ht="15.75" customHeight="1">
      <c r="A183" s="1162">
        <v>14</v>
      </c>
      <c r="B183" s="276" t="s">
        <v>4926</v>
      </c>
      <c r="C183" s="405" t="s">
        <v>31</v>
      </c>
      <c r="D183" s="1460" t="s">
        <v>4927</v>
      </c>
      <c r="E183" s="303" t="s">
        <v>4928</v>
      </c>
      <c r="F183" s="685" t="s">
        <v>759</v>
      </c>
      <c r="G183" s="337" t="s">
        <v>76</v>
      </c>
      <c r="H183" s="303" t="s">
        <v>279</v>
      </c>
      <c r="I183" s="307">
        <v>9002071820</v>
      </c>
      <c r="J183" s="307"/>
      <c r="K183" s="307" t="s">
        <v>253</v>
      </c>
      <c r="L183" s="275" t="s">
        <v>44</v>
      </c>
      <c r="M183" s="278">
        <v>25508</v>
      </c>
      <c r="N183" s="315">
        <v>47422</v>
      </c>
      <c r="O183" s="278">
        <v>45596</v>
      </c>
      <c r="P183" s="279">
        <v>45552</v>
      </c>
      <c r="Q183" s="424">
        <v>45563</v>
      </c>
      <c r="R183" s="285"/>
      <c r="S183" s="285"/>
      <c r="T183" s="318" t="s">
        <v>4929</v>
      </c>
      <c r="U183" s="318" t="s">
        <v>4929</v>
      </c>
      <c r="V183" s="285">
        <f t="shared" ref="V183:V188" si="42">LEN(D183)</f>
        <v>11</v>
      </c>
      <c r="W183" s="90"/>
      <c r="X183" s="90"/>
      <c r="Y183" s="90"/>
      <c r="AB183" s="311">
        <f t="shared" ca="1" si="40"/>
        <v>56</v>
      </c>
    </row>
    <row r="184" spans="1:39" ht="15.75" customHeight="1">
      <c r="A184" s="1162">
        <v>15</v>
      </c>
      <c r="B184" s="351" t="s">
        <v>4930</v>
      </c>
      <c r="C184" s="405" t="s">
        <v>31</v>
      </c>
      <c r="D184" s="1820" t="s">
        <v>4931</v>
      </c>
      <c r="E184" s="303" t="s">
        <v>4932</v>
      </c>
      <c r="F184" s="274" t="s">
        <v>759</v>
      </c>
      <c r="G184" s="274" t="s">
        <v>76</v>
      </c>
      <c r="H184" s="274" t="s">
        <v>266</v>
      </c>
      <c r="I184" s="275">
        <v>9002071616</v>
      </c>
      <c r="J184" s="275"/>
      <c r="K184" s="307" t="s">
        <v>253</v>
      </c>
      <c r="L184" s="125" t="s">
        <v>67</v>
      </c>
      <c r="M184" s="272">
        <v>32716</v>
      </c>
      <c r="N184" s="272">
        <v>54635</v>
      </c>
      <c r="O184" s="320">
        <v>45999</v>
      </c>
      <c r="P184" s="272">
        <v>45776</v>
      </c>
      <c r="Q184" s="272">
        <v>45766</v>
      </c>
      <c r="R184" s="280"/>
      <c r="S184" s="280"/>
      <c r="T184" s="281" t="s">
        <v>4933</v>
      </c>
      <c r="U184" s="281" t="s">
        <v>4934</v>
      </c>
      <c r="V184" s="280">
        <f t="shared" si="42"/>
        <v>11</v>
      </c>
      <c r="W184" s="208">
        <f ca="1">INT((TODAY()-M184)/365)</f>
        <v>36</v>
      </c>
    </row>
    <row r="185" spans="1:39" ht="15.75" customHeight="1">
      <c r="A185" s="1162">
        <v>16</v>
      </c>
      <c r="B185" s="351" t="s">
        <v>4935</v>
      </c>
      <c r="C185" s="1301" t="s">
        <v>31</v>
      </c>
      <c r="D185" s="562" t="s">
        <v>4936</v>
      </c>
      <c r="E185" s="303" t="s">
        <v>4937</v>
      </c>
      <c r="F185" s="274" t="s">
        <v>759</v>
      </c>
      <c r="G185" s="303" t="s">
        <v>76</v>
      </c>
      <c r="H185" s="274" t="s">
        <v>266</v>
      </c>
      <c r="I185" s="275">
        <v>9563230915</v>
      </c>
      <c r="J185" s="275">
        <v>9563230915</v>
      </c>
      <c r="K185" s="274" t="s">
        <v>253</v>
      </c>
      <c r="L185" s="125" t="s">
        <v>67</v>
      </c>
      <c r="M185" s="272">
        <v>32146</v>
      </c>
      <c r="N185" s="272">
        <v>54088</v>
      </c>
      <c r="O185" s="279">
        <v>45402</v>
      </c>
      <c r="P185" s="278">
        <v>45499</v>
      </c>
      <c r="Q185" s="279">
        <v>45353</v>
      </c>
      <c r="R185" s="998"/>
      <c r="S185" s="486" t="s">
        <v>4938</v>
      </c>
      <c r="T185" s="486" t="s">
        <v>4939</v>
      </c>
      <c r="U185" s="485"/>
      <c r="V185" s="485">
        <f t="shared" si="42"/>
        <v>11</v>
      </c>
      <c r="W185" s="382"/>
      <c r="X185" s="282">
        <f ca="1">INT((TODAY()-M185)/365)</f>
        <v>38</v>
      </c>
      <c r="Y185" s="382"/>
      <c r="Z185" s="382"/>
      <c r="AA185" s="382"/>
      <c r="AB185" s="311"/>
      <c r="AC185" s="311"/>
      <c r="AD185" s="311"/>
      <c r="AE185" s="311"/>
      <c r="AF185" s="311"/>
      <c r="AG185" s="311"/>
      <c r="AH185" s="311"/>
      <c r="AI185" s="311"/>
      <c r="AJ185" s="311"/>
      <c r="AK185" s="311"/>
      <c r="AL185" s="311"/>
      <c r="AM185" s="311"/>
    </row>
    <row r="186" spans="1:39" ht="15.75" customHeight="1">
      <c r="A186" s="1162">
        <v>17</v>
      </c>
      <c r="B186" s="276" t="s">
        <v>4940</v>
      </c>
      <c r="C186" s="405" t="s">
        <v>31</v>
      </c>
      <c r="D186" s="1460" t="s">
        <v>4941</v>
      </c>
      <c r="E186" s="303" t="s">
        <v>4942</v>
      </c>
      <c r="F186" s="685" t="s">
        <v>759</v>
      </c>
      <c r="G186" s="337" t="s">
        <v>76</v>
      </c>
      <c r="H186" s="303" t="s">
        <v>279</v>
      </c>
      <c r="I186" s="307">
        <v>9002079052</v>
      </c>
      <c r="J186" s="307"/>
      <c r="K186" s="307" t="s">
        <v>253</v>
      </c>
      <c r="L186" s="398" t="s">
        <v>417</v>
      </c>
      <c r="M186" s="278">
        <v>28915</v>
      </c>
      <c r="N186" s="315">
        <v>50829</v>
      </c>
      <c r="O186" s="278">
        <v>45414</v>
      </c>
      <c r="P186" s="279">
        <v>45720</v>
      </c>
      <c r="Q186" s="302">
        <v>45731</v>
      </c>
      <c r="R186" s="285"/>
      <c r="S186" s="285"/>
      <c r="T186" s="318" t="s">
        <v>4943</v>
      </c>
      <c r="U186" s="318" t="s">
        <v>4944</v>
      </c>
      <c r="V186" s="285">
        <f t="shared" si="42"/>
        <v>11</v>
      </c>
      <c r="W186" s="90"/>
      <c r="X186" s="90"/>
      <c r="Y186" s="90"/>
      <c r="AB186" s="311">
        <f ca="1">INT((TODAY()-M186)/365)</f>
        <v>47</v>
      </c>
    </row>
    <row r="187" spans="1:39" ht="15.75" customHeight="1">
      <c r="A187" s="1162">
        <v>18</v>
      </c>
      <c r="B187" s="301" t="s">
        <v>4945</v>
      </c>
      <c r="C187" s="1121" t="s">
        <v>31</v>
      </c>
      <c r="D187" s="1640" t="s">
        <v>4946</v>
      </c>
      <c r="E187" s="303" t="s">
        <v>4947</v>
      </c>
      <c r="F187" s="18" t="s">
        <v>759</v>
      </c>
      <c r="G187" s="274" t="s">
        <v>77</v>
      </c>
      <c r="H187" s="274" t="s">
        <v>266</v>
      </c>
      <c r="I187" s="275">
        <v>8584934801</v>
      </c>
      <c r="J187" s="284">
        <v>7980408575</v>
      </c>
      <c r="K187" s="307" t="s">
        <v>253</v>
      </c>
      <c r="L187" s="445" t="s">
        <v>56</v>
      </c>
      <c r="M187" s="272">
        <v>27008</v>
      </c>
      <c r="N187" s="272">
        <v>48944</v>
      </c>
      <c r="O187" s="320">
        <v>45638</v>
      </c>
      <c r="P187" s="278">
        <v>45559</v>
      </c>
      <c r="Q187" s="279">
        <v>45527</v>
      </c>
      <c r="R187" s="285"/>
      <c r="S187" s="280"/>
      <c r="T187" s="281" t="s">
        <v>4948</v>
      </c>
      <c r="U187" s="281" t="s">
        <v>4949</v>
      </c>
      <c r="V187" s="79">
        <f t="shared" si="42"/>
        <v>11</v>
      </c>
      <c r="W187" s="79"/>
      <c r="X187" s="282">
        <f t="shared" ref="X187:X188" ca="1" si="43">INT((TODAY()-M187)/365)</f>
        <v>52</v>
      </c>
      <c r="Y187" s="382"/>
      <c r="Z187" s="382"/>
      <c r="AA187" s="382"/>
      <c r="AB187" s="311"/>
    </row>
    <row r="188" spans="1:39">
      <c r="A188" s="1162">
        <v>20</v>
      </c>
      <c r="B188" s="293" t="s">
        <v>4950</v>
      </c>
      <c r="C188" s="561" t="s">
        <v>31</v>
      </c>
      <c r="D188" s="1448" t="s">
        <v>4951</v>
      </c>
      <c r="E188" s="303" t="s">
        <v>4952</v>
      </c>
      <c r="F188" s="274" t="s">
        <v>759</v>
      </c>
      <c r="G188" s="303" t="s">
        <v>76</v>
      </c>
      <c r="H188" s="274" t="s">
        <v>266</v>
      </c>
      <c r="I188" s="1851">
        <v>9002071379</v>
      </c>
      <c r="J188" s="284">
        <v>8013392412</v>
      </c>
      <c r="K188" s="274" t="s">
        <v>253</v>
      </c>
      <c r="L188" s="303" t="s">
        <v>54</v>
      </c>
      <c r="M188" s="272">
        <v>28071</v>
      </c>
      <c r="N188" s="272">
        <v>50009</v>
      </c>
      <c r="O188" s="272">
        <v>45631</v>
      </c>
      <c r="P188" s="279">
        <v>45375</v>
      </c>
      <c r="Q188" s="302">
        <v>45316</v>
      </c>
      <c r="R188" s="281" t="s">
        <v>4953</v>
      </c>
      <c r="S188" s="281" t="s">
        <v>4953</v>
      </c>
      <c r="T188" s="1852" t="s">
        <v>4954</v>
      </c>
      <c r="U188" s="485"/>
      <c r="V188" s="485">
        <f t="shared" si="42"/>
        <v>11</v>
      </c>
      <c r="W188" s="311"/>
      <c r="X188" s="208">
        <f t="shared" ca="1" si="43"/>
        <v>49</v>
      </c>
      <c r="Y188" s="311"/>
      <c r="Z188" s="311"/>
      <c r="AA188" s="311"/>
      <c r="AB188" s="311"/>
      <c r="AC188" s="311"/>
      <c r="AD188" s="311"/>
      <c r="AE188" s="311"/>
      <c r="AF188" s="311"/>
      <c r="AG188" s="311"/>
      <c r="AH188" s="311"/>
      <c r="AI188" s="311"/>
      <c r="AJ188" s="311"/>
      <c r="AK188" s="311"/>
      <c r="AL188" s="311"/>
      <c r="AM188" s="311"/>
    </row>
    <row r="189" spans="1:39" ht="15.75" customHeight="1">
      <c r="A189" s="1162">
        <v>21</v>
      </c>
      <c r="B189" s="293" t="s">
        <v>4955</v>
      </c>
      <c r="C189" s="561" t="s">
        <v>31</v>
      </c>
      <c r="D189" s="1448" t="s">
        <v>4956</v>
      </c>
      <c r="E189" s="540" t="s">
        <v>4957</v>
      </c>
      <c r="F189" s="274" t="s">
        <v>759</v>
      </c>
      <c r="G189" s="274" t="s">
        <v>77</v>
      </c>
      <c r="H189" s="274" t="s">
        <v>266</v>
      </c>
      <c r="I189" s="275">
        <v>9007385529</v>
      </c>
      <c r="J189" s="275"/>
      <c r="K189" s="274" t="s">
        <v>253</v>
      </c>
      <c r="L189" s="18" t="s">
        <v>54</v>
      </c>
      <c r="M189" s="272">
        <v>27363</v>
      </c>
      <c r="N189" s="272">
        <v>49278</v>
      </c>
      <c r="O189" s="272">
        <v>45266</v>
      </c>
      <c r="P189" s="279">
        <v>45375</v>
      </c>
      <c r="Q189" s="302">
        <v>45316</v>
      </c>
      <c r="R189" s="485"/>
      <c r="S189" s="485"/>
      <c r="T189" s="486" t="s">
        <v>4958</v>
      </c>
      <c r="U189" s="486" t="s">
        <v>4959</v>
      </c>
      <c r="V189" s="485">
        <f>LEN(TEXT(D189,0))</f>
        <v>11</v>
      </c>
      <c r="W189" s="282">
        <f t="shared" ref="W189:W190" ca="1" si="44">INT((TODAY()-M189)/365)</f>
        <v>51</v>
      </c>
      <c r="X189" s="382"/>
      <c r="Y189" s="79"/>
      <c r="Z189" s="79"/>
      <c r="AA189" s="79"/>
    </row>
    <row r="190" spans="1:39" ht="15.75" customHeight="1">
      <c r="A190" s="1162">
        <v>22</v>
      </c>
      <c r="B190" s="351" t="s">
        <v>4960</v>
      </c>
      <c r="C190" s="1121" t="s">
        <v>31</v>
      </c>
      <c r="D190" s="1820" t="s">
        <v>4961</v>
      </c>
      <c r="E190" s="1004" t="s">
        <v>4962</v>
      </c>
      <c r="F190" s="274" t="s">
        <v>759</v>
      </c>
      <c r="G190" s="274" t="s">
        <v>76</v>
      </c>
      <c r="H190" s="274" t="s">
        <v>279</v>
      </c>
      <c r="I190" s="275">
        <v>9002071254</v>
      </c>
      <c r="J190" s="275"/>
      <c r="K190" s="307" t="s">
        <v>253</v>
      </c>
      <c r="L190" s="18" t="s">
        <v>52</v>
      </c>
      <c r="M190" s="272">
        <v>31758</v>
      </c>
      <c r="N190" s="272">
        <v>53692</v>
      </c>
      <c r="O190" s="277">
        <v>45948</v>
      </c>
      <c r="P190" s="272">
        <v>45691</v>
      </c>
      <c r="Q190" s="272">
        <v>45691</v>
      </c>
      <c r="R190" s="285"/>
      <c r="S190" s="285"/>
      <c r="T190" s="281" t="s">
        <v>4963</v>
      </c>
      <c r="U190" s="281" t="s">
        <v>4964</v>
      </c>
      <c r="V190" s="280">
        <f t="shared" ref="V190:V238" si="45">LEN(D190)</f>
        <v>11</v>
      </c>
      <c r="W190" s="282">
        <f t="shared" ca="1" si="44"/>
        <v>39</v>
      </c>
      <c r="X190" s="79"/>
      <c r="Y190" s="79"/>
      <c r="Z190" s="79"/>
      <c r="AA190" s="79"/>
    </row>
    <row r="191" spans="1:39" ht="15.75" customHeight="1">
      <c r="A191" s="1162">
        <v>23</v>
      </c>
      <c r="B191" s="293" t="s">
        <v>4965</v>
      </c>
      <c r="C191" s="561" t="s">
        <v>31</v>
      </c>
      <c r="D191" s="562" t="s">
        <v>4966</v>
      </c>
      <c r="E191" s="274" t="s">
        <v>4967</v>
      </c>
      <c r="F191" s="274" t="s">
        <v>759</v>
      </c>
      <c r="G191" s="274" t="s">
        <v>77</v>
      </c>
      <c r="H191" s="274" t="s">
        <v>266</v>
      </c>
      <c r="I191" s="1785">
        <v>9002071866</v>
      </c>
      <c r="J191" s="284">
        <v>8637084675</v>
      </c>
      <c r="K191" s="274" t="s">
        <v>253</v>
      </c>
      <c r="L191" s="274" t="s">
        <v>67</v>
      </c>
      <c r="M191" s="272">
        <v>30326</v>
      </c>
      <c r="N191" s="272">
        <v>52262</v>
      </c>
      <c r="O191" s="272">
        <v>46152</v>
      </c>
      <c r="P191" s="278">
        <v>45475</v>
      </c>
      <c r="Q191" s="302">
        <v>45369</v>
      </c>
      <c r="R191" s="1134"/>
      <c r="S191" s="485"/>
      <c r="T191" s="486" t="s">
        <v>4968</v>
      </c>
      <c r="U191" s="485"/>
      <c r="V191" s="485">
        <f t="shared" si="45"/>
        <v>11</v>
      </c>
      <c r="W191" s="311"/>
      <c r="X191" s="208">
        <f t="shared" ref="X191:X192" ca="1" si="46">INT((TODAY()-M191)/365)</f>
        <v>43</v>
      </c>
      <c r="Y191" s="563"/>
      <c r="AA191" s="384"/>
      <c r="AB191" s="208">
        <f ca="1">INT((TODAY()-M191)/365)</f>
        <v>43</v>
      </c>
      <c r="AC191" s="384"/>
      <c r="AE191" s="384"/>
      <c r="AF191" s="384"/>
    </row>
    <row r="192" spans="1:39" ht="15.75" customHeight="1">
      <c r="A192" s="1162">
        <v>25</v>
      </c>
      <c r="B192" s="293" t="s">
        <v>4969</v>
      </c>
      <c r="C192" s="405" t="s">
        <v>31</v>
      </c>
      <c r="D192" s="1448" t="s">
        <v>4970</v>
      </c>
      <c r="E192" s="303" t="s">
        <v>4971</v>
      </c>
      <c r="F192" s="18" t="s">
        <v>759</v>
      </c>
      <c r="G192" s="274" t="s">
        <v>76</v>
      </c>
      <c r="H192" s="274" t="s">
        <v>266</v>
      </c>
      <c r="I192" s="275">
        <v>9002071654</v>
      </c>
      <c r="J192" s="690">
        <v>9002071654</v>
      </c>
      <c r="K192" s="307" t="s">
        <v>253</v>
      </c>
      <c r="L192" s="274" t="s">
        <v>256</v>
      </c>
      <c r="M192" s="272">
        <v>29163</v>
      </c>
      <c r="N192" s="272">
        <v>51104</v>
      </c>
      <c r="O192" s="272">
        <v>45249</v>
      </c>
      <c r="P192" s="272">
        <v>45776</v>
      </c>
      <c r="Q192" s="272">
        <v>45766</v>
      </c>
      <c r="R192" s="1134"/>
      <c r="S192" s="485"/>
      <c r="T192" s="486" t="s">
        <v>4972</v>
      </c>
      <c r="U192" s="486" t="s">
        <v>4973</v>
      </c>
      <c r="V192" s="382">
        <f t="shared" si="45"/>
        <v>11</v>
      </c>
      <c r="W192" s="382"/>
      <c r="X192" s="282">
        <f t="shared" ca="1" si="46"/>
        <v>46</v>
      </c>
      <c r="Y192" s="382"/>
      <c r="Z192" s="382"/>
      <c r="AA192" s="382"/>
      <c r="AB192" s="311"/>
      <c r="AC192" s="311"/>
      <c r="AD192" s="311"/>
      <c r="AE192" s="311"/>
      <c r="AF192" s="311"/>
      <c r="AG192" s="311"/>
      <c r="AH192" s="311"/>
      <c r="AI192" s="311"/>
      <c r="AJ192" s="311"/>
      <c r="AK192" s="311"/>
      <c r="AL192" s="311"/>
      <c r="AM192" s="311"/>
    </row>
    <row r="193" spans="1:39">
      <c r="A193" s="1162">
        <v>26</v>
      </c>
      <c r="B193" s="351" t="s">
        <v>4974</v>
      </c>
      <c r="C193" s="1301" t="s">
        <v>31</v>
      </c>
      <c r="D193" s="1820" t="s">
        <v>4975</v>
      </c>
      <c r="E193" s="303" t="s">
        <v>4976</v>
      </c>
      <c r="F193" s="274" t="s">
        <v>759</v>
      </c>
      <c r="G193" s="274" t="s">
        <v>76</v>
      </c>
      <c r="H193" s="274" t="s">
        <v>266</v>
      </c>
      <c r="I193" s="275">
        <v>9002071115</v>
      </c>
      <c r="J193" s="284">
        <v>7679935989</v>
      </c>
      <c r="K193" s="274" t="s">
        <v>253</v>
      </c>
      <c r="L193" s="125" t="s">
        <v>67</v>
      </c>
      <c r="M193" s="272">
        <v>32696</v>
      </c>
      <c r="N193" s="272">
        <v>54635</v>
      </c>
      <c r="O193" s="320">
        <v>45931</v>
      </c>
      <c r="P193" s="272">
        <v>45268</v>
      </c>
      <c r="Q193" s="302">
        <v>45284</v>
      </c>
      <c r="R193" s="280"/>
      <c r="S193" s="281" t="s">
        <v>4977</v>
      </c>
      <c r="T193" s="281" t="s">
        <v>4978</v>
      </c>
      <c r="U193" s="338"/>
      <c r="V193" s="280">
        <f t="shared" si="45"/>
        <v>11</v>
      </c>
      <c r="W193" s="282">
        <f t="shared" ref="W193:W194" ca="1" si="47">INT((TODAY()-M193)/365)</f>
        <v>36</v>
      </c>
      <c r="X193" s="79"/>
      <c r="Y193" s="79"/>
      <c r="Z193" s="79"/>
      <c r="AA193" s="79"/>
      <c r="AC193" s="79"/>
      <c r="AD193" s="79"/>
      <c r="AE193" s="79"/>
    </row>
    <row r="194" spans="1:39" ht="18.75" customHeight="1">
      <c r="A194" s="1162">
        <v>27</v>
      </c>
      <c r="B194" s="351" t="s">
        <v>4979</v>
      </c>
      <c r="C194" s="1301" t="s">
        <v>31</v>
      </c>
      <c r="D194" s="1820" t="s">
        <v>4980</v>
      </c>
      <c r="E194" s="303" t="s">
        <v>4981</v>
      </c>
      <c r="F194" s="274" t="s">
        <v>759</v>
      </c>
      <c r="G194" s="274" t="s">
        <v>76</v>
      </c>
      <c r="H194" s="274" t="s">
        <v>266</v>
      </c>
      <c r="I194" s="275">
        <v>9002071183</v>
      </c>
      <c r="J194" s="275"/>
      <c r="K194" s="274" t="s">
        <v>253</v>
      </c>
      <c r="L194" s="275" t="s">
        <v>43</v>
      </c>
      <c r="M194" s="272">
        <v>31415</v>
      </c>
      <c r="N194" s="272">
        <v>53358</v>
      </c>
      <c r="O194" s="320">
        <v>45936</v>
      </c>
      <c r="P194" s="272">
        <v>45305</v>
      </c>
      <c r="Q194" s="272">
        <v>45284</v>
      </c>
      <c r="R194" s="280"/>
      <c r="S194" s="280"/>
      <c r="T194" s="281" t="s">
        <v>4982</v>
      </c>
      <c r="U194" s="280"/>
      <c r="V194" s="280">
        <f t="shared" si="45"/>
        <v>11</v>
      </c>
      <c r="W194" s="282">
        <f t="shared" ca="1" si="47"/>
        <v>40</v>
      </c>
      <c r="X194" s="79"/>
      <c r="Y194" s="79"/>
      <c r="Z194" s="79"/>
      <c r="AA194" s="79"/>
      <c r="AC194" s="311"/>
      <c r="AD194" s="311"/>
      <c r="AE194" s="311"/>
      <c r="AF194" s="311"/>
      <c r="AG194" s="311"/>
      <c r="AH194" s="311"/>
    </row>
    <row r="195" spans="1:39" ht="15.75" customHeight="1">
      <c r="A195" s="1162">
        <v>29</v>
      </c>
      <c r="B195" s="276" t="s">
        <v>4983</v>
      </c>
      <c r="C195" s="405" t="s">
        <v>31</v>
      </c>
      <c r="D195" s="1460" t="s">
        <v>4984</v>
      </c>
      <c r="E195" s="303" t="s">
        <v>4985</v>
      </c>
      <c r="F195" s="685" t="s">
        <v>759</v>
      </c>
      <c r="G195" s="337" t="s">
        <v>77</v>
      </c>
      <c r="H195" s="303" t="s">
        <v>279</v>
      </c>
      <c r="I195" s="307">
        <v>9002071274</v>
      </c>
      <c r="J195" s="307">
        <v>9002071274</v>
      </c>
      <c r="K195" s="307" t="s">
        <v>253</v>
      </c>
      <c r="L195" s="125" t="s">
        <v>67</v>
      </c>
      <c r="M195" s="278">
        <v>31133</v>
      </c>
      <c r="N195" s="315">
        <v>53052</v>
      </c>
      <c r="O195" s="278">
        <v>45850</v>
      </c>
      <c r="P195" s="279">
        <v>45720</v>
      </c>
      <c r="Q195" s="302">
        <v>45537</v>
      </c>
      <c r="R195" s="338"/>
      <c r="S195" s="285"/>
      <c r="T195" s="318" t="s">
        <v>4986</v>
      </c>
      <c r="U195" s="318" t="s">
        <v>4987</v>
      </c>
      <c r="V195" s="285">
        <f t="shared" si="45"/>
        <v>11</v>
      </c>
      <c r="W195" s="90"/>
      <c r="X195" s="90"/>
      <c r="Y195" s="90"/>
      <c r="AB195" s="311">
        <f ca="1">INT((TODAY()-M195)/365)</f>
        <v>41</v>
      </c>
    </row>
    <row r="196" spans="1:39" ht="15.75" customHeight="1">
      <c r="A196" s="1162">
        <v>31</v>
      </c>
      <c r="B196" s="293" t="s">
        <v>4988</v>
      </c>
      <c r="C196" s="561" t="s">
        <v>31</v>
      </c>
      <c r="D196" s="1448" t="s">
        <v>4989</v>
      </c>
      <c r="E196" s="686" t="s">
        <v>4990</v>
      </c>
      <c r="F196" s="18" t="s">
        <v>759</v>
      </c>
      <c r="G196" s="274" t="s">
        <v>77</v>
      </c>
      <c r="H196" s="274" t="s">
        <v>266</v>
      </c>
      <c r="I196" s="275">
        <v>8409674375</v>
      </c>
      <c r="J196" s="275"/>
      <c r="K196" s="274" t="s">
        <v>253</v>
      </c>
      <c r="L196" s="303" t="s">
        <v>417</v>
      </c>
      <c r="M196" s="272">
        <v>30295</v>
      </c>
      <c r="N196" s="272">
        <v>52231</v>
      </c>
      <c r="O196" s="272">
        <v>45840</v>
      </c>
      <c r="P196" s="279">
        <v>45375</v>
      </c>
      <c r="Q196" s="302">
        <v>45316</v>
      </c>
      <c r="R196" s="79"/>
      <c r="S196" s="603" t="s">
        <v>4991</v>
      </c>
      <c r="T196" s="486" t="s">
        <v>4992</v>
      </c>
      <c r="U196" s="486" t="s">
        <v>4993</v>
      </c>
      <c r="V196" s="382">
        <f t="shared" si="45"/>
        <v>11</v>
      </c>
      <c r="W196" s="382"/>
      <c r="X196" s="282">
        <f ca="1">INT((TODAY()-M196)/365)</f>
        <v>43</v>
      </c>
      <c r="Y196" s="382"/>
      <c r="Z196" s="382"/>
      <c r="AA196" s="382"/>
      <c r="AB196" s="311"/>
      <c r="AC196" s="311"/>
      <c r="AD196" s="311"/>
      <c r="AE196" s="311"/>
      <c r="AF196" s="311"/>
      <c r="AG196" s="311"/>
      <c r="AH196" s="311"/>
      <c r="AI196" s="311"/>
      <c r="AJ196" s="311"/>
      <c r="AK196" s="311"/>
      <c r="AL196" s="311"/>
      <c r="AM196" s="311"/>
    </row>
    <row r="197" spans="1:39" ht="15.75" customHeight="1">
      <c r="A197" s="1162">
        <v>32</v>
      </c>
      <c r="B197" s="644" t="s">
        <v>4994</v>
      </c>
      <c r="C197" s="405" t="s">
        <v>31</v>
      </c>
      <c r="D197" s="1460" t="s">
        <v>4995</v>
      </c>
      <c r="E197" s="1004" t="s">
        <v>4996</v>
      </c>
      <c r="F197" s="685" t="s">
        <v>759</v>
      </c>
      <c r="G197" s="863" t="s">
        <v>76</v>
      </c>
      <c r="H197" s="303" t="s">
        <v>279</v>
      </c>
      <c r="I197" s="645">
        <v>9002071694</v>
      </c>
      <c r="J197" s="645">
        <v>9002071694</v>
      </c>
      <c r="K197" s="307" t="s">
        <v>253</v>
      </c>
      <c r="L197" s="274" t="s">
        <v>256</v>
      </c>
      <c r="M197" s="678">
        <v>29301</v>
      </c>
      <c r="N197" s="844">
        <v>51226</v>
      </c>
      <c r="O197" s="843">
        <v>45414</v>
      </c>
      <c r="P197" s="687">
        <v>45487</v>
      </c>
      <c r="Q197" s="424">
        <v>45509</v>
      </c>
      <c r="R197" s="338"/>
      <c r="S197" s="285"/>
      <c r="T197" s="318" t="s">
        <v>4997</v>
      </c>
      <c r="U197" s="318" t="s">
        <v>4997</v>
      </c>
      <c r="V197" s="285">
        <f t="shared" si="45"/>
        <v>11</v>
      </c>
      <c r="W197" s="90"/>
      <c r="X197" s="90"/>
      <c r="Y197" s="90"/>
      <c r="AB197" s="311">
        <f t="shared" ref="AB197:AB199" ca="1" si="48">INT((TODAY()-M197)/365)</f>
        <v>46</v>
      </c>
      <c r="AC197" s="384"/>
      <c r="AD197" s="384"/>
      <c r="AE197" s="384"/>
    </row>
    <row r="198" spans="1:39" ht="15.75" customHeight="1">
      <c r="A198" s="1162">
        <v>34</v>
      </c>
      <c r="B198" s="276" t="s">
        <v>4998</v>
      </c>
      <c r="C198" s="405" t="s">
        <v>31</v>
      </c>
      <c r="D198" s="1493" t="s">
        <v>4999</v>
      </c>
      <c r="E198" s="1004" t="s">
        <v>5000</v>
      </c>
      <c r="F198" s="685" t="s">
        <v>759</v>
      </c>
      <c r="G198" s="337" t="s">
        <v>76</v>
      </c>
      <c r="H198" s="303" t="s">
        <v>279</v>
      </c>
      <c r="I198" s="703">
        <v>8420320061</v>
      </c>
      <c r="J198" s="703">
        <v>8420320061</v>
      </c>
      <c r="K198" s="307" t="s">
        <v>253</v>
      </c>
      <c r="L198" s="439" t="s">
        <v>44</v>
      </c>
      <c r="M198" s="921">
        <v>26330</v>
      </c>
      <c r="N198" s="315">
        <v>48244</v>
      </c>
      <c r="O198" s="278">
        <v>45295</v>
      </c>
      <c r="P198" s="278">
        <v>45807</v>
      </c>
      <c r="Q198" s="302">
        <v>45817</v>
      </c>
      <c r="R198" s="338"/>
      <c r="S198" s="285"/>
      <c r="T198" s="285"/>
      <c r="U198" s="318" t="s">
        <v>5001</v>
      </c>
      <c r="V198" s="285">
        <f t="shared" si="45"/>
        <v>11</v>
      </c>
      <c r="W198" s="90"/>
      <c r="X198" s="3"/>
      <c r="Y198" s="3"/>
      <c r="Z198" s="79"/>
      <c r="AA198" s="79"/>
      <c r="AB198" s="311">
        <f t="shared" ca="1" si="48"/>
        <v>54</v>
      </c>
    </row>
    <row r="199" spans="1:39" ht="15.75" customHeight="1">
      <c r="A199" s="1162">
        <v>35</v>
      </c>
      <c r="B199" s="276" t="s">
        <v>5002</v>
      </c>
      <c r="C199" s="1301" t="s">
        <v>31</v>
      </c>
      <c r="D199" s="1458" t="s">
        <v>5003</v>
      </c>
      <c r="E199" s="970" t="s">
        <v>5004</v>
      </c>
      <c r="F199" s="284" t="s">
        <v>3258</v>
      </c>
      <c r="G199" s="875" t="s">
        <v>76</v>
      </c>
      <c r="H199" s="274" t="s">
        <v>266</v>
      </c>
      <c r="I199" s="1851">
        <v>9002071811</v>
      </c>
      <c r="J199" s="703">
        <v>9647933712</v>
      </c>
      <c r="K199" s="274" t="s">
        <v>253</v>
      </c>
      <c r="L199" s="398" t="s">
        <v>56</v>
      </c>
      <c r="M199" s="278">
        <v>33200</v>
      </c>
      <c r="N199" s="315">
        <v>55122</v>
      </c>
      <c r="O199" s="278">
        <v>46068</v>
      </c>
      <c r="P199" s="279">
        <v>45397</v>
      </c>
      <c r="Q199" s="302">
        <v>45369</v>
      </c>
      <c r="R199" s="318" t="s">
        <v>5005</v>
      </c>
      <c r="S199" s="281" t="s">
        <v>5006</v>
      </c>
      <c r="T199" s="318" t="s">
        <v>5007</v>
      </c>
      <c r="U199" s="280"/>
      <c r="V199" s="285">
        <f t="shared" si="45"/>
        <v>11</v>
      </c>
      <c r="W199" s="90"/>
      <c r="X199" s="208">
        <f ca="1">INT((TODAY()-M199)/365)</f>
        <v>35</v>
      </c>
      <c r="Y199" s="563"/>
      <c r="AA199" s="384"/>
      <c r="AB199" s="208">
        <f t="shared" ca="1" si="48"/>
        <v>35</v>
      </c>
    </row>
    <row r="200" spans="1:39" ht="15.75" customHeight="1">
      <c r="A200" s="1162">
        <v>36</v>
      </c>
      <c r="B200" s="351" t="s">
        <v>5008</v>
      </c>
      <c r="C200" s="405" t="s">
        <v>31</v>
      </c>
      <c r="D200" s="1640" t="s">
        <v>5009</v>
      </c>
      <c r="E200" s="303" t="s">
        <v>5010</v>
      </c>
      <c r="F200" s="274" t="s">
        <v>759</v>
      </c>
      <c r="G200" s="274" t="s">
        <v>76</v>
      </c>
      <c r="H200" s="274" t="s">
        <v>266</v>
      </c>
      <c r="I200" s="275">
        <v>9002071637</v>
      </c>
      <c r="J200" s="275"/>
      <c r="K200" s="307" t="s">
        <v>253</v>
      </c>
      <c r="L200" s="274" t="s">
        <v>299</v>
      </c>
      <c r="M200" s="272">
        <v>31619</v>
      </c>
      <c r="N200" s="272">
        <v>53539</v>
      </c>
      <c r="O200" s="320">
        <v>45181</v>
      </c>
      <c r="P200" s="272">
        <v>45776</v>
      </c>
      <c r="Q200" s="272">
        <v>45766</v>
      </c>
      <c r="R200" s="280"/>
      <c r="S200" s="280"/>
      <c r="T200" s="281" t="s">
        <v>5011</v>
      </c>
      <c r="U200" s="281" t="s">
        <v>5012</v>
      </c>
      <c r="V200" s="280">
        <f t="shared" si="45"/>
        <v>11</v>
      </c>
      <c r="W200" s="208">
        <f t="shared" ref="W200:W201" ca="1" si="49">INT((TODAY()-M200)/365)</f>
        <v>39</v>
      </c>
    </row>
    <row r="201" spans="1:39" ht="15.75" customHeight="1">
      <c r="A201" s="1162">
        <v>37</v>
      </c>
      <c r="B201" s="351" t="s">
        <v>5013</v>
      </c>
      <c r="C201" s="539" t="s">
        <v>31</v>
      </c>
      <c r="D201" s="1820" t="s">
        <v>5014</v>
      </c>
      <c r="E201" s="491" t="s">
        <v>5015</v>
      </c>
      <c r="F201" s="274" t="s">
        <v>759</v>
      </c>
      <c r="G201" s="274" t="s">
        <v>76</v>
      </c>
      <c r="H201" s="274" t="s">
        <v>279</v>
      </c>
      <c r="I201" s="275">
        <v>8420320029</v>
      </c>
      <c r="J201" s="284">
        <v>8420320029</v>
      </c>
      <c r="K201" s="307" t="s">
        <v>253</v>
      </c>
      <c r="L201" s="125" t="s">
        <v>69</v>
      </c>
      <c r="M201" s="272">
        <v>32227</v>
      </c>
      <c r="N201" s="272">
        <v>54148</v>
      </c>
      <c r="O201" s="320">
        <v>46018</v>
      </c>
      <c r="P201" s="315">
        <v>45826</v>
      </c>
      <c r="Q201" s="272">
        <v>45842</v>
      </c>
      <c r="R201" s="280"/>
      <c r="S201" s="280"/>
      <c r="T201" s="281" t="s">
        <v>5016</v>
      </c>
      <c r="U201" s="280"/>
      <c r="V201" s="280">
        <f t="shared" si="45"/>
        <v>11</v>
      </c>
      <c r="W201" s="208">
        <f t="shared" ca="1" si="49"/>
        <v>38</v>
      </c>
    </row>
    <row r="202" spans="1:39" ht="15.75" customHeight="1">
      <c r="A202" s="1162">
        <v>38</v>
      </c>
      <c r="B202" s="276" t="s">
        <v>5017</v>
      </c>
      <c r="C202" s="307" t="s">
        <v>31</v>
      </c>
      <c r="D202" s="1458" t="s">
        <v>5018</v>
      </c>
      <c r="E202" s="303" t="s">
        <v>5019</v>
      </c>
      <c r="F202" s="685" t="s">
        <v>759</v>
      </c>
      <c r="G202" s="337" t="s">
        <v>77</v>
      </c>
      <c r="H202" s="303" t="s">
        <v>279</v>
      </c>
      <c r="I202" s="307">
        <v>9002071718</v>
      </c>
      <c r="J202" s="405">
        <v>9002071718</v>
      </c>
      <c r="K202" s="307" t="s">
        <v>253</v>
      </c>
      <c r="L202" s="274" t="s">
        <v>417</v>
      </c>
      <c r="M202" s="278">
        <v>27304</v>
      </c>
      <c r="N202" s="315">
        <v>49248</v>
      </c>
      <c r="O202" s="278">
        <v>45847</v>
      </c>
      <c r="P202" s="278">
        <v>46220</v>
      </c>
      <c r="Q202" s="302">
        <v>45989</v>
      </c>
      <c r="R202" s="338"/>
      <c r="S202" s="285"/>
      <c r="T202" s="318" t="s">
        <v>5020</v>
      </c>
      <c r="U202" s="318" t="s">
        <v>5020</v>
      </c>
      <c r="V202" s="285">
        <f t="shared" si="45"/>
        <v>11</v>
      </c>
      <c r="W202" s="90"/>
      <c r="X202" s="90"/>
      <c r="Y202" s="90"/>
      <c r="AB202" s="311">
        <f t="shared" ref="AB202:AB204" ca="1" si="50">INT((TODAY()-M202)/365)</f>
        <v>51</v>
      </c>
    </row>
    <row r="203" spans="1:39" ht="15.75" customHeight="1">
      <c r="A203" s="1162">
        <v>39</v>
      </c>
      <c r="B203" s="276" t="s">
        <v>5021</v>
      </c>
      <c r="C203" s="307" t="s">
        <v>31</v>
      </c>
      <c r="D203" s="1458" t="s">
        <v>5022</v>
      </c>
      <c r="E203" s="1004" t="s">
        <v>5023</v>
      </c>
      <c r="F203" s="685" t="s">
        <v>759</v>
      </c>
      <c r="G203" s="337" t="s">
        <v>76</v>
      </c>
      <c r="H203" s="303" t="s">
        <v>279</v>
      </c>
      <c r="I203" s="307">
        <v>9002079077</v>
      </c>
      <c r="J203" s="703">
        <v>9331758821</v>
      </c>
      <c r="K203" s="307" t="s">
        <v>253</v>
      </c>
      <c r="L203" s="125" t="s">
        <v>67</v>
      </c>
      <c r="M203" s="278">
        <v>28646</v>
      </c>
      <c r="N203" s="315">
        <v>50586</v>
      </c>
      <c r="O203" s="278">
        <v>45383</v>
      </c>
      <c r="P203" s="279">
        <v>45361</v>
      </c>
      <c r="Q203" s="387">
        <v>45346</v>
      </c>
      <c r="R203" s="285"/>
      <c r="S203" s="285"/>
      <c r="T203" s="318" t="s">
        <v>5024</v>
      </c>
      <c r="U203" s="318" t="s">
        <v>5025</v>
      </c>
      <c r="V203" s="285">
        <f t="shared" si="45"/>
        <v>11</v>
      </c>
      <c r="W203" s="3"/>
      <c r="X203" s="3"/>
      <c r="Y203" s="3"/>
      <c r="Z203" s="79"/>
      <c r="AA203" s="79"/>
      <c r="AB203" s="311">
        <f t="shared" ca="1" si="50"/>
        <v>47</v>
      </c>
    </row>
    <row r="204" spans="1:39" ht="15.75" customHeight="1">
      <c r="A204" s="1162">
        <v>42</v>
      </c>
      <c r="B204" s="276" t="s">
        <v>5026</v>
      </c>
      <c r="C204" s="307" t="s">
        <v>31</v>
      </c>
      <c r="D204" s="1458" t="s">
        <v>5027</v>
      </c>
      <c r="E204" s="303" t="s">
        <v>5028</v>
      </c>
      <c r="F204" s="685" t="s">
        <v>759</v>
      </c>
      <c r="G204" s="337" t="s">
        <v>78</v>
      </c>
      <c r="H204" s="303" t="s">
        <v>279</v>
      </c>
      <c r="I204" s="307">
        <v>9002071853</v>
      </c>
      <c r="J204" s="307">
        <v>9002071853</v>
      </c>
      <c r="K204" s="307" t="s">
        <v>253</v>
      </c>
      <c r="L204" s="125" t="s">
        <v>69</v>
      </c>
      <c r="M204" s="278">
        <v>27435</v>
      </c>
      <c r="N204" s="315">
        <v>49368</v>
      </c>
      <c r="O204" s="278">
        <v>45667</v>
      </c>
      <c r="P204" s="279">
        <v>45212</v>
      </c>
      <c r="Q204" s="279">
        <v>46276</v>
      </c>
      <c r="R204" s="285"/>
      <c r="S204" s="285"/>
      <c r="T204" s="318" t="s">
        <v>5029</v>
      </c>
      <c r="U204" s="318" t="s">
        <v>5030</v>
      </c>
      <c r="V204" s="285">
        <f t="shared" si="45"/>
        <v>11</v>
      </c>
      <c r="W204" s="90"/>
      <c r="X204" s="90"/>
      <c r="Y204" s="90"/>
      <c r="AB204" s="311">
        <f t="shared" ca="1" si="50"/>
        <v>51</v>
      </c>
      <c r="AC204" s="298"/>
      <c r="AD204" s="298"/>
      <c r="AE204" s="298"/>
      <c r="AF204" s="298"/>
      <c r="AG204" s="298"/>
      <c r="AH204" s="298"/>
      <c r="AI204" s="298"/>
      <c r="AJ204" s="298"/>
      <c r="AK204" s="298"/>
      <c r="AL204" s="298"/>
      <c r="AM204" s="298"/>
    </row>
    <row r="205" spans="1:39" ht="15.75" customHeight="1">
      <c r="A205" s="1162">
        <v>43</v>
      </c>
      <c r="B205" s="1840" t="s">
        <v>5031</v>
      </c>
      <c r="C205" s="405" t="s">
        <v>31</v>
      </c>
      <c r="D205" s="1820" t="s">
        <v>5032</v>
      </c>
      <c r="E205" s="1004" t="s">
        <v>5033</v>
      </c>
      <c r="F205" s="274" t="s">
        <v>759</v>
      </c>
      <c r="G205" s="345" t="s">
        <v>76</v>
      </c>
      <c r="H205" s="274" t="s">
        <v>266</v>
      </c>
      <c r="I205" s="343">
        <v>9002071279</v>
      </c>
      <c r="J205" s="343"/>
      <c r="K205" s="307" t="s">
        <v>253</v>
      </c>
      <c r="L205" s="275" t="s">
        <v>44</v>
      </c>
      <c r="M205" s="342">
        <v>31454</v>
      </c>
      <c r="N205" s="342">
        <v>53386</v>
      </c>
      <c r="O205" s="1853">
        <v>46028</v>
      </c>
      <c r="P205" s="342">
        <v>45776</v>
      </c>
      <c r="Q205" s="272">
        <v>45766</v>
      </c>
      <c r="R205" s="280"/>
      <c r="S205" s="280"/>
      <c r="T205" s="281" t="s">
        <v>5034</v>
      </c>
      <c r="U205" s="281" t="s">
        <v>5035</v>
      </c>
      <c r="V205" s="280">
        <f t="shared" si="45"/>
        <v>11</v>
      </c>
      <c r="W205" s="1854">
        <f ca="1">INT((TODAY()-M205)/365)</f>
        <v>40</v>
      </c>
      <c r="X205" s="1034"/>
      <c r="Y205" s="1034"/>
      <c r="Z205" s="1034"/>
      <c r="AA205" s="1034"/>
    </row>
    <row r="206" spans="1:39" ht="15.75" customHeight="1">
      <c r="A206" s="1162">
        <v>44</v>
      </c>
      <c r="B206" s="351" t="s">
        <v>5036</v>
      </c>
      <c r="C206" s="561" t="s">
        <v>31</v>
      </c>
      <c r="D206" s="1448" t="s">
        <v>5037</v>
      </c>
      <c r="E206" s="1053" t="s">
        <v>5038</v>
      </c>
      <c r="F206" s="685" t="s">
        <v>759</v>
      </c>
      <c r="G206" s="274" t="s">
        <v>77</v>
      </c>
      <c r="H206" s="274" t="s">
        <v>279</v>
      </c>
      <c r="I206" s="275">
        <v>9002071083</v>
      </c>
      <c r="J206" s="690"/>
      <c r="K206" s="307" t="s">
        <v>253</v>
      </c>
      <c r="L206" s="303" t="s">
        <v>52</v>
      </c>
      <c r="M206" s="272">
        <v>31138</v>
      </c>
      <c r="N206" s="272">
        <v>53052</v>
      </c>
      <c r="O206" s="272">
        <v>45846</v>
      </c>
      <c r="P206" s="272">
        <v>45355</v>
      </c>
      <c r="Q206" s="272">
        <v>45242</v>
      </c>
      <c r="R206" s="285"/>
      <c r="S206" s="285"/>
      <c r="T206" s="486" t="s">
        <v>2219</v>
      </c>
      <c r="U206" s="486" t="s">
        <v>5039</v>
      </c>
      <c r="V206" s="382">
        <f t="shared" si="45"/>
        <v>11</v>
      </c>
      <c r="W206" s="382"/>
      <c r="X206" s="382"/>
      <c r="Y206" s="382"/>
      <c r="Z206" s="382"/>
      <c r="AA206" s="382"/>
      <c r="AB206" s="311">
        <f ca="1">INT((TODAY()-M206)/365)</f>
        <v>40</v>
      </c>
      <c r="AC206" s="298"/>
      <c r="AD206" s="298"/>
      <c r="AE206" s="298"/>
      <c r="AF206" s="298"/>
      <c r="AG206" s="298"/>
      <c r="AH206" s="298"/>
      <c r="AI206" s="298"/>
      <c r="AJ206" s="298"/>
      <c r="AK206" s="298"/>
      <c r="AL206" s="298"/>
      <c r="AM206" s="298"/>
    </row>
    <row r="207" spans="1:39" ht="15.75" customHeight="1">
      <c r="A207" s="1162">
        <v>45</v>
      </c>
      <c r="B207" s="340" t="s">
        <v>5040</v>
      </c>
      <c r="C207" s="405" t="s">
        <v>31</v>
      </c>
      <c r="D207" s="1820" t="s">
        <v>5041</v>
      </c>
      <c r="E207" s="1004" t="s">
        <v>5042</v>
      </c>
      <c r="F207" s="274" t="s">
        <v>759</v>
      </c>
      <c r="G207" s="345" t="s">
        <v>76</v>
      </c>
      <c r="H207" s="274" t="s">
        <v>266</v>
      </c>
      <c r="I207" s="137">
        <v>9002071066</v>
      </c>
      <c r="J207" s="343"/>
      <c r="K207" s="307" t="s">
        <v>253</v>
      </c>
      <c r="L207" s="274" t="s">
        <v>44</v>
      </c>
      <c r="M207" s="342">
        <v>32925</v>
      </c>
      <c r="N207" s="342">
        <v>54847</v>
      </c>
      <c r="O207" s="1853">
        <v>45916</v>
      </c>
      <c r="P207" s="1027">
        <v>45559</v>
      </c>
      <c r="Q207" s="1298">
        <v>45527</v>
      </c>
      <c r="R207" s="285"/>
      <c r="S207" s="285"/>
      <c r="T207" s="281" t="s">
        <v>5043</v>
      </c>
      <c r="U207" s="281" t="s">
        <v>5044</v>
      </c>
      <c r="V207" s="280">
        <f t="shared" si="45"/>
        <v>11</v>
      </c>
      <c r="W207" s="1854">
        <f ca="1">INT((TODAY()-M207)/365)</f>
        <v>36</v>
      </c>
      <c r="X207" s="1034"/>
      <c r="Y207" s="1034"/>
      <c r="Z207" s="1034"/>
      <c r="AA207" s="1034"/>
      <c r="AC207" s="199"/>
      <c r="AD207" s="199"/>
      <c r="AE207" s="199"/>
      <c r="AF207" s="199"/>
      <c r="AG207" s="199"/>
      <c r="AH207" s="199"/>
      <c r="AI207" s="199"/>
      <c r="AJ207" s="199"/>
      <c r="AK207" s="199"/>
      <c r="AL207" s="199"/>
      <c r="AM207" s="199"/>
    </row>
    <row r="208" spans="1:39" ht="15.75" customHeight="1">
      <c r="A208" s="1162">
        <v>47</v>
      </c>
      <c r="B208" s="351" t="s">
        <v>5045</v>
      </c>
      <c r="C208" s="539" t="s">
        <v>31</v>
      </c>
      <c r="D208" s="1820" t="s">
        <v>5046</v>
      </c>
      <c r="E208" s="345" t="s">
        <v>5047</v>
      </c>
      <c r="F208" s="18" t="s">
        <v>759</v>
      </c>
      <c r="G208" s="274" t="s">
        <v>78</v>
      </c>
      <c r="H208" s="274" t="s">
        <v>266</v>
      </c>
      <c r="I208" s="275">
        <v>9153399243</v>
      </c>
      <c r="J208" s="275">
        <v>9153399243</v>
      </c>
      <c r="K208" s="307" t="s">
        <v>253</v>
      </c>
      <c r="L208" s="125" t="s">
        <v>67</v>
      </c>
      <c r="M208" s="272">
        <v>30011</v>
      </c>
      <c r="N208" s="272">
        <v>51925</v>
      </c>
      <c r="O208" s="277">
        <v>46313</v>
      </c>
      <c r="P208" s="272">
        <v>45280</v>
      </c>
      <c r="Q208" s="272">
        <v>45928</v>
      </c>
      <c r="R208" s="280"/>
      <c r="S208" s="280"/>
      <c r="T208" s="1592" t="s">
        <v>5048</v>
      </c>
      <c r="U208" s="281" t="s">
        <v>5049</v>
      </c>
      <c r="V208" s="79">
        <f t="shared" si="45"/>
        <v>11</v>
      </c>
      <c r="W208" s="79"/>
      <c r="X208" s="282">
        <f ca="1">INT((TODAY()-M208)/365)</f>
        <v>44</v>
      </c>
      <c r="Y208" s="382"/>
      <c r="Z208" s="382"/>
      <c r="AA208" s="382"/>
      <c r="AB208" s="311"/>
    </row>
    <row r="209" spans="1:39" ht="15.75" customHeight="1">
      <c r="A209" s="1162">
        <v>48</v>
      </c>
      <c r="B209" s="301" t="s">
        <v>5050</v>
      </c>
      <c r="C209" s="405" t="s">
        <v>31</v>
      </c>
      <c r="D209" s="1820" t="s">
        <v>5051</v>
      </c>
      <c r="E209" s="1004" t="s">
        <v>5052</v>
      </c>
      <c r="F209" s="274" t="s">
        <v>759</v>
      </c>
      <c r="G209" s="274" t="s">
        <v>76</v>
      </c>
      <c r="H209" s="274" t="s">
        <v>266</v>
      </c>
      <c r="I209" s="275">
        <v>9002071010</v>
      </c>
      <c r="J209" s="275">
        <v>9002071010</v>
      </c>
      <c r="K209" s="307" t="s">
        <v>253</v>
      </c>
      <c r="L209" s="537" t="s">
        <v>48</v>
      </c>
      <c r="M209" s="272">
        <v>32852</v>
      </c>
      <c r="N209" s="272">
        <v>54788</v>
      </c>
      <c r="O209" s="320">
        <v>45850</v>
      </c>
      <c r="P209" s="272">
        <v>45776</v>
      </c>
      <c r="Q209" s="272">
        <v>45766</v>
      </c>
      <c r="R209" s="338" t="s">
        <v>5053</v>
      </c>
      <c r="S209" s="281" t="s">
        <v>5054</v>
      </c>
      <c r="T209" s="281" t="s">
        <v>5055</v>
      </c>
      <c r="U209" s="281" t="s">
        <v>5056</v>
      </c>
      <c r="V209" s="280">
        <f t="shared" si="45"/>
        <v>11</v>
      </c>
      <c r="W209" s="282">
        <f ca="1">INT((TODAY()-M209)/365)</f>
        <v>36</v>
      </c>
      <c r="X209" s="79"/>
      <c r="Y209" s="79"/>
      <c r="Z209" s="79"/>
      <c r="AA209" s="79"/>
    </row>
    <row r="210" spans="1:39" ht="15.75" customHeight="1">
      <c r="A210" s="1162">
        <v>49</v>
      </c>
      <c r="B210" s="351" t="s">
        <v>5057</v>
      </c>
      <c r="C210" s="405" t="s">
        <v>31</v>
      </c>
      <c r="D210" s="1640" t="s">
        <v>5058</v>
      </c>
      <c r="E210" s="1004" t="s">
        <v>5059</v>
      </c>
      <c r="F210" s="685" t="s">
        <v>759</v>
      </c>
      <c r="G210" s="274" t="s">
        <v>77</v>
      </c>
      <c r="H210" s="303" t="s">
        <v>279</v>
      </c>
      <c r="I210" s="275">
        <v>9002071187</v>
      </c>
      <c r="J210" s="284">
        <v>8981137307</v>
      </c>
      <c r="K210" s="307" t="s">
        <v>253</v>
      </c>
      <c r="L210" s="274" t="s">
        <v>56</v>
      </c>
      <c r="M210" s="272">
        <v>29676</v>
      </c>
      <c r="N210" s="272">
        <v>51591</v>
      </c>
      <c r="O210" s="320">
        <v>46112</v>
      </c>
      <c r="P210" s="424">
        <v>45257</v>
      </c>
      <c r="Q210" s="272">
        <v>45242</v>
      </c>
      <c r="R210" s="280"/>
      <c r="S210" s="280"/>
      <c r="T210" s="281" t="s">
        <v>5060</v>
      </c>
      <c r="U210" s="281" t="s">
        <v>5061</v>
      </c>
      <c r="V210" s="79">
        <f t="shared" si="45"/>
        <v>11</v>
      </c>
      <c r="W210" s="79"/>
      <c r="X210" s="79"/>
      <c r="Y210" s="79"/>
      <c r="Z210" s="79"/>
      <c r="AA210" s="79"/>
      <c r="AB210" s="311">
        <f t="shared" ref="AB210:AB214" ca="1" si="51">INT((TODAY()-M210)/365)</f>
        <v>44</v>
      </c>
      <c r="AC210" s="384"/>
      <c r="AD210" s="384"/>
      <c r="AE210" s="311"/>
      <c r="AF210" s="311"/>
      <c r="AG210" s="311"/>
      <c r="AH210" s="311"/>
      <c r="AI210" s="311"/>
      <c r="AJ210" s="311"/>
      <c r="AK210" s="311"/>
      <c r="AL210" s="311"/>
      <c r="AM210" s="311"/>
    </row>
    <row r="211" spans="1:39" ht="15.75" customHeight="1">
      <c r="A211" s="1162">
        <v>50</v>
      </c>
      <c r="B211" s="276" t="s">
        <v>5062</v>
      </c>
      <c r="C211" s="405" t="s">
        <v>31</v>
      </c>
      <c r="D211" s="1458" t="s">
        <v>5063</v>
      </c>
      <c r="E211" s="1004" t="s">
        <v>5064</v>
      </c>
      <c r="F211" s="685" t="s">
        <v>759</v>
      </c>
      <c r="G211" s="337" t="s">
        <v>76</v>
      </c>
      <c r="H211" s="303" t="s">
        <v>279</v>
      </c>
      <c r="I211" s="307">
        <v>9002071250</v>
      </c>
      <c r="J211" s="703">
        <v>9002071250</v>
      </c>
      <c r="K211" s="307" t="s">
        <v>253</v>
      </c>
      <c r="L211" s="274" t="s">
        <v>417</v>
      </c>
      <c r="M211" s="921">
        <v>31828</v>
      </c>
      <c r="N211" s="315">
        <v>53751</v>
      </c>
      <c r="O211" s="278">
        <v>45880</v>
      </c>
      <c r="P211" s="278">
        <v>45748</v>
      </c>
      <c r="Q211" s="302">
        <v>45677</v>
      </c>
      <c r="R211" s="280"/>
      <c r="S211" s="285"/>
      <c r="T211" s="318" t="s">
        <v>5065</v>
      </c>
      <c r="U211" s="318" t="s">
        <v>5066</v>
      </c>
      <c r="V211" s="285">
        <f t="shared" si="45"/>
        <v>11</v>
      </c>
      <c r="W211" s="3"/>
      <c r="X211" s="3"/>
      <c r="Y211" s="3"/>
      <c r="Z211" s="79"/>
      <c r="AA211" s="79"/>
      <c r="AB211" s="311">
        <f t="shared" ca="1" si="51"/>
        <v>39</v>
      </c>
      <c r="AC211" s="199"/>
      <c r="AD211" s="199"/>
      <c r="AE211" s="199"/>
      <c r="AF211" s="199"/>
      <c r="AG211" s="199"/>
      <c r="AH211" s="199"/>
      <c r="AI211" s="199"/>
      <c r="AJ211" s="199"/>
      <c r="AK211" s="199"/>
      <c r="AL211" s="199"/>
      <c r="AM211" s="199"/>
    </row>
    <row r="212" spans="1:39" ht="15.75" customHeight="1">
      <c r="A212" s="1162">
        <v>51</v>
      </c>
      <c r="B212" s="276" t="s">
        <v>5067</v>
      </c>
      <c r="C212" s="307" t="s">
        <v>31</v>
      </c>
      <c r="D212" s="1460" t="s">
        <v>5068</v>
      </c>
      <c r="E212" s="421" t="s">
        <v>5069</v>
      </c>
      <c r="F212" s="685" t="s">
        <v>759</v>
      </c>
      <c r="G212" s="337" t="s">
        <v>76</v>
      </c>
      <c r="H212" s="303" t="s">
        <v>266</v>
      </c>
      <c r="I212" s="307">
        <v>8420320076</v>
      </c>
      <c r="J212" s="234">
        <v>8420320076</v>
      </c>
      <c r="K212" s="307" t="s">
        <v>253</v>
      </c>
      <c r="L212" s="537" t="s">
        <v>48</v>
      </c>
      <c r="M212" s="278">
        <v>31999</v>
      </c>
      <c r="N212" s="315">
        <v>53935</v>
      </c>
      <c r="O212" s="278">
        <v>45853</v>
      </c>
      <c r="P212" s="278">
        <v>44634</v>
      </c>
      <c r="Q212" s="302">
        <v>45705</v>
      </c>
      <c r="R212" s="285"/>
      <c r="S212" s="285"/>
      <c r="T212" s="318" t="s">
        <v>5070</v>
      </c>
      <c r="U212" s="318" t="s">
        <v>5071</v>
      </c>
      <c r="V212" s="285">
        <f t="shared" si="45"/>
        <v>11</v>
      </c>
      <c r="W212" s="3"/>
      <c r="X212" s="3"/>
      <c r="Y212" s="3"/>
      <c r="Z212" s="79"/>
      <c r="AA212" s="79"/>
      <c r="AB212" s="311">
        <f t="shared" ca="1" si="51"/>
        <v>38</v>
      </c>
      <c r="AC212" s="199"/>
      <c r="AD212" s="199"/>
      <c r="AE212" s="199"/>
      <c r="AF212" s="199"/>
      <c r="AG212" s="199"/>
      <c r="AH212" s="199"/>
      <c r="AI212" s="199"/>
      <c r="AJ212" s="199"/>
      <c r="AK212" s="199"/>
      <c r="AL212" s="199"/>
      <c r="AM212" s="199"/>
    </row>
    <row r="213" spans="1:39" ht="15.75" customHeight="1">
      <c r="A213" s="1162">
        <v>52</v>
      </c>
      <c r="B213" s="276" t="s">
        <v>5072</v>
      </c>
      <c r="C213" s="307" t="s">
        <v>31</v>
      </c>
      <c r="D213" s="1458" t="s">
        <v>5073</v>
      </c>
      <c r="E213" s="421" t="s">
        <v>5074</v>
      </c>
      <c r="F213" s="685" t="s">
        <v>759</v>
      </c>
      <c r="G213" s="337" t="s">
        <v>76</v>
      </c>
      <c r="H213" s="303" t="s">
        <v>279</v>
      </c>
      <c r="I213" s="307">
        <v>9002079018</v>
      </c>
      <c r="J213" s="307">
        <v>9002079018</v>
      </c>
      <c r="K213" s="307" t="s">
        <v>253</v>
      </c>
      <c r="L213" s="274" t="s">
        <v>55</v>
      </c>
      <c r="M213" s="278">
        <v>28788</v>
      </c>
      <c r="N213" s="315">
        <v>50709</v>
      </c>
      <c r="O213" s="278">
        <v>45224</v>
      </c>
      <c r="P213" s="278">
        <v>45807</v>
      </c>
      <c r="Q213" s="302">
        <v>45760</v>
      </c>
      <c r="R213" s="285"/>
      <c r="S213" s="285"/>
      <c r="T213" s="318" t="s">
        <v>5075</v>
      </c>
      <c r="U213" s="318" t="s">
        <v>5076</v>
      </c>
      <c r="V213" s="285">
        <f t="shared" si="45"/>
        <v>11</v>
      </c>
      <c r="W213" s="3"/>
      <c r="X213" s="3"/>
      <c r="Y213" s="3"/>
      <c r="Z213" s="79"/>
      <c r="AA213" s="79"/>
      <c r="AB213" s="311">
        <f t="shared" ca="1" si="51"/>
        <v>47</v>
      </c>
      <c r="AC213" s="199"/>
      <c r="AD213" s="199"/>
      <c r="AE213" s="199"/>
      <c r="AF213" s="199"/>
      <c r="AG213" s="199"/>
      <c r="AH213" s="199"/>
      <c r="AI213" s="199"/>
      <c r="AJ213" s="199"/>
      <c r="AK213" s="199"/>
      <c r="AL213" s="199"/>
      <c r="AM213" s="199"/>
    </row>
    <row r="214" spans="1:39" ht="15.75" customHeight="1">
      <c r="A214" s="1162">
        <v>53</v>
      </c>
      <c r="B214" s="276" t="s">
        <v>5077</v>
      </c>
      <c r="C214" s="307" t="s">
        <v>31</v>
      </c>
      <c r="D214" s="1458" t="s">
        <v>5078</v>
      </c>
      <c r="E214" s="303" t="s">
        <v>5079</v>
      </c>
      <c r="F214" s="685" t="s">
        <v>759</v>
      </c>
      <c r="G214" s="337" t="s">
        <v>77</v>
      </c>
      <c r="H214" s="303" t="s">
        <v>266</v>
      </c>
      <c r="I214" s="307">
        <v>9002071858</v>
      </c>
      <c r="J214" s="703">
        <v>9123008672</v>
      </c>
      <c r="K214" s="307" t="s">
        <v>253</v>
      </c>
      <c r="L214" s="125" t="s">
        <v>69</v>
      </c>
      <c r="M214" s="278">
        <v>27397</v>
      </c>
      <c r="N214" s="315">
        <v>49340</v>
      </c>
      <c r="O214" s="278">
        <v>45296</v>
      </c>
      <c r="P214" s="279">
        <v>45274</v>
      </c>
      <c r="Q214" s="302">
        <v>45272</v>
      </c>
      <c r="R214" s="285"/>
      <c r="S214" s="285"/>
      <c r="T214" s="318" t="s">
        <v>5080</v>
      </c>
      <c r="U214" s="318" t="s">
        <v>5080</v>
      </c>
      <c r="V214" s="285">
        <f t="shared" si="45"/>
        <v>11</v>
      </c>
      <c r="W214" s="3"/>
      <c r="X214" s="3"/>
      <c r="Y214" s="3"/>
      <c r="Z214" s="79"/>
      <c r="AA214" s="79"/>
      <c r="AB214" s="311">
        <f t="shared" ca="1" si="51"/>
        <v>51</v>
      </c>
      <c r="AC214" s="199"/>
      <c r="AD214" s="199"/>
      <c r="AE214" s="199"/>
      <c r="AF214" s="199"/>
      <c r="AG214" s="199"/>
      <c r="AH214" s="199"/>
      <c r="AI214" s="199"/>
      <c r="AJ214" s="199"/>
      <c r="AK214" s="199"/>
      <c r="AL214" s="199"/>
      <c r="AM214" s="199"/>
    </row>
    <row r="215" spans="1:39" ht="15.75" customHeight="1">
      <c r="A215" s="1162">
        <v>54</v>
      </c>
      <c r="B215" s="351" t="s">
        <v>5081</v>
      </c>
      <c r="C215" s="18" t="s">
        <v>31</v>
      </c>
      <c r="D215" s="1820" t="s">
        <v>5082</v>
      </c>
      <c r="E215" s="421" t="s">
        <v>5083</v>
      </c>
      <c r="F215" s="274" t="s">
        <v>759</v>
      </c>
      <c r="G215" s="274" t="s">
        <v>76</v>
      </c>
      <c r="H215" s="274" t="s">
        <v>279</v>
      </c>
      <c r="I215" s="284">
        <v>9002071838</v>
      </c>
      <c r="J215" s="284">
        <v>9002071838</v>
      </c>
      <c r="K215" s="307" t="s">
        <v>253</v>
      </c>
      <c r="L215" s="398" t="s">
        <v>54</v>
      </c>
      <c r="M215" s="272">
        <v>32838</v>
      </c>
      <c r="N215" s="272">
        <v>54757</v>
      </c>
      <c r="O215" s="320">
        <v>45916</v>
      </c>
      <c r="P215" s="278">
        <v>45559</v>
      </c>
      <c r="Q215" s="279">
        <v>45527</v>
      </c>
      <c r="R215" s="280"/>
      <c r="S215" s="280"/>
      <c r="T215" s="281" t="s">
        <v>5084</v>
      </c>
      <c r="U215" s="281" t="s">
        <v>5085</v>
      </c>
      <c r="V215" s="280">
        <f t="shared" si="45"/>
        <v>11</v>
      </c>
      <c r="W215" s="282">
        <f t="shared" ref="W215:W217" ca="1" si="52">INT((TODAY()-M215)/365)</f>
        <v>36</v>
      </c>
      <c r="X215" s="79"/>
      <c r="Y215" s="79"/>
      <c r="Z215" s="79"/>
      <c r="AA215" s="79"/>
      <c r="AC215" s="199"/>
      <c r="AD215" s="199"/>
      <c r="AE215" s="199"/>
      <c r="AF215" s="199"/>
      <c r="AG215" s="199"/>
      <c r="AH215" s="199"/>
      <c r="AI215" s="199"/>
      <c r="AJ215" s="199"/>
      <c r="AK215" s="199"/>
      <c r="AL215" s="199"/>
      <c r="AM215" s="199"/>
    </row>
    <row r="216" spans="1:39" ht="15.75" customHeight="1">
      <c r="A216" s="1162">
        <v>55</v>
      </c>
      <c r="B216" s="1840" t="s">
        <v>5086</v>
      </c>
      <c r="C216" s="1121" t="s">
        <v>31</v>
      </c>
      <c r="D216" s="1820" t="s">
        <v>5087</v>
      </c>
      <c r="E216" s="1004" t="s">
        <v>5088</v>
      </c>
      <c r="F216" s="274" t="s">
        <v>759</v>
      </c>
      <c r="G216" s="345" t="s">
        <v>76</v>
      </c>
      <c r="H216" s="274" t="s">
        <v>266</v>
      </c>
      <c r="I216" s="343">
        <v>9002071650</v>
      </c>
      <c r="J216" s="343"/>
      <c r="K216" s="307" t="s">
        <v>253</v>
      </c>
      <c r="L216" s="274" t="s">
        <v>44</v>
      </c>
      <c r="M216" s="342">
        <v>30843</v>
      </c>
      <c r="N216" s="342">
        <v>52778</v>
      </c>
      <c r="O216" s="1853">
        <v>45928</v>
      </c>
      <c r="P216" s="1027">
        <v>45691</v>
      </c>
      <c r="Q216" s="342">
        <v>45691</v>
      </c>
      <c r="R216" s="280"/>
      <c r="S216" s="280"/>
      <c r="T216" s="281" t="s">
        <v>4470</v>
      </c>
      <c r="U216" s="281" t="s">
        <v>4471</v>
      </c>
      <c r="V216" s="280">
        <f t="shared" si="45"/>
        <v>11</v>
      </c>
      <c r="W216" s="1854">
        <f t="shared" ca="1" si="52"/>
        <v>41</v>
      </c>
      <c r="X216" s="1034"/>
      <c r="Y216" s="1034"/>
      <c r="Z216" s="1034"/>
      <c r="AA216" s="1034"/>
      <c r="AC216" s="199"/>
      <c r="AD216" s="199"/>
      <c r="AE216" s="199"/>
      <c r="AF216" s="199"/>
      <c r="AG216" s="199"/>
      <c r="AH216" s="199"/>
      <c r="AI216" s="199"/>
      <c r="AJ216" s="199"/>
      <c r="AK216" s="199"/>
      <c r="AL216" s="199"/>
      <c r="AM216" s="199"/>
    </row>
    <row r="217" spans="1:39" ht="15.75" customHeight="1">
      <c r="A217" s="1162">
        <v>56</v>
      </c>
      <c r="B217" s="351" t="s">
        <v>5089</v>
      </c>
      <c r="C217" s="1121" t="s">
        <v>31</v>
      </c>
      <c r="D217" s="1820" t="s">
        <v>5090</v>
      </c>
      <c r="E217" s="1004" t="s">
        <v>5091</v>
      </c>
      <c r="F217" s="284" t="s">
        <v>3258</v>
      </c>
      <c r="G217" s="274" t="s">
        <v>76</v>
      </c>
      <c r="H217" s="274" t="s">
        <v>266</v>
      </c>
      <c r="I217" s="275">
        <v>9002071295</v>
      </c>
      <c r="J217" s="275">
        <v>9002071295</v>
      </c>
      <c r="K217" s="307" t="s">
        <v>253</v>
      </c>
      <c r="L217" s="303" t="s">
        <v>54</v>
      </c>
      <c r="M217" s="272">
        <v>32821</v>
      </c>
      <c r="N217" s="272">
        <v>54757</v>
      </c>
      <c r="O217" s="320">
        <v>45957</v>
      </c>
      <c r="P217" s="278">
        <v>45141</v>
      </c>
      <c r="Q217" s="272">
        <v>45108</v>
      </c>
      <c r="R217" s="280"/>
      <c r="S217" s="79"/>
      <c r="T217" s="281" t="s">
        <v>5092</v>
      </c>
      <c r="U217" s="281" t="s">
        <v>5093</v>
      </c>
      <c r="V217" s="280">
        <f t="shared" si="45"/>
        <v>11</v>
      </c>
      <c r="W217" s="282">
        <f t="shared" ca="1" si="52"/>
        <v>36</v>
      </c>
      <c r="X217" s="79"/>
      <c r="Y217" s="79"/>
      <c r="Z217" s="79"/>
      <c r="AA217" s="79"/>
      <c r="AC217" s="298"/>
      <c r="AD217" s="298"/>
      <c r="AE217" s="298"/>
      <c r="AF217" s="311"/>
      <c r="AG217" s="311"/>
      <c r="AH217" s="311"/>
      <c r="AI217" s="311"/>
      <c r="AJ217" s="311"/>
      <c r="AK217" s="311"/>
      <c r="AL217" s="311"/>
      <c r="AM217" s="311"/>
    </row>
    <row r="218" spans="1:39" ht="17.25" customHeight="1">
      <c r="A218" s="1162">
        <v>58</v>
      </c>
      <c r="B218" s="1855" t="s">
        <v>5094</v>
      </c>
      <c r="C218" s="405" t="s">
        <v>31</v>
      </c>
      <c r="D218" s="1458" t="s">
        <v>5095</v>
      </c>
      <c r="E218" s="620" t="s">
        <v>5096</v>
      </c>
      <c r="F218" s="685" t="s">
        <v>759</v>
      </c>
      <c r="G218" s="337" t="s">
        <v>76</v>
      </c>
      <c r="H218" s="307"/>
      <c r="I218" s="307">
        <v>8420320033</v>
      </c>
      <c r="J218" s="303"/>
      <c r="K218" s="307" t="s">
        <v>253</v>
      </c>
      <c r="L218" s="274" t="s">
        <v>417</v>
      </c>
      <c r="M218" s="278">
        <v>31392</v>
      </c>
      <c r="N218" s="278">
        <v>53327</v>
      </c>
      <c r="O218" s="921"/>
      <c r="P218" s="278"/>
      <c r="Q218" s="1856"/>
      <c r="R218" s="285"/>
      <c r="S218" s="285"/>
      <c r="T218" s="318" t="s">
        <v>5097</v>
      </c>
      <c r="U218" s="285"/>
      <c r="V218" s="285">
        <f t="shared" si="45"/>
        <v>11</v>
      </c>
      <c r="W218" s="3"/>
      <c r="X218" s="3"/>
      <c r="Y218" s="3"/>
      <c r="Z218" s="79"/>
      <c r="AA218" s="79"/>
      <c r="AB218" s="311">
        <f ca="1">INT((TODAY()-M218)/365)</f>
        <v>40</v>
      </c>
    </row>
    <row r="219" spans="1:39" ht="15.75" customHeight="1">
      <c r="A219" s="1162">
        <v>59</v>
      </c>
      <c r="B219" s="293" t="s">
        <v>5098</v>
      </c>
      <c r="C219" s="405" t="s">
        <v>31</v>
      </c>
      <c r="D219" s="1448" t="s">
        <v>5099</v>
      </c>
      <c r="E219" s="303" t="s">
        <v>5100</v>
      </c>
      <c r="F219" s="18" t="s">
        <v>759</v>
      </c>
      <c r="G219" s="303" t="s">
        <v>76</v>
      </c>
      <c r="H219" s="274" t="s">
        <v>266</v>
      </c>
      <c r="I219" s="275">
        <v>9735391603</v>
      </c>
      <c r="J219" s="284">
        <v>9735391603</v>
      </c>
      <c r="K219" s="307" t="s">
        <v>253</v>
      </c>
      <c r="L219" s="303" t="s">
        <v>54</v>
      </c>
      <c r="M219" s="272">
        <v>31887</v>
      </c>
      <c r="N219" s="272">
        <v>53812</v>
      </c>
      <c r="O219" s="272">
        <v>45837</v>
      </c>
      <c r="P219" s="279">
        <v>45337</v>
      </c>
      <c r="Q219" s="302">
        <v>45316</v>
      </c>
      <c r="R219" s="998"/>
      <c r="S219" s="485"/>
      <c r="T219" s="486" t="s">
        <v>5101</v>
      </c>
      <c r="U219" s="1363" t="s">
        <v>5102</v>
      </c>
      <c r="V219" s="382">
        <f t="shared" si="45"/>
        <v>11</v>
      </c>
      <c r="W219" s="382"/>
      <c r="X219" s="282">
        <f ca="1">INT((TODAY()-M219)/365)</f>
        <v>38</v>
      </c>
      <c r="Y219" s="382"/>
      <c r="Z219" s="382"/>
      <c r="AA219" s="382"/>
      <c r="AB219" s="311"/>
      <c r="AC219" s="311"/>
      <c r="AD219" s="311"/>
      <c r="AE219" s="311"/>
      <c r="AF219" s="311"/>
      <c r="AG219" s="311"/>
      <c r="AH219" s="311"/>
      <c r="AI219" s="311"/>
      <c r="AJ219" s="311"/>
      <c r="AK219" s="311"/>
      <c r="AL219" s="311"/>
      <c r="AM219" s="311"/>
    </row>
    <row r="220" spans="1:39" ht="15.75" customHeight="1">
      <c r="A220" s="1162">
        <v>60</v>
      </c>
      <c r="B220" s="351" t="s">
        <v>5103</v>
      </c>
      <c r="C220" s="1121" t="s">
        <v>31</v>
      </c>
      <c r="D220" s="1820" t="s">
        <v>5104</v>
      </c>
      <c r="E220" s="303" t="s">
        <v>5105</v>
      </c>
      <c r="F220" s="274" t="s">
        <v>759</v>
      </c>
      <c r="G220" s="274" t="s">
        <v>76</v>
      </c>
      <c r="H220" s="274" t="s">
        <v>266</v>
      </c>
      <c r="I220" s="275">
        <v>9002071282</v>
      </c>
      <c r="J220" s="307"/>
      <c r="K220" s="307" t="s">
        <v>253</v>
      </c>
      <c r="L220" s="274" t="s">
        <v>55</v>
      </c>
      <c r="M220" s="272">
        <v>32326</v>
      </c>
      <c r="N220" s="272">
        <v>54270</v>
      </c>
      <c r="O220" s="277">
        <v>45887</v>
      </c>
      <c r="P220" s="315">
        <v>45190</v>
      </c>
      <c r="Q220" s="272">
        <v>45108</v>
      </c>
      <c r="R220" s="280"/>
      <c r="S220" s="280"/>
      <c r="T220" s="281" t="s">
        <v>506</v>
      </c>
      <c r="U220" s="281" t="s">
        <v>5106</v>
      </c>
      <c r="V220" s="280">
        <f t="shared" si="45"/>
        <v>11</v>
      </c>
      <c r="W220" s="282">
        <f ca="1">INT((TODAY()-M220)/365)</f>
        <v>37</v>
      </c>
      <c r="X220" s="79"/>
      <c r="Y220" s="79"/>
      <c r="Z220" s="79"/>
      <c r="AA220" s="79"/>
    </row>
    <row r="221" spans="1:39" ht="15.75" customHeight="1">
      <c r="A221" s="1162">
        <v>61</v>
      </c>
      <c r="B221" s="293" t="s">
        <v>5107</v>
      </c>
      <c r="C221" s="1301" t="s">
        <v>31</v>
      </c>
      <c r="D221" s="1466" t="s">
        <v>5108</v>
      </c>
      <c r="E221" s="345" t="s">
        <v>5109</v>
      </c>
      <c r="F221" s="274" t="s">
        <v>759</v>
      </c>
      <c r="G221" s="274" t="s">
        <v>77</v>
      </c>
      <c r="H221" s="274" t="s">
        <v>266</v>
      </c>
      <c r="I221" s="275">
        <v>6290020860</v>
      </c>
      <c r="J221" s="275">
        <v>6290020860</v>
      </c>
      <c r="K221" s="274" t="s">
        <v>253</v>
      </c>
      <c r="L221" s="125" t="s">
        <v>69</v>
      </c>
      <c r="M221" s="272">
        <v>29528</v>
      </c>
      <c r="N221" s="272">
        <v>51470</v>
      </c>
      <c r="O221" s="279">
        <v>45402</v>
      </c>
      <c r="P221" s="278">
        <v>45499</v>
      </c>
      <c r="Q221" s="419">
        <v>45356</v>
      </c>
      <c r="R221" s="280"/>
      <c r="S221" s="603" t="s">
        <v>5110</v>
      </c>
      <c r="T221" s="486" t="s">
        <v>5111</v>
      </c>
      <c r="U221" s="485"/>
      <c r="V221" s="485">
        <f t="shared" si="45"/>
        <v>11</v>
      </c>
      <c r="W221" s="382"/>
      <c r="X221" s="282">
        <f ca="1">INT((TODAY()-M221)/365)</f>
        <v>45</v>
      </c>
      <c r="Y221" s="382"/>
      <c r="Z221" s="382"/>
      <c r="AA221" s="382"/>
      <c r="AB221" s="311"/>
      <c r="AC221" s="311"/>
      <c r="AD221" s="311"/>
      <c r="AE221" s="311"/>
      <c r="AF221" s="311"/>
      <c r="AG221" s="311"/>
      <c r="AH221" s="311"/>
      <c r="AI221" s="311"/>
      <c r="AJ221" s="311"/>
      <c r="AK221" s="311"/>
      <c r="AL221" s="311"/>
      <c r="AM221" s="311"/>
    </row>
    <row r="222" spans="1:39" ht="15.75" customHeight="1">
      <c r="A222" s="1162">
        <v>62</v>
      </c>
      <c r="B222" s="276" t="s">
        <v>5112</v>
      </c>
      <c r="C222" s="405" t="s">
        <v>31</v>
      </c>
      <c r="D222" s="1458" t="s">
        <v>5113</v>
      </c>
      <c r="E222" s="1004" t="s">
        <v>5114</v>
      </c>
      <c r="F222" s="685" t="s">
        <v>759</v>
      </c>
      <c r="G222" s="337" t="s">
        <v>76</v>
      </c>
      <c r="H222" s="303" t="s">
        <v>279</v>
      </c>
      <c r="I222" s="307">
        <v>9002071396</v>
      </c>
      <c r="J222" s="307">
        <v>9002071396</v>
      </c>
      <c r="K222" s="307" t="s">
        <v>253</v>
      </c>
      <c r="L222" s="18" t="s">
        <v>64</v>
      </c>
      <c r="M222" s="278">
        <v>30735</v>
      </c>
      <c r="N222" s="315">
        <v>52656</v>
      </c>
      <c r="O222" s="278">
        <v>45870</v>
      </c>
      <c r="P222" s="278">
        <v>45748</v>
      </c>
      <c r="Q222" s="302">
        <v>45705</v>
      </c>
      <c r="R222" s="285"/>
      <c r="S222" s="285"/>
      <c r="T222" s="318" t="s">
        <v>5115</v>
      </c>
      <c r="U222" s="318" t="s">
        <v>5116</v>
      </c>
      <c r="V222" s="285">
        <f t="shared" si="45"/>
        <v>11</v>
      </c>
      <c r="W222" s="3"/>
      <c r="X222" s="3"/>
      <c r="Y222" s="3"/>
      <c r="Z222" s="79"/>
      <c r="AA222" s="79"/>
      <c r="AB222" s="311">
        <f t="shared" ref="AB222:AB223" ca="1" si="53">INT((TODAY()-M222)/365)</f>
        <v>42</v>
      </c>
    </row>
    <row r="223" spans="1:39" ht="15.75" customHeight="1">
      <c r="A223" s="1162">
        <v>63</v>
      </c>
      <c r="B223" s="293" t="s">
        <v>5117</v>
      </c>
      <c r="C223" s="405" t="s">
        <v>31</v>
      </c>
      <c r="D223" s="1448" t="s">
        <v>5118</v>
      </c>
      <c r="E223" s="1053" t="s">
        <v>5119</v>
      </c>
      <c r="F223" s="685" t="s">
        <v>759</v>
      </c>
      <c r="G223" s="274" t="s">
        <v>77</v>
      </c>
      <c r="H223" s="303" t="s">
        <v>279</v>
      </c>
      <c r="I223" s="275">
        <v>9002071265</v>
      </c>
      <c r="J223" s="415">
        <v>9002071265</v>
      </c>
      <c r="K223" s="307" t="s">
        <v>253</v>
      </c>
      <c r="L223" s="275" t="s">
        <v>43</v>
      </c>
      <c r="M223" s="272">
        <v>31138</v>
      </c>
      <c r="N223" s="272">
        <v>53052</v>
      </c>
      <c r="O223" s="272">
        <v>45854</v>
      </c>
      <c r="P223" s="272">
        <v>45257</v>
      </c>
      <c r="Q223" s="272">
        <v>45242</v>
      </c>
      <c r="R223" s="285"/>
      <c r="S223" s="485"/>
      <c r="T223" s="486" t="s">
        <v>5120</v>
      </c>
      <c r="U223" s="486" t="s">
        <v>5121</v>
      </c>
      <c r="V223" s="382">
        <f t="shared" si="45"/>
        <v>11</v>
      </c>
      <c r="W223" s="311"/>
      <c r="X223" s="311"/>
      <c r="Y223" s="311"/>
      <c r="Z223" s="311"/>
      <c r="AA223" s="311"/>
      <c r="AB223" s="311">
        <f t="shared" ca="1" si="53"/>
        <v>40</v>
      </c>
    </row>
    <row r="224" spans="1:39" ht="15" customHeight="1">
      <c r="A224" s="1162">
        <v>64</v>
      </c>
      <c r="B224" s="293" t="s">
        <v>5122</v>
      </c>
      <c r="C224" s="561" t="s">
        <v>31</v>
      </c>
      <c r="D224" s="1448" t="s">
        <v>5123</v>
      </c>
      <c r="E224" s="345" t="s">
        <v>5124</v>
      </c>
      <c r="F224" s="274" t="s">
        <v>759</v>
      </c>
      <c r="G224" s="274" t="s">
        <v>77</v>
      </c>
      <c r="H224" s="274" t="s">
        <v>266</v>
      </c>
      <c r="I224" s="275">
        <v>7001474101</v>
      </c>
      <c r="J224" s="275"/>
      <c r="K224" s="274" t="s">
        <v>253</v>
      </c>
      <c r="L224" s="274" t="s">
        <v>67</v>
      </c>
      <c r="M224" s="272">
        <v>30379</v>
      </c>
      <c r="N224" s="272">
        <v>52321</v>
      </c>
      <c r="O224" s="272">
        <v>45265</v>
      </c>
      <c r="P224" s="279">
        <v>45375</v>
      </c>
      <c r="Q224" s="302">
        <v>45316</v>
      </c>
      <c r="R224" s="1134"/>
      <c r="S224" s="485"/>
      <c r="T224" s="486" t="s">
        <v>5125</v>
      </c>
      <c r="U224" s="485"/>
      <c r="V224" s="485">
        <f t="shared" si="45"/>
        <v>11</v>
      </c>
      <c r="W224" s="382"/>
      <c r="X224" s="282">
        <f t="shared" ref="X224:X225" ca="1" si="54">INT((TODAY()-M224)/365)</f>
        <v>43</v>
      </c>
      <c r="Y224" s="382"/>
      <c r="Z224" s="382"/>
      <c r="AA224" s="382"/>
      <c r="AB224" s="311"/>
      <c r="AC224" s="311"/>
      <c r="AD224" s="311"/>
      <c r="AE224" s="311"/>
      <c r="AF224" s="311"/>
      <c r="AG224" s="311"/>
      <c r="AH224" s="311"/>
      <c r="AI224" s="311"/>
      <c r="AJ224" s="311"/>
      <c r="AK224" s="311"/>
      <c r="AL224" s="311"/>
      <c r="AM224" s="311"/>
    </row>
    <row r="225" spans="1:39" ht="15.75" customHeight="1">
      <c r="A225" s="1162">
        <v>65</v>
      </c>
      <c r="B225" s="351" t="s">
        <v>5126</v>
      </c>
      <c r="C225" s="1121" t="s">
        <v>31</v>
      </c>
      <c r="D225" s="1448" t="s">
        <v>5127</v>
      </c>
      <c r="E225" s="1004" t="s">
        <v>5128</v>
      </c>
      <c r="F225" s="18" t="s">
        <v>759</v>
      </c>
      <c r="G225" s="274" t="s">
        <v>76</v>
      </c>
      <c r="H225" s="274" t="s">
        <v>266</v>
      </c>
      <c r="I225" s="275">
        <v>9804842612</v>
      </c>
      <c r="J225" s="690"/>
      <c r="K225" s="307" t="s">
        <v>253</v>
      </c>
      <c r="L225" s="275" t="s">
        <v>44</v>
      </c>
      <c r="M225" s="272">
        <v>29974</v>
      </c>
      <c r="N225" s="272">
        <v>51897</v>
      </c>
      <c r="O225" s="272">
        <v>45916</v>
      </c>
      <c r="P225" s="272">
        <v>45691</v>
      </c>
      <c r="Q225" s="272">
        <v>45142</v>
      </c>
      <c r="R225" s="998"/>
      <c r="S225" s="485"/>
      <c r="T225" s="486" t="s">
        <v>5129</v>
      </c>
      <c r="U225" s="486" t="s">
        <v>5130</v>
      </c>
      <c r="V225" s="382">
        <f t="shared" si="45"/>
        <v>11</v>
      </c>
      <c r="W225" s="382"/>
      <c r="X225" s="282">
        <f t="shared" ca="1" si="54"/>
        <v>44</v>
      </c>
      <c r="Y225" s="382"/>
      <c r="Z225" s="382"/>
      <c r="AA225" s="382"/>
      <c r="AB225" s="311"/>
    </row>
    <row r="226" spans="1:39" ht="15.75" customHeight="1">
      <c r="A226" s="1162">
        <v>66</v>
      </c>
      <c r="B226" s="276" t="s">
        <v>5131</v>
      </c>
      <c r="C226" s="405" t="s">
        <v>31</v>
      </c>
      <c r="D226" s="1460" t="s">
        <v>5132</v>
      </c>
      <c r="E226" s="303" t="s">
        <v>5133</v>
      </c>
      <c r="F226" s="685" t="s">
        <v>759</v>
      </c>
      <c r="G226" s="337" t="s">
        <v>77</v>
      </c>
      <c r="H226" s="303" t="s">
        <v>279</v>
      </c>
      <c r="I226" s="307">
        <v>9002079602</v>
      </c>
      <c r="J226" s="275"/>
      <c r="K226" s="307" t="s">
        <v>253</v>
      </c>
      <c r="L226" s="398" t="s">
        <v>56</v>
      </c>
      <c r="M226" s="278">
        <v>27708</v>
      </c>
      <c r="N226" s="315">
        <v>49643</v>
      </c>
      <c r="O226" s="278">
        <v>45614</v>
      </c>
      <c r="P226" s="278">
        <v>45891</v>
      </c>
      <c r="Q226" s="302">
        <v>45481</v>
      </c>
      <c r="R226" s="285"/>
      <c r="S226" s="285"/>
      <c r="T226" s="318" t="s">
        <v>5134</v>
      </c>
      <c r="U226" s="318" t="s">
        <v>5135</v>
      </c>
      <c r="V226" s="285">
        <f t="shared" si="45"/>
        <v>11</v>
      </c>
      <c r="W226" s="90"/>
      <c r="X226" s="90"/>
      <c r="Y226" s="90"/>
      <c r="AB226" s="311">
        <f t="shared" ref="AB226:AB227" ca="1" si="55">INT((TODAY()-M226)/365)</f>
        <v>50</v>
      </c>
    </row>
    <row r="227" spans="1:39" ht="15.75" customHeight="1">
      <c r="A227" s="1162">
        <v>67</v>
      </c>
      <c r="B227" s="276" t="s">
        <v>5136</v>
      </c>
      <c r="C227" s="307" t="s">
        <v>31</v>
      </c>
      <c r="D227" s="1460" t="s">
        <v>5137</v>
      </c>
      <c r="E227" s="303" t="s">
        <v>5138</v>
      </c>
      <c r="F227" s="685" t="s">
        <v>759</v>
      </c>
      <c r="G227" s="337" t="s">
        <v>76</v>
      </c>
      <c r="H227" s="303" t="s">
        <v>279</v>
      </c>
      <c r="I227" s="307">
        <v>9002071039</v>
      </c>
      <c r="J227" s="307"/>
      <c r="K227" s="307" t="s">
        <v>253</v>
      </c>
      <c r="L227" s="274" t="s">
        <v>43</v>
      </c>
      <c r="M227" s="278">
        <v>28587</v>
      </c>
      <c r="N227" s="315">
        <v>50525</v>
      </c>
      <c r="O227" s="278">
        <v>45386</v>
      </c>
      <c r="P227" s="279">
        <v>45212</v>
      </c>
      <c r="Q227" s="302">
        <v>45177</v>
      </c>
      <c r="R227" s="285"/>
      <c r="S227" s="285"/>
      <c r="T227" s="285"/>
      <c r="U227" s="318" t="s">
        <v>5139</v>
      </c>
      <c r="V227" s="285">
        <f t="shared" si="45"/>
        <v>11</v>
      </c>
      <c r="W227" s="90"/>
      <c r="X227" s="90"/>
      <c r="Y227" s="90"/>
      <c r="AB227" s="311">
        <f t="shared" ca="1" si="55"/>
        <v>47</v>
      </c>
    </row>
    <row r="228" spans="1:39" ht="15.75" customHeight="1">
      <c r="A228" s="1162">
        <v>68</v>
      </c>
      <c r="B228" s="351" t="s">
        <v>5140</v>
      </c>
      <c r="C228" s="307" t="s">
        <v>31</v>
      </c>
      <c r="D228" s="1640" t="s">
        <v>5141</v>
      </c>
      <c r="E228" s="1004" t="s">
        <v>5142</v>
      </c>
      <c r="F228" s="274" t="s">
        <v>759</v>
      </c>
      <c r="G228" s="274" t="s">
        <v>76</v>
      </c>
      <c r="H228" s="274" t="s">
        <v>266</v>
      </c>
      <c r="I228" s="275">
        <v>9002079727</v>
      </c>
      <c r="J228" s="275"/>
      <c r="K228" s="307" t="s">
        <v>253</v>
      </c>
      <c r="L228" s="537" t="s">
        <v>48</v>
      </c>
      <c r="M228" s="272">
        <v>30803</v>
      </c>
      <c r="N228" s="272">
        <v>52717</v>
      </c>
      <c r="O228" s="320">
        <v>45199</v>
      </c>
      <c r="P228" s="272">
        <v>45776</v>
      </c>
      <c r="Q228" s="272">
        <v>45766</v>
      </c>
      <c r="R228" s="280"/>
      <c r="S228" s="280"/>
      <c r="T228" s="281" t="s">
        <v>5143</v>
      </c>
      <c r="U228" s="280"/>
      <c r="V228" s="280">
        <f t="shared" si="45"/>
        <v>11</v>
      </c>
      <c r="W228" s="208">
        <f t="shared" ref="W228:W229" ca="1" si="56">INT((TODAY()-M228)/365)</f>
        <v>41</v>
      </c>
      <c r="X228" s="79"/>
      <c r="Y228" s="79"/>
      <c r="Z228" s="79"/>
      <c r="AA228" s="79"/>
    </row>
    <row r="229" spans="1:39" ht="15.75" customHeight="1">
      <c r="A229" s="1162">
        <v>69</v>
      </c>
      <c r="B229" s="301" t="s">
        <v>5144</v>
      </c>
      <c r="C229" s="18" t="s">
        <v>31</v>
      </c>
      <c r="D229" s="1820" t="s">
        <v>5145</v>
      </c>
      <c r="E229" s="303" t="s">
        <v>5146</v>
      </c>
      <c r="F229" s="18" t="s">
        <v>3258</v>
      </c>
      <c r="G229" s="274" t="s">
        <v>76</v>
      </c>
      <c r="H229" s="274" t="s">
        <v>266</v>
      </c>
      <c r="I229" s="275">
        <v>9002071125</v>
      </c>
      <c r="J229" s="275"/>
      <c r="K229" s="307" t="s">
        <v>253</v>
      </c>
      <c r="L229" s="274" t="s">
        <v>55</v>
      </c>
      <c r="M229" s="272">
        <v>32203</v>
      </c>
      <c r="N229" s="272">
        <v>54117</v>
      </c>
      <c r="O229" s="320">
        <v>45916</v>
      </c>
      <c r="P229" s="278">
        <v>45559</v>
      </c>
      <c r="Q229" s="279">
        <v>45527</v>
      </c>
      <c r="R229" s="280"/>
      <c r="S229" s="280"/>
      <c r="T229" s="281" t="s">
        <v>5147</v>
      </c>
      <c r="U229" s="281" t="s">
        <v>5148</v>
      </c>
      <c r="V229" s="280">
        <f t="shared" si="45"/>
        <v>11</v>
      </c>
      <c r="W229" s="208">
        <f t="shared" ca="1" si="56"/>
        <v>38</v>
      </c>
    </row>
    <row r="230" spans="1:39" ht="15.75" customHeight="1">
      <c r="A230" s="1162">
        <v>70</v>
      </c>
      <c r="B230" s="276" t="s">
        <v>5149</v>
      </c>
      <c r="C230" s="307" t="s">
        <v>31</v>
      </c>
      <c r="D230" s="1460" t="s">
        <v>5150</v>
      </c>
      <c r="E230" s="303" t="s">
        <v>5151</v>
      </c>
      <c r="F230" s="685" t="s">
        <v>759</v>
      </c>
      <c r="G230" s="337" t="s">
        <v>76</v>
      </c>
      <c r="H230" s="303" t="s">
        <v>279</v>
      </c>
      <c r="I230" s="307">
        <v>8420320045</v>
      </c>
      <c r="J230" s="935">
        <v>8420320045</v>
      </c>
      <c r="K230" s="307" t="s">
        <v>253</v>
      </c>
      <c r="L230" s="125" t="s">
        <v>67</v>
      </c>
      <c r="M230" s="278">
        <v>32039</v>
      </c>
      <c r="N230" s="315">
        <v>53965</v>
      </c>
      <c r="O230" s="278">
        <v>45852</v>
      </c>
      <c r="P230" s="278">
        <v>45748</v>
      </c>
      <c r="Q230" s="302">
        <v>45705</v>
      </c>
      <c r="R230" s="285"/>
      <c r="S230" s="285"/>
      <c r="T230" s="318" t="s">
        <v>5152</v>
      </c>
      <c r="U230" s="318" t="s">
        <v>5153</v>
      </c>
      <c r="V230" s="285">
        <f t="shared" si="45"/>
        <v>11</v>
      </c>
      <c r="W230" s="90"/>
      <c r="X230" s="90"/>
      <c r="Y230" s="90"/>
      <c r="AB230" s="311">
        <f ca="1">INT((TODAY()-M230)/365)</f>
        <v>38</v>
      </c>
    </row>
    <row r="231" spans="1:39" ht="15.75" customHeight="1">
      <c r="A231" s="1162">
        <v>71</v>
      </c>
      <c r="B231" s="293" t="s">
        <v>5154</v>
      </c>
      <c r="C231" s="307" t="s">
        <v>31</v>
      </c>
      <c r="D231" s="562" t="s">
        <v>5155</v>
      </c>
      <c r="E231" s="303" t="s">
        <v>5156</v>
      </c>
      <c r="F231" s="18" t="s">
        <v>759</v>
      </c>
      <c r="G231" s="274" t="s">
        <v>76</v>
      </c>
      <c r="H231" s="274" t="s">
        <v>266</v>
      </c>
      <c r="I231" s="275">
        <v>9002071652</v>
      </c>
      <c r="J231" s="306">
        <v>9123341899</v>
      </c>
      <c r="K231" s="307" t="s">
        <v>253</v>
      </c>
      <c r="L231" s="398" t="s">
        <v>55</v>
      </c>
      <c r="M231" s="272">
        <v>32546</v>
      </c>
      <c r="N231" s="272">
        <v>54482</v>
      </c>
      <c r="O231" s="272">
        <v>46048</v>
      </c>
      <c r="P231" s="272">
        <v>45776</v>
      </c>
      <c r="Q231" s="272">
        <v>45766</v>
      </c>
      <c r="R231" s="1134"/>
      <c r="S231" s="485"/>
      <c r="T231" s="486" t="s">
        <v>5157</v>
      </c>
      <c r="U231" s="486" t="s">
        <v>5158</v>
      </c>
      <c r="V231" s="382">
        <f t="shared" si="45"/>
        <v>11</v>
      </c>
      <c r="W231" s="311"/>
      <c r="X231" s="208">
        <f ca="1">INT((TODAY()-M231)/365)</f>
        <v>37</v>
      </c>
      <c r="Y231" s="311"/>
      <c r="Z231" s="311"/>
      <c r="AA231" s="311"/>
      <c r="AB231" s="311"/>
      <c r="AC231" s="311"/>
      <c r="AD231" s="311"/>
      <c r="AE231" s="311"/>
      <c r="AF231" s="311"/>
      <c r="AG231" s="311"/>
      <c r="AH231" s="311"/>
      <c r="AI231" s="311"/>
      <c r="AJ231" s="311"/>
      <c r="AK231" s="311"/>
      <c r="AL231" s="311"/>
      <c r="AM231" s="311"/>
    </row>
    <row r="232" spans="1:39" ht="15.75" customHeight="1">
      <c r="A232" s="1162">
        <v>72</v>
      </c>
      <c r="B232" s="351" t="s">
        <v>5159</v>
      </c>
      <c r="C232" s="18" t="s">
        <v>31</v>
      </c>
      <c r="D232" s="1820" t="s">
        <v>5160</v>
      </c>
      <c r="E232" s="303" t="s">
        <v>5161</v>
      </c>
      <c r="F232" s="900" t="s">
        <v>759</v>
      </c>
      <c r="G232" s="274" t="s">
        <v>76</v>
      </c>
      <c r="H232" s="274" t="s">
        <v>279</v>
      </c>
      <c r="I232" s="275">
        <v>9002071147</v>
      </c>
      <c r="J232" s="1857">
        <v>8013842238</v>
      </c>
      <c r="K232" s="307" t="s">
        <v>253</v>
      </c>
      <c r="L232" s="274" t="s">
        <v>351</v>
      </c>
      <c r="M232" s="272">
        <v>31756</v>
      </c>
      <c r="N232" s="272">
        <v>53692</v>
      </c>
      <c r="O232" s="320">
        <v>45958</v>
      </c>
      <c r="P232" s="272">
        <v>45691</v>
      </c>
      <c r="Q232" s="272">
        <v>45691</v>
      </c>
      <c r="R232" s="280"/>
      <c r="S232" s="280"/>
      <c r="T232" s="281" t="s">
        <v>5162</v>
      </c>
      <c r="U232" s="281" t="s">
        <v>5163</v>
      </c>
      <c r="V232" s="280">
        <f t="shared" si="45"/>
        <v>11</v>
      </c>
      <c r="W232" s="208">
        <f ca="1">INT((TODAY()-M232)/365)</f>
        <v>39</v>
      </c>
    </row>
    <row r="233" spans="1:39" ht="15.75" customHeight="1">
      <c r="A233" s="1162">
        <v>73</v>
      </c>
      <c r="B233" s="276" t="s">
        <v>5164</v>
      </c>
      <c r="C233" s="307" t="s">
        <v>31</v>
      </c>
      <c r="D233" s="1460" t="s">
        <v>5165</v>
      </c>
      <c r="E233" s="703" t="s">
        <v>5166</v>
      </c>
      <c r="F233" s="685" t="s">
        <v>759</v>
      </c>
      <c r="G233" s="1723" t="s">
        <v>77</v>
      </c>
      <c r="H233" s="303" t="s">
        <v>279</v>
      </c>
      <c r="I233" s="703">
        <v>8420320039</v>
      </c>
      <c r="J233" s="703">
        <v>9475029993</v>
      </c>
      <c r="K233" s="307" t="s">
        <v>253</v>
      </c>
      <c r="L233" s="125" t="s">
        <v>67</v>
      </c>
      <c r="M233" s="278">
        <v>26982</v>
      </c>
      <c r="N233" s="315">
        <v>48913</v>
      </c>
      <c r="O233" s="278">
        <v>45329</v>
      </c>
      <c r="P233" s="278">
        <v>46165</v>
      </c>
      <c r="Q233" s="302">
        <v>44978</v>
      </c>
      <c r="R233" s="285"/>
      <c r="S233" s="285"/>
      <c r="T233" s="285"/>
      <c r="U233" s="318" t="s">
        <v>5167</v>
      </c>
      <c r="V233" s="285">
        <f t="shared" si="45"/>
        <v>11</v>
      </c>
      <c r="W233" s="90"/>
      <c r="X233" s="90"/>
      <c r="Y233" s="90"/>
      <c r="AB233" s="311">
        <f t="shared" ref="AB233:AB234" ca="1" si="57">INT((TODAY()-M233)/365)</f>
        <v>52</v>
      </c>
    </row>
    <row r="234" spans="1:39" ht="15.75" customHeight="1">
      <c r="A234" s="1162">
        <v>74</v>
      </c>
      <c r="B234" s="276" t="s">
        <v>5168</v>
      </c>
      <c r="C234" s="307" t="s">
        <v>31</v>
      </c>
      <c r="D234" s="1458" t="s">
        <v>5169</v>
      </c>
      <c r="E234" s="303" t="s">
        <v>5170</v>
      </c>
      <c r="F234" s="685" t="s">
        <v>759</v>
      </c>
      <c r="G234" s="337" t="s">
        <v>76</v>
      </c>
      <c r="H234" s="303" t="s">
        <v>266</v>
      </c>
      <c r="I234" s="307">
        <v>9002079606</v>
      </c>
      <c r="J234" s="307"/>
      <c r="K234" s="307" t="s">
        <v>253</v>
      </c>
      <c r="L234" s="537" t="s">
        <v>48</v>
      </c>
      <c r="M234" s="921">
        <v>27395</v>
      </c>
      <c r="N234" s="315">
        <v>49309</v>
      </c>
      <c r="O234" s="278"/>
      <c r="P234" s="279">
        <v>45205</v>
      </c>
      <c r="Q234" s="302">
        <v>45481</v>
      </c>
      <c r="R234" s="285"/>
      <c r="S234" s="285"/>
      <c r="T234" s="318" t="s">
        <v>5171</v>
      </c>
      <c r="U234" s="318" t="s">
        <v>5171</v>
      </c>
      <c r="V234" s="285">
        <f t="shared" si="45"/>
        <v>11</v>
      </c>
      <c r="W234" s="90"/>
      <c r="X234" s="90"/>
      <c r="Y234" s="90"/>
      <c r="AB234" s="311">
        <f t="shared" ca="1" si="57"/>
        <v>51</v>
      </c>
    </row>
    <row r="235" spans="1:39" ht="15.75" customHeight="1">
      <c r="A235" s="1162">
        <v>75</v>
      </c>
      <c r="B235" s="351" t="s">
        <v>5172</v>
      </c>
      <c r="C235" s="275" t="s">
        <v>31</v>
      </c>
      <c r="D235" s="1820" t="s">
        <v>5173</v>
      </c>
      <c r="E235" s="491" t="s">
        <v>5174</v>
      </c>
      <c r="F235" s="900" t="s">
        <v>759</v>
      </c>
      <c r="G235" s="274" t="s">
        <v>77</v>
      </c>
      <c r="H235" s="274" t="s">
        <v>266</v>
      </c>
      <c r="I235" s="275">
        <v>7003732839</v>
      </c>
      <c r="J235" s="275"/>
      <c r="K235" s="307" t="s">
        <v>253</v>
      </c>
      <c r="L235" s="274" t="s">
        <v>351</v>
      </c>
      <c r="M235" s="272">
        <v>31243</v>
      </c>
      <c r="N235" s="272">
        <v>53174</v>
      </c>
      <c r="O235" s="320">
        <v>46029</v>
      </c>
      <c r="P235" s="315">
        <v>45913</v>
      </c>
      <c r="Q235" s="272">
        <v>45928</v>
      </c>
      <c r="R235" s="280"/>
      <c r="S235" s="280"/>
      <c r="T235" s="281" t="s">
        <v>5175</v>
      </c>
      <c r="U235" s="281" t="s">
        <v>5176</v>
      </c>
      <c r="V235" s="280">
        <f t="shared" si="45"/>
        <v>11</v>
      </c>
      <c r="W235" s="208">
        <f ca="1">INT((TODAY()-M235)/365)</f>
        <v>40</v>
      </c>
    </row>
    <row r="236" spans="1:39" ht="18.75">
      <c r="A236" s="1162">
        <v>76</v>
      </c>
      <c r="B236" s="276" t="s">
        <v>5177</v>
      </c>
      <c r="C236" s="307" t="s">
        <v>31</v>
      </c>
      <c r="D236" s="1458" t="s">
        <v>5178</v>
      </c>
      <c r="E236" s="303" t="s">
        <v>5179</v>
      </c>
      <c r="F236" s="685" t="s">
        <v>759</v>
      </c>
      <c r="G236" s="337" t="s">
        <v>76</v>
      </c>
      <c r="H236" s="303" t="s">
        <v>279</v>
      </c>
      <c r="I236" s="307">
        <v>8420320038</v>
      </c>
      <c r="J236" s="307">
        <v>8420320038</v>
      </c>
      <c r="K236" s="307" t="s">
        <v>253</v>
      </c>
      <c r="L236" s="18" t="s">
        <v>55</v>
      </c>
      <c r="M236" s="278">
        <v>32147</v>
      </c>
      <c r="N236" s="315">
        <v>54088</v>
      </c>
      <c r="O236" s="278">
        <v>46005</v>
      </c>
      <c r="P236" s="278">
        <v>45115</v>
      </c>
      <c r="Q236" s="856">
        <v>46150</v>
      </c>
      <c r="R236" s="285"/>
      <c r="S236" s="285"/>
      <c r="T236" s="285"/>
      <c r="U236" s="318" t="s">
        <v>5180</v>
      </c>
      <c r="V236" s="285">
        <f t="shared" si="45"/>
        <v>11</v>
      </c>
      <c r="W236" s="90"/>
      <c r="X236" s="90"/>
      <c r="Y236" s="90"/>
      <c r="AB236" s="311">
        <f ca="1">INT((TODAY()-M236)/365)</f>
        <v>38</v>
      </c>
      <c r="AC236" s="199"/>
      <c r="AD236" s="199"/>
      <c r="AE236" s="199"/>
      <c r="AF236" s="199"/>
      <c r="AG236" s="199"/>
      <c r="AH236" s="199"/>
      <c r="AI236" s="199"/>
      <c r="AJ236" s="199"/>
      <c r="AK236" s="199"/>
      <c r="AL236" s="199"/>
      <c r="AM236" s="199"/>
    </row>
    <row r="237" spans="1:39" ht="15.75" customHeight="1">
      <c r="A237" s="1162">
        <v>77</v>
      </c>
      <c r="B237" s="301" t="s">
        <v>5181</v>
      </c>
      <c r="C237" s="18" t="s">
        <v>31</v>
      </c>
      <c r="D237" s="1820" t="s">
        <v>5182</v>
      </c>
      <c r="E237" s="303" t="s">
        <v>5183</v>
      </c>
      <c r="F237" s="900" t="s">
        <v>759</v>
      </c>
      <c r="G237" s="274" t="s">
        <v>76</v>
      </c>
      <c r="H237" s="274" t="s">
        <v>279</v>
      </c>
      <c r="I237" s="275">
        <v>9002071600</v>
      </c>
      <c r="J237" s="284">
        <v>8436574259</v>
      </c>
      <c r="K237" s="307" t="s">
        <v>253</v>
      </c>
      <c r="L237" s="274" t="s">
        <v>54</v>
      </c>
      <c r="M237" s="272">
        <v>31646</v>
      </c>
      <c r="N237" s="272">
        <v>53570</v>
      </c>
      <c r="O237" s="320">
        <v>45931</v>
      </c>
      <c r="P237" s="272">
        <v>45691</v>
      </c>
      <c r="Q237" s="272">
        <v>45691</v>
      </c>
      <c r="R237" s="280"/>
      <c r="S237" s="280"/>
      <c r="T237" s="281" t="s">
        <v>5184</v>
      </c>
      <c r="U237" s="281" t="s">
        <v>5185</v>
      </c>
      <c r="V237" s="280">
        <f t="shared" si="45"/>
        <v>11</v>
      </c>
      <c r="W237" s="208">
        <f ca="1">INT((TODAY()-M237)/365)</f>
        <v>39</v>
      </c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</row>
    <row r="238" spans="1:39" ht="15.75" customHeight="1">
      <c r="A238" s="1162">
        <v>78</v>
      </c>
      <c r="B238" s="293" t="s">
        <v>5186</v>
      </c>
      <c r="C238" s="18" t="s">
        <v>31</v>
      </c>
      <c r="D238" s="562" t="s">
        <v>5187</v>
      </c>
      <c r="E238" s="303" t="s">
        <v>5188</v>
      </c>
      <c r="F238" s="18" t="s">
        <v>759</v>
      </c>
      <c r="G238" s="274" t="s">
        <v>76</v>
      </c>
      <c r="H238" s="274" t="s">
        <v>279</v>
      </c>
      <c r="I238" s="275">
        <v>9002071621</v>
      </c>
      <c r="J238" s="306">
        <v>8013064123</v>
      </c>
      <c r="K238" s="307" t="s">
        <v>253</v>
      </c>
      <c r="L238" s="125" t="s">
        <v>54</v>
      </c>
      <c r="M238" s="272">
        <v>32445</v>
      </c>
      <c r="N238" s="272">
        <v>54362</v>
      </c>
      <c r="O238" s="272">
        <v>45959</v>
      </c>
      <c r="P238" s="278">
        <v>45141</v>
      </c>
      <c r="Q238" s="279">
        <v>45654</v>
      </c>
      <c r="R238" s="1134"/>
      <c r="S238" s="485"/>
      <c r="T238" s="486" t="s">
        <v>5189</v>
      </c>
      <c r="U238" s="486" t="s">
        <v>5190</v>
      </c>
      <c r="V238" s="382">
        <f t="shared" si="45"/>
        <v>11</v>
      </c>
      <c r="W238" s="311"/>
      <c r="X238" s="282">
        <f ca="1">INT((TODAY()-M238)/365)</f>
        <v>37</v>
      </c>
      <c r="Y238" s="382"/>
      <c r="Z238" s="382"/>
      <c r="AA238" s="382"/>
      <c r="AB238" s="382"/>
      <c r="AC238" s="79"/>
      <c r="AD238" s="79"/>
      <c r="AE238" s="79"/>
      <c r="AF238" s="79"/>
      <c r="AG238" s="79"/>
      <c r="AH238" s="79"/>
    </row>
    <row r="239" spans="1:39" ht="15.75" customHeight="1">
      <c r="A239" s="1162">
        <v>79</v>
      </c>
      <c r="B239" s="293" t="s">
        <v>5191</v>
      </c>
      <c r="C239" s="275" t="s">
        <v>31</v>
      </c>
      <c r="D239" s="564" t="s">
        <v>5192</v>
      </c>
      <c r="E239" s="303" t="s">
        <v>5193</v>
      </c>
      <c r="F239" s="685" t="s">
        <v>759</v>
      </c>
      <c r="G239" s="303" t="s">
        <v>76</v>
      </c>
      <c r="H239" s="303" t="s">
        <v>279</v>
      </c>
      <c r="I239" s="275">
        <v>9002071038</v>
      </c>
      <c r="J239" s="690">
        <v>9002071038</v>
      </c>
      <c r="K239" s="307" t="s">
        <v>253</v>
      </c>
      <c r="L239" s="274" t="s">
        <v>256</v>
      </c>
      <c r="M239" s="272">
        <v>29225</v>
      </c>
      <c r="N239" s="289">
        <v>51166</v>
      </c>
      <c r="O239" s="289">
        <v>45290</v>
      </c>
      <c r="P239" s="279">
        <v>45527</v>
      </c>
      <c r="Q239" s="915">
        <v>45453</v>
      </c>
      <c r="R239" s="294"/>
      <c r="S239" s="295"/>
      <c r="T239" s="1858" t="s">
        <v>506</v>
      </c>
      <c r="U239" s="296" t="s">
        <v>5194</v>
      </c>
      <c r="V239" s="297">
        <f>LEN(TEXT(D239,0))</f>
        <v>11</v>
      </c>
      <c r="W239" s="298"/>
      <c r="X239" s="3"/>
      <c r="Y239" s="3"/>
      <c r="Z239" s="79"/>
      <c r="AA239" s="79"/>
      <c r="AB239" s="311">
        <f ca="1">INT((TODAY()-M239)/365)</f>
        <v>46</v>
      </c>
    </row>
    <row r="240" spans="1:39" ht="15.75" customHeight="1">
      <c r="A240" s="1162">
        <v>81</v>
      </c>
      <c r="B240" s="351" t="s">
        <v>5195</v>
      </c>
      <c r="C240" s="18" t="s">
        <v>31</v>
      </c>
      <c r="D240" s="1532" t="s">
        <v>5196</v>
      </c>
      <c r="E240" s="303" t="s">
        <v>5197</v>
      </c>
      <c r="F240" s="900" t="s">
        <v>759</v>
      </c>
      <c r="G240" s="274" t="s">
        <v>77</v>
      </c>
      <c r="H240" s="274" t="s">
        <v>266</v>
      </c>
      <c r="I240" s="275">
        <v>9002071192</v>
      </c>
      <c r="J240" s="275">
        <v>9002071192</v>
      </c>
      <c r="K240" s="307" t="s">
        <v>253</v>
      </c>
      <c r="L240" s="125" t="s">
        <v>69</v>
      </c>
      <c r="M240" s="272">
        <v>28658</v>
      </c>
      <c r="N240" s="272">
        <v>50586</v>
      </c>
      <c r="O240" s="277">
        <v>45458</v>
      </c>
      <c r="P240" s="278">
        <v>45559</v>
      </c>
      <c r="Q240" s="279">
        <v>45527</v>
      </c>
      <c r="R240" s="280"/>
      <c r="S240" s="280"/>
      <c r="T240" s="281" t="s">
        <v>5198</v>
      </c>
      <c r="U240" s="281" t="s">
        <v>5199</v>
      </c>
      <c r="V240" s="280">
        <f t="shared" ref="V240:V247" si="58">LEN(D240)</f>
        <v>11</v>
      </c>
      <c r="W240" s="208">
        <f ca="1">INT((TODAY()-M240)/365)</f>
        <v>47</v>
      </c>
    </row>
    <row r="241" spans="1:39" ht="15.75" customHeight="1">
      <c r="A241" s="1162">
        <v>82</v>
      </c>
      <c r="B241" s="305" t="s">
        <v>5200</v>
      </c>
      <c r="C241" s="307" t="s">
        <v>31</v>
      </c>
      <c r="D241" s="1460" t="s">
        <v>5201</v>
      </c>
      <c r="E241" s="303" t="s">
        <v>5202</v>
      </c>
      <c r="F241" s="685" t="s">
        <v>759</v>
      </c>
      <c r="G241" s="337" t="s">
        <v>78</v>
      </c>
      <c r="H241" s="303" t="s">
        <v>279</v>
      </c>
      <c r="I241" s="307">
        <v>8420320057</v>
      </c>
      <c r="J241" s="307"/>
      <c r="K241" s="307" t="s">
        <v>253</v>
      </c>
      <c r="L241" s="275" t="s">
        <v>44</v>
      </c>
      <c r="M241" s="278">
        <v>29209</v>
      </c>
      <c r="N241" s="315">
        <v>51135</v>
      </c>
      <c r="O241" s="278">
        <v>45646</v>
      </c>
      <c r="P241" s="279">
        <v>45527</v>
      </c>
      <c r="Q241" s="302">
        <v>45705</v>
      </c>
      <c r="R241" s="285"/>
      <c r="S241" s="285"/>
      <c r="T241" s="318" t="s">
        <v>5203</v>
      </c>
      <c r="U241" s="318" t="s">
        <v>5204</v>
      </c>
      <c r="V241" s="285">
        <f t="shared" si="58"/>
        <v>11</v>
      </c>
      <c r="W241" s="90"/>
      <c r="X241" s="3"/>
      <c r="Y241" s="3"/>
      <c r="Z241" s="79"/>
      <c r="AA241" s="79"/>
      <c r="AB241" s="311">
        <f t="shared" ref="AB241:AB245" ca="1" si="59">INT((TODAY()-M241)/365)</f>
        <v>46</v>
      </c>
    </row>
    <row r="242" spans="1:39" ht="18.75">
      <c r="A242" s="1162">
        <v>83</v>
      </c>
      <c r="B242" s="276" t="s">
        <v>5205</v>
      </c>
      <c r="C242" s="307" t="s">
        <v>31</v>
      </c>
      <c r="D242" s="1460" t="s">
        <v>5206</v>
      </c>
      <c r="E242" s="421" t="s">
        <v>5207</v>
      </c>
      <c r="F242" s="685" t="s">
        <v>759</v>
      </c>
      <c r="G242" s="337" t="s">
        <v>78</v>
      </c>
      <c r="H242" s="303" t="s">
        <v>279</v>
      </c>
      <c r="I242" s="307">
        <v>9002071769</v>
      </c>
      <c r="J242" s="703">
        <v>9477127317</v>
      </c>
      <c r="K242" s="307" t="s">
        <v>253</v>
      </c>
      <c r="L242" s="303" t="s">
        <v>54</v>
      </c>
      <c r="M242" s="278">
        <v>25902</v>
      </c>
      <c r="N242" s="315">
        <v>47817</v>
      </c>
      <c r="O242" s="278">
        <v>45269</v>
      </c>
      <c r="P242" s="279">
        <v>45212</v>
      </c>
      <c r="Q242" s="279">
        <v>45108</v>
      </c>
      <c r="R242" s="285"/>
      <c r="S242" s="285"/>
      <c r="T242" s="318" t="s">
        <v>5208</v>
      </c>
      <c r="U242" s="318" t="s">
        <v>5208</v>
      </c>
      <c r="V242" s="285">
        <f t="shared" si="58"/>
        <v>11</v>
      </c>
      <c r="W242" s="90"/>
      <c r="X242" s="90"/>
      <c r="Y242" s="90"/>
      <c r="AB242" s="311">
        <f t="shared" ca="1" si="59"/>
        <v>55</v>
      </c>
    </row>
    <row r="243" spans="1:39" ht="15.75" customHeight="1">
      <c r="A243" s="1859">
        <v>86</v>
      </c>
      <c r="B243" s="276" t="s">
        <v>5209</v>
      </c>
      <c r="C243" s="307" t="s">
        <v>31</v>
      </c>
      <c r="D243" s="1460" t="s">
        <v>5210</v>
      </c>
      <c r="E243" s="303" t="s">
        <v>5211</v>
      </c>
      <c r="F243" s="685" t="s">
        <v>759</v>
      </c>
      <c r="G243" s="337" t="s">
        <v>76</v>
      </c>
      <c r="H243" s="303" t="s">
        <v>266</v>
      </c>
      <c r="I243" s="307">
        <v>9002071884</v>
      </c>
      <c r="J243" s="307"/>
      <c r="K243" s="307" t="s">
        <v>253</v>
      </c>
      <c r="L243" s="537" t="s">
        <v>48</v>
      </c>
      <c r="M243" s="278">
        <v>26086</v>
      </c>
      <c r="N243" s="278">
        <v>48029</v>
      </c>
      <c r="O243" s="278"/>
      <c r="P243" s="278"/>
      <c r="Q243" s="272">
        <v>45563</v>
      </c>
      <c r="R243" s="285"/>
      <c r="S243" s="285"/>
      <c r="T243" s="318" t="s">
        <v>5212</v>
      </c>
      <c r="U243" s="318" t="s">
        <v>5212</v>
      </c>
      <c r="V243" s="285">
        <f t="shared" si="58"/>
        <v>11</v>
      </c>
      <c r="W243" s="90"/>
      <c r="X243" s="90"/>
      <c r="Y243" s="90"/>
      <c r="AB243" s="311">
        <f t="shared" ca="1" si="59"/>
        <v>54</v>
      </c>
    </row>
    <row r="244" spans="1:39" ht="15.75" customHeight="1">
      <c r="A244" s="1162">
        <v>87</v>
      </c>
      <c r="B244" s="276" t="s">
        <v>5213</v>
      </c>
      <c r="C244" s="307" t="s">
        <v>31</v>
      </c>
      <c r="D244" s="1860" t="s">
        <v>5214</v>
      </c>
      <c r="E244" s="303" t="s">
        <v>5215</v>
      </c>
      <c r="F244" s="685" t="s">
        <v>759</v>
      </c>
      <c r="G244" s="337" t="s">
        <v>76</v>
      </c>
      <c r="H244" s="303" t="s">
        <v>266</v>
      </c>
      <c r="I244" s="307">
        <v>9330028502</v>
      </c>
      <c r="J244" s="307"/>
      <c r="K244" s="307" t="s">
        <v>253</v>
      </c>
      <c r="L244" s="274" t="s">
        <v>67</v>
      </c>
      <c r="M244" s="278">
        <v>29987</v>
      </c>
      <c r="N244" s="315">
        <v>51925</v>
      </c>
      <c r="O244" s="921">
        <v>45211</v>
      </c>
      <c r="P244" s="687">
        <v>45527</v>
      </c>
      <c r="Q244" s="1861">
        <v>45453</v>
      </c>
      <c r="R244" s="285"/>
      <c r="S244" s="285"/>
      <c r="T244" s="318" t="s">
        <v>1518</v>
      </c>
      <c r="U244" s="318" t="s">
        <v>5216</v>
      </c>
      <c r="V244" s="285">
        <f t="shared" si="58"/>
        <v>11</v>
      </c>
      <c r="W244" s="90"/>
      <c r="X244" s="90"/>
      <c r="Y244" s="90"/>
      <c r="AB244" s="311">
        <f t="shared" ca="1" si="59"/>
        <v>44</v>
      </c>
      <c r="AC244" s="311"/>
      <c r="AD244" s="311"/>
      <c r="AE244" s="311"/>
      <c r="AF244" s="311"/>
      <c r="AG244" s="311"/>
      <c r="AH244" s="311"/>
      <c r="AI244" s="311"/>
      <c r="AJ244" s="311"/>
      <c r="AK244" s="311"/>
      <c r="AL244" s="311"/>
      <c r="AM244" s="311"/>
    </row>
    <row r="245" spans="1:39" ht="15.75" customHeight="1">
      <c r="A245" s="1162">
        <v>89</v>
      </c>
      <c r="B245" s="276" t="s">
        <v>5217</v>
      </c>
      <c r="C245" s="307" t="s">
        <v>31</v>
      </c>
      <c r="D245" s="1458" t="s">
        <v>5218</v>
      </c>
      <c r="E245" s="303" t="s">
        <v>5219</v>
      </c>
      <c r="F245" s="685" t="s">
        <v>759</v>
      </c>
      <c r="G245" s="337" t="s">
        <v>76</v>
      </c>
      <c r="H245" s="303" t="s">
        <v>279</v>
      </c>
      <c r="I245" s="307">
        <v>9002079619</v>
      </c>
      <c r="J245" s="307"/>
      <c r="K245" s="307" t="s">
        <v>253</v>
      </c>
      <c r="L245" s="398" t="s">
        <v>61</v>
      </c>
      <c r="M245" s="278">
        <v>29437</v>
      </c>
      <c r="N245" s="315">
        <v>51379</v>
      </c>
      <c r="O245" s="278">
        <v>45873</v>
      </c>
      <c r="P245" s="279">
        <v>45720</v>
      </c>
      <c r="Q245" s="302">
        <v>45731</v>
      </c>
      <c r="R245" s="285"/>
      <c r="S245" s="285"/>
      <c r="T245" s="318" t="s">
        <v>5220</v>
      </c>
      <c r="U245" s="318" t="s">
        <v>5221</v>
      </c>
      <c r="V245" s="285">
        <f t="shared" si="58"/>
        <v>11</v>
      </c>
      <c r="W245" s="90"/>
      <c r="X245" s="90"/>
      <c r="Y245" s="90"/>
      <c r="AB245" s="311">
        <f t="shared" ca="1" si="59"/>
        <v>45</v>
      </c>
      <c r="AC245" s="311"/>
      <c r="AD245" s="311"/>
      <c r="AE245" s="311"/>
      <c r="AF245" s="311"/>
    </row>
    <row r="246" spans="1:39" ht="15.75" customHeight="1">
      <c r="A246" s="1162">
        <v>90</v>
      </c>
      <c r="B246" s="293" t="s">
        <v>5222</v>
      </c>
      <c r="C246" s="303" t="s">
        <v>31</v>
      </c>
      <c r="D246" s="562" t="s">
        <v>5223</v>
      </c>
      <c r="E246" s="303" t="s">
        <v>5224</v>
      </c>
      <c r="F246" s="900" t="s">
        <v>759</v>
      </c>
      <c r="G246" s="303" t="s">
        <v>76</v>
      </c>
      <c r="H246" s="274" t="s">
        <v>266</v>
      </c>
      <c r="I246" s="275">
        <v>9874271363</v>
      </c>
      <c r="J246" s="284">
        <v>7003049415</v>
      </c>
      <c r="K246" s="274" t="s">
        <v>253</v>
      </c>
      <c r="L246" s="303" t="s">
        <v>62</v>
      </c>
      <c r="M246" s="272">
        <v>31455</v>
      </c>
      <c r="N246" s="272">
        <v>53386</v>
      </c>
      <c r="O246" s="272">
        <v>46055</v>
      </c>
      <c r="P246" s="278">
        <v>45499</v>
      </c>
      <c r="Q246" s="302">
        <v>45328</v>
      </c>
      <c r="R246" s="280"/>
      <c r="S246" s="603" t="s">
        <v>5225</v>
      </c>
      <c r="T246" s="486" t="s">
        <v>5226</v>
      </c>
      <c r="U246" s="485"/>
      <c r="V246" s="485">
        <f t="shared" si="58"/>
        <v>11</v>
      </c>
      <c r="W246" s="311"/>
      <c r="X246" s="208">
        <f t="shared" ref="X246:X247" ca="1" si="60">INT((TODAY()-M246)/365)</f>
        <v>40</v>
      </c>
      <c r="Y246" s="311"/>
      <c r="Z246" s="311"/>
      <c r="AA246" s="311"/>
      <c r="AB246" s="311"/>
      <c r="AC246" s="311"/>
      <c r="AD246" s="311"/>
      <c r="AE246" s="311"/>
      <c r="AF246" s="311"/>
      <c r="AG246" s="311"/>
      <c r="AH246" s="311"/>
      <c r="AI246" s="311"/>
      <c r="AJ246" s="311"/>
      <c r="AK246" s="311"/>
      <c r="AL246" s="311"/>
      <c r="AM246" s="311"/>
    </row>
    <row r="247" spans="1:39" ht="15.75" customHeight="1">
      <c r="A247" s="1162">
        <v>92</v>
      </c>
      <c r="B247" s="276" t="s">
        <v>5227</v>
      </c>
      <c r="C247" s="303" t="s">
        <v>31</v>
      </c>
      <c r="D247" s="1458" t="s">
        <v>5228</v>
      </c>
      <c r="E247" s="875" t="s">
        <v>5229</v>
      </c>
      <c r="F247" s="900" t="s">
        <v>3258</v>
      </c>
      <c r="G247" s="875" t="s">
        <v>77</v>
      </c>
      <c r="H247" s="274" t="s">
        <v>266</v>
      </c>
      <c r="I247" s="307">
        <v>8910592369</v>
      </c>
      <c r="J247" s="703">
        <v>9804387398</v>
      </c>
      <c r="K247" s="274" t="s">
        <v>253</v>
      </c>
      <c r="L247" s="274" t="s">
        <v>299</v>
      </c>
      <c r="M247" s="278">
        <v>31266</v>
      </c>
      <c r="N247" s="315">
        <v>53205</v>
      </c>
      <c r="O247" s="315">
        <v>46104</v>
      </c>
      <c r="P247" s="278">
        <v>45475</v>
      </c>
      <c r="Q247" s="915">
        <v>45453</v>
      </c>
      <c r="R247" s="280"/>
      <c r="S247" s="281" t="s">
        <v>5230</v>
      </c>
      <c r="T247" s="318" t="s">
        <v>5231</v>
      </c>
      <c r="U247" s="318" t="s">
        <v>5232</v>
      </c>
      <c r="V247" s="285">
        <f t="shared" si="58"/>
        <v>11</v>
      </c>
      <c r="W247" s="90"/>
      <c r="X247" s="208">
        <f t="shared" ca="1" si="60"/>
        <v>40</v>
      </c>
      <c r="Y247" s="311"/>
      <c r="Z247" s="311"/>
      <c r="AA247" s="311"/>
      <c r="AB247" s="311"/>
      <c r="AC247" s="311"/>
      <c r="AD247" s="311"/>
      <c r="AE247" s="311"/>
      <c r="AF247" s="311"/>
      <c r="AG247" s="311"/>
      <c r="AH247" s="311"/>
      <c r="AI247" s="311"/>
      <c r="AJ247" s="311"/>
      <c r="AK247" s="311"/>
      <c r="AL247" s="311"/>
      <c r="AM247" s="311"/>
    </row>
    <row r="248" spans="1:39" ht="15.75" customHeight="1">
      <c r="A248" s="1162">
        <v>93</v>
      </c>
      <c r="B248" s="1862" t="s">
        <v>5233</v>
      </c>
      <c r="C248" s="1863" t="s">
        <v>31</v>
      </c>
      <c r="D248" s="1864" t="s">
        <v>5234</v>
      </c>
      <c r="E248" s="1865" t="s">
        <v>5235</v>
      </c>
      <c r="F248" s="1866" t="s">
        <v>759</v>
      </c>
      <c r="G248" s="1865" t="s">
        <v>76</v>
      </c>
      <c r="H248" s="303" t="s">
        <v>279</v>
      </c>
      <c r="I248" s="1865">
        <v>9002071259</v>
      </c>
      <c r="J248" s="1865">
        <v>9002071259</v>
      </c>
      <c r="K248" s="1865" t="s">
        <v>253</v>
      </c>
      <c r="L248" s="274" t="s">
        <v>256</v>
      </c>
      <c r="M248" s="1867">
        <v>25222</v>
      </c>
      <c r="N248" s="1867">
        <v>47149</v>
      </c>
      <c r="O248" s="1868">
        <v>45310</v>
      </c>
      <c r="P248" s="1867">
        <v>45776</v>
      </c>
      <c r="Q248" s="1869">
        <v>45766</v>
      </c>
      <c r="R248" s="1870"/>
      <c r="S248" s="1871"/>
      <c r="T248" s="1872" t="s">
        <v>5236</v>
      </c>
      <c r="U248" s="1872" t="s">
        <v>5237</v>
      </c>
      <c r="V248" s="1873">
        <v>11</v>
      </c>
    </row>
    <row r="249" spans="1:39" ht="15.75" customHeight="1">
      <c r="A249" s="1162">
        <v>94</v>
      </c>
      <c r="B249" s="276" t="s">
        <v>5238</v>
      </c>
      <c r="C249" s="307" t="s">
        <v>31</v>
      </c>
      <c r="D249" s="1570" t="s">
        <v>5239</v>
      </c>
      <c r="E249" s="303" t="s">
        <v>5240</v>
      </c>
      <c r="F249" s="685" t="s">
        <v>759</v>
      </c>
      <c r="G249" s="337" t="s">
        <v>76</v>
      </c>
      <c r="H249" s="303" t="s">
        <v>279</v>
      </c>
      <c r="I249" s="307">
        <v>9002079721</v>
      </c>
      <c r="J249" s="703">
        <v>7003486250</v>
      </c>
      <c r="K249" s="307" t="s">
        <v>253</v>
      </c>
      <c r="L249" s="398" t="s">
        <v>56</v>
      </c>
      <c r="M249" s="278">
        <v>31440</v>
      </c>
      <c r="N249" s="315">
        <v>53358</v>
      </c>
      <c r="O249" s="278">
        <v>45766</v>
      </c>
      <c r="P249" s="302">
        <v>45695</v>
      </c>
      <c r="Q249" s="302">
        <v>45622</v>
      </c>
      <c r="R249" s="425"/>
      <c r="S249" s="285"/>
      <c r="T249" s="1363" t="s">
        <v>5241</v>
      </c>
      <c r="U249" s="318" t="s">
        <v>5242</v>
      </c>
      <c r="V249" s="285">
        <f t="shared" ref="V249:V279" si="61">LEN(D249)</f>
        <v>11</v>
      </c>
      <c r="W249" s="90"/>
      <c r="X249" s="90"/>
      <c r="Y249" s="90"/>
      <c r="AB249" s="311">
        <f t="shared" ref="AB249:AB250" ca="1" si="62">INT((TODAY()-M249)/365)</f>
        <v>40</v>
      </c>
    </row>
    <row r="250" spans="1:39" ht="15.75" customHeight="1">
      <c r="A250" s="1162">
        <v>95</v>
      </c>
      <c r="B250" s="276" t="s">
        <v>5243</v>
      </c>
      <c r="C250" s="307" t="s">
        <v>31</v>
      </c>
      <c r="D250" s="1570" t="s">
        <v>5244</v>
      </c>
      <c r="E250" s="1004" t="s">
        <v>5245</v>
      </c>
      <c r="F250" s="685" t="s">
        <v>759</v>
      </c>
      <c r="G250" s="337" t="s">
        <v>76</v>
      </c>
      <c r="H250" s="303" t="s">
        <v>266</v>
      </c>
      <c r="I250" s="307">
        <v>8420320002</v>
      </c>
      <c r="J250" s="307"/>
      <c r="K250" s="307" t="s">
        <v>253</v>
      </c>
      <c r="L250" s="18" t="s">
        <v>62</v>
      </c>
      <c r="M250" s="921">
        <v>29221</v>
      </c>
      <c r="N250" s="315">
        <v>51135</v>
      </c>
      <c r="O250" s="278">
        <v>45658</v>
      </c>
      <c r="P250" s="279">
        <v>45720</v>
      </c>
      <c r="Q250" s="302">
        <v>45705</v>
      </c>
      <c r="R250" s="285"/>
      <c r="S250" s="285"/>
      <c r="T250" s="318" t="s">
        <v>5246</v>
      </c>
      <c r="U250" s="318" t="s">
        <v>5247</v>
      </c>
      <c r="V250" s="285">
        <f t="shared" si="61"/>
        <v>11</v>
      </c>
      <c r="W250" s="3"/>
      <c r="X250" s="3"/>
      <c r="Y250" s="3"/>
      <c r="Z250" s="79"/>
      <c r="AA250" s="79"/>
      <c r="AB250" s="311">
        <f t="shared" ca="1" si="62"/>
        <v>46</v>
      </c>
    </row>
    <row r="251" spans="1:39" ht="15.75" customHeight="1">
      <c r="A251" s="1162">
        <v>96</v>
      </c>
      <c r="B251" s="293" t="s">
        <v>5248</v>
      </c>
      <c r="C251" s="307" t="s">
        <v>31</v>
      </c>
      <c r="D251" s="1448" t="s">
        <v>5249</v>
      </c>
      <c r="E251" s="303" t="s">
        <v>5250</v>
      </c>
      <c r="F251" s="18" t="s">
        <v>759</v>
      </c>
      <c r="G251" s="274" t="s">
        <v>76</v>
      </c>
      <c r="H251" s="274" t="s">
        <v>266</v>
      </c>
      <c r="I251" s="275">
        <v>9002079006</v>
      </c>
      <c r="J251" s="690"/>
      <c r="K251" s="307" t="s">
        <v>253</v>
      </c>
      <c r="L251" s="537" t="s">
        <v>48</v>
      </c>
      <c r="M251" s="272">
        <v>31477</v>
      </c>
      <c r="N251" s="272">
        <v>53417</v>
      </c>
      <c r="O251" s="272">
        <v>46041</v>
      </c>
      <c r="P251" s="272">
        <v>45776</v>
      </c>
      <c r="Q251" s="272">
        <v>45766</v>
      </c>
      <c r="R251" s="308"/>
      <c r="S251" s="485"/>
      <c r="T251" s="486" t="s">
        <v>5251</v>
      </c>
      <c r="U251" s="486" t="s">
        <v>5252</v>
      </c>
      <c r="V251" s="382">
        <f t="shared" si="61"/>
        <v>11</v>
      </c>
      <c r="W251" s="311"/>
      <c r="X251" s="208">
        <f ca="1">INT((TODAY()-M251)/365)</f>
        <v>40</v>
      </c>
      <c r="Y251" s="90"/>
    </row>
    <row r="252" spans="1:39" ht="15.75" customHeight="1">
      <c r="A252" s="1162">
        <v>97</v>
      </c>
      <c r="B252" s="351" t="s">
        <v>5253</v>
      </c>
      <c r="C252" s="1301" t="s">
        <v>31</v>
      </c>
      <c r="D252" s="1874" t="s">
        <v>5254</v>
      </c>
      <c r="E252" s="1004" t="s">
        <v>5255</v>
      </c>
      <c r="F252" s="18" t="s">
        <v>759</v>
      </c>
      <c r="G252" s="274" t="s">
        <v>76</v>
      </c>
      <c r="H252" s="274" t="s">
        <v>266</v>
      </c>
      <c r="I252" s="275">
        <v>9002071369</v>
      </c>
      <c r="J252" s="275"/>
      <c r="K252" s="274" t="s">
        <v>253</v>
      </c>
      <c r="L252" s="274" t="s">
        <v>67</v>
      </c>
      <c r="M252" s="272">
        <v>33826</v>
      </c>
      <c r="N252" s="272">
        <v>55762</v>
      </c>
      <c r="O252" s="320">
        <v>45931</v>
      </c>
      <c r="P252" s="272">
        <v>45280</v>
      </c>
      <c r="Q252" s="272">
        <v>45258</v>
      </c>
      <c r="R252" s="280"/>
      <c r="S252" s="280"/>
      <c r="T252" s="281" t="s">
        <v>5256</v>
      </c>
      <c r="U252" s="281" t="s">
        <v>5257</v>
      </c>
      <c r="V252" s="280">
        <f t="shared" si="61"/>
        <v>11</v>
      </c>
      <c r="W252" s="282">
        <f ca="1">INT((TODAY()-M252)/365)</f>
        <v>33</v>
      </c>
      <c r="X252" s="79"/>
      <c r="Y252" s="79"/>
      <c r="Z252" s="79"/>
      <c r="AA252" s="79"/>
      <c r="AC252" s="311"/>
      <c r="AD252" s="311"/>
      <c r="AE252" s="311"/>
      <c r="AF252" s="311"/>
      <c r="AG252" s="311"/>
      <c r="AH252" s="311"/>
    </row>
    <row r="253" spans="1:39" ht="18.75">
      <c r="A253" s="1162">
        <v>99</v>
      </c>
      <c r="B253" s="276" t="s">
        <v>5258</v>
      </c>
      <c r="C253" s="307" t="s">
        <v>31</v>
      </c>
      <c r="D253" s="1460" t="s">
        <v>5259</v>
      </c>
      <c r="E253" s="303" t="s">
        <v>5260</v>
      </c>
      <c r="F253" s="685" t="s">
        <v>759</v>
      </c>
      <c r="G253" s="337" t="s">
        <v>76</v>
      </c>
      <c r="H253" s="303" t="s">
        <v>279</v>
      </c>
      <c r="I253" s="307">
        <v>8420320037</v>
      </c>
      <c r="J253" s="307">
        <v>8420320037</v>
      </c>
      <c r="K253" s="307" t="s">
        <v>253</v>
      </c>
      <c r="L253" s="274" t="s">
        <v>52</v>
      </c>
      <c r="M253" s="278">
        <v>27880</v>
      </c>
      <c r="N253" s="315">
        <v>49795</v>
      </c>
      <c r="O253" s="278">
        <v>45832</v>
      </c>
      <c r="P253" s="279">
        <v>45212</v>
      </c>
      <c r="Q253" s="302">
        <v>45177</v>
      </c>
      <c r="R253" s="285"/>
      <c r="S253" s="285"/>
      <c r="T253" s="318" t="s">
        <v>5261</v>
      </c>
      <c r="U253" s="318" t="s">
        <v>5261</v>
      </c>
      <c r="V253" s="285">
        <f t="shared" si="61"/>
        <v>11</v>
      </c>
      <c r="W253" s="3"/>
      <c r="X253" s="3"/>
      <c r="Y253" s="3"/>
      <c r="Z253" s="79"/>
      <c r="AA253" s="79"/>
      <c r="AB253" s="311">
        <f ca="1">INT((TODAY()-M253)/365)</f>
        <v>49</v>
      </c>
      <c r="AD253" s="79"/>
      <c r="AE253" s="79"/>
      <c r="AF253" s="79"/>
      <c r="AG253" s="79"/>
      <c r="AH253" s="79"/>
    </row>
    <row r="254" spans="1:39" ht="15.75" customHeight="1">
      <c r="A254" s="1162">
        <v>100</v>
      </c>
      <c r="B254" s="351" t="s">
        <v>5262</v>
      </c>
      <c r="C254" s="405" t="s">
        <v>31</v>
      </c>
      <c r="D254" s="1820" t="s">
        <v>5263</v>
      </c>
      <c r="E254" s="1004" t="s">
        <v>5264</v>
      </c>
      <c r="F254" s="18" t="s">
        <v>759</v>
      </c>
      <c r="G254" s="274" t="s">
        <v>76</v>
      </c>
      <c r="H254" s="274" t="s">
        <v>279</v>
      </c>
      <c r="I254" s="275">
        <v>9002071391</v>
      </c>
      <c r="J254" s="284">
        <v>9475524038</v>
      </c>
      <c r="K254" s="307" t="s">
        <v>253</v>
      </c>
      <c r="L254" s="18" t="s">
        <v>64</v>
      </c>
      <c r="M254" s="272">
        <v>32895</v>
      </c>
      <c r="N254" s="272">
        <v>54819</v>
      </c>
      <c r="O254" s="320">
        <v>46039</v>
      </c>
      <c r="P254" s="272">
        <v>45776</v>
      </c>
      <c r="Q254" s="272">
        <v>45766</v>
      </c>
      <c r="R254" s="280"/>
      <c r="S254" s="280"/>
      <c r="T254" s="281" t="s">
        <v>5265</v>
      </c>
      <c r="U254" s="281" t="s">
        <v>5266</v>
      </c>
      <c r="V254" s="280">
        <f t="shared" si="61"/>
        <v>11</v>
      </c>
      <c r="W254" s="282">
        <f ca="1">INT((TODAY()-M254)/365)</f>
        <v>36</v>
      </c>
      <c r="X254" s="79"/>
      <c r="Y254" s="79"/>
      <c r="Z254" s="79"/>
      <c r="AA254" s="79"/>
    </row>
    <row r="255" spans="1:39" ht="15.75" customHeight="1">
      <c r="A255" s="1162">
        <v>101</v>
      </c>
      <c r="B255" s="276" t="s">
        <v>5267</v>
      </c>
      <c r="C255" s="307" t="s">
        <v>31</v>
      </c>
      <c r="D255" s="1460" t="s">
        <v>5268</v>
      </c>
      <c r="E255" s="303" t="s">
        <v>5269</v>
      </c>
      <c r="F255" s="685" t="s">
        <v>759</v>
      </c>
      <c r="G255" s="337" t="s">
        <v>76</v>
      </c>
      <c r="H255" s="303" t="s">
        <v>279</v>
      </c>
      <c r="I255" s="307">
        <v>9002071615</v>
      </c>
      <c r="J255" s="307">
        <v>9002071615</v>
      </c>
      <c r="K255" s="307" t="s">
        <v>253</v>
      </c>
      <c r="L255" s="275" t="s">
        <v>44</v>
      </c>
      <c r="M255" s="678">
        <v>26319</v>
      </c>
      <c r="N255" s="844">
        <v>48244</v>
      </c>
      <c r="O255" s="678">
        <v>45841</v>
      </c>
      <c r="P255" s="387">
        <v>45695</v>
      </c>
      <c r="Q255" s="387">
        <v>45622</v>
      </c>
      <c r="R255" s="441"/>
      <c r="S255" s="425"/>
      <c r="T255" s="339" t="s">
        <v>5270</v>
      </c>
      <c r="U255" s="339" t="s">
        <v>5271</v>
      </c>
      <c r="V255" s="425">
        <f t="shared" si="61"/>
        <v>11</v>
      </c>
      <c r="W255" s="90"/>
      <c r="X255" s="90"/>
      <c r="Y255" s="311"/>
      <c r="Z255" s="311"/>
      <c r="AA255" s="311"/>
      <c r="AB255" s="311"/>
      <c r="AC255" s="311"/>
      <c r="AD255" s="311"/>
      <c r="AE255" s="311"/>
      <c r="AF255" s="311"/>
      <c r="AG255" s="311"/>
      <c r="AH255" s="311"/>
      <c r="AI255" s="311"/>
      <c r="AJ255" s="311"/>
      <c r="AK255" s="311"/>
      <c r="AL255" s="311"/>
      <c r="AM255" s="311"/>
    </row>
    <row r="256" spans="1:39" ht="15.75" customHeight="1">
      <c r="A256" s="1162">
        <v>102</v>
      </c>
      <c r="B256" s="351" t="s">
        <v>5272</v>
      </c>
      <c r="C256" s="307" t="s">
        <v>31</v>
      </c>
      <c r="D256" s="562" t="s">
        <v>5273</v>
      </c>
      <c r="E256" s="303" t="s">
        <v>5274</v>
      </c>
      <c r="F256" s="18" t="s">
        <v>759</v>
      </c>
      <c r="G256" s="274" t="s">
        <v>78</v>
      </c>
      <c r="H256" s="274" t="s">
        <v>279</v>
      </c>
      <c r="I256" s="275">
        <v>9002079301</v>
      </c>
      <c r="J256" s="3"/>
      <c r="K256" s="307" t="s">
        <v>253</v>
      </c>
      <c r="L256" s="274" t="s">
        <v>351</v>
      </c>
      <c r="M256" s="424">
        <v>33626</v>
      </c>
      <c r="N256" s="424">
        <v>55549</v>
      </c>
      <c r="O256" s="424">
        <v>46259</v>
      </c>
      <c r="P256" s="424">
        <v>45776</v>
      </c>
      <c r="Q256" s="424">
        <v>45766</v>
      </c>
      <c r="R256" s="842"/>
      <c r="S256" s="309"/>
      <c r="T256" s="310" t="s">
        <v>5275</v>
      </c>
      <c r="U256" s="310" t="s">
        <v>5276</v>
      </c>
      <c r="V256" s="311">
        <f t="shared" si="61"/>
        <v>11</v>
      </c>
      <c r="W256" s="311"/>
      <c r="X256" s="208">
        <f ca="1">INT((TODAY()-M256)/365)</f>
        <v>34</v>
      </c>
      <c r="Y256" s="90"/>
    </row>
    <row r="257" spans="1:39" ht="15.75" customHeight="1">
      <c r="A257" s="1162">
        <v>103</v>
      </c>
      <c r="B257" s="276" t="s">
        <v>5277</v>
      </c>
      <c r="C257" s="307" t="s">
        <v>31</v>
      </c>
      <c r="D257" s="1460" t="s">
        <v>5278</v>
      </c>
      <c r="E257" s="1875" t="s">
        <v>5279</v>
      </c>
      <c r="F257" s="685" t="s">
        <v>759</v>
      </c>
      <c r="G257" s="337" t="s">
        <v>76</v>
      </c>
      <c r="H257" s="303" t="s">
        <v>279</v>
      </c>
      <c r="I257" s="645">
        <v>9002071620</v>
      </c>
      <c r="J257" s="703">
        <v>9007850132</v>
      </c>
      <c r="K257" s="307" t="s">
        <v>253</v>
      </c>
      <c r="L257" s="1362" t="s">
        <v>64</v>
      </c>
      <c r="M257" s="278">
        <v>24852</v>
      </c>
      <c r="N257" s="315">
        <v>46783</v>
      </c>
      <c r="O257" s="278">
        <v>45307</v>
      </c>
      <c r="P257" s="278">
        <v>46096</v>
      </c>
      <c r="Q257" s="302">
        <v>45873</v>
      </c>
      <c r="R257" s="998"/>
      <c r="S257" s="285"/>
      <c r="T257" s="318" t="s">
        <v>1300</v>
      </c>
      <c r="U257" s="318" t="s">
        <v>1300</v>
      </c>
      <c r="V257" s="285">
        <f t="shared" si="61"/>
        <v>11</v>
      </c>
      <c r="W257" s="90"/>
      <c r="X257" s="3"/>
      <c r="Y257" s="3"/>
      <c r="Z257" s="79"/>
      <c r="AA257" s="79"/>
      <c r="AB257" s="382">
        <f ca="1">INT((TODAY()-M257)/365)</f>
        <v>58</v>
      </c>
      <c r="AC257" s="79"/>
      <c r="AD257" s="79"/>
      <c r="AE257" s="79"/>
      <c r="AF257" s="79"/>
      <c r="AG257" s="79"/>
      <c r="AH257" s="79"/>
    </row>
    <row r="258" spans="1:39" ht="15.75" customHeight="1">
      <c r="A258" s="1162">
        <v>104</v>
      </c>
      <c r="B258" s="351" t="s">
        <v>5280</v>
      </c>
      <c r="C258" s="275" t="s">
        <v>31</v>
      </c>
      <c r="D258" s="1820" t="s">
        <v>5281</v>
      </c>
      <c r="E258" s="274" t="s">
        <v>5282</v>
      </c>
      <c r="F258" s="18" t="s">
        <v>759</v>
      </c>
      <c r="G258" s="274" t="s">
        <v>77</v>
      </c>
      <c r="H258" s="274" t="s">
        <v>266</v>
      </c>
      <c r="I258" s="275">
        <v>9593020004</v>
      </c>
      <c r="J258" s="690"/>
      <c r="K258" s="307" t="s">
        <v>253</v>
      </c>
      <c r="L258" s="18" t="s">
        <v>55</v>
      </c>
      <c r="M258" s="272">
        <v>31912</v>
      </c>
      <c r="N258" s="272">
        <v>53843</v>
      </c>
      <c r="O258" s="320">
        <v>46007</v>
      </c>
      <c r="P258" s="272">
        <v>45913</v>
      </c>
      <c r="Q258" s="272">
        <v>45928</v>
      </c>
      <c r="R258" s="280"/>
      <c r="S258" s="280"/>
      <c r="T258" s="281" t="s">
        <v>5283</v>
      </c>
      <c r="U258" s="280"/>
      <c r="V258" s="79">
        <f t="shared" si="61"/>
        <v>11</v>
      </c>
      <c r="X258" s="282">
        <f ca="1">INT((TODAY()-M258)/365)</f>
        <v>38</v>
      </c>
      <c r="Y258" s="382"/>
      <c r="Z258" s="382"/>
      <c r="AA258" s="382"/>
      <c r="AB258" s="382"/>
      <c r="AC258" s="79"/>
      <c r="AD258" s="79"/>
      <c r="AE258" s="79"/>
    </row>
    <row r="259" spans="1:39" ht="15.75" customHeight="1">
      <c r="A259" s="1162">
        <v>105</v>
      </c>
      <c r="B259" s="305" t="s">
        <v>5284</v>
      </c>
      <c r="C259" s="307" t="s">
        <v>31</v>
      </c>
      <c r="D259" s="1458" t="s">
        <v>5285</v>
      </c>
      <c r="E259" s="303" t="s">
        <v>5286</v>
      </c>
      <c r="F259" s="685" t="s">
        <v>759</v>
      </c>
      <c r="G259" s="337" t="s">
        <v>76</v>
      </c>
      <c r="H259" s="303" t="s">
        <v>266</v>
      </c>
      <c r="I259" s="307">
        <v>9002079030</v>
      </c>
      <c r="J259" s="307"/>
      <c r="K259" s="307" t="s">
        <v>253</v>
      </c>
      <c r="L259" s="274" t="s">
        <v>54</v>
      </c>
      <c r="M259" s="278">
        <v>29082</v>
      </c>
      <c r="N259" s="315">
        <v>51013</v>
      </c>
      <c r="O259" s="278">
        <v>45519</v>
      </c>
      <c r="P259" s="278">
        <v>45809</v>
      </c>
      <c r="Q259" s="302">
        <v>45789</v>
      </c>
      <c r="R259" s="998"/>
      <c r="S259" s="285"/>
      <c r="T259" s="318" t="s">
        <v>5287</v>
      </c>
      <c r="U259" s="318" t="s">
        <v>5288</v>
      </c>
      <c r="V259" s="285">
        <f t="shared" si="61"/>
        <v>11</v>
      </c>
      <c r="W259" s="90"/>
      <c r="X259" s="3"/>
      <c r="Y259" s="3"/>
      <c r="Z259" s="79"/>
      <c r="AA259" s="79"/>
      <c r="AB259" s="382">
        <f ca="1">INT((TODAY()-M259)/365)</f>
        <v>46</v>
      </c>
      <c r="AC259" s="79"/>
      <c r="AD259" s="79"/>
      <c r="AE259" s="79"/>
      <c r="AF259" s="79"/>
      <c r="AG259" s="79"/>
      <c r="AH259" s="79"/>
    </row>
    <row r="260" spans="1:39" ht="15.75" customHeight="1">
      <c r="A260" s="1162">
        <v>106</v>
      </c>
      <c r="B260" s="293" t="s">
        <v>5289</v>
      </c>
      <c r="C260" s="307" t="s">
        <v>31</v>
      </c>
      <c r="D260" s="636" t="s">
        <v>5290</v>
      </c>
      <c r="E260" s="303" t="s">
        <v>5291</v>
      </c>
      <c r="F260" s="18" t="s">
        <v>759</v>
      </c>
      <c r="G260" s="274" t="s">
        <v>76</v>
      </c>
      <c r="H260" s="274" t="s">
        <v>266</v>
      </c>
      <c r="I260" s="275">
        <v>9002071644</v>
      </c>
      <c r="J260" s="690"/>
      <c r="K260" s="307" t="s">
        <v>253</v>
      </c>
      <c r="L260" s="18" t="s">
        <v>56</v>
      </c>
      <c r="M260" s="272">
        <v>29226</v>
      </c>
      <c r="N260" s="272">
        <v>51166</v>
      </c>
      <c r="O260" s="272">
        <v>45663</v>
      </c>
      <c r="P260" s="272">
        <v>45776</v>
      </c>
      <c r="Q260" s="424">
        <v>45766</v>
      </c>
      <c r="R260" s="308"/>
      <c r="S260" s="309"/>
      <c r="T260" s="310" t="s">
        <v>5292</v>
      </c>
      <c r="U260" s="310" t="s">
        <v>5293</v>
      </c>
      <c r="V260" s="311">
        <f t="shared" si="61"/>
        <v>11</v>
      </c>
      <c r="W260" s="311"/>
      <c r="X260" s="208">
        <f t="shared" ref="X260:X261" ca="1" si="63">INT((TODAY()-M260)/365)</f>
        <v>46</v>
      </c>
      <c r="Y260" s="563"/>
      <c r="AA260" s="384"/>
      <c r="AB260" s="384"/>
      <c r="AC260" s="384"/>
      <c r="AD260" s="384"/>
      <c r="AE260" s="384"/>
      <c r="AF260" s="384"/>
      <c r="AG260" s="384"/>
      <c r="AH260" s="384"/>
      <c r="AI260" s="384"/>
      <c r="AJ260" s="384"/>
      <c r="AK260" s="384"/>
      <c r="AL260" s="384"/>
      <c r="AM260" s="384"/>
    </row>
    <row r="261" spans="1:39" ht="15.75" customHeight="1">
      <c r="A261" s="1162">
        <v>107</v>
      </c>
      <c r="B261" s="351" t="s">
        <v>5294</v>
      </c>
      <c r="C261" s="307" t="s">
        <v>31</v>
      </c>
      <c r="D261" s="562" t="s">
        <v>5295</v>
      </c>
      <c r="E261" s="421" t="s">
        <v>5296</v>
      </c>
      <c r="F261" s="18" t="s">
        <v>759</v>
      </c>
      <c r="G261" s="274" t="s">
        <v>77</v>
      </c>
      <c r="H261" s="274" t="s">
        <v>279</v>
      </c>
      <c r="I261" s="275">
        <v>9002071165</v>
      </c>
      <c r="J261" s="690"/>
      <c r="K261" s="307" t="s">
        <v>253</v>
      </c>
      <c r="L261" s="274" t="s">
        <v>256</v>
      </c>
      <c r="M261" s="272">
        <v>29826</v>
      </c>
      <c r="N261" s="272">
        <v>51744</v>
      </c>
      <c r="O261" s="272">
        <v>46068</v>
      </c>
      <c r="P261" s="272">
        <v>45776</v>
      </c>
      <c r="Q261" s="272">
        <v>45766</v>
      </c>
      <c r="R261" s="998"/>
      <c r="S261" s="485"/>
      <c r="T261" s="486" t="s">
        <v>5297</v>
      </c>
      <c r="U261" s="486" t="s">
        <v>5298</v>
      </c>
      <c r="V261" s="382">
        <f t="shared" si="61"/>
        <v>11</v>
      </c>
      <c r="W261" s="311"/>
      <c r="X261" s="282">
        <f t="shared" ca="1" si="63"/>
        <v>44</v>
      </c>
      <c r="Y261" s="382"/>
      <c r="Z261" s="382"/>
      <c r="AA261" s="382"/>
      <c r="AB261" s="382"/>
      <c r="AC261" s="382"/>
      <c r="AD261" s="382"/>
      <c r="AE261" s="382"/>
      <c r="AF261" s="382"/>
      <c r="AG261" s="382"/>
      <c r="AH261" s="382"/>
      <c r="AI261" s="311"/>
      <c r="AJ261" s="311"/>
      <c r="AK261" s="311"/>
      <c r="AL261" s="311"/>
      <c r="AM261" s="311"/>
    </row>
    <row r="262" spans="1:39" ht="15.75" customHeight="1">
      <c r="A262" s="1162">
        <v>108</v>
      </c>
      <c r="B262" s="276" t="s">
        <v>5299</v>
      </c>
      <c r="C262" s="307" t="s">
        <v>31</v>
      </c>
      <c r="D262" s="1458" t="s">
        <v>5300</v>
      </c>
      <c r="E262" s="1004" t="s">
        <v>5301</v>
      </c>
      <c r="F262" s="685" t="s">
        <v>759</v>
      </c>
      <c r="G262" s="337" t="s">
        <v>76</v>
      </c>
      <c r="H262" s="303" t="s">
        <v>279</v>
      </c>
      <c r="I262" s="307">
        <v>9002071669</v>
      </c>
      <c r="J262" s="307">
        <v>9002071669</v>
      </c>
      <c r="K262" s="307" t="s">
        <v>253</v>
      </c>
      <c r="L262" s="398" t="s">
        <v>64</v>
      </c>
      <c r="M262" s="278">
        <v>27746</v>
      </c>
      <c r="N262" s="315">
        <v>49674</v>
      </c>
      <c r="O262" s="278">
        <v>45294</v>
      </c>
      <c r="P262" s="279">
        <v>45212</v>
      </c>
      <c r="Q262" s="302">
        <v>45177</v>
      </c>
      <c r="R262" s="998"/>
      <c r="S262" s="285"/>
      <c r="T262" s="317"/>
      <c r="U262" s="318" t="s">
        <v>5302</v>
      </c>
      <c r="V262" s="285">
        <f t="shared" si="61"/>
        <v>11</v>
      </c>
      <c r="W262" s="3"/>
      <c r="X262" s="3"/>
      <c r="Y262" s="3"/>
      <c r="Z262" s="79"/>
      <c r="AA262" s="79"/>
      <c r="AB262" s="311">
        <f t="shared" ref="AB262:AB263" ca="1" si="64">INT((TODAY()-M262)/365)</f>
        <v>50</v>
      </c>
    </row>
    <row r="263" spans="1:39" ht="15.75" customHeight="1">
      <c r="A263" s="1162">
        <v>109</v>
      </c>
      <c r="B263" s="276" t="s">
        <v>5303</v>
      </c>
      <c r="C263" s="307" t="s">
        <v>31</v>
      </c>
      <c r="D263" s="1460" t="s">
        <v>5304</v>
      </c>
      <c r="E263" s="303" t="s">
        <v>5305</v>
      </c>
      <c r="F263" s="685" t="s">
        <v>759</v>
      </c>
      <c r="G263" s="337" t="s">
        <v>76</v>
      </c>
      <c r="H263" s="303" t="s">
        <v>266</v>
      </c>
      <c r="I263" s="307">
        <v>9002071384</v>
      </c>
      <c r="J263" s="307">
        <v>9002071384</v>
      </c>
      <c r="K263" s="307" t="s">
        <v>253</v>
      </c>
      <c r="L263" s="274" t="s">
        <v>44</v>
      </c>
      <c r="M263" s="278">
        <v>29342</v>
      </c>
      <c r="N263" s="315">
        <v>51256</v>
      </c>
      <c r="O263" s="278">
        <v>45778</v>
      </c>
      <c r="P263" s="279">
        <v>45487</v>
      </c>
      <c r="Q263" s="272">
        <v>45509</v>
      </c>
      <c r="R263" s="425"/>
      <c r="S263" s="425"/>
      <c r="T263" s="425"/>
      <c r="U263" s="339" t="s">
        <v>5306</v>
      </c>
      <c r="V263" s="425">
        <f t="shared" si="61"/>
        <v>11</v>
      </c>
      <c r="W263" s="90"/>
      <c r="X263" s="90"/>
      <c r="Y263" s="90"/>
      <c r="AB263" s="311">
        <f t="shared" ca="1" si="64"/>
        <v>45</v>
      </c>
    </row>
    <row r="264" spans="1:39" ht="15.75" customHeight="1">
      <c r="A264" s="1162">
        <v>110</v>
      </c>
      <c r="B264" s="351" t="s">
        <v>5307</v>
      </c>
      <c r="C264" s="539" t="s">
        <v>31</v>
      </c>
      <c r="D264" s="1820" t="s">
        <v>5308</v>
      </c>
      <c r="E264" s="345" t="s">
        <v>5309</v>
      </c>
      <c r="F264" s="18" t="s">
        <v>759</v>
      </c>
      <c r="G264" s="274" t="s">
        <v>78</v>
      </c>
      <c r="H264" s="274" t="s">
        <v>266</v>
      </c>
      <c r="I264" s="275">
        <v>9923849727</v>
      </c>
      <c r="J264" s="284">
        <v>9007588157</v>
      </c>
      <c r="K264" s="307" t="s">
        <v>253</v>
      </c>
      <c r="L264" s="274" t="s">
        <v>62</v>
      </c>
      <c r="M264" s="272">
        <v>29227</v>
      </c>
      <c r="N264" s="272">
        <v>51166</v>
      </c>
      <c r="O264" s="277">
        <v>45664</v>
      </c>
      <c r="P264" s="315">
        <v>45914</v>
      </c>
      <c r="Q264" s="272">
        <v>45928</v>
      </c>
      <c r="R264" s="280"/>
      <c r="S264" s="280"/>
      <c r="T264" s="281" t="s">
        <v>5310</v>
      </c>
      <c r="U264" s="281" t="s">
        <v>5311</v>
      </c>
      <c r="V264" s="79">
        <f t="shared" si="61"/>
        <v>11</v>
      </c>
      <c r="W264" s="79"/>
      <c r="X264" s="282">
        <f ca="1">INT((TODAY()-M264)/365)</f>
        <v>46</v>
      </c>
      <c r="Y264" s="382"/>
      <c r="Z264" s="382"/>
      <c r="AA264" s="382"/>
      <c r="AB264" s="311"/>
      <c r="AC264" s="311"/>
      <c r="AD264" s="311"/>
      <c r="AE264" s="311"/>
      <c r="AF264" s="311"/>
      <c r="AG264" s="311"/>
      <c r="AH264" s="311"/>
    </row>
    <row r="265" spans="1:39" ht="15.75" customHeight="1">
      <c r="A265" s="1162">
        <v>111</v>
      </c>
      <c r="B265" s="276" t="s">
        <v>5312</v>
      </c>
      <c r="C265" s="307" t="s">
        <v>31</v>
      </c>
      <c r="D265" s="1458" t="s">
        <v>5313</v>
      </c>
      <c r="E265" s="1004" t="s">
        <v>5314</v>
      </c>
      <c r="F265" s="685" t="s">
        <v>759</v>
      </c>
      <c r="G265" s="337" t="s">
        <v>76</v>
      </c>
      <c r="H265" s="303" t="s">
        <v>279</v>
      </c>
      <c r="I265" s="645">
        <v>9002079786</v>
      </c>
      <c r="J265" s="307">
        <v>9002079786</v>
      </c>
      <c r="K265" s="307" t="s">
        <v>253</v>
      </c>
      <c r="L265" s="274" t="s">
        <v>417</v>
      </c>
      <c r="M265" s="278">
        <v>27045</v>
      </c>
      <c r="N265" s="315">
        <v>48975</v>
      </c>
      <c r="O265" s="278">
        <v>45515</v>
      </c>
      <c r="P265" s="279">
        <v>45527</v>
      </c>
      <c r="Q265" s="302">
        <v>45481</v>
      </c>
      <c r="R265" s="285"/>
      <c r="S265" s="285"/>
      <c r="T265" s="318" t="s">
        <v>5315</v>
      </c>
      <c r="U265" s="318" t="s">
        <v>5315</v>
      </c>
      <c r="V265" s="285">
        <f t="shared" si="61"/>
        <v>11</v>
      </c>
      <c r="W265" s="3"/>
      <c r="X265" s="3"/>
      <c r="Y265" s="90"/>
      <c r="AA265" s="79"/>
      <c r="AB265" s="311">
        <f ca="1">INT((TODAY()-M265)/365)</f>
        <v>52</v>
      </c>
    </row>
    <row r="266" spans="1:39" ht="15.75" customHeight="1">
      <c r="A266" s="1162">
        <v>112</v>
      </c>
      <c r="B266" s="351" t="s">
        <v>5316</v>
      </c>
      <c r="C266" s="275" t="s">
        <v>31</v>
      </c>
      <c r="D266" s="1820" t="s">
        <v>5317</v>
      </c>
      <c r="E266" s="491" t="s">
        <v>5318</v>
      </c>
      <c r="F266" s="18" t="s">
        <v>759</v>
      </c>
      <c r="G266" s="274" t="s">
        <v>77</v>
      </c>
      <c r="H266" s="274" t="s">
        <v>266</v>
      </c>
      <c r="I266" s="275">
        <v>9239088517</v>
      </c>
      <c r="J266" s="284">
        <v>9239088517</v>
      </c>
      <c r="K266" s="307" t="s">
        <v>253</v>
      </c>
      <c r="L266" s="125" t="s">
        <v>67</v>
      </c>
      <c r="M266" s="272">
        <v>32622</v>
      </c>
      <c r="N266" s="272">
        <v>54543</v>
      </c>
      <c r="O266" s="320">
        <v>46055</v>
      </c>
      <c r="P266" s="315">
        <v>45913</v>
      </c>
      <c r="Q266" s="272">
        <v>45928</v>
      </c>
      <c r="R266" s="280"/>
      <c r="S266" s="280"/>
      <c r="T266" s="281" t="s">
        <v>5319</v>
      </c>
      <c r="U266" s="280"/>
      <c r="V266" s="280">
        <f t="shared" si="61"/>
        <v>11</v>
      </c>
      <c r="W266" s="208">
        <f ca="1">INT((TODAY()-M266)/365)</f>
        <v>36</v>
      </c>
      <c r="X266" s="79"/>
      <c r="AA266" s="79"/>
    </row>
    <row r="267" spans="1:39" ht="15.75" customHeight="1">
      <c r="A267" s="1162">
        <v>113</v>
      </c>
      <c r="B267" s="276" t="s">
        <v>5320</v>
      </c>
      <c r="C267" s="405" t="s">
        <v>31</v>
      </c>
      <c r="D267" s="1458" t="s">
        <v>5321</v>
      </c>
      <c r="E267" s="1004" t="s">
        <v>5322</v>
      </c>
      <c r="F267" s="685" t="s">
        <v>759</v>
      </c>
      <c r="G267" s="337" t="s">
        <v>76</v>
      </c>
      <c r="H267" s="303" t="s">
        <v>266</v>
      </c>
      <c r="I267" s="307">
        <v>9002071377</v>
      </c>
      <c r="J267" s="703">
        <v>7278827245</v>
      </c>
      <c r="K267" s="307" t="s">
        <v>253</v>
      </c>
      <c r="L267" s="303" t="s">
        <v>351</v>
      </c>
      <c r="M267" s="278">
        <v>31420</v>
      </c>
      <c r="N267" s="315">
        <v>53358</v>
      </c>
      <c r="O267" s="278">
        <v>45872</v>
      </c>
      <c r="P267" s="278">
        <v>45748</v>
      </c>
      <c r="Q267" s="302">
        <v>45705</v>
      </c>
      <c r="R267" s="285"/>
      <c r="S267" s="285"/>
      <c r="T267" s="318" t="s">
        <v>5323</v>
      </c>
      <c r="U267" s="318" t="s">
        <v>5324</v>
      </c>
      <c r="V267" s="285">
        <f t="shared" si="61"/>
        <v>11</v>
      </c>
      <c r="W267" s="3"/>
      <c r="X267" s="3"/>
      <c r="Y267" s="3"/>
      <c r="Z267" s="79"/>
      <c r="AA267" s="79"/>
      <c r="AB267" s="311">
        <f t="shared" ref="AB267:AB270" ca="1" si="65">INT((TODAY()-M267)/365)</f>
        <v>40</v>
      </c>
      <c r="AC267" s="311"/>
      <c r="AD267" s="311"/>
      <c r="AE267" s="311"/>
      <c r="AF267" s="311"/>
      <c r="AG267" s="311"/>
      <c r="AH267" s="311"/>
      <c r="AI267" s="311"/>
      <c r="AJ267" s="311"/>
      <c r="AK267" s="311"/>
      <c r="AL267" s="311"/>
      <c r="AM267" s="311"/>
    </row>
    <row r="268" spans="1:39" ht="15.75" customHeight="1">
      <c r="A268" s="1162">
        <v>114</v>
      </c>
      <c r="B268" s="276" t="s">
        <v>5325</v>
      </c>
      <c r="C268" s="307" t="s">
        <v>31</v>
      </c>
      <c r="D268" s="1458" t="s">
        <v>5326</v>
      </c>
      <c r="E268" s="1149" t="s">
        <v>5327</v>
      </c>
      <c r="F268" s="685" t="s">
        <v>759</v>
      </c>
      <c r="G268" s="337" t="s">
        <v>76</v>
      </c>
      <c r="H268" s="303" t="s">
        <v>279</v>
      </c>
      <c r="I268" s="307">
        <v>8240394969</v>
      </c>
      <c r="J268" s="307"/>
      <c r="K268" s="307" t="s">
        <v>253</v>
      </c>
      <c r="L268" s="18" t="s">
        <v>55</v>
      </c>
      <c r="M268" s="278">
        <v>27627</v>
      </c>
      <c r="N268" s="315">
        <v>49552</v>
      </c>
      <c r="O268" s="278">
        <v>45530</v>
      </c>
      <c r="P268" s="315">
        <v>45222</v>
      </c>
      <c r="Q268" s="272">
        <v>45258</v>
      </c>
      <c r="R268" s="425"/>
      <c r="S268" s="285"/>
      <c r="T268" s="318" t="s">
        <v>5328</v>
      </c>
      <c r="U268" s="318" t="s">
        <v>5329</v>
      </c>
      <c r="V268" s="285">
        <f t="shared" si="61"/>
        <v>11</v>
      </c>
      <c r="W268" s="90"/>
      <c r="X268" s="90"/>
      <c r="Y268" s="90"/>
      <c r="AB268" s="311">
        <f t="shared" ca="1" si="65"/>
        <v>50</v>
      </c>
    </row>
    <row r="269" spans="1:39" ht="15.75" customHeight="1">
      <c r="A269" s="1162">
        <v>117</v>
      </c>
      <c r="B269" s="305" t="s">
        <v>5330</v>
      </c>
      <c r="C269" s="307" t="s">
        <v>31</v>
      </c>
      <c r="D269" s="1458" t="s">
        <v>5331</v>
      </c>
      <c r="E269" s="421" t="s">
        <v>5332</v>
      </c>
      <c r="F269" s="685" t="s">
        <v>759</v>
      </c>
      <c r="G269" s="337" t="s">
        <v>76</v>
      </c>
      <c r="H269" s="303" t="s">
        <v>279</v>
      </c>
      <c r="I269" s="307">
        <v>9002071099</v>
      </c>
      <c r="J269" s="307"/>
      <c r="K269" s="307" t="s">
        <v>253</v>
      </c>
      <c r="L269" s="274" t="s">
        <v>417</v>
      </c>
      <c r="M269" s="278">
        <v>30449</v>
      </c>
      <c r="N269" s="315">
        <v>52382</v>
      </c>
      <c r="O269" s="278">
        <v>45832</v>
      </c>
      <c r="P269" s="302">
        <v>45695</v>
      </c>
      <c r="Q269" s="302">
        <v>45622</v>
      </c>
      <c r="R269" s="285"/>
      <c r="S269" s="318" t="s">
        <v>5333</v>
      </c>
      <c r="T269" s="318" t="s">
        <v>5334</v>
      </c>
      <c r="U269" s="318" t="s">
        <v>5335</v>
      </c>
      <c r="V269" s="285">
        <f t="shared" si="61"/>
        <v>11</v>
      </c>
      <c r="W269" s="90"/>
      <c r="X269" s="3"/>
      <c r="Y269" s="3"/>
      <c r="Z269" s="79"/>
      <c r="AA269" s="79"/>
      <c r="AB269" s="382">
        <f t="shared" ca="1" si="65"/>
        <v>42</v>
      </c>
      <c r="AC269" s="382"/>
      <c r="AD269" s="382"/>
      <c r="AE269" s="382"/>
      <c r="AF269" s="382"/>
      <c r="AG269" s="382"/>
      <c r="AH269" s="382"/>
      <c r="AI269" s="311"/>
      <c r="AJ269" s="311"/>
      <c r="AK269" s="311"/>
      <c r="AL269" s="311"/>
      <c r="AM269" s="311"/>
    </row>
    <row r="270" spans="1:39" ht="15.75" customHeight="1">
      <c r="A270" s="1162">
        <v>119</v>
      </c>
      <c r="B270" s="276" t="s">
        <v>5336</v>
      </c>
      <c r="C270" s="307" t="s">
        <v>31</v>
      </c>
      <c r="D270" s="1860" t="s">
        <v>5337</v>
      </c>
      <c r="E270" s="303" t="s">
        <v>5338</v>
      </c>
      <c r="F270" s="685" t="s">
        <v>759</v>
      </c>
      <c r="G270" s="337" t="s">
        <v>76</v>
      </c>
      <c r="H270" s="303" t="s">
        <v>279</v>
      </c>
      <c r="I270" s="307">
        <v>9002079008</v>
      </c>
      <c r="J270" s="307">
        <v>9002079008</v>
      </c>
      <c r="K270" s="307" t="s">
        <v>253</v>
      </c>
      <c r="L270" s="274" t="s">
        <v>256</v>
      </c>
      <c r="M270" s="921">
        <v>26248</v>
      </c>
      <c r="N270" s="315">
        <v>48182</v>
      </c>
      <c r="O270" s="278">
        <v>45732</v>
      </c>
      <c r="P270" s="687">
        <v>45720</v>
      </c>
      <c r="Q270" s="272">
        <v>45563</v>
      </c>
      <c r="R270" s="425"/>
      <c r="S270" s="425"/>
      <c r="T270" s="339" t="s">
        <v>5339</v>
      </c>
      <c r="U270" s="339" t="s">
        <v>5339</v>
      </c>
      <c r="V270" s="425">
        <f t="shared" si="61"/>
        <v>11</v>
      </c>
      <c r="W270" s="90"/>
      <c r="X270" s="90"/>
      <c r="Y270" s="90"/>
      <c r="AB270" s="311">
        <f t="shared" ca="1" si="65"/>
        <v>54</v>
      </c>
    </row>
    <row r="271" spans="1:39" ht="15.75" customHeight="1">
      <c r="A271" s="1162">
        <v>121</v>
      </c>
      <c r="B271" s="351" t="s">
        <v>5340</v>
      </c>
      <c r="C271" s="275" t="s">
        <v>31</v>
      </c>
      <c r="D271" s="1820" t="s">
        <v>5341</v>
      </c>
      <c r="E271" s="491" t="s">
        <v>5342</v>
      </c>
      <c r="F271" s="18" t="s">
        <v>759</v>
      </c>
      <c r="G271" s="274" t="s">
        <v>76</v>
      </c>
      <c r="H271" s="274" t="s">
        <v>279</v>
      </c>
      <c r="I271" s="275">
        <v>8340194710</v>
      </c>
      <c r="J271" s="275">
        <v>8340194710</v>
      </c>
      <c r="K271" s="307" t="s">
        <v>253</v>
      </c>
      <c r="L271" s="274" t="s">
        <v>56</v>
      </c>
      <c r="M271" s="272">
        <v>30318</v>
      </c>
      <c r="N271" s="272">
        <v>52262</v>
      </c>
      <c r="O271" s="320">
        <v>46061</v>
      </c>
      <c r="P271" s="272">
        <v>45305</v>
      </c>
      <c r="Q271" s="272">
        <v>45842</v>
      </c>
      <c r="R271" s="430"/>
      <c r="S271" s="430"/>
      <c r="T271" s="429" t="s">
        <v>5343</v>
      </c>
      <c r="U271" s="310" t="s">
        <v>5344</v>
      </c>
      <c r="V271" s="430">
        <f t="shared" si="61"/>
        <v>11</v>
      </c>
      <c r="W271" s="208">
        <f t="shared" ref="W271:W274" ca="1" si="66">INT((TODAY()-M271)/365)</f>
        <v>43</v>
      </c>
    </row>
    <row r="272" spans="1:39" ht="18.75">
      <c r="A272" s="1162">
        <v>122</v>
      </c>
      <c r="B272" s="276" t="s">
        <v>5345</v>
      </c>
      <c r="C272" s="275" t="s">
        <v>31</v>
      </c>
      <c r="D272" s="1458" t="s">
        <v>5346</v>
      </c>
      <c r="E272" s="1826" t="s">
        <v>5347</v>
      </c>
      <c r="F272" s="274" t="s">
        <v>759</v>
      </c>
      <c r="G272" s="875" t="s">
        <v>2363</v>
      </c>
      <c r="H272" s="274" t="s">
        <v>266</v>
      </c>
      <c r="I272" s="307">
        <v>7980382337</v>
      </c>
      <c r="J272" s="307"/>
      <c r="K272" s="274" t="s">
        <v>253</v>
      </c>
      <c r="L272" s="303" t="s">
        <v>417</v>
      </c>
      <c r="M272" s="278">
        <v>31076</v>
      </c>
      <c r="N272" s="315">
        <v>52993</v>
      </c>
      <c r="O272" s="278">
        <v>46151</v>
      </c>
      <c r="P272" s="278">
        <v>45499</v>
      </c>
      <c r="Q272" s="419">
        <v>45385</v>
      </c>
      <c r="R272" s="285"/>
      <c r="S272" s="338"/>
      <c r="T272" s="318" t="s">
        <v>5348</v>
      </c>
      <c r="U272" s="285"/>
      <c r="V272" s="285">
        <f t="shared" si="61"/>
        <v>11</v>
      </c>
      <c r="W272" s="282">
        <f t="shared" ca="1" si="66"/>
        <v>41</v>
      </c>
      <c r="X272" s="3"/>
      <c r="Y272" s="297"/>
      <c r="Z272" s="297"/>
      <c r="AA272" s="297"/>
      <c r="AB272" s="298"/>
      <c r="AC272" s="298"/>
      <c r="AD272" s="298"/>
      <c r="AE272" s="298"/>
      <c r="AF272" s="298"/>
      <c r="AG272" s="298"/>
      <c r="AH272" s="298"/>
      <c r="AI272" s="298"/>
      <c r="AJ272" s="298"/>
      <c r="AK272" s="298"/>
      <c r="AL272" s="298"/>
      <c r="AM272" s="298"/>
    </row>
    <row r="273" spans="1:39" ht="18.75">
      <c r="A273" s="1162">
        <v>123</v>
      </c>
      <c r="B273" s="276" t="s">
        <v>5349</v>
      </c>
      <c r="C273" s="275" t="s">
        <v>31</v>
      </c>
      <c r="D273" s="1458" t="s">
        <v>5350</v>
      </c>
      <c r="E273" s="1826" t="s">
        <v>5351</v>
      </c>
      <c r="F273" s="274" t="s">
        <v>759</v>
      </c>
      <c r="G273" s="875" t="s">
        <v>76</v>
      </c>
      <c r="H273" s="274" t="s">
        <v>266</v>
      </c>
      <c r="I273" s="703">
        <v>9534941606</v>
      </c>
      <c r="J273" s="703">
        <v>9534941606</v>
      </c>
      <c r="K273" s="274" t="s">
        <v>253</v>
      </c>
      <c r="L273" s="303" t="s">
        <v>417</v>
      </c>
      <c r="M273" s="921">
        <v>33624</v>
      </c>
      <c r="N273" s="315">
        <v>55549</v>
      </c>
      <c r="O273" s="278">
        <v>46152</v>
      </c>
      <c r="P273" s="278">
        <v>45499</v>
      </c>
      <c r="Q273" s="419">
        <v>45385</v>
      </c>
      <c r="R273" s="280"/>
      <c r="S273" s="318" t="s">
        <v>5352</v>
      </c>
      <c r="T273" s="318" t="s">
        <v>5353</v>
      </c>
      <c r="U273" s="280"/>
      <c r="V273" s="285">
        <f t="shared" si="61"/>
        <v>11</v>
      </c>
      <c r="W273" s="282">
        <f t="shared" ca="1" si="66"/>
        <v>34</v>
      </c>
      <c r="X273" s="3"/>
      <c r="Y273" s="382"/>
      <c r="Z273" s="382"/>
      <c r="AA273" s="382"/>
      <c r="AB273" s="311"/>
      <c r="AC273" s="311"/>
      <c r="AD273" s="311"/>
      <c r="AE273" s="311"/>
      <c r="AF273" s="311"/>
      <c r="AG273" s="311"/>
      <c r="AH273" s="311"/>
      <c r="AI273" s="311"/>
      <c r="AJ273" s="311"/>
      <c r="AK273" s="311"/>
      <c r="AL273" s="311"/>
      <c r="AM273" s="311"/>
    </row>
    <row r="274" spans="1:39" ht="18.75">
      <c r="A274" s="1162">
        <v>125</v>
      </c>
      <c r="B274" s="1461" t="s">
        <v>5354</v>
      </c>
      <c r="C274" s="275" t="s">
        <v>31</v>
      </c>
      <c r="D274" s="1458" t="s">
        <v>5355</v>
      </c>
      <c r="E274" s="681" t="s">
        <v>5356</v>
      </c>
      <c r="F274" s="274" t="s">
        <v>759</v>
      </c>
      <c r="G274" s="875" t="s">
        <v>76</v>
      </c>
      <c r="H274" s="274" t="s">
        <v>266</v>
      </c>
      <c r="I274" s="307">
        <v>8972306210</v>
      </c>
      <c r="J274" s="703">
        <v>8972306210</v>
      </c>
      <c r="K274" s="274" t="s">
        <v>253</v>
      </c>
      <c r="L274" s="274" t="s">
        <v>54</v>
      </c>
      <c r="M274" s="921">
        <v>32509</v>
      </c>
      <c r="N274" s="315">
        <v>54454</v>
      </c>
      <c r="O274" s="278">
        <v>46151</v>
      </c>
      <c r="P274" s="278">
        <v>45499</v>
      </c>
      <c r="Q274" s="419">
        <v>45385</v>
      </c>
      <c r="R274" s="280"/>
      <c r="S274" s="318" t="s">
        <v>5357</v>
      </c>
      <c r="T274" s="318" t="s">
        <v>5358</v>
      </c>
      <c r="U274" s="280"/>
      <c r="V274" s="285">
        <f t="shared" si="61"/>
        <v>11</v>
      </c>
      <c r="W274" s="208">
        <f t="shared" ca="1" si="66"/>
        <v>37</v>
      </c>
      <c r="X274" s="90"/>
      <c r="Y274" s="90"/>
    </row>
    <row r="275" spans="1:39" ht="15.75" customHeight="1">
      <c r="A275" s="1162">
        <v>127</v>
      </c>
      <c r="B275" s="293" t="s">
        <v>5359</v>
      </c>
      <c r="C275" s="1876" t="s">
        <v>31</v>
      </c>
      <c r="D275" s="562" t="s">
        <v>5360</v>
      </c>
      <c r="E275" s="274" t="s">
        <v>5361</v>
      </c>
      <c r="F275" s="274" t="s">
        <v>759</v>
      </c>
      <c r="G275" s="274" t="s">
        <v>77</v>
      </c>
      <c r="H275" s="274" t="s">
        <v>266</v>
      </c>
      <c r="I275" s="275">
        <v>9933182003</v>
      </c>
      <c r="J275" s="275">
        <v>9933182003</v>
      </c>
      <c r="K275" s="274" t="s">
        <v>253</v>
      </c>
      <c r="L275" s="274" t="s">
        <v>351</v>
      </c>
      <c r="M275" s="272">
        <v>32600</v>
      </c>
      <c r="N275" s="272">
        <v>54543</v>
      </c>
      <c r="O275" s="279">
        <v>45402</v>
      </c>
      <c r="P275" s="278">
        <v>45499</v>
      </c>
      <c r="Q275" s="419">
        <v>45385</v>
      </c>
      <c r="R275" s="280"/>
      <c r="S275" s="603" t="s">
        <v>5362</v>
      </c>
      <c r="T275" s="486" t="s">
        <v>5363</v>
      </c>
      <c r="U275" s="485"/>
      <c r="V275" s="485">
        <f t="shared" si="61"/>
        <v>11</v>
      </c>
      <c r="W275" s="382"/>
      <c r="X275" s="282">
        <f t="shared" ref="X275:X276" ca="1" si="67">INT((TODAY()-M275)/365)</f>
        <v>36</v>
      </c>
      <c r="Y275" s="3"/>
    </row>
    <row r="276" spans="1:39" ht="15.75" customHeight="1">
      <c r="A276" s="1162">
        <v>128</v>
      </c>
      <c r="B276" s="293" t="s">
        <v>5364</v>
      </c>
      <c r="C276" s="1876" t="s">
        <v>31</v>
      </c>
      <c r="D276" s="562" t="s">
        <v>5365</v>
      </c>
      <c r="E276" s="274" t="s">
        <v>5366</v>
      </c>
      <c r="F276" s="274" t="s">
        <v>759</v>
      </c>
      <c r="G276" s="274" t="s">
        <v>77</v>
      </c>
      <c r="H276" s="274" t="s">
        <v>266</v>
      </c>
      <c r="I276" s="275">
        <v>9903766685</v>
      </c>
      <c r="J276" s="284">
        <v>9123934365</v>
      </c>
      <c r="K276" s="274" t="s">
        <v>253</v>
      </c>
      <c r="L276" s="274" t="s">
        <v>62</v>
      </c>
      <c r="M276" s="272">
        <v>31466</v>
      </c>
      <c r="N276" s="272">
        <v>53386</v>
      </c>
      <c r="O276" s="272">
        <v>46141</v>
      </c>
      <c r="P276" s="278">
        <v>45499</v>
      </c>
      <c r="Q276" s="302">
        <v>45328</v>
      </c>
      <c r="R276" s="603" t="s">
        <v>5367</v>
      </c>
      <c r="S276" s="603" t="s">
        <v>5367</v>
      </c>
      <c r="T276" s="486" t="s">
        <v>5368</v>
      </c>
      <c r="U276" s="485"/>
      <c r="V276" s="485">
        <f t="shared" si="61"/>
        <v>11</v>
      </c>
      <c r="W276" s="382"/>
      <c r="X276" s="208">
        <f t="shared" ca="1" si="67"/>
        <v>40</v>
      </c>
      <c r="Y276" s="382"/>
      <c r="Z276" s="382"/>
      <c r="AA276" s="382"/>
      <c r="AB276" s="311"/>
      <c r="AC276" s="311"/>
      <c r="AD276" s="311"/>
      <c r="AE276" s="311"/>
      <c r="AF276" s="311"/>
      <c r="AG276" s="311"/>
      <c r="AH276" s="311"/>
      <c r="AI276" s="311"/>
      <c r="AJ276" s="311"/>
      <c r="AK276" s="311"/>
      <c r="AL276" s="311"/>
      <c r="AM276" s="311"/>
    </row>
    <row r="277" spans="1:39" ht="15.75" customHeight="1">
      <c r="A277" s="1162">
        <v>129</v>
      </c>
      <c r="B277" s="305" t="s">
        <v>5369</v>
      </c>
      <c r="C277" s="307" t="s">
        <v>31</v>
      </c>
      <c r="D277" s="1458" t="s">
        <v>5370</v>
      </c>
      <c r="E277" s="366" t="s">
        <v>5371</v>
      </c>
      <c r="F277" s="685" t="s">
        <v>759</v>
      </c>
      <c r="G277" s="337" t="s">
        <v>77</v>
      </c>
      <c r="H277" s="303" t="s">
        <v>279</v>
      </c>
      <c r="I277" s="307">
        <v>9002071389</v>
      </c>
      <c r="J277" s="307"/>
      <c r="K277" s="274" t="s">
        <v>253</v>
      </c>
      <c r="L277" s="398" t="s">
        <v>56</v>
      </c>
      <c r="M277" s="278">
        <v>29960</v>
      </c>
      <c r="N277" s="315">
        <v>51897</v>
      </c>
      <c r="O277" s="278">
        <v>45832</v>
      </c>
      <c r="P277" s="302">
        <v>45695</v>
      </c>
      <c r="Q277" s="272">
        <v>45563</v>
      </c>
      <c r="R277" s="317"/>
      <c r="S277" s="285"/>
      <c r="T277" s="318" t="s">
        <v>5372</v>
      </c>
      <c r="U277" s="318" t="s">
        <v>5373</v>
      </c>
      <c r="V277" s="285">
        <f t="shared" si="61"/>
        <v>11</v>
      </c>
      <c r="W277" s="3"/>
      <c r="X277" s="90"/>
      <c r="Y277" s="3"/>
      <c r="Z277" s="79"/>
      <c r="AA277" s="79"/>
      <c r="AB277" s="311">
        <f ca="1">INT((TODAY()-M277)/365)</f>
        <v>44</v>
      </c>
    </row>
    <row r="278" spans="1:39" ht="18.75">
      <c r="A278" s="1162">
        <v>130</v>
      </c>
      <c r="B278" s="1461" t="s">
        <v>5374</v>
      </c>
      <c r="C278" s="307" t="s">
        <v>31</v>
      </c>
      <c r="D278" s="1462" t="s">
        <v>5375</v>
      </c>
      <c r="E278" s="303" t="s">
        <v>5376</v>
      </c>
      <c r="F278" s="685" t="s">
        <v>759</v>
      </c>
      <c r="G278" s="337" t="s">
        <v>77</v>
      </c>
      <c r="H278" s="303" t="s">
        <v>279</v>
      </c>
      <c r="I278" s="307">
        <v>9002071271</v>
      </c>
      <c r="J278" s="703">
        <v>7980160501</v>
      </c>
      <c r="K278" s="274" t="s">
        <v>253</v>
      </c>
      <c r="L278" s="398" t="s">
        <v>64</v>
      </c>
      <c r="M278" s="278">
        <v>29326</v>
      </c>
      <c r="N278" s="315">
        <v>51256</v>
      </c>
      <c r="O278" s="278">
        <v>45686</v>
      </c>
      <c r="P278" s="278">
        <v>45608</v>
      </c>
      <c r="Q278" s="300">
        <v>45591</v>
      </c>
      <c r="R278" s="285"/>
      <c r="S278" s="285"/>
      <c r="T278" s="318" t="s">
        <v>5377</v>
      </c>
      <c r="U278" s="318" t="s">
        <v>5378</v>
      </c>
      <c r="V278" s="285">
        <f t="shared" si="61"/>
        <v>11</v>
      </c>
      <c r="W278" s="90"/>
      <c r="X278" s="90"/>
    </row>
    <row r="279" spans="1:39" ht="15.75" customHeight="1">
      <c r="A279" s="1162">
        <v>131</v>
      </c>
      <c r="B279" s="276" t="s">
        <v>5379</v>
      </c>
      <c r="C279" s="307" t="s">
        <v>31</v>
      </c>
      <c r="D279" s="1458" t="s">
        <v>5380</v>
      </c>
      <c r="E279" s="303" t="s">
        <v>5381</v>
      </c>
      <c r="F279" s="685" t="s">
        <v>759</v>
      </c>
      <c r="G279" s="337" t="s">
        <v>77</v>
      </c>
      <c r="H279" s="303" t="s">
        <v>279</v>
      </c>
      <c r="I279" s="307">
        <v>9002071224</v>
      </c>
      <c r="J279" s="307"/>
      <c r="K279" s="274" t="s">
        <v>253</v>
      </c>
      <c r="L279" s="303" t="s">
        <v>417</v>
      </c>
      <c r="M279" s="278">
        <v>32424</v>
      </c>
      <c r="N279" s="315">
        <v>54362</v>
      </c>
      <c r="O279" s="278">
        <v>45832</v>
      </c>
      <c r="P279" s="279">
        <v>45527</v>
      </c>
      <c r="Q279" s="424">
        <v>45563</v>
      </c>
      <c r="R279" s="425"/>
      <c r="S279" s="425"/>
      <c r="T279" s="339" t="s">
        <v>5382</v>
      </c>
      <c r="U279" s="339" t="s">
        <v>5383</v>
      </c>
      <c r="V279" s="425">
        <f t="shared" si="61"/>
        <v>11</v>
      </c>
      <c r="W279" s="90"/>
      <c r="X279" s="90"/>
      <c r="Y279" s="90"/>
      <c r="AB279" s="311">
        <f ca="1">INT((TODAY()-M279)/365)</f>
        <v>37</v>
      </c>
    </row>
    <row r="280" spans="1:39" ht="18.75">
      <c r="A280" s="1162">
        <v>132</v>
      </c>
      <c r="B280" s="276" t="s">
        <v>5384</v>
      </c>
      <c r="C280" s="307" t="s">
        <v>31</v>
      </c>
      <c r="D280" s="1458" t="s">
        <v>5385</v>
      </c>
      <c r="E280" s="303" t="s">
        <v>5386</v>
      </c>
      <c r="F280" s="685" t="s">
        <v>759</v>
      </c>
      <c r="G280" s="337" t="s">
        <v>77</v>
      </c>
      <c r="H280" s="303" t="s">
        <v>279</v>
      </c>
      <c r="I280" s="307">
        <v>9002071034</v>
      </c>
      <c r="J280" s="307">
        <v>9002071034</v>
      </c>
      <c r="K280" s="274" t="s">
        <v>253</v>
      </c>
      <c r="L280" s="18" t="s">
        <v>62</v>
      </c>
      <c r="M280" s="278">
        <v>30385</v>
      </c>
      <c r="N280" s="315">
        <v>52321</v>
      </c>
      <c r="O280" s="278">
        <v>45767</v>
      </c>
      <c r="P280" s="278">
        <v>45608</v>
      </c>
      <c r="Q280" s="300">
        <v>45591</v>
      </c>
      <c r="R280" s="425"/>
      <c r="S280" s="425"/>
      <c r="T280" s="339" t="s">
        <v>5387</v>
      </c>
      <c r="U280" s="339" t="s">
        <v>5387</v>
      </c>
      <c r="V280" s="425"/>
      <c r="W280" s="90"/>
      <c r="X280" s="90"/>
      <c r="Y280" s="311"/>
      <c r="Z280" s="311"/>
      <c r="AA280" s="311"/>
      <c r="AB280" s="311"/>
      <c r="AC280" s="311"/>
      <c r="AD280" s="311"/>
      <c r="AE280" s="311"/>
      <c r="AF280" s="311"/>
      <c r="AG280" s="311"/>
      <c r="AH280" s="311"/>
      <c r="AI280" s="311"/>
      <c r="AJ280" s="311"/>
      <c r="AK280" s="311"/>
      <c r="AL280" s="311"/>
      <c r="AM280" s="311"/>
    </row>
    <row r="281" spans="1:39" ht="15.75">
      <c r="A281" s="1162">
        <v>133</v>
      </c>
      <c r="B281" s="293" t="s">
        <v>5388</v>
      </c>
      <c r="C281" s="275" t="s">
        <v>31</v>
      </c>
      <c r="D281" s="833" t="s">
        <v>5389</v>
      </c>
      <c r="E281" s="303" t="s">
        <v>5390</v>
      </c>
      <c r="F281" s="674" t="s">
        <v>759</v>
      </c>
      <c r="G281" s="303" t="s">
        <v>76</v>
      </c>
      <c r="H281" s="274" t="s">
        <v>279</v>
      </c>
      <c r="I281" s="275">
        <v>9002079055</v>
      </c>
      <c r="J281" s="275">
        <v>9002079055</v>
      </c>
      <c r="K281" s="274" t="s">
        <v>253</v>
      </c>
      <c r="L281" s="18" t="s">
        <v>62</v>
      </c>
      <c r="M281" s="272">
        <v>30759</v>
      </c>
      <c r="N281" s="272">
        <v>52687</v>
      </c>
      <c r="O281" s="272">
        <v>45270</v>
      </c>
      <c r="P281" s="279">
        <v>45487</v>
      </c>
      <c r="Q281" s="272">
        <v>45450</v>
      </c>
      <c r="R281" s="79"/>
      <c r="S281" s="485"/>
      <c r="T281" s="486" t="s">
        <v>5391</v>
      </c>
      <c r="U281" s="486" t="s">
        <v>5391</v>
      </c>
      <c r="V281" s="382">
        <f>LEN(D281)</f>
        <v>11</v>
      </c>
      <c r="W281" s="311"/>
      <c r="X281" s="208">
        <f ca="1">INT((TODAY()-M281)/365)</f>
        <v>42</v>
      </c>
      <c r="Y281" s="90"/>
      <c r="AB281" s="311">
        <f ca="1">INT((TODAY()-M281)/365)</f>
        <v>42</v>
      </c>
    </row>
    <row r="282" spans="1:39" ht="15.75" customHeight="1">
      <c r="A282" s="1162">
        <v>134</v>
      </c>
      <c r="B282" s="286" t="s">
        <v>5392</v>
      </c>
      <c r="C282" s="275" t="s">
        <v>31</v>
      </c>
      <c r="D282" s="621" t="s">
        <v>5393</v>
      </c>
      <c r="E282" s="620" t="s">
        <v>5394</v>
      </c>
      <c r="F282" s="1877" t="s">
        <v>759</v>
      </c>
      <c r="G282" s="1878" t="s">
        <v>77</v>
      </c>
      <c r="H282" s="303" t="s">
        <v>266</v>
      </c>
      <c r="I282" s="18">
        <v>7001383665</v>
      </c>
      <c r="J282" s="3"/>
      <c r="K282" s="274" t="s">
        <v>253</v>
      </c>
      <c r="L282" s="18" t="s">
        <v>61</v>
      </c>
      <c r="M282" s="476">
        <v>29282</v>
      </c>
      <c r="N282" s="476">
        <v>51226</v>
      </c>
      <c r="O282" s="622"/>
      <c r="P282" s="622"/>
      <c r="Q282" s="623"/>
      <c r="R282" s="280"/>
      <c r="S282" s="280"/>
      <c r="T282" s="280"/>
      <c r="U282" s="281" t="s">
        <v>5395</v>
      </c>
      <c r="V282" s="280"/>
      <c r="W282" s="3"/>
      <c r="X282" s="3"/>
      <c r="Y282" s="3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</row>
    <row r="283" spans="1:39" ht="15.75" customHeight="1">
      <c r="A283" s="1162">
        <v>135</v>
      </c>
      <c r="B283" s="1097" t="s">
        <v>5396</v>
      </c>
      <c r="C283" s="275" t="s">
        <v>31</v>
      </c>
      <c r="D283" s="1879" t="s">
        <v>5397</v>
      </c>
      <c r="E283" s="491" t="s">
        <v>5398</v>
      </c>
      <c r="F283" s="284" t="s">
        <v>759</v>
      </c>
      <c r="G283" s="274" t="s">
        <v>77</v>
      </c>
      <c r="H283" s="284" t="s">
        <v>266</v>
      </c>
      <c r="I283" s="275">
        <v>9732818507</v>
      </c>
      <c r="J283" s="274"/>
      <c r="K283" s="274" t="s">
        <v>253</v>
      </c>
      <c r="L283" s="303" t="s">
        <v>664</v>
      </c>
      <c r="M283" s="272">
        <v>31536</v>
      </c>
      <c r="N283" s="272">
        <v>53478</v>
      </c>
      <c r="O283" s="272">
        <v>45871</v>
      </c>
      <c r="P283" s="279">
        <v>45522</v>
      </c>
      <c r="Q283" s="316">
        <v>45412</v>
      </c>
      <c r="R283" s="486" t="s">
        <v>5399</v>
      </c>
      <c r="S283" s="485"/>
      <c r="T283" s="486" t="s">
        <v>5400</v>
      </c>
      <c r="U283" s="486" t="s">
        <v>5401</v>
      </c>
      <c r="V283" s="485">
        <f>LEN(TEXT(D283,0))</f>
        <v>11</v>
      </c>
      <c r="W283" s="208">
        <f t="shared" ref="W283:W285" ca="1" si="68">INT((TODAY()-M283)/365)</f>
        <v>39</v>
      </c>
      <c r="X283" s="1647"/>
      <c r="Y283" s="311"/>
      <c r="Z283" s="311"/>
      <c r="AA283" s="311"/>
      <c r="AB283" s="311"/>
      <c r="AC283" s="311"/>
      <c r="AD283" s="311"/>
      <c r="AE283" s="311"/>
      <c r="AF283" s="311"/>
      <c r="AG283" s="311"/>
      <c r="AH283" s="311"/>
      <c r="AI283" s="311"/>
      <c r="AJ283" s="311"/>
      <c r="AK283" s="311"/>
      <c r="AL283" s="311"/>
      <c r="AM283" s="311"/>
    </row>
    <row r="284" spans="1:39" ht="15.75" customHeight="1">
      <c r="A284" s="1162">
        <v>136</v>
      </c>
      <c r="B284" s="276" t="s">
        <v>5402</v>
      </c>
      <c r="C284" s="275" t="s">
        <v>31</v>
      </c>
      <c r="D284" s="1458" t="s">
        <v>5403</v>
      </c>
      <c r="E284" s="1880" t="s">
        <v>5404</v>
      </c>
      <c r="F284" s="1631" t="s">
        <v>3258</v>
      </c>
      <c r="G284" s="875" t="s">
        <v>77</v>
      </c>
      <c r="H284" s="284" t="s">
        <v>266</v>
      </c>
      <c r="I284" s="307">
        <v>9903775151</v>
      </c>
      <c r="J284" s="307">
        <v>9903775151</v>
      </c>
      <c r="K284" s="274" t="s">
        <v>253</v>
      </c>
      <c r="L284" s="303" t="s">
        <v>417</v>
      </c>
      <c r="M284" s="315">
        <v>30800</v>
      </c>
      <c r="N284" s="315">
        <v>52717</v>
      </c>
      <c r="O284" s="278">
        <v>46188</v>
      </c>
      <c r="P284" s="279">
        <v>45522</v>
      </c>
      <c r="Q284" s="316">
        <v>45412</v>
      </c>
      <c r="R284" s="285"/>
      <c r="S284" s="318" t="s">
        <v>5405</v>
      </c>
      <c r="T284" s="318" t="s">
        <v>5406</v>
      </c>
      <c r="U284" s="318" t="s">
        <v>5407</v>
      </c>
      <c r="V284" s="285">
        <f t="shared" ref="V284:V287" si="69">LEN(D284)</f>
        <v>11</v>
      </c>
      <c r="W284" s="282">
        <f t="shared" ca="1" si="68"/>
        <v>41</v>
      </c>
      <c r="X284" s="90"/>
      <c r="Y284" s="382"/>
      <c r="Z284" s="382"/>
      <c r="AA284" s="382"/>
      <c r="AB284" s="311"/>
      <c r="AC284" s="311"/>
      <c r="AD284" s="311"/>
      <c r="AE284" s="311"/>
      <c r="AF284" s="311"/>
      <c r="AG284" s="311"/>
      <c r="AH284" s="311"/>
      <c r="AI284" s="311"/>
      <c r="AJ284" s="311"/>
      <c r="AK284" s="311"/>
      <c r="AL284" s="311"/>
      <c r="AM284" s="311"/>
    </row>
    <row r="285" spans="1:39" ht="15.75" customHeight="1">
      <c r="A285" s="1162">
        <v>137</v>
      </c>
      <c r="B285" s="293" t="s">
        <v>5408</v>
      </c>
      <c r="C285" s="275" t="s">
        <v>31</v>
      </c>
      <c r="D285" s="1448" t="s">
        <v>5409</v>
      </c>
      <c r="E285" s="491" t="s">
        <v>5410</v>
      </c>
      <c r="F285" s="18" t="s">
        <v>759</v>
      </c>
      <c r="G285" s="303" t="s">
        <v>76</v>
      </c>
      <c r="H285" s="284" t="s">
        <v>266</v>
      </c>
      <c r="I285" s="275">
        <v>9477576305</v>
      </c>
      <c r="J285" s="284">
        <v>7063400499</v>
      </c>
      <c r="K285" s="274" t="s">
        <v>253</v>
      </c>
      <c r="L285" s="398" t="s">
        <v>56</v>
      </c>
      <c r="M285" s="272">
        <v>31811</v>
      </c>
      <c r="N285" s="272">
        <v>53751</v>
      </c>
      <c r="O285" s="272">
        <v>45958</v>
      </c>
      <c r="P285" s="687">
        <v>45552</v>
      </c>
      <c r="Q285" s="316">
        <v>45468</v>
      </c>
      <c r="R285" s="308"/>
      <c r="S285" s="309"/>
      <c r="T285" s="310" t="s">
        <v>5411</v>
      </c>
      <c r="U285" s="310" t="s">
        <v>5412</v>
      </c>
      <c r="V285" s="311">
        <f t="shared" si="69"/>
        <v>11</v>
      </c>
      <c r="W285" s="208">
        <f t="shared" ca="1" si="68"/>
        <v>39</v>
      </c>
      <c r="X285" s="1647"/>
      <c r="Y285" s="311"/>
      <c r="Z285" s="311"/>
      <c r="AA285" s="311"/>
      <c r="AB285" s="311"/>
      <c r="AC285" s="311"/>
      <c r="AD285" s="311"/>
      <c r="AE285" s="311"/>
      <c r="AF285" s="311"/>
      <c r="AG285" s="311"/>
      <c r="AH285" s="311"/>
      <c r="AI285" s="311"/>
      <c r="AJ285" s="311"/>
      <c r="AK285" s="311"/>
      <c r="AL285" s="311"/>
      <c r="AM285" s="311"/>
    </row>
    <row r="286" spans="1:39" ht="15.75" customHeight="1">
      <c r="A286" s="1162">
        <v>138</v>
      </c>
      <c r="B286" s="1461" t="s">
        <v>5413</v>
      </c>
      <c r="C286" s="275" t="s">
        <v>31</v>
      </c>
      <c r="D286" s="1458" t="s">
        <v>5414</v>
      </c>
      <c r="E286" s="1828" t="s">
        <v>5415</v>
      </c>
      <c r="F286" s="946" t="s">
        <v>759</v>
      </c>
      <c r="G286" s="875" t="s">
        <v>77</v>
      </c>
      <c r="H286" s="284" t="s">
        <v>266</v>
      </c>
      <c r="I286" s="307">
        <v>8926568443</v>
      </c>
      <c r="J286" s="307"/>
      <c r="K286" s="274" t="s">
        <v>253</v>
      </c>
      <c r="L286" s="18" t="s">
        <v>64</v>
      </c>
      <c r="M286" s="278">
        <v>30938</v>
      </c>
      <c r="N286" s="315">
        <v>52870</v>
      </c>
      <c r="O286" s="278">
        <v>46188</v>
      </c>
      <c r="P286" s="272">
        <v>45628</v>
      </c>
      <c r="Q286" s="316">
        <v>45412</v>
      </c>
      <c r="R286" s="280"/>
      <c r="S286" s="982" t="s">
        <v>5416</v>
      </c>
      <c r="T286" s="318" t="s">
        <v>5417</v>
      </c>
      <c r="U286" s="281" t="s">
        <v>5418</v>
      </c>
      <c r="V286" s="285">
        <f t="shared" si="69"/>
        <v>11</v>
      </c>
      <c r="W286" s="90"/>
      <c r="X286" s="90"/>
      <c r="Y286" s="298"/>
      <c r="Z286" s="298"/>
      <c r="AA286" s="298"/>
      <c r="AB286" s="298"/>
      <c r="AC286" s="298"/>
      <c r="AD286" s="298"/>
      <c r="AE286" s="298"/>
      <c r="AF286" s="298"/>
      <c r="AG286" s="298"/>
      <c r="AH286" s="298"/>
      <c r="AI286" s="298"/>
      <c r="AJ286" s="298"/>
      <c r="AK286" s="298"/>
      <c r="AL286" s="298"/>
      <c r="AM286" s="298"/>
    </row>
    <row r="287" spans="1:39" ht="15.75" customHeight="1">
      <c r="A287" s="1162">
        <v>139</v>
      </c>
      <c r="B287" s="1097" t="s">
        <v>5419</v>
      </c>
      <c r="C287" s="275" t="s">
        <v>31</v>
      </c>
      <c r="D287" s="1879" t="s">
        <v>5420</v>
      </c>
      <c r="E287" s="491" t="s">
        <v>5421</v>
      </c>
      <c r="F287" s="18" t="s">
        <v>759</v>
      </c>
      <c r="G287" s="274" t="s">
        <v>77</v>
      </c>
      <c r="H287" s="284" t="s">
        <v>266</v>
      </c>
      <c r="I287" s="275">
        <v>9342810595</v>
      </c>
      <c r="J287" s="275"/>
      <c r="K287" s="274" t="s">
        <v>253</v>
      </c>
      <c r="L287" s="274" t="s">
        <v>52</v>
      </c>
      <c r="M287" s="272">
        <v>33030</v>
      </c>
      <c r="N287" s="272">
        <v>54969</v>
      </c>
      <c r="O287" s="272">
        <v>46189</v>
      </c>
      <c r="P287" s="279">
        <v>45522</v>
      </c>
      <c r="Q287" s="316">
        <v>45468</v>
      </c>
      <c r="R287" s="1134"/>
      <c r="S287" s="485"/>
      <c r="T287" s="486" t="s">
        <v>5422</v>
      </c>
      <c r="U287" s="1569" t="s">
        <v>5423</v>
      </c>
      <c r="V287" s="382">
        <f t="shared" si="69"/>
        <v>11</v>
      </c>
      <c r="W287" s="311"/>
      <c r="X287" s="1220">
        <f ca="1">INT((TODAY()-M287)/365)</f>
        <v>35</v>
      </c>
      <c r="Y287" s="90"/>
    </row>
    <row r="288" spans="1:39" ht="15.75" customHeight="1">
      <c r="A288" s="1162">
        <v>140</v>
      </c>
      <c r="B288" s="399" t="s">
        <v>5424</v>
      </c>
      <c r="C288" s="275" t="s">
        <v>31</v>
      </c>
      <c r="D288" s="1881" t="s">
        <v>5425</v>
      </c>
      <c r="E288" s="681" t="s">
        <v>5426</v>
      </c>
      <c r="F288" s="274" t="s">
        <v>759</v>
      </c>
      <c r="G288" s="284" t="s">
        <v>77</v>
      </c>
      <c r="H288" s="284" t="s">
        <v>266</v>
      </c>
      <c r="I288" s="391">
        <v>9681115266</v>
      </c>
      <c r="J288" s="391"/>
      <c r="K288" s="274" t="s">
        <v>253</v>
      </c>
      <c r="L288" s="18" t="s">
        <v>62</v>
      </c>
      <c r="M288" s="289">
        <v>31912</v>
      </c>
      <c r="N288" s="390">
        <v>53843</v>
      </c>
      <c r="O288" s="400">
        <v>46146</v>
      </c>
      <c r="P288" s="272">
        <v>45628</v>
      </c>
      <c r="Q288" s="272">
        <v>45563</v>
      </c>
      <c r="R288" s="393"/>
      <c r="S288" s="403"/>
      <c r="T288" s="394" t="s">
        <v>5427</v>
      </c>
      <c r="U288" s="394" t="s">
        <v>5428</v>
      </c>
      <c r="V288" s="383">
        <f>LEN(TEXT(D288,0))</f>
        <v>11</v>
      </c>
      <c r="W288" s="563"/>
      <c r="X288" s="90"/>
      <c r="Y288" s="311"/>
      <c r="Z288" s="311"/>
      <c r="AA288" s="311"/>
      <c r="AB288" s="311"/>
      <c r="AC288" s="311"/>
      <c r="AD288" s="311"/>
    </row>
    <row r="289" spans="1:39" ht="15.75" customHeight="1">
      <c r="A289" s="1162">
        <v>141</v>
      </c>
      <c r="B289" s="286" t="s">
        <v>5429</v>
      </c>
      <c r="C289" s="275" t="s">
        <v>31</v>
      </c>
      <c r="D289" s="621" t="s">
        <v>5430</v>
      </c>
      <c r="E289" s="527" t="s">
        <v>5431</v>
      </c>
      <c r="F289" s="1877" t="s">
        <v>759</v>
      </c>
      <c r="G289" s="1878" t="s">
        <v>77</v>
      </c>
      <c r="H289" s="303" t="s">
        <v>266</v>
      </c>
      <c r="I289" s="3"/>
      <c r="J289" s="3"/>
      <c r="K289" s="274" t="s">
        <v>253</v>
      </c>
      <c r="L289" s="39" t="s">
        <v>299</v>
      </c>
      <c r="M289" s="476">
        <v>29935</v>
      </c>
      <c r="N289" s="476">
        <v>51866</v>
      </c>
      <c r="O289" s="622"/>
      <c r="P289" s="622"/>
      <c r="Q289" s="623"/>
      <c r="R289" s="280"/>
      <c r="S289" s="280"/>
      <c r="T289" s="280"/>
      <c r="U289" s="281" t="s">
        <v>5432</v>
      </c>
      <c r="V289" s="280"/>
      <c r="W289" s="90"/>
      <c r="X289" s="90"/>
      <c r="Y289" s="90"/>
    </row>
    <row r="290" spans="1:39" ht="15.75" customHeight="1">
      <c r="A290" s="1162">
        <v>142</v>
      </c>
      <c r="B290" s="286" t="s">
        <v>5433</v>
      </c>
      <c r="C290" s="275" t="s">
        <v>31</v>
      </c>
      <c r="D290" s="621" t="s">
        <v>5434</v>
      </c>
      <c r="E290" s="595" t="s">
        <v>5435</v>
      </c>
      <c r="F290" s="1877" t="s">
        <v>759</v>
      </c>
      <c r="G290" s="1878" t="s">
        <v>78</v>
      </c>
      <c r="H290" s="303" t="s">
        <v>266</v>
      </c>
      <c r="I290" s="137">
        <v>6291225106</v>
      </c>
      <c r="J290" s="3"/>
      <c r="K290" s="274" t="s">
        <v>253</v>
      </c>
      <c r="L290" s="18" t="s">
        <v>61</v>
      </c>
      <c r="M290" s="476">
        <v>30584</v>
      </c>
      <c r="N290" s="476">
        <v>52504</v>
      </c>
      <c r="O290" s="622"/>
      <c r="P290" s="622"/>
      <c r="Q290" s="623"/>
      <c r="R290" s="280"/>
      <c r="S290" s="280"/>
      <c r="T290" s="280"/>
      <c r="U290" s="281" t="s">
        <v>5436</v>
      </c>
      <c r="V290" s="280"/>
      <c r="W290" s="90"/>
      <c r="X290" s="90"/>
      <c r="Y290" s="90"/>
    </row>
    <row r="291" spans="1:39" ht="15.75" customHeight="1">
      <c r="A291" s="1162">
        <v>143</v>
      </c>
      <c r="B291" s="1097" t="s">
        <v>5437</v>
      </c>
      <c r="C291" s="275" t="s">
        <v>31</v>
      </c>
      <c r="D291" s="1448" t="s">
        <v>5438</v>
      </c>
      <c r="E291" s="303" t="s">
        <v>5439</v>
      </c>
      <c r="F291" s="18" t="s">
        <v>759</v>
      </c>
      <c r="G291" s="303" t="s">
        <v>76</v>
      </c>
      <c r="H291" s="274" t="s">
        <v>266</v>
      </c>
      <c r="I291" s="275">
        <v>9002071370</v>
      </c>
      <c r="J291" s="284">
        <v>8697669250</v>
      </c>
      <c r="K291" s="274" t="s">
        <v>253</v>
      </c>
      <c r="L291" s="274" t="s">
        <v>64</v>
      </c>
      <c r="M291" s="272">
        <v>29176</v>
      </c>
      <c r="N291" s="272">
        <v>51104</v>
      </c>
      <c r="O291" s="272">
        <v>45613</v>
      </c>
      <c r="P291" s="279">
        <v>45131</v>
      </c>
      <c r="Q291" s="279">
        <v>45127</v>
      </c>
      <c r="R291" s="603" t="s">
        <v>5440</v>
      </c>
      <c r="S291" s="486" t="s">
        <v>5441</v>
      </c>
      <c r="T291" s="486" t="s">
        <v>5442</v>
      </c>
      <c r="U291" s="486" t="s">
        <v>5443</v>
      </c>
      <c r="V291" s="382">
        <f>LEN(D291)</f>
        <v>11</v>
      </c>
      <c r="W291" s="311"/>
      <c r="X291" s="1220">
        <f ca="1">INT((TODAY()-M291)/365)</f>
        <v>46</v>
      </c>
      <c r="Y291" s="563"/>
      <c r="AA291" s="384"/>
      <c r="AB291" s="311">
        <f t="shared" ref="AB291:AB292" ca="1" si="70">INT((TODAY()-M291)/365)</f>
        <v>46</v>
      </c>
    </row>
    <row r="292" spans="1:39" ht="15.75" customHeight="1">
      <c r="A292" s="1162">
        <v>144</v>
      </c>
      <c r="B292" s="351" t="s">
        <v>2872</v>
      </c>
      <c r="C292" s="275" t="s">
        <v>31</v>
      </c>
      <c r="D292" s="564" t="s">
        <v>5444</v>
      </c>
      <c r="E292" s="491" t="s">
        <v>5445</v>
      </c>
      <c r="F292" s="274" t="s">
        <v>759</v>
      </c>
      <c r="G292" s="303" t="s">
        <v>76</v>
      </c>
      <c r="H292" s="284" t="s">
        <v>266</v>
      </c>
      <c r="I292" s="391">
        <v>9570433777</v>
      </c>
      <c r="J292" s="391">
        <v>9570433777</v>
      </c>
      <c r="K292" s="274" t="s">
        <v>253</v>
      </c>
      <c r="L292" s="18" t="s">
        <v>417</v>
      </c>
      <c r="M292" s="289">
        <v>32878</v>
      </c>
      <c r="N292" s="289">
        <v>54819</v>
      </c>
      <c r="O292" s="400">
        <v>46187</v>
      </c>
      <c r="P292" s="272">
        <v>45628</v>
      </c>
      <c r="Q292" s="316">
        <v>45468</v>
      </c>
      <c r="R292" s="393"/>
      <c r="S292" s="393"/>
      <c r="T292" s="394" t="s">
        <v>5446</v>
      </c>
      <c r="U292" s="394" t="s">
        <v>5447</v>
      </c>
      <c r="V292" s="383">
        <f>LEN(TEXT(D292,0))</f>
        <v>11</v>
      </c>
      <c r="W292" s="563"/>
      <c r="X292" s="79"/>
      <c r="Y292" s="3"/>
      <c r="Z292" s="79"/>
      <c r="AA292" s="79"/>
      <c r="AB292" s="382">
        <f t="shared" ca="1" si="70"/>
        <v>36</v>
      </c>
      <c r="AC292" s="383"/>
      <c r="AD292" s="383"/>
      <c r="AE292" s="383"/>
      <c r="AF292" s="383"/>
      <c r="AG292" s="383"/>
      <c r="AH292" s="383"/>
      <c r="AI292" s="384"/>
      <c r="AJ292" s="384"/>
      <c r="AK292" s="384"/>
      <c r="AL292" s="384"/>
      <c r="AM292" s="384"/>
    </row>
    <row r="293" spans="1:39" ht="15.75" customHeight="1">
      <c r="A293" s="1162">
        <v>145</v>
      </c>
      <c r="B293" s="1461" t="s">
        <v>5448</v>
      </c>
      <c r="C293" s="275" t="s">
        <v>31</v>
      </c>
      <c r="D293" s="1458" t="s">
        <v>5449</v>
      </c>
      <c r="E293" s="1828" t="s">
        <v>5450</v>
      </c>
      <c r="F293" s="274" t="s">
        <v>759</v>
      </c>
      <c r="G293" s="875" t="s">
        <v>76</v>
      </c>
      <c r="H293" s="284" t="s">
        <v>266</v>
      </c>
      <c r="I293" s="307">
        <v>7584049243</v>
      </c>
      <c r="J293" s="307">
        <v>7584049243</v>
      </c>
      <c r="K293" s="274" t="s">
        <v>253</v>
      </c>
      <c r="L293" s="303" t="s">
        <v>52</v>
      </c>
      <c r="M293" s="278">
        <v>32803</v>
      </c>
      <c r="N293" s="315">
        <v>54727</v>
      </c>
      <c r="O293" s="278">
        <v>46200</v>
      </c>
      <c r="P293" s="272">
        <v>45541</v>
      </c>
      <c r="Q293" s="316">
        <v>45468</v>
      </c>
      <c r="R293" s="280"/>
      <c r="S293" s="318" t="s">
        <v>5451</v>
      </c>
      <c r="T293" s="318" t="s">
        <v>5452</v>
      </c>
      <c r="U293" s="281" t="s">
        <v>5453</v>
      </c>
      <c r="V293" s="285">
        <f t="shared" ref="V293:V294" si="71">LEN(D293)</f>
        <v>11</v>
      </c>
      <c r="W293" s="90"/>
      <c r="X293" s="90"/>
      <c r="Y293" s="311"/>
      <c r="Z293" s="311"/>
      <c r="AA293" s="311"/>
      <c r="AB293" s="311"/>
      <c r="AC293" s="311"/>
      <c r="AD293" s="311"/>
      <c r="AE293" s="311"/>
      <c r="AF293" s="311"/>
      <c r="AG293" s="311"/>
      <c r="AH293" s="311"/>
      <c r="AI293" s="311"/>
      <c r="AJ293" s="311"/>
      <c r="AK293" s="311"/>
      <c r="AL293" s="311"/>
      <c r="AM293" s="311"/>
    </row>
    <row r="294" spans="1:39" ht="15.75" customHeight="1">
      <c r="A294" s="1162">
        <v>146</v>
      </c>
      <c r="B294" s="276" t="s">
        <v>5454</v>
      </c>
      <c r="C294" s="275" t="s">
        <v>31</v>
      </c>
      <c r="D294" s="1458" t="s">
        <v>5455</v>
      </c>
      <c r="E294" s="1828" t="s">
        <v>5456</v>
      </c>
      <c r="F294" s="946" t="s">
        <v>759</v>
      </c>
      <c r="G294" s="875" t="s">
        <v>76</v>
      </c>
      <c r="H294" s="284" t="s">
        <v>266</v>
      </c>
      <c r="I294" s="307">
        <v>8789021621</v>
      </c>
      <c r="J294" s="703">
        <v>7870795098</v>
      </c>
      <c r="K294" s="274" t="s">
        <v>253</v>
      </c>
      <c r="L294" s="18" t="s">
        <v>62</v>
      </c>
      <c r="M294" s="921">
        <v>30317</v>
      </c>
      <c r="N294" s="315">
        <v>52262</v>
      </c>
      <c r="O294" s="278">
        <v>46132</v>
      </c>
      <c r="P294" s="272">
        <v>45541</v>
      </c>
      <c r="Q294" s="302">
        <v>45521</v>
      </c>
      <c r="R294" s="280"/>
      <c r="S294" s="318" t="s">
        <v>5457</v>
      </c>
      <c r="T294" s="318" t="s">
        <v>5458</v>
      </c>
      <c r="U294" s="281" t="s">
        <v>5459</v>
      </c>
      <c r="V294" s="285">
        <f t="shared" si="71"/>
        <v>11</v>
      </c>
      <c r="W294" s="90"/>
      <c r="X294" s="3"/>
      <c r="Y294" s="297"/>
      <c r="Z294" s="297"/>
      <c r="AA294" s="297"/>
      <c r="AB294" s="297"/>
      <c r="AC294" s="297"/>
      <c r="AD294" s="297"/>
      <c r="AE294" s="297"/>
      <c r="AF294" s="297"/>
      <c r="AG294" s="297"/>
      <c r="AH294" s="297"/>
      <c r="AI294" s="298"/>
      <c r="AJ294" s="298"/>
      <c r="AK294" s="298"/>
      <c r="AL294" s="298"/>
      <c r="AM294" s="298"/>
    </row>
    <row r="295" spans="1:39" ht="15.75" customHeight="1">
      <c r="A295" s="1162">
        <v>147</v>
      </c>
      <c r="B295" s="1882" t="s">
        <v>5460</v>
      </c>
      <c r="C295" s="275" t="s">
        <v>31</v>
      </c>
      <c r="D295" s="1528" t="s">
        <v>5461</v>
      </c>
      <c r="E295" s="1883" t="s">
        <v>5462</v>
      </c>
      <c r="F295" s="946" t="s">
        <v>759</v>
      </c>
      <c r="G295" s="875" t="s">
        <v>77</v>
      </c>
      <c r="H295" s="274" t="s">
        <v>266</v>
      </c>
      <c r="I295" s="307">
        <v>7407236948</v>
      </c>
      <c r="J295" s="307"/>
      <c r="K295" s="274" t="s">
        <v>253</v>
      </c>
      <c r="L295" s="274" t="s">
        <v>62</v>
      </c>
      <c r="M295" s="315">
        <v>31687</v>
      </c>
      <c r="N295" s="315">
        <v>53631</v>
      </c>
      <c r="O295" s="315">
        <v>46148</v>
      </c>
      <c r="P295" s="272">
        <v>45653</v>
      </c>
      <c r="Q295" s="316">
        <v>45576</v>
      </c>
      <c r="R295" s="285"/>
      <c r="S295" s="285"/>
      <c r="T295" s="318" t="s">
        <v>5463</v>
      </c>
      <c r="U295" s="318" t="s">
        <v>5464</v>
      </c>
      <c r="V295" s="285">
        <f>LEN(E295)</f>
        <v>6</v>
      </c>
      <c r="W295" s="382"/>
      <c r="X295" s="311"/>
      <c r="Y295" s="395"/>
      <c r="Z295" s="79"/>
      <c r="AA295" s="383"/>
      <c r="AB295" s="311">
        <f ca="1">INT((TODAY()-M295)/365)</f>
        <v>39</v>
      </c>
    </row>
    <row r="296" spans="1:39" ht="15.75" customHeight="1">
      <c r="A296" s="1884">
        <v>148</v>
      </c>
      <c r="B296" s="351" t="s">
        <v>5465</v>
      </c>
      <c r="C296" s="275" t="s">
        <v>31</v>
      </c>
      <c r="D296" s="564" t="s">
        <v>5466</v>
      </c>
      <c r="E296" s="491" t="s">
        <v>5467</v>
      </c>
      <c r="F296" s="274" t="s">
        <v>759</v>
      </c>
      <c r="G296" s="303" t="s">
        <v>76</v>
      </c>
      <c r="H296" s="284" t="s">
        <v>266</v>
      </c>
      <c r="I296" s="391">
        <v>8617232708</v>
      </c>
      <c r="J296" s="391"/>
      <c r="K296" s="274" t="s">
        <v>253</v>
      </c>
      <c r="L296" s="274" t="s">
        <v>64</v>
      </c>
      <c r="M296" s="289">
        <v>31090</v>
      </c>
      <c r="N296" s="289">
        <v>53021</v>
      </c>
      <c r="O296" s="400">
        <v>46130</v>
      </c>
      <c r="P296" s="278">
        <v>45667</v>
      </c>
      <c r="Q296" s="272">
        <v>45559</v>
      </c>
      <c r="R296" s="393"/>
      <c r="S296" s="393"/>
      <c r="T296" s="394" t="s">
        <v>5468</v>
      </c>
      <c r="U296" s="394" t="s">
        <v>5469</v>
      </c>
      <c r="V296" s="383">
        <f t="shared" ref="V296:V297" si="72">LEN(TEXT(D296,0))</f>
        <v>11</v>
      </c>
      <c r="W296" s="563"/>
      <c r="X296" s="79"/>
      <c r="Y296" s="3"/>
      <c r="Z296" s="79"/>
      <c r="AA296" s="79"/>
      <c r="AB296" s="79"/>
      <c r="AC296" s="79"/>
      <c r="AD296" s="79"/>
      <c r="AE296" s="79"/>
      <c r="AF296" s="79"/>
      <c r="AG296" s="79"/>
      <c r="AH296" s="79"/>
    </row>
    <row r="297" spans="1:39" ht="15.75" customHeight="1">
      <c r="A297" s="898">
        <v>149</v>
      </c>
      <c r="B297" s="351" t="s">
        <v>5470</v>
      </c>
      <c r="C297" s="275" t="s">
        <v>31</v>
      </c>
      <c r="D297" s="564" t="s">
        <v>5471</v>
      </c>
      <c r="E297" s="491" t="s">
        <v>5472</v>
      </c>
      <c r="F297" s="685" t="s">
        <v>759</v>
      </c>
      <c r="G297" s="303" t="s">
        <v>76</v>
      </c>
      <c r="H297" s="303" t="s">
        <v>266</v>
      </c>
      <c r="I297" s="391">
        <v>7063813517</v>
      </c>
      <c r="J297" s="284"/>
      <c r="K297" s="274" t="s">
        <v>253</v>
      </c>
      <c r="L297" s="274" t="s">
        <v>56</v>
      </c>
      <c r="M297" s="289">
        <v>31052</v>
      </c>
      <c r="N297" s="289">
        <v>52993</v>
      </c>
      <c r="O297" s="400">
        <v>46092</v>
      </c>
      <c r="P297" s="272">
        <v>45628</v>
      </c>
      <c r="Q297" s="272">
        <v>45549</v>
      </c>
      <c r="R297" s="393"/>
      <c r="S297" s="394" t="s">
        <v>5473</v>
      </c>
      <c r="T297" s="394" t="s">
        <v>5474</v>
      </c>
      <c r="U297" s="296" t="s">
        <v>5475</v>
      </c>
      <c r="V297" s="383">
        <f t="shared" si="72"/>
        <v>11</v>
      </c>
      <c r="W297" s="395"/>
      <c r="X297" s="3"/>
      <c r="Y297" s="382"/>
      <c r="Z297" s="382"/>
      <c r="AA297" s="382"/>
      <c r="AB297" s="382"/>
      <c r="AC297" s="382"/>
      <c r="AD297" s="382"/>
      <c r="AE297" s="382"/>
      <c r="AF297" s="382"/>
      <c r="AG297" s="382"/>
      <c r="AH297" s="382"/>
      <c r="AI297" s="382"/>
      <c r="AJ297" s="382"/>
      <c r="AK297" s="382"/>
      <c r="AL297" s="382"/>
      <c r="AM297" s="382"/>
    </row>
    <row r="298" spans="1:39" ht="15.75" customHeight="1">
      <c r="A298" s="961">
        <v>41</v>
      </c>
      <c r="B298" s="293" t="s">
        <v>5476</v>
      </c>
      <c r="C298" s="275" t="s">
        <v>31</v>
      </c>
      <c r="D298" s="562" t="s">
        <v>5477</v>
      </c>
      <c r="E298" s="491" t="s">
        <v>5478</v>
      </c>
      <c r="F298" s="18" t="s">
        <v>759</v>
      </c>
      <c r="G298" s="274" t="s">
        <v>77</v>
      </c>
      <c r="H298" s="274" t="s">
        <v>266</v>
      </c>
      <c r="I298" s="1885">
        <v>9002071067</v>
      </c>
      <c r="J298" s="275">
        <v>8926871039</v>
      </c>
      <c r="K298" s="274" t="s">
        <v>253</v>
      </c>
      <c r="L298" s="18" t="s">
        <v>62</v>
      </c>
      <c r="M298" s="272">
        <v>32269</v>
      </c>
      <c r="N298" s="272">
        <v>54209</v>
      </c>
      <c r="O298" s="272">
        <v>46173</v>
      </c>
      <c r="P298" s="300">
        <v>45598</v>
      </c>
      <c r="Q298" s="272">
        <v>45552</v>
      </c>
      <c r="R298" s="998"/>
      <c r="S298" s="485"/>
      <c r="T298" s="486" t="s">
        <v>5479</v>
      </c>
      <c r="U298" s="486" t="s">
        <v>5480</v>
      </c>
      <c r="V298" s="382">
        <f t="shared" ref="V298:V301" si="73">LEN(D298)</f>
        <v>11</v>
      </c>
      <c r="W298" s="311"/>
      <c r="X298" s="1220">
        <f t="shared" ref="X298:X299" ca="1" si="74">INT((TODAY()-M298)/365)</f>
        <v>37</v>
      </c>
      <c r="Y298" s="311"/>
      <c r="Z298" s="311"/>
      <c r="AA298" s="311"/>
      <c r="AB298" s="311"/>
      <c r="AC298" s="311"/>
      <c r="AD298" s="311"/>
      <c r="AE298" s="311"/>
      <c r="AF298" s="311"/>
      <c r="AG298" s="311"/>
      <c r="AH298" s="311"/>
      <c r="AI298" s="311"/>
      <c r="AJ298" s="311"/>
      <c r="AK298" s="311"/>
      <c r="AL298" s="311"/>
      <c r="AM298" s="311"/>
    </row>
    <row r="299" spans="1:39" ht="15.75" customHeight="1">
      <c r="A299" s="961">
        <v>60</v>
      </c>
      <c r="B299" s="1097" t="s">
        <v>5481</v>
      </c>
      <c r="C299" s="275" t="s">
        <v>31</v>
      </c>
      <c r="D299" s="1839" t="s">
        <v>5482</v>
      </c>
      <c r="E299" s="491" t="s">
        <v>5483</v>
      </c>
      <c r="F299" s="18" t="s">
        <v>759</v>
      </c>
      <c r="G299" s="303" t="s">
        <v>76</v>
      </c>
      <c r="H299" s="274" t="s">
        <v>266</v>
      </c>
      <c r="I299" s="275">
        <v>9163382169</v>
      </c>
      <c r="J299" s="275"/>
      <c r="K299" s="274" t="s">
        <v>253</v>
      </c>
      <c r="L299" s="18" t="s">
        <v>61</v>
      </c>
      <c r="M299" s="272">
        <v>29167</v>
      </c>
      <c r="N299" s="272">
        <v>51104</v>
      </c>
      <c r="O299" s="272">
        <v>45545</v>
      </c>
      <c r="P299" s="272">
        <v>45628</v>
      </c>
      <c r="Q299" s="302">
        <v>45705</v>
      </c>
      <c r="R299" s="998"/>
      <c r="S299" s="485"/>
      <c r="T299" s="486" t="s">
        <v>5484</v>
      </c>
      <c r="U299" s="1363" t="s">
        <v>5485</v>
      </c>
      <c r="V299" s="382">
        <f t="shared" si="73"/>
        <v>11</v>
      </c>
      <c r="W299" s="311"/>
      <c r="X299" s="1220">
        <f t="shared" ca="1" si="74"/>
        <v>46</v>
      </c>
      <c r="Y299" s="311"/>
      <c r="Z299" s="311"/>
      <c r="AA299" s="311"/>
      <c r="AB299" s="311"/>
      <c r="AC299" s="311"/>
      <c r="AD299" s="311"/>
      <c r="AE299" s="311"/>
      <c r="AF299" s="311"/>
      <c r="AG299" s="311"/>
      <c r="AH299" s="311"/>
      <c r="AI299" s="311"/>
      <c r="AJ299" s="311"/>
      <c r="AK299" s="311"/>
      <c r="AL299" s="311"/>
      <c r="AM299" s="311"/>
    </row>
    <row r="300" spans="1:39" ht="15.75" customHeight="1">
      <c r="A300" s="1051">
        <v>31</v>
      </c>
      <c r="B300" s="1461" t="s">
        <v>5486</v>
      </c>
      <c r="C300" s="275" t="s">
        <v>31</v>
      </c>
      <c r="D300" s="1458" t="s">
        <v>5487</v>
      </c>
      <c r="E300" s="1828" t="s">
        <v>5488</v>
      </c>
      <c r="F300" s="284" t="s">
        <v>759</v>
      </c>
      <c r="G300" s="875" t="s">
        <v>77</v>
      </c>
      <c r="H300" s="274" t="s">
        <v>266</v>
      </c>
      <c r="I300" s="1643">
        <v>9002071004</v>
      </c>
      <c r="J300" s="703">
        <v>9674851357</v>
      </c>
      <c r="K300" s="274" t="s">
        <v>253</v>
      </c>
      <c r="L300" s="398" t="s">
        <v>43</v>
      </c>
      <c r="M300" s="278">
        <v>30448</v>
      </c>
      <c r="N300" s="315">
        <v>52596</v>
      </c>
      <c r="O300" s="278">
        <v>46187</v>
      </c>
      <c r="P300" s="272">
        <v>45628</v>
      </c>
      <c r="Q300" s="302">
        <v>45649</v>
      </c>
      <c r="R300" s="280"/>
      <c r="S300" s="318" t="s">
        <v>5489</v>
      </c>
      <c r="T300" s="318" t="s">
        <v>5490</v>
      </c>
      <c r="U300" s="281" t="s">
        <v>5491</v>
      </c>
      <c r="V300" s="285">
        <f t="shared" si="73"/>
        <v>11</v>
      </c>
      <c r="W300" s="388">
        <f ca="1">INT((TODAY()-M300)/365)</f>
        <v>42</v>
      </c>
      <c r="X300" s="311"/>
      <c r="Y300" s="90"/>
      <c r="AB300" s="311">
        <f ca="1">INT((TODAY()-M300)/365)</f>
        <v>42</v>
      </c>
      <c r="AC300" s="311"/>
      <c r="AD300" s="311"/>
      <c r="AE300" s="311"/>
    </row>
    <row r="301" spans="1:39" ht="15.75" customHeight="1">
      <c r="A301" s="961">
        <v>32</v>
      </c>
      <c r="B301" s="293" t="s">
        <v>5492</v>
      </c>
      <c r="C301" s="275" t="s">
        <v>31</v>
      </c>
      <c r="D301" s="562" t="s">
        <v>5493</v>
      </c>
      <c r="E301" s="540" t="s">
        <v>5494</v>
      </c>
      <c r="F301" s="18" t="s">
        <v>759</v>
      </c>
      <c r="G301" s="303" t="s">
        <v>76</v>
      </c>
      <c r="H301" s="274" t="s">
        <v>266</v>
      </c>
      <c r="I301" s="558">
        <v>9002071028</v>
      </c>
      <c r="J301" s="284">
        <v>9064889883</v>
      </c>
      <c r="K301" s="274" t="s">
        <v>253</v>
      </c>
      <c r="L301" s="18" t="s">
        <v>61</v>
      </c>
      <c r="M301" s="272">
        <v>30416</v>
      </c>
      <c r="N301" s="272">
        <v>52351</v>
      </c>
      <c r="O301" s="272">
        <v>46132</v>
      </c>
      <c r="P301" s="300">
        <v>45598</v>
      </c>
      <c r="Q301" s="272">
        <v>45552</v>
      </c>
      <c r="R301" s="603" t="s">
        <v>5495</v>
      </c>
      <c r="S301" s="485"/>
      <c r="T301" s="1160" t="s">
        <v>5496</v>
      </c>
      <c r="U301" s="486" t="s">
        <v>5497</v>
      </c>
      <c r="V301" s="382">
        <f t="shared" si="73"/>
        <v>11</v>
      </c>
      <c r="W301" s="382"/>
      <c r="X301" s="1220">
        <f ca="1">INT((TODAY()-M301)/365)</f>
        <v>42</v>
      </c>
      <c r="Y301" s="382"/>
      <c r="Z301" s="382"/>
      <c r="AA301" s="382"/>
      <c r="AB301" s="311"/>
      <c r="AC301" s="311"/>
      <c r="AD301" s="311"/>
      <c r="AE301" s="311"/>
      <c r="AF301" s="311"/>
      <c r="AG301" s="311"/>
      <c r="AH301" s="311"/>
      <c r="AI301" s="311"/>
      <c r="AJ301" s="311"/>
      <c r="AK301" s="311"/>
      <c r="AL301" s="311"/>
      <c r="AM301" s="311"/>
    </row>
    <row r="302" spans="1:39" ht="15.75" customHeight="1">
      <c r="A302" s="1051">
        <v>51</v>
      </c>
      <c r="B302" s="351" t="s">
        <v>5498</v>
      </c>
      <c r="C302" s="275" t="s">
        <v>31</v>
      </c>
      <c r="D302" s="1822" t="s">
        <v>5499</v>
      </c>
      <c r="E302" s="491" t="s">
        <v>5500</v>
      </c>
      <c r="F302" s="685" t="s">
        <v>759</v>
      </c>
      <c r="G302" s="303" t="s">
        <v>76</v>
      </c>
      <c r="H302" s="303" t="s">
        <v>266</v>
      </c>
      <c r="I302" s="391">
        <v>8981730876</v>
      </c>
      <c r="J302" s="284">
        <v>8981730876</v>
      </c>
      <c r="K302" s="274" t="s">
        <v>253</v>
      </c>
      <c r="L302" s="274" t="s">
        <v>56</v>
      </c>
      <c r="M302" s="289">
        <v>32878</v>
      </c>
      <c r="N302" s="289">
        <v>54818</v>
      </c>
      <c r="O302" s="400">
        <v>46119</v>
      </c>
      <c r="P302" s="424">
        <v>45628</v>
      </c>
      <c r="Q302" s="316">
        <v>45524</v>
      </c>
      <c r="R302" s="1016" t="s">
        <v>5501</v>
      </c>
      <c r="S302" s="482"/>
      <c r="T302" s="1016" t="s">
        <v>5502</v>
      </c>
      <c r="U302" s="482"/>
      <c r="V302" s="384">
        <f t="shared" ref="V302:V305" si="75">LEN(TEXT(D302,0))</f>
        <v>11</v>
      </c>
      <c r="W302" s="563"/>
      <c r="X302" s="90"/>
      <c r="Y302" s="311"/>
      <c r="Z302" s="311"/>
      <c r="AA302" s="311"/>
      <c r="AB302" s="311"/>
      <c r="AC302" s="311"/>
      <c r="AD302" s="311"/>
      <c r="AE302" s="311"/>
      <c r="AF302" s="311"/>
      <c r="AG302" s="311"/>
      <c r="AH302" s="311"/>
      <c r="AI302" s="311"/>
      <c r="AJ302" s="311"/>
      <c r="AK302" s="311"/>
      <c r="AL302" s="311"/>
      <c r="AM302" s="311"/>
    </row>
    <row r="303" spans="1:39" ht="15.75" customHeight="1">
      <c r="A303" s="961">
        <v>61</v>
      </c>
      <c r="B303" s="688" t="s">
        <v>5503</v>
      </c>
      <c r="C303" s="275" t="s">
        <v>31</v>
      </c>
      <c r="D303" s="564" t="s">
        <v>5504</v>
      </c>
      <c r="E303" s="274" t="s">
        <v>5505</v>
      </c>
      <c r="F303" s="18" t="s">
        <v>759</v>
      </c>
      <c r="G303" s="274" t="s">
        <v>77</v>
      </c>
      <c r="H303" s="274" t="s">
        <v>266</v>
      </c>
      <c r="I303" s="1309">
        <v>9002071219</v>
      </c>
      <c r="J303" s="275">
        <v>9804127512</v>
      </c>
      <c r="K303" s="274" t="s">
        <v>253</v>
      </c>
      <c r="L303" s="274" t="s">
        <v>54</v>
      </c>
      <c r="M303" s="289">
        <v>32328</v>
      </c>
      <c r="N303" s="289">
        <v>54178</v>
      </c>
      <c r="O303" s="272">
        <v>46174</v>
      </c>
      <c r="P303" s="272">
        <v>45628</v>
      </c>
      <c r="Q303" s="302">
        <v>45649</v>
      </c>
      <c r="R303" s="294"/>
      <c r="S303" s="295"/>
      <c r="T303" s="296" t="s">
        <v>5506</v>
      </c>
      <c r="U303" s="296" t="s">
        <v>5507</v>
      </c>
      <c r="V303" s="297">
        <f t="shared" si="75"/>
        <v>11</v>
      </c>
      <c r="W303" s="298"/>
      <c r="X303" s="48">
        <f ca="1">INT((TODAY()-M303)/365)</f>
        <v>37</v>
      </c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</row>
    <row r="304" spans="1:39" ht="15.75" customHeight="1">
      <c r="A304" s="1051">
        <v>47</v>
      </c>
      <c r="B304" s="293" t="s">
        <v>5508</v>
      </c>
      <c r="C304" s="275" t="s">
        <v>31</v>
      </c>
      <c r="D304" s="564" t="s">
        <v>5509</v>
      </c>
      <c r="E304" s="366" t="s">
        <v>5510</v>
      </c>
      <c r="F304" s="284" t="s">
        <v>759</v>
      </c>
      <c r="G304" s="284" t="s">
        <v>76</v>
      </c>
      <c r="H304" s="274" t="s">
        <v>266</v>
      </c>
      <c r="I304" s="1644">
        <v>9002071781</v>
      </c>
      <c r="J304" s="690"/>
      <c r="K304" s="274" t="s">
        <v>253</v>
      </c>
      <c r="L304" s="398" t="s">
        <v>64</v>
      </c>
      <c r="M304" s="289">
        <v>32311</v>
      </c>
      <c r="N304" s="289">
        <v>54239</v>
      </c>
      <c r="O304" s="272">
        <v>46172</v>
      </c>
      <c r="P304" s="272">
        <v>45628</v>
      </c>
      <c r="Q304" s="302">
        <v>45649</v>
      </c>
      <c r="R304" s="294"/>
      <c r="S304" s="295"/>
      <c r="T304" s="296" t="s">
        <v>5511</v>
      </c>
      <c r="U304" s="296" t="s">
        <v>5512</v>
      </c>
      <c r="V304" s="295">
        <f t="shared" si="75"/>
        <v>11</v>
      </c>
      <c r="W304" s="388">
        <f ca="1">INT((TODAY()-M304)/365)</f>
        <v>37</v>
      </c>
      <c r="X304" s="311"/>
      <c r="Y304" s="563"/>
      <c r="AA304" s="384"/>
      <c r="AB304" s="384"/>
      <c r="AC304" s="384"/>
      <c r="AD304" s="384"/>
      <c r="AE304" s="384"/>
      <c r="AF304" s="384"/>
      <c r="AG304" s="384"/>
      <c r="AH304" s="384"/>
      <c r="AI304" s="384"/>
      <c r="AJ304" s="384"/>
      <c r="AK304" s="384"/>
      <c r="AL304" s="384"/>
      <c r="AM304" s="384"/>
    </row>
    <row r="305" spans="1:39" ht="15.75" customHeight="1">
      <c r="A305" s="961">
        <v>62</v>
      </c>
      <c r="B305" s="351" t="s">
        <v>5513</v>
      </c>
      <c r="C305" s="275" t="s">
        <v>31</v>
      </c>
      <c r="D305" s="564" t="s">
        <v>5514</v>
      </c>
      <c r="E305" s="674" t="s">
        <v>5515</v>
      </c>
      <c r="F305" s="18" t="s">
        <v>759</v>
      </c>
      <c r="G305" s="303" t="s">
        <v>76</v>
      </c>
      <c r="H305" s="303" t="s">
        <v>266</v>
      </c>
      <c r="I305" s="536">
        <v>9002071672</v>
      </c>
      <c r="J305" s="391"/>
      <c r="K305" s="274" t="s">
        <v>253</v>
      </c>
      <c r="L305" s="18" t="s">
        <v>62</v>
      </c>
      <c r="M305" s="289">
        <v>29588</v>
      </c>
      <c r="N305" s="390">
        <v>51532</v>
      </c>
      <c r="O305" s="400">
        <v>46024</v>
      </c>
      <c r="P305" s="272">
        <v>45628</v>
      </c>
      <c r="Q305" s="302">
        <v>45649</v>
      </c>
      <c r="R305" s="1250"/>
      <c r="S305" s="482"/>
      <c r="T305" s="1016" t="s">
        <v>5516</v>
      </c>
      <c r="U305" s="1016" t="s">
        <v>5517</v>
      </c>
      <c r="V305" s="384">
        <f t="shared" si="75"/>
        <v>11</v>
      </c>
      <c r="W305" s="563"/>
      <c r="X305" s="1220">
        <f ca="1">INT((TODAY()-M305)/365)</f>
        <v>45</v>
      </c>
    </row>
    <row r="306" spans="1:39" ht="18.75">
      <c r="A306" s="1051">
        <v>28</v>
      </c>
      <c r="B306" s="1461" t="s">
        <v>5518</v>
      </c>
      <c r="C306" s="275" t="s">
        <v>31</v>
      </c>
      <c r="D306" s="1458" t="s">
        <v>5519</v>
      </c>
      <c r="E306" s="527" t="s">
        <v>5520</v>
      </c>
      <c r="F306" s="685" t="s">
        <v>3258</v>
      </c>
      <c r="G306" s="875" t="s">
        <v>77</v>
      </c>
      <c r="H306" s="303" t="s">
        <v>266</v>
      </c>
      <c r="I306" s="1644">
        <v>9002071677</v>
      </c>
      <c r="J306" s="703">
        <v>8926687020</v>
      </c>
      <c r="K306" s="274" t="s">
        <v>253</v>
      </c>
      <c r="L306" s="398" t="s">
        <v>64</v>
      </c>
      <c r="M306" s="278">
        <v>33416</v>
      </c>
      <c r="N306" s="315">
        <v>55334</v>
      </c>
      <c r="O306" s="278">
        <v>46174</v>
      </c>
      <c r="P306" s="278">
        <v>45628</v>
      </c>
      <c r="Q306" s="302">
        <v>45675</v>
      </c>
      <c r="R306" s="285"/>
      <c r="S306" s="285"/>
      <c r="T306" s="318" t="s">
        <v>5521</v>
      </c>
      <c r="U306" s="281" t="s">
        <v>5522</v>
      </c>
      <c r="V306" s="285">
        <f>LEN(D306)</f>
        <v>11</v>
      </c>
      <c r="W306" s="90"/>
      <c r="X306" s="90"/>
      <c r="Y306" s="311"/>
      <c r="Z306" s="311"/>
      <c r="AA306" s="311"/>
      <c r="AB306" s="311"/>
      <c r="AC306" s="311"/>
      <c r="AD306" s="311"/>
      <c r="AE306" s="311"/>
      <c r="AF306" s="311"/>
      <c r="AG306" s="311"/>
      <c r="AH306" s="311"/>
      <c r="AI306" s="311"/>
      <c r="AJ306" s="311"/>
      <c r="AK306" s="311"/>
      <c r="AL306" s="311"/>
      <c r="AM306" s="311"/>
    </row>
    <row r="307" spans="1:39" ht="15.75" customHeight="1">
      <c r="A307" s="1051">
        <v>44</v>
      </c>
      <c r="B307" s="401" t="s">
        <v>5523</v>
      </c>
      <c r="C307" s="275" t="s">
        <v>31</v>
      </c>
      <c r="D307" s="564" t="s">
        <v>5524</v>
      </c>
      <c r="E307" s="366" t="s">
        <v>5525</v>
      </c>
      <c r="F307" s="284" t="s">
        <v>759</v>
      </c>
      <c r="G307" s="284" t="s">
        <v>77</v>
      </c>
      <c r="H307" s="274" t="s">
        <v>266</v>
      </c>
      <c r="I307" s="1644">
        <v>9002071683</v>
      </c>
      <c r="J307" s="887">
        <v>9932040402</v>
      </c>
      <c r="K307" s="274" t="s">
        <v>253</v>
      </c>
      <c r="L307" s="274" t="s">
        <v>62</v>
      </c>
      <c r="M307" s="289">
        <v>29966</v>
      </c>
      <c r="N307" s="289">
        <v>51897</v>
      </c>
      <c r="O307" s="400">
        <v>46190</v>
      </c>
      <c r="P307" s="272">
        <v>45131</v>
      </c>
      <c r="Q307" s="272">
        <v>45127</v>
      </c>
      <c r="R307" s="394" t="s">
        <v>5526</v>
      </c>
      <c r="S307" s="394" t="s">
        <v>5527</v>
      </c>
      <c r="T307" s="394" t="s">
        <v>5528</v>
      </c>
      <c r="U307" s="394" t="s">
        <v>5529</v>
      </c>
      <c r="V307" s="393">
        <f>LEN(TEXT(D307,0))</f>
        <v>11</v>
      </c>
      <c r="W307" s="388">
        <f ca="1">INT((TODAY()-M307)/365)</f>
        <v>44</v>
      </c>
      <c r="X307" s="311"/>
      <c r="Y307" s="311"/>
      <c r="Z307" s="311"/>
      <c r="AA307" s="311"/>
      <c r="AB307" s="311"/>
      <c r="AC307" s="311"/>
      <c r="AD307" s="311"/>
      <c r="AE307" s="311"/>
      <c r="AF307" s="311"/>
      <c r="AG307" s="311"/>
      <c r="AH307" s="311"/>
      <c r="AI307" s="311"/>
      <c r="AJ307" s="311"/>
      <c r="AK307" s="311"/>
      <c r="AL307" s="311"/>
      <c r="AM307" s="311"/>
    </row>
    <row r="308" spans="1:39" ht="15.75" customHeight="1">
      <c r="A308" s="961">
        <v>64</v>
      </c>
      <c r="B308" s="365" t="s">
        <v>5530</v>
      </c>
      <c r="C308" s="275" t="s">
        <v>31</v>
      </c>
      <c r="D308" s="1886">
        <v>50205618149</v>
      </c>
      <c r="E308" s="18" t="s">
        <v>5531</v>
      </c>
      <c r="F308" s="18" t="s">
        <v>759</v>
      </c>
      <c r="G308" s="366" t="s">
        <v>77</v>
      </c>
      <c r="H308" s="274" t="s">
        <v>266</v>
      </c>
      <c r="I308" s="369">
        <v>9641055344</v>
      </c>
      <c r="J308" s="381">
        <v>9641055344</v>
      </c>
      <c r="K308" s="274" t="s">
        <v>253</v>
      </c>
      <c r="L308" s="409" t="s">
        <v>62</v>
      </c>
      <c r="M308" s="368">
        <v>31968</v>
      </c>
      <c r="N308" s="368">
        <v>53904</v>
      </c>
      <c r="O308" s="371">
        <v>46188</v>
      </c>
      <c r="P308" s="368">
        <v>45131</v>
      </c>
      <c r="Q308" s="380">
        <v>45127</v>
      </c>
      <c r="R308" s="411" t="s">
        <v>5532</v>
      </c>
      <c r="S308" s="412" t="s">
        <v>5533</v>
      </c>
      <c r="T308" s="411" t="s">
        <v>5534</v>
      </c>
      <c r="U308" s="412" t="s">
        <v>5535</v>
      </c>
      <c r="V308" s="1887">
        <f t="shared" ref="V308:V310" si="76">LEN(D308)</f>
        <v>11</v>
      </c>
      <c r="W308" s="199"/>
      <c r="X308" s="1220">
        <f ca="1">INT((TODAY()-M308)/365)</f>
        <v>38</v>
      </c>
      <c r="Y308" s="311"/>
      <c r="Z308" s="311"/>
      <c r="AA308" s="311"/>
      <c r="AB308" s="311"/>
      <c r="AC308" s="311"/>
      <c r="AD308" s="311"/>
      <c r="AE308" s="311"/>
      <c r="AF308" s="311"/>
      <c r="AG308" s="311"/>
      <c r="AH308" s="311"/>
      <c r="AI308" s="311"/>
      <c r="AJ308" s="311"/>
      <c r="AK308" s="311"/>
      <c r="AL308" s="311"/>
      <c r="AM308" s="311"/>
    </row>
    <row r="309" spans="1:39">
      <c r="A309" s="1051">
        <v>15</v>
      </c>
      <c r="B309" s="378" t="s">
        <v>5536</v>
      </c>
      <c r="C309" s="275" t="s">
        <v>31</v>
      </c>
      <c r="D309" s="1888" t="s">
        <v>5537</v>
      </c>
      <c r="E309" s="18" t="s">
        <v>5538</v>
      </c>
      <c r="F309" s="946" t="s">
        <v>759</v>
      </c>
      <c r="G309" s="366" t="s">
        <v>76</v>
      </c>
      <c r="H309" s="274" t="s">
        <v>266</v>
      </c>
      <c r="I309" s="1644">
        <v>9002071522</v>
      </c>
      <c r="J309" s="1789">
        <v>7044552973</v>
      </c>
      <c r="K309" s="274" t="s">
        <v>253</v>
      </c>
      <c r="L309" s="274" t="s">
        <v>351</v>
      </c>
      <c r="M309" s="368">
        <v>31536</v>
      </c>
      <c r="N309" s="368">
        <v>53478</v>
      </c>
      <c r="O309" s="371">
        <v>46189</v>
      </c>
      <c r="P309" s="368">
        <v>45156</v>
      </c>
      <c r="Q309" s="380">
        <v>45106</v>
      </c>
      <c r="R309" s="372" t="s">
        <v>5539</v>
      </c>
      <c r="S309" s="334"/>
      <c r="T309" s="374" t="s">
        <v>5540</v>
      </c>
      <c r="U309" s="281" t="s">
        <v>5541</v>
      </c>
      <c r="V309" s="375">
        <f t="shared" si="76"/>
        <v>11</v>
      </c>
      <c r="W309" s="199"/>
      <c r="X309" s="199"/>
      <c r="Y309" s="90"/>
    </row>
    <row r="310" spans="1:39" ht="15.75">
      <c r="A310" s="1051">
        <v>22</v>
      </c>
      <c r="B310" s="378" t="s">
        <v>5542</v>
      </c>
      <c r="C310" s="275" t="s">
        <v>31</v>
      </c>
      <c r="D310" s="1888" t="s">
        <v>5543</v>
      </c>
      <c r="E310" s="1889" t="s">
        <v>5544</v>
      </c>
      <c r="F310" s="946" t="s">
        <v>759</v>
      </c>
      <c r="G310" s="366" t="s">
        <v>77</v>
      </c>
      <c r="H310" s="274" t="s">
        <v>266</v>
      </c>
      <c r="I310" s="1644">
        <v>9002071239</v>
      </c>
      <c r="J310" s="1789">
        <v>9304111867</v>
      </c>
      <c r="K310" s="274" t="s">
        <v>253</v>
      </c>
      <c r="L310" s="275" t="s">
        <v>43</v>
      </c>
      <c r="M310" s="368">
        <v>31903</v>
      </c>
      <c r="N310" s="368">
        <v>53843</v>
      </c>
      <c r="O310" s="371">
        <v>46216</v>
      </c>
      <c r="P310" s="368">
        <v>45156</v>
      </c>
      <c r="Q310" s="380">
        <v>45106</v>
      </c>
      <c r="R310" s="372" t="s">
        <v>5545</v>
      </c>
      <c r="S310" s="373" t="s">
        <v>5546</v>
      </c>
      <c r="T310" s="374" t="s">
        <v>5547</v>
      </c>
      <c r="U310" s="281" t="s">
        <v>5548</v>
      </c>
      <c r="V310" s="375">
        <f t="shared" si="76"/>
        <v>11</v>
      </c>
      <c r="W310" s="199"/>
      <c r="X310" s="199"/>
      <c r="Y310" s="90"/>
    </row>
    <row r="311" spans="1:39" ht="15.75" customHeight="1">
      <c r="A311" s="1051">
        <v>50</v>
      </c>
      <c r="B311" s="401" t="s">
        <v>5549</v>
      </c>
      <c r="C311" s="275" t="s">
        <v>31</v>
      </c>
      <c r="D311" s="562" t="s">
        <v>5550</v>
      </c>
      <c r="E311" s="18" t="s">
        <v>5551</v>
      </c>
      <c r="F311" s="274" t="s">
        <v>759</v>
      </c>
      <c r="G311" s="284" t="s">
        <v>77</v>
      </c>
      <c r="H311" s="274" t="s">
        <v>266</v>
      </c>
      <c r="I311" s="391">
        <v>7044175701</v>
      </c>
      <c r="J311" s="391"/>
      <c r="K311" s="274" t="s">
        <v>253</v>
      </c>
      <c r="L311" s="125" t="s">
        <v>67</v>
      </c>
      <c r="M311" s="289">
        <v>32764</v>
      </c>
      <c r="N311" s="289">
        <v>54696</v>
      </c>
      <c r="O311" s="400">
        <v>46224</v>
      </c>
      <c r="P311" s="272">
        <v>45156</v>
      </c>
      <c r="Q311" s="272">
        <v>45106</v>
      </c>
      <c r="R311" s="394" t="s">
        <v>5552</v>
      </c>
      <c r="S311" s="394" t="s">
        <v>5553</v>
      </c>
      <c r="T311" s="394" t="s">
        <v>5554</v>
      </c>
      <c r="U311" s="394" t="s">
        <v>5555</v>
      </c>
      <c r="V311" s="383">
        <f>LEN(TEXT(D311,0))</f>
        <v>11</v>
      </c>
      <c r="W311" s="282">
        <f ca="1">INT((TODAY()-M311)/365)</f>
        <v>36</v>
      </c>
      <c r="X311" s="79"/>
      <c r="Y311" s="395"/>
      <c r="Z311" s="79"/>
      <c r="AA311" s="383"/>
      <c r="AB311" s="311">
        <f ca="1">INT((TODAY()-M311)/365)</f>
        <v>36</v>
      </c>
    </row>
    <row r="312" spans="1:39" ht="15.75" customHeight="1">
      <c r="A312" s="1051">
        <v>49</v>
      </c>
      <c r="B312" s="1882" t="s">
        <v>5556</v>
      </c>
      <c r="C312" s="275" t="s">
        <v>31</v>
      </c>
      <c r="D312" s="1458" t="s">
        <v>5557</v>
      </c>
      <c r="E312" s="18" t="s">
        <v>5558</v>
      </c>
      <c r="F312" s="274" t="s">
        <v>759</v>
      </c>
      <c r="G312" s="337" t="s">
        <v>77</v>
      </c>
      <c r="H312" s="274" t="s">
        <v>266</v>
      </c>
      <c r="I312" s="1643">
        <v>9002071787</v>
      </c>
      <c r="J312" s="703">
        <v>9065705701</v>
      </c>
      <c r="K312" s="274" t="s">
        <v>253</v>
      </c>
      <c r="L312" s="303" t="s">
        <v>67</v>
      </c>
      <c r="M312" s="315">
        <v>31458</v>
      </c>
      <c r="N312" s="315">
        <v>53386</v>
      </c>
      <c r="O312" s="315">
        <v>46172</v>
      </c>
      <c r="P312" s="315">
        <v>45156</v>
      </c>
      <c r="Q312" s="302">
        <v>45106</v>
      </c>
      <c r="R312" s="339" t="s">
        <v>5559</v>
      </c>
      <c r="S312" s="339" t="s">
        <v>5560</v>
      </c>
      <c r="T312" s="318" t="s">
        <v>5561</v>
      </c>
      <c r="U312" s="339" t="s">
        <v>5562</v>
      </c>
      <c r="V312" s="425">
        <f t="shared" ref="V312:V316" si="77">LEN(D312)</f>
        <v>11</v>
      </c>
      <c r="W312" s="90"/>
      <c r="X312" s="90"/>
      <c r="Y312" s="311"/>
      <c r="Z312" s="311"/>
      <c r="AA312" s="311"/>
      <c r="AB312" s="311"/>
      <c r="AC312" s="311"/>
      <c r="AD312" s="311"/>
      <c r="AE312" s="311"/>
      <c r="AF312" s="311"/>
      <c r="AG312" s="311"/>
      <c r="AH312" s="311"/>
      <c r="AI312" s="311"/>
      <c r="AJ312" s="311"/>
      <c r="AK312" s="311"/>
      <c r="AL312" s="311"/>
      <c r="AM312" s="311"/>
    </row>
    <row r="313" spans="1:39" ht="15.75" customHeight="1">
      <c r="A313" s="1051">
        <v>61</v>
      </c>
      <c r="B313" s="1882" t="s">
        <v>5563</v>
      </c>
      <c r="C313" s="275" t="s">
        <v>31</v>
      </c>
      <c r="D313" s="1642" t="s">
        <v>5564</v>
      </c>
      <c r="E313" s="18" t="s">
        <v>5565</v>
      </c>
      <c r="F313" s="685" t="s">
        <v>759</v>
      </c>
      <c r="G313" s="337" t="s">
        <v>77</v>
      </c>
      <c r="H313" s="274" t="s">
        <v>266</v>
      </c>
      <c r="I313" s="1643">
        <v>9002071155</v>
      </c>
      <c r="J313" s="307">
        <v>9775609881</v>
      </c>
      <c r="K313" s="274" t="s">
        <v>253</v>
      </c>
      <c r="L313" s="18" t="s">
        <v>62</v>
      </c>
      <c r="M313" s="315">
        <v>31108</v>
      </c>
      <c r="N313" s="315">
        <v>53052</v>
      </c>
      <c r="O313" s="315">
        <v>46207</v>
      </c>
      <c r="P313" s="315">
        <v>45321</v>
      </c>
      <c r="Q313" s="302">
        <v>45276</v>
      </c>
      <c r="R313" s="281" t="s">
        <v>5566</v>
      </c>
      <c r="S313" s="318" t="s">
        <v>5567</v>
      </c>
      <c r="T313" s="982" t="s">
        <v>5568</v>
      </c>
      <c r="U313" s="318" t="s">
        <v>5569</v>
      </c>
      <c r="V313" s="285">
        <f t="shared" si="77"/>
        <v>11</v>
      </c>
      <c r="W313" s="3"/>
      <c r="X313" s="3"/>
      <c r="Y313" s="3"/>
      <c r="Z313" s="79"/>
      <c r="AA313" s="79"/>
      <c r="AB313" s="311">
        <f ca="1">INT((TODAY()-M313)/365)</f>
        <v>41</v>
      </c>
    </row>
    <row r="314" spans="1:39" ht="15.75" customHeight="1">
      <c r="A314" s="961">
        <v>65</v>
      </c>
      <c r="B314" s="1882" t="s">
        <v>5570</v>
      </c>
      <c r="C314" s="275" t="s">
        <v>31</v>
      </c>
      <c r="D314" s="675">
        <v>50200407362</v>
      </c>
      <c r="E314" s="586" t="s">
        <v>5571</v>
      </c>
      <c r="F314" s="18" t="s">
        <v>759</v>
      </c>
      <c r="G314" s="337" t="s">
        <v>76</v>
      </c>
      <c r="H314" s="274" t="s">
        <v>266</v>
      </c>
      <c r="I314" s="558">
        <v>9002071380</v>
      </c>
      <c r="J314" s="703">
        <v>9038832748</v>
      </c>
      <c r="K314" s="274" t="s">
        <v>253</v>
      </c>
      <c r="L314" s="445" t="s">
        <v>56</v>
      </c>
      <c r="M314" s="315">
        <v>31179</v>
      </c>
      <c r="N314" s="315">
        <v>53113</v>
      </c>
      <c r="O314" s="315">
        <v>46207</v>
      </c>
      <c r="P314" s="315">
        <v>45321</v>
      </c>
      <c r="Q314" s="302">
        <v>45276</v>
      </c>
      <c r="R314" s="281" t="s">
        <v>5572</v>
      </c>
      <c r="S314" s="318" t="s">
        <v>5573</v>
      </c>
      <c r="T314" s="318" t="s">
        <v>5574</v>
      </c>
      <c r="U314" s="318" t="s">
        <v>5575</v>
      </c>
      <c r="V314" s="285">
        <f t="shared" si="77"/>
        <v>11</v>
      </c>
      <c r="W314" s="3"/>
      <c r="X314" s="48">
        <f t="shared" ref="X314:X323" ca="1" si="78">INT((TODAY()-M314)/365)</f>
        <v>40</v>
      </c>
      <c r="Y314" s="382"/>
      <c r="Z314" s="382"/>
      <c r="AA314" s="382"/>
      <c r="AB314" s="311"/>
      <c r="AC314" s="311"/>
      <c r="AD314" s="311"/>
      <c r="AE314" s="311"/>
      <c r="AF314" s="311"/>
      <c r="AG314" s="311"/>
      <c r="AH314" s="311"/>
      <c r="AI314" s="311"/>
      <c r="AJ314" s="311"/>
      <c r="AK314" s="311"/>
      <c r="AL314" s="311"/>
      <c r="AM314" s="311"/>
    </row>
    <row r="315" spans="1:39" ht="15.75" customHeight="1">
      <c r="A315" s="961">
        <v>66</v>
      </c>
      <c r="B315" s="1882" t="s">
        <v>5576</v>
      </c>
      <c r="C315" s="275" t="s">
        <v>31</v>
      </c>
      <c r="D315" s="677">
        <v>50205618204</v>
      </c>
      <c r="E315" s="18" t="s">
        <v>5577</v>
      </c>
      <c r="F315" s="18" t="s">
        <v>759</v>
      </c>
      <c r="G315" s="337" t="s">
        <v>77</v>
      </c>
      <c r="H315" s="274" t="s">
        <v>266</v>
      </c>
      <c r="I315" s="1644">
        <v>9002071667</v>
      </c>
      <c r="J315" s="703">
        <v>7001031800</v>
      </c>
      <c r="K315" s="274" t="s">
        <v>253</v>
      </c>
      <c r="L315" s="445" t="s">
        <v>56</v>
      </c>
      <c r="M315" s="315">
        <v>29953</v>
      </c>
      <c r="N315" s="315">
        <v>51897</v>
      </c>
      <c r="O315" s="315">
        <v>46201</v>
      </c>
      <c r="P315" s="315">
        <v>45321</v>
      </c>
      <c r="Q315" s="302">
        <v>45276</v>
      </c>
      <c r="R315" s="318" t="s">
        <v>5578</v>
      </c>
      <c r="S315" s="318" t="s">
        <v>5579</v>
      </c>
      <c r="T315" s="318" t="s">
        <v>5580</v>
      </c>
      <c r="U315" s="318" t="s">
        <v>5581</v>
      </c>
      <c r="V315" s="285">
        <f t="shared" si="77"/>
        <v>11</v>
      </c>
      <c r="W315" s="3"/>
      <c r="X315" s="1220">
        <f t="shared" ca="1" si="78"/>
        <v>44</v>
      </c>
      <c r="Y315" s="382"/>
      <c r="Z315" s="382"/>
      <c r="AA315" s="382"/>
      <c r="AB315" s="311"/>
      <c r="AC315" s="311"/>
      <c r="AD315" s="311"/>
      <c r="AE315" s="311"/>
      <c r="AF315" s="311"/>
      <c r="AG315" s="311"/>
      <c r="AH315" s="311"/>
      <c r="AI315" s="311"/>
      <c r="AJ315" s="311"/>
      <c r="AK315" s="311"/>
      <c r="AL315" s="311"/>
      <c r="AM315" s="311"/>
    </row>
    <row r="316" spans="1:39" ht="15.75" customHeight="1">
      <c r="A316" s="961">
        <v>70</v>
      </c>
      <c r="B316" s="276" t="s">
        <v>5582</v>
      </c>
      <c r="C316" s="275" t="s">
        <v>31</v>
      </c>
      <c r="D316" s="677">
        <v>50205618277</v>
      </c>
      <c r="E316" s="18" t="s">
        <v>5583</v>
      </c>
      <c r="F316" s="18" t="s">
        <v>759</v>
      </c>
      <c r="G316" s="337" t="s">
        <v>77</v>
      </c>
      <c r="H316" s="303" t="s">
        <v>1567</v>
      </c>
      <c r="I316" s="558">
        <v>9002071173</v>
      </c>
      <c r="J316" s="703">
        <v>7003660213</v>
      </c>
      <c r="K316" s="274" t="s">
        <v>253</v>
      </c>
      <c r="L316" s="274" t="s">
        <v>52</v>
      </c>
      <c r="M316" s="315">
        <v>31887</v>
      </c>
      <c r="N316" s="315">
        <v>53447</v>
      </c>
      <c r="O316" s="315">
        <v>46203</v>
      </c>
      <c r="P316" s="315">
        <v>45321</v>
      </c>
      <c r="Q316" s="302">
        <v>45276</v>
      </c>
      <c r="R316" s="339" t="s">
        <v>5584</v>
      </c>
      <c r="S316" s="339" t="s">
        <v>5585</v>
      </c>
      <c r="T316" s="339" t="s">
        <v>5586</v>
      </c>
      <c r="U316" s="339" t="s">
        <v>5587</v>
      </c>
      <c r="V316" s="425">
        <f t="shared" si="77"/>
        <v>11</v>
      </c>
      <c r="W316" s="90"/>
      <c r="X316" s="1220">
        <f t="shared" ca="1" si="78"/>
        <v>38</v>
      </c>
      <c r="Y316" s="311"/>
      <c r="Z316" s="311"/>
      <c r="AA316" s="311"/>
      <c r="AB316" s="311"/>
      <c r="AC316" s="311"/>
      <c r="AD316" s="311"/>
      <c r="AE316" s="311"/>
      <c r="AF316" s="311"/>
      <c r="AG316" s="311"/>
      <c r="AH316" s="311"/>
      <c r="AI316" s="311"/>
      <c r="AJ316" s="311"/>
      <c r="AK316" s="311"/>
      <c r="AL316" s="311"/>
      <c r="AM316" s="311"/>
    </row>
    <row r="317" spans="1:39" ht="15.75" customHeight="1">
      <c r="A317" s="961">
        <v>73</v>
      </c>
      <c r="B317" s="399" t="s">
        <v>5588</v>
      </c>
      <c r="C317" s="275" t="s">
        <v>31</v>
      </c>
      <c r="D317" s="1890">
        <v>50205618290</v>
      </c>
      <c r="E317" s="18" t="s">
        <v>5589</v>
      </c>
      <c r="F317" s="18" t="s">
        <v>759</v>
      </c>
      <c r="G317" s="284" t="s">
        <v>77</v>
      </c>
      <c r="H317" s="303" t="s">
        <v>1567</v>
      </c>
      <c r="I317" s="1309">
        <v>9002071152</v>
      </c>
      <c r="J317" s="284">
        <v>9732676691</v>
      </c>
      <c r="K317" s="274" t="s">
        <v>253</v>
      </c>
      <c r="L317" s="303" t="s">
        <v>664</v>
      </c>
      <c r="M317" s="289">
        <v>31840</v>
      </c>
      <c r="N317" s="289">
        <v>53782</v>
      </c>
      <c r="O317" s="400">
        <v>46237</v>
      </c>
      <c r="P317" s="315">
        <v>45321</v>
      </c>
      <c r="Q317" s="302">
        <v>45276</v>
      </c>
      <c r="R317" s="394" t="s">
        <v>5590</v>
      </c>
      <c r="S317" s="394" t="s">
        <v>5591</v>
      </c>
      <c r="T317" s="394" t="s">
        <v>5592</v>
      </c>
      <c r="U317" s="394" t="s">
        <v>5593</v>
      </c>
      <c r="V317" s="383">
        <f t="shared" ref="V317:V318" si="79">LEN(TEXT(D317,0))</f>
        <v>11</v>
      </c>
      <c r="W317" s="563"/>
      <c r="X317" s="1220">
        <f t="shared" ca="1" si="78"/>
        <v>39</v>
      </c>
      <c r="Y317" s="311"/>
      <c r="Z317" s="311"/>
      <c r="AA317" s="311"/>
      <c r="AB317" s="311"/>
      <c r="AC317" s="311"/>
      <c r="AD317" s="311"/>
      <c r="AE317" s="311"/>
      <c r="AF317" s="311"/>
      <c r="AG317" s="311"/>
      <c r="AH317" s="311"/>
      <c r="AI317" s="311"/>
      <c r="AJ317" s="311"/>
      <c r="AK317" s="311"/>
      <c r="AL317" s="311"/>
      <c r="AM317" s="311"/>
    </row>
    <row r="318" spans="1:39" ht="15.75" customHeight="1">
      <c r="A318" s="1051">
        <v>2</v>
      </c>
      <c r="B318" s="351" t="s">
        <v>5594</v>
      </c>
      <c r="C318" s="275" t="s">
        <v>31</v>
      </c>
      <c r="D318" s="306">
        <v>50205618320</v>
      </c>
      <c r="E318" s="18" t="s">
        <v>5595</v>
      </c>
      <c r="F318" s="18" t="s">
        <v>759</v>
      </c>
      <c r="G318" s="284" t="s">
        <v>77</v>
      </c>
      <c r="H318" s="303" t="s">
        <v>1567</v>
      </c>
      <c r="I318" s="536">
        <v>9002079054</v>
      </c>
      <c r="J318" s="391"/>
      <c r="K318" s="274" t="s">
        <v>253</v>
      </c>
      <c r="L318" s="274" t="s">
        <v>417</v>
      </c>
      <c r="M318" s="289">
        <v>32761</v>
      </c>
      <c r="N318" s="289">
        <v>54696</v>
      </c>
      <c r="O318" s="400">
        <v>46224</v>
      </c>
      <c r="P318" s="315">
        <v>45321</v>
      </c>
      <c r="Q318" s="302">
        <v>45276</v>
      </c>
      <c r="R318" s="318" t="s">
        <v>5596</v>
      </c>
      <c r="S318" s="394" t="s">
        <v>5597</v>
      </c>
      <c r="T318" s="394" t="s">
        <v>5598</v>
      </c>
      <c r="U318" s="394" t="s">
        <v>5599</v>
      </c>
      <c r="V318" s="383">
        <f t="shared" si="79"/>
        <v>11</v>
      </c>
      <c r="W318" s="563"/>
      <c r="X318" s="48">
        <f t="shared" ca="1" si="78"/>
        <v>36</v>
      </c>
      <c r="Y318" s="382"/>
      <c r="Z318" s="382"/>
      <c r="AA318" s="382"/>
      <c r="AB318" s="382"/>
      <c r="AC318" s="382"/>
      <c r="AD318" s="382"/>
      <c r="AE318" s="382"/>
      <c r="AF318" s="382"/>
      <c r="AG318" s="382"/>
      <c r="AH318" s="382"/>
      <c r="AI318" s="311"/>
      <c r="AJ318" s="311"/>
      <c r="AK318" s="311"/>
      <c r="AL318" s="311"/>
      <c r="AM318" s="311"/>
    </row>
    <row r="319" spans="1:39" ht="15.75" customHeight="1">
      <c r="A319" s="1155">
        <v>9</v>
      </c>
      <c r="B319" s="293" t="s">
        <v>5600</v>
      </c>
      <c r="C319" s="275" t="s">
        <v>31</v>
      </c>
      <c r="D319" s="1448" t="s">
        <v>5601</v>
      </c>
      <c r="E319" s="303" t="s">
        <v>5602</v>
      </c>
      <c r="F319" s="18" t="s">
        <v>759</v>
      </c>
      <c r="G319" s="303" t="s">
        <v>76</v>
      </c>
      <c r="H319" s="274" t="s">
        <v>279</v>
      </c>
      <c r="I319" s="1891">
        <v>9002071055</v>
      </c>
      <c r="J319" s="275">
        <v>9153594726</v>
      </c>
      <c r="K319" s="274" t="s">
        <v>253</v>
      </c>
      <c r="L319" s="274" t="s">
        <v>351</v>
      </c>
      <c r="M319" s="272">
        <v>32798</v>
      </c>
      <c r="N319" s="272">
        <v>54727</v>
      </c>
      <c r="O319" s="272">
        <v>45833</v>
      </c>
      <c r="P319" s="279">
        <v>45337</v>
      </c>
      <c r="Q319" s="302">
        <v>45284</v>
      </c>
      <c r="R319" s="998"/>
      <c r="S319" s="485"/>
      <c r="T319" s="310" t="s">
        <v>5603</v>
      </c>
      <c r="U319" s="1892" t="s">
        <v>5604</v>
      </c>
      <c r="V319" s="311">
        <f t="shared" ref="V319:V320" si="80">LEN(D319)</f>
        <v>11</v>
      </c>
      <c r="W319" s="311"/>
      <c r="X319" s="208">
        <f t="shared" ca="1" si="78"/>
        <v>36</v>
      </c>
      <c r="Y319" s="311"/>
      <c r="Z319" s="311"/>
      <c r="AA319" s="311"/>
      <c r="AB319" s="311"/>
      <c r="AC319" s="311"/>
      <c r="AD319" s="311"/>
      <c r="AE319" s="311"/>
      <c r="AF319" s="311"/>
      <c r="AG319" s="311"/>
      <c r="AH319" s="311"/>
      <c r="AI319" s="311"/>
      <c r="AJ319" s="311"/>
      <c r="AK319" s="311"/>
      <c r="AL319" s="311"/>
      <c r="AM319" s="311"/>
    </row>
    <row r="320" spans="1:39" ht="15.75" customHeight="1">
      <c r="A320" s="1155">
        <v>8</v>
      </c>
      <c r="B320" s="293" t="s">
        <v>5605</v>
      </c>
      <c r="C320" s="275" t="s">
        <v>31</v>
      </c>
      <c r="D320" s="1448" t="s">
        <v>5606</v>
      </c>
      <c r="E320" s="345" t="s">
        <v>5607</v>
      </c>
      <c r="F320" s="18" t="s">
        <v>759</v>
      </c>
      <c r="G320" s="274" t="s">
        <v>77</v>
      </c>
      <c r="H320" s="274" t="s">
        <v>279</v>
      </c>
      <c r="I320" s="519">
        <v>9002071225</v>
      </c>
      <c r="J320" s="284">
        <v>8001289690</v>
      </c>
      <c r="K320" s="274" t="s">
        <v>253</v>
      </c>
      <c r="L320" s="274" t="s">
        <v>44</v>
      </c>
      <c r="M320" s="272">
        <v>32568</v>
      </c>
      <c r="N320" s="272">
        <v>54482</v>
      </c>
      <c r="O320" s="272">
        <v>45853</v>
      </c>
      <c r="P320" s="279">
        <v>45375</v>
      </c>
      <c r="Q320" s="302">
        <v>45316</v>
      </c>
      <c r="R320" s="1134"/>
      <c r="S320" s="952" t="s">
        <v>1269</v>
      </c>
      <c r="T320" s="486" t="s">
        <v>5608</v>
      </c>
      <c r="U320" s="486" t="s">
        <v>5609</v>
      </c>
      <c r="V320" s="382">
        <f t="shared" si="80"/>
        <v>11</v>
      </c>
      <c r="W320" s="382"/>
      <c r="X320" s="282">
        <f t="shared" ca="1" si="78"/>
        <v>37</v>
      </c>
      <c r="Y320" s="382"/>
      <c r="Z320" s="382"/>
      <c r="AA320" s="382"/>
      <c r="AB320" s="311"/>
      <c r="AC320" s="311"/>
      <c r="AD320" s="311"/>
      <c r="AE320" s="311"/>
      <c r="AF320" s="311"/>
      <c r="AG320" s="311"/>
      <c r="AH320" s="311"/>
      <c r="AI320" s="311"/>
      <c r="AJ320" s="311"/>
      <c r="AK320" s="311"/>
      <c r="AL320" s="311"/>
      <c r="AM320" s="311"/>
    </row>
    <row r="321" spans="1:39" ht="15.75" customHeight="1">
      <c r="A321" s="1051">
        <v>83</v>
      </c>
      <c r="B321" s="351" t="s">
        <v>5610</v>
      </c>
      <c r="C321" s="275" t="s">
        <v>31</v>
      </c>
      <c r="D321" s="306">
        <v>50205618332</v>
      </c>
      <c r="E321" s="18" t="s">
        <v>5611</v>
      </c>
      <c r="F321" s="958" t="s">
        <v>759</v>
      </c>
      <c r="G321" s="284" t="s">
        <v>77</v>
      </c>
      <c r="H321" s="303" t="s">
        <v>1567</v>
      </c>
      <c r="I321" s="536">
        <v>9002071072</v>
      </c>
      <c r="J321" s="391"/>
      <c r="K321" s="274" t="s">
        <v>253</v>
      </c>
      <c r="L321" s="439" t="s">
        <v>54</v>
      </c>
      <c r="M321" s="289">
        <v>29447</v>
      </c>
      <c r="N321" s="289">
        <v>51379</v>
      </c>
      <c r="O321" s="400">
        <v>45883</v>
      </c>
      <c r="P321" s="315">
        <v>45321</v>
      </c>
      <c r="Q321" s="302">
        <v>45276</v>
      </c>
      <c r="R321" s="394" t="s">
        <v>5612</v>
      </c>
      <c r="S321" s="394" t="s">
        <v>5613</v>
      </c>
      <c r="T321" s="394" t="s">
        <v>5614</v>
      </c>
      <c r="U321" s="394" t="s">
        <v>5615</v>
      </c>
      <c r="V321" s="383">
        <f>LEN(TEXT(D321,0))</f>
        <v>11</v>
      </c>
      <c r="W321" s="395"/>
      <c r="X321" s="48">
        <f t="shared" ca="1" si="78"/>
        <v>45</v>
      </c>
      <c r="Y321" s="395"/>
      <c r="Z321" s="79"/>
      <c r="AA321" s="383"/>
      <c r="AB321" s="311">
        <f t="shared" ref="AB321:AB322" ca="1" si="81">INT((TODAY()-M321)/365)</f>
        <v>45</v>
      </c>
    </row>
    <row r="322" spans="1:39" ht="15.75" customHeight="1">
      <c r="A322" s="1051">
        <v>84</v>
      </c>
      <c r="B322" s="276" t="s">
        <v>5616</v>
      </c>
      <c r="C322" s="275" t="s">
        <v>31</v>
      </c>
      <c r="D322" s="675">
        <v>50200154064</v>
      </c>
      <c r="E322" s="18" t="s">
        <v>5617</v>
      </c>
      <c r="F322" s="685" t="s">
        <v>759</v>
      </c>
      <c r="G322" s="337" t="s">
        <v>77</v>
      </c>
      <c r="H322" s="303" t="s">
        <v>1567</v>
      </c>
      <c r="I322" s="536">
        <v>9002071649</v>
      </c>
      <c r="J322" s="307"/>
      <c r="K322" s="274" t="s">
        <v>253</v>
      </c>
      <c r="L322" s="284" t="s">
        <v>52</v>
      </c>
      <c r="M322" s="315">
        <v>31859</v>
      </c>
      <c r="N322" s="315">
        <v>53782</v>
      </c>
      <c r="O322" s="315">
        <v>45852</v>
      </c>
      <c r="P322" s="272">
        <v>45485</v>
      </c>
      <c r="Q322" s="316">
        <v>45468</v>
      </c>
      <c r="R322" s="318" t="s">
        <v>5618</v>
      </c>
      <c r="S322" s="318" t="s">
        <v>5619</v>
      </c>
      <c r="T322" s="318" t="s">
        <v>5620</v>
      </c>
      <c r="U322" s="285"/>
      <c r="V322" s="285">
        <f t="shared" ref="V322:V323" si="82">LEN(D322)</f>
        <v>11</v>
      </c>
      <c r="W322" s="3"/>
      <c r="X322" s="48">
        <f t="shared" ca="1" si="78"/>
        <v>39</v>
      </c>
      <c r="Y322" s="3"/>
      <c r="Z322" s="79"/>
      <c r="AA322" s="79"/>
      <c r="AB322" s="311">
        <f t="shared" ca="1" si="81"/>
        <v>39</v>
      </c>
    </row>
    <row r="323" spans="1:39" ht="15.75" customHeight="1">
      <c r="A323" s="936">
        <v>123</v>
      </c>
      <c r="B323" s="276" t="s">
        <v>5621</v>
      </c>
      <c r="C323" s="275" t="s">
        <v>31</v>
      </c>
      <c r="D323" s="1458" t="s">
        <v>5622</v>
      </c>
      <c r="E323" s="1893" t="s">
        <v>5623</v>
      </c>
      <c r="F323" s="18" t="s">
        <v>759</v>
      </c>
      <c r="G323" s="875" t="s">
        <v>76</v>
      </c>
      <c r="H323" s="274" t="s">
        <v>266</v>
      </c>
      <c r="I323" s="558">
        <v>9002079078</v>
      </c>
      <c r="J323" s="703">
        <v>6289224836</v>
      </c>
      <c r="K323" s="274" t="s">
        <v>253</v>
      </c>
      <c r="L323" s="18" t="s">
        <v>62</v>
      </c>
      <c r="M323" s="278">
        <v>32844</v>
      </c>
      <c r="N323" s="315">
        <v>54482</v>
      </c>
      <c r="O323" s="278">
        <v>46173</v>
      </c>
      <c r="P323" s="300">
        <v>45598</v>
      </c>
      <c r="Q323" s="302">
        <v>45549</v>
      </c>
      <c r="R323" s="285"/>
      <c r="S323" s="285"/>
      <c r="T323" s="318" t="s">
        <v>5624</v>
      </c>
      <c r="U323" s="318" t="s">
        <v>5625</v>
      </c>
      <c r="V323" s="285">
        <f t="shared" si="82"/>
        <v>11</v>
      </c>
      <c r="W323" s="3"/>
      <c r="X323" s="48">
        <f t="shared" ca="1" si="78"/>
        <v>36</v>
      </c>
      <c r="Y323" s="382"/>
      <c r="Z323" s="382"/>
      <c r="AA323" s="382"/>
      <c r="AB323" s="311"/>
      <c r="AC323" s="311"/>
      <c r="AD323" s="311"/>
      <c r="AE323" s="311"/>
      <c r="AF323" s="311"/>
      <c r="AG323" s="311"/>
      <c r="AH323" s="311"/>
      <c r="AI323" s="311"/>
      <c r="AJ323" s="311"/>
      <c r="AK323" s="311"/>
      <c r="AL323" s="311"/>
      <c r="AM323" s="311"/>
    </row>
    <row r="324" spans="1:39" ht="15.75" customHeight="1">
      <c r="A324" s="79"/>
      <c r="C324" s="90"/>
      <c r="D324" s="1894"/>
      <c r="E324" s="1895"/>
      <c r="F324" s="1896"/>
      <c r="G324" s="1897"/>
      <c r="H324" s="90"/>
      <c r="I324" s="90"/>
      <c r="J324" s="90"/>
      <c r="K324" s="90"/>
      <c r="L324" s="1898"/>
      <c r="M324" s="643"/>
      <c r="N324" s="643"/>
      <c r="O324" s="658"/>
      <c r="P324" s="658"/>
      <c r="Q324" s="1899"/>
      <c r="R324" s="430"/>
      <c r="S324" s="430"/>
      <c r="T324" s="430"/>
      <c r="U324" s="430"/>
      <c r="V324" s="430"/>
      <c r="W324" s="90"/>
      <c r="X324" s="90"/>
      <c r="Y324" s="90"/>
    </row>
    <row r="325" spans="1:39" ht="15.75" customHeight="1">
      <c r="A325" s="79"/>
      <c r="C325" s="90"/>
      <c r="D325" s="1894"/>
      <c r="E325" s="1895"/>
      <c r="F325" s="1896"/>
      <c r="G325" s="1897"/>
      <c r="H325" s="90"/>
      <c r="I325" s="90"/>
      <c r="J325" s="90"/>
      <c r="K325" s="90"/>
      <c r="L325" s="1898"/>
      <c r="M325" s="643"/>
      <c r="N325" s="643"/>
      <c r="O325" s="658"/>
      <c r="P325" s="658"/>
      <c r="Q325" s="1899"/>
      <c r="R325" s="430"/>
      <c r="S325" s="430"/>
      <c r="T325" s="430"/>
      <c r="U325" s="430"/>
      <c r="V325" s="430"/>
      <c r="W325" s="90"/>
      <c r="X325" s="90"/>
      <c r="Y325" s="90"/>
    </row>
    <row r="326" spans="1:39" ht="15.75" customHeight="1">
      <c r="A326" s="79"/>
      <c r="C326" s="90"/>
      <c r="D326" s="1894"/>
      <c r="E326" s="1895"/>
      <c r="F326" s="1896"/>
      <c r="G326" s="1897"/>
      <c r="H326" s="90"/>
      <c r="I326" s="90"/>
      <c r="J326" s="90"/>
      <c r="K326" s="90"/>
      <c r="L326" s="1898"/>
      <c r="M326" s="643"/>
      <c r="N326" s="643"/>
      <c r="O326" s="658"/>
      <c r="P326" s="658"/>
      <c r="Q326" s="1899"/>
      <c r="R326" s="430"/>
      <c r="S326" s="430"/>
      <c r="T326" s="430"/>
      <c r="U326" s="430"/>
      <c r="V326" s="430"/>
      <c r="W326" s="90"/>
      <c r="X326" s="90"/>
      <c r="Y326" s="90"/>
    </row>
    <row r="327" spans="1:39" ht="15.75" customHeight="1">
      <c r="A327" s="79"/>
      <c r="C327" s="90"/>
      <c r="D327" s="1894"/>
      <c r="E327" s="1895"/>
      <c r="F327" s="1896"/>
      <c r="G327" s="1897"/>
      <c r="H327" s="90"/>
      <c r="I327" s="90"/>
      <c r="J327" s="90"/>
      <c r="K327" s="90"/>
      <c r="L327" s="1898"/>
      <c r="M327" s="643"/>
      <c r="N327" s="643"/>
      <c r="O327" s="658"/>
      <c r="P327" s="658"/>
      <c r="Q327" s="1899"/>
      <c r="R327" s="430"/>
      <c r="S327" s="430"/>
      <c r="T327" s="430"/>
      <c r="U327" s="430"/>
      <c r="V327" s="430"/>
      <c r="W327" s="90"/>
      <c r="X327" s="90"/>
      <c r="Y327" s="90"/>
    </row>
    <row r="328" spans="1:39" ht="15.75" customHeight="1">
      <c r="A328" s="79"/>
      <c r="C328" s="90"/>
      <c r="D328" s="1894"/>
      <c r="E328" s="1895"/>
      <c r="F328" s="1896"/>
      <c r="G328" s="1897"/>
      <c r="H328" s="90"/>
      <c r="I328" s="90"/>
      <c r="J328" s="90"/>
      <c r="K328" s="90"/>
      <c r="L328" s="1898"/>
      <c r="M328" s="643"/>
      <c r="N328" s="643"/>
      <c r="O328" s="658"/>
      <c r="P328" s="658"/>
      <c r="Q328" s="1899"/>
      <c r="R328" s="430"/>
      <c r="S328" s="430"/>
      <c r="T328" s="430"/>
      <c r="U328" s="430"/>
      <c r="V328" s="430"/>
      <c r="W328" s="90"/>
      <c r="X328" s="90"/>
      <c r="Y328" s="90"/>
    </row>
    <row r="329" spans="1:39" ht="15.75" customHeight="1">
      <c r="A329" s="79"/>
      <c r="C329" s="90"/>
      <c r="D329" s="1894"/>
      <c r="E329" s="1895"/>
      <c r="F329" s="1896"/>
      <c r="G329" s="1897"/>
      <c r="H329" s="90"/>
      <c r="I329" s="90"/>
      <c r="J329" s="90"/>
      <c r="K329" s="90"/>
      <c r="L329" s="1898"/>
      <c r="M329" s="643"/>
      <c r="N329" s="643"/>
      <c r="O329" s="658"/>
      <c r="P329" s="658"/>
      <c r="Q329" s="1899"/>
      <c r="R329" s="430"/>
      <c r="S329" s="430"/>
      <c r="T329" s="430"/>
      <c r="U329" s="430"/>
      <c r="V329" s="430"/>
      <c r="W329" s="90"/>
      <c r="X329" s="90"/>
      <c r="Y329" s="90"/>
    </row>
    <row r="330" spans="1:39" ht="15.75" customHeight="1">
      <c r="A330" s="79"/>
      <c r="C330" s="90"/>
      <c r="D330" s="1894"/>
      <c r="E330" s="1895"/>
      <c r="F330" s="1896"/>
      <c r="G330" s="1897"/>
      <c r="H330" s="90"/>
      <c r="I330" s="90"/>
      <c r="J330" s="90"/>
      <c r="K330" s="90"/>
      <c r="L330" s="1898"/>
      <c r="M330" s="643"/>
      <c r="N330" s="643"/>
      <c r="O330" s="658"/>
      <c r="P330" s="658"/>
      <c r="Q330" s="1899"/>
      <c r="R330" s="430"/>
      <c r="S330" s="430"/>
      <c r="T330" s="430"/>
      <c r="U330" s="430"/>
      <c r="V330" s="430"/>
      <c r="W330" s="90"/>
      <c r="X330" s="90"/>
      <c r="Y330" s="90"/>
    </row>
    <row r="331" spans="1:39" ht="15.75" customHeight="1">
      <c r="A331" s="79"/>
      <c r="C331" s="90"/>
      <c r="D331" s="1894"/>
      <c r="E331" s="1895"/>
      <c r="F331" s="1896"/>
      <c r="G331" s="1897"/>
      <c r="H331" s="90"/>
      <c r="I331" s="90"/>
      <c r="J331" s="90"/>
      <c r="K331" s="90"/>
      <c r="L331" s="1898"/>
      <c r="M331" s="643"/>
      <c r="N331" s="643"/>
      <c r="O331" s="658"/>
      <c r="P331" s="658"/>
      <c r="Q331" s="1899"/>
      <c r="R331" s="430"/>
      <c r="S331" s="430"/>
      <c r="T331" s="430"/>
      <c r="U331" s="430"/>
      <c r="V331" s="430"/>
      <c r="W331" s="90"/>
      <c r="X331" s="90"/>
      <c r="Y331" s="90"/>
    </row>
    <row r="332" spans="1:39" ht="15.75" customHeight="1">
      <c r="A332" s="79"/>
      <c r="C332" s="90"/>
      <c r="D332" s="1894"/>
      <c r="E332" s="1895"/>
      <c r="F332" s="1896"/>
      <c r="G332" s="1897"/>
      <c r="H332" s="90"/>
      <c r="I332" s="90"/>
      <c r="J332" s="90"/>
      <c r="K332" s="90"/>
      <c r="L332" s="1898"/>
      <c r="M332" s="643"/>
      <c r="N332" s="643"/>
      <c r="O332" s="658"/>
      <c r="P332" s="658"/>
      <c r="Q332" s="1899"/>
      <c r="R332" s="430"/>
      <c r="S332" s="430"/>
      <c r="T332" s="430"/>
      <c r="U332" s="430"/>
      <c r="V332" s="430"/>
      <c r="W332" s="90"/>
      <c r="X332" s="90"/>
      <c r="Y332" s="90"/>
    </row>
    <row r="333" spans="1:39" ht="15.75" customHeight="1">
      <c r="A333" s="79"/>
      <c r="C333" s="90"/>
      <c r="D333" s="1894"/>
      <c r="E333" s="1895"/>
      <c r="F333" s="1896"/>
      <c r="G333" s="1897"/>
      <c r="H333" s="90"/>
      <c r="I333" s="90"/>
      <c r="J333" s="90"/>
      <c r="K333" s="90"/>
      <c r="L333" s="1898"/>
      <c r="M333" s="643"/>
      <c r="N333" s="643"/>
      <c r="O333" s="658"/>
      <c r="P333" s="658"/>
      <c r="Q333" s="1899"/>
      <c r="R333" s="430"/>
      <c r="S333" s="430"/>
      <c r="T333" s="430"/>
      <c r="U333" s="430"/>
      <c r="V333" s="430"/>
      <c r="W333" s="90"/>
      <c r="X333" s="90"/>
      <c r="Y333" s="90"/>
    </row>
    <row r="334" spans="1:39" ht="15.75" customHeight="1">
      <c r="A334" s="79"/>
      <c r="C334" s="90"/>
      <c r="D334" s="1894"/>
      <c r="E334" s="1895"/>
      <c r="F334" s="1896"/>
      <c r="G334" s="1897"/>
      <c r="H334" s="90"/>
      <c r="I334" s="90"/>
      <c r="J334" s="90"/>
      <c r="K334" s="90"/>
      <c r="L334" s="1898"/>
      <c r="M334" s="643"/>
      <c r="N334" s="643"/>
      <c r="O334" s="658"/>
      <c r="P334" s="658"/>
      <c r="Q334" s="1899"/>
      <c r="R334" s="430"/>
      <c r="S334" s="430"/>
      <c r="T334" s="430"/>
      <c r="U334" s="430"/>
      <c r="V334" s="430"/>
      <c r="W334" s="90"/>
      <c r="X334" s="90"/>
      <c r="Y334" s="90"/>
    </row>
    <row r="335" spans="1:39" ht="15.75" customHeight="1">
      <c r="A335" s="79"/>
      <c r="C335" s="90"/>
      <c r="D335" s="1894"/>
      <c r="E335" s="1895"/>
      <c r="F335" s="1896"/>
      <c r="G335" s="1897"/>
      <c r="H335" s="90"/>
      <c r="I335" s="90"/>
      <c r="J335" s="90"/>
      <c r="K335" s="90"/>
      <c r="L335" s="1898"/>
      <c r="M335" s="643"/>
      <c r="N335" s="643"/>
      <c r="O335" s="658"/>
      <c r="P335" s="658"/>
      <c r="Q335" s="1899"/>
      <c r="R335" s="430"/>
      <c r="S335" s="430"/>
      <c r="T335" s="430"/>
      <c r="U335" s="430"/>
      <c r="V335" s="430"/>
      <c r="W335" s="90"/>
      <c r="X335" s="90"/>
      <c r="Y335" s="90"/>
    </row>
    <row r="336" spans="1:39" ht="15.75" customHeight="1">
      <c r="A336" s="79"/>
      <c r="C336" s="90"/>
      <c r="D336" s="1894"/>
      <c r="E336" s="1895"/>
      <c r="F336" s="1896"/>
      <c r="G336" s="1897"/>
      <c r="H336" s="90"/>
      <c r="I336" s="90"/>
      <c r="J336" s="90"/>
      <c r="K336" s="90"/>
      <c r="L336" s="1898"/>
      <c r="M336" s="643"/>
      <c r="N336" s="643"/>
      <c r="O336" s="658"/>
      <c r="P336" s="658"/>
      <c r="Q336" s="1899"/>
      <c r="R336" s="430"/>
      <c r="S336" s="430"/>
      <c r="T336" s="430"/>
      <c r="U336" s="430"/>
      <c r="V336" s="430"/>
      <c r="W336" s="90"/>
      <c r="X336" s="90"/>
      <c r="Y336" s="90"/>
    </row>
    <row r="337" spans="1:25" ht="15.75" customHeight="1">
      <c r="A337" s="79"/>
      <c r="C337" s="90"/>
      <c r="D337" s="1894"/>
      <c r="E337" s="1895"/>
      <c r="F337" s="1896"/>
      <c r="G337" s="1897"/>
      <c r="H337" s="90"/>
      <c r="I337" s="90"/>
      <c r="J337" s="90"/>
      <c r="K337" s="90"/>
      <c r="L337" s="1898"/>
      <c r="M337" s="643"/>
      <c r="N337" s="643"/>
      <c r="O337" s="658"/>
      <c r="P337" s="658"/>
      <c r="Q337" s="1899"/>
      <c r="R337" s="430"/>
      <c r="S337" s="430"/>
      <c r="T337" s="430"/>
      <c r="U337" s="430"/>
      <c r="V337" s="430"/>
      <c r="W337" s="90"/>
      <c r="X337" s="90"/>
      <c r="Y337" s="90"/>
    </row>
    <row r="338" spans="1:25" ht="15.75" customHeight="1">
      <c r="A338" s="79"/>
      <c r="C338" s="90"/>
      <c r="D338" s="1894"/>
      <c r="E338" s="1895"/>
      <c r="F338" s="1896"/>
      <c r="G338" s="1897"/>
      <c r="H338" s="90"/>
      <c r="I338" s="90"/>
      <c r="J338" s="90"/>
      <c r="K338" s="90"/>
      <c r="L338" s="1898"/>
      <c r="M338" s="643"/>
      <c r="N338" s="643"/>
      <c r="O338" s="658"/>
      <c r="P338" s="658"/>
      <c r="Q338" s="1899"/>
      <c r="R338" s="430"/>
      <c r="S338" s="430"/>
      <c r="T338" s="430"/>
      <c r="U338" s="430"/>
      <c r="V338" s="430"/>
      <c r="W338" s="90"/>
      <c r="X338" s="90"/>
      <c r="Y338" s="90"/>
    </row>
    <row r="339" spans="1:25" ht="15.75" customHeight="1">
      <c r="A339" s="79"/>
      <c r="C339" s="90"/>
      <c r="D339" s="1894"/>
      <c r="E339" s="1895"/>
      <c r="F339" s="1896"/>
      <c r="G339" s="1897"/>
      <c r="H339" s="90"/>
      <c r="I339" s="90"/>
      <c r="J339" s="90"/>
      <c r="K339" s="90"/>
      <c r="L339" s="1898"/>
      <c r="M339" s="643"/>
      <c r="N339" s="643"/>
      <c r="O339" s="658"/>
      <c r="P339" s="658"/>
      <c r="Q339" s="1899"/>
      <c r="R339" s="430"/>
      <c r="S339" s="430"/>
      <c r="T339" s="430"/>
      <c r="U339" s="430"/>
      <c r="V339" s="430"/>
      <c r="W339" s="90"/>
      <c r="X339" s="90"/>
      <c r="Y339" s="90"/>
    </row>
    <row r="340" spans="1:25" ht="15.75" customHeight="1">
      <c r="A340" s="79"/>
      <c r="C340" s="90"/>
      <c r="D340" s="1894"/>
      <c r="E340" s="1895"/>
      <c r="F340" s="1896"/>
      <c r="G340" s="1897"/>
      <c r="H340" s="90"/>
      <c r="I340" s="90"/>
      <c r="J340" s="90"/>
      <c r="K340" s="90"/>
      <c r="L340" s="1898"/>
      <c r="M340" s="643"/>
      <c r="N340" s="643"/>
      <c r="O340" s="658"/>
      <c r="P340" s="658"/>
      <c r="Q340" s="1899"/>
      <c r="R340" s="430"/>
      <c r="S340" s="430"/>
      <c r="T340" s="430"/>
      <c r="U340" s="430"/>
      <c r="V340" s="430"/>
      <c r="W340" s="90"/>
      <c r="X340" s="90"/>
      <c r="Y340" s="90"/>
    </row>
    <row r="341" spans="1:25" ht="15.75" customHeight="1">
      <c r="A341" s="79"/>
      <c r="C341" s="90"/>
      <c r="D341" s="1894"/>
      <c r="E341" s="1895"/>
      <c r="F341" s="1896"/>
      <c r="G341" s="1897"/>
      <c r="H341" s="90"/>
      <c r="I341" s="90"/>
      <c r="J341" s="90"/>
      <c r="K341" s="90"/>
      <c r="L341" s="1898"/>
      <c r="M341" s="643"/>
      <c r="N341" s="643"/>
      <c r="O341" s="658"/>
      <c r="P341" s="658"/>
      <c r="Q341" s="1899"/>
      <c r="R341" s="430"/>
      <c r="S341" s="430"/>
      <c r="T341" s="430"/>
      <c r="U341" s="430"/>
      <c r="V341" s="430"/>
      <c r="W341" s="90"/>
      <c r="X341" s="90"/>
      <c r="Y341" s="90"/>
    </row>
    <row r="342" spans="1:25" ht="15.75" customHeight="1">
      <c r="A342" s="79"/>
      <c r="C342" s="90"/>
      <c r="D342" s="1894"/>
      <c r="E342" s="1895"/>
      <c r="F342" s="1896"/>
      <c r="G342" s="1897"/>
      <c r="H342" s="90"/>
      <c r="I342" s="90"/>
      <c r="J342" s="90"/>
      <c r="K342" s="90"/>
      <c r="L342" s="1898"/>
      <c r="M342" s="643"/>
      <c r="N342" s="643"/>
      <c r="O342" s="658"/>
      <c r="P342" s="658"/>
      <c r="Q342" s="1899"/>
      <c r="R342" s="430"/>
      <c r="S342" s="430"/>
      <c r="T342" s="430"/>
      <c r="U342" s="430"/>
      <c r="V342" s="430"/>
      <c r="W342" s="90"/>
      <c r="X342" s="90"/>
      <c r="Y342" s="90"/>
    </row>
    <row r="343" spans="1:25" ht="15.75" customHeight="1">
      <c r="A343" s="79"/>
      <c r="C343" s="90"/>
      <c r="D343" s="1894"/>
      <c r="E343" s="1895"/>
      <c r="F343" s="1896"/>
      <c r="G343" s="1897"/>
      <c r="H343" s="90"/>
      <c r="I343" s="90"/>
      <c r="J343" s="90"/>
      <c r="K343" s="90"/>
      <c r="L343" s="1898"/>
      <c r="M343" s="643"/>
      <c r="N343" s="643"/>
      <c r="O343" s="658"/>
      <c r="P343" s="658"/>
      <c r="Q343" s="1899"/>
      <c r="R343" s="430"/>
      <c r="S343" s="430"/>
      <c r="T343" s="430"/>
      <c r="U343" s="430"/>
      <c r="V343" s="430"/>
      <c r="W343" s="90"/>
      <c r="X343" s="90"/>
      <c r="Y343" s="90"/>
    </row>
    <row r="344" spans="1:25" ht="15.75" customHeight="1">
      <c r="A344" s="79"/>
      <c r="C344" s="90"/>
      <c r="D344" s="1894"/>
      <c r="E344" s="1895"/>
      <c r="F344" s="1896"/>
      <c r="G344" s="1897"/>
      <c r="H344" s="90"/>
      <c r="I344" s="90"/>
      <c r="J344" s="90"/>
      <c r="K344" s="90"/>
      <c r="L344" s="1898"/>
      <c r="M344" s="643"/>
      <c r="N344" s="643"/>
      <c r="O344" s="658"/>
      <c r="P344" s="658"/>
      <c r="Q344" s="1899"/>
      <c r="R344" s="430"/>
      <c r="S344" s="430"/>
      <c r="T344" s="430"/>
      <c r="U344" s="430"/>
      <c r="V344" s="430"/>
      <c r="W344" s="90"/>
      <c r="X344" s="90"/>
      <c r="Y344" s="90"/>
    </row>
    <row r="345" spans="1:25" ht="15.75" customHeight="1">
      <c r="A345" s="79"/>
      <c r="C345" s="90"/>
      <c r="D345" s="1894"/>
      <c r="E345" s="1895"/>
      <c r="F345" s="1896"/>
      <c r="G345" s="1897"/>
      <c r="H345" s="90"/>
      <c r="I345" s="90"/>
      <c r="J345" s="90"/>
      <c r="K345" s="90"/>
      <c r="L345" s="1898"/>
      <c r="M345" s="643"/>
      <c r="N345" s="643"/>
      <c r="O345" s="658"/>
      <c r="P345" s="658"/>
      <c r="Q345" s="1899"/>
      <c r="R345" s="430"/>
      <c r="S345" s="430"/>
      <c r="T345" s="430"/>
      <c r="U345" s="430"/>
      <c r="V345" s="430"/>
      <c r="W345" s="90"/>
      <c r="X345" s="90"/>
      <c r="Y345" s="90"/>
    </row>
    <row r="346" spans="1:25" ht="15.75" customHeight="1">
      <c r="A346" s="79"/>
      <c r="C346" s="90"/>
      <c r="D346" s="1894"/>
      <c r="E346" s="1895"/>
      <c r="F346" s="1896"/>
      <c r="G346" s="1897"/>
      <c r="H346" s="90"/>
      <c r="I346" s="90"/>
      <c r="J346" s="90"/>
      <c r="K346" s="90"/>
      <c r="L346" s="1898"/>
      <c r="M346" s="643"/>
      <c r="N346" s="643"/>
      <c r="O346" s="658"/>
      <c r="P346" s="658"/>
      <c r="Q346" s="1899"/>
      <c r="R346" s="430"/>
      <c r="S346" s="430"/>
      <c r="T346" s="430"/>
      <c r="U346" s="430"/>
      <c r="V346" s="430"/>
      <c r="W346" s="90"/>
      <c r="X346" s="90"/>
      <c r="Y346" s="90"/>
    </row>
    <row r="347" spans="1:25" ht="15.75" customHeight="1">
      <c r="A347" s="79"/>
      <c r="C347" s="90"/>
      <c r="D347" s="1894"/>
      <c r="E347" s="1895"/>
      <c r="F347" s="1896"/>
      <c r="G347" s="1897"/>
      <c r="H347" s="90"/>
      <c r="I347" s="90"/>
      <c r="J347" s="90"/>
      <c r="K347" s="90"/>
      <c r="L347" s="1898"/>
      <c r="M347" s="643"/>
      <c r="N347" s="643"/>
      <c r="O347" s="658"/>
      <c r="P347" s="658"/>
      <c r="Q347" s="1899"/>
      <c r="R347" s="430"/>
      <c r="S347" s="430"/>
      <c r="T347" s="430"/>
      <c r="U347" s="430"/>
      <c r="V347" s="430"/>
      <c r="W347" s="90"/>
      <c r="X347" s="90"/>
      <c r="Y347" s="90"/>
    </row>
    <row r="348" spans="1:25" ht="15.75" customHeight="1">
      <c r="A348" s="79"/>
      <c r="C348" s="90"/>
      <c r="D348" s="1894"/>
      <c r="E348" s="1895"/>
      <c r="F348" s="1896"/>
      <c r="G348" s="1897"/>
      <c r="H348" s="90"/>
      <c r="I348" s="90"/>
      <c r="J348" s="90"/>
      <c r="K348" s="90"/>
      <c r="L348" s="1898"/>
      <c r="M348" s="643"/>
      <c r="N348" s="643"/>
      <c r="O348" s="658"/>
      <c r="P348" s="658"/>
      <c r="Q348" s="1899"/>
      <c r="R348" s="430"/>
      <c r="S348" s="430"/>
      <c r="T348" s="430"/>
      <c r="U348" s="430"/>
      <c r="V348" s="430"/>
      <c r="W348" s="90"/>
      <c r="X348" s="90"/>
      <c r="Y348" s="90"/>
    </row>
    <row r="349" spans="1:25" ht="15.75" customHeight="1">
      <c r="A349" s="79"/>
      <c r="C349" s="90"/>
      <c r="D349" s="1894"/>
      <c r="E349" s="1895"/>
      <c r="F349" s="1896"/>
      <c r="G349" s="1897"/>
      <c r="H349" s="90"/>
      <c r="I349" s="90"/>
      <c r="J349" s="90"/>
      <c r="K349" s="90"/>
      <c r="L349" s="1898"/>
      <c r="M349" s="643"/>
      <c r="N349" s="643"/>
      <c r="O349" s="658"/>
      <c r="P349" s="658"/>
      <c r="Q349" s="1899"/>
      <c r="R349" s="430"/>
      <c r="S349" s="430"/>
      <c r="T349" s="430"/>
      <c r="U349" s="430"/>
      <c r="V349" s="430"/>
      <c r="W349" s="90"/>
      <c r="X349" s="90"/>
      <c r="Y349" s="90"/>
    </row>
    <row r="350" spans="1:25" ht="15.75" customHeight="1">
      <c r="A350" s="79"/>
      <c r="C350" s="90"/>
      <c r="D350" s="1894"/>
      <c r="E350" s="1895"/>
      <c r="F350" s="1896"/>
      <c r="G350" s="1897"/>
      <c r="H350" s="90"/>
      <c r="I350" s="90"/>
      <c r="J350" s="90"/>
      <c r="K350" s="90"/>
      <c r="L350" s="1898"/>
      <c r="M350" s="643"/>
      <c r="N350" s="643"/>
      <c r="O350" s="658"/>
      <c r="P350" s="658"/>
      <c r="Q350" s="1899"/>
      <c r="R350" s="430"/>
      <c r="S350" s="430"/>
      <c r="T350" s="430"/>
      <c r="U350" s="430"/>
      <c r="V350" s="430"/>
      <c r="W350" s="90"/>
      <c r="X350" s="90"/>
      <c r="Y350" s="90"/>
    </row>
    <row r="351" spans="1:25" ht="15.75" customHeight="1">
      <c r="A351" s="79"/>
      <c r="C351" s="90"/>
      <c r="D351" s="1894"/>
      <c r="E351" s="1895"/>
      <c r="F351" s="1896"/>
      <c r="G351" s="1897"/>
      <c r="H351" s="90"/>
      <c r="I351" s="90"/>
      <c r="J351" s="90"/>
      <c r="K351" s="90"/>
      <c r="L351" s="1898"/>
      <c r="M351" s="643"/>
      <c r="N351" s="643"/>
      <c r="O351" s="658"/>
      <c r="P351" s="658"/>
      <c r="Q351" s="1899"/>
      <c r="R351" s="430"/>
      <c r="S351" s="430"/>
      <c r="T351" s="430"/>
      <c r="U351" s="430"/>
      <c r="V351" s="430"/>
      <c r="W351" s="90"/>
      <c r="X351" s="90"/>
      <c r="Y351" s="90"/>
    </row>
    <row r="352" spans="1:25" ht="15.75" customHeight="1">
      <c r="A352" s="79"/>
      <c r="C352" s="90"/>
      <c r="D352" s="1894"/>
      <c r="E352" s="1895"/>
      <c r="F352" s="1896"/>
      <c r="G352" s="1897"/>
      <c r="H352" s="90"/>
      <c r="I352" s="90"/>
      <c r="J352" s="90"/>
      <c r="K352" s="90"/>
      <c r="L352" s="1898"/>
      <c r="M352" s="643"/>
      <c r="N352" s="643"/>
      <c r="O352" s="658"/>
      <c r="P352" s="658"/>
      <c r="Q352" s="1899"/>
      <c r="R352" s="430"/>
      <c r="S352" s="430"/>
      <c r="T352" s="430"/>
      <c r="U352" s="430"/>
      <c r="V352" s="430"/>
      <c r="W352" s="90"/>
      <c r="X352" s="90"/>
      <c r="Y352" s="90"/>
    </row>
    <row r="353" spans="1:25" ht="15.75" customHeight="1">
      <c r="A353" s="79"/>
      <c r="C353" s="90"/>
      <c r="D353" s="1894"/>
      <c r="E353" s="1895"/>
      <c r="F353" s="1896"/>
      <c r="G353" s="1897"/>
      <c r="H353" s="90"/>
      <c r="I353" s="90"/>
      <c r="J353" s="90"/>
      <c r="K353" s="90"/>
      <c r="L353" s="1898"/>
      <c r="M353" s="643"/>
      <c r="N353" s="643"/>
      <c r="O353" s="658"/>
      <c r="P353" s="658"/>
      <c r="Q353" s="1899"/>
      <c r="R353" s="430"/>
      <c r="S353" s="430"/>
      <c r="T353" s="430"/>
      <c r="U353" s="430"/>
      <c r="V353" s="430"/>
      <c r="W353" s="90"/>
      <c r="X353" s="90"/>
      <c r="Y353" s="90"/>
    </row>
    <row r="354" spans="1:25" ht="15.75" customHeight="1">
      <c r="A354" s="79"/>
      <c r="C354" s="90"/>
      <c r="D354" s="1894"/>
      <c r="E354" s="1895"/>
      <c r="F354" s="1896"/>
      <c r="G354" s="1897"/>
      <c r="H354" s="90"/>
      <c r="I354" s="90"/>
      <c r="J354" s="90"/>
      <c r="K354" s="90"/>
      <c r="L354" s="1898"/>
      <c r="M354" s="643"/>
      <c r="N354" s="643"/>
      <c r="O354" s="658"/>
      <c r="P354" s="658"/>
      <c r="Q354" s="1899"/>
      <c r="R354" s="430"/>
      <c r="S354" s="430"/>
      <c r="T354" s="430"/>
      <c r="U354" s="430"/>
      <c r="V354" s="430"/>
      <c r="W354" s="90"/>
      <c r="X354" s="90"/>
      <c r="Y354" s="90"/>
    </row>
    <row r="355" spans="1:25" ht="15.75" customHeight="1">
      <c r="A355" s="79"/>
      <c r="C355" s="90"/>
      <c r="D355" s="1894"/>
      <c r="E355" s="1895"/>
      <c r="F355" s="1896"/>
      <c r="G355" s="1897"/>
      <c r="H355" s="90"/>
      <c r="I355" s="90"/>
      <c r="J355" s="90"/>
      <c r="K355" s="90"/>
      <c r="L355" s="1898"/>
      <c r="M355" s="643"/>
      <c r="N355" s="643"/>
      <c r="O355" s="658"/>
      <c r="P355" s="658"/>
      <c r="Q355" s="1899"/>
      <c r="R355" s="430"/>
      <c r="S355" s="430"/>
      <c r="T355" s="430"/>
      <c r="U355" s="430"/>
      <c r="V355" s="430"/>
      <c r="W355" s="90"/>
      <c r="X355" s="90"/>
      <c r="Y355" s="90"/>
    </row>
    <row r="356" spans="1:25" ht="15.75" customHeight="1">
      <c r="A356" s="79"/>
      <c r="C356" s="90"/>
      <c r="D356" s="1894"/>
      <c r="E356" s="1895"/>
      <c r="F356" s="1896"/>
      <c r="G356" s="1897"/>
      <c r="H356" s="90"/>
      <c r="I356" s="90"/>
      <c r="J356" s="90"/>
      <c r="K356" s="90"/>
      <c r="L356" s="1898"/>
      <c r="M356" s="643"/>
      <c r="N356" s="643"/>
      <c r="O356" s="658"/>
      <c r="P356" s="658"/>
      <c r="Q356" s="1899"/>
      <c r="R356" s="430"/>
      <c r="S356" s="430"/>
      <c r="T356" s="430"/>
      <c r="U356" s="430"/>
      <c r="V356" s="430"/>
      <c r="W356" s="90"/>
      <c r="X356" s="90"/>
      <c r="Y356" s="90"/>
    </row>
    <row r="357" spans="1:25" ht="15.75" customHeight="1">
      <c r="A357" s="79"/>
      <c r="C357" s="90"/>
      <c r="D357" s="1894"/>
      <c r="E357" s="1895"/>
      <c r="F357" s="1896"/>
      <c r="G357" s="1897"/>
      <c r="H357" s="90"/>
      <c r="I357" s="90"/>
      <c r="J357" s="90"/>
      <c r="K357" s="90"/>
      <c r="L357" s="1898"/>
      <c r="M357" s="643"/>
      <c r="N357" s="643"/>
      <c r="O357" s="658"/>
      <c r="P357" s="658"/>
      <c r="Q357" s="1899"/>
      <c r="R357" s="430"/>
      <c r="S357" s="430"/>
      <c r="T357" s="430"/>
      <c r="U357" s="430"/>
      <c r="V357" s="430"/>
      <c r="W357" s="90"/>
      <c r="X357" s="90"/>
      <c r="Y357" s="90"/>
    </row>
    <row r="358" spans="1:25" ht="15.75" customHeight="1">
      <c r="A358" s="79"/>
      <c r="C358" s="90"/>
      <c r="D358" s="1894"/>
      <c r="E358" s="1895"/>
      <c r="F358" s="1896"/>
      <c r="G358" s="1897"/>
      <c r="H358" s="90"/>
      <c r="I358" s="90"/>
      <c r="J358" s="90"/>
      <c r="K358" s="90"/>
      <c r="L358" s="1898"/>
      <c r="M358" s="643"/>
      <c r="N358" s="643"/>
      <c r="O358" s="658"/>
      <c r="P358" s="658"/>
      <c r="Q358" s="1899"/>
      <c r="R358" s="430"/>
      <c r="S358" s="430"/>
      <c r="T358" s="430"/>
      <c r="U358" s="430"/>
      <c r="V358" s="430"/>
      <c r="W358" s="90"/>
      <c r="X358" s="90"/>
      <c r="Y358" s="90"/>
    </row>
    <row r="359" spans="1:25" ht="15.75" customHeight="1">
      <c r="A359" s="79"/>
      <c r="C359" s="90"/>
      <c r="D359" s="1894"/>
      <c r="E359" s="1895"/>
      <c r="F359" s="1896"/>
      <c r="G359" s="1897"/>
      <c r="H359" s="90"/>
      <c r="I359" s="90"/>
      <c r="J359" s="90"/>
      <c r="K359" s="90"/>
      <c r="L359" s="1898"/>
      <c r="M359" s="643"/>
      <c r="N359" s="643"/>
      <c r="O359" s="658"/>
      <c r="P359" s="658"/>
      <c r="Q359" s="1899"/>
      <c r="R359" s="430"/>
      <c r="S359" s="430"/>
      <c r="T359" s="430"/>
      <c r="U359" s="430"/>
      <c r="V359" s="430"/>
      <c r="W359" s="90"/>
      <c r="X359" s="90"/>
      <c r="Y359" s="90"/>
    </row>
    <row r="360" spans="1:25" ht="15.75" customHeight="1">
      <c r="A360" s="79"/>
      <c r="C360" s="90"/>
      <c r="D360" s="1894"/>
      <c r="E360" s="1895"/>
      <c r="F360" s="1896"/>
      <c r="G360" s="1897"/>
      <c r="H360" s="90"/>
      <c r="I360" s="90"/>
      <c r="J360" s="90"/>
      <c r="K360" s="90"/>
      <c r="L360" s="1898"/>
      <c r="M360" s="643"/>
      <c r="N360" s="643"/>
      <c r="O360" s="658"/>
      <c r="P360" s="658"/>
      <c r="Q360" s="1899"/>
      <c r="R360" s="430"/>
      <c r="S360" s="430"/>
      <c r="T360" s="430"/>
      <c r="U360" s="430"/>
      <c r="V360" s="430"/>
      <c r="W360" s="90"/>
      <c r="X360" s="90"/>
      <c r="Y360" s="90"/>
    </row>
    <row r="361" spans="1:25" ht="15.75" customHeight="1">
      <c r="A361" s="79"/>
      <c r="C361" s="90"/>
      <c r="D361" s="1894"/>
      <c r="E361" s="1895"/>
      <c r="F361" s="1896"/>
      <c r="G361" s="1897"/>
      <c r="H361" s="90"/>
      <c r="I361" s="90"/>
      <c r="J361" s="90"/>
      <c r="K361" s="90"/>
      <c r="L361" s="1898"/>
      <c r="M361" s="643"/>
      <c r="N361" s="643"/>
      <c r="O361" s="658"/>
      <c r="P361" s="658"/>
      <c r="Q361" s="1899"/>
      <c r="R361" s="430"/>
      <c r="S361" s="430"/>
      <c r="T361" s="430"/>
      <c r="U361" s="430"/>
      <c r="V361" s="430"/>
      <c r="W361" s="90"/>
      <c r="X361" s="90"/>
      <c r="Y361" s="90"/>
    </row>
    <row r="362" spans="1:25" ht="15.75" customHeight="1">
      <c r="A362" s="79"/>
      <c r="C362" s="90"/>
      <c r="D362" s="1894"/>
      <c r="E362" s="1895"/>
      <c r="F362" s="1896"/>
      <c r="G362" s="1897"/>
      <c r="H362" s="90"/>
      <c r="I362" s="90"/>
      <c r="J362" s="90"/>
      <c r="K362" s="90"/>
      <c r="L362" s="1898"/>
      <c r="M362" s="643"/>
      <c r="N362" s="643"/>
      <c r="O362" s="658"/>
      <c r="P362" s="658"/>
      <c r="Q362" s="1899"/>
      <c r="R362" s="430"/>
      <c r="S362" s="430"/>
      <c r="T362" s="430"/>
      <c r="U362" s="430"/>
      <c r="V362" s="430"/>
      <c r="W362" s="90"/>
      <c r="X362" s="90"/>
      <c r="Y362" s="90"/>
    </row>
    <row r="363" spans="1:25" ht="15.75" customHeight="1">
      <c r="A363" s="79"/>
      <c r="C363" s="90"/>
      <c r="D363" s="1894"/>
      <c r="E363" s="1895"/>
      <c r="F363" s="1896"/>
      <c r="G363" s="1897"/>
      <c r="H363" s="90"/>
      <c r="I363" s="90"/>
      <c r="J363" s="90"/>
      <c r="K363" s="90"/>
      <c r="L363" s="1898"/>
      <c r="M363" s="643"/>
      <c r="N363" s="643"/>
      <c r="O363" s="658"/>
      <c r="P363" s="658"/>
      <c r="Q363" s="1899"/>
      <c r="R363" s="430"/>
      <c r="S363" s="430"/>
      <c r="T363" s="430"/>
      <c r="U363" s="430"/>
      <c r="V363" s="430"/>
      <c r="W363" s="90"/>
      <c r="X363" s="90"/>
      <c r="Y363" s="90"/>
    </row>
    <row r="364" spans="1:25" ht="15.75" customHeight="1">
      <c r="A364" s="79"/>
      <c r="C364" s="90"/>
      <c r="D364" s="1894"/>
      <c r="E364" s="1895"/>
      <c r="F364" s="1896"/>
      <c r="G364" s="1897"/>
      <c r="H364" s="90"/>
      <c r="I364" s="90"/>
      <c r="J364" s="90"/>
      <c r="K364" s="90"/>
      <c r="L364" s="1898"/>
      <c r="M364" s="643"/>
      <c r="N364" s="643"/>
      <c r="O364" s="658"/>
      <c r="P364" s="658"/>
      <c r="Q364" s="1899"/>
      <c r="R364" s="430"/>
      <c r="S364" s="430"/>
      <c r="T364" s="430"/>
      <c r="U364" s="430"/>
      <c r="V364" s="430"/>
      <c r="W364" s="90"/>
      <c r="X364" s="90"/>
      <c r="Y364" s="90"/>
    </row>
    <row r="365" spans="1:25" ht="15.75" customHeight="1">
      <c r="A365" s="79"/>
      <c r="C365" s="90"/>
      <c r="D365" s="1894"/>
      <c r="E365" s="1895"/>
      <c r="F365" s="1896"/>
      <c r="G365" s="1897"/>
      <c r="H365" s="90"/>
      <c r="I365" s="90"/>
      <c r="J365" s="90"/>
      <c r="K365" s="90"/>
      <c r="L365" s="1898"/>
      <c r="M365" s="643"/>
      <c r="N365" s="643"/>
      <c r="O365" s="658"/>
      <c r="P365" s="658"/>
      <c r="Q365" s="1899"/>
      <c r="R365" s="430"/>
      <c r="S365" s="430"/>
      <c r="T365" s="430"/>
      <c r="U365" s="430"/>
      <c r="V365" s="430"/>
      <c r="W365" s="90"/>
      <c r="X365" s="90"/>
      <c r="Y365" s="90"/>
    </row>
    <row r="366" spans="1:25" ht="15.75" customHeight="1">
      <c r="A366" s="79"/>
      <c r="C366" s="90"/>
      <c r="D366" s="1894"/>
      <c r="E366" s="1895"/>
      <c r="F366" s="1896"/>
      <c r="G366" s="1897"/>
      <c r="H366" s="90"/>
      <c r="I366" s="90"/>
      <c r="J366" s="90"/>
      <c r="K366" s="90"/>
      <c r="L366" s="1898"/>
      <c r="M366" s="643"/>
      <c r="N366" s="643"/>
      <c r="O366" s="658"/>
      <c r="P366" s="658"/>
      <c r="Q366" s="1899"/>
      <c r="R366" s="430"/>
      <c r="S366" s="430"/>
      <c r="T366" s="430"/>
      <c r="U366" s="430"/>
      <c r="V366" s="430"/>
      <c r="W366" s="90"/>
      <c r="X366" s="90"/>
      <c r="Y366" s="90"/>
    </row>
    <row r="367" spans="1:25" ht="15.75" customHeight="1">
      <c r="A367" s="79"/>
      <c r="C367" s="90"/>
      <c r="D367" s="1894"/>
      <c r="E367" s="1895"/>
      <c r="F367" s="1896"/>
      <c r="G367" s="1897"/>
      <c r="H367" s="90"/>
      <c r="I367" s="90"/>
      <c r="J367" s="90"/>
      <c r="K367" s="90"/>
      <c r="L367" s="1898"/>
      <c r="M367" s="643"/>
      <c r="N367" s="643"/>
      <c r="O367" s="658"/>
      <c r="P367" s="658"/>
      <c r="Q367" s="1899"/>
      <c r="R367" s="430"/>
      <c r="S367" s="430"/>
      <c r="T367" s="430"/>
      <c r="U367" s="430"/>
      <c r="V367" s="430"/>
      <c r="W367" s="90"/>
      <c r="X367" s="90"/>
      <c r="Y367" s="90"/>
    </row>
    <row r="368" spans="1:25" ht="15.75" customHeight="1">
      <c r="A368" s="79"/>
      <c r="C368" s="90"/>
      <c r="D368" s="1894"/>
      <c r="E368" s="1895"/>
      <c r="F368" s="1896"/>
      <c r="G368" s="1897"/>
      <c r="H368" s="90"/>
      <c r="I368" s="90"/>
      <c r="J368" s="90"/>
      <c r="K368" s="90"/>
      <c r="L368" s="1898"/>
      <c r="M368" s="643"/>
      <c r="N368" s="643"/>
      <c r="O368" s="658"/>
      <c r="P368" s="658"/>
      <c r="Q368" s="1899"/>
      <c r="R368" s="430"/>
      <c r="S368" s="430"/>
      <c r="T368" s="430"/>
      <c r="U368" s="430"/>
      <c r="V368" s="430"/>
      <c r="W368" s="90"/>
      <c r="X368" s="90"/>
      <c r="Y368" s="90"/>
    </row>
    <row r="369" spans="1:25" ht="15.75" customHeight="1">
      <c r="A369" s="79"/>
      <c r="C369" s="90"/>
      <c r="D369" s="1894"/>
      <c r="E369" s="1895"/>
      <c r="F369" s="1896"/>
      <c r="G369" s="1897"/>
      <c r="H369" s="90"/>
      <c r="I369" s="90"/>
      <c r="J369" s="90"/>
      <c r="K369" s="90"/>
      <c r="L369" s="1898"/>
      <c r="M369" s="643"/>
      <c r="N369" s="643"/>
      <c r="O369" s="658"/>
      <c r="P369" s="658"/>
      <c r="Q369" s="1899"/>
      <c r="R369" s="430"/>
      <c r="S369" s="430"/>
      <c r="T369" s="430"/>
      <c r="U369" s="430"/>
      <c r="V369" s="430"/>
      <c r="W369" s="90"/>
      <c r="X369" s="90"/>
      <c r="Y369" s="90"/>
    </row>
    <row r="370" spans="1:25" ht="15.75" customHeight="1">
      <c r="A370" s="79"/>
      <c r="C370" s="90"/>
      <c r="D370" s="1894"/>
      <c r="E370" s="1895"/>
      <c r="F370" s="1896"/>
      <c r="G370" s="1897"/>
      <c r="H370" s="90"/>
      <c r="I370" s="90"/>
      <c r="J370" s="90"/>
      <c r="K370" s="90"/>
      <c r="L370" s="1898"/>
      <c r="M370" s="643"/>
      <c r="N370" s="643"/>
      <c r="O370" s="658"/>
      <c r="P370" s="658"/>
      <c r="Q370" s="1899"/>
      <c r="R370" s="430"/>
      <c r="S370" s="430"/>
      <c r="T370" s="430"/>
      <c r="U370" s="430"/>
      <c r="V370" s="430"/>
      <c r="W370" s="90"/>
      <c r="X370" s="90"/>
      <c r="Y370" s="90"/>
    </row>
    <row r="371" spans="1:25" ht="15.75" customHeight="1">
      <c r="A371" s="79"/>
      <c r="C371" s="90"/>
      <c r="D371" s="1894"/>
      <c r="E371" s="1895"/>
      <c r="F371" s="1896"/>
      <c r="G371" s="1897"/>
      <c r="H371" s="90"/>
      <c r="I371" s="90"/>
      <c r="J371" s="90"/>
      <c r="K371" s="90"/>
      <c r="L371" s="1898"/>
      <c r="M371" s="643"/>
      <c r="N371" s="643"/>
      <c r="O371" s="658"/>
      <c r="P371" s="658"/>
      <c r="Q371" s="1899"/>
      <c r="R371" s="430"/>
      <c r="S371" s="430"/>
      <c r="T371" s="430"/>
      <c r="U371" s="430"/>
      <c r="V371" s="430"/>
      <c r="W371" s="90"/>
      <c r="X371" s="90"/>
      <c r="Y371" s="90"/>
    </row>
    <row r="372" spans="1:25" ht="15.75" customHeight="1">
      <c r="A372" s="79"/>
      <c r="C372" s="90"/>
      <c r="D372" s="1894"/>
      <c r="E372" s="1895"/>
      <c r="F372" s="1896"/>
      <c r="G372" s="1897"/>
      <c r="H372" s="90"/>
      <c r="I372" s="90"/>
      <c r="J372" s="90"/>
      <c r="K372" s="90"/>
      <c r="L372" s="1898"/>
      <c r="M372" s="643"/>
      <c r="N372" s="643"/>
      <c r="O372" s="658"/>
      <c r="P372" s="658"/>
      <c r="Q372" s="1899"/>
      <c r="R372" s="430"/>
      <c r="S372" s="430"/>
      <c r="T372" s="430"/>
      <c r="U372" s="430"/>
      <c r="V372" s="430"/>
      <c r="W372" s="90"/>
      <c r="X372" s="90"/>
      <c r="Y372" s="90"/>
    </row>
    <row r="373" spans="1:25" ht="15.75" customHeight="1">
      <c r="A373" s="79"/>
      <c r="C373" s="90"/>
      <c r="D373" s="1894"/>
      <c r="E373" s="1895"/>
      <c r="F373" s="1896"/>
      <c r="G373" s="1897"/>
      <c r="H373" s="90"/>
      <c r="I373" s="90"/>
      <c r="J373" s="90"/>
      <c r="K373" s="90"/>
      <c r="L373" s="1898"/>
      <c r="M373" s="643"/>
      <c r="N373" s="643"/>
      <c r="O373" s="658"/>
      <c r="P373" s="658"/>
      <c r="Q373" s="1899"/>
      <c r="R373" s="430"/>
      <c r="S373" s="430"/>
      <c r="T373" s="430"/>
      <c r="U373" s="430"/>
      <c r="V373" s="430"/>
      <c r="W373" s="90"/>
      <c r="X373" s="90"/>
      <c r="Y373" s="90"/>
    </row>
    <row r="374" spans="1:25" ht="15.75" customHeight="1">
      <c r="A374" s="79"/>
      <c r="C374" s="90"/>
      <c r="D374" s="1894"/>
      <c r="E374" s="1895"/>
      <c r="F374" s="1896"/>
      <c r="G374" s="1897"/>
      <c r="H374" s="90"/>
      <c r="I374" s="90"/>
      <c r="J374" s="90"/>
      <c r="K374" s="90"/>
      <c r="L374" s="1898"/>
      <c r="M374" s="643"/>
      <c r="N374" s="643"/>
      <c r="O374" s="658"/>
      <c r="P374" s="658"/>
      <c r="Q374" s="1899"/>
      <c r="R374" s="430"/>
      <c r="S374" s="430"/>
      <c r="T374" s="430"/>
      <c r="U374" s="430"/>
      <c r="V374" s="430"/>
      <c r="W374" s="90"/>
      <c r="X374" s="90"/>
      <c r="Y374" s="90"/>
    </row>
    <row r="375" spans="1:25" ht="15.75" customHeight="1">
      <c r="A375" s="79"/>
      <c r="C375" s="90"/>
      <c r="D375" s="1894"/>
      <c r="E375" s="1895"/>
      <c r="F375" s="1896"/>
      <c r="G375" s="1897"/>
      <c r="H375" s="90"/>
      <c r="I375" s="90"/>
      <c r="J375" s="90"/>
      <c r="K375" s="90"/>
      <c r="L375" s="1898"/>
      <c r="M375" s="643"/>
      <c r="N375" s="643"/>
      <c r="O375" s="658"/>
      <c r="P375" s="658"/>
      <c r="Q375" s="1899"/>
      <c r="R375" s="430"/>
      <c r="S375" s="430"/>
      <c r="T375" s="430"/>
      <c r="U375" s="430"/>
      <c r="V375" s="430"/>
      <c r="W375" s="90"/>
      <c r="X375" s="90"/>
      <c r="Y375" s="90"/>
    </row>
    <row r="376" spans="1:25" ht="15.75" customHeight="1">
      <c r="A376" s="79"/>
      <c r="C376" s="90"/>
      <c r="D376" s="1894"/>
      <c r="E376" s="1895"/>
      <c r="F376" s="1896"/>
      <c r="G376" s="1897"/>
      <c r="H376" s="90"/>
      <c r="I376" s="90"/>
      <c r="J376" s="90"/>
      <c r="K376" s="90"/>
      <c r="L376" s="1898"/>
      <c r="M376" s="643"/>
      <c r="N376" s="643"/>
      <c r="O376" s="658"/>
      <c r="P376" s="658"/>
      <c r="Q376" s="1899"/>
      <c r="R376" s="430"/>
      <c r="S376" s="430"/>
      <c r="T376" s="430"/>
      <c r="U376" s="430"/>
      <c r="V376" s="430"/>
      <c r="W376" s="90"/>
      <c r="X376" s="90"/>
      <c r="Y376" s="90"/>
    </row>
    <row r="377" spans="1:25" ht="15.75" customHeight="1">
      <c r="A377" s="79"/>
      <c r="C377" s="90"/>
      <c r="D377" s="1894"/>
      <c r="E377" s="1895"/>
      <c r="F377" s="1896"/>
      <c r="G377" s="1897"/>
      <c r="H377" s="90"/>
      <c r="I377" s="90"/>
      <c r="J377" s="90"/>
      <c r="K377" s="90"/>
      <c r="L377" s="1898"/>
      <c r="M377" s="643"/>
      <c r="N377" s="643"/>
      <c r="O377" s="658"/>
      <c r="P377" s="658"/>
      <c r="Q377" s="1899"/>
      <c r="R377" s="430"/>
      <c r="S377" s="430"/>
      <c r="T377" s="430"/>
      <c r="U377" s="430"/>
      <c r="V377" s="430"/>
      <c r="W377" s="90"/>
      <c r="X377" s="90"/>
      <c r="Y377" s="90"/>
    </row>
    <row r="378" spans="1:25" ht="15.75" customHeight="1">
      <c r="A378" s="79"/>
      <c r="C378" s="90"/>
      <c r="D378" s="1894"/>
      <c r="E378" s="1895"/>
      <c r="F378" s="1896"/>
      <c r="G378" s="1897"/>
      <c r="H378" s="90"/>
      <c r="I378" s="90"/>
      <c r="J378" s="90"/>
      <c r="K378" s="90"/>
      <c r="L378" s="1898"/>
      <c r="M378" s="643"/>
      <c r="N378" s="643"/>
      <c r="O378" s="658"/>
      <c r="P378" s="658"/>
      <c r="Q378" s="1899"/>
      <c r="R378" s="430"/>
      <c r="S378" s="430"/>
      <c r="T378" s="430"/>
      <c r="U378" s="430"/>
      <c r="V378" s="430"/>
      <c r="W378" s="90"/>
      <c r="X378" s="90"/>
      <c r="Y378" s="90"/>
    </row>
    <row r="379" spans="1:25" ht="15.75" customHeight="1">
      <c r="A379" s="79"/>
      <c r="C379" s="90"/>
      <c r="D379" s="1894"/>
      <c r="E379" s="1895"/>
      <c r="F379" s="1896"/>
      <c r="G379" s="1897"/>
      <c r="H379" s="90"/>
      <c r="I379" s="90"/>
      <c r="J379" s="90"/>
      <c r="K379" s="90"/>
      <c r="L379" s="1898"/>
      <c r="M379" s="643"/>
      <c r="N379" s="643"/>
      <c r="O379" s="658"/>
      <c r="P379" s="658"/>
      <c r="Q379" s="1899"/>
      <c r="R379" s="430"/>
      <c r="S379" s="430"/>
      <c r="T379" s="430"/>
      <c r="U379" s="430"/>
      <c r="V379" s="430"/>
      <c r="W379" s="90"/>
      <c r="X379" s="90"/>
      <c r="Y379" s="90"/>
    </row>
    <row r="380" spans="1:25" ht="15.75" customHeight="1">
      <c r="A380" s="79"/>
      <c r="C380" s="90"/>
      <c r="D380" s="1894"/>
      <c r="E380" s="1895"/>
      <c r="F380" s="1896"/>
      <c r="G380" s="1897"/>
      <c r="H380" s="90"/>
      <c r="I380" s="90"/>
      <c r="J380" s="90"/>
      <c r="K380" s="90"/>
      <c r="L380" s="1898"/>
      <c r="M380" s="643"/>
      <c r="N380" s="643"/>
      <c r="O380" s="658"/>
      <c r="P380" s="658"/>
      <c r="Q380" s="1899"/>
      <c r="R380" s="430"/>
      <c r="S380" s="430"/>
      <c r="T380" s="430"/>
      <c r="U380" s="430"/>
      <c r="V380" s="430"/>
      <c r="W380" s="90"/>
      <c r="X380" s="90"/>
      <c r="Y380" s="90"/>
    </row>
    <row r="381" spans="1:25" ht="15.75" customHeight="1">
      <c r="A381" s="79"/>
      <c r="C381" s="90"/>
      <c r="D381" s="1894"/>
      <c r="E381" s="1895"/>
      <c r="F381" s="1896"/>
      <c r="G381" s="1897"/>
      <c r="H381" s="90"/>
      <c r="I381" s="90"/>
      <c r="J381" s="90"/>
      <c r="K381" s="90"/>
      <c r="L381" s="1898"/>
      <c r="M381" s="643"/>
      <c r="N381" s="643"/>
      <c r="O381" s="658"/>
      <c r="P381" s="658"/>
      <c r="Q381" s="1899"/>
      <c r="R381" s="430"/>
      <c r="S381" s="430"/>
      <c r="T381" s="430"/>
      <c r="U381" s="430"/>
      <c r="V381" s="430"/>
      <c r="W381" s="90"/>
      <c r="X381" s="90"/>
      <c r="Y381" s="90"/>
    </row>
    <row r="382" spans="1:25" ht="15.75" customHeight="1">
      <c r="A382" s="79"/>
      <c r="C382" s="90"/>
      <c r="D382" s="1894"/>
      <c r="E382" s="1895"/>
      <c r="F382" s="1896"/>
      <c r="G382" s="1897"/>
      <c r="H382" s="90"/>
      <c r="I382" s="90"/>
      <c r="J382" s="90"/>
      <c r="K382" s="90"/>
      <c r="L382" s="1898"/>
      <c r="M382" s="643"/>
      <c r="N382" s="643"/>
      <c r="O382" s="658"/>
      <c r="P382" s="658"/>
      <c r="Q382" s="1899"/>
      <c r="R382" s="430"/>
      <c r="S382" s="430"/>
      <c r="T382" s="430"/>
      <c r="U382" s="430"/>
      <c r="V382" s="430"/>
      <c r="W382" s="90"/>
      <c r="X382" s="90"/>
      <c r="Y382" s="90"/>
    </row>
    <row r="383" spans="1:25" ht="15.75" customHeight="1">
      <c r="A383" s="79"/>
      <c r="C383" s="90"/>
      <c r="D383" s="1894"/>
      <c r="E383" s="1895"/>
      <c r="F383" s="1896"/>
      <c r="G383" s="1897"/>
      <c r="H383" s="90"/>
      <c r="I383" s="90"/>
      <c r="J383" s="90"/>
      <c r="K383" s="90"/>
      <c r="L383" s="1898"/>
      <c r="M383" s="643"/>
      <c r="N383" s="643"/>
      <c r="O383" s="658"/>
      <c r="P383" s="658"/>
      <c r="Q383" s="1899"/>
      <c r="R383" s="430"/>
      <c r="S383" s="430"/>
      <c r="T383" s="430"/>
      <c r="U383" s="430"/>
      <c r="V383" s="430"/>
      <c r="W383" s="90"/>
      <c r="X383" s="90"/>
      <c r="Y383" s="90"/>
    </row>
    <row r="384" spans="1:25" ht="15.75" customHeight="1">
      <c r="A384" s="79"/>
      <c r="C384" s="90"/>
      <c r="D384" s="1894"/>
      <c r="E384" s="1895"/>
      <c r="F384" s="1896"/>
      <c r="G384" s="1897"/>
      <c r="H384" s="90"/>
      <c r="I384" s="90"/>
      <c r="J384" s="90"/>
      <c r="K384" s="90"/>
      <c r="L384" s="1898"/>
      <c r="M384" s="643"/>
      <c r="N384" s="643"/>
      <c r="O384" s="658"/>
      <c r="P384" s="658"/>
      <c r="Q384" s="1899"/>
      <c r="R384" s="430"/>
      <c r="S384" s="430"/>
      <c r="T384" s="430"/>
      <c r="U384" s="430"/>
      <c r="V384" s="430"/>
      <c r="W384" s="90"/>
      <c r="X384" s="90"/>
      <c r="Y384" s="90"/>
    </row>
    <row r="385" spans="1:25" ht="15.75" customHeight="1">
      <c r="A385" s="79"/>
      <c r="C385" s="90"/>
      <c r="D385" s="1894"/>
      <c r="E385" s="1895"/>
      <c r="F385" s="1896"/>
      <c r="G385" s="1897"/>
      <c r="H385" s="90"/>
      <c r="I385" s="90"/>
      <c r="J385" s="90"/>
      <c r="K385" s="90"/>
      <c r="L385" s="1898"/>
      <c r="M385" s="643"/>
      <c r="N385" s="643"/>
      <c r="O385" s="658"/>
      <c r="P385" s="658"/>
      <c r="Q385" s="1899"/>
      <c r="R385" s="430"/>
      <c r="S385" s="430"/>
      <c r="T385" s="430"/>
      <c r="U385" s="430"/>
      <c r="V385" s="430"/>
      <c r="W385" s="90"/>
      <c r="X385" s="90"/>
      <c r="Y385" s="90"/>
    </row>
    <row r="386" spans="1:25" ht="15.75" customHeight="1">
      <c r="A386" s="79"/>
      <c r="C386" s="90"/>
      <c r="D386" s="1894"/>
      <c r="E386" s="1895"/>
      <c r="F386" s="1896"/>
      <c r="G386" s="1897"/>
      <c r="H386" s="90"/>
      <c r="I386" s="90"/>
      <c r="J386" s="90"/>
      <c r="K386" s="90"/>
      <c r="L386" s="1898"/>
      <c r="M386" s="643"/>
      <c r="N386" s="643"/>
      <c r="O386" s="658"/>
      <c r="P386" s="658"/>
      <c r="Q386" s="1899"/>
      <c r="R386" s="430"/>
      <c r="S386" s="430"/>
      <c r="T386" s="430"/>
      <c r="U386" s="430"/>
      <c r="V386" s="430"/>
      <c r="W386" s="90"/>
      <c r="X386" s="90"/>
      <c r="Y386" s="90"/>
    </row>
    <row r="387" spans="1:25" ht="15.75" customHeight="1">
      <c r="A387" s="79"/>
      <c r="C387" s="90"/>
      <c r="D387" s="1894"/>
      <c r="E387" s="1895"/>
      <c r="F387" s="1896"/>
      <c r="G387" s="1897"/>
      <c r="H387" s="90"/>
      <c r="I387" s="90"/>
      <c r="J387" s="90"/>
      <c r="K387" s="90"/>
      <c r="L387" s="1898"/>
      <c r="M387" s="643"/>
      <c r="N387" s="643"/>
      <c r="O387" s="658"/>
      <c r="P387" s="658"/>
      <c r="Q387" s="1899"/>
      <c r="R387" s="430"/>
      <c r="S387" s="430"/>
      <c r="T387" s="430"/>
      <c r="U387" s="430"/>
      <c r="V387" s="430"/>
      <c r="W387" s="90"/>
      <c r="X387" s="90"/>
      <c r="Y387" s="90"/>
    </row>
    <row r="388" spans="1:25" ht="15.75" customHeight="1">
      <c r="A388" s="79"/>
      <c r="C388" s="90"/>
      <c r="D388" s="1894"/>
      <c r="E388" s="1895"/>
      <c r="F388" s="1896"/>
      <c r="G388" s="1897"/>
      <c r="H388" s="90"/>
      <c r="I388" s="90"/>
      <c r="J388" s="90"/>
      <c r="K388" s="90"/>
      <c r="L388" s="1898"/>
      <c r="M388" s="643"/>
      <c r="N388" s="643"/>
      <c r="O388" s="658"/>
      <c r="P388" s="658"/>
      <c r="Q388" s="1899"/>
      <c r="R388" s="430"/>
      <c r="S388" s="430"/>
      <c r="T388" s="430"/>
      <c r="U388" s="430"/>
      <c r="V388" s="430"/>
      <c r="W388" s="90"/>
      <c r="X388" s="90"/>
      <c r="Y388" s="90"/>
    </row>
    <row r="389" spans="1:25" ht="15.75" customHeight="1">
      <c r="A389" s="79"/>
      <c r="C389" s="90"/>
      <c r="D389" s="1894"/>
      <c r="E389" s="1895"/>
      <c r="F389" s="1896"/>
      <c r="G389" s="1897"/>
      <c r="H389" s="90"/>
      <c r="I389" s="90"/>
      <c r="J389" s="90"/>
      <c r="K389" s="90"/>
      <c r="L389" s="1898"/>
      <c r="M389" s="643"/>
      <c r="N389" s="643"/>
      <c r="O389" s="658"/>
      <c r="P389" s="658"/>
      <c r="Q389" s="1899"/>
      <c r="R389" s="430"/>
      <c r="S389" s="430"/>
      <c r="T389" s="430"/>
      <c r="U389" s="430"/>
      <c r="V389" s="430"/>
      <c r="W389" s="90"/>
      <c r="X389" s="90"/>
      <c r="Y389" s="90"/>
    </row>
    <row r="390" spans="1:25" ht="15.75" customHeight="1">
      <c r="A390" s="79"/>
      <c r="C390" s="90"/>
      <c r="D390" s="1894"/>
      <c r="E390" s="1895"/>
      <c r="F390" s="1896"/>
      <c r="G390" s="1897"/>
      <c r="H390" s="90"/>
      <c r="I390" s="90"/>
      <c r="J390" s="90"/>
      <c r="K390" s="90"/>
      <c r="L390" s="1898"/>
      <c r="M390" s="643"/>
      <c r="N390" s="643"/>
      <c r="O390" s="658"/>
      <c r="P390" s="658"/>
      <c r="Q390" s="1899"/>
      <c r="R390" s="430"/>
      <c r="S390" s="430"/>
      <c r="T390" s="430"/>
      <c r="U390" s="430"/>
      <c r="V390" s="430"/>
      <c r="W390" s="90"/>
      <c r="X390" s="90"/>
      <c r="Y390" s="90"/>
    </row>
    <row r="391" spans="1:25" ht="15.75" customHeight="1">
      <c r="A391" s="79"/>
      <c r="C391" s="90"/>
      <c r="D391" s="1894"/>
      <c r="E391" s="1895"/>
      <c r="F391" s="1896"/>
      <c r="G391" s="1897"/>
      <c r="H391" s="90"/>
      <c r="I391" s="90"/>
      <c r="J391" s="90"/>
      <c r="K391" s="90"/>
      <c r="L391" s="1898"/>
      <c r="M391" s="643"/>
      <c r="N391" s="643"/>
      <c r="O391" s="658"/>
      <c r="P391" s="658"/>
      <c r="Q391" s="1899"/>
      <c r="R391" s="430"/>
      <c r="S391" s="430"/>
      <c r="T391" s="430"/>
      <c r="U391" s="430"/>
      <c r="V391" s="430"/>
      <c r="W391" s="90"/>
      <c r="X391" s="90"/>
      <c r="Y391" s="90"/>
    </row>
    <row r="392" spans="1:25" ht="15.75" customHeight="1">
      <c r="A392" s="79"/>
      <c r="C392" s="90"/>
      <c r="D392" s="1894"/>
      <c r="E392" s="1895"/>
      <c r="F392" s="1896"/>
      <c r="G392" s="1897"/>
      <c r="H392" s="90"/>
      <c r="I392" s="90"/>
      <c r="J392" s="90"/>
      <c r="K392" s="90"/>
      <c r="L392" s="1898"/>
      <c r="M392" s="643"/>
      <c r="N392" s="643"/>
      <c r="O392" s="658"/>
      <c r="P392" s="658"/>
      <c r="Q392" s="1899"/>
      <c r="R392" s="430"/>
      <c r="S392" s="430"/>
      <c r="T392" s="430"/>
      <c r="U392" s="430"/>
      <c r="V392" s="430"/>
      <c r="W392" s="90"/>
      <c r="X392" s="90"/>
      <c r="Y392" s="90"/>
    </row>
    <row r="393" spans="1:25" ht="15.75" customHeight="1">
      <c r="A393" s="79"/>
      <c r="C393" s="90"/>
      <c r="D393" s="1894"/>
      <c r="E393" s="1895"/>
      <c r="F393" s="1896"/>
      <c r="G393" s="1897"/>
      <c r="H393" s="90"/>
      <c r="I393" s="90"/>
      <c r="J393" s="90"/>
      <c r="K393" s="90"/>
      <c r="L393" s="1898"/>
      <c r="M393" s="643"/>
      <c r="N393" s="643"/>
      <c r="O393" s="658"/>
      <c r="P393" s="658"/>
      <c r="Q393" s="1899"/>
      <c r="R393" s="430"/>
      <c r="S393" s="430"/>
      <c r="T393" s="430"/>
      <c r="U393" s="430"/>
      <c r="V393" s="430"/>
      <c r="W393" s="90"/>
      <c r="X393" s="90"/>
      <c r="Y393" s="90"/>
    </row>
    <row r="394" spans="1:25" ht="15.75" customHeight="1">
      <c r="A394" s="79"/>
      <c r="C394" s="90"/>
      <c r="D394" s="1894"/>
      <c r="E394" s="1895"/>
      <c r="F394" s="1896"/>
      <c r="G394" s="1897"/>
      <c r="H394" s="90"/>
      <c r="I394" s="90"/>
      <c r="J394" s="90"/>
      <c r="K394" s="90"/>
      <c r="L394" s="1898"/>
      <c r="M394" s="643"/>
      <c r="N394" s="643"/>
      <c r="O394" s="658"/>
      <c r="P394" s="658"/>
      <c r="Q394" s="1899"/>
      <c r="R394" s="430"/>
      <c r="S394" s="430"/>
      <c r="T394" s="430"/>
      <c r="U394" s="430"/>
      <c r="V394" s="430"/>
      <c r="W394" s="90"/>
      <c r="X394" s="90"/>
      <c r="Y394" s="90"/>
    </row>
    <row r="395" spans="1:25" ht="15.75" customHeight="1">
      <c r="A395" s="79"/>
      <c r="C395" s="90"/>
      <c r="D395" s="1894"/>
      <c r="E395" s="1895"/>
      <c r="F395" s="1896"/>
      <c r="G395" s="1897"/>
      <c r="H395" s="90"/>
      <c r="I395" s="90"/>
      <c r="J395" s="90"/>
      <c r="K395" s="90"/>
      <c r="L395" s="1898"/>
      <c r="M395" s="643"/>
      <c r="N395" s="643"/>
      <c r="O395" s="658"/>
      <c r="P395" s="658"/>
      <c r="Q395" s="1899"/>
      <c r="R395" s="430"/>
      <c r="S395" s="430"/>
      <c r="T395" s="430"/>
      <c r="U395" s="430"/>
      <c r="V395" s="430"/>
      <c r="W395" s="90"/>
      <c r="X395" s="90"/>
      <c r="Y395" s="90"/>
    </row>
    <row r="396" spans="1:25" ht="15.75" customHeight="1">
      <c r="A396" s="79"/>
      <c r="C396" s="90"/>
      <c r="D396" s="1894"/>
      <c r="E396" s="1895"/>
      <c r="F396" s="1896"/>
      <c r="G396" s="1897"/>
      <c r="H396" s="90"/>
      <c r="I396" s="90"/>
      <c r="J396" s="90"/>
      <c r="K396" s="90"/>
      <c r="L396" s="1898"/>
      <c r="M396" s="643"/>
      <c r="N396" s="643"/>
      <c r="O396" s="658"/>
      <c r="P396" s="658"/>
      <c r="Q396" s="1899"/>
      <c r="R396" s="430"/>
      <c r="S396" s="430"/>
      <c r="T396" s="430"/>
      <c r="U396" s="430"/>
      <c r="V396" s="430"/>
      <c r="W396" s="90"/>
      <c r="X396" s="90"/>
      <c r="Y396" s="90"/>
    </row>
    <row r="397" spans="1:25" ht="15.75" customHeight="1">
      <c r="A397" s="79"/>
      <c r="C397" s="90"/>
      <c r="D397" s="1894"/>
      <c r="E397" s="1895"/>
      <c r="F397" s="1896"/>
      <c r="G397" s="1897"/>
      <c r="H397" s="90"/>
      <c r="I397" s="90"/>
      <c r="J397" s="90"/>
      <c r="K397" s="90"/>
      <c r="L397" s="1898"/>
      <c r="M397" s="643"/>
      <c r="N397" s="643"/>
      <c r="O397" s="658"/>
      <c r="P397" s="658"/>
      <c r="Q397" s="1899"/>
      <c r="R397" s="430"/>
      <c r="S397" s="430"/>
      <c r="T397" s="430"/>
      <c r="U397" s="430"/>
      <c r="V397" s="430"/>
      <c r="W397" s="90"/>
      <c r="X397" s="90"/>
      <c r="Y397" s="90"/>
    </row>
    <row r="398" spans="1:25" ht="15.75" customHeight="1">
      <c r="A398" s="79"/>
      <c r="C398" s="90"/>
      <c r="D398" s="1894"/>
      <c r="E398" s="1895"/>
      <c r="F398" s="1896"/>
      <c r="G398" s="1897"/>
      <c r="H398" s="90"/>
      <c r="I398" s="90"/>
      <c r="J398" s="90"/>
      <c r="K398" s="90"/>
      <c r="L398" s="1898"/>
      <c r="M398" s="643"/>
      <c r="N398" s="643"/>
      <c r="O398" s="658"/>
      <c r="P398" s="658"/>
      <c r="Q398" s="1899"/>
      <c r="R398" s="430"/>
      <c r="S398" s="430"/>
      <c r="T398" s="430"/>
      <c r="U398" s="430"/>
      <c r="V398" s="430"/>
      <c r="W398" s="90"/>
      <c r="X398" s="90"/>
      <c r="Y398" s="90"/>
    </row>
    <row r="399" spans="1:25" ht="15.75" customHeight="1">
      <c r="A399" s="79"/>
      <c r="C399" s="90"/>
      <c r="D399" s="1894"/>
      <c r="E399" s="1895"/>
      <c r="F399" s="1896"/>
      <c r="G399" s="1897"/>
      <c r="H399" s="90"/>
      <c r="I399" s="90"/>
      <c r="J399" s="90"/>
      <c r="K399" s="90"/>
      <c r="L399" s="1898"/>
      <c r="M399" s="643"/>
      <c r="N399" s="643"/>
      <c r="O399" s="658"/>
      <c r="P399" s="658"/>
      <c r="Q399" s="1899"/>
      <c r="R399" s="430"/>
      <c r="S399" s="430"/>
      <c r="T399" s="430"/>
      <c r="U399" s="430"/>
      <c r="V399" s="430"/>
      <c r="W399" s="90"/>
      <c r="X399" s="90"/>
      <c r="Y399" s="90"/>
    </row>
    <row r="400" spans="1:25" ht="15.75" customHeight="1">
      <c r="A400" s="79"/>
      <c r="C400" s="90"/>
      <c r="D400" s="1894"/>
      <c r="E400" s="1895"/>
      <c r="F400" s="1896"/>
      <c r="G400" s="1897"/>
      <c r="H400" s="90"/>
      <c r="I400" s="90"/>
      <c r="J400" s="90"/>
      <c r="K400" s="90"/>
      <c r="L400" s="1898"/>
      <c r="M400" s="643"/>
      <c r="N400" s="643"/>
      <c r="O400" s="658"/>
      <c r="P400" s="658"/>
      <c r="Q400" s="1899"/>
      <c r="R400" s="430"/>
      <c r="S400" s="430"/>
      <c r="T400" s="430"/>
      <c r="U400" s="430"/>
      <c r="V400" s="430"/>
      <c r="W400" s="90"/>
      <c r="X400" s="90"/>
      <c r="Y400" s="90"/>
    </row>
    <row r="401" spans="1:25" ht="15.75" customHeight="1">
      <c r="A401" s="79"/>
      <c r="C401" s="90"/>
      <c r="D401" s="1894"/>
      <c r="E401" s="1895"/>
      <c r="F401" s="1896"/>
      <c r="G401" s="1897"/>
      <c r="H401" s="90"/>
      <c r="I401" s="90"/>
      <c r="J401" s="90"/>
      <c r="K401" s="90"/>
      <c r="L401" s="1898"/>
      <c r="M401" s="643"/>
      <c r="N401" s="643"/>
      <c r="O401" s="658"/>
      <c r="P401" s="658"/>
      <c r="Q401" s="1899"/>
      <c r="R401" s="430"/>
      <c r="S401" s="430"/>
      <c r="T401" s="430"/>
      <c r="U401" s="430"/>
      <c r="V401" s="430"/>
      <c r="W401" s="90"/>
      <c r="X401" s="90"/>
      <c r="Y401" s="90"/>
    </row>
    <row r="402" spans="1:25" ht="15.75" customHeight="1">
      <c r="A402" s="79"/>
      <c r="C402" s="90"/>
      <c r="D402" s="1894"/>
      <c r="E402" s="1895"/>
      <c r="F402" s="1896"/>
      <c r="G402" s="1897"/>
      <c r="H402" s="90"/>
      <c r="I402" s="90"/>
      <c r="J402" s="90"/>
      <c r="K402" s="90"/>
      <c r="L402" s="1898"/>
      <c r="M402" s="643"/>
      <c r="N402" s="643"/>
      <c r="O402" s="658"/>
      <c r="P402" s="658"/>
      <c r="Q402" s="1899"/>
      <c r="R402" s="430"/>
      <c r="S402" s="430"/>
      <c r="T402" s="430"/>
      <c r="U402" s="430"/>
      <c r="V402" s="430"/>
      <c r="W402" s="90"/>
      <c r="X402" s="90"/>
      <c r="Y402" s="90"/>
    </row>
    <row r="403" spans="1:25" ht="15.75" customHeight="1">
      <c r="A403" s="79"/>
      <c r="C403" s="90"/>
      <c r="D403" s="1894"/>
      <c r="E403" s="1895"/>
      <c r="F403" s="1896"/>
      <c r="G403" s="1897"/>
      <c r="H403" s="90"/>
      <c r="I403" s="90"/>
      <c r="J403" s="90"/>
      <c r="K403" s="90"/>
      <c r="L403" s="1898"/>
      <c r="M403" s="643"/>
      <c r="N403" s="643"/>
      <c r="O403" s="658"/>
      <c r="P403" s="658"/>
      <c r="Q403" s="1899"/>
      <c r="R403" s="430"/>
      <c r="S403" s="430"/>
      <c r="T403" s="430"/>
      <c r="U403" s="430"/>
      <c r="V403" s="430"/>
      <c r="W403" s="90"/>
      <c r="X403" s="90"/>
      <c r="Y403" s="90"/>
    </row>
    <row r="404" spans="1:25" ht="15.75" customHeight="1">
      <c r="A404" s="79"/>
      <c r="C404" s="90"/>
      <c r="D404" s="1894"/>
      <c r="E404" s="1895"/>
      <c r="F404" s="1896"/>
      <c r="G404" s="1897"/>
      <c r="H404" s="90"/>
      <c r="I404" s="90"/>
      <c r="J404" s="90"/>
      <c r="K404" s="90"/>
      <c r="L404" s="1898"/>
      <c r="M404" s="643"/>
      <c r="N404" s="643"/>
      <c r="O404" s="658"/>
      <c r="P404" s="658"/>
      <c r="Q404" s="1899"/>
      <c r="R404" s="430"/>
      <c r="S404" s="430"/>
      <c r="T404" s="430"/>
      <c r="U404" s="430"/>
      <c r="V404" s="430"/>
      <c r="W404" s="90"/>
      <c r="X404" s="90"/>
      <c r="Y404" s="90"/>
    </row>
    <row r="405" spans="1:25" ht="15.75" customHeight="1">
      <c r="A405" s="79"/>
      <c r="C405" s="90"/>
      <c r="D405" s="1894"/>
      <c r="E405" s="1895"/>
      <c r="F405" s="1896"/>
      <c r="G405" s="1897"/>
      <c r="H405" s="90"/>
      <c r="I405" s="90"/>
      <c r="J405" s="90"/>
      <c r="K405" s="90"/>
      <c r="L405" s="1898"/>
      <c r="M405" s="643"/>
      <c r="N405" s="643"/>
      <c r="O405" s="658"/>
      <c r="P405" s="658"/>
      <c r="Q405" s="1899"/>
      <c r="R405" s="430"/>
      <c r="S405" s="430"/>
      <c r="T405" s="430"/>
      <c r="U405" s="430"/>
      <c r="V405" s="430"/>
      <c r="W405" s="90"/>
      <c r="X405" s="90"/>
      <c r="Y405" s="90"/>
    </row>
    <row r="406" spans="1:25" ht="15.75" customHeight="1">
      <c r="A406" s="79"/>
      <c r="C406" s="90"/>
      <c r="D406" s="1894"/>
      <c r="E406" s="1895"/>
      <c r="F406" s="1896"/>
      <c r="G406" s="1897"/>
      <c r="H406" s="90"/>
      <c r="I406" s="90"/>
      <c r="J406" s="90"/>
      <c r="K406" s="90"/>
      <c r="L406" s="1898"/>
      <c r="M406" s="643"/>
      <c r="N406" s="643"/>
      <c r="O406" s="658"/>
      <c r="P406" s="658"/>
      <c r="Q406" s="1899"/>
      <c r="R406" s="430"/>
      <c r="S406" s="430"/>
      <c r="T406" s="430"/>
      <c r="U406" s="430"/>
      <c r="V406" s="430"/>
      <c r="W406" s="90"/>
      <c r="X406" s="90"/>
      <c r="Y406" s="90"/>
    </row>
    <row r="407" spans="1:25" ht="15.75" customHeight="1">
      <c r="A407" s="79"/>
      <c r="C407" s="90"/>
      <c r="D407" s="1894"/>
      <c r="E407" s="1895"/>
      <c r="F407" s="1896"/>
      <c r="G407" s="1897"/>
      <c r="H407" s="90"/>
      <c r="I407" s="90"/>
      <c r="J407" s="90"/>
      <c r="K407" s="90"/>
      <c r="L407" s="1898"/>
      <c r="M407" s="643"/>
      <c r="N407" s="643"/>
      <c r="O407" s="658"/>
      <c r="P407" s="658"/>
      <c r="Q407" s="1899"/>
      <c r="R407" s="430"/>
      <c r="S407" s="430"/>
      <c r="T407" s="430"/>
      <c r="U407" s="430"/>
      <c r="V407" s="430"/>
      <c r="W407" s="90"/>
      <c r="X407" s="90"/>
      <c r="Y407" s="90"/>
    </row>
    <row r="408" spans="1:25" ht="15.75" customHeight="1">
      <c r="A408" s="79"/>
      <c r="C408" s="90"/>
      <c r="D408" s="1894"/>
      <c r="E408" s="1895"/>
      <c r="F408" s="1896"/>
      <c r="G408" s="1897"/>
      <c r="H408" s="90"/>
      <c r="I408" s="90"/>
      <c r="J408" s="90"/>
      <c r="K408" s="90"/>
      <c r="L408" s="1898"/>
      <c r="M408" s="643"/>
      <c r="N408" s="643"/>
      <c r="O408" s="658"/>
      <c r="P408" s="658"/>
      <c r="Q408" s="1899"/>
      <c r="R408" s="430"/>
      <c r="S408" s="430"/>
      <c r="T408" s="430"/>
      <c r="U408" s="430"/>
      <c r="V408" s="430"/>
      <c r="W408" s="90"/>
      <c r="X408" s="90"/>
      <c r="Y408" s="90"/>
    </row>
    <row r="409" spans="1:25" ht="15.75" customHeight="1">
      <c r="A409" s="79"/>
      <c r="C409" s="90"/>
      <c r="D409" s="1894"/>
      <c r="E409" s="1895"/>
      <c r="F409" s="1896"/>
      <c r="G409" s="1897"/>
      <c r="H409" s="90"/>
      <c r="I409" s="90"/>
      <c r="J409" s="90"/>
      <c r="K409" s="90"/>
      <c r="L409" s="1898"/>
      <c r="M409" s="643"/>
      <c r="N409" s="643"/>
      <c r="O409" s="658"/>
      <c r="P409" s="658"/>
      <c r="Q409" s="1899"/>
      <c r="R409" s="430"/>
      <c r="S409" s="430"/>
      <c r="T409" s="430"/>
      <c r="U409" s="430"/>
      <c r="V409" s="430"/>
      <c r="W409" s="90"/>
      <c r="X409" s="90"/>
      <c r="Y409" s="90"/>
    </row>
    <row r="410" spans="1:25" ht="15.75" customHeight="1">
      <c r="A410" s="79"/>
      <c r="C410" s="90"/>
      <c r="D410" s="1894"/>
      <c r="E410" s="1895"/>
      <c r="F410" s="1896"/>
      <c r="G410" s="1897"/>
      <c r="H410" s="90"/>
      <c r="I410" s="90"/>
      <c r="J410" s="90"/>
      <c r="K410" s="90"/>
      <c r="L410" s="1898"/>
      <c r="M410" s="643"/>
      <c r="N410" s="643"/>
      <c r="O410" s="658"/>
      <c r="P410" s="658"/>
      <c r="Q410" s="1899"/>
      <c r="R410" s="430"/>
      <c r="S410" s="430"/>
      <c r="T410" s="430"/>
      <c r="U410" s="430"/>
      <c r="V410" s="430"/>
      <c r="W410" s="90"/>
      <c r="X410" s="90"/>
      <c r="Y410" s="90"/>
    </row>
    <row r="411" spans="1:25" ht="15.75" customHeight="1">
      <c r="A411" s="79"/>
      <c r="C411" s="90"/>
      <c r="D411" s="1894"/>
      <c r="E411" s="1895"/>
      <c r="F411" s="1896"/>
      <c r="G411" s="1897"/>
      <c r="H411" s="90"/>
      <c r="I411" s="90"/>
      <c r="J411" s="90"/>
      <c r="K411" s="90"/>
      <c r="L411" s="1898"/>
      <c r="M411" s="643"/>
      <c r="N411" s="643"/>
      <c r="O411" s="658"/>
      <c r="P411" s="658"/>
      <c r="Q411" s="1899"/>
      <c r="R411" s="430"/>
      <c r="S411" s="430"/>
      <c r="T411" s="430"/>
      <c r="U411" s="430"/>
      <c r="V411" s="430"/>
      <c r="W411" s="90"/>
      <c r="X411" s="90"/>
      <c r="Y411" s="90"/>
    </row>
    <row r="412" spans="1:25" ht="15.75" customHeight="1">
      <c r="A412" s="79"/>
      <c r="C412" s="90"/>
      <c r="D412" s="1894"/>
      <c r="E412" s="1895"/>
      <c r="F412" s="1896"/>
      <c r="G412" s="1897"/>
      <c r="H412" s="90"/>
      <c r="I412" s="90"/>
      <c r="J412" s="90"/>
      <c r="K412" s="90"/>
      <c r="L412" s="1898"/>
      <c r="M412" s="643"/>
      <c r="N412" s="643"/>
      <c r="O412" s="658"/>
      <c r="P412" s="658"/>
      <c r="Q412" s="1899"/>
      <c r="R412" s="430"/>
      <c r="S412" s="430"/>
      <c r="T412" s="430"/>
      <c r="U412" s="430"/>
      <c r="V412" s="430"/>
      <c r="W412" s="90"/>
      <c r="X412" s="90"/>
      <c r="Y412" s="90"/>
    </row>
    <row r="413" spans="1:25" ht="15.75" customHeight="1">
      <c r="A413" s="79"/>
      <c r="C413" s="90"/>
      <c r="D413" s="1894"/>
      <c r="E413" s="1895"/>
      <c r="F413" s="1896"/>
      <c r="G413" s="1897"/>
      <c r="H413" s="90"/>
      <c r="I413" s="90"/>
      <c r="J413" s="90"/>
      <c r="K413" s="90"/>
      <c r="L413" s="1898"/>
      <c r="M413" s="643"/>
      <c r="N413" s="643"/>
      <c r="O413" s="658"/>
      <c r="P413" s="658"/>
      <c r="Q413" s="1899"/>
      <c r="R413" s="430"/>
      <c r="S413" s="430"/>
      <c r="T413" s="430"/>
      <c r="U413" s="430"/>
      <c r="V413" s="430"/>
      <c r="W413" s="90"/>
      <c r="X413" s="90"/>
      <c r="Y413" s="90"/>
    </row>
    <row r="414" spans="1:25" ht="15.75" customHeight="1">
      <c r="A414" s="79"/>
      <c r="C414" s="90"/>
      <c r="D414" s="1894"/>
      <c r="E414" s="1895"/>
      <c r="F414" s="1896"/>
      <c r="G414" s="1897"/>
      <c r="H414" s="90"/>
      <c r="I414" s="90"/>
      <c r="J414" s="90"/>
      <c r="K414" s="90"/>
      <c r="L414" s="1898"/>
      <c r="M414" s="643"/>
      <c r="N414" s="643"/>
      <c r="O414" s="658"/>
      <c r="P414" s="658"/>
      <c r="Q414" s="1899"/>
      <c r="R414" s="430"/>
      <c r="S414" s="430"/>
      <c r="T414" s="430"/>
      <c r="U414" s="430"/>
      <c r="V414" s="430"/>
      <c r="W414" s="90"/>
      <c r="X414" s="90"/>
      <c r="Y414" s="90"/>
    </row>
    <row r="415" spans="1:25" ht="15.75" customHeight="1">
      <c r="A415" s="79"/>
      <c r="C415" s="90"/>
      <c r="D415" s="1894"/>
      <c r="E415" s="1895"/>
      <c r="F415" s="1896"/>
      <c r="G415" s="1897"/>
      <c r="H415" s="90"/>
      <c r="I415" s="90"/>
      <c r="J415" s="90"/>
      <c r="K415" s="90"/>
      <c r="L415" s="1898"/>
      <c r="M415" s="643"/>
      <c r="N415" s="643"/>
      <c r="O415" s="658"/>
      <c r="P415" s="658"/>
      <c r="Q415" s="1899"/>
      <c r="R415" s="430"/>
      <c r="S415" s="430"/>
      <c r="T415" s="430"/>
      <c r="U415" s="430"/>
      <c r="V415" s="430"/>
      <c r="W415" s="90"/>
      <c r="X415" s="90"/>
      <c r="Y415" s="90"/>
    </row>
    <row r="416" spans="1:25" ht="15.75" customHeight="1">
      <c r="A416" s="79"/>
      <c r="C416" s="90"/>
      <c r="D416" s="1894"/>
      <c r="E416" s="1895"/>
      <c r="F416" s="1896"/>
      <c r="G416" s="1897"/>
      <c r="H416" s="90"/>
      <c r="I416" s="90"/>
      <c r="J416" s="90"/>
      <c r="K416" s="90"/>
      <c r="L416" s="1898"/>
      <c r="M416" s="643"/>
      <c r="N416" s="643"/>
      <c r="O416" s="658"/>
      <c r="P416" s="658"/>
      <c r="Q416" s="1899"/>
      <c r="R416" s="430"/>
      <c r="S416" s="430"/>
      <c r="T416" s="430"/>
      <c r="U416" s="430"/>
      <c r="V416" s="430"/>
      <c r="W416" s="90"/>
      <c r="X416" s="90"/>
      <c r="Y416" s="90"/>
    </row>
    <row r="417" spans="1:25" ht="15.75" customHeight="1">
      <c r="A417" s="79"/>
      <c r="C417" s="90"/>
      <c r="D417" s="1894"/>
      <c r="E417" s="1895"/>
      <c r="F417" s="1896"/>
      <c r="G417" s="1897"/>
      <c r="H417" s="90"/>
      <c r="I417" s="90"/>
      <c r="J417" s="90"/>
      <c r="K417" s="90"/>
      <c r="L417" s="1898"/>
      <c r="M417" s="643"/>
      <c r="N417" s="643"/>
      <c r="O417" s="658"/>
      <c r="P417" s="658"/>
      <c r="Q417" s="1899"/>
      <c r="R417" s="430"/>
      <c r="S417" s="430"/>
      <c r="T417" s="430"/>
      <c r="U417" s="430"/>
      <c r="V417" s="430"/>
      <c r="W417" s="90"/>
      <c r="X417" s="90"/>
      <c r="Y417" s="90"/>
    </row>
    <row r="418" spans="1:25" ht="15.75" customHeight="1">
      <c r="A418" s="79"/>
      <c r="C418" s="90"/>
      <c r="D418" s="1894"/>
      <c r="E418" s="1895"/>
      <c r="F418" s="1896"/>
      <c r="G418" s="1897"/>
      <c r="H418" s="90"/>
      <c r="I418" s="90"/>
      <c r="J418" s="90"/>
      <c r="K418" s="90"/>
      <c r="L418" s="1898"/>
      <c r="M418" s="643"/>
      <c r="N418" s="643"/>
      <c r="O418" s="658"/>
      <c r="P418" s="658"/>
      <c r="Q418" s="1899"/>
      <c r="R418" s="430"/>
      <c r="S418" s="430"/>
      <c r="T418" s="430"/>
      <c r="U418" s="430"/>
      <c r="V418" s="430"/>
      <c r="W418" s="90"/>
      <c r="X418" s="90"/>
      <c r="Y418" s="90"/>
    </row>
    <row r="419" spans="1:25" ht="15.75" customHeight="1">
      <c r="A419" s="79"/>
      <c r="C419" s="90"/>
      <c r="D419" s="1894"/>
      <c r="E419" s="1895"/>
      <c r="F419" s="1896"/>
      <c r="G419" s="1897"/>
      <c r="H419" s="90"/>
      <c r="I419" s="90"/>
      <c r="J419" s="90"/>
      <c r="K419" s="90"/>
      <c r="L419" s="1898"/>
      <c r="M419" s="643"/>
      <c r="N419" s="643"/>
      <c r="O419" s="658"/>
      <c r="P419" s="658"/>
      <c r="Q419" s="1899"/>
      <c r="R419" s="430"/>
      <c r="S419" s="430"/>
      <c r="T419" s="430"/>
      <c r="U419" s="430"/>
      <c r="V419" s="430"/>
      <c r="W419" s="90"/>
      <c r="X419" s="90"/>
      <c r="Y419" s="90"/>
    </row>
    <row r="420" spans="1:25" ht="15.75" customHeight="1">
      <c r="A420" s="79"/>
      <c r="C420" s="90"/>
      <c r="D420" s="1894"/>
      <c r="E420" s="1895"/>
      <c r="F420" s="1896"/>
      <c r="G420" s="1897"/>
      <c r="H420" s="90"/>
      <c r="I420" s="90"/>
      <c r="J420" s="90"/>
      <c r="K420" s="90"/>
      <c r="L420" s="1898"/>
      <c r="M420" s="643"/>
      <c r="N420" s="643"/>
      <c r="O420" s="658"/>
      <c r="P420" s="658"/>
      <c r="Q420" s="1899"/>
      <c r="R420" s="430"/>
      <c r="S420" s="430"/>
      <c r="T420" s="430"/>
      <c r="U420" s="430"/>
      <c r="V420" s="430"/>
      <c r="W420" s="90"/>
      <c r="X420" s="90"/>
      <c r="Y420" s="90"/>
    </row>
    <row r="421" spans="1:25" ht="15.75" customHeight="1">
      <c r="A421" s="79"/>
      <c r="C421" s="90"/>
      <c r="D421" s="1894"/>
      <c r="E421" s="1895"/>
      <c r="F421" s="1896"/>
      <c r="G421" s="1897"/>
      <c r="H421" s="90"/>
      <c r="I421" s="90"/>
      <c r="J421" s="90"/>
      <c r="K421" s="90"/>
      <c r="L421" s="1898"/>
      <c r="M421" s="643"/>
      <c r="N421" s="643"/>
      <c r="O421" s="658"/>
      <c r="P421" s="658"/>
      <c r="Q421" s="1899"/>
      <c r="R421" s="430"/>
      <c r="S421" s="430"/>
      <c r="T421" s="430"/>
      <c r="U421" s="430"/>
      <c r="V421" s="430"/>
      <c r="W421" s="90"/>
      <c r="X421" s="90"/>
      <c r="Y421" s="90"/>
    </row>
    <row r="422" spans="1:25" ht="15.75" customHeight="1">
      <c r="A422" s="79"/>
      <c r="C422" s="90"/>
      <c r="D422" s="1894"/>
      <c r="E422" s="1895"/>
      <c r="F422" s="1896"/>
      <c r="G422" s="1897"/>
      <c r="H422" s="90"/>
      <c r="I422" s="90"/>
      <c r="J422" s="90"/>
      <c r="K422" s="90"/>
      <c r="L422" s="1898"/>
      <c r="M422" s="643"/>
      <c r="N422" s="643"/>
      <c r="O422" s="658"/>
      <c r="P422" s="658"/>
      <c r="Q422" s="1899"/>
      <c r="R422" s="430"/>
      <c r="S422" s="430"/>
      <c r="T422" s="430"/>
      <c r="U422" s="430"/>
      <c r="V422" s="430"/>
      <c r="W422" s="90"/>
      <c r="X422" s="90"/>
      <c r="Y422" s="90"/>
    </row>
    <row r="423" spans="1:25" ht="15.75" customHeight="1">
      <c r="A423" s="79"/>
      <c r="C423" s="90"/>
      <c r="D423" s="1894"/>
      <c r="E423" s="1895"/>
      <c r="F423" s="1896"/>
      <c r="G423" s="1897"/>
      <c r="H423" s="90"/>
      <c r="I423" s="90"/>
      <c r="J423" s="90"/>
      <c r="K423" s="90"/>
      <c r="L423" s="1898"/>
      <c r="M423" s="643"/>
      <c r="N423" s="643"/>
      <c r="O423" s="658"/>
      <c r="P423" s="658"/>
      <c r="Q423" s="1899"/>
      <c r="R423" s="430"/>
      <c r="S423" s="430"/>
      <c r="T423" s="430"/>
      <c r="U423" s="430"/>
      <c r="V423" s="430"/>
      <c r="W423" s="90"/>
      <c r="X423" s="90"/>
      <c r="Y423" s="90"/>
    </row>
    <row r="424" spans="1:25" ht="15.75" customHeight="1">
      <c r="A424" s="79"/>
      <c r="C424" s="90"/>
      <c r="D424" s="1894"/>
      <c r="E424" s="1895"/>
      <c r="F424" s="1896"/>
      <c r="G424" s="1897"/>
      <c r="H424" s="90"/>
      <c r="I424" s="90"/>
      <c r="J424" s="90"/>
      <c r="K424" s="90"/>
      <c r="L424" s="1898"/>
      <c r="M424" s="643"/>
      <c r="N424" s="643"/>
      <c r="O424" s="658"/>
      <c r="P424" s="658"/>
      <c r="Q424" s="1899"/>
      <c r="R424" s="430"/>
      <c r="S424" s="430"/>
      <c r="T424" s="430"/>
      <c r="U424" s="430"/>
      <c r="V424" s="430"/>
      <c r="W424" s="90"/>
      <c r="X424" s="90"/>
      <c r="Y424" s="90"/>
    </row>
    <row r="425" spans="1:25" ht="15.75" customHeight="1">
      <c r="A425" s="79"/>
      <c r="C425" s="90"/>
      <c r="D425" s="1894"/>
      <c r="E425" s="1895"/>
      <c r="F425" s="1896"/>
      <c r="G425" s="1897"/>
      <c r="H425" s="90"/>
      <c r="I425" s="90"/>
      <c r="J425" s="90"/>
      <c r="K425" s="90"/>
      <c r="L425" s="1898"/>
      <c r="M425" s="643"/>
      <c r="N425" s="643"/>
      <c r="O425" s="658"/>
      <c r="P425" s="658"/>
      <c r="Q425" s="1899"/>
      <c r="R425" s="430"/>
      <c r="S425" s="430"/>
      <c r="T425" s="430"/>
      <c r="U425" s="430"/>
      <c r="V425" s="430"/>
      <c r="W425" s="90"/>
      <c r="X425" s="90"/>
      <c r="Y425" s="90"/>
    </row>
    <row r="426" spans="1:25" ht="15.75" customHeight="1">
      <c r="A426" s="79"/>
      <c r="C426" s="90"/>
      <c r="D426" s="1894"/>
      <c r="E426" s="1895"/>
      <c r="F426" s="1896"/>
      <c r="G426" s="1897"/>
      <c r="H426" s="90"/>
      <c r="I426" s="90"/>
      <c r="J426" s="90"/>
      <c r="K426" s="90"/>
      <c r="L426" s="1898"/>
      <c r="M426" s="643"/>
      <c r="N426" s="643"/>
      <c r="O426" s="658"/>
      <c r="P426" s="658"/>
      <c r="Q426" s="1899"/>
      <c r="R426" s="430"/>
      <c r="S426" s="430"/>
      <c r="T426" s="430"/>
      <c r="U426" s="430"/>
      <c r="V426" s="430"/>
      <c r="W426" s="90"/>
      <c r="X426" s="90"/>
      <c r="Y426" s="90"/>
    </row>
    <row r="427" spans="1:25" ht="15.75" customHeight="1">
      <c r="A427" s="79"/>
      <c r="C427" s="90"/>
      <c r="D427" s="1894"/>
      <c r="E427" s="1895"/>
      <c r="F427" s="1896"/>
      <c r="G427" s="1897"/>
      <c r="H427" s="90"/>
      <c r="I427" s="90"/>
      <c r="J427" s="90"/>
      <c r="K427" s="90"/>
      <c r="L427" s="1898"/>
      <c r="M427" s="643"/>
      <c r="N427" s="643"/>
      <c r="O427" s="658"/>
      <c r="P427" s="658"/>
      <c r="Q427" s="1899"/>
      <c r="R427" s="430"/>
      <c r="S427" s="430"/>
      <c r="T427" s="430"/>
      <c r="U427" s="430"/>
      <c r="V427" s="430"/>
      <c r="W427" s="90"/>
      <c r="X427" s="90"/>
      <c r="Y427" s="90"/>
    </row>
    <row r="428" spans="1:25" ht="15.75" customHeight="1">
      <c r="A428" s="79"/>
      <c r="C428" s="90"/>
      <c r="D428" s="1894"/>
      <c r="E428" s="1895"/>
      <c r="F428" s="1896"/>
      <c r="G428" s="1897"/>
      <c r="H428" s="90"/>
      <c r="I428" s="90"/>
      <c r="J428" s="90"/>
      <c r="K428" s="90"/>
      <c r="L428" s="1898"/>
      <c r="M428" s="643"/>
      <c r="N428" s="643"/>
      <c r="O428" s="658"/>
      <c r="P428" s="658"/>
      <c r="Q428" s="1899"/>
      <c r="R428" s="430"/>
      <c r="S428" s="430"/>
      <c r="T428" s="430"/>
      <c r="U428" s="430"/>
      <c r="V428" s="430"/>
      <c r="W428" s="90"/>
      <c r="X428" s="90"/>
      <c r="Y428" s="90"/>
    </row>
    <row r="429" spans="1:25" ht="15.75" customHeight="1">
      <c r="A429" s="79"/>
      <c r="C429" s="90"/>
      <c r="D429" s="1894"/>
      <c r="E429" s="1895"/>
      <c r="F429" s="1896"/>
      <c r="G429" s="1897"/>
      <c r="H429" s="90"/>
      <c r="I429" s="90"/>
      <c r="J429" s="90"/>
      <c r="K429" s="90"/>
      <c r="L429" s="1898"/>
      <c r="M429" s="643"/>
      <c r="N429" s="643"/>
      <c r="O429" s="658"/>
      <c r="P429" s="658"/>
      <c r="Q429" s="1899"/>
      <c r="R429" s="430"/>
      <c r="S429" s="430"/>
      <c r="T429" s="430"/>
      <c r="U429" s="430"/>
      <c r="V429" s="430"/>
      <c r="W429" s="90"/>
      <c r="X429" s="90"/>
      <c r="Y429" s="90"/>
    </row>
    <row r="430" spans="1:25" ht="15.75" customHeight="1">
      <c r="A430" s="79"/>
      <c r="C430" s="90"/>
      <c r="D430" s="1894"/>
      <c r="E430" s="1895"/>
      <c r="F430" s="1896"/>
      <c r="G430" s="1897"/>
      <c r="H430" s="90"/>
      <c r="I430" s="90"/>
      <c r="J430" s="90"/>
      <c r="K430" s="90"/>
      <c r="L430" s="1898"/>
      <c r="M430" s="643"/>
      <c r="N430" s="643"/>
      <c r="O430" s="658"/>
      <c r="P430" s="658"/>
      <c r="Q430" s="1899"/>
      <c r="R430" s="430"/>
      <c r="S430" s="430"/>
      <c r="T430" s="430"/>
      <c r="U430" s="430"/>
      <c r="V430" s="430"/>
      <c r="W430" s="90"/>
      <c r="X430" s="90"/>
      <c r="Y430" s="90"/>
    </row>
    <row r="431" spans="1:25" ht="15.75" customHeight="1">
      <c r="A431" s="79"/>
      <c r="C431" s="90"/>
      <c r="D431" s="1894"/>
      <c r="E431" s="1895"/>
      <c r="F431" s="1896"/>
      <c r="G431" s="1897"/>
      <c r="H431" s="90"/>
      <c r="I431" s="90"/>
      <c r="J431" s="90"/>
      <c r="K431" s="90"/>
      <c r="L431" s="1898"/>
      <c r="M431" s="643"/>
      <c r="N431" s="643"/>
      <c r="O431" s="658"/>
      <c r="P431" s="658"/>
      <c r="Q431" s="1899"/>
      <c r="R431" s="430"/>
      <c r="S431" s="430"/>
      <c r="T431" s="430"/>
      <c r="U431" s="430"/>
      <c r="V431" s="430"/>
      <c r="W431" s="90"/>
      <c r="X431" s="90"/>
      <c r="Y431" s="90"/>
    </row>
    <row r="432" spans="1:25" ht="15.75" customHeight="1">
      <c r="A432" s="79"/>
      <c r="C432" s="90"/>
      <c r="D432" s="1894"/>
      <c r="E432" s="1895"/>
      <c r="F432" s="1896"/>
      <c r="G432" s="1897"/>
      <c r="H432" s="90"/>
      <c r="I432" s="90"/>
      <c r="J432" s="90"/>
      <c r="K432" s="90"/>
      <c r="L432" s="1898"/>
      <c r="M432" s="643"/>
      <c r="N432" s="643"/>
      <c r="O432" s="658"/>
      <c r="P432" s="658"/>
      <c r="Q432" s="1899"/>
      <c r="R432" s="430"/>
      <c r="S432" s="430"/>
      <c r="T432" s="430"/>
      <c r="U432" s="430"/>
      <c r="V432" s="430"/>
      <c r="W432" s="90"/>
      <c r="X432" s="90"/>
      <c r="Y432" s="90"/>
    </row>
    <row r="433" spans="1:25" ht="15.75" customHeight="1">
      <c r="A433" s="79"/>
      <c r="C433" s="90"/>
      <c r="D433" s="1894"/>
      <c r="E433" s="1895"/>
      <c r="F433" s="1896"/>
      <c r="G433" s="1897"/>
      <c r="H433" s="90"/>
      <c r="I433" s="90"/>
      <c r="J433" s="90"/>
      <c r="K433" s="90"/>
      <c r="L433" s="1898"/>
      <c r="M433" s="643"/>
      <c r="N433" s="643"/>
      <c r="O433" s="658"/>
      <c r="P433" s="658"/>
      <c r="Q433" s="1899"/>
      <c r="R433" s="430"/>
      <c r="S433" s="430"/>
      <c r="T433" s="430"/>
      <c r="U433" s="430"/>
      <c r="V433" s="430"/>
      <c r="W433" s="90"/>
      <c r="X433" s="90"/>
      <c r="Y433" s="90"/>
    </row>
    <row r="434" spans="1:25" ht="15.75" customHeight="1">
      <c r="A434" s="79"/>
      <c r="C434" s="90"/>
      <c r="D434" s="1894"/>
      <c r="E434" s="1895"/>
      <c r="F434" s="1896"/>
      <c r="G434" s="1897"/>
      <c r="H434" s="90"/>
      <c r="I434" s="90"/>
      <c r="J434" s="90"/>
      <c r="K434" s="90"/>
      <c r="L434" s="1898"/>
      <c r="M434" s="643"/>
      <c r="N434" s="643"/>
      <c r="O434" s="658"/>
      <c r="P434" s="658"/>
      <c r="Q434" s="1899"/>
      <c r="R434" s="430"/>
      <c r="S434" s="430"/>
      <c r="T434" s="430"/>
      <c r="U434" s="430"/>
      <c r="V434" s="430"/>
      <c r="W434" s="90"/>
      <c r="X434" s="90"/>
      <c r="Y434" s="90"/>
    </row>
    <row r="435" spans="1:25" ht="15.75" customHeight="1">
      <c r="A435" s="79"/>
      <c r="C435" s="90"/>
      <c r="D435" s="1894"/>
      <c r="E435" s="1895"/>
      <c r="F435" s="1896"/>
      <c r="G435" s="1897"/>
      <c r="H435" s="90"/>
      <c r="I435" s="90"/>
      <c r="J435" s="90"/>
      <c r="K435" s="90"/>
      <c r="L435" s="1898"/>
      <c r="M435" s="643"/>
      <c r="N435" s="643"/>
      <c r="O435" s="658"/>
      <c r="P435" s="658"/>
      <c r="Q435" s="1899"/>
      <c r="R435" s="430"/>
      <c r="S435" s="430"/>
      <c r="T435" s="430"/>
      <c r="U435" s="430"/>
      <c r="V435" s="430"/>
      <c r="W435" s="90"/>
      <c r="X435" s="90"/>
      <c r="Y435" s="90"/>
    </row>
    <row r="436" spans="1:25" ht="15.75" customHeight="1">
      <c r="A436" s="79"/>
      <c r="C436" s="90"/>
      <c r="D436" s="1894"/>
      <c r="E436" s="1895"/>
      <c r="F436" s="1896"/>
      <c r="G436" s="1897"/>
      <c r="H436" s="90"/>
      <c r="I436" s="90"/>
      <c r="J436" s="90"/>
      <c r="K436" s="90"/>
      <c r="L436" s="1898"/>
      <c r="M436" s="643"/>
      <c r="N436" s="643"/>
      <c r="O436" s="658"/>
      <c r="P436" s="658"/>
      <c r="Q436" s="1899"/>
      <c r="R436" s="430"/>
      <c r="S436" s="430"/>
      <c r="T436" s="430"/>
      <c r="U436" s="430"/>
      <c r="V436" s="430"/>
      <c r="W436" s="90"/>
      <c r="X436" s="90"/>
      <c r="Y436" s="90"/>
    </row>
    <row r="437" spans="1:25" ht="15.75" customHeight="1">
      <c r="A437" s="79"/>
      <c r="C437" s="90"/>
      <c r="D437" s="1894"/>
      <c r="E437" s="1895"/>
      <c r="F437" s="1896"/>
      <c r="G437" s="1897"/>
      <c r="H437" s="90"/>
      <c r="I437" s="90"/>
      <c r="J437" s="90"/>
      <c r="K437" s="90"/>
      <c r="L437" s="1898"/>
      <c r="M437" s="643"/>
      <c r="N437" s="643"/>
      <c r="O437" s="658"/>
      <c r="P437" s="658"/>
      <c r="Q437" s="1899"/>
      <c r="R437" s="430"/>
      <c r="S437" s="430"/>
      <c r="T437" s="430"/>
      <c r="U437" s="430"/>
      <c r="V437" s="430"/>
      <c r="W437" s="90"/>
      <c r="X437" s="90"/>
      <c r="Y437" s="90"/>
    </row>
    <row r="438" spans="1:25" ht="15.75" customHeight="1">
      <c r="A438" s="79"/>
      <c r="C438" s="90"/>
      <c r="D438" s="1894"/>
      <c r="E438" s="1895"/>
      <c r="F438" s="1896"/>
      <c r="G438" s="1897"/>
      <c r="H438" s="90"/>
      <c r="I438" s="90"/>
      <c r="J438" s="90"/>
      <c r="K438" s="90"/>
      <c r="L438" s="1898"/>
      <c r="M438" s="643"/>
      <c r="N438" s="643"/>
      <c r="O438" s="658"/>
      <c r="P438" s="658"/>
      <c r="Q438" s="1899"/>
      <c r="R438" s="430"/>
      <c r="S438" s="430"/>
      <c r="T438" s="430"/>
      <c r="U438" s="430"/>
      <c r="V438" s="430"/>
      <c r="W438" s="90"/>
      <c r="X438" s="90"/>
      <c r="Y438" s="90"/>
    </row>
    <row r="439" spans="1:25" ht="15.75" customHeight="1">
      <c r="A439" s="79"/>
      <c r="C439" s="90"/>
      <c r="D439" s="1894"/>
      <c r="E439" s="1895"/>
      <c r="F439" s="1896"/>
      <c r="G439" s="1897"/>
      <c r="H439" s="90"/>
      <c r="I439" s="90"/>
      <c r="J439" s="90"/>
      <c r="K439" s="90"/>
      <c r="L439" s="1898"/>
      <c r="M439" s="643"/>
      <c r="N439" s="643"/>
      <c r="O439" s="658"/>
      <c r="P439" s="658"/>
      <c r="Q439" s="1899"/>
      <c r="R439" s="430"/>
      <c r="S439" s="430"/>
      <c r="T439" s="430"/>
      <c r="U439" s="430"/>
      <c r="V439" s="430"/>
      <c r="W439" s="90"/>
      <c r="X439" s="90"/>
      <c r="Y439" s="90"/>
    </row>
    <row r="440" spans="1:25" ht="15.75" customHeight="1">
      <c r="A440" s="79"/>
      <c r="C440" s="90"/>
      <c r="D440" s="1894"/>
      <c r="E440" s="1895"/>
      <c r="F440" s="1896"/>
      <c r="G440" s="1897"/>
      <c r="H440" s="90"/>
      <c r="I440" s="90"/>
      <c r="J440" s="90"/>
      <c r="K440" s="90"/>
      <c r="L440" s="1898"/>
      <c r="M440" s="643"/>
      <c r="N440" s="643"/>
      <c r="O440" s="658"/>
      <c r="P440" s="658"/>
      <c r="Q440" s="1899"/>
      <c r="R440" s="430"/>
      <c r="S440" s="430"/>
      <c r="T440" s="430"/>
      <c r="U440" s="430"/>
      <c r="V440" s="430"/>
      <c r="W440" s="90"/>
      <c r="X440" s="90"/>
      <c r="Y440" s="90"/>
    </row>
    <row r="441" spans="1:25" ht="15.75" customHeight="1">
      <c r="A441" s="79"/>
      <c r="C441" s="90"/>
      <c r="D441" s="1894"/>
      <c r="E441" s="1895"/>
      <c r="F441" s="1896"/>
      <c r="G441" s="1897"/>
      <c r="H441" s="90"/>
      <c r="I441" s="90"/>
      <c r="J441" s="90"/>
      <c r="K441" s="90"/>
      <c r="L441" s="1898"/>
      <c r="M441" s="643"/>
      <c r="N441" s="643"/>
      <c r="O441" s="658"/>
      <c r="P441" s="658"/>
      <c r="Q441" s="1899"/>
      <c r="R441" s="430"/>
      <c r="S441" s="430"/>
      <c r="T441" s="430"/>
      <c r="U441" s="430"/>
      <c r="V441" s="430"/>
      <c r="W441" s="90"/>
      <c r="X441" s="90"/>
      <c r="Y441" s="90"/>
    </row>
    <row r="442" spans="1:25" ht="15.75" customHeight="1">
      <c r="A442" s="79"/>
      <c r="C442" s="90"/>
      <c r="D442" s="1894"/>
      <c r="E442" s="1895"/>
      <c r="F442" s="1896"/>
      <c r="G442" s="1897"/>
      <c r="H442" s="90"/>
      <c r="I442" s="90"/>
      <c r="J442" s="90"/>
      <c r="K442" s="90"/>
      <c r="L442" s="1898"/>
      <c r="M442" s="643"/>
      <c r="N442" s="643"/>
      <c r="O442" s="658"/>
      <c r="P442" s="658"/>
      <c r="Q442" s="1899"/>
      <c r="R442" s="430"/>
      <c r="S442" s="430"/>
      <c r="T442" s="430"/>
      <c r="U442" s="430"/>
      <c r="V442" s="430"/>
      <c r="W442" s="90"/>
      <c r="X442" s="90"/>
      <c r="Y442" s="90"/>
    </row>
    <row r="443" spans="1:25" ht="15.75" customHeight="1">
      <c r="A443" s="79"/>
      <c r="C443" s="90"/>
      <c r="D443" s="1894"/>
      <c r="E443" s="1895"/>
      <c r="F443" s="1896"/>
      <c r="G443" s="1897"/>
      <c r="H443" s="90"/>
      <c r="I443" s="90"/>
      <c r="J443" s="90"/>
      <c r="K443" s="90"/>
      <c r="L443" s="1898"/>
      <c r="M443" s="643"/>
      <c r="N443" s="643"/>
      <c r="O443" s="658"/>
      <c r="P443" s="658"/>
      <c r="Q443" s="1899"/>
      <c r="R443" s="430"/>
      <c r="S443" s="430"/>
      <c r="T443" s="430"/>
      <c r="U443" s="430"/>
      <c r="V443" s="430"/>
      <c r="W443" s="90"/>
      <c r="X443" s="90"/>
      <c r="Y443" s="90"/>
    </row>
    <row r="444" spans="1:25" ht="15.75" customHeight="1">
      <c r="A444" s="79"/>
      <c r="C444" s="90"/>
      <c r="D444" s="1894"/>
      <c r="E444" s="1895"/>
      <c r="F444" s="1896"/>
      <c r="G444" s="1897"/>
      <c r="H444" s="90"/>
      <c r="I444" s="90"/>
      <c r="J444" s="90"/>
      <c r="K444" s="90"/>
      <c r="L444" s="1898"/>
      <c r="M444" s="643"/>
      <c r="N444" s="643"/>
      <c r="O444" s="658"/>
      <c r="P444" s="658"/>
      <c r="Q444" s="1899"/>
      <c r="R444" s="430"/>
      <c r="S444" s="430"/>
      <c r="T444" s="430"/>
      <c r="U444" s="430"/>
      <c r="V444" s="430"/>
      <c r="W444" s="90"/>
      <c r="X444" s="90"/>
      <c r="Y444" s="90"/>
    </row>
    <row r="445" spans="1:25" ht="15.75" customHeight="1">
      <c r="A445" s="79"/>
      <c r="C445" s="90"/>
      <c r="D445" s="1894"/>
      <c r="E445" s="1895"/>
      <c r="F445" s="1896"/>
      <c r="G445" s="1897"/>
      <c r="H445" s="90"/>
      <c r="I445" s="90"/>
      <c r="J445" s="90"/>
      <c r="K445" s="90"/>
      <c r="L445" s="1898"/>
      <c r="M445" s="643"/>
      <c r="N445" s="643"/>
      <c r="O445" s="658"/>
      <c r="P445" s="658"/>
      <c r="Q445" s="1899"/>
      <c r="R445" s="430"/>
      <c r="S445" s="430"/>
      <c r="T445" s="430"/>
      <c r="U445" s="430"/>
      <c r="V445" s="430"/>
      <c r="W445" s="90"/>
      <c r="X445" s="90"/>
      <c r="Y445" s="90"/>
    </row>
    <row r="446" spans="1:25" ht="15.75" customHeight="1">
      <c r="A446" s="79"/>
      <c r="C446" s="90"/>
      <c r="D446" s="1894"/>
      <c r="E446" s="1895"/>
      <c r="F446" s="1896"/>
      <c r="G446" s="1897"/>
      <c r="H446" s="90"/>
      <c r="I446" s="90"/>
      <c r="J446" s="90"/>
      <c r="K446" s="90"/>
      <c r="L446" s="1898"/>
      <c r="M446" s="643"/>
      <c r="N446" s="643"/>
      <c r="O446" s="658"/>
      <c r="P446" s="658"/>
      <c r="Q446" s="1899"/>
      <c r="R446" s="430"/>
      <c r="S446" s="430"/>
      <c r="T446" s="430"/>
      <c r="U446" s="430"/>
      <c r="V446" s="430"/>
      <c r="W446" s="90"/>
      <c r="X446" s="90"/>
      <c r="Y446" s="90"/>
    </row>
    <row r="447" spans="1:25" ht="15.75" customHeight="1">
      <c r="A447" s="79"/>
      <c r="C447" s="90"/>
      <c r="D447" s="1894"/>
      <c r="E447" s="1895"/>
      <c r="F447" s="1896"/>
      <c r="G447" s="1897"/>
      <c r="H447" s="90"/>
      <c r="I447" s="90"/>
      <c r="J447" s="90"/>
      <c r="K447" s="90"/>
      <c r="L447" s="1898"/>
      <c r="M447" s="643"/>
      <c r="N447" s="643"/>
      <c r="O447" s="658"/>
      <c r="P447" s="658"/>
      <c r="Q447" s="1899"/>
      <c r="R447" s="430"/>
      <c r="S447" s="430"/>
      <c r="T447" s="430"/>
      <c r="U447" s="430"/>
      <c r="V447" s="430"/>
      <c r="W447" s="90"/>
      <c r="X447" s="90"/>
      <c r="Y447" s="90"/>
    </row>
    <row r="448" spans="1:25" ht="15.75" customHeight="1">
      <c r="A448" s="79"/>
      <c r="C448" s="90"/>
      <c r="D448" s="1894"/>
      <c r="E448" s="1895"/>
      <c r="F448" s="1896"/>
      <c r="G448" s="1897"/>
      <c r="H448" s="90"/>
      <c r="I448" s="90"/>
      <c r="J448" s="90"/>
      <c r="K448" s="90"/>
      <c r="L448" s="1898"/>
      <c r="M448" s="643"/>
      <c r="N448" s="643"/>
      <c r="O448" s="658"/>
      <c r="P448" s="658"/>
      <c r="Q448" s="1899"/>
      <c r="R448" s="430"/>
      <c r="S448" s="430"/>
      <c r="T448" s="430"/>
      <c r="U448" s="430"/>
      <c r="V448" s="430"/>
      <c r="W448" s="90"/>
      <c r="X448" s="90"/>
      <c r="Y448" s="90"/>
    </row>
    <row r="449" spans="1:25" ht="15.75" customHeight="1">
      <c r="A449" s="79"/>
      <c r="C449" s="90"/>
      <c r="D449" s="1894"/>
      <c r="E449" s="1895"/>
      <c r="F449" s="1896"/>
      <c r="G449" s="1897"/>
      <c r="H449" s="90"/>
      <c r="I449" s="90"/>
      <c r="J449" s="90"/>
      <c r="K449" s="90"/>
      <c r="L449" s="1898"/>
      <c r="M449" s="643"/>
      <c r="N449" s="643"/>
      <c r="O449" s="658"/>
      <c r="P449" s="658"/>
      <c r="Q449" s="1899"/>
      <c r="R449" s="430"/>
      <c r="S449" s="430"/>
      <c r="T449" s="430"/>
      <c r="U449" s="430"/>
      <c r="V449" s="430"/>
      <c r="W449" s="90"/>
      <c r="X449" s="90"/>
      <c r="Y449" s="90"/>
    </row>
    <row r="450" spans="1:25" ht="15.75" customHeight="1">
      <c r="A450" s="79"/>
      <c r="C450" s="90"/>
      <c r="D450" s="1894"/>
      <c r="E450" s="1895"/>
      <c r="F450" s="1896"/>
      <c r="G450" s="1897"/>
      <c r="H450" s="90"/>
      <c r="I450" s="90"/>
      <c r="J450" s="90"/>
      <c r="K450" s="90"/>
      <c r="L450" s="1898"/>
      <c r="M450" s="643"/>
      <c r="N450" s="643"/>
      <c r="O450" s="658"/>
      <c r="P450" s="658"/>
      <c r="Q450" s="1899"/>
      <c r="R450" s="430"/>
      <c r="S450" s="430"/>
      <c r="T450" s="430"/>
      <c r="U450" s="430"/>
      <c r="V450" s="430"/>
      <c r="W450" s="90"/>
      <c r="X450" s="90"/>
      <c r="Y450" s="90"/>
    </row>
    <row r="451" spans="1:25" ht="15.75" customHeight="1">
      <c r="A451" s="79"/>
      <c r="C451" s="90"/>
      <c r="D451" s="1894"/>
      <c r="E451" s="1895"/>
      <c r="F451" s="1896"/>
      <c r="G451" s="1897"/>
      <c r="H451" s="90"/>
      <c r="I451" s="90"/>
      <c r="J451" s="90"/>
      <c r="K451" s="90"/>
      <c r="L451" s="1898"/>
      <c r="M451" s="643"/>
      <c r="N451" s="643"/>
      <c r="O451" s="658"/>
      <c r="P451" s="658"/>
      <c r="Q451" s="1899"/>
      <c r="R451" s="430"/>
      <c r="S451" s="430"/>
      <c r="T451" s="430"/>
      <c r="U451" s="430"/>
      <c r="V451" s="430"/>
      <c r="W451" s="90"/>
      <c r="X451" s="90"/>
      <c r="Y451" s="90"/>
    </row>
    <row r="452" spans="1:25" ht="15.75" customHeight="1">
      <c r="A452" s="79"/>
      <c r="C452" s="90"/>
      <c r="D452" s="1894"/>
      <c r="E452" s="1895"/>
      <c r="F452" s="1896"/>
      <c r="G452" s="1897"/>
      <c r="H452" s="90"/>
      <c r="I452" s="90"/>
      <c r="J452" s="90"/>
      <c r="K452" s="90"/>
      <c r="L452" s="1898"/>
      <c r="M452" s="643"/>
      <c r="N452" s="643"/>
      <c r="O452" s="658"/>
      <c r="P452" s="658"/>
      <c r="Q452" s="1899"/>
      <c r="R452" s="430"/>
      <c r="S452" s="430"/>
      <c r="T452" s="430"/>
      <c r="U452" s="430"/>
      <c r="V452" s="430"/>
      <c r="W452" s="90"/>
      <c r="X452" s="90"/>
      <c r="Y452" s="90"/>
    </row>
    <row r="453" spans="1:25" ht="15.75" customHeight="1">
      <c r="A453" s="79"/>
      <c r="C453" s="90"/>
      <c r="D453" s="1894"/>
      <c r="E453" s="1895"/>
      <c r="F453" s="1896"/>
      <c r="G453" s="1897"/>
      <c r="H453" s="90"/>
      <c r="I453" s="90"/>
      <c r="J453" s="90"/>
      <c r="K453" s="90"/>
      <c r="L453" s="1898"/>
      <c r="M453" s="643"/>
      <c r="N453" s="643"/>
      <c r="O453" s="658"/>
      <c r="P453" s="658"/>
      <c r="Q453" s="1899"/>
      <c r="R453" s="430"/>
      <c r="S453" s="430"/>
      <c r="T453" s="430"/>
      <c r="U453" s="430"/>
      <c r="V453" s="430"/>
      <c r="W453" s="90"/>
      <c r="X453" s="90"/>
      <c r="Y453" s="90"/>
    </row>
    <row r="454" spans="1:25" ht="15.75" customHeight="1">
      <c r="A454" s="79"/>
      <c r="C454" s="90"/>
      <c r="D454" s="1894"/>
      <c r="E454" s="1895"/>
      <c r="F454" s="1896"/>
      <c r="G454" s="1897"/>
      <c r="H454" s="90"/>
      <c r="I454" s="90"/>
      <c r="J454" s="90"/>
      <c r="K454" s="90"/>
      <c r="L454" s="1898"/>
      <c r="M454" s="643"/>
      <c r="N454" s="643"/>
      <c r="O454" s="658"/>
      <c r="P454" s="658"/>
      <c r="Q454" s="1899"/>
      <c r="R454" s="430"/>
      <c r="S454" s="430"/>
      <c r="T454" s="430"/>
      <c r="U454" s="430"/>
      <c r="V454" s="430"/>
      <c r="W454" s="90"/>
      <c r="X454" s="90"/>
      <c r="Y454" s="90"/>
    </row>
    <row r="455" spans="1:25" ht="15.75" customHeight="1">
      <c r="A455" s="79"/>
      <c r="C455" s="90"/>
      <c r="D455" s="1894"/>
      <c r="E455" s="1895"/>
      <c r="F455" s="1896"/>
      <c r="G455" s="1897"/>
      <c r="H455" s="90"/>
      <c r="I455" s="90"/>
      <c r="J455" s="90"/>
      <c r="K455" s="90"/>
      <c r="L455" s="1898"/>
      <c r="M455" s="643"/>
      <c r="N455" s="643"/>
      <c r="O455" s="658"/>
      <c r="P455" s="658"/>
      <c r="Q455" s="1899"/>
      <c r="R455" s="430"/>
      <c r="S455" s="430"/>
      <c r="T455" s="430"/>
      <c r="U455" s="430"/>
      <c r="V455" s="430"/>
      <c r="W455" s="90"/>
      <c r="X455" s="90"/>
      <c r="Y455" s="90"/>
    </row>
    <row r="456" spans="1:25" ht="15.75" customHeight="1">
      <c r="A456" s="79"/>
      <c r="C456" s="90"/>
      <c r="D456" s="1894"/>
      <c r="E456" s="1895"/>
      <c r="F456" s="1896"/>
      <c r="G456" s="1897"/>
      <c r="H456" s="90"/>
      <c r="I456" s="90"/>
      <c r="J456" s="90"/>
      <c r="K456" s="90"/>
      <c r="L456" s="1898"/>
      <c r="M456" s="643"/>
      <c r="N456" s="643"/>
      <c r="O456" s="658"/>
      <c r="P456" s="658"/>
      <c r="Q456" s="1899"/>
      <c r="R456" s="430"/>
      <c r="S456" s="430"/>
      <c r="T456" s="430"/>
      <c r="U456" s="430"/>
      <c r="V456" s="430"/>
      <c r="W456" s="90"/>
      <c r="X456" s="90"/>
      <c r="Y456" s="90"/>
    </row>
    <row r="457" spans="1:25" ht="15.75" customHeight="1">
      <c r="A457" s="79"/>
      <c r="C457" s="90"/>
      <c r="D457" s="1894"/>
      <c r="E457" s="1895"/>
      <c r="F457" s="1896"/>
      <c r="G457" s="1897"/>
      <c r="H457" s="90"/>
      <c r="I457" s="90"/>
      <c r="J457" s="90"/>
      <c r="K457" s="90"/>
      <c r="L457" s="1898"/>
      <c r="M457" s="643"/>
      <c r="N457" s="643"/>
      <c r="O457" s="658"/>
      <c r="P457" s="658"/>
      <c r="Q457" s="1899"/>
      <c r="R457" s="430"/>
      <c r="S457" s="430"/>
      <c r="T457" s="430"/>
      <c r="U457" s="430"/>
      <c r="V457" s="430"/>
      <c r="W457" s="90"/>
      <c r="X457" s="90"/>
      <c r="Y457" s="90"/>
    </row>
    <row r="458" spans="1:25" ht="15.75" customHeight="1">
      <c r="A458" s="79"/>
      <c r="C458" s="90"/>
      <c r="D458" s="1894"/>
      <c r="E458" s="1895"/>
      <c r="F458" s="1896"/>
      <c r="G458" s="1897"/>
      <c r="H458" s="90"/>
      <c r="I458" s="90"/>
      <c r="J458" s="90"/>
      <c r="K458" s="90"/>
      <c r="L458" s="1898"/>
      <c r="M458" s="643"/>
      <c r="N458" s="643"/>
      <c r="O458" s="658"/>
      <c r="P458" s="658"/>
      <c r="Q458" s="1899"/>
      <c r="R458" s="430"/>
      <c r="S458" s="430"/>
      <c r="T458" s="430"/>
      <c r="U458" s="430"/>
      <c r="V458" s="430"/>
      <c r="W458" s="90"/>
      <c r="X458" s="90"/>
      <c r="Y458" s="90"/>
    </row>
    <row r="459" spans="1:25" ht="15.75" customHeight="1">
      <c r="A459" s="79"/>
      <c r="C459" s="90"/>
      <c r="D459" s="1894"/>
      <c r="E459" s="1895"/>
      <c r="F459" s="1896"/>
      <c r="G459" s="1897"/>
      <c r="H459" s="90"/>
      <c r="I459" s="90"/>
      <c r="J459" s="90"/>
      <c r="K459" s="90"/>
      <c r="L459" s="1898"/>
      <c r="M459" s="643"/>
      <c r="N459" s="643"/>
      <c r="O459" s="658"/>
      <c r="P459" s="658"/>
      <c r="Q459" s="1899"/>
      <c r="R459" s="430"/>
      <c r="S459" s="430"/>
      <c r="T459" s="430"/>
      <c r="U459" s="430"/>
      <c r="V459" s="430"/>
      <c r="W459" s="90"/>
      <c r="X459" s="90"/>
      <c r="Y459" s="90"/>
    </row>
    <row r="460" spans="1:25" ht="15.75" customHeight="1">
      <c r="A460" s="79"/>
      <c r="C460" s="90"/>
      <c r="D460" s="1894"/>
      <c r="E460" s="1895"/>
      <c r="F460" s="1896"/>
      <c r="G460" s="1897"/>
      <c r="H460" s="90"/>
      <c r="I460" s="90"/>
      <c r="J460" s="90"/>
      <c r="K460" s="90"/>
      <c r="L460" s="1898"/>
      <c r="M460" s="643"/>
      <c r="N460" s="643"/>
      <c r="O460" s="658"/>
      <c r="P460" s="658"/>
      <c r="Q460" s="1899"/>
      <c r="R460" s="430"/>
      <c r="S460" s="430"/>
      <c r="T460" s="430"/>
      <c r="U460" s="430"/>
      <c r="V460" s="430"/>
      <c r="W460" s="90"/>
      <c r="X460" s="90"/>
      <c r="Y460" s="90"/>
    </row>
    <row r="461" spans="1:25" ht="15.75" customHeight="1">
      <c r="A461" s="79"/>
      <c r="C461" s="90"/>
      <c r="D461" s="1894"/>
      <c r="E461" s="1895"/>
      <c r="F461" s="1896"/>
      <c r="G461" s="1897"/>
      <c r="H461" s="90"/>
      <c r="I461" s="90"/>
      <c r="J461" s="90"/>
      <c r="K461" s="90"/>
      <c r="L461" s="1898"/>
      <c r="M461" s="643"/>
      <c r="N461" s="643"/>
      <c r="O461" s="658"/>
      <c r="P461" s="658"/>
      <c r="Q461" s="1899"/>
      <c r="R461" s="430"/>
      <c r="S461" s="430"/>
      <c r="T461" s="430"/>
      <c r="U461" s="430"/>
      <c r="V461" s="430"/>
      <c r="W461" s="90"/>
      <c r="X461" s="90"/>
      <c r="Y461" s="90"/>
    </row>
    <row r="462" spans="1:25" ht="15.75" customHeight="1">
      <c r="A462" s="79"/>
      <c r="C462" s="90"/>
      <c r="D462" s="1894"/>
      <c r="E462" s="1895"/>
      <c r="F462" s="1896"/>
      <c r="G462" s="1897"/>
      <c r="H462" s="90"/>
      <c r="I462" s="90"/>
      <c r="J462" s="90"/>
      <c r="K462" s="90"/>
      <c r="L462" s="1898"/>
      <c r="M462" s="643"/>
      <c r="N462" s="643"/>
      <c r="O462" s="658"/>
      <c r="P462" s="658"/>
      <c r="Q462" s="1899"/>
      <c r="R462" s="430"/>
      <c r="S462" s="430"/>
      <c r="T462" s="430"/>
      <c r="U462" s="430"/>
      <c r="V462" s="430"/>
      <c r="W462" s="90"/>
      <c r="X462" s="90"/>
      <c r="Y462" s="90"/>
    </row>
    <row r="463" spans="1:25" ht="15.75" customHeight="1">
      <c r="A463" s="79"/>
      <c r="C463" s="90"/>
      <c r="D463" s="1894"/>
      <c r="E463" s="1895"/>
      <c r="F463" s="1896"/>
      <c r="G463" s="1897"/>
      <c r="H463" s="90"/>
      <c r="I463" s="90"/>
      <c r="J463" s="90"/>
      <c r="K463" s="90"/>
      <c r="L463" s="1898"/>
      <c r="M463" s="643"/>
      <c r="N463" s="643"/>
      <c r="O463" s="658"/>
      <c r="P463" s="658"/>
      <c r="Q463" s="1899"/>
      <c r="R463" s="430"/>
      <c r="S463" s="430"/>
      <c r="T463" s="430"/>
      <c r="U463" s="430"/>
      <c r="V463" s="430"/>
      <c r="W463" s="90"/>
      <c r="X463" s="90"/>
      <c r="Y463" s="90"/>
    </row>
    <row r="464" spans="1:25" ht="15.75" customHeight="1">
      <c r="A464" s="79"/>
      <c r="C464" s="90"/>
      <c r="D464" s="1894"/>
      <c r="E464" s="1895"/>
      <c r="F464" s="1896"/>
      <c r="G464" s="1897"/>
      <c r="H464" s="90"/>
      <c r="I464" s="90"/>
      <c r="J464" s="90"/>
      <c r="K464" s="90"/>
      <c r="L464" s="1898"/>
      <c r="M464" s="643"/>
      <c r="N464" s="643"/>
      <c r="O464" s="658"/>
      <c r="P464" s="658"/>
      <c r="Q464" s="1899"/>
      <c r="R464" s="430"/>
      <c r="S464" s="430"/>
      <c r="T464" s="430"/>
      <c r="U464" s="430"/>
      <c r="V464" s="430"/>
      <c r="W464" s="90"/>
      <c r="X464" s="90"/>
      <c r="Y464" s="90"/>
    </row>
    <row r="465" spans="1:25" ht="15.75" customHeight="1">
      <c r="A465" s="79"/>
      <c r="C465" s="90"/>
      <c r="D465" s="1894"/>
      <c r="E465" s="1895"/>
      <c r="F465" s="1896"/>
      <c r="G465" s="1897"/>
      <c r="H465" s="90"/>
      <c r="I465" s="90"/>
      <c r="J465" s="90"/>
      <c r="K465" s="90"/>
      <c r="L465" s="1898"/>
      <c r="M465" s="643"/>
      <c r="N465" s="643"/>
      <c r="O465" s="658"/>
      <c r="P465" s="658"/>
      <c r="Q465" s="1899"/>
      <c r="R465" s="430"/>
      <c r="S465" s="430"/>
      <c r="T465" s="430"/>
      <c r="U465" s="430"/>
      <c r="V465" s="430"/>
      <c r="W465" s="90"/>
      <c r="X465" s="90"/>
      <c r="Y465" s="90"/>
    </row>
    <row r="466" spans="1:25" ht="15.75" customHeight="1">
      <c r="A466" s="79"/>
      <c r="C466" s="90"/>
      <c r="D466" s="1894"/>
      <c r="E466" s="1895"/>
      <c r="F466" s="1896"/>
      <c r="G466" s="1897"/>
      <c r="H466" s="90"/>
      <c r="I466" s="90"/>
      <c r="J466" s="90"/>
      <c r="K466" s="90"/>
      <c r="L466" s="1898"/>
      <c r="M466" s="643"/>
      <c r="N466" s="643"/>
      <c r="O466" s="658"/>
      <c r="P466" s="658"/>
      <c r="Q466" s="1899"/>
      <c r="R466" s="430"/>
      <c r="S466" s="430"/>
      <c r="T466" s="430"/>
      <c r="U466" s="430"/>
      <c r="V466" s="430"/>
      <c r="W466" s="90"/>
      <c r="X466" s="90"/>
      <c r="Y466" s="90"/>
    </row>
    <row r="467" spans="1:25" ht="15.75" customHeight="1">
      <c r="A467" s="79"/>
      <c r="C467" s="90"/>
      <c r="D467" s="1894"/>
      <c r="E467" s="1895"/>
      <c r="F467" s="1896"/>
      <c r="G467" s="1897"/>
      <c r="H467" s="90"/>
      <c r="I467" s="90"/>
      <c r="J467" s="90"/>
      <c r="K467" s="90"/>
      <c r="L467" s="1898"/>
      <c r="M467" s="643"/>
      <c r="N467" s="643"/>
      <c r="O467" s="658"/>
      <c r="P467" s="658"/>
      <c r="Q467" s="1899"/>
      <c r="R467" s="430"/>
      <c r="S467" s="430"/>
      <c r="T467" s="430"/>
      <c r="U467" s="430"/>
      <c r="V467" s="430"/>
      <c r="W467" s="90"/>
      <c r="X467" s="90"/>
      <c r="Y467" s="90"/>
    </row>
    <row r="468" spans="1:25" ht="15.75" customHeight="1">
      <c r="A468" s="79"/>
      <c r="C468" s="90"/>
      <c r="D468" s="1894"/>
      <c r="E468" s="1895"/>
      <c r="F468" s="1896"/>
      <c r="G468" s="1897"/>
      <c r="H468" s="90"/>
      <c r="I468" s="90"/>
      <c r="J468" s="90"/>
      <c r="K468" s="90"/>
      <c r="L468" s="1898"/>
      <c r="M468" s="643"/>
      <c r="N468" s="643"/>
      <c r="O468" s="658"/>
      <c r="P468" s="658"/>
      <c r="Q468" s="1899"/>
      <c r="R468" s="430"/>
      <c r="S468" s="430"/>
      <c r="T468" s="430"/>
      <c r="U468" s="430"/>
      <c r="V468" s="430"/>
      <c r="W468" s="90"/>
      <c r="X468" s="90"/>
      <c r="Y468" s="90"/>
    </row>
    <row r="469" spans="1:25" ht="15.75" customHeight="1">
      <c r="A469" s="79"/>
      <c r="C469" s="90"/>
      <c r="D469" s="1894"/>
      <c r="E469" s="1895"/>
      <c r="F469" s="1896"/>
      <c r="G469" s="1897"/>
      <c r="H469" s="90"/>
      <c r="I469" s="90"/>
      <c r="J469" s="90"/>
      <c r="K469" s="90"/>
      <c r="L469" s="1898"/>
      <c r="M469" s="643"/>
      <c r="N469" s="643"/>
      <c r="O469" s="658"/>
      <c r="P469" s="658"/>
      <c r="Q469" s="1899"/>
      <c r="R469" s="430"/>
      <c r="S469" s="430"/>
      <c r="T469" s="430"/>
      <c r="U469" s="430"/>
      <c r="V469" s="430"/>
      <c r="W469" s="90"/>
      <c r="X469" s="90"/>
      <c r="Y469" s="90"/>
    </row>
    <row r="470" spans="1:25" ht="15.75" customHeight="1">
      <c r="A470" s="79"/>
      <c r="C470" s="90"/>
      <c r="D470" s="1894"/>
      <c r="E470" s="1895"/>
      <c r="F470" s="1896"/>
      <c r="G470" s="1897"/>
      <c r="H470" s="90"/>
      <c r="I470" s="90"/>
      <c r="J470" s="90"/>
      <c r="K470" s="90"/>
      <c r="L470" s="1898"/>
      <c r="M470" s="643"/>
      <c r="N470" s="643"/>
      <c r="O470" s="658"/>
      <c r="P470" s="658"/>
      <c r="Q470" s="1899"/>
      <c r="R470" s="430"/>
      <c r="S470" s="430"/>
      <c r="T470" s="430"/>
      <c r="U470" s="430"/>
      <c r="V470" s="430"/>
      <c r="W470" s="90"/>
      <c r="X470" s="90"/>
      <c r="Y470" s="90"/>
    </row>
    <row r="471" spans="1:25" ht="15.75" customHeight="1">
      <c r="A471" s="79"/>
      <c r="C471" s="90"/>
      <c r="D471" s="1894"/>
      <c r="E471" s="1895"/>
      <c r="F471" s="1896"/>
      <c r="G471" s="1897"/>
      <c r="H471" s="90"/>
      <c r="I471" s="90"/>
      <c r="J471" s="90"/>
      <c r="K471" s="90"/>
      <c r="L471" s="1898"/>
      <c r="M471" s="643"/>
      <c r="N471" s="643"/>
      <c r="O471" s="658"/>
      <c r="P471" s="658"/>
      <c r="Q471" s="1899"/>
      <c r="R471" s="430"/>
      <c r="S471" s="430"/>
      <c r="T471" s="430"/>
      <c r="U471" s="430"/>
      <c r="V471" s="430"/>
      <c r="W471" s="90"/>
      <c r="X471" s="90"/>
      <c r="Y471" s="90"/>
    </row>
    <row r="472" spans="1:25" ht="15.75" customHeight="1">
      <c r="A472" s="79"/>
      <c r="C472" s="90"/>
      <c r="D472" s="1894"/>
      <c r="E472" s="1895"/>
      <c r="F472" s="1896"/>
      <c r="G472" s="1897"/>
      <c r="H472" s="90"/>
      <c r="I472" s="90"/>
      <c r="J472" s="90"/>
      <c r="K472" s="90"/>
      <c r="L472" s="1898"/>
      <c r="M472" s="643"/>
      <c r="N472" s="643"/>
      <c r="O472" s="658"/>
      <c r="P472" s="658"/>
      <c r="Q472" s="1899"/>
      <c r="R472" s="430"/>
      <c r="S472" s="430"/>
      <c r="T472" s="430"/>
      <c r="U472" s="430"/>
      <c r="V472" s="430"/>
      <c r="W472" s="90"/>
      <c r="X472" s="90"/>
      <c r="Y472" s="90"/>
    </row>
    <row r="473" spans="1:25" ht="15.75" customHeight="1">
      <c r="A473" s="79"/>
      <c r="C473" s="90"/>
      <c r="D473" s="1894"/>
      <c r="E473" s="1895"/>
      <c r="F473" s="1896"/>
      <c r="G473" s="1897"/>
      <c r="H473" s="90"/>
      <c r="I473" s="90"/>
      <c r="J473" s="90"/>
      <c r="K473" s="90"/>
      <c r="L473" s="1898"/>
      <c r="M473" s="643"/>
      <c r="N473" s="643"/>
      <c r="O473" s="658"/>
      <c r="P473" s="658"/>
      <c r="Q473" s="1899"/>
      <c r="R473" s="430"/>
      <c r="S473" s="430"/>
      <c r="T473" s="430"/>
      <c r="U473" s="430"/>
      <c r="V473" s="430"/>
      <c r="W473" s="90"/>
      <c r="X473" s="90"/>
      <c r="Y473" s="90"/>
    </row>
    <row r="474" spans="1:25" ht="15.75" customHeight="1">
      <c r="A474" s="79"/>
      <c r="C474" s="90"/>
      <c r="D474" s="1894"/>
      <c r="E474" s="1895"/>
      <c r="F474" s="1896"/>
      <c r="G474" s="1897"/>
      <c r="H474" s="90"/>
      <c r="I474" s="90"/>
      <c r="J474" s="90"/>
      <c r="K474" s="90"/>
      <c r="L474" s="1898"/>
      <c r="M474" s="643"/>
      <c r="N474" s="643"/>
      <c r="O474" s="658"/>
      <c r="P474" s="658"/>
      <c r="Q474" s="1899"/>
      <c r="R474" s="430"/>
      <c r="S474" s="430"/>
      <c r="T474" s="430"/>
      <c r="U474" s="430"/>
      <c r="V474" s="430"/>
      <c r="W474" s="90"/>
      <c r="X474" s="90"/>
      <c r="Y474" s="90"/>
    </row>
    <row r="475" spans="1:25" ht="15.75" customHeight="1">
      <c r="A475" s="79"/>
      <c r="C475" s="90"/>
      <c r="D475" s="1894"/>
      <c r="E475" s="1895"/>
      <c r="F475" s="1896"/>
      <c r="G475" s="1897"/>
      <c r="H475" s="90"/>
      <c r="I475" s="90"/>
      <c r="J475" s="90"/>
      <c r="K475" s="90"/>
      <c r="L475" s="1898"/>
      <c r="M475" s="643"/>
      <c r="N475" s="643"/>
      <c r="O475" s="658"/>
      <c r="P475" s="658"/>
      <c r="Q475" s="1899"/>
      <c r="R475" s="430"/>
      <c r="S475" s="430"/>
      <c r="T475" s="430"/>
      <c r="U475" s="430"/>
      <c r="V475" s="430"/>
      <c r="W475" s="90"/>
      <c r="X475" s="90"/>
      <c r="Y475" s="90"/>
    </row>
    <row r="476" spans="1:25" ht="15.75" customHeight="1">
      <c r="A476" s="79"/>
      <c r="C476" s="90"/>
      <c r="D476" s="1894"/>
      <c r="E476" s="1895"/>
      <c r="F476" s="1896"/>
      <c r="G476" s="1897"/>
      <c r="H476" s="90"/>
      <c r="I476" s="90"/>
      <c r="J476" s="90"/>
      <c r="K476" s="90"/>
      <c r="L476" s="1898"/>
      <c r="M476" s="643"/>
      <c r="N476" s="643"/>
      <c r="O476" s="658"/>
      <c r="P476" s="658"/>
      <c r="Q476" s="1899"/>
      <c r="R476" s="430"/>
      <c r="S476" s="430"/>
      <c r="T476" s="430"/>
      <c r="U476" s="430"/>
      <c r="V476" s="430"/>
      <c r="W476" s="90"/>
      <c r="X476" s="90"/>
      <c r="Y476" s="90"/>
    </row>
    <row r="477" spans="1:25" ht="15.75" customHeight="1">
      <c r="A477" s="79"/>
      <c r="C477" s="90"/>
      <c r="D477" s="1894"/>
      <c r="E477" s="1895"/>
      <c r="F477" s="1896"/>
      <c r="G477" s="1897"/>
      <c r="H477" s="90"/>
      <c r="I477" s="90"/>
      <c r="J477" s="90"/>
      <c r="K477" s="90"/>
      <c r="L477" s="1898"/>
      <c r="M477" s="643"/>
      <c r="N477" s="643"/>
      <c r="O477" s="658"/>
      <c r="P477" s="658"/>
      <c r="Q477" s="1899"/>
      <c r="R477" s="430"/>
      <c r="S477" s="430"/>
      <c r="T477" s="430"/>
      <c r="U477" s="430"/>
      <c r="V477" s="430"/>
      <c r="W477" s="90"/>
      <c r="X477" s="90"/>
      <c r="Y477" s="90"/>
    </row>
    <row r="478" spans="1:25" ht="15.75" customHeight="1">
      <c r="A478" s="79"/>
      <c r="C478" s="90"/>
      <c r="D478" s="1894"/>
      <c r="E478" s="1895"/>
      <c r="F478" s="1896"/>
      <c r="G478" s="1897"/>
      <c r="H478" s="90"/>
      <c r="I478" s="90"/>
      <c r="J478" s="90"/>
      <c r="K478" s="90"/>
      <c r="L478" s="1898"/>
      <c r="M478" s="643"/>
      <c r="N478" s="643"/>
      <c r="O478" s="658"/>
      <c r="P478" s="658"/>
      <c r="Q478" s="1899"/>
      <c r="R478" s="430"/>
      <c r="S478" s="430"/>
      <c r="T478" s="430"/>
      <c r="U478" s="430"/>
      <c r="V478" s="430"/>
      <c r="W478" s="90"/>
      <c r="X478" s="90"/>
      <c r="Y478" s="90"/>
    </row>
    <row r="479" spans="1:25" ht="15.75" customHeight="1">
      <c r="A479" s="79"/>
      <c r="C479" s="90"/>
      <c r="D479" s="1894"/>
      <c r="E479" s="1895"/>
      <c r="F479" s="1896"/>
      <c r="G479" s="1897"/>
      <c r="H479" s="90"/>
      <c r="I479" s="90"/>
      <c r="J479" s="90"/>
      <c r="K479" s="90"/>
      <c r="L479" s="1898"/>
      <c r="M479" s="643"/>
      <c r="N479" s="643"/>
      <c r="O479" s="658"/>
      <c r="P479" s="658"/>
      <c r="Q479" s="1899"/>
      <c r="R479" s="430"/>
      <c r="S479" s="430"/>
      <c r="T479" s="430"/>
      <c r="U479" s="430"/>
      <c r="V479" s="430"/>
      <c r="W479" s="90"/>
      <c r="X479" s="90"/>
      <c r="Y479" s="90"/>
    </row>
    <row r="480" spans="1:25" ht="15.75" customHeight="1">
      <c r="A480" s="79"/>
      <c r="C480" s="90"/>
      <c r="D480" s="1894"/>
      <c r="E480" s="1895"/>
      <c r="F480" s="1896"/>
      <c r="G480" s="1897"/>
      <c r="H480" s="90"/>
      <c r="I480" s="90"/>
      <c r="J480" s="90"/>
      <c r="K480" s="90"/>
      <c r="L480" s="1898"/>
      <c r="M480" s="643"/>
      <c r="N480" s="643"/>
      <c r="O480" s="658"/>
      <c r="P480" s="658"/>
      <c r="Q480" s="1899"/>
      <c r="R480" s="430"/>
      <c r="S480" s="430"/>
      <c r="T480" s="430"/>
      <c r="U480" s="430"/>
      <c r="V480" s="430"/>
      <c r="W480" s="90"/>
      <c r="X480" s="90"/>
      <c r="Y480" s="90"/>
    </row>
    <row r="481" spans="1:25" ht="15.75" customHeight="1">
      <c r="A481" s="79"/>
      <c r="C481" s="90"/>
      <c r="D481" s="1894"/>
      <c r="E481" s="1895"/>
      <c r="F481" s="1896"/>
      <c r="G481" s="1897"/>
      <c r="H481" s="90"/>
      <c r="I481" s="90"/>
      <c r="J481" s="90"/>
      <c r="K481" s="90"/>
      <c r="L481" s="1898"/>
      <c r="M481" s="643"/>
      <c r="N481" s="643"/>
      <c r="O481" s="658"/>
      <c r="P481" s="658"/>
      <c r="Q481" s="1899"/>
      <c r="R481" s="430"/>
      <c r="S481" s="430"/>
      <c r="T481" s="430"/>
      <c r="U481" s="430"/>
      <c r="V481" s="430"/>
      <c r="W481" s="90"/>
      <c r="X481" s="90"/>
      <c r="Y481" s="90"/>
    </row>
    <row r="482" spans="1:25" ht="15.75" customHeight="1">
      <c r="A482" s="79"/>
      <c r="C482" s="90"/>
      <c r="D482" s="1894"/>
      <c r="E482" s="1895"/>
      <c r="F482" s="1896"/>
      <c r="G482" s="1897"/>
      <c r="H482" s="90"/>
      <c r="I482" s="90"/>
      <c r="J482" s="90"/>
      <c r="K482" s="90"/>
      <c r="L482" s="1898"/>
      <c r="M482" s="643"/>
      <c r="N482" s="643"/>
      <c r="O482" s="658"/>
      <c r="P482" s="658"/>
      <c r="Q482" s="1899"/>
      <c r="R482" s="430"/>
      <c r="S482" s="430"/>
      <c r="T482" s="430"/>
      <c r="U482" s="430"/>
      <c r="V482" s="430"/>
      <c r="W482" s="90"/>
      <c r="X482" s="90"/>
      <c r="Y482" s="90"/>
    </row>
    <row r="483" spans="1:25" ht="15.75" customHeight="1">
      <c r="A483" s="79"/>
      <c r="C483" s="90"/>
      <c r="D483" s="1894"/>
      <c r="E483" s="1895"/>
      <c r="F483" s="1896"/>
      <c r="G483" s="1897"/>
      <c r="H483" s="90"/>
      <c r="I483" s="90"/>
      <c r="J483" s="90"/>
      <c r="K483" s="90"/>
      <c r="L483" s="1898"/>
      <c r="M483" s="643"/>
      <c r="N483" s="643"/>
      <c r="O483" s="658"/>
      <c r="P483" s="658"/>
      <c r="Q483" s="1899"/>
      <c r="R483" s="430"/>
      <c r="S483" s="430"/>
      <c r="T483" s="430"/>
      <c r="U483" s="430"/>
      <c r="V483" s="430"/>
      <c r="W483" s="90"/>
      <c r="X483" s="90"/>
      <c r="Y483" s="90"/>
    </row>
    <row r="484" spans="1:25" ht="15.75" customHeight="1">
      <c r="A484" s="79"/>
      <c r="C484" s="90"/>
      <c r="D484" s="1894"/>
      <c r="E484" s="1895"/>
      <c r="F484" s="1896"/>
      <c r="G484" s="1897"/>
      <c r="H484" s="90"/>
      <c r="I484" s="90"/>
      <c r="J484" s="90"/>
      <c r="K484" s="90"/>
      <c r="L484" s="1898"/>
      <c r="M484" s="643"/>
      <c r="N484" s="643"/>
      <c r="O484" s="658"/>
      <c r="P484" s="658"/>
      <c r="Q484" s="1899"/>
      <c r="R484" s="430"/>
      <c r="S484" s="430"/>
      <c r="T484" s="430"/>
      <c r="U484" s="430"/>
      <c r="V484" s="430"/>
      <c r="W484" s="90"/>
      <c r="X484" s="90"/>
      <c r="Y484" s="90"/>
    </row>
    <row r="485" spans="1:25" ht="15.75" customHeight="1">
      <c r="A485" s="79"/>
      <c r="C485" s="90"/>
      <c r="D485" s="1894"/>
      <c r="E485" s="1895"/>
      <c r="F485" s="1896"/>
      <c r="G485" s="1897"/>
      <c r="H485" s="90"/>
      <c r="I485" s="90"/>
      <c r="J485" s="90"/>
      <c r="K485" s="90"/>
      <c r="L485" s="1898"/>
      <c r="M485" s="643"/>
      <c r="N485" s="643"/>
      <c r="O485" s="658"/>
      <c r="P485" s="658"/>
      <c r="Q485" s="1899"/>
      <c r="R485" s="430"/>
      <c r="S485" s="430"/>
      <c r="T485" s="430"/>
      <c r="U485" s="430"/>
      <c r="V485" s="430"/>
      <c r="W485" s="90"/>
      <c r="X485" s="90"/>
      <c r="Y485" s="90"/>
    </row>
    <row r="486" spans="1:25" ht="15.75" customHeight="1">
      <c r="A486" s="79"/>
      <c r="C486" s="90"/>
      <c r="D486" s="1894"/>
      <c r="E486" s="1895"/>
      <c r="F486" s="1896"/>
      <c r="G486" s="1897"/>
      <c r="H486" s="90"/>
      <c r="I486" s="90"/>
      <c r="J486" s="90"/>
      <c r="K486" s="90"/>
      <c r="L486" s="1898"/>
      <c r="M486" s="643"/>
      <c r="N486" s="643"/>
      <c r="O486" s="658"/>
      <c r="P486" s="658"/>
      <c r="Q486" s="1899"/>
      <c r="R486" s="430"/>
      <c r="S486" s="430"/>
      <c r="T486" s="430"/>
      <c r="U486" s="430"/>
      <c r="V486" s="430"/>
      <c r="W486" s="90"/>
      <c r="X486" s="90"/>
      <c r="Y486" s="90"/>
    </row>
    <row r="487" spans="1:25" ht="15.75" customHeight="1">
      <c r="A487" s="79"/>
      <c r="C487" s="90"/>
      <c r="D487" s="1894"/>
      <c r="E487" s="1895"/>
      <c r="F487" s="1896"/>
      <c r="G487" s="1897"/>
      <c r="H487" s="90"/>
      <c r="I487" s="90"/>
      <c r="J487" s="90"/>
      <c r="K487" s="90"/>
      <c r="L487" s="1898"/>
      <c r="M487" s="643"/>
      <c r="N487" s="643"/>
      <c r="O487" s="658"/>
      <c r="P487" s="658"/>
      <c r="Q487" s="1899"/>
      <c r="R487" s="430"/>
      <c r="S487" s="430"/>
      <c r="T487" s="430"/>
      <c r="U487" s="430"/>
      <c r="V487" s="430"/>
      <c r="W487" s="90"/>
      <c r="X487" s="90"/>
      <c r="Y487" s="90"/>
    </row>
    <row r="488" spans="1:25" ht="15.75" customHeight="1">
      <c r="A488" s="79"/>
      <c r="C488" s="90"/>
      <c r="D488" s="1894"/>
      <c r="E488" s="1895"/>
      <c r="F488" s="1896"/>
      <c r="G488" s="1897"/>
      <c r="H488" s="90"/>
      <c r="I488" s="90"/>
      <c r="J488" s="90"/>
      <c r="K488" s="90"/>
      <c r="L488" s="1898"/>
      <c r="M488" s="643"/>
      <c r="N488" s="643"/>
      <c r="O488" s="658"/>
      <c r="P488" s="658"/>
      <c r="Q488" s="1899"/>
      <c r="R488" s="430"/>
      <c r="S488" s="430"/>
      <c r="T488" s="430"/>
      <c r="U488" s="430"/>
      <c r="V488" s="430"/>
      <c r="W488" s="90"/>
      <c r="X488" s="90"/>
      <c r="Y488" s="90"/>
    </row>
    <row r="489" spans="1:25" ht="15.75" customHeight="1">
      <c r="A489" s="79"/>
      <c r="C489" s="90"/>
      <c r="D489" s="1894"/>
      <c r="E489" s="1895"/>
      <c r="F489" s="1896"/>
      <c r="G489" s="1897"/>
      <c r="H489" s="90"/>
      <c r="I489" s="90"/>
      <c r="J489" s="90"/>
      <c r="K489" s="90"/>
      <c r="L489" s="1898"/>
      <c r="M489" s="643"/>
      <c r="N489" s="643"/>
      <c r="O489" s="658"/>
      <c r="P489" s="658"/>
      <c r="Q489" s="1899"/>
      <c r="R489" s="430"/>
      <c r="S489" s="430"/>
      <c r="T489" s="430"/>
      <c r="U489" s="430"/>
      <c r="V489" s="430"/>
      <c r="W489" s="90"/>
      <c r="X489" s="90"/>
      <c r="Y489" s="90"/>
    </row>
    <row r="490" spans="1:25" ht="15.75" customHeight="1">
      <c r="A490" s="79"/>
      <c r="C490" s="90"/>
      <c r="D490" s="1894"/>
      <c r="E490" s="1895"/>
      <c r="F490" s="1896"/>
      <c r="G490" s="1897"/>
      <c r="H490" s="90"/>
      <c r="I490" s="90"/>
      <c r="J490" s="90"/>
      <c r="K490" s="90"/>
      <c r="L490" s="1898"/>
      <c r="M490" s="643"/>
      <c r="N490" s="643"/>
      <c r="O490" s="658"/>
      <c r="P490" s="658"/>
      <c r="Q490" s="1899"/>
      <c r="R490" s="430"/>
      <c r="S490" s="430"/>
      <c r="T490" s="430"/>
      <c r="U490" s="430"/>
      <c r="V490" s="430"/>
      <c r="W490" s="90"/>
      <c r="X490" s="90"/>
      <c r="Y490" s="90"/>
    </row>
    <row r="491" spans="1:25" ht="15.75" customHeight="1">
      <c r="A491" s="79"/>
      <c r="C491" s="90"/>
      <c r="D491" s="1894"/>
      <c r="E491" s="1895"/>
      <c r="F491" s="1896"/>
      <c r="G491" s="1897"/>
      <c r="H491" s="90"/>
      <c r="I491" s="90"/>
      <c r="J491" s="90"/>
      <c r="K491" s="90"/>
      <c r="L491" s="1898"/>
      <c r="M491" s="643"/>
      <c r="N491" s="643"/>
      <c r="O491" s="658"/>
      <c r="P491" s="658"/>
      <c r="Q491" s="1899"/>
      <c r="R491" s="430"/>
      <c r="S491" s="430"/>
      <c r="T491" s="430"/>
      <c r="U491" s="430"/>
      <c r="V491" s="430"/>
      <c r="W491" s="90"/>
      <c r="X491" s="90"/>
      <c r="Y491" s="90"/>
    </row>
    <row r="492" spans="1:25" ht="15.75" customHeight="1">
      <c r="A492" s="79"/>
      <c r="C492" s="90"/>
      <c r="D492" s="1894"/>
      <c r="E492" s="1895"/>
      <c r="F492" s="1896"/>
      <c r="G492" s="1897"/>
      <c r="H492" s="90"/>
      <c r="I492" s="90"/>
      <c r="J492" s="90"/>
      <c r="K492" s="90"/>
      <c r="L492" s="1898"/>
      <c r="M492" s="643"/>
      <c r="N492" s="643"/>
      <c r="O492" s="658"/>
      <c r="P492" s="658"/>
      <c r="Q492" s="1899"/>
      <c r="R492" s="430"/>
      <c r="S492" s="430"/>
      <c r="T492" s="430"/>
      <c r="U492" s="430"/>
      <c r="V492" s="430"/>
      <c r="W492" s="90"/>
      <c r="X492" s="90"/>
      <c r="Y492" s="90"/>
    </row>
    <row r="493" spans="1:25" ht="15.75" customHeight="1">
      <c r="A493" s="79"/>
      <c r="C493" s="90"/>
      <c r="D493" s="1894"/>
      <c r="E493" s="1895"/>
      <c r="F493" s="1896"/>
      <c r="G493" s="1897"/>
      <c r="H493" s="90"/>
      <c r="I493" s="90"/>
      <c r="J493" s="90"/>
      <c r="K493" s="90"/>
      <c r="L493" s="1898"/>
      <c r="M493" s="643"/>
      <c r="N493" s="643"/>
      <c r="O493" s="658"/>
      <c r="P493" s="658"/>
      <c r="Q493" s="1899"/>
      <c r="R493" s="430"/>
      <c r="S493" s="430"/>
      <c r="T493" s="430"/>
      <c r="U493" s="430"/>
      <c r="V493" s="430"/>
      <c r="W493" s="90"/>
      <c r="X493" s="90"/>
      <c r="Y493" s="90"/>
    </row>
    <row r="494" spans="1:25" ht="15.75" customHeight="1">
      <c r="A494" s="79"/>
      <c r="C494" s="90"/>
      <c r="D494" s="1894"/>
      <c r="E494" s="1895"/>
      <c r="F494" s="1896"/>
      <c r="G494" s="1897"/>
      <c r="H494" s="90"/>
      <c r="I494" s="90"/>
      <c r="J494" s="90"/>
      <c r="K494" s="90"/>
      <c r="L494" s="1898"/>
      <c r="M494" s="643"/>
      <c r="N494" s="643"/>
      <c r="O494" s="658"/>
      <c r="P494" s="658"/>
      <c r="Q494" s="1899"/>
      <c r="R494" s="430"/>
      <c r="S494" s="430"/>
      <c r="T494" s="430"/>
      <c r="U494" s="430"/>
      <c r="V494" s="430"/>
      <c r="W494" s="90"/>
      <c r="X494" s="90"/>
      <c r="Y494" s="90"/>
    </row>
    <row r="495" spans="1:25" ht="15.75" customHeight="1">
      <c r="A495" s="79"/>
      <c r="C495" s="90"/>
      <c r="D495" s="1894"/>
      <c r="E495" s="1895"/>
      <c r="F495" s="1896"/>
      <c r="G495" s="1897"/>
      <c r="H495" s="90"/>
      <c r="I495" s="90"/>
      <c r="J495" s="90"/>
      <c r="K495" s="90"/>
      <c r="L495" s="1898"/>
      <c r="M495" s="643"/>
      <c r="N495" s="643"/>
      <c r="O495" s="658"/>
      <c r="P495" s="658"/>
      <c r="Q495" s="1899"/>
      <c r="R495" s="430"/>
      <c r="S495" s="430"/>
      <c r="T495" s="430"/>
      <c r="U495" s="430"/>
      <c r="V495" s="430"/>
      <c r="W495" s="90"/>
      <c r="X495" s="90"/>
      <c r="Y495" s="90"/>
    </row>
    <row r="496" spans="1:25" ht="15.75" customHeight="1">
      <c r="A496" s="79"/>
      <c r="C496" s="90"/>
      <c r="D496" s="1894"/>
      <c r="E496" s="1895"/>
      <c r="F496" s="1896"/>
      <c r="G496" s="1897"/>
      <c r="H496" s="90"/>
      <c r="I496" s="90"/>
      <c r="J496" s="90"/>
      <c r="K496" s="90"/>
      <c r="L496" s="1898"/>
      <c r="M496" s="643"/>
      <c r="N496" s="643"/>
      <c r="O496" s="658"/>
      <c r="P496" s="658"/>
      <c r="Q496" s="1899"/>
      <c r="R496" s="430"/>
      <c r="S496" s="430"/>
      <c r="T496" s="430"/>
      <c r="U496" s="430"/>
      <c r="V496" s="430"/>
      <c r="W496" s="90"/>
      <c r="X496" s="90"/>
      <c r="Y496" s="90"/>
    </row>
    <row r="497" spans="1:25" ht="15.75" customHeight="1">
      <c r="A497" s="79"/>
      <c r="C497" s="90"/>
      <c r="D497" s="1894"/>
      <c r="E497" s="1895"/>
      <c r="F497" s="1896"/>
      <c r="G497" s="1897"/>
      <c r="H497" s="90"/>
      <c r="I497" s="90"/>
      <c r="J497" s="90"/>
      <c r="K497" s="90"/>
      <c r="L497" s="1898"/>
      <c r="M497" s="643"/>
      <c r="N497" s="643"/>
      <c r="O497" s="658"/>
      <c r="P497" s="658"/>
      <c r="Q497" s="1899"/>
      <c r="R497" s="430"/>
      <c r="S497" s="430"/>
      <c r="T497" s="430"/>
      <c r="U497" s="430"/>
      <c r="V497" s="430"/>
      <c r="W497" s="90"/>
      <c r="X497" s="90"/>
      <c r="Y497" s="90"/>
    </row>
    <row r="498" spans="1:25" ht="15.75" customHeight="1">
      <c r="A498" s="79"/>
      <c r="C498" s="90"/>
      <c r="D498" s="1894"/>
      <c r="E498" s="1895"/>
      <c r="F498" s="1896"/>
      <c r="G498" s="1897"/>
      <c r="H498" s="90"/>
      <c r="I498" s="90"/>
      <c r="J498" s="90"/>
      <c r="K498" s="90"/>
      <c r="L498" s="1898"/>
      <c r="M498" s="643"/>
      <c r="N498" s="643"/>
      <c r="O498" s="658"/>
      <c r="P498" s="658"/>
      <c r="Q498" s="1899"/>
      <c r="R498" s="430"/>
      <c r="S498" s="430"/>
      <c r="T498" s="430"/>
      <c r="U498" s="430"/>
      <c r="V498" s="430"/>
      <c r="W498" s="90"/>
      <c r="X498" s="90"/>
      <c r="Y498" s="90"/>
    </row>
    <row r="499" spans="1:25" ht="15.75" customHeight="1">
      <c r="A499" s="79"/>
      <c r="C499" s="90"/>
      <c r="D499" s="1894"/>
      <c r="E499" s="1895"/>
      <c r="F499" s="1896"/>
      <c r="G499" s="1897"/>
      <c r="H499" s="90"/>
      <c r="I499" s="90"/>
      <c r="J499" s="90"/>
      <c r="K499" s="90"/>
      <c r="L499" s="1898"/>
      <c r="M499" s="643"/>
      <c r="N499" s="643"/>
      <c r="O499" s="658"/>
      <c r="P499" s="658"/>
      <c r="Q499" s="1899"/>
      <c r="R499" s="430"/>
      <c r="S499" s="430"/>
      <c r="T499" s="430"/>
      <c r="U499" s="430"/>
      <c r="V499" s="430"/>
      <c r="W499" s="90"/>
      <c r="X499" s="90"/>
      <c r="Y499" s="90"/>
    </row>
    <row r="500" spans="1:25" ht="15.75" customHeight="1">
      <c r="A500" s="79"/>
      <c r="C500" s="90"/>
      <c r="D500" s="1894"/>
      <c r="E500" s="1895"/>
      <c r="F500" s="1896"/>
      <c r="G500" s="1897"/>
      <c r="H500" s="90"/>
      <c r="I500" s="90"/>
      <c r="J500" s="90"/>
      <c r="K500" s="90"/>
      <c r="L500" s="1898"/>
      <c r="M500" s="643"/>
      <c r="N500" s="643"/>
      <c r="O500" s="658"/>
      <c r="P500" s="658"/>
      <c r="Q500" s="1899"/>
      <c r="R500" s="430"/>
      <c r="S500" s="430"/>
      <c r="T500" s="430"/>
      <c r="U500" s="430"/>
      <c r="V500" s="430"/>
      <c r="W500" s="90"/>
      <c r="X500" s="90"/>
      <c r="Y500" s="90"/>
    </row>
    <row r="501" spans="1:25" ht="15.75" customHeight="1">
      <c r="A501" s="79"/>
      <c r="C501" s="90"/>
      <c r="D501" s="1894"/>
      <c r="E501" s="1895"/>
      <c r="F501" s="1896"/>
      <c r="G501" s="1897"/>
      <c r="H501" s="90"/>
      <c r="I501" s="90"/>
      <c r="J501" s="90"/>
      <c r="K501" s="90"/>
      <c r="L501" s="1898"/>
      <c r="M501" s="643"/>
      <c r="N501" s="643"/>
      <c r="O501" s="658"/>
      <c r="P501" s="658"/>
      <c r="Q501" s="1899"/>
      <c r="R501" s="430"/>
      <c r="S501" s="430"/>
      <c r="T501" s="430"/>
      <c r="U501" s="430"/>
      <c r="V501" s="430"/>
      <c r="W501" s="90"/>
      <c r="X501" s="90"/>
      <c r="Y501" s="90"/>
    </row>
    <row r="502" spans="1:25" ht="15.75" customHeight="1">
      <c r="A502" s="79"/>
      <c r="C502" s="90"/>
      <c r="D502" s="1894"/>
      <c r="E502" s="1895"/>
      <c r="F502" s="1896"/>
      <c r="G502" s="1897"/>
      <c r="H502" s="90"/>
      <c r="I502" s="90"/>
      <c r="J502" s="90"/>
      <c r="K502" s="90"/>
      <c r="L502" s="1898"/>
      <c r="M502" s="643"/>
      <c r="N502" s="643"/>
      <c r="O502" s="658"/>
      <c r="P502" s="658"/>
      <c r="Q502" s="1899"/>
      <c r="R502" s="430"/>
      <c r="S502" s="430"/>
      <c r="T502" s="430"/>
      <c r="U502" s="430"/>
      <c r="V502" s="430"/>
      <c r="W502" s="90"/>
      <c r="X502" s="90"/>
      <c r="Y502" s="90"/>
    </row>
    <row r="503" spans="1:25" ht="15.75" customHeight="1">
      <c r="A503" s="79"/>
      <c r="C503" s="90"/>
      <c r="D503" s="1894"/>
      <c r="E503" s="1895"/>
      <c r="F503" s="1896"/>
      <c r="G503" s="1897"/>
      <c r="H503" s="90"/>
      <c r="I503" s="90"/>
      <c r="J503" s="90"/>
      <c r="K503" s="90"/>
      <c r="L503" s="1898"/>
      <c r="M503" s="643"/>
      <c r="N503" s="643"/>
      <c r="O503" s="658"/>
      <c r="P503" s="658"/>
      <c r="Q503" s="1899"/>
      <c r="R503" s="430"/>
      <c r="S503" s="430"/>
      <c r="T503" s="430"/>
      <c r="U503" s="430"/>
      <c r="V503" s="430"/>
      <c r="W503" s="90"/>
      <c r="X503" s="90"/>
      <c r="Y503" s="90"/>
    </row>
    <row r="504" spans="1:25" ht="15.75" customHeight="1">
      <c r="A504" s="79"/>
      <c r="C504" s="90"/>
      <c r="D504" s="1894"/>
      <c r="E504" s="1895"/>
      <c r="F504" s="1896"/>
      <c r="G504" s="1897"/>
      <c r="H504" s="90"/>
      <c r="I504" s="90"/>
      <c r="J504" s="90"/>
      <c r="K504" s="90"/>
      <c r="L504" s="1898"/>
      <c r="M504" s="643"/>
      <c r="N504" s="643"/>
      <c r="O504" s="658"/>
      <c r="P504" s="658"/>
      <c r="Q504" s="1899"/>
      <c r="R504" s="430"/>
      <c r="S504" s="430"/>
      <c r="T504" s="430"/>
      <c r="U504" s="430"/>
      <c r="V504" s="430"/>
      <c r="W504" s="90"/>
      <c r="X504" s="90"/>
      <c r="Y504" s="90"/>
    </row>
    <row r="505" spans="1:25" ht="15.75" customHeight="1">
      <c r="A505" s="79"/>
      <c r="C505" s="90"/>
      <c r="D505" s="1894"/>
      <c r="E505" s="1895"/>
      <c r="F505" s="1896"/>
      <c r="G505" s="1897"/>
      <c r="H505" s="90"/>
      <c r="I505" s="90"/>
      <c r="J505" s="90"/>
      <c r="K505" s="90"/>
      <c r="L505" s="1898"/>
      <c r="M505" s="643"/>
      <c r="N505" s="643"/>
      <c r="O505" s="658"/>
      <c r="P505" s="658"/>
      <c r="Q505" s="1899"/>
      <c r="R505" s="430"/>
      <c r="S505" s="430"/>
      <c r="T505" s="430"/>
      <c r="U505" s="430"/>
      <c r="V505" s="430"/>
      <c r="W505" s="90"/>
      <c r="X505" s="90"/>
      <c r="Y505" s="90"/>
    </row>
    <row r="506" spans="1:25" ht="15.75" customHeight="1">
      <c r="A506" s="79"/>
      <c r="C506" s="90"/>
      <c r="D506" s="1894"/>
      <c r="E506" s="1895"/>
      <c r="F506" s="1896"/>
      <c r="G506" s="1897"/>
      <c r="H506" s="90"/>
      <c r="I506" s="90"/>
      <c r="J506" s="90"/>
      <c r="K506" s="90"/>
      <c r="L506" s="1898"/>
      <c r="M506" s="643"/>
      <c r="N506" s="643"/>
      <c r="O506" s="658"/>
      <c r="P506" s="658"/>
      <c r="Q506" s="1899"/>
      <c r="R506" s="430"/>
      <c r="S506" s="430"/>
      <c r="T506" s="430"/>
      <c r="U506" s="430"/>
      <c r="V506" s="430"/>
      <c r="W506" s="90"/>
      <c r="X506" s="90"/>
      <c r="Y506" s="90"/>
    </row>
    <row r="507" spans="1:25" ht="15.75" customHeight="1">
      <c r="A507" s="79"/>
      <c r="C507" s="90"/>
      <c r="D507" s="1894"/>
      <c r="E507" s="1895"/>
      <c r="F507" s="1896"/>
      <c r="G507" s="1897"/>
      <c r="H507" s="90"/>
      <c r="I507" s="90"/>
      <c r="J507" s="90"/>
      <c r="K507" s="90"/>
      <c r="L507" s="1898"/>
      <c r="M507" s="643"/>
      <c r="N507" s="643"/>
      <c r="O507" s="658"/>
      <c r="P507" s="658"/>
      <c r="Q507" s="1899"/>
      <c r="R507" s="430"/>
      <c r="S507" s="430"/>
      <c r="T507" s="430"/>
      <c r="U507" s="430"/>
      <c r="V507" s="430"/>
      <c r="W507" s="90"/>
      <c r="X507" s="90"/>
      <c r="Y507" s="90"/>
    </row>
    <row r="508" spans="1:25" ht="15.75" customHeight="1">
      <c r="A508" s="79"/>
      <c r="C508" s="90"/>
      <c r="D508" s="1894"/>
      <c r="E508" s="1895"/>
      <c r="F508" s="1896"/>
      <c r="G508" s="1897"/>
      <c r="H508" s="90"/>
      <c r="I508" s="90"/>
      <c r="J508" s="90"/>
      <c r="K508" s="90"/>
      <c r="L508" s="1898"/>
      <c r="M508" s="643"/>
      <c r="N508" s="643"/>
      <c r="O508" s="658"/>
      <c r="P508" s="658"/>
      <c r="Q508" s="1899"/>
      <c r="R508" s="430"/>
      <c r="S508" s="430"/>
      <c r="T508" s="430"/>
      <c r="U508" s="430"/>
      <c r="V508" s="430"/>
      <c r="W508" s="90"/>
      <c r="X508" s="90"/>
      <c r="Y508" s="90"/>
    </row>
    <row r="509" spans="1:25" ht="15.75" customHeight="1">
      <c r="A509" s="79"/>
      <c r="C509" s="90"/>
      <c r="D509" s="1894"/>
      <c r="E509" s="1895"/>
      <c r="F509" s="1896"/>
      <c r="G509" s="1897"/>
      <c r="H509" s="90"/>
      <c r="I509" s="90"/>
      <c r="J509" s="90"/>
      <c r="K509" s="90"/>
      <c r="L509" s="1898"/>
      <c r="M509" s="643"/>
      <c r="N509" s="643"/>
      <c r="O509" s="658"/>
      <c r="P509" s="658"/>
      <c r="Q509" s="1899"/>
      <c r="R509" s="430"/>
      <c r="S509" s="430"/>
      <c r="T509" s="430"/>
      <c r="U509" s="430"/>
      <c r="V509" s="430"/>
      <c r="W509" s="90"/>
      <c r="X509" s="90"/>
      <c r="Y509" s="90"/>
    </row>
    <row r="510" spans="1:25" ht="15.75" customHeight="1">
      <c r="A510" s="79"/>
      <c r="C510" s="90"/>
      <c r="D510" s="1894"/>
      <c r="E510" s="1895"/>
      <c r="F510" s="1896"/>
      <c r="G510" s="1897"/>
      <c r="H510" s="90"/>
      <c r="I510" s="90"/>
      <c r="J510" s="90"/>
      <c r="K510" s="90"/>
      <c r="L510" s="1898"/>
      <c r="M510" s="643"/>
      <c r="N510" s="643"/>
      <c r="O510" s="658"/>
      <c r="P510" s="658"/>
      <c r="Q510" s="1899"/>
      <c r="R510" s="430"/>
      <c r="S510" s="430"/>
      <c r="T510" s="430"/>
      <c r="U510" s="430"/>
      <c r="V510" s="430"/>
      <c r="W510" s="90"/>
      <c r="X510" s="90"/>
      <c r="Y510" s="90"/>
    </row>
    <row r="511" spans="1:25" ht="15.75" customHeight="1">
      <c r="A511" s="79"/>
      <c r="C511" s="90"/>
      <c r="D511" s="1894"/>
      <c r="E511" s="1895"/>
      <c r="F511" s="1896"/>
      <c r="G511" s="1897"/>
      <c r="H511" s="90"/>
      <c r="I511" s="90"/>
      <c r="J511" s="90"/>
      <c r="K511" s="90"/>
      <c r="L511" s="1898"/>
      <c r="M511" s="643"/>
      <c r="N511" s="643"/>
      <c r="O511" s="658"/>
      <c r="P511" s="658"/>
      <c r="Q511" s="1899"/>
      <c r="R511" s="430"/>
      <c r="S511" s="430"/>
      <c r="T511" s="430"/>
      <c r="U511" s="430"/>
      <c r="V511" s="430"/>
      <c r="W511" s="90"/>
      <c r="X511" s="90"/>
      <c r="Y511" s="90"/>
    </row>
    <row r="512" spans="1:25" ht="15.75" customHeight="1">
      <c r="A512" s="79"/>
      <c r="C512" s="90"/>
      <c r="D512" s="1894"/>
      <c r="E512" s="1895"/>
      <c r="F512" s="1896"/>
      <c r="G512" s="1897"/>
      <c r="H512" s="90"/>
      <c r="I512" s="90"/>
      <c r="J512" s="90"/>
      <c r="K512" s="90"/>
      <c r="L512" s="1898"/>
      <c r="M512" s="643"/>
      <c r="N512" s="643"/>
      <c r="O512" s="658"/>
      <c r="P512" s="658"/>
      <c r="Q512" s="1899"/>
      <c r="R512" s="430"/>
      <c r="S512" s="430"/>
      <c r="T512" s="430"/>
      <c r="U512" s="430"/>
      <c r="V512" s="430"/>
      <c r="W512" s="90"/>
      <c r="X512" s="90"/>
      <c r="Y512" s="90"/>
    </row>
    <row r="513" spans="1:25" ht="15.75" customHeight="1">
      <c r="A513" s="79"/>
      <c r="C513" s="90"/>
      <c r="D513" s="1894"/>
      <c r="E513" s="1895"/>
      <c r="F513" s="1896"/>
      <c r="G513" s="1897"/>
      <c r="H513" s="90"/>
      <c r="I513" s="90"/>
      <c r="J513" s="90"/>
      <c r="K513" s="90"/>
      <c r="L513" s="1898"/>
      <c r="M513" s="643"/>
      <c r="N513" s="643"/>
      <c r="O513" s="658"/>
      <c r="P513" s="658"/>
      <c r="Q513" s="1899"/>
      <c r="R513" s="430"/>
      <c r="S513" s="430"/>
      <c r="T513" s="430"/>
      <c r="U513" s="430"/>
      <c r="V513" s="430"/>
      <c r="W513" s="90"/>
      <c r="X513" s="90"/>
      <c r="Y513" s="90"/>
    </row>
    <row r="514" spans="1:25" ht="15.75" customHeight="1">
      <c r="A514" s="79"/>
      <c r="C514" s="90"/>
      <c r="D514" s="1894"/>
      <c r="E514" s="1895"/>
      <c r="F514" s="1896"/>
      <c r="G514" s="1897"/>
      <c r="H514" s="90"/>
      <c r="I514" s="90"/>
      <c r="J514" s="90"/>
      <c r="K514" s="90"/>
      <c r="L514" s="1898"/>
      <c r="M514" s="643"/>
      <c r="N514" s="643"/>
      <c r="O514" s="658"/>
      <c r="P514" s="658"/>
      <c r="Q514" s="1899"/>
      <c r="R514" s="430"/>
      <c r="S514" s="430"/>
      <c r="T514" s="430"/>
      <c r="U514" s="430"/>
      <c r="V514" s="430"/>
      <c r="W514" s="90"/>
      <c r="X514" s="90"/>
      <c r="Y514" s="90"/>
    </row>
    <row r="515" spans="1:25" ht="15.75" customHeight="1">
      <c r="A515" s="79"/>
      <c r="C515" s="90"/>
      <c r="D515" s="1894"/>
      <c r="E515" s="1895"/>
      <c r="F515" s="1896"/>
      <c r="G515" s="1897"/>
      <c r="H515" s="90"/>
      <c r="I515" s="90"/>
      <c r="J515" s="90"/>
      <c r="K515" s="90"/>
      <c r="L515" s="1898"/>
      <c r="M515" s="643"/>
      <c r="N515" s="643"/>
      <c r="O515" s="658"/>
      <c r="P515" s="658"/>
      <c r="Q515" s="1899"/>
      <c r="R515" s="430"/>
      <c r="S515" s="430"/>
      <c r="T515" s="430"/>
      <c r="U515" s="430"/>
      <c r="V515" s="430"/>
      <c r="W515" s="90"/>
      <c r="X515" s="90"/>
      <c r="Y515" s="90"/>
    </row>
    <row r="516" spans="1:25" ht="15.75" customHeight="1">
      <c r="A516" s="79"/>
      <c r="C516" s="90"/>
      <c r="D516" s="1894"/>
      <c r="E516" s="1895"/>
      <c r="F516" s="1896"/>
      <c r="G516" s="1897"/>
      <c r="H516" s="90"/>
      <c r="I516" s="90"/>
      <c r="J516" s="90"/>
      <c r="K516" s="90"/>
      <c r="L516" s="1898"/>
      <c r="M516" s="643"/>
      <c r="N516" s="643"/>
      <c r="O516" s="658"/>
      <c r="P516" s="658"/>
      <c r="Q516" s="1899"/>
      <c r="R516" s="430"/>
      <c r="S516" s="430"/>
      <c r="T516" s="430"/>
      <c r="U516" s="430"/>
      <c r="V516" s="430"/>
      <c r="W516" s="90"/>
      <c r="X516" s="90"/>
      <c r="Y516" s="90"/>
    </row>
    <row r="517" spans="1:25" ht="15.75" customHeight="1">
      <c r="A517" s="79"/>
      <c r="C517" s="90"/>
      <c r="D517" s="1894"/>
      <c r="E517" s="1895"/>
      <c r="F517" s="1896"/>
      <c r="G517" s="1897"/>
      <c r="H517" s="90"/>
      <c r="I517" s="90"/>
      <c r="J517" s="90"/>
      <c r="K517" s="90"/>
      <c r="L517" s="1898"/>
      <c r="M517" s="643"/>
      <c r="N517" s="643"/>
      <c r="O517" s="658"/>
      <c r="P517" s="658"/>
      <c r="Q517" s="1899"/>
      <c r="R517" s="430"/>
      <c r="S517" s="430"/>
      <c r="T517" s="430"/>
      <c r="U517" s="430"/>
      <c r="V517" s="430"/>
      <c r="W517" s="90"/>
      <c r="X517" s="90"/>
      <c r="Y517" s="90"/>
    </row>
    <row r="518" spans="1:25" ht="15.75" customHeight="1">
      <c r="A518" s="79"/>
      <c r="C518" s="90"/>
      <c r="D518" s="1894"/>
      <c r="E518" s="1895"/>
      <c r="F518" s="1896"/>
      <c r="G518" s="1897"/>
      <c r="H518" s="90"/>
      <c r="I518" s="90"/>
      <c r="J518" s="90"/>
      <c r="K518" s="90"/>
      <c r="L518" s="1898"/>
      <c r="M518" s="643"/>
      <c r="N518" s="643"/>
      <c r="O518" s="658"/>
      <c r="P518" s="658"/>
      <c r="Q518" s="1899"/>
      <c r="R518" s="430"/>
      <c r="S518" s="430"/>
      <c r="T518" s="430"/>
      <c r="U518" s="430"/>
      <c r="V518" s="430"/>
      <c r="W518" s="90"/>
      <c r="X518" s="90"/>
      <c r="Y518" s="90"/>
    </row>
    <row r="519" spans="1:25" ht="15.75" customHeight="1">
      <c r="A519" s="79"/>
      <c r="C519" s="90"/>
      <c r="D519" s="1894"/>
      <c r="E519" s="1895"/>
      <c r="F519" s="1896"/>
      <c r="G519" s="1897"/>
      <c r="H519" s="90"/>
      <c r="I519" s="90"/>
      <c r="J519" s="90"/>
      <c r="K519" s="90"/>
      <c r="L519" s="1898"/>
      <c r="M519" s="643"/>
      <c r="N519" s="643"/>
      <c r="O519" s="658"/>
      <c r="P519" s="658"/>
      <c r="Q519" s="1899"/>
      <c r="R519" s="430"/>
      <c r="S519" s="430"/>
      <c r="T519" s="430"/>
      <c r="U519" s="430"/>
      <c r="V519" s="430"/>
      <c r="W519" s="90"/>
      <c r="X519" s="90"/>
      <c r="Y519" s="90"/>
    </row>
    <row r="520" spans="1:25" ht="15.75" customHeight="1">
      <c r="A520" s="79"/>
      <c r="C520" s="90"/>
      <c r="D520" s="1894"/>
      <c r="E520" s="1895"/>
      <c r="F520" s="1896"/>
      <c r="G520" s="1897"/>
      <c r="H520" s="90"/>
      <c r="I520" s="90"/>
      <c r="J520" s="90"/>
      <c r="K520" s="90"/>
      <c r="L520" s="1898"/>
      <c r="M520" s="643"/>
      <c r="N520" s="643"/>
      <c r="O520" s="658"/>
      <c r="P520" s="658"/>
      <c r="Q520" s="1899"/>
      <c r="R520" s="430"/>
      <c r="S520" s="430"/>
      <c r="T520" s="430"/>
      <c r="U520" s="430"/>
      <c r="V520" s="430"/>
      <c r="W520" s="90"/>
      <c r="X520" s="90"/>
      <c r="Y520" s="90"/>
    </row>
    <row r="521" spans="1:25" ht="15.75" customHeight="1">
      <c r="A521" s="79"/>
      <c r="C521" s="90"/>
      <c r="D521" s="1894"/>
      <c r="E521" s="1895"/>
      <c r="F521" s="1896"/>
      <c r="G521" s="1897"/>
      <c r="H521" s="90"/>
      <c r="I521" s="90"/>
      <c r="J521" s="90"/>
      <c r="K521" s="90"/>
      <c r="L521" s="1898"/>
      <c r="M521" s="643"/>
      <c r="N521" s="643"/>
      <c r="O521" s="658"/>
      <c r="P521" s="658"/>
      <c r="Q521" s="1899"/>
      <c r="R521" s="430"/>
      <c r="S521" s="430"/>
      <c r="T521" s="430"/>
      <c r="U521" s="430"/>
      <c r="V521" s="430"/>
      <c r="W521" s="90"/>
      <c r="X521" s="90"/>
      <c r="Y521" s="90"/>
    </row>
    <row r="522" spans="1:25" ht="15.75" customHeight="1">
      <c r="A522" s="79"/>
      <c r="C522" s="90"/>
      <c r="D522" s="1894"/>
      <c r="E522" s="1895"/>
      <c r="F522" s="1896"/>
      <c r="G522" s="1897"/>
      <c r="H522" s="90"/>
      <c r="I522" s="90"/>
      <c r="J522" s="90"/>
      <c r="K522" s="90"/>
      <c r="L522" s="1898"/>
      <c r="M522" s="643"/>
      <c r="N522" s="643"/>
      <c r="O522" s="658"/>
      <c r="P522" s="658"/>
      <c r="Q522" s="1899"/>
      <c r="R522" s="430"/>
      <c r="S522" s="430"/>
      <c r="T522" s="430"/>
      <c r="U522" s="430"/>
      <c r="V522" s="430"/>
      <c r="W522" s="90"/>
      <c r="X522" s="90"/>
      <c r="Y522" s="90"/>
    </row>
    <row r="523" spans="1:25" ht="15.75" customHeight="1">
      <c r="A523" s="79"/>
      <c r="C523" s="90"/>
      <c r="D523" s="1894"/>
      <c r="E523" s="1895"/>
      <c r="F523" s="1896"/>
      <c r="G523" s="1897"/>
      <c r="H523" s="90"/>
      <c r="I523" s="90"/>
      <c r="J523" s="90"/>
      <c r="K523" s="90"/>
      <c r="L523" s="1898"/>
      <c r="M523" s="643"/>
      <c r="N523" s="643"/>
      <c r="O523" s="658"/>
      <c r="P523" s="658"/>
      <c r="Q523" s="1899"/>
      <c r="R523" s="430"/>
      <c r="S523" s="430"/>
      <c r="T523" s="430"/>
      <c r="U523" s="430"/>
      <c r="V523" s="430"/>
      <c r="W523" s="90"/>
      <c r="X523" s="90"/>
      <c r="Y523" s="90"/>
    </row>
    <row r="524" spans="1:25" ht="15.75" customHeight="1">
      <c r="A524" s="79"/>
      <c r="C524" s="90"/>
      <c r="D524" s="1894"/>
      <c r="E524" s="1895"/>
      <c r="F524" s="1896"/>
      <c r="G524" s="1897"/>
      <c r="H524" s="90"/>
      <c r="I524" s="90"/>
      <c r="J524" s="90"/>
      <c r="K524" s="90"/>
      <c r="L524" s="1898"/>
      <c r="M524" s="643"/>
      <c r="N524" s="643"/>
      <c r="O524" s="658"/>
      <c r="P524" s="658"/>
      <c r="Q524" s="1899"/>
      <c r="R524" s="430"/>
      <c r="S524" s="430"/>
      <c r="T524" s="430"/>
      <c r="U524" s="430"/>
      <c r="V524" s="430"/>
      <c r="W524" s="90"/>
      <c r="X524" s="90"/>
      <c r="Y524" s="90"/>
    </row>
    <row r="525" spans="1:25" ht="15.75" customHeight="1">
      <c r="A525" s="79"/>
      <c r="C525" s="90"/>
      <c r="D525" s="1894"/>
      <c r="E525" s="1895"/>
      <c r="F525" s="1896"/>
      <c r="G525" s="1897"/>
      <c r="H525" s="90"/>
      <c r="I525" s="90"/>
      <c r="J525" s="90"/>
      <c r="K525" s="90"/>
      <c r="L525" s="1898"/>
      <c r="M525" s="643"/>
      <c r="N525" s="643"/>
      <c r="O525" s="658"/>
      <c r="P525" s="658"/>
      <c r="Q525" s="1899"/>
      <c r="R525" s="430"/>
      <c r="S525" s="430"/>
      <c r="T525" s="430"/>
      <c r="U525" s="430"/>
      <c r="V525" s="430"/>
      <c r="W525" s="90"/>
      <c r="X525" s="90"/>
      <c r="Y525" s="90"/>
    </row>
    <row r="526" spans="1:25" ht="15.75" customHeight="1">
      <c r="A526" s="79"/>
      <c r="C526" s="90"/>
      <c r="D526" s="1894"/>
      <c r="E526" s="1895"/>
      <c r="F526" s="1896"/>
      <c r="G526" s="1897"/>
      <c r="H526" s="90"/>
      <c r="I526" s="90"/>
      <c r="J526" s="90"/>
      <c r="K526" s="90"/>
      <c r="L526" s="1898"/>
      <c r="M526" s="643"/>
      <c r="N526" s="643"/>
      <c r="O526" s="658"/>
      <c r="P526" s="658"/>
      <c r="Q526" s="1899"/>
      <c r="R526" s="430"/>
      <c r="S526" s="430"/>
      <c r="T526" s="430"/>
      <c r="U526" s="430"/>
      <c r="V526" s="430"/>
      <c r="W526" s="90"/>
      <c r="X526" s="90"/>
      <c r="Y526" s="90"/>
    </row>
    <row r="527" spans="1:25" ht="15.75" customHeight="1">
      <c r="A527" s="79"/>
      <c r="C527" s="90"/>
      <c r="D527" s="1894"/>
      <c r="E527" s="1895"/>
      <c r="F527" s="1896"/>
      <c r="G527" s="1897"/>
      <c r="H527" s="90"/>
      <c r="I527" s="90"/>
      <c r="J527" s="90"/>
      <c r="K527" s="90"/>
      <c r="L527" s="1898"/>
      <c r="M527" s="643"/>
      <c r="N527" s="643"/>
      <c r="O527" s="658"/>
      <c r="P527" s="658"/>
      <c r="Q527" s="1899"/>
      <c r="R527" s="430"/>
      <c r="S527" s="430"/>
      <c r="T527" s="430"/>
      <c r="U527" s="430"/>
      <c r="V527" s="430"/>
      <c r="W527" s="90"/>
      <c r="X527" s="90"/>
      <c r="Y527" s="90"/>
    </row>
    <row r="528" spans="1:25" ht="15.75" customHeight="1">
      <c r="A528" s="79"/>
      <c r="C528" s="90"/>
      <c r="D528" s="1894"/>
      <c r="E528" s="1895"/>
      <c r="F528" s="1896"/>
      <c r="G528" s="1897"/>
      <c r="H528" s="90"/>
      <c r="I528" s="90"/>
      <c r="J528" s="90"/>
      <c r="K528" s="90"/>
      <c r="L528" s="1898"/>
      <c r="M528" s="643"/>
      <c r="N528" s="643"/>
      <c r="O528" s="658"/>
      <c r="P528" s="658"/>
      <c r="Q528" s="1899"/>
      <c r="R528" s="430"/>
      <c r="S528" s="430"/>
      <c r="T528" s="430"/>
      <c r="U528" s="430"/>
      <c r="V528" s="430"/>
      <c r="W528" s="90"/>
      <c r="X528" s="90"/>
      <c r="Y528" s="90"/>
    </row>
    <row r="529" spans="1:25" ht="15.75" customHeight="1">
      <c r="A529" s="79"/>
      <c r="C529" s="90"/>
      <c r="D529" s="1894"/>
      <c r="E529" s="1895"/>
      <c r="F529" s="1896"/>
      <c r="G529" s="1897"/>
      <c r="H529" s="90"/>
      <c r="I529" s="90"/>
      <c r="J529" s="90"/>
      <c r="K529" s="90"/>
      <c r="L529" s="1898"/>
      <c r="M529" s="643"/>
      <c r="N529" s="643"/>
      <c r="O529" s="658"/>
      <c r="P529" s="658"/>
      <c r="Q529" s="1899"/>
      <c r="R529" s="430"/>
      <c r="S529" s="430"/>
      <c r="T529" s="430"/>
      <c r="U529" s="430"/>
      <c r="V529" s="430"/>
      <c r="W529" s="90"/>
      <c r="X529" s="90"/>
      <c r="Y529" s="90"/>
    </row>
    <row r="530" spans="1:25" ht="15.75" customHeight="1">
      <c r="A530" s="79"/>
      <c r="C530" s="90"/>
      <c r="D530" s="1894"/>
      <c r="E530" s="1895"/>
      <c r="F530" s="1896"/>
      <c r="G530" s="1897"/>
      <c r="H530" s="90"/>
      <c r="I530" s="90"/>
      <c r="J530" s="90"/>
      <c r="K530" s="90"/>
      <c r="L530" s="1898"/>
      <c r="M530" s="643"/>
      <c r="N530" s="643"/>
      <c r="O530" s="658"/>
      <c r="P530" s="658"/>
      <c r="Q530" s="1899"/>
      <c r="R530" s="430"/>
      <c r="S530" s="430"/>
      <c r="T530" s="430"/>
      <c r="U530" s="430"/>
      <c r="V530" s="430"/>
      <c r="W530" s="90"/>
      <c r="X530" s="90"/>
      <c r="Y530" s="90"/>
    </row>
    <row r="531" spans="1:25" ht="15.75" customHeight="1">
      <c r="A531" s="79"/>
      <c r="C531" s="90"/>
      <c r="D531" s="1894"/>
      <c r="E531" s="1895"/>
      <c r="F531" s="1896"/>
      <c r="G531" s="1897"/>
      <c r="H531" s="90"/>
      <c r="I531" s="90"/>
      <c r="J531" s="90"/>
      <c r="K531" s="90"/>
      <c r="L531" s="1898"/>
      <c r="M531" s="643"/>
      <c r="N531" s="643"/>
      <c r="O531" s="658"/>
      <c r="P531" s="658"/>
      <c r="Q531" s="1899"/>
      <c r="R531" s="430"/>
      <c r="S531" s="430"/>
      <c r="T531" s="430"/>
      <c r="U531" s="430"/>
      <c r="V531" s="430"/>
      <c r="W531" s="90"/>
      <c r="X531" s="90"/>
      <c r="Y531" s="90"/>
    </row>
    <row r="532" spans="1:25" ht="15.75" customHeight="1">
      <c r="A532" s="79"/>
      <c r="C532" s="90"/>
      <c r="D532" s="1894"/>
      <c r="E532" s="1895"/>
      <c r="F532" s="1896"/>
      <c r="G532" s="1897"/>
      <c r="H532" s="90"/>
      <c r="I532" s="90"/>
      <c r="J532" s="90"/>
      <c r="K532" s="90"/>
      <c r="L532" s="1898"/>
      <c r="M532" s="643"/>
      <c r="N532" s="643"/>
      <c r="O532" s="658"/>
      <c r="P532" s="658"/>
      <c r="Q532" s="1899"/>
      <c r="R532" s="430"/>
      <c r="S532" s="430"/>
      <c r="T532" s="430"/>
      <c r="U532" s="430"/>
      <c r="V532" s="430"/>
      <c r="W532" s="90"/>
      <c r="X532" s="90"/>
      <c r="Y532" s="90"/>
    </row>
    <row r="533" spans="1:25" ht="15.75" customHeight="1">
      <c r="A533" s="79"/>
      <c r="C533" s="90"/>
      <c r="D533" s="1894"/>
      <c r="E533" s="1895"/>
      <c r="F533" s="1896"/>
      <c r="G533" s="1897"/>
      <c r="H533" s="90"/>
      <c r="I533" s="90"/>
      <c r="J533" s="90"/>
      <c r="K533" s="90"/>
      <c r="L533" s="1898"/>
      <c r="M533" s="643"/>
      <c r="N533" s="643"/>
      <c r="O533" s="658"/>
      <c r="P533" s="658"/>
      <c r="Q533" s="1899"/>
      <c r="R533" s="430"/>
      <c r="S533" s="430"/>
      <c r="T533" s="430"/>
      <c r="U533" s="430"/>
      <c r="V533" s="430"/>
      <c r="W533" s="90"/>
      <c r="X533" s="90"/>
      <c r="Y533" s="90"/>
    </row>
    <row r="534" spans="1:25" ht="15.75" customHeight="1">
      <c r="A534" s="79"/>
      <c r="C534" s="90"/>
      <c r="D534" s="1894"/>
      <c r="E534" s="1895"/>
      <c r="F534" s="1896"/>
      <c r="G534" s="1897"/>
      <c r="H534" s="90"/>
      <c r="I534" s="90"/>
      <c r="J534" s="90"/>
      <c r="K534" s="90"/>
      <c r="L534" s="1898"/>
      <c r="M534" s="643"/>
      <c r="N534" s="643"/>
      <c r="O534" s="658"/>
      <c r="P534" s="658"/>
      <c r="Q534" s="1899"/>
      <c r="R534" s="430"/>
      <c r="S534" s="430"/>
      <c r="T534" s="430"/>
      <c r="U534" s="430"/>
      <c r="V534" s="430"/>
      <c r="W534" s="90"/>
      <c r="X534" s="90"/>
      <c r="Y534" s="90"/>
    </row>
    <row r="535" spans="1:25" ht="15.75" customHeight="1">
      <c r="A535" s="79"/>
      <c r="C535" s="90"/>
      <c r="D535" s="1894"/>
      <c r="E535" s="1895"/>
      <c r="F535" s="1896"/>
      <c r="G535" s="1897"/>
      <c r="H535" s="90"/>
      <c r="I535" s="90"/>
      <c r="J535" s="90"/>
      <c r="K535" s="90"/>
      <c r="L535" s="1898"/>
      <c r="M535" s="643"/>
      <c r="N535" s="643"/>
      <c r="O535" s="658"/>
      <c r="P535" s="658"/>
      <c r="Q535" s="1899"/>
      <c r="R535" s="430"/>
      <c r="S535" s="430"/>
      <c r="T535" s="430"/>
      <c r="U535" s="430"/>
      <c r="V535" s="430"/>
      <c r="W535" s="90"/>
      <c r="X535" s="90"/>
      <c r="Y535" s="90"/>
    </row>
    <row r="536" spans="1:25" ht="15.75" customHeight="1">
      <c r="A536" s="79"/>
      <c r="C536" s="90"/>
      <c r="D536" s="1894"/>
      <c r="E536" s="1895"/>
      <c r="F536" s="1896"/>
      <c r="G536" s="1897"/>
      <c r="H536" s="90"/>
      <c r="I536" s="90"/>
      <c r="J536" s="90"/>
      <c r="K536" s="90"/>
      <c r="L536" s="1898"/>
      <c r="M536" s="643"/>
      <c r="N536" s="643"/>
      <c r="O536" s="658"/>
      <c r="P536" s="658"/>
      <c r="Q536" s="1899"/>
      <c r="R536" s="430"/>
      <c r="S536" s="430"/>
      <c r="T536" s="430"/>
      <c r="U536" s="430"/>
      <c r="V536" s="430"/>
      <c r="W536" s="90"/>
      <c r="X536" s="90"/>
      <c r="Y536" s="90"/>
    </row>
    <row r="537" spans="1:25" ht="15.75" customHeight="1">
      <c r="A537" s="79"/>
      <c r="C537" s="90"/>
      <c r="D537" s="1894"/>
      <c r="E537" s="1895"/>
      <c r="F537" s="1896"/>
      <c r="G537" s="1897"/>
      <c r="H537" s="90"/>
      <c r="I537" s="90"/>
      <c r="J537" s="90"/>
      <c r="K537" s="90"/>
      <c r="L537" s="1898"/>
      <c r="M537" s="643"/>
      <c r="N537" s="643"/>
      <c r="O537" s="658"/>
      <c r="P537" s="658"/>
      <c r="Q537" s="1899"/>
      <c r="R537" s="430"/>
      <c r="S537" s="430"/>
      <c r="T537" s="430"/>
      <c r="U537" s="430"/>
      <c r="V537" s="430"/>
      <c r="W537" s="90"/>
      <c r="X537" s="90"/>
      <c r="Y537" s="90"/>
    </row>
    <row r="538" spans="1:25" ht="15.75" customHeight="1">
      <c r="A538" s="79"/>
      <c r="C538" s="90"/>
      <c r="D538" s="1894"/>
      <c r="E538" s="1895"/>
      <c r="F538" s="1896"/>
      <c r="G538" s="1897"/>
      <c r="H538" s="90"/>
      <c r="I538" s="90"/>
      <c r="J538" s="90"/>
      <c r="K538" s="90"/>
      <c r="L538" s="1898"/>
      <c r="M538" s="643"/>
      <c r="N538" s="643"/>
      <c r="O538" s="658"/>
      <c r="P538" s="658"/>
      <c r="Q538" s="1899"/>
      <c r="R538" s="430"/>
      <c r="S538" s="430"/>
      <c r="T538" s="430"/>
      <c r="U538" s="430"/>
      <c r="V538" s="430"/>
      <c r="W538" s="90"/>
      <c r="X538" s="90"/>
      <c r="Y538" s="90"/>
    </row>
    <row r="539" spans="1:25" ht="15.75" customHeight="1">
      <c r="A539" s="79"/>
      <c r="C539" s="90"/>
      <c r="D539" s="1894"/>
      <c r="E539" s="1895"/>
      <c r="F539" s="1896"/>
      <c r="G539" s="1897"/>
      <c r="H539" s="90"/>
      <c r="I539" s="90"/>
      <c r="J539" s="90"/>
      <c r="K539" s="90"/>
      <c r="L539" s="1898"/>
      <c r="M539" s="643"/>
      <c r="N539" s="643"/>
      <c r="O539" s="658"/>
      <c r="P539" s="658"/>
      <c r="Q539" s="1899"/>
      <c r="R539" s="430"/>
      <c r="S539" s="430"/>
      <c r="T539" s="430"/>
      <c r="U539" s="430"/>
      <c r="V539" s="430"/>
      <c r="W539" s="90"/>
      <c r="X539" s="90"/>
      <c r="Y539" s="90"/>
    </row>
    <row r="540" spans="1:25" ht="15.75" customHeight="1">
      <c r="A540" s="79"/>
      <c r="C540" s="90"/>
      <c r="D540" s="1894"/>
      <c r="E540" s="1895"/>
      <c r="F540" s="1896"/>
      <c r="G540" s="1897"/>
      <c r="H540" s="90"/>
      <c r="I540" s="90"/>
      <c r="J540" s="90"/>
      <c r="K540" s="90"/>
      <c r="L540" s="1898"/>
      <c r="M540" s="643"/>
      <c r="N540" s="643"/>
      <c r="O540" s="658"/>
      <c r="P540" s="658"/>
      <c r="Q540" s="1899"/>
      <c r="R540" s="430"/>
      <c r="S540" s="430"/>
      <c r="T540" s="430"/>
      <c r="U540" s="430"/>
      <c r="V540" s="430"/>
      <c r="W540" s="90"/>
      <c r="X540" s="90"/>
      <c r="Y540" s="90"/>
    </row>
    <row r="541" spans="1:25" ht="15.75" customHeight="1">
      <c r="A541" s="79"/>
      <c r="C541" s="90"/>
      <c r="D541" s="1894"/>
      <c r="E541" s="1895"/>
      <c r="F541" s="1896"/>
      <c r="G541" s="1897"/>
      <c r="H541" s="90"/>
      <c r="I541" s="90"/>
      <c r="J541" s="90"/>
      <c r="K541" s="90"/>
      <c r="L541" s="1898"/>
      <c r="M541" s="643"/>
      <c r="N541" s="643"/>
      <c r="O541" s="658"/>
      <c r="P541" s="658"/>
      <c r="Q541" s="1899"/>
      <c r="R541" s="430"/>
      <c r="S541" s="430"/>
      <c r="T541" s="430"/>
      <c r="U541" s="430"/>
      <c r="V541" s="430"/>
      <c r="W541" s="90"/>
      <c r="X541" s="90"/>
      <c r="Y541" s="90"/>
    </row>
    <row r="542" spans="1:25" ht="15.75" customHeight="1">
      <c r="A542" s="79"/>
      <c r="C542" s="90"/>
      <c r="D542" s="1894"/>
      <c r="E542" s="1895"/>
      <c r="F542" s="1896"/>
      <c r="G542" s="1897"/>
      <c r="H542" s="90"/>
      <c r="I542" s="90"/>
      <c r="J542" s="90"/>
      <c r="K542" s="90"/>
      <c r="L542" s="1898"/>
      <c r="M542" s="643"/>
      <c r="N542" s="643"/>
      <c r="O542" s="658"/>
      <c r="P542" s="658"/>
      <c r="Q542" s="1899"/>
      <c r="R542" s="430"/>
      <c r="S542" s="430"/>
      <c r="T542" s="430"/>
      <c r="U542" s="430"/>
      <c r="V542" s="430"/>
      <c r="W542" s="90"/>
      <c r="X542" s="90"/>
      <c r="Y542" s="90"/>
    </row>
    <row r="543" spans="1:25" ht="15.75" customHeight="1">
      <c r="A543" s="79"/>
      <c r="C543" s="90"/>
      <c r="D543" s="1894"/>
      <c r="E543" s="1895"/>
      <c r="F543" s="1896"/>
      <c r="G543" s="1897"/>
      <c r="H543" s="90"/>
      <c r="I543" s="90"/>
      <c r="J543" s="90"/>
      <c r="K543" s="90"/>
      <c r="L543" s="1898"/>
      <c r="M543" s="643"/>
      <c r="N543" s="643"/>
      <c r="O543" s="658"/>
      <c r="P543" s="658"/>
      <c r="Q543" s="1899"/>
      <c r="R543" s="430"/>
      <c r="S543" s="430"/>
      <c r="T543" s="430"/>
      <c r="U543" s="430"/>
      <c r="V543" s="430"/>
      <c r="W543" s="90"/>
      <c r="X543" s="90"/>
      <c r="Y543" s="90"/>
    </row>
    <row r="544" spans="1:25" ht="15.75" customHeight="1">
      <c r="A544" s="79"/>
      <c r="C544" s="90"/>
      <c r="D544" s="1894"/>
      <c r="E544" s="1895"/>
      <c r="F544" s="1896"/>
      <c r="G544" s="1897"/>
      <c r="H544" s="90"/>
      <c r="I544" s="90"/>
      <c r="J544" s="90"/>
      <c r="K544" s="90"/>
      <c r="L544" s="1898"/>
      <c r="M544" s="643"/>
      <c r="N544" s="643"/>
      <c r="O544" s="658"/>
      <c r="P544" s="658"/>
      <c r="Q544" s="1899"/>
      <c r="R544" s="430"/>
      <c r="S544" s="430"/>
      <c r="T544" s="430"/>
      <c r="U544" s="430"/>
      <c r="V544" s="430"/>
      <c r="W544" s="90"/>
      <c r="X544" s="90"/>
      <c r="Y544" s="90"/>
    </row>
    <row r="545" spans="1:25" ht="15.75" customHeight="1">
      <c r="A545" s="79"/>
      <c r="C545" s="90"/>
      <c r="D545" s="1894"/>
      <c r="E545" s="1895"/>
      <c r="F545" s="1896"/>
      <c r="G545" s="1897"/>
      <c r="H545" s="90"/>
      <c r="I545" s="90"/>
      <c r="J545" s="90"/>
      <c r="K545" s="90"/>
      <c r="L545" s="1898"/>
      <c r="M545" s="643"/>
      <c r="N545" s="643"/>
      <c r="O545" s="658"/>
      <c r="P545" s="658"/>
      <c r="Q545" s="1899"/>
      <c r="R545" s="430"/>
      <c r="S545" s="430"/>
      <c r="T545" s="430"/>
      <c r="U545" s="430"/>
      <c r="V545" s="430"/>
      <c r="W545" s="90"/>
      <c r="X545" s="90"/>
      <c r="Y545" s="90"/>
    </row>
    <row r="546" spans="1:25" ht="15.75" customHeight="1">
      <c r="A546" s="79"/>
      <c r="C546" s="90"/>
      <c r="D546" s="1894"/>
      <c r="E546" s="1895"/>
      <c r="F546" s="1896"/>
      <c r="G546" s="1897"/>
      <c r="H546" s="90"/>
      <c r="I546" s="90"/>
      <c r="J546" s="90"/>
      <c r="K546" s="90"/>
      <c r="L546" s="1898"/>
      <c r="M546" s="643"/>
      <c r="N546" s="643"/>
      <c r="O546" s="658"/>
      <c r="P546" s="658"/>
      <c r="Q546" s="1899"/>
      <c r="R546" s="430"/>
      <c r="S546" s="430"/>
      <c r="T546" s="430"/>
      <c r="U546" s="430"/>
      <c r="V546" s="430"/>
      <c r="W546" s="90"/>
      <c r="X546" s="90"/>
      <c r="Y546" s="90"/>
    </row>
    <row r="547" spans="1:25" ht="15.75" customHeight="1">
      <c r="A547" s="79"/>
      <c r="C547" s="90"/>
      <c r="D547" s="1894"/>
      <c r="E547" s="1895"/>
      <c r="F547" s="1896"/>
      <c r="G547" s="1897"/>
      <c r="H547" s="90"/>
      <c r="I547" s="90"/>
      <c r="J547" s="90"/>
      <c r="K547" s="90"/>
      <c r="L547" s="1898"/>
      <c r="M547" s="643"/>
      <c r="N547" s="643"/>
      <c r="O547" s="658"/>
      <c r="P547" s="658"/>
      <c r="Q547" s="1899"/>
      <c r="R547" s="430"/>
      <c r="S547" s="430"/>
      <c r="T547" s="430"/>
      <c r="U547" s="430"/>
      <c r="V547" s="430"/>
      <c r="W547" s="90"/>
      <c r="X547" s="90"/>
      <c r="Y547" s="90"/>
    </row>
    <row r="548" spans="1:25" ht="15.75" customHeight="1">
      <c r="A548" s="79"/>
      <c r="C548" s="90"/>
      <c r="D548" s="1894"/>
      <c r="E548" s="1895"/>
      <c r="F548" s="1896"/>
      <c r="G548" s="1897"/>
      <c r="H548" s="90"/>
      <c r="I548" s="90"/>
      <c r="J548" s="90"/>
      <c r="K548" s="90"/>
      <c r="L548" s="1898"/>
      <c r="M548" s="643"/>
      <c r="N548" s="643"/>
      <c r="O548" s="658"/>
      <c r="P548" s="658"/>
      <c r="Q548" s="1899"/>
      <c r="R548" s="430"/>
      <c r="S548" s="430"/>
      <c r="T548" s="430"/>
      <c r="U548" s="430"/>
      <c r="V548" s="430"/>
      <c r="W548" s="90"/>
      <c r="X548" s="90"/>
      <c r="Y548" s="90"/>
    </row>
    <row r="549" spans="1:25" ht="15.75" customHeight="1">
      <c r="A549" s="79"/>
      <c r="C549" s="90"/>
      <c r="D549" s="1894"/>
      <c r="E549" s="1895"/>
      <c r="F549" s="1896"/>
      <c r="G549" s="1897"/>
      <c r="H549" s="90"/>
      <c r="I549" s="90"/>
      <c r="J549" s="90"/>
      <c r="K549" s="90"/>
      <c r="L549" s="1898"/>
      <c r="M549" s="643"/>
      <c r="N549" s="643"/>
      <c r="O549" s="658"/>
      <c r="P549" s="658"/>
      <c r="Q549" s="1899"/>
      <c r="R549" s="430"/>
      <c r="S549" s="430"/>
      <c r="T549" s="430"/>
      <c r="U549" s="430"/>
      <c r="V549" s="430"/>
      <c r="W549" s="90"/>
      <c r="X549" s="90"/>
      <c r="Y549" s="90"/>
    </row>
    <row r="550" spans="1:25" ht="15.75" customHeight="1">
      <c r="A550" s="79"/>
      <c r="C550" s="90"/>
      <c r="D550" s="1894"/>
      <c r="E550" s="1895"/>
      <c r="F550" s="1896"/>
      <c r="G550" s="1897"/>
      <c r="H550" s="90"/>
      <c r="I550" s="90"/>
      <c r="J550" s="90"/>
      <c r="K550" s="90"/>
      <c r="L550" s="1898"/>
      <c r="M550" s="643"/>
      <c r="N550" s="643"/>
      <c r="O550" s="658"/>
      <c r="P550" s="658"/>
      <c r="Q550" s="1899"/>
      <c r="R550" s="430"/>
      <c r="S550" s="430"/>
      <c r="T550" s="430"/>
      <c r="U550" s="430"/>
      <c r="V550" s="430"/>
      <c r="W550" s="90"/>
      <c r="X550" s="90"/>
      <c r="Y550" s="90"/>
    </row>
    <row r="551" spans="1:25" ht="15.75" customHeight="1">
      <c r="A551" s="79"/>
      <c r="C551" s="90"/>
      <c r="D551" s="1894"/>
      <c r="E551" s="1895"/>
      <c r="F551" s="1896"/>
      <c r="G551" s="1897"/>
      <c r="H551" s="90"/>
      <c r="I551" s="90"/>
      <c r="J551" s="90"/>
      <c r="K551" s="90"/>
      <c r="L551" s="1898"/>
      <c r="M551" s="643"/>
      <c r="N551" s="643"/>
      <c r="O551" s="658"/>
      <c r="P551" s="658"/>
      <c r="Q551" s="1899"/>
      <c r="R551" s="430"/>
      <c r="S551" s="430"/>
      <c r="T551" s="430"/>
      <c r="U551" s="430"/>
      <c r="V551" s="430"/>
      <c r="W551" s="90"/>
      <c r="X551" s="90"/>
      <c r="Y551" s="90"/>
    </row>
    <row r="552" spans="1:25" ht="15.75" customHeight="1">
      <c r="A552" s="79"/>
      <c r="C552" s="90"/>
      <c r="D552" s="1894"/>
      <c r="E552" s="1895"/>
      <c r="F552" s="1896"/>
      <c r="G552" s="1897"/>
      <c r="H552" s="90"/>
      <c r="I552" s="90"/>
      <c r="J552" s="90"/>
      <c r="K552" s="90"/>
      <c r="L552" s="1898"/>
      <c r="M552" s="643"/>
      <c r="N552" s="643"/>
      <c r="O552" s="658"/>
      <c r="P552" s="658"/>
      <c r="Q552" s="1899"/>
      <c r="R552" s="430"/>
      <c r="S552" s="430"/>
      <c r="T552" s="430"/>
      <c r="U552" s="430"/>
      <c r="V552" s="430"/>
      <c r="W552" s="90"/>
      <c r="X552" s="90"/>
      <c r="Y552" s="90"/>
    </row>
    <row r="553" spans="1:25" ht="15.75" customHeight="1">
      <c r="A553" s="79"/>
      <c r="C553" s="90"/>
      <c r="D553" s="1894"/>
      <c r="E553" s="1895"/>
      <c r="F553" s="1896"/>
      <c r="G553" s="1897"/>
      <c r="H553" s="90"/>
      <c r="I553" s="90"/>
      <c r="J553" s="90"/>
      <c r="K553" s="90"/>
      <c r="L553" s="1898"/>
      <c r="M553" s="643"/>
      <c r="N553" s="643"/>
      <c r="O553" s="658"/>
      <c r="P553" s="658"/>
      <c r="Q553" s="1899"/>
      <c r="R553" s="430"/>
      <c r="S553" s="430"/>
      <c r="T553" s="430"/>
      <c r="U553" s="430"/>
      <c r="V553" s="430"/>
      <c r="W553" s="90"/>
      <c r="X553" s="90"/>
      <c r="Y553" s="90"/>
    </row>
    <row r="554" spans="1:25" ht="15.75" customHeight="1">
      <c r="A554" s="79"/>
      <c r="C554" s="90"/>
      <c r="D554" s="1894"/>
      <c r="E554" s="1895"/>
      <c r="F554" s="1896"/>
      <c r="G554" s="1897"/>
      <c r="H554" s="90"/>
      <c r="I554" s="90"/>
      <c r="J554" s="90"/>
      <c r="K554" s="90"/>
      <c r="L554" s="1898"/>
      <c r="M554" s="643"/>
      <c r="N554" s="643"/>
      <c r="O554" s="658"/>
      <c r="P554" s="658"/>
      <c r="Q554" s="1899"/>
      <c r="R554" s="430"/>
      <c r="S554" s="430"/>
      <c r="T554" s="430"/>
      <c r="U554" s="430"/>
      <c r="V554" s="430"/>
      <c r="W554" s="90"/>
      <c r="X554" s="90"/>
      <c r="Y554" s="90"/>
    </row>
    <row r="555" spans="1:25" ht="15.75" customHeight="1">
      <c r="A555" s="79"/>
      <c r="C555" s="90"/>
      <c r="D555" s="1894"/>
      <c r="E555" s="1895"/>
      <c r="F555" s="1896"/>
      <c r="G555" s="1897"/>
      <c r="H555" s="90"/>
      <c r="I555" s="90"/>
      <c r="J555" s="90"/>
      <c r="K555" s="90"/>
      <c r="L555" s="1898"/>
      <c r="M555" s="643"/>
      <c r="N555" s="643"/>
      <c r="O555" s="658"/>
      <c r="P555" s="658"/>
      <c r="Q555" s="1899"/>
      <c r="R555" s="430"/>
      <c r="S555" s="430"/>
      <c r="T555" s="430"/>
      <c r="U555" s="430"/>
      <c r="V555" s="430"/>
      <c r="W555" s="90"/>
      <c r="X555" s="90"/>
      <c r="Y555" s="90"/>
    </row>
    <row r="556" spans="1:25" ht="15.75" customHeight="1">
      <c r="A556" s="79"/>
      <c r="C556" s="90"/>
      <c r="D556" s="1894"/>
      <c r="E556" s="1895"/>
      <c r="F556" s="1896"/>
      <c r="G556" s="1897"/>
      <c r="H556" s="90"/>
      <c r="I556" s="90"/>
      <c r="J556" s="90"/>
      <c r="K556" s="90"/>
      <c r="L556" s="1898"/>
      <c r="M556" s="643"/>
      <c r="N556" s="643"/>
      <c r="O556" s="658"/>
      <c r="P556" s="658"/>
      <c r="Q556" s="1899"/>
      <c r="R556" s="430"/>
      <c r="S556" s="430"/>
      <c r="T556" s="430"/>
      <c r="U556" s="430"/>
      <c r="V556" s="430"/>
      <c r="W556" s="90"/>
      <c r="X556" s="90"/>
      <c r="Y556" s="90"/>
    </row>
    <row r="557" spans="1:25" ht="15.75" customHeight="1">
      <c r="A557" s="79"/>
      <c r="C557" s="90"/>
      <c r="D557" s="1894"/>
      <c r="E557" s="1895"/>
      <c r="F557" s="1896"/>
      <c r="G557" s="1897"/>
      <c r="H557" s="90"/>
      <c r="I557" s="90"/>
      <c r="J557" s="90"/>
      <c r="K557" s="90"/>
      <c r="L557" s="1898"/>
      <c r="M557" s="643"/>
      <c r="N557" s="643"/>
      <c r="O557" s="658"/>
      <c r="P557" s="658"/>
      <c r="Q557" s="1899"/>
      <c r="R557" s="430"/>
      <c r="S557" s="430"/>
      <c r="T557" s="430"/>
      <c r="U557" s="430"/>
      <c r="V557" s="430"/>
      <c r="W557" s="90"/>
      <c r="X557" s="90"/>
      <c r="Y557" s="90"/>
    </row>
    <row r="558" spans="1:25" ht="15.75" customHeight="1">
      <c r="A558" s="79"/>
      <c r="C558" s="90"/>
      <c r="D558" s="1894"/>
      <c r="E558" s="1895"/>
      <c r="F558" s="1896"/>
      <c r="G558" s="1897"/>
      <c r="H558" s="90"/>
      <c r="I558" s="90"/>
      <c r="J558" s="90"/>
      <c r="K558" s="90"/>
      <c r="L558" s="1898"/>
      <c r="M558" s="643"/>
      <c r="N558" s="643"/>
      <c r="O558" s="658"/>
      <c r="P558" s="658"/>
      <c r="Q558" s="1899"/>
      <c r="R558" s="430"/>
      <c r="S558" s="430"/>
      <c r="T558" s="430"/>
      <c r="U558" s="430"/>
      <c r="V558" s="430"/>
      <c r="W558" s="90"/>
      <c r="X558" s="90"/>
      <c r="Y558" s="90"/>
    </row>
    <row r="559" spans="1:25" ht="15.75" customHeight="1">
      <c r="A559" s="79"/>
      <c r="C559" s="90"/>
      <c r="D559" s="1894"/>
      <c r="E559" s="1895"/>
      <c r="F559" s="1896"/>
      <c r="G559" s="1897"/>
      <c r="H559" s="90"/>
      <c r="I559" s="90"/>
      <c r="J559" s="90"/>
      <c r="K559" s="90"/>
      <c r="L559" s="1898"/>
      <c r="M559" s="643"/>
      <c r="N559" s="643"/>
      <c r="O559" s="658"/>
      <c r="P559" s="658"/>
      <c r="Q559" s="1899"/>
      <c r="R559" s="430"/>
      <c r="S559" s="430"/>
      <c r="T559" s="430"/>
      <c r="U559" s="430"/>
      <c r="V559" s="430"/>
      <c r="W559" s="90"/>
      <c r="X559" s="90"/>
      <c r="Y559" s="90"/>
    </row>
    <row r="560" spans="1:25" ht="15.75" customHeight="1">
      <c r="A560" s="79"/>
      <c r="C560" s="90"/>
      <c r="D560" s="1894"/>
      <c r="E560" s="1895"/>
      <c r="F560" s="1896"/>
      <c r="G560" s="1897"/>
      <c r="H560" s="90"/>
      <c r="I560" s="90"/>
      <c r="J560" s="90"/>
      <c r="K560" s="90"/>
      <c r="L560" s="1898"/>
      <c r="M560" s="643"/>
      <c r="N560" s="643"/>
      <c r="O560" s="658"/>
      <c r="P560" s="658"/>
      <c r="Q560" s="1899"/>
      <c r="R560" s="430"/>
      <c r="S560" s="430"/>
      <c r="T560" s="430"/>
      <c r="U560" s="430"/>
      <c r="V560" s="430"/>
      <c r="W560" s="90"/>
      <c r="X560" s="90"/>
      <c r="Y560" s="90"/>
    </row>
    <row r="561" spans="1:25" ht="15.75" customHeight="1">
      <c r="A561" s="79"/>
      <c r="C561" s="90"/>
      <c r="D561" s="1894"/>
      <c r="E561" s="1895"/>
      <c r="F561" s="1896"/>
      <c r="G561" s="1897"/>
      <c r="H561" s="90"/>
      <c r="I561" s="90"/>
      <c r="J561" s="90"/>
      <c r="K561" s="90"/>
      <c r="L561" s="1898"/>
      <c r="M561" s="643"/>
      <c r="N561" s="643"/>
      <c r="O561" s="658"/>
      <c r="P561" s="658"/>
      <c r="Q561" s="1899"/>
      <c r="R561" s="430"/>
      <c r="S561" s="430"/>
      <c r="T561" s="430"/>
      <c r="U561" s="430"/>
      <c r="V561" s="430"/>
      <c r="W561" s="90"/>
      <c r="X561" s="90"/>
      <c r="Y561" s="90"/>
    </row>
    <row r="562" spans="1:25" ht="15.75" customHeight="1">
      <c r="A562" s="79"/>
      <c r="C562" s="90"/>
      <c r="D562" s="1894"/>
      <c r="E562" s="1895"/>
      <c r="F562" s="1896"/>
      <c r="G562" s="1897"/>
      <c r="H562" s="90"/>
      <c r="I562" s="90"/>
      <c r="J562" s="90"/>
      <c r="K562" s="90"/>
      <c r="L562" s="1898"/>
      <c r="M562" s="643"/>
      <c r="N562" s="643"/>
      <c r="O562" s="658"/>
      <c r="P562" s="658"/>
      <c r="Q562" s="1899"/>
      <c r="R562" s="430"/>
      <c r="S562" s="430"/>
      <c r="T562" s="430"/>
      <c r="U562" s="430"/>
      <c r="V562" s="430"/>
      <c r="W562" s="90"/>
      <c r="X562" s="90"/>
      <c r="Y562" s="90"/>
    </row>
    <row r="563" spans="1:25" ht="15.75" customHeight="1">
      <c r="A563" s="79"/>
      <c r="C563" s="90"/>
      <c r="D563" s="1894"/>
      <c r="E563" s="1895"/>
      <c r="F563" s="1896"/>
      <c r="G563" s="1897"/>
      <c r="H563" s="90"/>
      <c r="I563" s="90"/>
      <c r="J563" s="90"/>
      <c r="K563" s="90"/>
      <c r="L563" s="1898"/>
      <c r="M563" s="643"/>
      <c r="N563" s="643"/>
      <c r="O563" s="658"/>
      <c r="P563" s="658"/>
      <c r="Q563" s="1899"/>
      <c r="R563" s="430"/>
      <c r="S563" s="430"/>
      <c r="T563" s="430"/>
      <c r="U563" s="430"/>
      <c r="V563" s="430"/>
      <c r="W563" s="90"/>
      <c r="X563" s="90"/>
      <c r="Y563" s="90"/>
    </row>
    <row r="564" spans="1:25" ht="15.75" customHeight="1">
      <c r="A564" s="79"/>
      <c r="C564" s="90"/>
      <c r="D564" s="1894"/>
      <c r="E564" s="1895"/>
      <c r="F564" s="1896"/>
      <c r="G564" s="1897"/>
      <c r="H564" s="90"/>
      <c r="I564" s="90"/>
      <c r="J564" s="90"/>
      <c r="K564" s="90"/>
      <c r="L564" s="1898"/>
      <c r="M564" s="643"/>
      <c r="N564" s="643"/>
      <c r="O564" s="658"/>
      <c r="P564" s="658"/>
      <c r="Q564" s="1899"/>
      <c r="R564" s="430"/>
      <c r="S564" s="430"/>
      <c r="T564" s="430"/>
      <c r="U564" s="430"/>
      <c r="V564" s="430"/>
      <c r="W564" s="90"/>
      <c r="X564" s="90"/>
      <c r="Y564" s="90"/>
    </row>
    <row r="565" spans="1:25" ht="15.75" customHeight="1">
      <c r="A565" s="79"/>
      <c r="C565" s="90"/>
      <c r="D565" s="1894"/>
      <c r="E565" s="1895"/>
      <c r="F565" s="1896"/>
      <c r="G565" s="1897"/>
      <c r="H565" s="90"/>
      <c r="I565" s="90"/>
      <c r="J565" s="90"/>
      <c r="K565" s="90"/>
      <c r="L565" s="1898"/>
      <c r="M565" s="643"/>
      <c r="N565" s="643"/>
      <c r="O565" s="658"/>
      <c r="P565" s="658"/>
      <c r="Q565" s="1899"/>
      <c r="R565" s="430"/>
      <c r="S565" s="430"/>
      <c r="T565" s="430"/>
      <c r="U565" s="430"/>
      <c r="V565" s="430"/>
      <c r="W565" s="90"/>
      <c r="X565" s="90"/>
      <c r="Y565" s="90"/>
    </row>
    <row r="566" spans="1:25" ht="15.75" customHeight="1">
      <c r="A566" s="79"/>
      <c r="C566" s="90"/>
      <c r="D566" s="1894"/>
      <c r="E566" s="1895"/>
      <c r="F566" s="1896"/>
      <c r="G566" s="1897"/>
      <c r="H566" s="90"/>
      <c r="I566" s="90"/>
      <c r="J566" s="90"/>
      <c r="K566" s="90"/>
      <c r="L566" s="1898"/>
      <c r="M566" s="643"/>
      <c r="N566" s="643"/>
      <c r="O566" s="658"/>
      <c r="P566" s="658"/>
      <c r="Q566" s="1899"/>
      <c r="R566" s="430"/>
      <c r="S566" s="430"/>
      <c r="T566" s="430"/>
      <c r="U566" s="430"/>
      <c r="V566" s="430"/>
      <c r="W566" s="90"/>
      <c r="X566" s="90"/>
      <c r="Y566" s="90"/>
    </row>
    <row r="567" spans="1:25" ht="15.75" customHeight="1">
      <c r="A567" s="79"/>
      <c r="C567" s="90"/>
      <c r="D567" s="1894"/>
      <c r="E567" s="1895"/>
      <c r="F567" s="1896"/>
      <c r="G567" s="1897"/>
      <c r="H567" s="90"/>
      <c r="I567" s="90"/>
      <c r="J567" s="90"/>
      <c r="K567" s="90"/>
      <c r="L567" s="1898"/>
      <c r="M567" s="643"/>
      <c r="N567" s="643"/>
      <c r="O567" s="658"/>
      <c r="P567" s="658"/>
      <c r="Q567" s="1899"/>
      <c r="R567" s="430"/>
      <c r="S567" s="430"/>
      <c r="T567" s="430"/>
      <c r="U567" s="430"/>
      <c r="V567" s="430"/>
      <c r="W567" s="90"/>
      <c r="X567" s="90"/>
      <c r="Y567" s="90"/>
    </row>
    <row r="568" spans="1:25" ht="15.75" customHeight="1">
      <c r="A568" s="79"/>
      <c r="C568" s="90"/>
      <c r="D568" s="1894"/>
      <c r="E568" s="1895"/>
      <c r="F568" s="1896"/>
      <c r="G568" s="1897"/>
      <c r="H568" s="90"/>
      <c r="I568" s="90"/>
      <c r="J568" s="90"/>
      <c r="K568" s="90"/>
      <c r="L568" s="1898"/>
      <c r="M568" s="643"/>
      <c r="N568" s="643"/>
      <c r="O568" s="658"/>
      <c r="P568" s="658"/>
      <c r="Q568" s="1899"/>
      <c r="R568" s="430"/>
      <c r="S568" s="430"/>
      <c r="T568" s="430"/>
      <c r="U568" s="430"/>
      <c r="V568" s="430"/>
      <c r="W568" s="90"/>
      <c r="X568" s="90"/>
      <c r="Y568" s="90"/>
    </row>
    <row r="569" spans="1:25" ht="15.75" customHeight="1">
      <c r="A569" s="79"/>
      <c r="C569" s="90"/>
      <c r="D569" s="1894"/>
      <c r="E569" s="1895"/>
      <c r="F569" s="1896"/>
      <c r="G569" s="1897"/>
      <c r="H569" s="90"/>
      <c r="I569" s="90"/>
      <c r="J569" s="90"/>
      <c r="K569" s="90"/>
      <c r="L569" s="1898"/>
      <c r="M569" s="643"/>
      <c r="N569" s="643"/>
      <c r="O569" s="658"/>
      <c r="P569" s="658"/>
      <c r="Q569" s="1899"/>
      <c r="R569" s="430"/>
      <c r="S569" s="430"/>
      <c r="T569" s="430"/>
      <c r="U569" s="430"/>
      <c r="V569" s="430"/>
      <c r="W569" s="90"/>
      <c r="X569" s="90"/>
      <c r="Y569" s="90"/>
    </row>
    <row r="570" spans="1:25" ht="15.75" customHeight="1">
      <c r="A570" s="79"/>
      <c r="C570" s="90"/>
      <c r="D570" s="1894"/>
      <c r="E570" s="1895"/>
      <c r="F570" s="1896"/>
      <c r="G570" s="1897"/>
      <c r="H570" s="90"/>
      <c r="I570" s="90"/>
      <c r="J570" s="90"/>
      <c r="K570" s="90"/>
      <c r="L570" s="1898"/>
      <c r="M570" s="643"/>
      <c r="N570" s="643"/>
      <c r="O570" s="658"/>
      <c r="P570" s="658"/>
      <c r="Q570" s="1899"/>
      <c r="R570" s="430"/>
      <c r="S570" s="430"/>
      <c r="T570" s="430"/>
      <c r="U570" s="430"/>
      <c r="V570" s="430"/>
      <c r="W570" s="90"/>
      <c r="X570" s="90"/>
      <c r="Y570" s="90"/>
    </row>
    <row r="571" spans="1:25" ht="15.75" customHeight="1">
      <c r="A571" s="79"/>
      <c r="C571" s="90"/>
      <c r="D571" s="1894"/>
      <c r="E571" s="1895"/>
      <c r="F571" s="1896"/>
      <c r="G571" s="1897"/>
      <c r="H571" s="90"/>
      <c r="I571" s="90"/>
      <c r="J571" s="90"/>
      <c r="K571" s="90"/>
      <c r="L571" s="1898"/>
      <c r="M571" s="643"/>
      <c r="N571" s="643"/>
      <c r="O571" s="658"/>
      <c r="P571" s="658"/>
      <c r="Q571" s="1899"/>
      <c r="R571" s="430"/>
      <c r="S571" s="430"/>
      <c r="T571" s="430"/>
      <c r="U571" s="430"/>
      <c r="V571" s="430"/>
      <c r="W571" s="90"/>
      <c r="X571" s="90"/>
      <c r="Y571" s="90"/>
    </row>
    <row r="572" spans="1:25" ht="15.75" customHeight="1">
      <c r="A572" s="79"/>
      <c r="C572" s="90"/>
      <c r="D572" s="1894"/>
      <c r="E572" s="1895"/>
      <c r="F572" s="1896"/>
      <c r="G572" s="1897"/>
      <c r="H572" s="90"/>
      <c r="I572" s="90"/>
      <c r="J572" s="90"/>
      <c r="K572" s="90"/>
      <c r="L572" s="1898"/>
      <c r="M572" s="643"/>
      <c r="N572" s="643"/>
      <c r="O572" s="658"/>
      <c r="P572" s="658"/>
      <c r="Q572" s="1899"/>
      <c r="R572" s="430"/>
      <c r="S572" s="430"/>
      <c r="T572" s="430"/>
      <c r="U572" s="430"/>
      <c r="V572" s="430"/>
      <c r="W572" s="90"/>
      <c r="X572" s="90"/>
      <c r="Y572" s="90"/>
    </row>
    <row r="573" spans="1:25" ht="15.75" customHeight="1">
      <c r="A573" s="79"/>
      <c r="C573" s="90"/>
      <c r="D573" s="1894"/>
      <c r="E573" s="1895"/>
      <c r="F573" s="1896"/>
      <c r="G573" s="1897"/>
      <c r="H573" s="90"/>
      <c r="I573" s="90"/>
      <c r="J573" s="90"/>
      <c r="K573" s="90"/>
      <c r="L573" s="1898"/>
      <c r="M573" s="643"/>
      <c r="N573" s="643"/>
      <c r="O573" s="658"/>
      <c r="P573" s="658"/>
      <c r="Q573" s="1899"/>
      <c r="R573" s="430"/>
      <c r="S573" s="430"/>
      <c r="T573" s="430"/>
      <c r="U573" s="430"/>
      <c r="V573" s="430"/>
      <c r="W573" s="90"/>
      <c r="X573" s="90"/>
      <c r="Y573" s="90"/>
    </row>
    <row r="574" spans="1:25" ht="15.75" customHeight="1">
      <c r="A574" s="79"/>
      <c r="C574" s="90"/>
      <c r="D574" s="1894"/>
      <c r="E574" s="1895"/>
      <c r="F574" s="1896"/>
      <c r="G574" s="1897"/>
      <c r="H574" s="90"/>
      <c r="I574" s="90"/>
      <c r="J574" s="90"/>
      <c r="K574" s="90"/>
      <c r="L574" s="1898"/>
      <c r="M574" s="643"/>
      <c r="N574" s="643"/>
      <c r="O574" s="658"/>
      <c r="P574" s="658"/>
      <c r="Q574" s="1899"/>
      <c r="R574" s="430"/>
      <c r="S574" s="430"/>
      <c r="T574" s="430"/>
      <c r="U574" s="430"/>
      <c r="V574" s="430"/>
      <c r="W574" s="90"/>
      <c r="X574" s="90"/>
      <c r="Y574" s="90"/>
    </row>
    <row r="575" spans="1:25" ht="15.75" customHeight="1">
      <c r="A575" s="79"/>
      <c r="C575" s="90"/>
      <c r="D575" s="1894"/>
      <c r="E575" s="1895"/>
      <c r="F575" s="1896"/>
      <c r="G575" s="1897"/>
      <c r="H575" s="90"/>
      <c r="I575" s="90"/>
      <c r="J575" s="90"/>
      <c r="K575" s="90"/>
      <c r="L575" s="1898"/>
      <c r="M575" s="643"/>
      <c r="N575" s="643"/>
      <c r="O575" s="658"/>
      <c r="P575" s="658"/>
      <c r="Q575" s="1899"/>
      <c r="R575" s="430"/>
      <c r="S575" s="430"/>
      <c r="T575" s="430"/>
      <c r="U575" s="430"/>
      <c r="V575" s="430"/>
      <c r="W575" s="90"/>
      <c r="X575" s="90"/>
      <c r="Y575" s="90"/>
    </row>
    <row r="576" spans="1:25" ht="15.75" customHeight="1">
      <c r="A576" s="79"/>
      <c r="C576" s="90"/>
      <c r="D576" s="1894"/>
      <c r="E576" s="1895"/>
      <c r="F576" s="1896"/>
      <c r="G576" s="1897"/>
      <c r="H576" s="90"/>
      <c r="I576" s="90"/>
      <c r="J576" s="90"/>
      <c r="K576" s="90"/>
      <c r="L576" s="1898"/>
      <c r="M576" s="643"/>
      <c r="N576" s="643"/>
      <c r="O576" s="658"/>
      <c r="P576" s="658"/>
      <c r="Q576" s="1899"/>
      <c r="R576" s="430"/>
      <c r="S576" s="430"/>
      <c r="T576" s="430"/>
      <c r="U576" s="430"/>
      <c r="V576" s="430"/>
      <c r="W576" s="90"/>
      <c r="X576" s="90"/>
      <c r="Y576" s="90"/>
    </row>
    <row r="577" spans="1:25" ht="15.75" customHeight="1">
      <c r="A577" s="79"/>
      <c r="C577" s="90"/>
      <c r="D577" s="1894"/>
      <c r="E577" s="1895"/>
      <c r="F577" s="1896"/>
      <c r="G577" s="1897"/>
      <c r="H577" s="90"/>
      <c r="I577" s="90"/>
      <c r="J577" s="90"/>
      <c r="K577" s="90"/>
      <c r="L577" s="1898"/>
      <c r="M577" s="643"/>
      <c r="N577" s="643"/>
      <c r="O577" s="658"/>
      <c r="P577" s="658"/>
      <c r="Q577" s="1899"/>
      <c r="R577" s="430"/>
      <c r="S577" s="430"/>
      <c r="T577" s="430"/>
      <c r="U577" s="430"/>
      <c r="V577" s="430"/>
      <c r="W577" s="90"/>
      <c r="X577" s="90"/>
      <c r="Y577" s="90"/>
    </row>
    <row r="578" spans="1:25" ht="15.75" customHeight="1">
      <c r="A578" s="79"/>
      <c r="C578" s="90"/>
      <c r="D578" s="1894"/>
      <c r="E578" s="1895"/>
      <c r="F578" s="1896"/>
      <c r="G578" s="1897"/>
      <c r="H578" s="90"/>
      <c r="I578" s="90"/>
      <c r="J578" s="90"/>
      <c r="K578" s="90"/>
      <c r="L578" s="1898"/>
      <c r="M578" s="643"/>
      <c r="N578" s="643"/>
      <c r="O578" s="658"/>
      <c r="P578" s="658"/>
      <c r="Q578" s="1899"/>
      <c r="R578" s="430"/>
      <c r="S578" s="430"/>
      <c r="T578" s="430"/>
      <c r="U578" s="430"/>
      <c r="V578" s="430"/>
      <c r="W578" s="90"/>
      <c r="X578" s="90"/>
      <c r="Y578" s="90"/>
    </row>
    <row r="579" spans="1:25" ht="15.75" customHeight="1">
      <c r="A579" s="79"/>
      <c r="C579" s="90"/>
      <c r="D579" s="1894"/>
      <c r="E579" s="1895"/>
      <c r="F579" s="1896"/>
      <c r="G579" s="1897"/>
      <c r="H579" s="90"/>
      <c r="I579" s="90"/>
      <c r="J579" s="90"/>
      <c r="K579" s="90"/>
      <c r="L579" s="1898"/>
      <c r="M579" s="643"/>
      <c r="N579" s="643"/>
      <c r="O579" s="658"/>
      <c r="P579" s="658"/>
      <c r="Q579" s="1899"/>
      <c r="R579" s="430"/>
      <c r="S579" s="430"/>
      <c r="T579" s="430"/>
      <c r="U579" s="430"/>
      <c r="V579" s="430"/>
      <c r="W579" s="90"/>
      <c r="X579" s="90"/>
      <c r="Y579" s="90"/>
    </row>
    <row r="580" spans="1:25" ht="15.75" customHeight="1">
      <c r="A580" s="79"/>
      <c r="C580" s="90"/>
      <c r="D580" s="1894"/>
      <c r="E580" s="1895"/>
      <c r="F580" s="1896"/>
      <c r="G580" s="1897"/>
      <c r="H580" s="90"/>
      <c r="I580" s="90"/>
      <c r="J580" s="90"/>
      <c r="K580" s="90"/>
      <c r="L580" s="1898"/>
      <c r="M580" s="643"/>
      <c r="N580" s="643"/>
      <c r="O580" s="658"/>
      <c r="P580" s="658"/>
      <c r="Q580" s="1899"/>
      <c r="R580" s="430"/>
      <c r="S580" s="430"/>
      <c r="T580" s="430"/>
      <c r="U580" s="430"/>
      <c r="V580" s="430"/>
      <c r="W580" s="90"/>
      <c r="X580" s="90"/>
      <c r="Y580" s="90"/>
    </row>
    <row r="581" spans="1:25" ht="15.75" customHeight="1">
      <c r="A581" s="79"/>
      <c r="C581" s="90"/>
      <c r="D581" s="1894"/>
      <c r="E581" s="1895"/>
      <c r="F581" s="1896"/>
      <c r="G581" s="1897"/>
      <c r="H581" s="90"/>
      <c r="I581" s="90"/>
      <c r="J581" s="90"/>
      <c r="K581" s="90"/>
      <c r="L581" s="1898"/>
      <c r="M581" s="643"/>
      <c r="N581" s="643"/>
      <c r="O581" s="658"/>
      <c r="P581" s="658"/>
      <c r="Q581" s="1899"/>
      <c r="R581" s="430"/>
      <c r="S581" s="430"/>
      <c r="T581" s="430"/>
      <c r="U581" s="430"/>
      <c r="V581" s="430"/>
      <c r="W581" s="90"/>
      <c r="X581" s="90"/>
      <c r="Y581" s="90"/>
    </row>
    <row r="582" spans="1:25" ht="15.75" customHeight="1">
      <c r="A582" s="79"/>
      <c r="C582" s="90"/>
      <c r="D582" s="1894"/>
      <c r="E582" s="1895"/>
      <c r="F582" s="1896"/>
      <c r="G582" s="1897"/>
      <c r="H582" s="90"/>
      <c r="I582" s="90"/>
      <c r="J582" s="90"/>
      <c r="K582" s="90"/>
      <c r="L582" s="1898"/>
      <c r="M582" s="643"/>
      <c r="N582" s="643"/>
      <c r="O582" s="658"/>
      <c r="P582" s="658"/>
      <c r="Q582" s="1899"/>
      <c r="R582" s="430"/>
      <c r="S582" s="430"/>
      <c r="T582" s="430"/>
      <c r="U582" s="430"/>
      <c r="V582" s="430"/>
      <c r="W582" s="90"/>
      <c r="X582" s="90"/>
      <c r="Y582" s="90"/>
    </row>
    <row r="583" spans="1:25" ht="15.75" customHeight="1">
      <c r="A583" s="79"/>
      <c r="C583" s="90"/>
      <c r="D583" s="1894"/>
      <c r="E583" s="1895"/>
      <c r="F583" s="1896"/>
      <c r="G583" s="1897"/>
      <c r="H583" s="90"/>
      <c r="I583" s="90"/>
      <c r="J583" s="90"/>
      <c r="K583" s="90"/>
      <c r="L583" s="1898"/>
      <c r="M583" s="643"/>
      <c r="N583" s="643"/>
      <c r="O583" s="658"/>
      <c r="P583" s="658"/>
      <c r="Q583" s="1899"/>
      <c r="R583" s="430"/>
      <c r="S583" s="430"/>
      <c r="T583" s="430"/>
      <c r="U583" s="430"/>
      <c r="V583" s="430"/>
      <c r="W583" s="90"/>
      <c r="X583" s="90"/>
      <c r="Y583" s="90"/>
    </row>
    <row r="584" spans="1:25" ht="15.75" customHeight="1">
      <c r="A584" s="79"/>
      <c r="C584" s="90"/>
      <c r="D584" s="1894"/>
      <c r="E584" s="1895"/>
      <c r="F584" s="1896"/>
      <c r="G584" s="1897"/>
      <c r="H584" s="90"/>
      <c r="I584" s="90"/>
      <c r="J584" s="90"/>
      <c r="K584" s="90"/>
      <c r="L584" s="1898"/>
      <c r="M584" s="643"/>
      <c r="N584" s="643"/>
      <c r="O584" s="658"/>
      <c r="P584" s="658"/>
      <c r="Q584" s="1899"/>
      <c r="R584" s="430"/>
      <c r="S584" s="430"/>
      <c r="T584" s="430"/>
      <c r="U584" s="430"/>
      <c r="V584" s="430"/>
      <c r="W584" s="90"/>
      <c r="X584" s="90"/>
      <c r="Y584" s="90"/>
    </row>
    <row r="585" spans="1:25" ht="15.75" customHeight="1">
      <c r="A585" s="79"/>
      <c r="C585" s="90"/>
      <c r="D585" s="1894"/>
      <c r="E585" s="1895"/>
      <c r="F585" s="1896"/>
      <c r="G585" s="1897"/>
      <c r="H585" s="90"/>
      <c r="I585" s="90"/>
      <c r="J585" s="90"/>
      <c r="K585" s="90"/>
      <c r="L585" s="1898"/>
      <c r="M585" s="643"/>
      <c r="N585" s="643"/>
      <c r="O585" s="658"/>
      <c r="P585" s="658"/>
      <c r="Q585" s="1899"/>
      <c r="R585" s="430"/>
      <c r="S585" s="430"/>
      <c r="T585" s="430"/>
      <c r="U585" s="430"/>
      <c r="V585" s="430"/>
      <c r="W585" s="90"/>
      <c r="X585" s="90"/>
      <c r="Y585" s="90"/>
    </row>
    <row r="586" spans="1:25" ht="15.75" customHeight="1">
      <c r="A586" s="79"/>
      <c r="C586" s="90"/>
      <c r="D586" s="1894"/>
      <c r="E586" s="1895"/>
      <c r="F586" s="1896"/>
      <c r="G586" s="1897"/>
      <c r="H586" s="90"/>
      <c r="I586" s="90"/>
      <c r="J586" s="90"/>
      <c r="K586" s="90"/>
      <c r="L586" s="1898"/>
      <c r="M586" s="643"/>
      <c r="N586" s="643"/>
      <c r="O586" s="658"/>
      <c r="P586" s="658"/>
      <c r="Q586" s="1899"/>
      <c r="R586" s="430"/>
      <c r="S586" s="430"/>
      <c r="T586" s="430"/>
      <c r="U586" s="430"/>
      <c r="V586" s="430"/>
      <c r="W586" s="90"/>
      <c r="X586" s="90"/>
      <c r="Y586" s="90"/>
    </row>
    <row r="587" spans="1:25" ht="15.75" customHeight="1">
      <c r="A587" s="79"/>
      <c r="C587" s="90"/>
      <c r="D587" s="1894"/>
      <c r="E587" s="1895"/>
      <c r="F587" s="1896"/>
      <c r="G587" s="1897"/>
      <c r="H587" s="90"/>
      <c r="I587" s="90"/>
      <c r="J587" s="90"/>
      <c r="K587" s="90"/>
      <c r="L587" s="1898"/>
      <c r="M587" s="643"/>
      <c r="N587" s="643"/>
      <c r="O587" s="658"/>
      <c r="P587" s="658"/>
      <c r="Q587" s="1899"/>
      <c r="R587" s="430"/>
      <c r="S587" s="430"/>
      <c r="T587" s="430"/>
      <c r="U587" s="430"/>
      <c r="V587" s="430"/>
      <c r="W587" s="90"/>
      <c r="X587" s="90"/>
      <c r="Y587" s="90"/>
    </row>
    <row r="588" spans="1:25" ht="15.75" customHeight="1">
      <c r="A588" s="79"/>
      <c r="C588" s="90"/>
      <c r="D588" s="1894"/>
      <c r="E588" s="1895"/>
      <c r="F588" s="1896"/>
      <c r="G588" s="1897"/>
      <c r="H588" s="90"/>
      <c r="I588" s="90"/>
      <c r="J588" s="90"/>
      <c r="K588" s="90"/>
      <c r="L588" s="1898"/>
      <c r="M588" s="643"/>
      <c r="N588" s="643"/>
      <c r="O588" s="658"/>
      <c r="P588" s="658"/>
      <c r="Q588" s="1899"/>
      <c r="R588" s="430"/>
      <c r="S588" s="430"/>
      <c r="T588" s="430"/>
      <c r="U588" s="430"/>
      <c r="V588" s="430"/>
      <c r="W588" s="90"/>
      <c r="X588" s="90"/>
      <c r="Y588" s="90"/>
    </row>
    <row r="589" spans="1:25" ht="15.75" customHeight="1">
      <c r="A589" s="79"/>
      <c r="C589" s="90"/>
      <c r="D589" s="1894"/>
      <c r="E589" s="1895"/>
      <c r="F589" s="1896"/>
      <c r="G589" s="1897"/>
      <c r="H589" s="90"/>
      <c r="I589" s="90"/>
      <c r="J589" s="90"/>
      <c r="K589" s="90"/>
      <c r="L589" s="1898"/>
      <c r="M589" s="643"/>
      <c r="N589" s="643"/>
      <c r="O589" s="658"/>
      <c r="P589" s="658"/>
      <c r="Q589" s="1899"/>
      <c r="R589" s="430"/>
      <c r="S589" s="430"/>
      <c r="T589" s="430"/>
      <c r="U589" s="430"/>
      <c r="V589" s="430"/>
      <c r="W589" s="90"/>
      <c r="X589" s="90"/>
      <c r="Y589" s="90"/>
    </row>
    <row r="590" spans="1:25" ht="15.75" customHeight="1">
      <c r="A590" s="79"/>
      <c r="C590" s="90"/>
      <c r="D590" s="1894"/>
      <c r="E590" s="1895"/>
      <c r="F590" s="1896"/>
      <c r="G590" s="1897"/>
      <c r="H590" s="90"/>
      <c r="I590" s="90"/>
      <c r="J590" s="90"/>
      <c r="K590" s="90"/>
      <c r="L590" s="1898"/>
      <c r="M590" s="643"/>
      <c r="N590" s="643"/>
      <c r="O590" s="658"/>
      <c r="P590" s="658"/>
      <c r="Q590" s="1899"/>
      <c r="R590" s="430"/>
      <c r="S590" s="430"/>
      <c r="T590" s="430"/>
      <c r="U590" s="430"/>
      <c r="V590" s="430"/>
      <c r="W590" s="90"/>
      <c r="X590" s="90"/>
      <c r="Y590" s="90"/>
    </row>
    <row r="591" spans="1:25" ht="15.75" customHeight="1">
      <c r="A591" s="79"/>
      <c r="C591" s="90"/>
      <c r="D591" s="1894"/>
      <c r="E591" s="1895"/>
      <c r="F591" s="1896"/>
      <c r="G591" s="1897"/>
      <c r="H591" s="90"/>
      <c r="I591" s="90"/>
      <c r="J591" s="90"/>
      <c r="K591" s="90"/>
      <c r="L591" s="1898"/>
      <c r="M591" s="643"/>
      <c r="N591" s="643"/>
      <c r="O591" s="658"/>
      <c r="P591" s="658"/>
      <c r="Q591" s="1899"/>
      <c r="R591" s="430"/>
      <c r="S591" s="430"/>
      <c r="T591" s="430"/>
      <c r="U591" s="430"/>
      <c r="V591" s="430"/>
      <c r="W591" s="90"/>
      <c r="X591" s="90"/>
      <c r="Y591" s="90"/>
    </row>
    <row r="592" spans="1:25" ht="15.75" customHeight="1">
      <c r="A592" s="79"/>
      <c r="C592" s="90"/>
      <c r="D592" s="1894"/>
      <c r="E592" s="1895"/>
      <c r="F592" s="1896"/>
      <c r="G592" s="1897"/>
      <c r="H592" s="90"/>
      <c r="I592" s="90"/>
      <c r="J592" s="90"/>
      <c r="K592" s="90"/>
      <c r="L592" s="1898"/>
      <c r="M592" s="643"/>
      <c r="N592" s="643"/>
      <c r="O592" s="658"/>
      <c r="P592" s="658"/>
      <c r="Q592" s="1899"/>
      <c r="R592" s="430"/>
      <c r="S592" s="430"/>
      <c r="T592" s="430"/>
      <c r="U592" s="430"/>
      <c r="V592" s="430"/>
      <c r="W592" s="90"/>
      <c r="X592" s="90"/>
      <c r="Y592" s="90"/>
    </row>
    <row r="593" spans="1:25" ht="15.75" customHeight="1">
      <c r="A593" s="79"/>
      <c r="C593" s="90"/>
      <c r="D593" s="1894"/>
      <c r="E593" s="1895"/>
      <c r="F593" s="1896"/>
      <c r="G593" s="1897"/>
      <c r="H593" s="90"/>
      <c r="I593" s="90"/>
      <c r="J593" s="90"/>
      <c r="K593" s="90"/>
      <c r="L593" s="1898"/>
      <c r="M593" s="643"/>
      <c r="N593" s="643"/>
      <c r="O593" s="658"/>
      <c r="P593" s="658"/>
      <c r="Q593" s="1899"/>
      <c r="R593" s="430"/>
      <c r="S593" s="430"/>
      <c r="T593" s="430"/>
      <c r="U593" s="430"/>
      <c r="V593" s="430"/>
      <c r="W593" s="90"/>
      <c r="X593" s="90"/>
      <c r="Y593" s="90"/>
    </row>
    <row r="594" spans="1:25" ht="15.75" customHeight="1">
      <c r="A594" s="79"/>
      <c r="C594" s="90"/>
      <c r="D594" s="1894"/>
      <c r="E594" s="1895"/>
      <c r="F594" s="1896"/>
      <c r="G594" s="1897"/>
      <c r="H594" s="90"/>
      <c r="I594" s="90"/>
      <c r="J594" s="90"/>
      <c r="K594" s="90"/>
      <c r="L594" s="1898"/>
      <c r="M594" s="643"/>
      <c r="N594" s="643"/>
      <c r="O594" s="658"/>
      <c r="P594" s="658"/>
      <c r="Q594" s="1899"/>
      <c r="R594" s="430"/>
      <c r="S594" s="430"/>
      <c r="T594" s="430"/>
      <c r="U594" s="430"/>
      <c r="V594" s="430"/>
      <c r="W594" s="90"/>
      <c r="X594" s="90"/>
      <c r="Y594" s="90"/>
    </row>
    <row r="595" spans="1:25" ht="15.75" customHeight="1">
      <c r="A595" s="79"/>
      <c r="C595" s="90"/>
      <c r="D595" s="1894"/>
      <c r="E595" s="1895"/>
      <c r="F595" s="1896"/>
      <c r="G595" s="1897"/>
      <c r="H595" s="90"/>
      <c r="I595" s="90"/>
      <c r="J595" s="90"/>
      <c r="K595" s="90"/>
      <c r="L595" s="1898"/>
      <c r="M595" s="643"/>
      <c r="N595" s="643"/>
      <c r="O595" s="658"/>
      <c r="P595" s="658"/>
      <c r="Q595" s="1899"/>
      <c r="R595" s="430"/>
      <c r="S595" s="430"/>
      <c r="T595" s="430"/>
      <c r="U595" s="430"/>
      <c r="V595" s="430"/>
      <c r="W595" s="90"/>
      <c r="X595" s="90"/>
      <c r="Y595" s="90"/>
    </row>
    <row r="596" spans="1:25" ht="15.75" customHeight="1">
      <c r="A596" s="79"/>
      <c r="C596" s="90"/>
      <c r="D596" s="1894"/>
      <c r="E596" s="1895"/>
      <c r="F596" s="1896"/>
      <c r="G596" s="1897"/>
      <c r="H596" s="90"/>
      <c r="I596" s="90"/>
      <c r="J596" s="90"/>
      <c r="K596" s="90"/>
      <c r="L596" s="1898"/>
      <c r="M596" s="643"/>
      <c r="N596" s="643"/>
      <c r="O596" s="658"/>
      <c r="P596" s="658"/>
      <c r="Q596" s="1899"/>
      <c r="R596" s="430"/>
      <c r="S596" s="430"/>
      <c r="T596" s="430"/>
      <c r="U596" s="430"/>
      <c r="V596" s="430"/>
      <c r="W596" s="90"/>
      <c r="X596" s="90"/>
      <c r="Y596" s="90"/>
    </row>
    <row r="597" spans="1:25" ht="15.75" customHeight="1">
      <c r="A597" s="79"/>
      <c r="C597" s="90"/>
      <c r="D597" s="1894"/>
      <c r="E597" s="1895"/>
      <c r="F597" s="1896"/>
      <c r="G597" s="1897"/>
      <c r="H597" s="90"/>
      <c r="I597" s="90"/>
      <c r="J597" s="90"/>
      <c r="K597" s="90"/>
      <c r="L597" s="1898"/>
      <c r="M597" s="643"/>
      <c r="N597" s="643"/>
      <c r="O597" s="658"/>
      <c r="P597" s="658"/>
      <c r="Q597" s="1899"/>
      <c r="R597" s="430"/>
      <c r="S597" s="430"/>
      <c r="T597" s="430"/>
      <c r="U597" s="430"/>
      <c r="V597" s="430"/>
      <c r="W597" s="90"/>
      <c r="X597" s="90"/>
      <c r="Y597" s="90"/>
    </row>
    <row r="598" spans="1:25" ht="15.75" customHeight="1">
      <c r="A598" s="79"/>
      <c r="C598" s="90"/>
      <c r="D598" s="1894"/>
      <c r="E598" s="1895"/>
      <c r="F598" s="1896"/>
      <c r="G598" s="1897"/>
      <c r="H598" s="90"/>
      <c r="I598" s="90"/>
      <c r="J598" s="90"/>
      <c r="K598" s="90"/>
      <c r="L598" s="1898"/>
      <c r="M598" s="643"/>
      <c r="N598" s="643"/>
      <c r="O598" s="658"/>
      <c r="P598" s="658"/>
      <c r="Q598" s="1899"/>
      <c r="R598" s="430"/>
      <c r="S598" s="430"/>
      <c r="T598" s="430"/>
      <c r="U598" s="430"/>
      <c r="V598" s="430"/>
      <c r="W598" s="90"/>
      <c r="X598" s="90"/>
      <c r="Y598" s="90"/>
    </row>
    <row r="599" spans="1:25" ht="15.75" customHeight="1">
      <c r="A599" s="79"/>
      <c r="C599" s="90"/>
      <c r="D599" s="1894"/>
      <c r="E599" s="1895"/>
      <c r="F599" s="1896"/>
      <c r="G599" s="1897"/>
      <c r="H599" s="90"/>
      <c r="I599" s="90"/>
      <c r="J599" s="90"/>
      <c r="K599" s="90"/>
      <c r="L599" s="1898"/>
      <c r="M599" s="643"/>
      <c r="N599" s="643"/>
      <c r="O599" s="658"/>
      <c r="P599" s="658"/>
      <c r="Q599" s="1899"/>
      <c r="R599" s="430"/>
      <c r="S599" s="430"/>
      <c r="T599" s="430"/>
      <c r="U599" s="430"/>
      <c r="V599" s="430"/>
      <c r="W599" s="90"/>
      <c r="X599" s="90"/>
      <c r="Y599" s="90"/>
    </row>
    <row r="600" spans="1:25" ht="15.75" customHeight="1">
      <c r="A600" s="79"/>
      <c r="C600" s="90"/>
      <c r="D600" s="1894"/>
      <c r="E600" s="1895"/>
      <c r="F600" s="1896"/>
      <c r="G600" s="1897"/>
      <c r="H600" s="90"/>
      <c r="I600" s="90"/>
      <c r="J600" s="90"/>
      <c r="K600" s="90"/>
      <c r="L600" s="1898"/>
      <c r="M600" s="643"/>
      <c r="N600" s="643"/>
      <c r="O600" s="658"/>
      <c r="P600" s="658"/>
      <c r="Q600" s="1899"/>
      <c r="R600" s="430"/>
      <c r="S600" s="430"/>
      <c r="T600" s="430"/>
      <c r="U600" s="430"/>
      <c r="V600" s="430"/>
      <c r="W600" s="90"/>
      <c r="X600" s="90"/>
      <c r="Y600" s="90"/>
    </row>
    <row r="601" spans="1:25" ht="15.75" customHeight="1">
      <c r="A601" s="79"/>
      <c r="C601" s="90"/>
      <c r="D601" s="1894"/>
      <c r="E601" s="1895"/>
      <c r="F601" s="1896"/>
      <c r="G601" s="1897"/>
      <c r="H601" s="90"/>
      <c r="I601" s="90"/>
      <c r="J601" s="90"/>
      <c r="K601" s="90"/>
      <c r="L601" s="1898"/>
      <c r="M601" s="643"/>
      <c r="N601" s="643"/>
      <c r="O601" s="658"/>
      <c r="P601" s="658"/>
      <c r="Q601" s="1899"/>
      <c r="R601" s="430"/>
      <c r="S601" s="430"/>
      <c r="T601" s="430"/>
      <c r="U601" s="430"/>
      <c r="V601" s="430"/>
      <c r="W601" s="90"/>
      <c r="X601" s="90"/>
      <c r="Y601" s="90"/>
    </row>
    <row r="602" spans="1:25" ht="15.75" customHeight="1">
      <c r="A602" s="79"/>
      <c r="C602" s="90"/>
      <c r="D602" s="1894"/>
      <c r="E602" s="1895"/>
      <c r="F602" s="1896"/>
      <c r="G602" s="1897"/>
      <c r="H602" s="90"/>
      <c r="I602" s="90"/>
      <c r="J602" s="90"/>
      <c r="K602" s="90"/>
      <c r="L602" s="1898"/>
      <c r="M602" s="643"/>
      <c r="N602" s="643"/>
      <c r="O602" s="658"/>
      <c r="P602" s="658"/>
      <c r="Q602" s="1899"/>
      <c r="R602" s="430"/>
      <c r="S602" s="430"/>
      <c r="T602" s="430"/>
      <c r="U602" s="430"/>
      <c r="V602" s="430"/>
      <c r="W602" s="90"/>
      <c r="X602" s="90"/>
      <c r="Y602" s="90"/>
    </row>
    <row r="603" spans="1:25" ht="15.75" customHeight="1">
      <c r="A603" s="79"/>
      <c r="C603" s="90"/>
      <c r="D603" s="1894"/>
      <c r="E603" s="1895"/>
      <c r="F603" s="1896"/>
      <c r="G603" s="1897"/>
      <c r="H603" s="90"/>
      <c r="I603" s="90"/>
      <c r="J603" s="90"/>
      <c r="K603" s="90"/>
      <c r="L603" s="1898"/>
      <c r="M603" s="643"/>
      <c r="N603" s="643"/>
      <c r="O603" s="658"/>
      <c r="P603" s="658"/>
      <c r="Q603" s="1899"/>
      <c r="R603" s="430"/>
      <c r="S603" s="430"/>
      <c r="T603" s="430"/>
      <c r="U603" s="430"/>
      <c r="V603" s="430"/>
      <c r="W603" s="90"/>
      <c r="X603" s="90"/>
      <c r="Y603" s="90"/>
    </row>
    <row r="604" spans="1:25" ht="15.75" customHeight="1">
      <c r="A604" s="79"/>
      <c r="C604" s="90"/>
      <c r="D604" s="1894"/>
      <c r="E604" s="1895"/>
      <c r="F604" s="1896"/>
      <c r="G604" s="1897"/>
      <c r="H604" s="90"/>
      <c r="I604" s="90"/>
      <c r="J604" s="90"/>
      <c r="K604" s="90"/>
      <c r="L604" s="1898"/>
      <c r="M604" s="643"/>
      <c r="N604" s="643"/>
      <c r="O604" s="658"/>
      <c r="P604" s="658"/>
      <c r="Q604" s="1899"/>
      <c r="R604" s="430"/>
      <c r="S604" s="430"/>
      <c r="T604" s="430"/>
      <c r="U604" s="430"/>
      <c r="V604" s="430"/>
      <c r="W604" s="90"/>
      <c r="X604" s="90"/>
      <c r="Y604" s="90"/>
    </row>
    <row r="605" spans="1:25" ht="15.75" customHeight="1">
      <c r="A605" s="79"/>
      <c r="C605" s="90"/>
      <c r="D605" s="1894"/>
      <c r="E605" s="1895"/>
      <c r="F605" s="1896"/>
      <c r="G605" s="1897"/>
      <c r="H605" s="90"/>
      <c r="I605" s="90"/>
      <c r="J605" s="90"/>
      <c r="K605" s="90"/>
      <c r="L605" s="1898"/>
      <c r="M605" s="643"/>
      <c r="N605" s="643"/>
      <c r="O605" s="658"/>
      <c r="P605" s="658"/>
      <c r="Q605" s="1899"/>
      <c r="R605" s="430"/>
      <c r="S605" s="430"/>
      <c r="T605" s="430"/>
      <c r="U605" s="430"/>
      <c r="V605" s="430"/>
      <c r="W605" s="90"/>
      <c r="X605" s="90"/>
      <c r="Y605" s="90"/>
    </row>
    <row r="606" spans="1:25" ht="15.75" customHeight="1">
      <c r="A606" s="79"/>
      <c r="C606" s="90"/>
      <c r="D606" s="1894"/>
      <c r="E606" s="1895"/>
      <c r="F606" s="1896"/>
      <c r="G606" s="1897"/>
      <c r="H606" s="90"/>
      <c r="I606" s="90"/>
      <c r="J606" s="90"/>
      <c r="K606" s="90"/>
      <c r="L606" s="1898"/>
      <c r="M606" s="643"/>
      <c r="N606" s="643"/>
      <c r="O606" s="658"/>
      <c r="P606" s="658"/>
      <c r="Q606" s="1899"/>
      <c r="R606" s="430"/>
      <c r="S606" s="430"/>
      <c r="T606" s="430"/>
      <c r="U606" s="430"/>
      <c r="V606" s="430"/>
      <c r="W606" s="90"/>
      <c r="X606" s="90"/>
      <c r="Y606" s="90"/>
    </row>
    <row r="607" spans="1:25" ht="15.75" customHeight="1">
      <c r="A607" s="79"/>
      <c r="C607" s="90"/>
      <c r="D607" s="1894"/>
      <c r="E607" s="1895"/>
      <c r="F607" s="1896"/>
      <c r="G607" s="1897"/>
      <c r="H607" s="90"/>
      <c r="I607" s="90"/>
      <c r="J607" s="90"/>
      <c r="K607" s="90"/>
      <c r="L607" s="1898"/>
      <c r="M607" s="643"/>
      <c r="N607" s="643"/>
      <c r="O607" s="658"/>
      <c r="P607" s="658"/>
      <c r="Q607" s="1899"/>
      <c r="R607" s="430"/>
      <c r="S607" s="430"/>
      <c r="T607" s="430"/>
      <c r="U607" s="430"/>
      <c r="V607" s="430"/>
      <c r="W607" s="90"/>
      <c r="X607" s="90"/>
      <c r="Y607" s="90"/>
    </row>
    <row r="608" spans="1:25" ht="15.75" customHeight="1">
      <c r="A608" s="79"/>
      <c r="C608" s="90"/>
      <c r="D608" s="1894"/>
      <c r="E608" s="1895"/>
      <c r="F608" s="1896"/>
      <c r="G608" s="1897"/>
      <c r="H608" s="90"/>
      <c r="I608" s="90"/>
      <c r="J608" s="90"/>
      <c r="K608" s="90"/>
      <c r="L608" s="1898"/>
      <c r="M608" s="643"/>
      <c r="N608" s="643"/>
      <c r="O608" s="658"/>
      <c r="P608" s="658"/>
      <c r="Q608" s="1899"/>
      <c r="R608" s="430"/>
      <c r="S608" s="430"/>
      <c r="T608" s="430"/>
      <c r="U608" s="430"/>
      <c r="V608" s="430"/>
      <c r="W608" s="90"/>
      <c r="X608" s="90"/>
      <c r="Y608" s="90"/>
    </row>
    <row r="609" spans="1:25" ht="15.75" customHeight="1">
      <c r="A609" s="79"/>
      <c r="C609" s="90"/>
      <c r="D609" s="1894"/>
      <c r="E609" s="1895"/>
      <c r="F609" s="1896"/>
      <c r="G609" s="1897"/>
      <c r="H609" s="90"/>
      <c r="I609" s="90"/>
      <c r="J609" s="90"/>
      <c r="K609" s="90"/>
      <c r="L609" s="1898"/>
      <c r="M609" s="643"/>
      <c r="N609" s="643"/>
      <c r="O609" s="658"/>
      <c r="P609" s="658"/>
      <c r="Q609" s="1899"/>
      <c r="R609" s="430"/>
      <c r="S609" s="430"/>
      <c r="T609" s="430"/>
      <c r="U609" s="430"/>
      <c r="V609" s="430"/>
      <c r="W609" s="90"/>
      <c r="X609" s="90"/>
      <c r="Y609" s="90"/>
    </row>
    <row r="610" spans="1:25" ht="15.75" customHeight="1">
      <c r="A610" s="79"/>
      <c r="C610" s="90"/>
      <c r="D610" s="1894"/>
      <c r="E610" s="1895"/>
      <c r="F610" s="1896"/>
      <c r="G610" s="1897"/>
      <c r="H610" s="90"/>
      <c r="I610" s="90"/>
      <c r="J610" s="90"/>
      <c r="K610" s="90"/>
      <c r="L610" s="1898"/>
      <c r="M610" s="643"/>
      <c r="N610" s="643"/>
      <c r="O610" s="658"/>
      <c r="P610" s="658"/>
      <c r="Q610" s="1899"/>
      <c r="R610" s="430"/>
      <c r="S610" s="430"/>
      <c r="T610" s="430"/>
      <c r="U610" s="430"/>
      <c r="V610" s="430"/>
      <c r="W610" s="90"/>
      <c r="X610" s="90"/>
      <c r="Y610" s="90"/>
    </row>
    <row r="611" spans="1:25" ht="15.75" customHeight="1">
      <c r="A611" s="79"/>
      <c r="C611" s="90"/>
      <c r="D611" s="1894"/>
      <c r="E611" s="1895"/>
      <c r="F611" s="1896"/>
      <c r="G611" s="1897"/>
      <c r="H611" s="90"/>
      <c r="I611" s="90"/>
      <c r="J611" s="90"/>
      <c r="K611" s="90"/>
      <c r="L611" s="1898"/>
      <c r="M611" s="643"/>
      <c r="N611" s="643"/>
      <c r="O611" s="658"/>
      <c r="P611" s="658"/>
      <c r="Q611" s="1899"/>
      <c r="R611" s="430"/>
      <c r="S611" s="430"/>
      <c r="T611" s="430"/>
      <c r="U611" s="430"/>
      <c r="V611" s="430"/>
      <c r="W611" s="90"/>
      <c r="X611" s="90"/>
      <c r="Y611" s="90"/>
    </row>
    <row r="612" spans="1:25" ht="15.75" customHeight="1">
      <c r="A612" s="79"/>
      <c r="C612" s="90"/>
      <c r="D612" s="1894"/>
      <c r="E612" s="1895"/>
      <c r="F612" s="1896"/>
      <c r="G612" s="1897"/>
      <c r="H612" s="90"/>
      <c r="I612" s="90"/>
      <c r="J612" s="90"/>
      <c r="K612" s="90"/>
      <c r="L612" s="1898"/>
      <c r="M612" s="643"/>
      <c r="N612" s="643"/>
      <c r="O612" s="658"/>
      <c r="P612" s="658"/>
      <c r="Q612" s="1899"/>
      <c r="R612" s="430"/>
      <c r="S612" s="430"/>
      <c r="T612" s="430"/>
      <c r="U612" s="430"/>
      <c r="V612" s="430"/>
      <c r="W612" s="90"/>
      <c r="X612" s="90"/>
      <c r="Y612" s="90"/>
    </row>
    <row r="613" spans="1:25" ht="15.75" customHeight="1">
      <c r="A613" s="79"/>
      <c r="C613" s="90"/>
      <c r="D613" s="1894"/>
      <c r="E613" s="1895"/>
      <c r="F613" s="1896"/>
      <c r="G613" s="1897"/>
      <c r="H613" s="90"/>
      <c r="I613" s="90"/>
      <c r="J613" s="90"/>
      <c r="K613" s="90"/>
      <c r="L613" s="1898"/>
      <c r="M613" s="643"/>
      <c r="N613" s="643"/>
      <c r="O613" s="658"/>
      <c r="P613" s="658"/>
      <c r="Q613" s="1899"/>
      <c r="R613" s="430"/>
      <c r="S613" s="430"/>
      <c r="T613" s="430"/>
      <c r="U613" s="430"/>
      <c r="V613" s="430"/>
      <c r="W613" s="90"/>
      <c r="X613" s="90"/>
      <c r="Y613" s="90"/>
    </row>
    <row r="614" spans="1:25" ht="15.75" customHeight="1">
      <c r="A614" s="79"/>
      <c r="C614" s="90"/>
      <c r="D614" s="1894"/>
      <c r="E614" s="1895"/>
      <c r="F614" s="1896"/>
      <c r="G614" s="1897"/>
      <c r="H614" s="90"/>
      <c r="I614" s="90"/>
      <c r="J614" s="90"/>
      <c r="K614" s="90"/>
      <c r="L614" s="1898"/>
      <c r="M614" s="643"/>
      <c r="N614" s="643"/>
      <c r="O614" s="658"/>
      <c r="P614" s="658"/>
      <c r="Q614" s="1899"/>
      <c r="R614" s="430"/>
      <c r="S614" s="430"/>
      <c r="T614" s="430"/>
      <c r="U614" s="430"/>
      <c r="V614" s="430"/>
      <c r="W614" s="90"/>
      <c r="X614" s="90"/>
      <c r="Y614" s="90"/>
    </row>
    <row r="615" spans="1:25" ht="15.75" customHeight="1">
      <c r="A615" s="79"/>
      <c r="C615" s="90"/>
      <c r="D615" s="1894"/>
      <c r="E615" s="1895"/>
      <c r="F615" s="1896"/>
      <c r="G615" s="1897"/>
      <c r="H615" s="90"/>
      <c r="I615" s="90"/>
      <c r="J615" s="90"/>
      <c r="K615" s="90"/>
      <c r="L615" s="1898"/>
      <c r="M615" s="643"/>
      <c r="N615" s="643"/>
      <c r="O615" s="658"/>
      <c r="P615" s="658"/>
      <c r="Q615" s="1899"/>
      <c r="R615" s="430"/>
      <c r="S615" s="430"/>
      <c r="T615" s="430"/>
      <c r="U615" s="430"/>
      <c r="V615" s="430"/>
      <c r="W615" s="90"/>
      <c r="X615" s="90"/>
      <c r="Y615" s="90"/>
    </row>
    <row r="616" spans="1:25" ht="15.75" customHeight="1">
      <c r="A616" s="79"/>
      <c r="C616" s="90"/>
      <c r="D616" s="1894"/>
      <c r="E616" s="1895"/>
      <c r="F616" s="1896"/>
      <c r="G616" s="1897"/>
      <c r="H616" s="90"/>
      <c r="I616" s="90"/>
      <c r="J616" s="90"/>
      <c r="K616" s="90"/>
      <c r="L616" s="1898"/>
      <c r="M616" s="643"/>
      <c r="N616" s="643"/>
      <c r="O616" s="658"/>
      <c r="P616" s="658"/>
      <c r="Q616" s="1899"/>
      <c r="R616" s="430"/>
      <c r="S616" s="430"/>
      <c r="T616" s="430"/>
      <c r="U616" s="430"/>
      <c r="V616" s="430"/>
      <c r="W616" s="90"/>
      <c r="X616" s="90"/>
      <c r="Y616" s="90"/>
    </row>
    <row r="617" spans="1:25" ht="15.75" customHeight="1">
      <c r="A617" s="79"/>
      <c r="C617" s="90"/>
      <c r="D617" s="1894"/>
      <c r="E617" s="1895"/>
      <c r="F617" s="1896"/>
      <c r="G617" s="1897"/>
      <c r="H617" s="90"/>
      <c r="I617" s="90"/>
      <c r="J617" s="90"/>
      <c r="K617" s="90"/>
      <c r="L617" s="1898"/>
      <c r="M617" s="643"/>
      <c r="N617" s="643"/>
      <c r="O617" s="658"/>
      <c r="P617" s="658"/>
      <c r="Q617" s="1899"/>
      <c r="R617" s="430"/>
      <c r="S617" s="430"/>
      <c r="T617" s="430"/>
      <c r="U617" s="430"/>
      <c r="V617" s="430"/>
      <c r="W617" s="90"/>
      <c r="X617" s="90"/>
      <c r="Y617" s="90"/>
    </row>
    <row r="618" spans="1:25" ht="15.75" customHeight="1">
      <c r="A618" s="79"/>
      <c r="C618" s="90"/>
      <c r="D618" s="1894"/>
      <c r="E618" s="1895"/>
      <c r="F618" s="1896"/>
      <c r="G618" s="1897"/>
      <c r="H618" s="90"/>
      <c r="I618" s="90"/>
      <c r="J618" s="90"/>
      <c r="K618" s="90"/>
      <c r="L618" s="1898"/>
      <c r="M618" s="643"/>
      <c r="N618" s="643"/>
      <c r="O618" s="658"/>
      <c r="P618" s="658"/>
      <c r="Q618" s="1899"/>
      <c r="R618" s="430"/>
      <c r="S618" s="430"/>
      <c r="T618" s="430"/>
      <c r="U618" s="430"/>
      <c r="V618" s="430"/>
      <c r="W618" s="90"/>
      <c r="X618" s="90"/>
      <c r="Y618" s="90"/>
    </row>
    <row r="619" spans="1:25" ht="15.75" customHeight="1">
      <c r="A619" s="79"/>
      <c r="C619" s="90"/>
      <c r="D619" s="1894"/>
      <c r="E619" s="1895"/>
      <c r="F619" s="1896"/>
      <c r="G619" s="1897"/>
      <c r="H619" s="90"/>
      <c r="I619" s="90"/>
      <c r="J619" s="90"/>
      <c r="K619" s="90"/>
      <c r="L619" s="1898"/>
      <c r="M619" s="643"/>
      <c r="N619" s="643"/>
      <c r="O619" s="658"/>
      <c r="P619" s="658"/>
      <c r="Q619" s="1899"/>
      <c r="R619" s="430"/>
      <c r="S619" s="430"/>
      <c r="T619" s="430"/>
      <c r="U619" s="430"/>
      <c r="V619" s="430"/>
      <c r="W619" s="90"/>
      <c r="X619" s="90"/>
      <c r="Y619" s="90"/>
    </row>
    <row r="620" spans="1:25" ht="15.75" customHeight="1">
      <c r="A620" s="79"/>
      <c r="C620" s="90"/>
      <c r="D620" s="1894"/>
      <c r="E620" s="1895"/>
      <c r="F620" s="1896"/>
      <c r="G620" s="1897"/>
      <c r="H620" s="90"/>
      <c r="I620" s="90"/>
      <c r="J620" s="90"/>
      <c r="K620" s="90"/>
      <c r="L620" s="1898"/>
      <c r="M620" s="643"/>
      <c r="N620" s="643"/>
      <c r="O620" s="658"/>
      <c r="P620" s="658"/>
      <c r="Q620" s="1899"/>
      <c r="R620" s="430"/>
      <c r="S620" s="430"/>
      <c r="T620" s="430"/>
      <c r="U620" s="430"/>
      <c r="V620" s="430"/>
      <c r="W620" s="90"/>
      <c r="X620" s="90"/>
      <c r="Y620" s="90"/>
    </row>
    <row r="621" spans="1:25" ht="15.75" customHeight="1">
      <c r="A621" s="79"/>
      <c r="C621" s="90"/>
      <c r="D621" s="1894"/>
      <c r="E621" s="1895"/>
      <c r="F621" s="1896"/>
      <c r="G621" s="1897"/>
      <c r="H621" s="90"/>
      <c r="I621" s="90"/>
      <c r="J621" s="90"/>
      <c r="K621" s="90"/>
      <c r="L621" s="1898"/>
      <c r="M621" s="643"/>
      <c r="N621" s="643"/>
      <c r="O621" s="658"/>
      <c r="P621" s="658"/>
      <c r="Q621" s="1899"/>
      <c r="R621" s="430"/>
      <c r="S621" s="430"/>
      <c r="T621" s="430"/>
      <c r="U621" s="430"/>
      <c r="V621" s="430"/>
      <c r="W621" s="90"/>
      <c r="X621" s="90"/>
      <c r="Y621" s="90"/>
    </row>
    <row r="622" spans="1:25" ht="15.75" customHeight="1">
      <c r="A622" s="79"/>
      <c r="C622" s="90"/>
      <c r="D622" s="1894"/>
      <c r="E622" s="1895"/>
      <c r="F622" s="1896"/>
      <c r="G622" s="1897"/>
      <c r="H622" s="90"/>
      <c r="I622" s="90"/>
      <c r="J622" s="90"/>
      <c r="K622" s="90"/>
      <c r="L622" s="1898"/>
      <c r="M622" s="643"/>
      <c r="N622" s="643"/>
      <c r="O622" s="658"/>
      <c r="P622" s="658"/>
      <c r="Q622" s="1899"/>
      <c r="R622" s="430"/>
      <c r="S622" s="430"/>
      <c r="T622" s="430"/>
      <c r="U622" s="430"/>
      <c r="V622" s="430"/>
      <c r="W622" s="90"/>
      <c r="X622" s="90"/>
      <c r="Y622" s="90"/>
    </row>
    <row r="623" spans="1:25" ht="15.75" customHeight="1">
      <c r="A623" s="79"/>
      <c r="C623" s="90"/>
      <c r="D623" s="1894"/>
      <c r="E623" s="1895"/>
      <c r="F623" s="1896"/>
      <c r="G623" s="1897"/>
      <c r="H623" s="90"/>
      <c r="I623" s="90"/>
      <c r="J623" s="90"/>
      <c r="K623" s="90"/>
      <c r="L623" s="1898"/>
      <c r="M623" s="643"/>
      <c r="N623" s="643"/>
      <c r="O623" s="658"/>
      <c r="P623" s="658"/>
      <c r="Q623" s="1899"/>
      <c r="R623" s="430"/>
      <c r="S623" s="430"/>
      <c r="T623" s="430"/>
      <c r="U623" s="430"/>
      <c r="V623" s="430"/>
      <c r="W623" s="90"/>
      <c r="X623" s="90"/>
      <c r="Y623" s="90"/>
    </row>
    <row r="624" spans="1:25" ht="15.75" customHeight="1">
      <c r="A624" s="79"/>
      <c r="C624" s="90"/>
      <c r="D624" s="1894"/>
      <c r="E624" s="1895"/>
      <c r="F624" s="1896"/>
      <c r="G624" s="1897"/>
      <c r="H624" s="90"/>
      <c r="I624" s="90"/>
      <c r="J624" s="90"/>
      <c r="K624" s="90"/>
      <c r="L624" s="1898"/>
      <c r="M624" s="643"/>
      <c r="N624" s="643"/>
      <c r="O624" s="658"/>
      <c r="P624" s="658"/>
      <c r="Q624" s="1899"/>
      <c r="R624" s="430"/>
      <c r="S624" s="430"/>
      <c r="T624" s="430"/>
      <c r="U624" s="430"/>
      <c r="V624" s="430"/>
      <c r="W624" s="90"/>
      <c r="X624" s="90"/>
      <c r="Y624" s="90"/>
    </row>
    <row r="625" spans="1:25" ht="15.75" customHeight="1">
      <c r="A625" s="79"/>
      <c r="C625" s="90"/>
      <c r="D625" s="1894"/>
      <c r="E625" s="1895"/>
      <c r="F625" s="1896"/>
      <c r="G625" s="1897"/>
      <c r="H625" s="90"/>
      <c r="I625" s="90"/>
      <c r="J625" s="90"/>
      <c r="K625" s="90"/>
      <c r="L625" s="1898"/>
      <c r="M625" s="643"/>
      <c r="N625" s="643"/>
      <c r="O625" s="658"/>
      <c r="P625" s="658"/>
      <c r="Q625" s="1899"/>
      <c r="R625" s="430"/>
      <c r="S625" s="430"/>
      <c r="T625" s="430"/>
      <c r="U625" s="430"/>
      <c r="V625" s="430"/>
      <c r="W625" s="90"/>
      <c r="X625" s="90"/>
      <c r="Y625" s="90"/>
    </row>
    <row r="626" spans="1:25" ht="15.75" customHeight="1">
      <c r="A626" s="79"/>
      <c r="C626" s="90"/>
      <c r="D626" s="1894"/>
      <c r="E626" s="1895"/>
      <c r="F626" s="1896"/>
      <c r="G626" s="1897"/>
      <c r="H626" s="90"/>
      <c r="I626" s="90"/>
      <c r="J626" s="90"/>
      <c r="K626" s="90"/>
      <c r="L626" s="1898"/>
      <c r="M626" s="643"/>
      <c r="N626" s="643"/>
      <c r="O626" s="658"/>
      <c r="P626" s="658"/>
      <c r="Q626" s="1899"/>
      <c r="R626" s="430"/>
      <c r="S626" s="430"/>
      <c r="T626" s="430"/>
      <c r="U626" s="430"/>
      <c r="V626" s="430"/>
      <c r="W626" s="90"/>
      <c r="X626" s="90"/>
      <c r="Y626" s="90"/>
    </row>
    <row r="627" spans="1:25" ht="15.75" customHeight="1">
      <c r="A627" s="79"/>
      <c r="C627" s="90"/>
      <c r="D627" s="1894"/>
      <c r="E627" s="1895"/>
      <c r="F627" s="1896"/>
      <c r="G627" s="1897"/>
      <c r="H627" s="90"/>
      <c r="I627" s="90"/>
      <c r="J627" s="90"/>
      <c r="K627" s="90"/>
      <c r="L627" s="1898"/>
      <c r="M627" s="643"/>
      <c r="N627" s="643"/>
      <c r="O627" s="658"/>
      <c r="P627" s="658"/>
      <c r="Q627" s="1899"/>
      <c r="R627" s="430"/>
      <c r="S627" s="430"/>
      <c r="T627" s="430"/>
      <c r="U627" s="430"/>
      <c r="V627" s="430"/>
      <c r="W627" s="90"/>
      <c r="X627" s="90"/>
      <c r="Y627" s="90"/>
    </row>
    <row r="628" spans="1:25" ht="15.75" customHeight="1">
      <c r="A628" s="79"/>
      <c r="C628" s="90"/>
      <c r="D628" s="1894"/>
      <c r="E628" s="1895"/>
      <c r="F628" s="1896"/>
      <c r="G628" s="1897"/>
      <c r="H628" s="90"/>
      <c r="I628" s="90"/>
      <c r="J628" s="90"/>
      <c r="K628" s="90"/>
      <c r="L628" s="1898"/>
      <c r="M628" s="643"/>
      <c r="N628" s="643"/>
      <c r="O628" s="658"/>
      <c r="P628" s="658"/>
      <c r="Q628" s="1899"/>
      <c r="R628" s="430"/>
      <c r="S628" s="430"/>
      <c r="T628" s="430"/>
      <c r="U628" s="430"/>
      <c r="V628" s="430"/>
      <c r="W628" s="90"/>
      <c r="X628" s="90"/>
      <c r="Y628" s="90"/>
    </row>
    <row r="629" spans="1:25" ht="15.75" customHeight="1">
      <c r="A629" s="79"/>
      <c r="C629" s="90"/>
      <c r="D629" s="1894"/>
      <c r="E629" s="1895"/>
      <c r="F629" s="1896"/>
      <c r="G629" s="1897"/>
      <c r="H629" s="90"/>
      <c r="I629" s="90"/>
      <c r="J629" s="90"/>
      <c r="K629" s="90"/>
      <c r="L629" s="1898"/>
      <c r="M629" s="643"/>
      <c r="N629" s="643"/>
      <c r="O629" s="658"/>
      <c r="P629" s="658"/>
      <c r="Q629" s="1899"/>
      <c r="R629" s="430"/>
      <c r="S629" s="430"/>
      <c r="T629" s="430"/>
      <c r="U629" s="430"/>
      <c r="V629" s="430"/>
      <c r="W629" s="90"/>
      <c r="X629" s="90"/>
      <c r="Y629" s="90"/>
    </row>
    <row r="630" spans="1:25" ht="15.75" customHeight="1">
      <c r="A630" s="79"/>
      <c r="C630" s="90"/>
      <c r="D630" s="1894"/>
      <c r="E630" s="1895"/>
      <c r="F630" s="1896"/>
      <c r="G630" s="1897"/>
      <c r="H630" s="90"/>
      <c r="I630" s="90"/>
      <c r="J630" s="90"/>
      <c r="K630" s="90"/>
      <c r="L630" s="1898"/>
      <c r="M630" s="643"/>
      <c r="N630" s="643"/>
      <c r="O630" s="658"/>
      <c r="P630" s="658"/>
      <c r="Q630" s="1899"/>
      <c r="R630" s="430"/>
      <c r="S630" s="430"/>
      <c r="T630" s="430"/>
      <c r="U630" s="430"/>
      <c r="V630" s="430"/>
      <c r="W630" s="90"/>
      <c r="X630" s="90"/>
      <c r="Y630" s="90"/>
    </row>
    <row r="631" spans="1:25" ht="15.75" customHeight="1">
      <c r="A631" s="79"/>
      <c r="C631" s="90"/>
      <c r="D631" s="1894"/>
      <c r="E631" s="1895"/>
      <c r="F631" s="1896"/>
      <c r="G631" s="1897"/>
      <c r="H631" s="90"/>
      <c r="I631" s="90"/>
      <c r="J631" s="90"/>
      <c r="K631" s="90"/>
      <c r="L631" s="1898"/>
      <c r="M631" s="643"/>
      <c r="N631" s="643"/>
      <c r="O631" s="658"/>
      <c r="P631" s="658"/>
      <c r="Q631" s="1899"/>
      <c r="R631" s="430"/>
      <c r="S631" s="430"/>
      <c r="T631" s="430"/>
      <c r="U631" s="430"/>
      <c r="V631" s="430"/>
      <c r="W631" s="90"/>
      <c r="X631" s="90"/>
      <c r="Y631" s="90"/>
    </row>
    <row r="632" spans="1:25" ht="15.75" customHeight="1">
      <c r="A632" s="79"/>
      <c r="C632" s="90"/>
      <c r="D632" s="1894"/>
      <c r="E632" s="1895"/>
      <c r="F632" s="1896"/>
      <c r="G632" s="1897"/>
      <c r="H632" s="90"/>
      <c r="I632" s="90"/>
      <c r="J632" s="90"/>
      <c r="K632" s="90"/>
      <c r="L632" s="1898"/>
      <c r="M632" s="643"/>
      <c r="N632" s="643"/>
      <c r="O632" s="658"/>
      <c r="P632" s="658"/>
      <c r="Q632" s="1899"/>
      <c r="R632" s="430"/>
      <c r="S632" s="430"/>
      <c r="T632" s="430"/>
      <c r="U632" s="430"/>
      <c r="V632" s="430"/>
      <c r="W632" s="90"/>
      <c r="X632" s="90"/>
      <c r="Y632" s="90"/>
    </row>
    <row r="633" spans="1:25" ht="15.75" customHeight="1">
      <c r="A633" s="79"/>
      <c r="C633" s="90"/>
      <c r="D633" s="1894"/>
      <c r="E633" s="1895"/>
      <c r="F633" s="1896"/>
      <c r="G633" s="1897"/>
      <c r="H633" s="90"/>
      <c r="I633" s="90"/>
      <c r="J633" s="90"/>
      <c r="K633" s="90"/>
      <c r="L633" s="1898"/>
      <c r="M633" s="643"/>
      <c r="N633" s="643"/>
      <c r="O633" s="658"/>
      <c r="P633" s="658"/>
      <c r="Q633" s="1899"/>
      <c r="R633" s="430"/>
      <c r="S633" s="430"/>
      <c r="T633" s="430"/>
      <c r="U633" s="430"/>
      <c r="V633" s="430"/>
      <c r="W633" s="90"/>
      <c r="X633" s="90"/>
      <c r="Y633" s="90"/>
    </row>
    <row r="634" spans="1:25" ht="15.75" customHeight="1">
      <c r="A634" s="79"/>
      <c r="C634" s="90"/>
      <c r="D634" s="1894"/>
      <c r="E634" s="1895"/>
      <c r="F634" s="1896"/>
      <c r="G634" s="1897"/>
      <c r="H634" s="90"/>
      <c r="I634" s="90"/>
      <c r="J634" s="90"/>
      <c r="K634" s="90"/>
      <c r="L634" s="1898"/>
      <c r="M634" s="643"/>
      <c r="N634" s="643"/>
      <c r="O634" s="658"/>
      <c r="P634" s="658"/>
      <c r="Q634" s="1899"/>
      <c r="R634" s="430"/>
      <c r="S634" s="430"/>
      <c r="T634" s="430"/>
      <c r="U634" s="430"/>
      <c r="V634" s="430"/>
      <c r="W634" s="90"/>
      <c r="X634" s="90"/>
      <c r="Y634" s="90"/>
    </row>
    <row r="635" spans="1:25" ht="15.75" customHeight="1">
      <c r="A635" s="79"/>
      <c r="C635" s="90"/>
      <c r="D635" s="1894"/>
      <c r="E635" s="1895"/>
      <c r="F635" s="1896"/>
      <c r="G635" s="1897"/>
      <c r="H635" s="90"/>
      <c r="I635" s="90"/>
      <c r="J635" s="90"/>
      <c r="K635" s="90"/>
      <c r="L635" s="1898"/>
      <c r="M635" s="643"/>
      <c r="N635" s="643"/>
      <c r="O635" s="658"/>
      <c r="P635" s="658"/>
      <c r="Q635" s="1899"/>
      <c r="R635" s="430"/>
      <c r="S635" s="430"/>
      <c r="T635" s="430"/>
      <c r="U635" s="430"/>
      <c r="V635" s="430"/>
      <c r="W635" s="90"/>
      <c r="X635" s="90"/>
      <c r="Y635" s="90"/>
    </row>
    <row r="636" spans="1:25" ht="15.75" customHeight="1">
      <c r="A636" s="79"/>
      <c r="C636" s="90"/>
      <c r="D636" s="1894"/>
      <c r="E636" s="1895"/>
      <c r="F636" s="1896"/>
      <c r="G636" s="1897"/>
      <c r="H636" s="90"/>
      <c r="I636" s="90"/>
      <c r="J636" s="90"/>
      <c r="K636" s="90"/>
      <c r="L636" s="1898"/>
      <c r="M636" s="643"/>
      <c r="N636" s="643"/>
      <c r="O636" s="658"/>
      <c r="P636" s="658"/>
      <c r="Q636" s="1899"/>
      <c r="R636" s="430"/>
      <c r="S636" s="430"/>
      <c r="T636" s="430"/>
      <c r="U636" s="430"/>
      <c r="V636" s="430"/>
      <c r="W636" s="90"/>
      <c r="X636" s="90"/>
      <c r="Y636" s="90"/>
    </row>
    <row r="637" spans="1:25" ht="15.75" customHeight="1">
      <c r="A637" s="79"/>
      <c r="C637" s="90"/>
      <c r="D637" s="1894"/>
      <c r="E637" s="1895"/>
      <c r="F637" s="1896"/>
      <c r="G637" s="1897"/>
      <c r="H637" s="90"/>
      <c r="I637" s="90"/>
      <c r="J637" s="90"/>
      <c r="K637" s="90"/>
      <c r="L637" s="1898"/>
      <c r="M637" s="643"/>
      <c r="N637" s="643"/>
      <c r="O637" s="658"/>
      <c r="P637" s="658"/>
      <c r="Q637" s="1899"/>
      <c r="R637" s="430"/>
      <c r="S637" s="430"/>
      <c r="T637" s="430"/>
      <c r="U637" s="430"/>
      <c r="V637" s="430"/>
      <c r="W637" s="90"/>
      <c r="X637" s="90"/>
      <c r="Y637" s="90"/>
    </row>
    <row r="638" spans="1:25" ht="15.75" customHeight="1">
      <c r="A638" s="79"/>
      <c r="C638" s="90"/>
      <c r="D638" s="1894"/>
      <c r="E638" s="1895"/>
      <c r="F638" s="1896"/>
      <c r="G638" s="1897"/>
      <c r="H638" s="90"/>
      <c r="I638" s="90"/>
      <c r="J638" s="90"/>
      <c r="K638" s="90"/>
      <c r="L638" s="1898"/>
      <c r="M638" s="643"/>
      <c r="N638" s="643"/>
      <c r="O638" s="658"/>
      <c r="P638" s="658"/>
      <c r="Q638" s="1899"/>
      <c r="R638" s="430"/>
      <c r="S638" s="430"/>
      <c r="T638" s="430"/>
      <c r="U638" s="430"/>
      <c r="V638" s="430"/>
      <c r="W638" s="90"/>
      <c r="X638" s="90"/>
      <c r="Y638" s="90"/>
    </row>
    <row r="639" spans="1:25" ht="15.75" customHeight="1">
      <c r="A639" s="79"/>
      <c r="C639" s="90"/>
      <c r="D639" s="1894"/>
      <c r="E639" s="1895"/>
      <c r="F639" s="1896"/>
      <c r="G639" s="1897"/>
      <c r="H639" s="90"/>
      <c r="I639" s="90"/>
      <c r="J639" s="90"/>
      <c r="K639" s="90"/>
      <c r="L639" s="1898"/>
      <c r="M639" s="643"/>
      <c r="N639" s="643"/>
      <c r="O639" s="658"/>
      <c r="P639" s="658"/>
      <c r="Q639" s="1899"/>
      <c r="R639" s="430"/>
      <c r="S639" s="430"/>
      <c r="T639" s="430"/>
      <c r="U639" s="430"/>
      <c r="V639" s="430"/>
      <c r="W639" s="90"/>
      <c r="X639" s="90"/>
      <c r="Y639" s="90"/>
    </row>
    <row r="640" spans="1:25" ht="15.75" customHeight="1">
      <c r="A640" s="79"/>
      <c r="C640" s="90"/>
      <c r="D640" s="1894"/>
      <c r="E640" s="1895"/>
      <c r="F640" s="1896"/>
      <c r="G640" s="1897"/>
      <c r="H640" s="90"/>
      <c r="I640" s="90"/>
      <c r="J640" s="90"/>
      <c r="K640" s="90"/>
      <c r="L640" s="1898"/>
      <c r="M640" s="643"/>
      <c r="N640" s="643"/>
      <c r="O640" s="658"/>
      <c r="P640" s="658"/>
      <c r="Q640" s="1899"/>
      <c r="R640" s="430"/>
      <c r="S640" s="430"/>
      <c r="T640" s="430"/>
      <c r="U640" s="430"/>
      <c r="V640" s="430"/>
      <c r="W640" s="90"/>
      <c r="X640" s="90"/>
      <c r="Y640" s="90"/>
    </row>
    <row r="641" spans="1:25" ht="15.75" customHeight="1">
      <c r="A641" s="79"/>
      <c r="C641" s="90"/>
      <c r="D641" s="1894"/>
      <c r="E641" s="1895"/>
      <c r="F641" s="1896"/>
      <c r="G641" s="1897"/>
      <c r="H641" s="90"/>
      <c r="I641" s="90"/>
      <c r="J641" s="90"/>
      <c r="K641" s="90"/>
      <c r="L641" s="1898"/>
      <c r="M641" s="643"/>
      <c r="N641" s="643"/>
      <c r="O641" s="658"/>
      <c r="P641" s="658"/>
      <c r="Q641" s="1899"/>
      <c r="R641" s="430"/>
      <c r="S641" s="430"/>
      <c r="T641" s="430"/>
      <c r="U641" s="430"/>
      <c r="V641" s="430"/>
      <c r="W641" s="90"/>
      <c r="X641" s="90"/>
      <c r="Y641" s="90"/>
    </row>
    <row r="642" spans="1:25" ht="15.75" customHeight="1">
      <c r="A642" s="79"/>
      <c r="C642" s="90"/>
      <c r="D642" s="1894"/>
      <c r="E642" s="1895"/>
      <c r="F642" s="1896"/>
      <c r="G642" s="1897"/>
      <c r="H642" s="90"/>
      <c r="I642" s="90"/>
      <c r="J642" s="90"/>
      <c r="K642" s="90"/>
      <c r="L642" s="1898"/>
      <c r="M642" s="643"/>
      <c r="N642" s="643"/>
      <c r="O642" s="658"/>
      <c r="P642" s="658"/>
      <c r="Q642" s="1899"/>
      <c r="R642" s="430"/>
      <c r="S642" s="430"/>
      <c r="T642" s="430"/>
      <c r="U642" s="430"/>
      <c r="V642" s="430"/>
      <c r="W642" s="90"/>
      <c r="X642" s="90"/>
      <c r="Y642" s="90"/>
    </row>
    <row r="643" spans="1:25" ht="15.75" customHeight="1">
      <c r="A643" s="79"/>
      <c r="C643" s="90"/>
      <c r="D643" s="1894"/>
      <c r="E643" s="1895"/>
      <c r="F643" s="1896"/>
      <c r="G643" s="1897"/>
      <c r="H643" s="90"/>
      <c r="I643" s="90"/>
      <c r="J643" s="90"/>
      <c r="K643" s="90"/>
      <c r="L643" s="1898"/>
      <c r="M643" s="643"/>
      <c r="N643" s="643"/>
      <c r="O643" s="658"/>
      <c r="P643" s="658"/>
      <c r="Q643" s="1899"/>
      <c r="R643" s="430"/>
      <c r="S643" s="430"/>
      <c r="T643" s="430"/>
      <c r="U643" s="430"/>
      <c r="V643" s="430"/>
      <c r="W643" s="90"/>
      <c r="X643" s="90"/>
      <c r="Y643" s="90"/>
    </row>
    <row r="644" spans="1:25" ht="15.75" customHeight="1">
      <c r="A644" s="79"/>
      <c r="C644" s="90"/>
      <c r="D644" s="1894"/>
      <c r="E644" s="1895"/>
      <c r="F644" s="1896"/>
      <c r="G644" s="1897"/>
      <c r="H644" s="90"/>
      <c r="I644" s="90"/>
      <c r="J644" s="90"/>
      <c r="K644" s="90"/>
      <c r="L644" s="1898"/>
      <c r="M644" s="643"/>
      <c r="N644" s="643"/>
      <c r="O644" s="658"/>
      <c r="P644" s="658"/>
      <c r="Q644" s="1899"/>
      <c r="R644" s="430"/>
      <c r="S644" s="430"/>
      <c r="T644" s="430"/>
      <c r="U644" s="430"/>
      <c r="V644" s="430"/>
      <c r="W644" s="90"/>
      <c r="X644" s="90"/>
      <c r="Y644" s="90"/>
    </row>
    <row r="645" spans="1:25" ht="15.75" customHeight="1">
      <c r="A645" s="79"/>
      <c r="C645" s="90"/>
      <c r="D645" s="1894"/>
      <c r="E645" s="1895"/>
      <c r="F645" s="1896"/>
      <c r="G645" s="1897"/>
      <c r="H645" s="90"/>
      <c r="I645" s="90"/>
      <c r="J645" s="90"/>
      <c r="K645" s="90"/>
      <c r="L645" s="1898"/>
      <c r="M645" s="643"/>
      <c r="N645" s="643"/>
      <c r="O645" s="658"/>
      <c r="P645" s="658"/>
      <c r="Q645" s="1899"/>
      <c r="R645" s="430"/>
      <c r="S645" s="430"/>
      <c r="T645" s="430"/>
      <c r="U645" s="430"/>
      <c r="V645" s="430"/>
      <c r="W645" s="90"/>
      <c r="X645" s="90"/>
      <c r="Y645" s="90"/>
    </row>
    <row r="646" spans="1:25" ht="15.75" customHeight="1">
      <c r="A646" s="79"/>
      <c r="C646" s="90"/>
      <c r="D646" s="1894"/>
      <c r="E646" s="1895"/>
      <c r="F646" s="1896"/>
      <c r="G646" s="1897"/>
      <c r="H646" s="90"/>
      <c r="I646" s="90"/>
      <c r="J646" s="90"/>
      <c r="K646" s="90"/>
      <c r="L646" s="1898"/>
      <c r="M646" s="643"/>
      <c r="N646" s="643"/>
      <c r="O646" s="658"/>
      <c r="P646" s="658"/>
      <c r="Q646" s="1899"/>
      <c r="R646" s="430"/>
      <c r="S646" s="430"/>
      <c r="T646" s="430"/>
      <c r="U646" s="430"/>
      <c r="V646" s="430"/>
      <c r="W646" s="90"/>
      <c r="X646" s="90"/>
      <c r="Y646" s="90"/>
    </row>
    <row r="647" spans="1:25" ht="15.75" customHeight="1">
      <c r="A647" s="79"/>
      <c r="C647" s="90"/>
      <c r="D647" s="1894"/>
      <c r="E647" s="1895"/>
      <c r="F647" s="1896"/>
      <c r="G647" s="1897"/>
      <c r="H647" s="90"/>
      <c r="I647" s="90"/>
      <c r="J647" s="90"/>
      <c r="K647" s="90"/>
      <c r="L647" s="1898"/>
      <c r="M647" s="643"/>
      <c r="N647" s="643"/>
      <c r="O647" s="658"/>
      <c r="P647" s="658"/>
      <c r="Q647" s="1899"/>
      <c r="R647" s="430"/>
      <c r="S647" s="430"/>
      <c r="T647" s="430"/>
      <c r="U647" s="430"/>
      <c r="V647" s="430"/>
      <c r="W647" s="90"/>
      <c r="X647" s="90"/>
      <c r="Y647" s="90"/>
    </row>
    <row r="648" spans="1:25" ht="15.75" customHeight="1">
      <c r="A648" s="79"/>
      <c r="C648" s="90"/>
      <c r="D648" s="1894"/>
      <c r="E648" s="1895"/>
      <c r="F648" s="1896"/>
      <c r="G648" s="1897"/>
      <c r="H648" s="90"/>
      <c r="I648" s="90"/>
      <c r="J648" s="90"/>
      <c r="K648" s="90"/>
      <c r="L648" s="1898"/>
      <c r="M648" s="643"/>
      <c r="N648" s="643"/>
      <c r="O648" s="658"/>
      <c r="P648" s="658"/>
      <c r="Q648" s="1899"/>
      <c r="R648" s="430"/>
      <c r="S648" s="430"/>
      <c r="T648" s="430"/>
      <c r="U648" s="430"/>
      <c r="V648" s="430"/>
      <c r="W648" s="90"/>
      <c r="X648" s="90"/>
      <c r="Y648" s="90"/>
    </row>
    <row r="649" spans="1:25" ht="15.75" customHeight="1">
      <c r="A649" s="79"/>
      <c r="C649" s="90"/>
      <c r="D649" s="1894"/>
      <c r="E649" s="1895"/>
      <c r="F649" s="1896"/>
      <c r="G649" s="1897"/>
      <c r="H649" s="90"/>
      <c r="I649" s="90"/>
      <c r="J649" s="90"/>
      <c r="K649" s="90"/>
      <c r="L649" s="1898"/>
      <c r="M649" s="643"/>
      <c r="N649" s="643"/>
      <c r="O649" s="658"/>
      <c r="P649" s="658"/>
      <c r="Q649" s="1899"/>
      <c r="R649" s="430"/>
      <c r="S649" s="430"/>
      <c r="T649" s="430"/>
      <c r="U649" s="430"/>
      <c r="V649" s="430"/>
      <c r="W649" s="90"/>
      <c r="X649" s="90"/>
      <c r="Y649" s="90"/>
    </row>
    <row r="650" spans="1:25" ht="15.75" customHeight="1">
      <c r="A650" s="79"/>
      <c r="C650" s="90"/>
      <c r="D650" s="1894"/>
      <c r="E650" s="1895"/>
      <c r="F650" s="1896"/>
      <c r="G650" s="1897"/>
      <c r="H650" s="90"/>
      <c r="I650" s="90"/>
      <c r="J650" s="90"/>
      <c r="K650" s="90"/>
      <c r="L650" s="1898"/>
      <c r="M650" s="643"/>
      <c r="N650" s="643"/>
      <c r="O650" s="658"/>
      <c r="P650" s="658"/>
      <c r="Q650" s="1899"/>
      <c r="R650" s="430"/>
      <c r="S650" s="430"/>
      <c r="T650" s="430"/>
      <c r="U650" s="430"/>
      <c r="V650" s="430"/>
      <c r="W650" s="90"/>
      <c r="X650" s="90"/>
      <c r="Y650" s="90"/>
    </row>
    <row r="651" spans="1:25" ht="15.75" customHeight="1">
      <c r="A651" s="79"/>
      <c r="C651" s="90"/>
      <c r="D651" s="1894"/>
      <c r="E651" s="1895"/>
      <c r="F651" s="1896"/>
      <c r="G651" s="1897"/>
      <c r="H651" s="90"/>
      <c r="I651" s="90"/>
      <c r="J651" s="90"/>
      <c r="K651" s="90"/>
      <c r="L651" s="1898"/>
      <c r="M651" s="643"/>
      <c r="N651" s="643"/>
      <c r="O651" s="658"/>
      <c r="P651" s="658"/>
      <c r="Q651" s="1899"/>
      <c r="R651" s="430"/>
      <c r="S651" s="430"/>
      <c r="T651" s="430"/>
      <c r="U651" s="430"/>
      <c r="V651" s="430"/>
      <c r="W651" s="90"/>
      <c r="X651" s="90"/>
      <c r="Y651" s="90"/>
    </row>
    <row r="652" spans="1:25" ht="15.75" customHeight="1">
      <c r="A652" s="79"/>
      <c r="C652" s="90"/>
      <c r="D652" s="1894"/>
      <c r="E652" s="1895"/>
      <c r="F652" s="1896"/>
      <c r="G652" s="1897"/>
      <c r="H652" s="90"/>
      <c r="I652" s="90"/>
      <c r="J652" s="90"/>
      <c r="K652" s="90"/>
      <c r="L652" s="1898"/>
      <c r="M652" s="643"/>
      <c r="N652" s="643"/>
      <c r="O652" s="658"/>
      <c r="P652" s="658"/>
      <c r="Q652" s="1899"/>
      <c r="R652" s="430"/>
      <c r="S652" s="430"/>
      <c r="T652" s="430"/>
      <c r="U652" s="430"/>
      <c r="V652" s="430"/>
      <c r="W652" s="90"/>
      <c r="X652" s="90"/>
      <c r="Y652" s="90"/>
    </row>
    <row r="653" spans="1:25" ht="15.75" customHeight="1">
      <c r="A653" s="79"/>
      <c r="C653" s="90"/>
      <c r="D653" s="1894"/>
      <c r="E653" s="1895"/>
      <c r="F653" s="1896"/>
      <c r="G653" s="1897"/>
      <c r="H653" s="90"/>
      <c r="I653" s="90"/>
      <c r="J653" s="90"/>
      <c r="K653" s="90"/>
      <c r="L653" s="1898"/>
      <c r="M653" s="643"/>
      <c r="N653" s="643"/>
      <c r="O653" s="658"/>
      <c r="P653" s="658"/>
      <c r="Q653" s="1899"/>
      <c r="R653" s="430"/>
      <c r="S653" s="430"/>
      <c r="T653" s="430"/>
      <c r="U653" s="430"/>
      <c r="V653" s="430"/>
      <c r="W653" s="90"/>
      <c r="X653" s="90"/>
      <c r="Y653" s="90"/>
    </row>
    <row r="654" spans="1:25" ht="15.75" customHeight="1">
      <c r="A654" s="79"/>
      <c r="C654" s="90"/>
      <c r="D654" s="1894"/>
      <c r="E654" s="1895"/>
      <c r="F654" s="1896"/>
      <c r="G654" s="1897"/>
      <c r="H654" s="90"/>
      <c r="I654" s="90"/>
      <c r="J654" s="90"/>
      <c r="K654" s="90"/>
      <c r="L654" s="1898"/>
      <c r="M654" s="643"/>
      <c r="N654" s="643"/>
      <c r="O654" s="658"/>
      <c r="P654" s="658"/>
      <c r="Q654" s="1899"/>
      <c r="R654" s="430"/>
      <c r="S654" s="430"/>
      <c r="T654" s="430"/>
      <c r="U654" s="430"/>
      <c r="V654" s="430"/>
      <c r="W654" s="90"/>
      <c r="X654" s="90"/>
      <c r="Y654" s="90"/>
    </row>
    <row r="655" spans="1:25" ht="15.75" customHeight="1">
      <c r="A655" s="79"/>
      <c r="C655" s="90"/>
      <c r="D655" s="1894"/>
      <c r="E655" s="1895"/>
      <c r="F655" s="1896"/>
      <c r="G655" s="1897"/>
      <c r="H655" s="90"/>
      <c r="I655" s="90"/>
      <c r="J655" s="90"/>
      <c r="K655" s="90"/>
      <c r="L655" s="1898"/>
      <c r="M655" s="643"/>
      <c r="N655" s="643"/>
      <c r="O655" s="658"/>
      <c r="P655" s="658"/>
      <c r="Q655" s="1899"/>
      <c r="R655" s="430"/>
      <c r="S655" s="430"/>
      <c r="T655" s="430"/>
      <c r="U655" s="430"/>
      <c r="V655" s="430"/>
      <c r="W655" s="90"/>
      <c r="X655" s="90"/>
      <c r="Y655" s="90"/>
    </row>
    <row r="656" spans="1:25" ht="15.75" customHeight="1">
      <c r="A656" s="79"/>
      <c r="C656" s="90"/>
      <c r="D656" s="1894"/>
      <c r="E656" s="1895"/>
      <c r="F656" s="1896"/>
      <c r="G656" s="1897"/>
      <c r="H656" s="90"/>
      <c r="I656" s="90"/>
      <c r="J656" s="90"/>
      <c r="K656" s="90"/>
      <c r="L656" s="1898"/>
      <c r="M656" s="643"/>
      <c r="N656" s="643"/>
      <c r="O656" s="658"/>
      <c r="P656" s="658"/>
      <c r="Q656" s="1899"/>
      <c r="R656" s="430"/>
      <c r="S656" s="430"/>
      <c r="T656" s="430"/>
      <c r="U656" s="430"/>
      <c r="V656" s="430"/>
      <c r="W656" s="90"/>
      <c r="X656" s="90"/>
      <c r="Y656" s="90"/>
    </row>
    <row r="657" spans="1:25" ht="15.75" customHeight="1">
      <c r="A657" s="79"/>
      <c r="C657" s="90"/>
      <c r="D657" s="1894"/>
      <c r="E657" s="1895"/>
      <c r="F657" s="1896"/>
      <c r="G657" s="1897"/>
      <c r="H657" s="90"/>
      <c r="I657" s="90"/>
      <c r="J657" s="90"/>
      <c r="K657" s="90"/>
      <c r="L657" s="1898"/>
      <c r="M657" s="643"/>
      <c r="N657" s="643"/>
      <c r="O657" s="658"/>
      <c r="P657" s="658"/>
      <c r="Q657" s="1899"/>
      <c r="R657" s="430"/>
      <c r="S657" s="430"/>
      <c r="T657" s="430"/>
      <c r="U657" s="430"/>
      <c r="V657" s="430"/>
      <c r="W657" s="90"/>
      <c r="X657" s="90"/>
      <c r="Y657" s="90"/>
    </row>
    <row r="658" spans="1:25" ht="15.75" customHeight="1">
      <c r="A658" s="79"/>
      <c r="C658" s="90"/>
      <c r="D658" s="1894"/>
      <c r="E658" s="1895"/>
      <c r="F658" s="1896"/>
      <c r="G658" s="1897"/>
      <c r="H658" s="90"/>
      <c r="I658" s="90"/>
      <c r="J658" s="90"/>
      <c r="K658" s="90"/>
      <c r="L658" s="1898"/>
      <c r="M658" s="643"/>
      <c r="N658" s="643"/>
      <c r="O658" s="658"/>
      <c r="P658" s="658"/>
      <c r="Q658" s="1899"/>
      <c r="R658" s="430"/>
      <c r="S658" s="430"/>
      <c r="T658" s="430"/>
      <c r="U658" s="430"/>
      <c r="V658" s="430"/>
      <c r="W658" s="90"/>
      <c r="X658" s="90"/>
      <c r="Y658" s="90"/>
    </row>
    <row r="659" spans="1:25" ht="15.75" customHeight="1">
      <c r="A659" s="79"/>
      <c r="C659" s="90"/>
      <c r="D659" s="1894"/>
      <c r="E659" s="1895"/>
      <c r="F659" s="1896"/>
      <c r="G659" s="1897"/>
      <c r="H659" s="90"/>
      <c r="I659" s="90"/>
      <c r="J659" s="90"/>
      <c r="K659" s="90"/>
      <c r="L659" s="1898"/>
      <c r="M659" s="643"/>
      <c r="N659" s="643"/>
      <c r="O659" s="658"/>
      <c r="P659" s="658"/>
      <c r="Q659" s="1899"/>
      <c r="R659" s="430"/>
      <c r="S659" s="430"/>
      <c r="T659" s="430"/>
      <c r="U659" s="430"/>
      <c r="V659" s="430"/>
      <c r="W659" s="90"/>
      <c r="X659" s="90"/>
      <c r="Y659" s="90"/>
    </row>
    <row r="660" spans="1:25" ht="15.75" customHeight="1">
      <c r="A660" s="79"/>
      <c r="C660" s="90"/>
      <c r="D660" s="1894"/>
      <c r="E660" s="1895"/>
      <c r="F660" s="1896"/>
      <c r="G660" s="1897"/>
      <c r="H660" s="90"/>
      <c r="I660" s="90"/>
      <c r="J660" s="90"/>
      <c r="K660" s="90"/>
      <c r="L660" s="1898"/>
      <c r="M660" s="643"/>
      <c r="N660" s="643"/>
      <c r="O660" s="658"/>
      <c r="P660" s="658"/>
      <c r="Q660" s="1899"/>
      <c r="R660" s="430"/>
      <c r="S660" s="430"/>
      <c r="T660" s="430"/>
      <c r="U660" s="430"/>
      <c r="V660" s="430"/>
      <c r="W660" s="90"/>
      <c r="X660" s="90"/>
      <c r="Y660" s="90"/>
    </row>
    <row r="661" spans="1:25" ht="15.75" customHeight="1">
      <c r="A661" s="79"/>
      <c r="C661" s="90"/>
      <c r="D661" s="1894"/>
      <c r="E661" s="1895"/>
      <c r="F661" s="1896"/>
      <c r="G661" s="1897"/>
      <c r="H661" s="90"/>
      <c r="I661" s="90"/>
      <c r="J661" s="90"/>
      <c r="K661" s="90"/>
      <c r="L661" s="1898"/>
      <c r="M661" s="643"/>
      <c r="N661" s="643"/>
      <c r="O661" s="658"/>
      <c r="P661" s="658"/>
      <c r="Q661" s="1899"/>
      <c r="R661" s="430"/>
      <c r="S661" s="430"/>
      <c r="T661" s="430"/>
      <c r="U661" s="430"/>
      <c r="V661" s="430"/>
      <c r="W661" s="90"/>
      <c r="X661" s="90"/>
      <c r="Y661" s="90"/>
    </row>
    <row r="662" spans="1:25" ht="15.75" customHeight="1">
      <c r="A662" s="79"/>
      <c r="C662" s="90"/>
      <c r="D662" s="1894"/>
      <c r="E662" s="1895"/>
      <c r="F662" s="1896"/>
      <c r="G662" s="1897"/>
      <c r="H662" s="90"/>
      <c r="I662" s="90"/>
      <c r="J662" s="90"/>
      <c r="K662" s="90"/>
      <c r="L662" s="1898"/>
      <c r="M662" s="643"/>
      <c r="N662" s="643"/>
      <c r="O662" s="658"/>
      <c r="P662" s="658"/>
      <c r="Q662" s="1899"/>
      <c r="R662" s="430"/>
      <c r="S662" s="430"/>
      <c r="T662" s="430"/>
      <c r="U662" s="430"/>
      <c r="V662" s="430"/>
      <c r="W662" s="90"/>
      <c r="X662" s="90"/>
      <c r="Y662" s="90"/>
    </row>
    <row r="663" spans="1:25" ht="15.75" customHeight="1">
      <c r="A663" s="79"/>
      <c r="C663" s="90"/>
      <c r="D663" s="1894"/>
      <c r="E663" s="1895"/>
      <c r="F663" s="1896"/>
      <c r="G663" s="1897"/>
      <c r="H663" s="90"/>
      <c r="I663" s="90"/>
      <c r="J663" s="90"/>
      <c r="K663" s="90"/>
      <c r="L663" s="1898"/>
      <c r="M663" s="643"/>
      <c r="N663" s="643"/>
      <c r="O663" s="658"/>
      <c r="P663" s="658"/>
      <c r="Q663" s="1899"/>
      <c r="R663" s="430"/>
      <c r="S663" s="430"/>
      <c r="T663" s="430"/>
      <c r="U663" s="430"/>
      <c r="V663" s="430"/>
      <c r="W663" s="90"/>
      <c r="X663" s="90"/>
      <c r="Y663" s="90"/>
    </row>
    <row r="664" spans="1:25" ht="15.75" customHeight="1">
      <c r="A664" s="79"/>
      <c r="C664" s="90"/>
      <c r="D664" s="1894"/>
      <c r="E664" s="1895"/>
      <c r="F664" s="1896"/>
      <c r="G664" s="1897"/>
      <c r="H664" s="90"/>
      <c r="I664" s="90"/>
      <c r="J664" s="90"/>
      <c r="K664" s="90"/>
      <c r="L664" s="1898"/>
      <c r="M664" s="643"/>
      <c r="N664" s="643"/>
      <c r="O664" s="658"/>
      <c r="P664" s="658"/>
      <c r="Q664" s="1899"/>
      <c r="R664" s="430"/>
      <c r="S664" s="430"/>
      <c r="T664" s="430"/>
      <c r="U664" s="430"/>
      <c r="V664" s="430"/>
      <c r="W664" s="90"/>
      <c r="X664" s="90"/>
      <c r="Y664" s="90"/>
    </row>
    <row r="665" spans="1:25" ht="15.75" customHeight="1">
      <c r="A665" s="79"/>
      <c r="C665" s="90"/>
      <c r="D665" s="1894"/>
      <c r="E665" s="1895"/>
      <c r="F665" s="1896"/>
      <c r="G665" s="1897"/>
      <c r="H665" s="90"/>
      <c r="I665" s="90"/>
      <c r="J665" s="90"/>
      <c r="K665" s="90"/>
      <c r="L665" s="1898"/>
      <c r="M665" s="643"/>
      <c r="N665" s="643"/>
      <c r="O665" s="658"/>
      <c r="P665" s="658"/>
      <c r="Q665" s="1899"/>
      <c r="R665" s="430"/>
      <c r="S665" s="430"/>
      <c r="T665" s="430"/>
      <c r="U665" s="430"/>
      <c r="V665" s="430"/>
      <c r="W665" s="90"/>
      <c r="X665" s="90"/>
      <c r="Y665" s="90"/>
    </row>
    <row r="666" spans="1:25" ht="15.75" customHeight="1">
      <c r="A666" s="79"/>
      <c r="C666" s="90"/>
      <c r="D666" s="1894"/>
      <c r="E666" s="1895"/>
      <c r="F666" s="1896"/>
      <c r="G666" s="1897"/>
      <c r="H666" s="90"/>
      <c r="I666" s="90"/>
      <c r="J666" s="90"/>
      <c r="K666" s="90"/>
      <c r="L666" s="1898"/>
      <c r="M666" s="643"/>
      <c r="N666" s="643"/>
      <c r="O666" s="658"/>
      <c r="P666" s="658"/>
      <c r="Q666" s="1899"/>
      <c r="R666" s="430"/>
      <c r="S666" s="430"/>
      <c r="T666" s="430"/>
      <c r="U666" s="430"/>
      <c r="V666" s="430"/>
      <c r="W666" s="90"/>
      <c r="X666" s="90"/>
      <c r="Y666" s="90"/>
    </row>
    <row r="667" spans="1:25" ht="15.75" customHeight="1">
      <c r="A667" s="79"/>
      <c r="C667" s="90"/>
      <c r="D667" s="1894"/>
      <c r="E667" s="1895"/>
      <c r="F667" s="1896"/>
      <c r="G667" s="1897"/>
      <c r="H667" s="90"/>
      <c r="I667" s="90"/>
      <c r="J667" s="90"/>
      <c r="K667" s="90"/>
      <c r="L667" s="1898"/>
      <c r="M667" s="643"/>
      <c r="N667" s="643"/>
      <c r="O667" s="658"/>
      <c r="P667" s="658"/>
      <c r="Q667" s="1899"/>
      <c r="R667" s="430"/>
      <c r="S667" s="430"/>
      <c r="T667" s="430"/>
      <c r="U667" s="430"/>
      <c r="V667" s="430"/>
      <c r="W667" s="90"/>
      <c r="X667" s="90"/>
      <c r="Y667" s="90"/>
    </row>
    <row r="668" spans="1:25" ht="15.75" customHeight="1">
      <c r="A668" s="79"/>
      <c r="C668" s="90"/>
      <c r="D668" s="1894"/>
      <c r="E668" s="1895"/>
      <c r="F668" s="1896"/>
      <c r="G668" s="1897"/>
      <c r="H668" s="90"/>
      <c r="I668" s="90"/>
      <c r="J668" s="90"/>
      <c r="K668" s="90"/>
      <c r="L668" s="1898"/>
      <c r="M668" s="643"/>
      <c r="N668" s="643"/>
      <c r="O668" s="658"/>
      <c r="P668" s="658"/>
      <c r="Q668" s="1899"/>
      <c r="R668" s="430"/>
      <c r="S668" s="430"/>
      <c r="T668" s="430"/>
      <c r="U668" s="430"/>
      <c r="V668" s="430"/>
      <c r="W668" s="90"/>
      <c r="X668" s="90"/>
      <c r="Y668" s="90"/>
    </row>
    <row r="669" spans="1:25" ht="15.75" customHeight="1">
      <c r="A669" s="79"/>
      <c r="C669" s="90"/>
      <c r="D669" s="1894"/>
      <c r="E669" s="1895"/>
      <c r="F669" s="1896"/>
      <c r="G669" s="1897"/>
      <c r="H669" s="90"/>
      <c r="I669" s="90"/>
      <c r="J669" s="90"/>
      <c r="K669" s="90"/>
      <c r="L669" s="1898"/>
      <c r="M669" s="643"/>
      <c r="N669" s="643"/>
      <c r="O669" s="658"/>
      <c r="P669" s="658"/>
      <c r="Q669" s="1899"/>
      <c r="R669" s="430"/>
      <c r="S669" s="430"/>
      <c r="T669" s="430"/>
      <c r="U669" s="430"/>
      <c r="V669" s="430"/>
      <c r="W669" s="90"/>
      <c r="X669" s="90"/>
      <c r="Y669" s="90"/>
    </row>
    <row r="670" spans="1:25" ht="15.75" customHeight="1">
      <c r="A670" s="79"/>
      <c r="C670" s="90"/>
      <c r="D670" s="1894"/>
      <c r="E670" s="1895"/>
      <c r="F670" s="1896"/>
      <c r="G670" s="1897"/>
      <c r="H670" s="90"/>
      <c r="I670" s="90"/>
      <c r="J670" s="90"/>
      <c r="K670" s="90"/>
      <c r="L670" s="1898"/>
      <c r="M670" s="643"/>
      <c r="N670" s="643"/>
      <c r="O670" s="658"/>
      <c r="P670" s="658"/>
      <c r="Q670" s="1899"/>
      <c r="R670" s="430"/>
      <c r="S670" s="430"/>
      <c r="T670" s="430"/>
      <c r="U670" s="430"/>
      <c r="V670" s="430"/>
      <c r="W670" s="90"/>
      <c r="X670" s="90"/>
      <c r="Y670" s="90"/>
    </row>
    <row r="671" spans="1:25" ht="15.75" customHeight="1">
      <c r="A671" s="79"/>
      <c r="C671" s="90"/>
      <c r="D671" s="1894"/>
      <c r="E671" s="1895"/>
      <c r="F671" s="1896"/>
      <c r="G671" s="1897"/>
      <c r="H671" s="90"/>
      <c r="I671" s="90"/>
      <c r="J671" s="90"/>
      <c r="K671" s="90"/>
      <c r="L671" s="1898"/>
      <c r="M671" s="643"/>
      <c r="N671" s="643"/>
      <c r="O671" s="658"/>
      <c r="P671" s="658"/>
      <c r="Q671" s="1899"/>
      <c r="R671" s="430"/>
      <c r="S671" s="430"/>
      <c r="T671" s="430"/>
      <c r="U671" s="430"/>
      <c r="V671" s="430"/>
      <c r="W671" s="90"/>
      <c r="X671" s="90"/>
      <c r="Y671" s="90"/>
    </row>
    <row r="672" spans="1:25" ht="15.75" customHeight="1">
      <c r="A672" s="79"/>
      <c r="C672" s="90"/>
      <c r="D672" s="1894"/>
      <c r="E672" s="1895"/>
      <c r="F672" s="1896"/>
      <c r="G672" s="1897"/>
      <c r="H672" s="90"/>
      <c r="I672" s="90"/>
      <c r="J672" s="90"/>
      <c r="K672" s="90"/>
      <c r="L672" s="1898"/>
      <c r="M672" s="643"/>
      <c r="N672" s="643"/>
      <c r="O672" s="658"/>
      <c r="P672" s="658"/>
      <c r="Q672" s="1899"/>
      <c r="R672" s="430"/>
      <c r="S672" s="430"/>
      <c r="T672" s="430"/>
      <c r="U672" s="430"/>
      <c r="V672" s="430"/>
      <c r="W672" s="90"/>
      <c r="X672" s="90"/>
      <c r="Y672" s="90"/>
    </row>
    <row r="673" spans="1:25" ht="15.75" customHeight="1">
      <c r="A673" s="79"/>
      <c r="C673" s="90"/>
      <c r="D673" s="1894"/>
      <c r="E673" s="1895"/>
      <c r="F673" s="1896"/>
      <c r="G673" s="1897"/>
      <c r="H673" s="90"/>
      <c r="I673" s="90"/>
      <c r="J673" s="90"/>
      <c r="K673" s="90"/>
      <c r="L673" s="1898"/>
      <c r="M673" s="643"/>
      <c r="N673" s="643"/>
      <c r="O673" s="658"/>
      <c r="P673" s="658"/>
      <c r="Q673" s="1899"/>
      <c r="R673" s="430"/>
      <c r="S673" s="430"/>
      <c r="T673" s="430"/>
      <c r="U673" s="430"/>
      <c r="V673" s="430"/>
      <c r="W673" s="90"/>
      <c r="X673" s="90"/>
      <c r="Y673" s="90"/>
    </row>
    <row r="674" spans="1:25" ht="15.75" customHeight="1">
      <c r="A674" s="79"/>
      <c r="C674" s="90"/>
      <c r="D674" s="1894"/>
      <c r="E674" s="1895"/>
      <c r="F674" s="1896"/>
      <c r="G674" s="1897"/>
      <c r="H674" s="90"/>
      <c r="I674" s="90"/>
      <c r="J674" s="90"/>
      <c r="K674" s="90"/>
      <c r="L674" s="1898"/>
      <c r="M674" s="643"/>
      <c r="N674" s="643"/>
      <c r="O674" s="658"/>
      <c r="P674" s="658"/>
      <c r="Q674" s="1899"/>
      <c r="R674" s="430"/>
      <c r="S674" s="430"/>
      <c r="T674" s="430"/>
      <c r="U674" s="430"/>
      <c r="V674" s="430"/>
      <c r="W674" s="90"/>
      <c r="X674" s="90"/>
      <c r="Y674" s="90"/>
    </row>
    <row r="675" spans="1:25" ht="15.75" customHeight="1">
      <c r="A675" s="79"/>
      <c r="C675" s="90"/>
      <c r="D675" s="1894"/>
      <c r="E675" s="1895"/>
      <c r="F675" s="1896"/>
      <c r="G675" s="1897"/>
      <c r="H675" s="90"/>
      <c r="I675" s="90"/>
      <c r="J675" s="90"/>
      <c r="K675" s="90"/>
      <c r="L675" s="1898"/>
      <c r="M675" s="643"/>
      <c r="N675" s="643"/>
      <c r="O675" s="658"/>
      <c r="P675" s="658"/>
      <c r="Q675" s="1899"/>
      <c r="R675" s="430"/>
      <c r="S675" s="430"/>
      <c r="T675" s="430"/>
      <c r="U675" s="430"/>
      <c r="V675" s="430"/>
      <c r="W675" s="90"/>
      <c r="X675" s="90"/>
      <c r="Y675" s="90"/>
    </row>
    <row r="676" spans="1:25" ht="15.75" customHeight="1">
      <c r="A676" s="79"/>
      <c r="C676" s="90"/>
      <c r="D676" s="1894"/>
      <c r="E676" s="1895"/>
      <c r="F676" s="1896"/>
      <c r="G676" s="1897"/>
      <c r="H676" s="90"/>
      <c r="I676" s="90"/>
      <c r="J676" s="90"/>
      <c r="K676" s="90"/>
      <c r="L676" s="1898"/>
      <c r="M676" s="643"/>
      <c r="N676" s="643"/>
      <c r="O676" s="658"/>
      <c r="P676" s="658"/>
      <c r="Q676" s="1899"/>
      <c r="R676" s="430"/>
      <c r="S676" s="430"/>
      <c r="T676" s="430"/>
      <c r="U676" s="430"/>
      <c r="V676" s="430"/>
      <c r="W676" s="90"/>
      <c r="X676" s="90"/>
      <c r="Y676" s="90"/>
    </row>
    <row r="677" spans="1:25" ht="15.75" customHeight="1">
      <c r="A677" s="79"/>
      <c r="C677" s="90"/>
      <c r="D677" s="1894"/>
      <c r="E677" s="1895"/>
      <c r="F677" s="1896"/>
      <c r="G677" s="1897"/>
      <c r="H677" s="90"/>
      <c r="I677" s="90"/>
      <c r="J677" s="90"/>
      <c r="K677" s="90"/>
      <c r="L677" s="1898"/>
      <c r="M677" s="643"/>
      <c r="N677" s="643"/>
      <c r="O677" s="658"/>
      <c r="P677" s="658"/>
      <c r="Q677" s="1899"/>
      <c r="R677" s="430"/>
      <c r="S677" s="430"/>
      <c r="T677" s="430"/>
      <c r="U677" s="430"/>
      <c r="V677" s="430"/>
      <c r="W677" s="90"/>
      <c r="X677" s="90"/>
      <c r="Y677" s="90"/>
    </row>
    <row r="678" spans="1:25" ht="15.75" customHeight="1">
      <c r="A678" s="79"/>
      <c r="C678" s="90"/>
      <c r="D678" s="1894"/>
      <c r="E678" s="1895"/>
      <c r="F678" s="1896"/>
      <c r="G678" s="1897"/>
      <c r="H678" s="90"/>
      <c r="I678" s="90"/>
      <c r="J678" s="90"/>
      <c r="K678" s="90"/>
      <c r="L678" s="1898"/>
      <c r="M678" s="643"/>
      <c r="N678" s="643"/>
      <c r="O678" s="658"/>
      <c r="P678" s="658"/>
      <c r="Q678" s="1899"/>
      <c r="R678" s="430"/>
      <c r="S678" s="430"/>
      <c r="T678" s="430"/>
      <c r="U678" s="430"/>
      <c r="V678" s="430"/>
      <c r="W678" s="90"/>
      <c r="X678" s="90"/>
      <c r="Y678" s="90"/>
    </row>
    <row r="679" spans="1:25" ht="15.75" customHeight="1">
      <c r="A679" s="79"/>
      <c r="C679" s="90"/>
      <c r="D679" s="1894"/>
      <c r="E679" s="1895"/>
      <c r="F679" s="1896"/>
      <c r="G679" s="1897"/>
      <c r="H679" s="90"/>
      <c r="I679" s="90"/>
      <c r="J679" s="90"/>
      <c r="K679" s="90"/>
      <c r="L679" s="1898"/>
      <c r="M679" s="643"/>
      <c r="N679" s="643"/>
      <c r="O679" s="658"/>
      <c r="P679" s="658"/>
      <c r="Q679" s="1899"/>
      <c r="R679" s="430"/>
      <c r="S679" s="430"/>
      <c r="T679" s="430"/>
      <c r="U679" s="430"/>
      <c r="V679" s="430"/>
      <c r="W679" s="90"/>
      <c r="X679" s="90"/>
      <c r="Y679" s="90"/>
    </row>
    <row r="680" spans="1:25" ht="15.75" customHeight="1">
      <c r="A680" s="79"/>
      <c r="C680" s="90"/>
      <c r="D680" s="1894"/>
      <c r="E680" s="1895"/>
      <c r="F680" s="1896"/>
      <c r="G680" s="1897"/>
      <c r="H680" s="90"/>
      <c r="I680" s="90"/>
      <c r="J680" s="90"/>
      <c r="K680" s="90"/>
      <c r="L680" s="1898"/>
      <c r="M680" s="643"/>
      <c r="N680" s="643"/>
      <c r="O680" s="658"/>
      <c r="P680" s="658"/>
      <c r="Q680" s="1899"/>
      <c r="R680" s="430"/>
      <c r="S680" s="430"/>
      <c r="T680" s="430"/>
      <c r="U680" s="430"/>
      <c r="V680" s="430"/>
      <c r="W680" s="90"/>
      <c r="X680" s="90"/>
      <c r="Y680" s="90"/>
    </row>
    <row r="681" spans="1:25" ht="15.75" customHeight="1">
      <c r="A681" s="79"/>
      <c r="C681" s="90"/>
      <c r="D681" s="1894"/>
      <c r="E681" s="1895"/>
      <c r="F681" s="1896"/>
      <c r="G681" s="1897"/>
      <c r="H681" s="90"/>
      <c r="I681" s="90"/>
      <c r="J681" s="90"/>
      <c r="K681" s="90"/>
      <c r="L681" s="1898"/>
      <c r="M681" s="643"/>
      <c r="N681" s="643"/>
      <c r="O681" s="658"/>
      <c r="P681" s="658"/>
      <c r="Q681" s="1899"/>
      <c r="R681" s="430"/>
      <c r="S681" s="430"/>
      <c r="T681" s="430"/>
      <c r="U681" s="430"/>
      <c r="V681" s="430"/>
      <c r="W681" s="90"/>
      <c r="X681" s="90"/>
      <c r="Y681" s="90"/>
    </row>
    <row r="682" spans="1:25" ht="15.75" customHeight="1">
      <c r="A682" s="79"/>
      <c r="C682" s="90"/>
      <c r="D682" s="1894"/>
      <c r="E682" s="1895"/>
      <c r="F682" s="1896"/>
      <c r="G682" s="1897"/>
      <c r="H682" s="90"/>
      <c r="I682" s="90"/>
      <c r="J682" s="90"/>
      <c r="K682" s="90"/>
      <c r="L682" s="1898"/>
      <c r="M682" s="643"/>
      <c r="N682" s="643"/>
      <c r="O682" s="658"/>
      <c r="P682" s="658"/>
      <c r="Q682" s="1899"/>
      <c r="R682" s="430"/>
      <c r="S682" s="430"/>
      <c r="T682" s="430"/>
      <c r="U682" s="430"/>
      <c r="V682" s="430"/>
      <c r="W682" s="90"/>
      <c r="X682" s="90"/>
      <c r="Y682" s="90"/>
    </row>
    <row r="683" spans="1:25" ht="15.75" customHeight="1">
      <c r="A683" s="79"/>
      <c r="C683" s="90"/>
      <c r="D683" s="1894"/>
      <c r="E683" s="1895"/>
      <c r="F683" s="1896"/>
      <c r="G683" s="1897"/>
      <c r="H683" s="90"/>
      <c r="I683" s="90"/>
      <c r="J683" s="90"/>
      <c r="K683" s="90"/>
      <c r="L683" s="1898"/>
      <c r="M683" s="643"/>
      <c r="N683" s="643"/>
      <c r="O683" s="658"/>
      <c r="P683" s="658"/>
      <c r="Q683" s="1899"/>
      <c r="R683" s="430"/>
      <c r="S683" s="430"/>
      <c r="T683" s="430"/>
      <c r="U683" s="430"/>
      <c r="V683" s="430"/>
      <c r="W683" s="90"/>
      <c r="X683" s="90"/>
      <c r="Y683" s="90"/>
    </row>
    <row r="684" spans="1:25" ht="15.75" customHeight="1">
      <c r="A684" s="79"/>
      <c r="C684" s="90"/>
      <c r="D684" s="1894"/>
      <c r="E684" s="1895"/>
      <c r="F684" s="1896"/>
      <c r="G684" s="1897"/>
      <c r="H684" s="90"/>
      <c r="I684" s="90"/>
      <c r="J684" s="90"/>
      <c r="K684" s="90"/>
      <c r="L684" s="1898"/>
      <c r="M684" s="643"/>
      <c r="N684" s="643"/>
      <c r="O684" s="658"/>
      <c r="P684" s="658"/>
      <c r="Q684" s="1899"/>
      <c r="R684" s="430"/>
      <c r="S684" s="430"/>
      <c r="T684" s="430"/>
      <c r="U684" s="430"/>
      <c r="V684" s="430"/>
      <c r="W684" s="90"/>
      <c r="X684" s="90"/>
      <c r="Y684" s="90"/>
    </row>
    <row r="685" spans="1:25" ht="15.75" customHeight="1">
      <c r="A685" s="79"/>
      <c r="C685" s="90"/>
      <c r="D685" s="1894"/>
      <c r="E685" s="1895"/>
      <c r="F685" s="1896"/>
      <c r="G685" s="1897"/>
      <c r="H685" s="90"/>
      <c r="I685" s="90"/>
      <c r="J685" s="90"/>
      <c r="K685" s="90"/>
      <c r="L685" s="1898"/>
      <c r="M685" s="643"/>
      <c r="N685" s="643"/>
      <c r="O685" s="658"/>
      <c r="P685" s="658"/>
      <c r="Q685" s="1899"/>
      <c r="R685" s="430"/>
      <c r="S685" s="430"/>
      <c r="T685" s="430"/>
      <c r="U685" s="430"/>
      <c r="V685" s="430"/>
      <c r="W685" s="90"/>
      <c r="X685" s="90"/>
      <c r="Y685" s="90"/>
    </row>
    <row r="686" spans="1:25" ht="15.75" customHeight="1">
      <c r="A686" s="79"/>
      <c r="C686" s="90"/>
      <c r="D686" s="1894"/>
      <c r="E686" s="1895"/>
      <c r="F686" s="1896"/>
      <c r="G686" s="1897"/>
      <c r="H686" s="90"/>
      <c r="I686" s="90"/>
      <c r="J686" s="90"/>
      <c r="K686" s="90"/>
      <c r="L686" s="1898"/>
      <c r="M686" s="643"/>
      <c r="N686" s="643"/>
      <c r="O686" s="658"/>
      <c r="P686" s="658"/>
      <c r="Q686" s="1899"/>
      <c r="R686" s="430"/>
      <c r="S686" s="430"/>
      <c r="T686" s="430"/>
      <c r="U686" s="430"/>
      <c r="V686" s="430"/>
      <c r="W686" s="90"/>
      <c r="X686" s="90"/>
      <c r="Y686" s="90"/>
    </row>
    <row r="687" spans="1:25" ht="15.75" customHeight="1">
      <c r="A687" s="79"/>
      <c r="C687" s="90"/>
      <c r="D687" s="1894"/>
      <c r="E687" s="1895"/>
      <c r="F687" s="1896"/>
      <c r="G687" s="1897"/>
      <c r="H687" s="90"/>
      <c r="I687" s="90"/>
      <c r="J687" s="90"/>
      <c r="K687" s="90"/>
      <c r="L687" s="1898"/>
      <c r="M687" s="643"/>
      <c r="N687" s="643"/>
      <c r="O687" s="658"/>
      <c r="P687" s="658"/>
      <c r="Q687" s="1899"/>
      <c r="R687" s="430"/>
      <c r="S687" s="430"/>
      <c r="T687" s="430"/>
      <c r="U687" s="430"/>
      <c r="V687" s="430"/>
      <c r="W687" s="90"/>
      <c r="X687" s="90"/>
      <c r="Y687" s="90"/>
    </row>
    <row r="688" spans="1:25" ht="15.75" customHeight="1">
      <c r="A688" s="79"/>
      <c r="C688" s="90"/>
      <c r="D688" s="1894"/>
      <c r="E688" s="1895"/>
      <c r="F688" s="1896"/>
      <c r="G688" s="1897"/>
      <c r="H688" s="90"/>
      <c r="I688" s="90"/>
      <c r="J688" s="90"/>
      <c r="K688" s="90"/>
      <c r="L688" s="1898"/>
      <c r="M688" s="643"/>
      <c r="N688" s="643"/>
      <c r="O688" s="658"/>
      <c r="P688" s="658"/>
      <c r="Q688" s="1899"/>
      <c r="R688" s="430"/>
      <c r="S688" s="430"/>
      <c r="T688" s="430"/>
      <c r="U688" s="430"/>
      <c r="V688" s="430"/>
      <c r="W688" s="90"/>
      <c r="X688" s="90"/>
      <c r="Y688" s="90"/>
    </row>
    <row r="689" spans="1:25" ht="15.75" customHeight="1">
      <c r="A689" s="79"/>
      <c r="C689" s="90"/>
      <c r="D689" s="1894"/>
      <c r="E689" s="1895"/>
      <c r="F689" s="1896"/>
      <c r="G689" s="1897"/>
      <c r="H689" s="90"/>
      <c r="I689" s="90"/>
      <c r="J689" s="90"/>
      <c r="K689" s="90"/>
      <c r="L689" s="1898"/>
      <c r="M689" s="643"/>
      <c r="N689" s="643"/>
      <c r="O689" s="658"/>
      <c r="P689" s="658"/>
      <c r="Q689" s="1899"/>
      <c r="R689" s="430"/>
      <c r="S689" s="430"/>
      <c r="T689" s="430"/>
      <c r="U689" s="430"/>
      <c r="V689" s="430"/>
      <c r="W689" s="90"/>
      <c r="X689" s="90"/>
      <c r="Y689" s="90"/>
    </row>
    <row r="690" spans="1:25" ht="15.75" customHeight="1">
      <c r="A690" s="79"/>
      <c r="C690" s="90"/>
      <c r="D690" s="1894"/>
      <c r="E690" s="1895"/>
      <c r="F690" s="1896"/>
      <c r="G690" s="1897"/>
      <c r="H690" s="90"/>
      <c r="I690" s="90"/>
      <c r="J690" s="90"/>
      <c r="K690" s="90"/>
      <c r="L690" s="1898"/>
      <c r="M690" s="643"/>
      <c r="N690" s="643"/>
      <c r="O690" s="658"/>
      <c r="P690" s="658"/>
      <c r="Q690" s="1899"/>
      <c r="R690" s="430"/>
      <c r="S690" s="430"/>
      <c r="T690" s="430"/>
      <c r="U690" s="430"/>
      <c r="V690" s="430"/>
      <c r="W690" s="90"/>
      <c r="X690" s="90"/>
      <c r="Y690" s="90"/>
    </row>
    <row r="691" spans="1:25" ht="15.75" customHeight="1">
      <c r="A691" s="79"/>
      <c r="C691" s="90"/>
      <c r="D691" s="1894"/>
      <c r="E691" s="1895"/>
      <c r="F691" s="1896"/>
      <c r="G691" s="1897"/>
      <c r="H691" s="90"/>
      <c r="I691" s="90"/>
      <c r="J691" s="90"/>
      <c r="K691" s="90"/>
      <c r="L691" s="1898"/>
      <c r="M691" s="643"/>
      <c r="N691" s="643"/>
      <c r="O691" s="658"/>
      <c r="P691" s="658"/>
      <c r="Q691" s="1899"/>
      <c r="R691" s="430"/>
      <c r="S691" s="430"/>
      <c r="T691" s="430"/>
      <c r="U691" s="430"/>
      <c r="V691" s="430"/>
      <c r="W691" s="90"/>
      <c r="X691" s="90"/>
      <c r="Y691" s="90"/>
    </row>
    <row r="692" spans="1:25" ht="15.75" customHeight="1">
      <c r="A692" s="79"/>
      <c r="C692" s="90"/>
      <c r="D692" s="1894"/>
      <c r="E692" s="1895"/>
      <c r="F692" s="1896"/>
      <c r="G692" s="1897"/>
      <c r="H692" s="90"/>
      <c r="I692" s="90"/>
      <c r="J692" s="90"/>
      <c r="K692" s="90"/>
      <c r="L692" s="1898"/>
      <c r="M692" s="643"/>
      <c r="N692" s="643"/>
      <c r="O692" s="658"/>
      <c r="P692" s="658"/>
      <c r="Q692" s="1899"/>
      <c r="R692" s="430"/>
      <c r="S692" s="430"/>
      <c r="T692" s="430"/>
      <c r="U692" s="430"/>
      <c r="V692" s="430"/>
      <c r="W692" s="90"/>
      <c r="X692" s="90"/>
      <c r="Y692" s="90"/>
    </row>
    <row r="693" spans="1:25" ht="15.75" customHeight="1">
      <c r="A693" s="79"/>
      <c r="C693" s="90"/>
      <c r="D693" s="1894"/>
      <c r="E693" s="1895"/>
      <c r="F693" s="1896"/>
      <c r="G693" s="1897"/>
      <c r="H693" s="90"/>
      <c r="I693" s="90"/>
      <c r="J693" s="90"/>
      <c r="K693" s="90"/>
      <c r="L693" s="1898"/>
      <c r="M693" s="643"/>
      <c r="N693" s="643"/>
      <c r="O693" s="658"/>
      <c r="P693" s="658"/>
      <c r="Q693" s="1899"/>
      <c r="R693" s="430"/>
      <c r="S693" s="430"/>
      <c r="T693" s="430"/>
      <c r="U693" s="430"/>
      <c r="V693" s="430"/>
      <c r="W693" s="90"/>
      <c r="X693" s="90"/>
      <c r="Y693" s="90"/>
    </row>
    <row r="694" spans="1:25" ht="15.75" customHeight="1">
      <c r="A694" s="79"/>
      <c r="C694" s="90"/>
      <c r="D694" s="1894"/>
      <c r="E694" s="1895"/>
      <c r="F694" s="1896"/>
      <c r="G694" s="1897"/>
      <c r="H694" s="90"/>
      <c r="I694" s="90"/>
      <c r="J694" s="90"/>
      <c r="K694" s="90"/>
      <c r="L694" s="1898"/>
      <c r="M694" s="643"/>
      <c r="N694" s="643"/>
      <c r="O694" s="658"/>
      <c r="P694" s="658"/>
      <c r="Q694" s="1899"/>
      <c r="R694" s="430"/>
      <c r="S694" s="430"/>
      <c r="T694" s="430"/>
      <c r="U694" s="430"/>
      <c r="V694" s="430"/>
      <c r="W694" s="90"/>
      <c r="X694" s="90"/>
      <c r="Y694" s="90"/>
    </row>
    <row r="695" spans="1:25" ht="15.75" customHeight="1">
      <c r="A695" s="79"/>
      <c r="C695" s="90"/>
      <c r="D695" s="1894"/>
      <c r="E695" s="1895"/>
      <c r="F695" s="1896"/>
      <c r="G695" s="1897"/>
      <c r="H695" s="90"/>
      <c r="I695" s="90"/>
      <c r="J695" s="90"/>
      <c r="K695" s="90"/>
      <c r="L695" s="1898"/>
      <c r="M695" s="643"/>
      <c r="N695" s="643"/>
      <c r="O695" s="658"/>
      <c r="P695" s="658"/>
      <c r="Q695" s="1899"/>
      <c r="R695" s="430"/>
      <c r="S695" s="430"/>
      <c r="T695" s="430"/>
      <c r="U695" s="430"/>
      <c r="V695" s="430"/>
      <c r="W695" s="90"/>
      <c r="X695" s="90"/>
      <c r="Y695" s="90"/>
    </row>
    <row r="696" spans="1:25" ht="15.75" customHeight="1">
      <c r="A696" s="79"/>
      <c r="C696" s="90"/>
      <c r="D696" s="1894"/>
      <c r="E696" s="1895"/>
      <c r="F696" s="1896"/>
      <c r="G696" s="1897"/>
      <c r="H696" s="90"/>
      <c r="I696" s="90"/>
      <c r="J696" s="90"/>
      <c r="K696" s="90"/>
      <c r="L696" s="1898"/>
      <c r="M696" s="643"/>
      <c r="N696" s="643"/>
      <c r="O696" s="658"/>
      <c r="P696" s="658"/>
      <c r="Q696" s="1899"/>
      <c r="R696" s="430"/>
      <c r="S696" s="430"/>
      <c r="T696" s="430"/>
      <c r="U696" s="430"/>
      <c r="V696" s="430"/>
      <c r="W696" s="90"/>
      <c r="X696" s="90"/>
      <c r="Y696" s="90"/>
    </row>
    <row r="697" spans="1:25" ht="15.75" customHeight="1">
      <c r="A697" s="79"/>
      <c r="C697" s="90"/>
      <c r="D697" s="1894"/>
      <c r="E697" s="1895"/>
      <c r="F697" s="1896"/>
      <c r="G697" s="1897"/>
      <c r="H697" s="90"/>
      <c r="I697" s="90"/>
      <c r="J697" s="90"/>
      <c r="K697" s="90"/>
      <c r="L697" s="1898"/>
      <c r="M697" s="643"/>
      <c r="N697" s="643"/>
      <c r="O697" s="658"/>
      <c r="P697" s="658"/>
      <c r="Q697" s="1899"/>
      <c r="R697" s="430"/>
      <c r="S697" s="430"/>
      <c r="T697" s="430"/>
      <c r="U697" s="430"/>
      <c r="V697" s="430"/>
      <c r="W697" s="90"/>
      <c r="X697" s="90"/>
      <c r="Y697" s="90"/>
    </row>
    <row r="698" spans="1:25" ht="15.75" customHeight="1">
      <c r="A698" s="79"/>
      <c r="C698" s="90"/>
      <c r="D698" s="1894"/>
      <c r="E698" s="1895"/>
      <c r="F698" s="1896"/>
      <c r="G698" s="1897"/>
      <c r="H698" s="90"/>
      <c r="I698" s="90"/>
      <c r="J698" s="90"/>
      <c r="K698" s="90"/>
      <c r="L698" s="1898"/>
      <c r="M698" s="643"/>
      <c r="N698" s="643"/>
      <c r="O698" s="658"/>
      <c r="P698" s="658"/>
      <c r="Q698" s="1899"/>
      <c r="R698" s="430"/>
      <c r="S698" s="430"/>
      <c r="T698" s="430"/>
      <c r="U698" s="430"/>
      <c r="V698" s="430"/>
      <c r="W698" s="90"/>
      <c r="X698" s="90"/>
      <c r="Y698" s="90"/>
    </row>
    <row r="699" spans="1:25" ht="15.75" customHeight="1">
      <c r="A699" s="79"/>
      <c r="C699" s="90"/>
      <c r="D699" s="1894"/>
      <c r="E699" s="1895"/>
      <c r="F699" s="1896"/>
      <c r="G699" s="1897"/>
      <c r="H699" s="90"/>
      <c r="I699" s="90"/>
      <c r="J699" s="90"/>
      <c r="K699" s="90"/>
      <c r="L699" s="1898"/>
      <c r="M699" s="643"/>
      <c r="N699" s="643"/>
      <c r="O699" s="658"/>
      <c r="P699" s="658"/>
      <c r="Q699" s="1899"/>
      <c r="R699" s="430"/>
      <c r="S699" s="430"/>
      <c r="T699" s="430"/>
      <c r="U699" s="430"/>
      <c r="V699" s="430"/>
      <c r="W699" s="90"/>
      <c r="X699" s="90"/>
      <c r="Y699" s="90"/>
    </row>
    <row r="700" spans="1:25" ht="15.75" customHeight="1">
      <c r="A700" s="79"/>
      <c r="C700" s="90"/>
      <c r="D700" s="1894"/>
      <c r="E700" s="1895"/>
      <c r="F700" s="1896"/>
      <c r="G700" s="1897"/>
      <c r="H700" s="90"/>
      <c r="I700" s="90"/>
      <c r="J700" s="90"/>
      <c r="K700" s="90"/>
      <c r="L700" s="1898"/>
      <c r="M700" s="643"/>
      <c r="N700" s="643"/>
      <c r="O700" s="658"/>
      <c r="P700" s="658"/>
      <c r="Q700" s="1899"/>
      <c r="R700" s="430"/>
      <c r="S700" s="430"/>
      <c r="T700" s="430"/>
      <c r="U700" s="430"/>
      <c r="V700" s="430"/>
      <c r="W700" s="90"/>
      <c r="X700" s="90"/>
      <c r="Y700" s="90"/>
    </row>
    <row r="701" spans="1:25" ht="15.75" customHeight="1">
      <c r="A701" s="79"/>
      <c r="C701" s="90"/>
      <c r="D701" s="1894"/>
      <c r="E701" s="1895"/>
      <c r="F701" s="1896"/>
      <c r="G701" s="1897"/>
      <c r="H701" s="90"/>
      <c r="I701" s="90"/>
      <c r="J701" s="90"/>
      <c r="K701" s="90"/>
      <c r="L701" s="1898"/>
      <c r="M701" s="643"/>
      <c r="N701" s="643"/>
      <c r="O701" s="658"/>
      <c r="P701" s="658"/>
      <c r="Q701" s="1899"/>
      <c r="R701" s="430"/>
      <c r="S701" s="430"/>
      <c r="T701" s="430"/>
      <c r="U701" s="430"/>
      <c r="V701" s="430"/>
      <c r="W701" s="90"/>
      <c r="X701" s="90"/>
      <c r="Y701" s="90"/>
    </row>
    <row r="702" spans="1:25" ht="15.75" customHeight="1">
      <c r="A702" s="79"/>
      <c r="C702" s="90"/>
      <c r="D702" s="1894"/>
      <c r="E702" s="1895"/>
      <c r="F702" s="1896"/>
      <c r="G702" s="1897"/>
      <c r="H702" s="90"/>
      <c r="I702" s="90"/>
      <c r="J702" s="90"/>
      <c r="K702" s="90"/>
      <c r="L702" s="1898"/>
      <c r="M702" s="643"/>
      <c r="N702" s="643"/>
      <c r="O702" s="658"/>
      <c r="P702" s="658"/>
      <c r="Q702" s="1899"/>
      <c r="R702" s="430"/>
      <c r="S702" s="430"/>
      <c r="T702" s="430"/>
      <c r="U702" s="430"/>
      <c r="V702" s="430"/>
      <c r="W702" s="90"/>
      <c r="X702" s="90"/>
      <c r="Y702" s="90"/>
    </row>
    <row r="703" spans="1:25" ht="15.75" customHeight="1">
      <c r="A703" s="79"/>
      <c r="C703" s="90"/>
      <c r="D703" s="1894"/>
      <c r="E703" s="1895"/>
      <c r="F703" s="1896"/>
      <c r="G703" s="1897"/>
      <c r="H703" s="90"/>
      <c r="I703" s="90"/>
      <c r="J703" s="90"/>
      <c r="K703" s="90"/>
      <c r="L703" s="1898"/>
      <c r="M703" s="643"/>
      <c r="N703" s="643"/>
      <c r="O703" s="658"/>
      <c r="P703" s="658"/>
      <c r="Q703" s="1899"/>
      <c r="R703" s="430"/>
      <c r="S703" s="430"/>
      <c r="T703" s="430"/>
      <c r="U703" s="430"/>
      <c r="V703" s="430"/>
      <c r="W703" s="90"/>
      <c r="X703" s="90"/>
      <c r="Y703" s="90"/>
    </row>
    <row r="704" spans="1:25" ht="15.75" customHeight="1">
      <c r="A704" s="79"/>
      <c r="C704" s="90"/>
      <c r="D704" s="1894"/>
      <c r="E704" s="1895"/>
      <c r="F704" s="1896"/>
      <c r="G704" s="1897"/>
      <c r="H704" s="90"/>
      <c r="I704" s="90"/>
      <c r="J704" s="90"/>
      <c r="K704" s="90"/>
      <c r="L704" s="1898"/>
      <c r="M704" s="643"/>
      <c r="N704" s="643"/>
      <c r="O704" s="658"/>
      <c r="P704" s="658"/>
      <c r="Q704" s="1899"/>
      <c r="R704" s="430"/>
      <c r="S704" s="430"/>
      <c r="T704" s="430"/>
      <c r="U704" s="430"/>
      <c r="V704" s="430"/>
      <c r="W704" s="90"/>
      <c r="X704" s="90"/>
      <c r="Y704" s="90"/>
    </row>
    <row r="705" spans="1:25" ht="15.75" customHeight="1">
      <c r="A705" s="79"/>
      <c r="C705" s="90"/>
      <c r="D705" s="1894"/>
      <c r="E705" s="1895"/>
      <c r="F705" s="1896"/>
      <c r="G705" s="1897"/>
      <c r="H705" s="90"/>
      <c r="I705" s="90"/>
      <c r="J705" s="90"/>
      <c r="K705" s="90"/>
      <c r="L705" s="1898"/>
      <c r="M705" s="643"/>
      <c r="N705" s="643"/>
      <c r="O705" s="658"/>
      <c r="P705" s="658"/>
      <c r="Q705" s="1899"/>
      <c r="R705" s="430"/>
      <c r="S705" s="430"/>
      <c r="T705" s="430"/>
      <c r="U705" s="430"/>
      <c r="V705" s="430"/>
      <c r="W705" s="90"/>
      <c r="X705" s="90"/>
      <c r="Y705" s="90"/>
    </row>
    <row r="706" spans="1:25" ht="15.75" customHeight="1">
      <c r="A706" s="79"/>
      <c r="C706" s="90"/>
      <c r="D706" s="1894"/>
      <c r="E706" s="1895"/>
      <c r="F706" s="1896"/>
      <c r="G706" s="1897"/>
      <c r="H706" s="90"/>
      <c r="I706" s="90"/>
      <c r="J706" s="90"/>
      <c r="K706" s="90"/>
      <c r="L706" s="1898"/>
      <c r="M706" s="643"/>
      <c r="N706" s="643"/>
      <c r="O706" s="658"/>
      <c r="P706" s="658"/>
      <c r="Q706" s="1899"/>
      <c r="R706" s="430"/>
      <c r="S706" s="430"/>
      <c r="T706" s="430"/>
      <c r="U706" s="430"/>
      <c r="V706" s="430"/>
      <c r="W706" s="90"/>
      <c r="X706" s="90"/>
      <c r="Y706" s="90"/>
    </row>
    <row r="707" spans="1:25" ht="15.75" customHeight="1">
      <c r="A707" s="79"/>
      <c r="C707" s="90"/>
      <c r="D707" s="1894"/>
      <c r="E707" s="1895"/>
      <c r="F707" s="1896"/>
      <c r="G707" s="1897"/>
      <c r="H707" s="90"/>
      <c r="I707" s="90"/>
      <c r="J707" s="90"/>
      <c r="K707" s="90"/>
      <c r="L707" s="1898"/>
      <c r="M707" s="643"/>
      <c r="N707" s="643"/>
      <c r="O707" s="658"/>
      <c r="P707" s="658"/>
      <c r="Q707" s="1899"/>
      <c r="R707" s="430"/>
      <c r="S707" s="430"/>
      <c r="T707" s="430"/>
      <c r="U707" s="430"/>
      <c r="V707" s="430"/>
      <c r="W707" s="90"/>
      <c r="X707" s="90"/>
      <c r="Y707" s="90"/>
    </row>
    <row r="708" spans="1:25" ht="15.75" customHeight="1">
      <c r="A708" s="79"/>
      <c r="C708" s="90"/>
      <c r="D708" s="1894"/>
      <c r="E708" s="1895"/>
      <c r="F708" s="1896"/>
      <c r="G708" s="1897"/>
      <c r="H708" s="90"/>
      <c r="I708" s="90"/>
      <c r="J708" s="90"/>
      <c r="K708" s="90"/>
      <c r="L708" s="1898"/>
      <c r="M708" s="643"/>
      <c r="N708" s="643"/>
      <c r="O708" s="658"/>
      <c r="P708" s="658"/>
      <c r="Q708" s="1899"/>
      <c r="R708" s="430"/>
      <c r="S708" s="430"/>
      <c r="T708" s="430"/>
      <c r="U708" s="430"/>
      <c r="V708" s="430"/>
      <c r="W708" s="90"/>
      <c r="X708" s="90"/>
      <c r="Y708" s="90"/>
    </row>
    <row r="709" spans="1:25" ht="15.75" customHeight="1">
      <c r="A709" s="79"/>
      <c r="C709" s="90"/>
      <c r="D709" s="1894"/>
      <c r="E709" s="1895"/>
      <c r="F709" s="1896"/>
      <c r="G709" s="1897"/>
      <c r="H709" s="90"/>
      <c r="I709" s="90"/>
      <c r="J709" s="90"/>
      <c r="K709" s="90"/>
      <c r="L709" s="1898"/>
      <c r="M709" s="643"/>
      <c r="N709" s="643"/>
      <c r="O709" s="658"/>
      <c r="P709" s="658"/>
      <c r="Q709" s="1899"/>
      <c r="R709" s="430"/>
      <c r="S709" s="430"/>
      <c r="T709" s="430"/>
      <c r="U709" s="430"/>
      <c r="V709" s="430"/>
      <c r="W709" s="90"/>
      <c r="X709" s="90"/>
      <c r="Y709" s="90"/>
    </row>
    <row r="710" spans="1:25" ht="15.75" customHeight="1">
      <c r="A710" s="79"/>
      <c r="C710" s="90"/>
      <c r="D710" s="1894"/>
      <c r="E710" s="1895"/>
      <c r="F710" s="1896"/>
      <c r="G710" s="1897"/>
      <c r="H710" s="90"/>
      <c r="I710" s="90"/>
      <c r="J710" s="90"/>
      <c r="K710" s="90"/>
      <c r="L710" s="1898"/>
      <c r="M710" s="643"/>
      <c r="N710" s="643"/>
      <c r="O710" s="658"/>
      <c r="P710" s="658"/>
      <c r="Q710" s="1899"/>
      <c r="R710" s="430"/>
      <c r="S710" s="430"/>
      <c r="T710" s="430"/>
      <c r="U710" s="430"/>
      <c r="V710" s="430"/>
      <c r="W710" s="90"/>
      <c r="X710" s="90"/>
      <c r="Y710" s="90"/>
    </row>
    <row r="711" spans="1:25" ht="15.75" customHeight="1">
      <c r="A711" s="79"/>
      <c r="C711" s="90"/>
      <c r="D711" s="1894"/>
      <c r="E711" s="1895"/>
      <c r="F711" s="1896"/>
      <c r="G711" s="1897"/>
      <c r="H711" s="90"/>
      <c r="I711" s="90"/>
      <c r="J711" s="90"/>
      <c r="K711" s="90"/>
      <c r="L711" s="1898"/>
      <c r="M711" s="643"/>
      <c r="N711" s="643"/>
      <c r="O711" s="658"/>
      <c r="P711" s="658"/>
      <c r="Q711" s="1899"/>
      <c r="R711" s="430"/>
      <c r="S711" s="430"/>
      <c r="T711" s="430"/>
      <c r="U711" s="430"/>
      <c r="V711" s="430"/>
      <c r="W711" s="90"/>
      <c r="X711" s="90"/>
      <c r="Y711" s="90"/>
    </row>
    <row r="712" spans="1:25" ht="15.75" customHeight="1">
      <c r="A712" s="79"/>
      <c r="C712" s="90"/>
      <c r="D712" s="1894"/>
      <c r="E712" s="1895"/>
      <c r="F712" s="1896"/>
      <c r="G712" s="1897"/>
      <c r="H712" s="90"/>
      <c r="I712" s="90"/>
      <c r="J712" s="90"/>
      <c r="K712" s="90"/>
      <c r="L712" s="1898"/>
      <c r="M712" s="643"/>
      <c r="N712" s="643"/>
      <c r="O712" s="658"/>
      <c r="P712" s="658"/>
      <c r="Q712" s="1899"/>
      <c r="R712" s="430"/>
      <c r="S712" s="430"/>
      <c r="T712" s="430"/>
      <c r="U712" s="430"/>
      <c r="V712" s="430"/>
      <c r="W712" s="90"/>
      <c r="X712" s="90"/>
      <c r="Y712" s="90"/>
    </row>
    <row r="713" spans="1:25" ht="15.75" customHeight="1">
      <c r="A713" s="79"/>
      <c r="C713" s="90"/>
      <c r="D713" s="1894"/>
      <c r="E713" s="1895"/>
      <c r="F713" s="1896"/>
      <c r="G713" s="1897"/>
      <c r="H713" s="90"/>
      <c r="I713" s="90"/>
      <c r="J713" s="90"/>
      <c r="K713" s="90"/>
      <c r="L713" s="1898"/>
      <c r="M713" s="643"/>
      <c r="N713" s="643"/>
      <c r="O713" s="658"/>
      <c r="P713" s="658"/>
      <c r="Q713" s="1899"/>
      <c r="R713" s="430"/>
      <c r="S713" s="430"/>
      <c r="T713" s="430"/>
      <c r="U713" s="430"/>
      <c r="V713" s="430"/>
      <c r="W713" s="90"/>
      <c r="X713" s="90"/>
      <c r="Y713" s="90"/>
    </row>
    <row r="714" spans="1:25" ht="15.75" customHeight="1">
      <c r="A714" s="79"/>
      <c r="C714" s="90"/>
      <c r="D714" s="1894"/>
      <c r="E714" s="1895"/>
      <c r="F714" s="1896"/>
      <c r="G714" s="1897"/>
      <c r="H714" s="90"/>
      <c r="I714" s="90"/>
      <c r="J714" s="90"/>
      <c r="K714" s="90"/>
      <c r="L714" s="1898"/>
      <c r="M714" s="643"/>
      <c r="N714" s="643"/>
      <c r="O714" s="658"/>
      <c r="P714" s="658"/>
      <c r="Q714" s="1899"/>
      <c r="R714" s="430"/>
      <c r="S714" s="430"/>
      <c r="T714" s="430"/>
      <c r="U714" s="430"/>
      <c r="V714" s="430"/>
      <c r="W714" s="90"/>
      <c r="X714" s="90"/>
      <c r="Y714" s="90"/>
    </row>
    <row r="715" spans="1:25" ht="15.75" customHeight="1">
      <c r="A715" s="79"/>
      <c r="C715" s="90"/>
      <c r="D715" s="1894"/>
      <c r="E715" s="1895"/>
      <c r="F715" s="1896"/>
      <c r="G715" s="1897"/>
      <c r="H715" s="90"/>
      <c r="I715" s="90"/>
      <c r="J715" s="90"/>
      <c r="K715" s="90"/>
      <c r="L715" s="1898"/>
      <c r="M715" s="643"/>
      <c r="N715" s="643"/>
      <c r="O715" s="658"/>
      <c r="P715" s="658"/>
      <c r="Q715" s="1899"/>
      <c r="R715" s="430"/>
      <c r="S715" s="430"/>
      <c r="T715" s="430"/>
      <c r="U715" s="430"/>
      <c r="V715" s="430"/>
      <c r="W715" s="90"/>
      <c r="X715" s="90"/>
      <c r="Y715" s="90"/>
    </row>
    <row r="716" spans="1:25" ht="15.75" customHeight="1">
      <c r="A716" s="79"/>
      <c r="C716" s="90"/>
      <c r="D716" s="1894"/>
      <c r="E716" s="1895"/>
      <c r="F716" s="1896"/>
      <c r="G716" s="1897"/>
      <c r="H716" s="90"/>
      <c r="I716" s="90"/>
      <c r="J716" s="90"/>
      <c r="K716" s="90"/>
      <c r="L716" s="1898"/>
      <c r="M716" s="643"/>
      <c r="N716" s="643"/>
      <c r="O716" s="658"/>
      <c r="P716" s="658"/>
      <c r="Q716" s="1899"/>
      <c r="R716" s="430"/>
      <c r="S716" s="430"/>
      <c r="T716" s="430"/>
      <c r="U716" s="430"/>
      <c r="V716" s="430"/>
      <c r="W716" s="90"/>
      <c r="X716" s="90"/>
      <c r="Y716" s="90"/>
    </row>
    <row r="717" spans="1:25" ht="15.75" customHeight="1">
      <c r="A717" s="79"/>
      <c r="C717" s="90"/>
      <c r="D717" s="1894"/>
      <c r="E717" s="1895"/>
      <c r="F717" s="1896"/>
      <c r="G717" s="1897"/>
      <c r="H717" s="90"/>
      <c r="I717" s="90"/>
      <c r="J717" s="90"/>
      <c r="K717" s="90"/>
      <c r="L717" s="1898"/>
      <c r="M717" s="643"/>
      <c r="N717" s="643"/>
      <c r="O717" s="658"/>
      <c r="P717" s="658"/>
      <c r="Q717" s="1899"/>
      <c r="R717" s="430"/>
      <c r="S717" s="430"/>
      <c r="T717" s="430"/>
      <c r="U717" s="430"/>
      <c r="V717" s="430"/>
      <c r="W717" s="90"/>
      <c r="X717" s="90"/>
      <c r="Y717" s="90"/>
    </row>
    <row r="718" spans="1:25" ht="15.75" customHeight="1">
      <c r="A718" s="79"/>
      <c r="C718" s="90"/>
      <c r="D718" s="1894"/>
      <c r="E718" s="1895"/>
      <c r="F718" s="1896"/>
      <c r="G718" s="1897"/>
      <c r="H718" s="90"/>
      <c r="I718" s="90"/>
      <c r="J718" s="90"/>
      <c r="K718" s="90"/>
      <c r="L718" s="1898"/>
      <c r="M718" s="643"/>
      <c r="N718" s="643"/>
      <c r="O718" s="658"/>
      <c r="P718" s="658"/>
      <c r="Q718" s="1899"/>
      <c r="R718" s="430"/>
      <c r="S718" s="430"/>
      <c r="T718" s="430"/>
      <c r="U718" s="430"/>
      <c r="V718" s="430"/>
      <c r="W718" s="90"/>
      <c r="X718" s="90"/>
      <c r="Y718" s="90"/>
    </row>
    <row r="719" spans="1:25" ht="15.75" customHeight="1">
      <c r="A719" s="79"/>
      <c r="C719" s="90"/>
      <c r="D719" s="1894"/>
      <c r="E719" s="1895"/>
      <c r="F719" s="1896"/>
      <c r="G719" s="1897"/>
      <c r="H719" s="90"/>
      <c r="I719" s="90"/>
      <c r="J719" s="90"/>
      <c r="K719" s="90"/>
      <c r="L719" s="1898"/>
      <c r="M719" s="643"/>
      <c r="N719" s="643"/>
      <c r="O719" s="658"/>
      <c r="P719" s="658"/>
      <c r="Q719" s="1899"/>
      <c r="R719" s="430"/>
      <c r="S719" s="430"/>
      <c r="T719" s="430"/>
      <c r="U719" s="430"/>
      <c r="V719" s="430"/>
      <c r="W719" s="90"/>
      <c r="X719" s="90"/>
      <c r="Y719" s="90"/>
    </row>
    <row r="720" spans="1:25" ht="15.75" customHeight="1">
      <c r="A720" s="79"/>
      <c r="C720" s="90"/>
      <c r="D720" s="1894"/>
      <c r="E720" s="1895"/>
      <c r="F720" s="1896"/>
      <c r="G720" s="1897"/>
      <c r="H720" s="90"/>
      <c r="I720" s="90"/>
      <c r="J720" s="90"/>
      <c r="K720" s="90"/>
      <c r="L720" s="1898"/>
      <c r="M720" s="643"/>
      <c r="N720" s="643"/>
      <c r="O720" s="658"/>
      <c r="P720" s="658"/>
      <c r="Q720" s="1899"/>
      <c r="R720" s="430"/>
      <c r="S720" s="430"/>
      <c r="T720" s="430"/>
      <c r="U720" s="430"/>
      <c r="V720" s="430"/>
      <c r="W720" s="90"/>
      <c r="X720" s="90"/>
      <c r="Y720" s="90"/>
    </row>
    <row r="721" spans="1:25" ht="15.75" customHeight="1">
      <c r="A721" s="79"/>
      <c r="C721" s="90"/>
      <c r="D721" s="1894"/>
      <c r="E721" s="1895"/>
      <c r="F721" s="1896"/>
      <c r="G721" s="1897"/>
      <c r="H721" s="90"/>
      <c r="I721" s="90"/>
      <c r="J721" s="90"/>
      <c r="K721" s="90"/>
      <c r="L721" s="1898"/>
      <c r="M721" s="643"/>
      <c r="N721" s="643"/>
      <c r="O721" s="658"/>
      <c r="P721" s="658"/>
      <c r="Q721" s="1899"/>
      <c r="R721" s="430"/>
      <c r="S721" s="430"/>
      <c r="T721" s="430"/>
      <c r="U721" s="430"/>
      <c r="V721" s="430"/>
      <c r="W721" s="90"/>
      <c r="X721" s="90"/>
      <c r="Y721" s="90"/>
    </row>
    <row r="722" spans="1:25" ht="15.75" customHeight="1">
      <c r="A722" s="79"/>
      <c r="C722" s="90"/>
      <c r="D722" s="1894"/>
      <c r="E722" s="1895"/>
      <c r="F722" s="1896"/>
      <c r="G722" s="1897"/>
      <c r="H722" s="90"/>
      <c r="I722" s="90"/>
      <c r="J722" s="90"/>
      <c r="K722" s="90"/>
      <c r="L722" s="1898"/>
      <c r="M722" s="643"/>
      <c r="N722" s="643"/>
      <c r="O722" s="658"/>
      <c r="P722" s="658"/>
      <c r="Q722" s="1899"/>
      <c r="R722" s="430"/>
      <c r="S722" s="430"/>
      <c r="T722" s="430"/>
      <c r="U722" s="430"/>
      <c r="V722" s="430"/>
      <c r="W722" s="90"/>
      <c r="X722" s="90"/>
      <c r="Y722" s="90"/>
    </row>
    <row r="723" spans="1:25" ht="15.75" customHeight="1">
      <c r="A723" s="79"/>
      <c r="C723" s="90"/>
      <c r="D723" s="1894"/>
      <c r="E723" s="1895"/>
      <c r="F723" s="1896"/>
      <c r="G723" s="1897"/>
      <c r="H723" s="90"/>
      <c r="I723" s="90"/>
      <c r="J723" s="90"/>
      <c r="K723" s="90"/>
      <c r="L723" s="1898"/>
      <c r="M723" s="643"/>
      <c r="N723" s="643"/>
      <c r="O723" s="658"/>
      <c r="P723" s="658"/>
      <c r="Q723" s="1899"/>
      <c r="R723" s="430"/>
      <c r="S723" s="430"/>
      <c r="T723" s="430"/>
      <c r="U723" s="430"/>
      <c r="V723" s="430"/>
      <c r="W723" s="90"/>
      <c r="X723" s="90"/>
      <c r="Y723" s="90"/>
    </row>
    <row r="724" spans="1:25" ht="15.75" customHeight="1">
      <c r="A724" s="79"/>
      <c r="C724" s="90"/>
      <c r="D724" s="1894"/>
      <c r="E724" s="1895"/>
      <c r="F724" s="1896"/>
      <c r="G724" s="1897"/>
      <c r="H724" s="90"/>
      <c r="I724" s="90"/>
      <c r="J724" s="90"/>
      <c r="K724" s="90"/>
      <c r="L724" s="1898"/>
      <c r="M724" s="643"/>
      <c r="N724" s="643"/>
      <c r="O724" s="658"/>
      <c r="P724" s="658"/>
      <c r="Q724" s="1899"/>
      <c r="R724" s="430"/>
      <c r="S724" s="430"/>
      <c r="T724" s="430"/>
      <c r="U724" s="430"/>
      <c r="V724" s="430"/>
      <c r="W724" s="90"/>
      <c r="X724" s="90"/>
      <c r="Y724" s="90"/>
    </row>
    <row r="725" spans="1:25" ht="15.75" customHeight="1">
      <c r="A725" s="79"/>
      <c r="C725" s="90"/>
      <c r="D725" s="1894"/>
      <c r="E725" s="1895"/>
      <c r="F725" s="1896"/>
      <c r="G725" s="1897"/>
      <c r="H725" s="90"/>
      <c r="I725" s="90"/>
      <c r="J725" s="90"/>
      <c r="K725" s="90"/>
      <c r="L725" s="1898"/>
      <c r="M725" s="643"/>
      <c r="N725" s="643"/>
      <c r="O725" s="658"/>
      <c r="P725" s="658"/>
      <c r="Q725" s="1899"/>
      <c r="R725" s="430"/>
      <c r="S725" s="430"/>
      <c r="T725" s="430"/>
      <c r="U725" s="430"/>
      <c r="V725" s="430"/>
      <c r="W725" s="90"/>
      <c r="X725" s="90"/>
      <c r="Y725" s="90"/>
    </row>
    <row r="726" spans="1:25" ht="15.75" customHeight="1">
      <c r="A726" s="79"/>
      <c r="C726" s="90"/>
      <c r="D726" s="1894"/>
      <c r="E726" s="1895"/>
      <c r="F726" s="1896"/>
      <c r="G726" s="1897"/>
      <c r="H726" s="90"/>
      <c r="I726" s="90"/>
      <c r="J726" s="90"/>
      <c r="K726" s="90"/>
      <c r="L726" s="1898"/>
      <c r="M726" s="643"/>
      <c r="N726" s="643"/>
      <c r="O726" s="658"/>
      <c r="P726" s="658"/>
      <c r="Q726" s="1899"/>
      <c r="R726" s="430"/>
      <c r="S726" s="430"/>
      <c r="T726" s="430"/>
      <c r="U726" s="430"/>
      <c r="V726" s="430"/>
      <c r="W726" s="90"/>
      <c r="X726" s="90"/>
      <c r="Y726" s="90"/>
    </row>
    <row r="727" spans="1:25" ht="15.75" customHeight="1">
      <c r="A727" s="79"/>
      <c r="C727" s="90"/>
      <c r="D727" s="1894"/>
      <c r="E727" s="1895"/>
      <c r="F727" s="1896"/>
      <c r="G727" s="1897"/>
      <c r="H727" s="90"/>
      <c r="I727" s="90"/>
      <c r="J727" s="90"/>
      <c r="K727" s="90"/>
      <c r="L727" s="1898"/>
      <c r="M727" s="643"/>
      <c r="N727" s="643"/>
      <c r="O727" s="658"/>
      <c r="P727" s="658"/>
      <c r="Q727" s="1899"/>
      <c r="R727" s="430"/>
      <c r="S727" s="430"/>
      <c r="T727" s="430"/>
      <c r="U727" s="430"/>
      <c r="V727" s="430"/>
      <c r="W727" s="90"/>
      <c r="X727" s="90"/>
      <c r="Y727" s="90"/>
    </row>
    <row r="728" spans="1:25" ht="15.75" customHeight="1">
      <c r="A728" s="79"/>
      <c r="C728" s="90"/>
      <c r="D728" s="1894"/>
      <c r="E728" s="1895"/>
      <c r="F728" s="1896"/>
      <c r="G728" s="1897"/>
      <c r="H728" s="90"/>
      <c r="I728" s="90"/>
      <c r="J728" s="90"/>
      <c r="K728" s="90"/>
      <c r="L728" s="1898"/>
      <c r="M728" s="643"/>
      <c r="N728" s="643"/>
      <c r="O728" s="658"/>
      <c r="P728" s="658"/>
      <c r="Q728" s="1899"/>
      <c r="R728" s="430"/>
      <c r="S728" s="430"/>
      <c r="T728" s="430"/>
      <c r="U728" s="430"/>
      <c r="V728" s="430"/>
      <c r="W728" s="90"/>
      <c r="X728" s="90"/>
      <c r="Y728" s="90"/>
    </row>
    <row r="729" spans="1:25" ht="15.75" customHeight="1">
      <c r="A729" s="79"/>
      <c r="C729" s="90"/>
      <c r="D729" s="1894"/>
      <c r="E729" s="1895"/>
      <c r="F729" s="1896"/>
      <c r="G729" s="1897"/>
      <c r="H729" s="90"/>
      <c r="I729" s="90"/>
      <c r="J729" s="90"/>
      <c r="K729" s="90"/>
      <c r="L729" s="1898"/>
      <c r="M729" s="643"/>
      <c r="N729" s="643"/>
      <c r="O729" s="658"/>
      <c r="P729" s="658"/>
      <c r="Q729" s="1899"/>
      <c r="R729" s="430"/>
      <c r="S729" s="430"/>
      <c r="T729" s="430"/>
      <c r="U729" s="430"/>
      <c r="V729" s="430"/>
      <c r="W729" s="90"/>
      <c r="X729" s="90"/>
      <c r="Y729" s="90"/>
    </row>
    <row r="730" spans="1:25" ht="15.75" customHeight="1">
      <c r="A730" s="79"/>
      <c r="C730" s="90"/>
      <c r="D730" s="1894"/>
      <c r="E730" s="1895"/>
      <c r="F730" s="1896"/>
      <c r="G730" s="1897"/>
      <c r="H730" s="90"/>
      <c r="I730" s="90"/>
      <c r="J730" s="90"/>
      <c r="K730" s="90"/>
      <c r="L730" s="1898"/>
      <c r="M730" s="643"/>
      <c r="N730" s="643"/>
      <c r="O730" s="658"/>
      <c r="P730" s="658"/>
      <c r="Q730" s="1899"/>
      <c r="R730" s="430"/>
      <c r="S730" s="430"/>
      <c r="T730" s="430"/>
      <c r="U730" s="430"/>
      <c r="V730" s="430"/>
      <c r="W730" s="90"/>
      <c r="X730" s="90"/>
      <c r="Y730" s="90"/>
    </row>
    <row r="731" spans="1:25" ht="15.75" customHeight="1">
      <c r="A731" s="79"/>
      <c r="C731" s="90"/>
      <c r="D731" s="1894"/>
      <c r="E731" s="1895"/>
      <c r="F731" s="1896"/>
      <c r="G731" s="1897"/>
      <c r="H731" s="90"/>
      <c r="I731" s="90"/>
      <c r="J731" s="90"/>
      <c r="K731" s="90"/>
      <c r="L731" s="1898"/>
      <c r="M731" s="643"/>
      <c r="N731" s="643"/>
      <c r="O731" s="658"/>
      <c r="P731" s="658"/>
      <c r="Q731" s="1899"/>
      <c r="R731" s="430"/>
      <c r="S731" s="430"/>
      <c r="T731" s="430"/>
      <c r="U731" s="430"/>
      <c r="V731" s="430"/>
      <c r="W731" s="90"/>
      <c r="X731" s="90"/>
      <c r="Y731" s="90"/>
    </row>
    <row r="732" spans="1:25" ht="15.75" customHeight="1">
      <c r="A732" s="79"/>
      <c r="C732" s="90"/>
      <c r="D732" s="1894"/>
      <c r="E732" s="1895"/>
      <c r="F732" s="1896"/>
      <c r="G732" s="1897"/>
      <c r="H732" s="90"/>
      <c r="I732" s="90"/>
      <c r="J732" s="90"/>
      <c r="K732" s="90"/>
      <c r="L732" s="1898"/>
      <c r="M732" s="643"/>
      <c r="N732" s="643"/>
      <c r="O732" s="658"/>
      <c r="P732" s="658"/>
      <c r="Q732" s="1899"/>
      <c r="R732" s="430"/>
      <c r="S732" s="430"/>
      <c r="T732" s="430"/>
      <c r="U732" s="430"/>
      <c r="V732" s="430"/>
      <c r="W732" s="90"/>
      <c r="X732" s="90"/>
      <c r="Y732" s="90"/>
    </row>
    <row r="733" spans="1:25" ht="15.75" customHeight="1">
      <c r="A733" s="79"/>
      <c r="C733" s="90"/>
      <c r="D733" s="1894"/>
      <c r="E733" s="1895"/>
      <c r="F733" s="1896"/>
      <c r="G733" s="1897"/>
      <c r="H733" s="90"/>
      <c r="I733" s="90"/>
      <c r="J733" s="90"/>
      <c r="K733" s="90"/>
      <c r="L733" s="1898"/>
      <c r="M733" s="643"/>
      <c r="N733" s="643"/>
      <c r="O733" s="658"/>
      <c r="P733" s="658"/>
      <c r="Q733" s="1899"/>
      <c r="R733" s="430"/>
      <c r="S733" s="430"/>
      <c r="T733" s="430"/>
      <c r="U733" s="430"/>
      <c r="V733" s="430"/>
      <c r="W733" s="90"/>
      <c r="X733" s="90"/>
      <c r="Y733" s="90"/>
    </row>
    <row r="734" spans="1:25" ht="15.75" customHeight="1">
      <c r="A734" s="79"/>
      <c r="C734" s="90"/>
      <c r="D734" s="1894"/>
      <c r="E734" s="1895"/>
      <c r="F734" s="1896"/>
      <c r="G734" s="1897"/>
      <c r="H734" s="90"/>
      <c r="I734" s="90"/>
      <c r="J734" s="90"/>
      <c r="K734" s="90"/>
      <c r="L734" s="1898"/>
      <c r="M734" s="643"/>
      <c r="N734" s="643"/>
      <c r="O734" s="658"/>
      <c r="P734" s="658"/>
      <c r="Q734" s="1899"/>
      <c r="R734" s="430"/>
      <c r="S734" s="430"/>
      <c r="T734" s="430"/>
      <c r="U734" s="430"/>
      <c r="V734" s="430"/>
      <c r="W734" s="90"/>
      <c r="X734" s="90"/>
      <c r="Y734" s="90"/>
    </row>
    <row r="735" spans="1:25" ht="15.75" customHeight="1">
      <c r="A735" s="79"/>
      <c r="C735" s="90"/>
      <c r="D735" s="1894"/>
      <c r="E735" s="1895"/>
      <c r="F735" s="1896"/>
      <c r="G735" s="1897"/>
      <c r="H735" s="90"/>
      <c r="I735" s="90"/>
      <c r="J735" s="90"/>
      <c r="K735" s="90"/>
      <c r="L735" s="1898"/>
      <c r="M735" s="643"/>
      <c r="N735" s="643"/>
      <c r="O735" s="658"/>
      <c r="P735" s="658"/>
      <c r="Q735" s="1899"/>
      <c r="R735" s="430"/>
      <c r="S735" s="430"/>
      <c r="T735" s="430"/>
      <c r="U735" s="430"/>
      <c r="V735" s="430"/>
      <c r="W735" s="90"/>
      <c r="X735" s="90"/>
      <c r="Y735" s="90"/>
    </row>
    <row r="736" spans="1:25" ht="15.75" customHeight="1">
      <c r="A736" s="79"/>
      <c r="C736" s="90"/>
      <c r="D736" s="1894"/>
      <c r="E736" s="1895"/>
      <c r="F736" s="1896"/>
      <c r="G736" s="1897"/>
      <c r="H736" s="90"/>
      <c r="I736" s="90"/>
      <c r="J736" s="90"/>
      <c r="K736" s="90"/>
      <c r="L736" s="1898"/>
      <c r="M736" s="643"/>
      <c r="N736" s="643"/>
      <c r="O736" s="658"/>
      <c r="P736" s="658"/>
      <c r="Q736" s="1899"/>
      <c r="R736" s="430"/>
      <c r="S736" s="430"/>
      <c r="T736" s="430"/>
      <c r="U736" s="430"/>
      <c r="V736" s="430"/>
      <c r="W736" s="90"/>
      <c r="X736" s="90"/>
      <c r="Y736" s="90"/>
    </row>
    <row r="737" spans="1:25" ht="15.75" customHeight="1">
      <c r="A737" s="79"/>
      <c r="C737" s="90"/>
      <c r="D737" s="1894"/>
      <c r="E737" s="1895"/>
      <c r="F737" s="1896"/>
      <c r="G737" s="1897"/>
      <c r="H737" s="90"/>
      <c r="I737" s="90"/>
      <c r="J737" s="90"/>
      <c r="K737" s="90"/>
      <c r="L737" s="1898"/>
      <c r="M737" s="643"/>
      <c r="N737" s="643"/>
      <c r="O737" s="658"/>
      <c r="P737" s="658"/>
      <c r="Q737" s="1899"/>
      <c r="R737" s="430"/>
      <c r="S737" s="430"/>
      <c r="T737" s="430"/>
      <c r="U737" s="430"/>
      <c r="V737" s="430"/>
      <c r="W737" s="90"/>
      <c r="X737" s="90"/>
      <c r="Y737" s="90"/>
    </row>
    <row r="738" spans="1:25" ht="15.75" customHeight="1">
      <c r="A738" s="79"/>
      <c r="C738" s="90"/>
      <c r="D738" s="1894"/>
      <c r="E738" s="1895"/>
      <c r="F738" s="1896"/>
      <c r="G738" s="1897"/>
      <c r="H738" s="90"/>
      <c r="I738" s="90"/>
      <c r="J738" s="90"/>
      <c r="K738" s="90"/>
      <c r="L738" s="1898"/>
      <c r="M738" s="643"/>
      <c r="N738" s="643"/>
      <c r="O738" s="658"/>
      <c r="P738" s="658"/>
      <c r="Q738" s="1899"/>
      <c r="R738" s="430"/>
      <c r="S738" s="430"/>
      <c r="T738" s="430"/>
      <c r="U738" s="430"/>
      <c r="V738" s="430"/>
      <c r="W738" s="90"/>
      <c r="X738" s="90"/>
      <c r="Y738" s="90"/>
    </row>
    <row r="739" spans="1:25" ht="15.75" customHeight="1">
      <c r="A739" s="79"/>
      <c r="C739" s="90"/>
      <c r="D739" s="1894"/>
      <c r="E739" s="1895"/>
      <c r="F739" s="1896"/>
      <c r="G739" s="1897"/>
      <c r="H739" s="90"/>
      <c r="I739" s="90"/>
      <c r="J739" s="90"/>
      <c r="K739" s="90"/>
      <c r="L739" s="1898"/>
      <c r="M739" s="643"/>
      <c r="N739" s="643"/>
      <c r="O739" s="658"/>
      <c r="P739" s="658"/>
      <c r="Q739" s="1899"/>
      <c r="R739" s="430"/>
      <c r="S739" s="430"/>
      <c r="T739" s="430"/>
      <c r="U739" s="430"/>
      <c r="V739" s="430"/>
      <c r="W739" s="90"/>
      <c r="X739" s="90"/>
      <c r="Y739" s="90"/>
    </row>
    <row r="740" spans="1:25" ht="15.75" customHeight="1">
      <c r="A740" s="79"/>
      <c r="C740" s="90"/>
      <c r="D740" s="1894"/>
      <c r="E740" s="1895"/>
      <c r="F740" s="1896"/>
      <c r="G740" s="1897"/>
      <c r="H740" s="90"/>
      <c r="I740" s="90"/>
      <c r="J740" s="90"/>
      <c r="K740" s="90"/>
      <c r="L740" s="1898"/>
      <c r="M740" s="643"/>
      <c r="N740" s="643"/>
      <c r="O740" s="658"/>
      <c r="P740" s="658"/>
      <c r="Q740" s="1899"/>
      <c r="R740" s="430"/>
      <c r="S740" s="430"/>
      <c r="T740" s="430"/>
      <c r="U740" s="430"/>
      <c r="V740" s="430"/>
      <c r="W740" s="90"/>
      <c r="X740" s="90"/>
      <c r="Y740" s="90"/>
    </row>
    <row r="741" spans="1:25" ht="15.75" customHeight="1">
      <c r="A741" s="79"/>
      <c r="C741" s="90"/>
      <c r="D741" s="1894"/>
      <c r="E741" s="1895"/>
      <c r="F741" s="1896"/>
      <c r="G741" s="1897"/>
      <c r="H741" s="90"/>
      <c r="I741" s="90"/>
      <c r="J741" s="90"/>
      <c r="K741" s="90"/>
      <c r="L741" s="1898"/>
      <c r="M741" s="643"/>
      <c r="N741" s="643"/>
      <c r="O741" s="658"/>
      <c r="P741" s="658"/>
      <c r="Q741" s="1899"/>
      <c r="R741" s="430"/>
      <c r="S741" s="430"/>
      <c r="T741" s="430"/>
      <c r="U741" s="430"/>
      <c r="V741" s="430"/>
      <c r="W741" s="90"/>
      <c r="X741" s="90"/>
      <c r="Y741" s="90"/>
    </row>
    <row r="742" spans="1:25" ht="15.75" customHeight="1">
      <c r="A742" s="79"/>
      <c r="C742" s="90"/>
      <c r="D742" s="1894"/>
      <c r="E742" s="1895"/>
      <c r="F742" s="1896"/>
      <c r="G742" s="1897"/>
      <c r="H742" s="90"/>
      <c r="I742" s="90"/>
      <c r="J742" s="90"/>
      <c r="K742" s="90"/>
      <c r="L742" s="1898"/>
      <c r="M742" s="643"/>
      <c r="N742" s="643"/>
      <c r="O742" s="658"/>
      <c r="P742" s="658"/>
      <c r="Q742" s="1899"/>
      <c r="R742" s="430"/>
      <c r="S742" s="430"/>
      <c r="T742" s="430"/>
      <c r="U742" s="430"/>
      <c r="V742" s="430"/>
      <c r="W742" s="90"/>
      <c r="X742" s="90"/>
      <c r="Y742" s="90"/>
    </row>
    <row r="743" spans="1:25" ht="15.75" customHeight="1">
      <c r="A743" s="79"/>
      <c r="C743" s="90"/>
      <c r="D743" s="1894"/>
      <c r="E743" s="1895"/>
      <c r="F743" s="1896"/>
      <c r="G743" s="1897"/>
      <c r="H743" s="90"/>
      <c r="I743" s="90"/>
      <c r="J743" s="90"/>
      <c r="K743" s="90"/>
      <c r="L743" s="1898"/>
      <c r="M743" s="643"/>
      <c r="N743" s="643"/>
      <c r="O743" s="658"/>
      <c r="P743" s="658"/>
      <c r="Q743" s="1899"/>
      <c r="R743" s="430"/>
      <c r="S743" s="430"/>
      <c r="T743" s="430"/>
      <c r="U743" s="430"/>
      <c r="V743" s="430"/>
      <c r="W743" s="90"/>
      <c r="X743" s="90"/>
      <c r="Y743" s="90"/>
    </row>
    <row r="744" spans="1:25" ht="15.75" customHeight="1">
      <c r="A744" s="79"/>
      <c r="C744" s="90"/>
      <c r="D744" s="1894"/>
      <c r="E744" s="1895"/>
      <c r="F744" s="1896"/>
      <c r="G744" s="1897"/>
      <c r="H744" s="90"/>
      <c r="I744" s="90"/>
      <c r="J744" s="90"/>
      <c r="K744" s="90"/>
      <c r="L744" s="1898"/>
      <c r="M744" s="643"/>
      <c r="N744" s="643"/>
      <c r="O744" s="658"/>
      <c r="P744" s="658"/>
      <c r="Q744" s="1899"/>
      <c r="R744" s="430"/>
      <c r="S744" s="430"/>
      <c r="T744" s="430"/>
      <c r="U744" s="430"/>
      <c r="V744" s="430"/>
      <c r="W744" s="90"/>
      <c r="X744" s="90"/>
      <c r="Y744" s="90"/>
    </row>
    <row r="745" spans="1:25" ht="15.75" customHeight="1">
      <c r="A745" s="79"/>
      <c r="C745" s="90"/>
      <c r="D745" s="1894"/>
      <c r="E745" s="1895"/>
      <c r="F745" s="1896"/>
      <c r="G745" s="1897"/>
      <c r="H745" s="90"/>
      <c r="I745" s="90"/>
      <c r="J745" s="90"/>
      <c r="K745" s="90"/>
      <c r="L745" s="1898"/>
      <c r="M745" s="643"/>
      <c r="N745" s="643"/>
      <c r="O745" s="658"/>
      <c r="P745" s="658"/>
      <c r="Q745" s="1899"/>
      <c r="R745" s="430"/>
      <c r="S745" s="430"/>
      <c r="T745" s="430"/>
      <c r="U745" s="430"/>
      <c r="V745" s="430"/>
      <c r="W745" s="90"/>
      <c r="X745" s="90"/>
      <c r="Y745" s="90"/>
    </row>
    <row r="746" spans="1:25" ht="15.75" customHeight="1">
      <c r="A746" s="79"/>
      <c r="C746" s="90"/>
      <c r="D746" s="1894"/>
      <c r="E746" s="1895"/>
      <c r="F746" s="1896"/>
      <c r="G746" s="1897"/>
      <c r="H746" s="90"/>
      <c r="I746" s="90"/>
      <c r="J746" s="90"/>
      <c r="K746" s="90"/>
      <c r="L746" s="1898"/>
      <c r="M746" s="643"/>
      <c r="N746" s="643"/>
      <c r="O746" s="658"/>
      <c r="P746" s="658"/>
      <c r="Q746" s="1899"/>
      <c r="R746" s="430"/>
      <c r="S746" s="430"/>
      <c r="T746" s="430"/>
      <c r="U746" s="430"/>
      <c r="V746" s="430"/>
      <c r="W746" s="90"/>
      <c r="X746" s="90"/>
      <c r="Y746" s="90"/>
    </row>
    <row r="747" spans="1:25" ht="15.75" customHeight="1">
      <c r="A747" s="79"/>
      <c r="C747" s="90"/>
      <c r="D747" s="1894"/>
      <c r="E747" s="1895"/>
      <c r="F747" s="1896"/>
      <c r="G747" s="1897"/>
      <c r="H747" s="90"/>
      <c r="I747" s="90"/>
      <c r="J747" s="90"/>
      <c r="K747" s="90"/>
      <c r="L747" s="1898"/>
      <c r="M747" s="643"/>
      <c r="N747" s="643"/>
      <c r="O747" s="658"/>
      <c r="P747" s="658"/>
      <c r="Q747" s="1899"/>
      <c r="R747" s="430"/>
      <c r="S747" s="430"/>
      <c r="T747" s="430"/>
      <c r="U747" s="430"/>
      <c r="V747" s="430"/>
      <c r="W747" s="90"/>
      <c r="X747" s="90"/>
      <c r="Y747" s="90"/>
    </row>
    <row r="748" spans="1:25" ht="15.75" customHeight="1">
      <c r="A748" s="79"/>
      <c r="C748" s="90"/>
      <c r="D748" s="1894"/>
      <c r="E748" s="1895"/>
      <c r="F748" s="1896"/>
      <c r="G748" s="1897"/>
      <c r="H748" s="90"/>
      <c r="I748" s="90"/>
      <c r="J748" s="90"/>
      <c r="K748" s="90"/>
      <c r="L748" s="1898"/>
      <c r="M748" s="643"/>
      <c r="N748" s="643"/>
      <c r="O748" s="658"/>
      <c r="P748" s="658"/>
      <c r="Q748" s="1899"/>
      <c r="R748" s="430"/>
      <c r="S748" s="430"/>
      <c r="T748" s="430"/>
      <c r="U748" s="430"/>
      <c r="V748" s="430"/>
      <c r="W748" s="90"/>
      <c r="X748" s="90"/>
      <c r="Y748" s="90"/>
    </row>
    <row r="749" spans="1:25" ht="15.75" customHeight="1">
      <c r="A749" s="79"/>
      <c r="C749" s="90"/>
      <c r="D749" s="1894"/>
      <c r="E749" s="1895"/>
      <c r="F749" s="1896"/>
      <c r="G749" s="1897"/>
      <c r="H749" s="90"/>
      <c r="I749" s="90"/>
      <c r="J749" s="90"/>
      <c r="K749" s="90"/>
      <c r="L749" s="1898"/>
      <c r="M749" s="643"/>
      <c r="N749" s="643"/>
      <c r="O749" s="658"/>
      <c r="P749" s="658"/>
      <c r="Q749" s="1899"/>
      <c r="R749" s="430"/>
      <c r="S749" s="430"/>
      <c r="T749" s="430"/>
      <c r="U749" s="430"/>
      <c r="V749" s="430"/>
      <c r="W749" s="90"/>
      <c r="X749" s="90"/>
      <c r="Y749" s="90"/>
    </row>
    <row r="750" spans="1:25" ht="15.75" customHeight="1">
      <c r="A750" s="79"/>
      <c r="C750" s="90"/>
      <c r="D750" s="1894"/>
      <c r="E750" s="1895"/>
      <c r="F750" s="1896"/>
      <c r="G750" s="1897"/>
      <c r="H750" s="90"/>
      <c r="I750" s="90"/>
      <c r="J750" s="90"/>
      <c r="K750" s="90"/>
      <c r="L750" s="1898"/>
      <c r="M750" s="643"/>
      <c r="N750" s="643"/>
      <c r="O750" s="658"/>
      <c r="P750" s="658"/>
      <c r="Q750" s="1899"/>
      <c r="R750" s="430"/>
      <c r="S750" s="430"/>
      <c r="T750" s="430"/>
      <c r="U750" s="430"/>
      <c r="V750" s="430"/>
      <c r="W750" s="90"/>
      <c r="X750" s="90"/>
      <c r="Y750" s="90"/>
    </row>
    <row r="751" spans="1:25" ht="15.75" customHeight="1">
      <c r="A751" s="79"/>
      <c r="C751" s="90"/>
      <c r="D751" s="1894"/>
      <c r="E751" s="1895"/>
      <c r="F751" s="1896"/>
      <c r="G751" s="1897"/>
      <c r="H751" s="90"/>
      <c r="I751" s="90"/>
      <c r="J751" s="90"/>
      <c r="K751" s="90"/>
      <c r="L751" s="1898"/>
      <c r="M751" s="643"/>
      <c r="N751" s="643"/>
      <c r="O751" s="658"/>
      <c r="P751" s="658"/>
      <c r="Q751" s="1899"/>
      <c r="R751" s="430"/>
      <c r="S751" s="430"/>
      <c r="T751" s="430"/>
      <c r="U751" s="430"/>
      <c r="V751" s="430"/>
      <c r="W751" s="90"/>
      <c r="X751" s="90"/>
      <c r="Y751" s="90"/>
    </row>
    <row r="752" spans="1:25" ht="15.75" customHeight="1">
      <c r="C752" s="90"/>
      <c r="D752" s="1900"/>
      <c r="E752" s="1895"/>
      <c r="F752" s="1896"/>
      <c r="G752" s="1897"/>
      <c r="H752" s="90"/>
      <c r="I752" s="90"/>
      <c r="J752" s="90"/>
      <c r="K752" s="90"/>
      <c r="L752" s="1901"/>
      <c r="M752" s="643"/>
      <c r="N752" s="643"/>
      <c r="O752" s="658"/>
      <c r="P752" s="658"/>
      <c r="Q752" s="1899"/>
      <c r="R752" s="430"/>
      <c r="S752" s="430"/>
      <c r="T752" s="430"/>
      <c r="U752" s="430"/>
      <c r="V752" s="430"/>
      <c r="W752" s="90"/>
      <c r="X752" s="90"/>
      <c r="Y752" s="90"/>
    </row>
    <row r="753" spans="3:25" ht="15.75" customHeight="1">
      <c r="C753" s="90"/>
      <c r="D753" s="1900"/>
      <c r="E753" s="1895"/>
      <c r="F753" s="1896"/>
      <c r="G753" s="1897"/>
      <c r="H753" s="90"/>
      <c r="I753" s="90"/>
      <c r="J753" s="90"/>
      <c r="K753" s="90"/>
      <c r="L753" s="1901"/>
      <c r="M753" s="643"/>
      <c r="N753" s="643"/>
      <c r="O753" s="658"/>
      <c r="P753" s="658"/>
      <c r="Q753" s="1899"/>
      <c r="R753" s="430"/>
      <c r="S753" s="430"/>
      <c r="T753" s="430"/>
      <c r="U753" s="430"/>
      <c r="V753" s="430"/>
      <c r="W753" s="90"/>
      <c r="X753" s="90"/>
      <c r="Y753" s="90"/>
    </row>
    <row r="754" spans="3:25" ht="15.75" customHeight="1">
      <c r="C754" s="90"/>
      <c r="D754" s="1900"/>
      <c r="E754" s="1895"/>
      <c r="F754" s="1896"/>
      <c r="G754" s="1897"/>
      <c r="H754" s="90"/>
      <c r="I754" s="90"/>
      <c r="K754" s="90"/>
      <c r="L754" s="1901"/>
      <c r="M754" s="643"/>
      <c r="N754" s="643"/>
      <c r="O754" s="658"/>
      <c r="P754" s="658"/>
      <c r="Q754" s="1899"/>
      <c r="R754" s="430"/>
      <c r="S754" s="430"/>
      <c r="T754" s="430"/>
      <c r="U754" s="430"/>
      <c r="V754" s="430"/>
      <c r="W754" s="90"/>
      <c r="X754" s="90"/>
      <c r="Y754" s="90"/>
    </row>
    <row r="755" spans="3:25" ht="15.75" customHeight="1">
      <c r="C755" s="90"/>
      <c r="D755" s="1900"/>
      <c r="E755" s="1895"/>
      <c r="F755" s="1896"/>
      <c r="G755" s="1897"/>
      <c r="H755" s="90"/>
      <c r="I755" s="90"/>
      <c r="K755" s="90"/>
      <c r="L755" s="1901"/>
      <c r="M755" s="90"/>
      <c r="N755" s="90"/>
      <c r="O755" s="658"/>
      <c r="P755" s="658"/>
      <c r="Q755" s="1899"/>
      <c r="R755" s="430"/>
      <c r="S755" s="430"/>
      <c r="T755" s="430"/>
      <c r="U755" s="430"/>
      <c r="V755" s="430"/>
      <c r="W755" s="90"/>
      <c r="X755" s="90"/>
      <c r="Y755" s="90"/>
    </row>
    <row r="756" spans="3:25" ht="15.75" customHeight="1">
      <c r="C756" s="90"/>
      <c r="D756" s="1900"/>
      <c r="E756" s="1895"/>
      <c r="F756" s="1896"/>
      <c r="G756" s="1897"/>
      <c r="H756" s="90"/>
      <c r="I756" s="90"/>
      <c r="K756" s="90"/>
      <c r="L756" s="1901"/>
      <c r="M756" s="643"/>
      <c r="N756" s="90"/>
      <c r="O756" s="658"/>
      <c r="P756" s="658"/>
      <c r="Q756" s="1899"/>
      <c r="R756" s="430"/>
      <c r="S756" s="430"/>
      <c r="T756" s="430"/>
      <c r="U756" s="430"/>
      <c r="V756" s="430"/>
      <c r="W756" s="90"/>
      <c r="X756" s="90"/>
      <c r="Y756" s="90"/>
    </row>
    <row r="757" spans="3:25" ht="15.75" customHeight="1">
      <c r="C757" s="90"/>
      <c r="D757" s="1900"/>
      <c r="E757" s="1895"/>
      <c r="F757" s="1896"/>
      <c r="G757" s="1897"/>
      <c r="H757" s="90"/>
      <c r="I757" s="90"/>
      <c r="K757" s="90"/>
      <c r="L757" s="1901"/>
      <c r="M757" s="643"/>
      <c r="N757" s="90"/>
      <c r="O757" s="658"/>
      <c r="P757" s="658"/>
      <c r="Q757" s="1899"/>
      <c r="R757" s="430"/>
      <c r="S757" s="430"/>
      <c r="T757" s="430"/>
      <c r="U757" s="430"/>
      <c r="V757" s="430"/>
      <c r="W757" s="90"/>
      <c r="X757" s="90"/>
      <c r="Y757" s="90"/>
    </row>
    <row r="758" spans="3:25" ht="15.75" customHeight="1">
      <c r="C758" s="90"/>
      <c r="D758" s="1900"/>
      <c r="E758" s="1895"/>
      <c r="F758" s="1896"/>
      <c r="G758" s="1897"/>
      <c r="H758" s="90"/>
      <c r="I758" s="90"/>
      <c r="K758" s="90"/>
      <c r="L758" s="1901"/>
      <c r="M758" s="643"/>
      <c r="N758" s="90"/>
      <c r="P758" s="658"/>
      <c r="Q758" s="1899"/>
      <c r="R758" s="430"/>
      <c r="S758" s="430"/>
      <c r="T758" s="430"/>
      <c r="U758" s="430"/>
      <c r="V758" s="430"/>
      <c r="W758" s="90"/>
      <c r="X758" s="90"/>
      <c r="Y758" s="90"/>
    </row>
    <row r="759" spans="3:25" ht="15.75" customHeight="1">
      <c r="C759" s="90"/>
      <c r="D759" s="1900"/>
      <c r="E759" s="1895"/>
      <c r="F759" s="1896"/>
      <c r="G759" s="1897"/>
      <c r="H759" s="90"/>
      <c r="I759" s="90"/>
      <c r="K759" s="90"/>
      <c r="L759" s="1901"/>
      <c r="M759" s="643"/>
      <c r="N759" s="90"/>
      <c r="P759" s="658"/>
      <c r="Q759" s="1899"/>
      <c r="R759" s="430"/>
      <c r="S759" s="430"/>
      <c r="T759" s="430"/>
      <c r="U759" s="430"/>
      <c r="V759" s="430"/>
      <c r="W759" s="90"/>
      <c r="X759" s="90"/>
      <c r="Y759" s="90"/>
    </row>
    <row r="760" spans="3:25" ht="15.75" customHeight="1">
      <c r="C760" s="90"/>
      <c r="D760" s="1900"/>
      <c r="E760" s="1895"/>
      <c r="F760" s="1896"/>
      <c r="G760" s="1897"/>
      <c r="H760" s="90"/>
      <c r="I760" s="90"/>
      <c r="K760" s="90"/>
      <c r="L760" s="1901"/>
      <c r="M760" s="643"/>
      <c r="N760" s="90"/>
      <c r="P760" s="658"/>
      <c r="Q760" s="1899"/>
      <c r="R760" s="430"/>
      <c r="S760" s="430"/>
      <c r="T760" s="430"/>
      <c r="U760" s="430"/>
      <c r="V760" s="430"/>
      <c r="W760" s="90"/>
      <c r="X760" s="90"/>
      <c r="Y760" s="90"/>
    </row>
    <row r="761" spans="3:25" ht="15.75" customHeight="1">
      <c r="C761" s="90"/>
      <c r="D761" s="1900"/>
      <c r="E761" s="1895"/>
      <c r="F761" s="1896"/>
      <c r="G761" s="1897"/>
      <c r="H761" s="90"/>
      <c r="I761" s="90"/>
      <c r="K761" s="90"/>
      <c r="L761" s="1901"/>
      <c r="M761" s="643"/>
      <c r="N761" s="90"/>
      <c r="P761" s="658"/>
      <c r="Q761" s="1899"/>
      <c r="R761" s="430"/>
      <c r="S761" s="430"/>
      <c r="T761" s="430"/>
      <c r="U761" s="430"/>
      <c r="V761" s="430"/>
      <c r="W761" s="90"/>
      <c r="X761" s="90"/>
      <c r="Y761" s="90"/>
    </row>
    <row r="762" spans="3:25" ht="15.75" customHeight="1">
      <c r="C762" s="90"/>
      <c r="D762" s="1900"/>
      <c r="E762" s="1895"/>
      <c r="F762" s="1896"/>
      <c r="G762" s="1897"/>
      <c r="H762" s="90"/>
      <c r="I762" s="90"/>
      <c r="K762" s="90"/>
      <c r="L762" s="1901"/>
      <c r="M762" s="643"/>
      <c r="N762" s="90"/>
      <c r="P762" s="658"/>
      <c r="Q762" s="1899"/>
      <c r="R762" s="430"/>
      <c r="S762" s="430"/>
      <c r="T762" s="430"/>
      <c r="U762" s="430"/>
      <c r="V762" s="430"/>
      <c r="W762" s="90"/>
      <c r="X762" s="90"/>
      <c r="Y762" s="90"/>
    </row>
    <row r="763" spans="3:25" ht="15.75" customHeight="1">
      <c r="C763" s="90"/>
      <c r="D763" s="1900"/>
      <c r="E763" s="1895"/>
      <c r="F763" s="1896"/>
      <c r="G763" s="1897"/>
      <c r="H763" s="90"/>
      <c r="I763" s="90"/>
      <c r="K763" s="90"/>
      <c r="L763" s="90"/>
      <c r="M763" s="90"/>
      <c r="N763" s="90"/>
      <c r="P763" s="658"/>
      <c r="Q763" s="1899"/>
      <c r="R763" s="430"/>
      <c r="S763" s="430"/>
      <c r="T763" s="430"/>
      <c r="U763" s="430"/>
      <c r="V763" s="430"/>
      <c r="W763" s="90"/>
      <c r="X763" s="90"/>
      <c r="Y763" s="90"/>
    </row>
    <row r="764" spans="3:25" ht="15.75" customHeight="1">
      <c r="C764" s="90"/>
      <c r="D764" s="1900"/>
      <c r="E764" s="1895"/>
      <c r="F764" s="1896"/>
      <c r="G764" s="1897"/>
      <c r="H764" s="90"/>
      <c r="I764" s="90"/>
      <c r="K764" s="90"/>
      <c r="L764" s="90"/>
      <c r="M764" s="90"/>
      <c r="N764" s="90"/>
      <c r="P764" s="658"/>
      <c r="Q764" s="1899"/>
      <c r="R764" s="430"/>
      <c r="S764" s="430"/>
      <c r="T764" s="430"/>
      <c r="U764" s="430"/>
      <c r="V764" s="430"/>
      <c r="W764" s="90"/>
      <c r="X764" s="90"/>
      <c r="Y764" s="90"/>
    </row>
    <row r="765" spans="3:25" ht="15.75" customHeight="1">
      <c r="C765" s="90"/>
      <c r="D765" s="1900"/>
      <c r="E765" s="1895"/>
      <c r="F765" s="1896"/>
      <c r="G765" s="1897"/>
      <c r="H765" s="90"/>
      <c r="I765" s="90"/>
      <c r="K765" s="90"/>
      <c r="L765" s="90"/>
      <c r="M765" s="90"/>
      <c r="N765" s="643"/>
      <c r="O765" s="658"/>
      <c r="P765" s="658"/>
      <c r="Q765" s="1899"/>
      <c r="R765" s="430"/>
      <c r="S765" s="430"/>
      <c r="T765" s="430"/>
      <c r="U765" s="430"/>
      <c r="V765" s="430"/>
      <c r="W765" s="90"/>
      <c r="X765" s="90"/>
      <c r="Y765" s="90"/>
    </row>
    <row r="766" spans="3:25" ht="15.75" customHeight="1">
      <c r="C766" s="90"/>
      <c r="D766" s="1900"/>
      <c r="E766" s="1895"/>
      <c r="F766" s="1896"/>
      <c r="G766" s="1897"/>
      <c r="H766" s="90"/>
      <c r="I766" s="90"/>
      <c r="J766" s="90"/>
      <c r="K766" s="90"/>
      <c r="L766" s="90"/>
      <c r="M766" s="90"/>
      <c r="N766" s="643"/>
      <c r="O766" s="658"/>
      <c r="P766" s="658"/>
      <c r="Q766" s="1899"/>
      <c r="R766" s="430"/>
      <c r="S766" s="430"/>
      <c r="T766" s="430"/>
      <c r="U766" s="430"/>
      <c r="V766" s="430"/>
      <c r="W766" s="90"/>
      <c r="X766" s="90"/>
      <c r="Y766" s="90"/>
    </row>
    <row r="767" spans="3:25" ht="15.75" customHeight="1">
      <c r="C767" s="90"/>
      <c r="D767" s="1900"/>
      <c r="E767" s="1895"/>
      <c r="F767" s="1896"/>
      <c r="G767" s="1897"/>
      <c r="H767" s="90"/>
      <c r="I767" s="90"/>
      <c r="J767" s="90"/>
      <c r="K767" s="90"/>
      <c r="L767" s="90"/>
      <c r="M767" s="90"/>
      <c r="N767" s="643"/>
      <c r="O767" s="658"/>
      <c r="P767" s="658"/>
      <c r="Q767" s="1899"/>
      <c r="R767" s="430"/>
      <c r="S767" s="430"/>
      <c r="T767" s="430"/>
      <c r="U767" s="430"/>
      <c r="V767" s="430"/>
      <c r="W767" s="90"/>
      <c r="X767" s="90"/>
      <c r="Y767" s="90"/>
    </row>
    <row r="768" spans="3:25" ht="15.75" customHeight="1">
      <c r="C768" s="90"/>
      <c r="D768" s="1900"/>
      <c r="E768" s="1895"/>
      <c r="F768" s="1896"/>
      <c r="G768" s="1897"/>
      <c r="H768" s="90"/>
      <c r="I768" s="90"/>
      <c r="J768" s="90"/>
      <c r="K768" s="90"/>
      <c r="L768" s="90"/>
      <c r="M768" s="90"/>
      <c r="N768" s="643"/>
      <c r="O768" s="658"/>
      <c r="P768" s="658"/>
      <c r="Q768" s="1899"/>
      <c r="R768" s="430"/>
      <c r="S768" s="430"/>
      <c r="T768" s="430"/>
      <c r="U768" s="430"/>
      <c r="V768" s="430"/>
      <c r="W768" s="90"/>
      <c r="X768" s="90"/>
      <c r="Y768" s="90"/>
    </row>
    <row r="769" spans="3:25" ht="15.75" customHeight="1">
      <c r="C769" s="90"/>
      <c r="D769" s="1900"/>
      <c r="E769" s="1895"/>
      <c r="F769" s="1896"/>
      <c r="G769" s="1897"/>
      <c r="H769" s="90"/>
      <c r="I769" s="90"/>
      <c r="J769" s="90"/>
      <c r="K769" s="90"/>
      <c r="L769" s="90"/>
      <c r="M769" s="90"/>
      <c r="N769" s="643"/>
      <c r="O769" s="658"/>
      <c r="P769" s="658"/>
      <c r="Q769" s="1899"/>
      <c r="R769" s="430"/>
      <c r="S769" s="430"/>
      <c r="T769" s="430"/>
      <c r="U769" s="430"/>
      <c r="V769" s="430"/>
      <c r="W769" s="90"/>
      <c r="X769" s="90"/>
      <c r="Y769" s="90"/>
    </row>
    <row r="770" spans="3:25" ht="15.75" customHeight="1">
      <c r="C770" s="90"/>
      <c r="D770" s="1900"/>
      <c r="E770" s="1895"/>
      <c r="F770" s="1896"/>
      <c r="G770" s="1897"/>
      <c r="H770" s="90"/>
      <c r="I770" s="90"/>
      <c r="J770" s="90"/>
      <c r="K770" s="90"/>
      <c r="L770" s="90"/>
      <c r="M770" s="90"/>
      <c r="N770" s="643"/>
      <c r="O770" s="658"/>
      <c r="P770" s="658"/>
      <c r="Q770" s="1899"/>
      <c r="R770" s="430"/>
      <c r="S770" s="430"/>
      <c r="T770" s="430"/>
      <c r="U770" s="430"/>
      <c r="V770" s="430"/>
      <c r="W770" s="90"/>
      <c r="X770" s="90"/>
      <c r="Y770" s="90"/>
    </row>
    <row r="771" spans="3:25" ht="15.75" customHeight="1">
      <c r="C771" s="90"/>
      <c r="D771" s="1900"/>
      <c r="E771" s="1895"/>
      <c r="F771" s="1896"/>
      <c r="G771" s="1897"/>
      <c r="H771" s="90"/>
      <c r="I771" s="90"/>
      <c r="J771" s="90"/>
      <c r="K771" s="90"/>
      <c r="L771" s="90"/>
      <c r="M771" s="90"/>
      <c r="N771" s="643"/>
      <c r="O771" s="658"/>
      <c r="P771" s="658"/>
      <c r="Q771" s="1899"/>
      <c r="R771" s="430"/>
      <c r="S771" s="430"/>
      <c r="T771" s="430"/>
      <c r="U771" s="430"/>
      <c r="V771" s="430"/>
      <c r="W771" s="90"/>
      <c r="X771" s="90"/>
      <c r="Y771" s="90"/>
    </row>
    <row r="772" spans="3:25" ht="15.75" customHeight="1">
      <c r="C772" s="90"/>
      <c r="D772" s="1900"/>
      <c r="E772" s="1895"/>
      <c r="F772" s="1896"/>
      <c r="G772" s="1897"/>
      <c r="H772" s="90"/>
      <c r="I772" s="90"/>
      <c r="J772" s="90"/>
      <c r="K772" s="90"/>
      <c r="L772" s="1901"/>
      <c r="M772" s="643"/>
      <c r="N772" s="643"/>
      <c r="O772" s="658"/>
      <c r="P772" s="658"/>
      <c r="Q772" s="1899"/>
      <c r="R772" s="430"/>
      <c r="S772" s="430"/>
      <c r="T772" s="430"/>
      <c r="U772" s="430"/>
      <c r="V772" s="430"/>
      <c r="W772" s="90"/>
      <c r="X772" s="90"/>
      <c r="Y772" s="90"/>
    </row>
    <row r="773" spans="3:25" ht="15.75" customHeight="1">
      <c r="C773" s="90"/>
      <c r="D773" s="1900"/>
      <c r="E773" s="1895"/>
      <c r="F773" s="1896"/>
      <c r="G773" s="1897"/>
      <c r="H773" s="90"/>
      <c r="I773" s="90"/>
      <c r="J773" s="90"/>
      <c r="K773" s="90"/>
      <c r="L773" s="1901"/>
      <c r="M773" s="643"/>
      <c r="N773" s="643"/>
      <c r="O773" s="658"/>
      <c r="P773" s="658"/>
      <c r="Q773" s="1899"/>
      <c r="R773" s="430"/>
      <c r="S773" s="430"/>
      <c r="T773" s="430"/>
      <c r="U773" s="430"/>
      <c r="V773" s="430"/>
      <c r="W773" s="90"/>
      <c r="X773" s="90"/>
      <c r="Y773" s="90"/>
    </row>
    <row r="774" spans="3:25" ht="15.75" customHeight="1">
      <c r="C774" s="90"/>
      <c r="D774" s="1900"/>
      <c r="E774" s="1895"/>
      <c r="F774" s="1896"/>
      <c r="G774" s="1897"/>
      <c r="H774" s="90"/>
      <c r="I774" s="90"/>
      <c r="J774" s="90"/>
      <c r="K774" s="90"/>
      <c r="L774" s="1901"/>
      <c r="M774" s="643"/>
      <c r="N774" s="643"/>
      <c r="O774" s="658"/>
      <c r="P774" s="658"/>
      <c r="Q774" s="1899"/>
      <c r="R774" s="430"/>
      <c r="S774" s="430"/>
      <c r="T774" s="430"/>
      <c r="U774" s="430"/>
      <c r="V774" s="430"/>
      <c r="W774" s="90"/>
      <c r="X774" s="90"/>
      <c r="Y774" s="90"/>
    </row>
    <row r="775" spans="3:25" ht="15.75" customHeight="1">
      <c r="C775" s="90"/>
      <c r="D775" s="1900"/>
      <c r="E775" s="1895"/>
      <c r="F775" s="1896"/>
      <c r="G775" s="1897"/>
      <c r="H775" s="90"/>
      <c r="I775" s="90"/>
      <c r="J775" s="90"/>
      <c r="K775" s="90"/>
      <c r="L775" s="1901"/>
      <c r="M775" s="643"/>
      <c r="N775" s="643"/>
      <c r="O775" s="658"/>
      <c r="P775" s="658"/>
      <c r="Q775" s="1899"/>
      <c r="R775" s="430"/>
      <c r="S775" s="430"/>
      <c r="T775" s="430"/>
      <c r="U775" s="430"/>
      <c r="V775" s="430"/>
      <c r="W775" s="90"/>
      <c r="X775" s="90"/>
      <c r="Y775" s="90"/>
    </row>
    <row r="776" spans="3:25" ht="15.75" customHeight="1">
      <c r="C776" s="90"/>
      <c r="D776" s="1900"/>
      <c r="E776" s="1895"/>
      <c r="F776" s="1896"/>
      <c r="G776" s="1897"/>
      <c r="H776" s="90"/>
      <c r="I776" s="90"/>
      <c r="J776" s="90"/>
      <c r="K776" s="90"/>
      <c r="L776" s="1901"/>
      <c r="M776" s="643"/>
      <c r="N776" s="643"/>
      <c r="O776" s="658"/>
      <c r="P776" s="658"/>
      <c r="Q776" s="1899"/>
      <c r="R776" s="430"/>
      <c r="S776" s="430"/>
      <c r="T776" s="430"/>
      <c r="U776" s="430"/>
      <c r="V776" s="430"/>
      <c r="W776" s="90"/>
      <c r="X776" s="90"/>
      <c r="Y776" s="90"/>
    </row>
    <row r="777" spans="3:25" ht="15.75" customHeight="1">
      <c r="C777" s="90"/>
      <c r="D777" s="1900"/>
      <c r="E777" s="1895"/>
      <c r="F777" s="1896"/>
      <c r="G777" s="1897"/>
      <c r="H777" s="90"/>
      <c r="I777" s="90"/>
      <c r="J777" s="90"/>
      <c r="K777" s="90"/>
      <c r="L777" s="1901"/>
      <c r="M777" s="643"/>
      <c r="N777" s="643"/>
      <c r="O777" s="658"/>
      <c r="P777" s="658"/>
      <c r="Q777" s="1899"/>
      <c r="R777" s="430"/>
      <c r="S777" s="430"/>
      <c r="T777" s="430"/>
      <c r="U777" s="430"/>
      <c r="V777" s="430"/>
      <c r="W777" s="90"/>
      <c r="X777" s="90"/>
      <c r="Y777" s="90"/>
    </row>
    <row r="778" spans="3:25" ht="15.75" customHeight="1">
      <c r="C778" s="90"/>
      <c r="D778" s="1900"/>
      <c r="E778" s="1895"/>
      <c r="F778" s="1896"/>
      <c r="G778" s="1897"/>
      <c r="H778" s="90"/>
      <c r="I778" s="90"/>
      <c r="J778" s="90"/>
      <c r="K778" s="90"/>
      <c r="L778" s="1901"/>
      <c r="M778" s="643"/>
      <c r="N778" s="643"/>
      <c r="O778" s="658"/>
      <c r="P778" s="658"/>
      <c r="Q778" s="1899"/>
      <c r="R778" s="430"/>
      <c r="S778" s="430"/>
      <c r="T778" s="430"/>
      <c r="U778" s="430"/>
      <c r="V778" s="430"/>
      <c r="W778" s="90"/>
      <c r="X778" s="90"/>
      <c r="Y778" s="90"/>
    </row>
    <row r="779" spans="3:25" ht="15.75" customHeight="1">
      <c r="C779" s="90"/>
      <c r="D779" s="1900"/>
      <c r="E779" s="1895"/>
      <c r="F779" s="1896"/>
      <c r="G779" s="1897"/>
      <c r="H779" s="90"/>
      <c r="I779" s="90"/>
      <c r="J779" s="90"/>
      <c r="K779" s="90"/>
      <c r="L779" s="1901"/>
      <c r="M779" s="643"/>
      <c r="N779" s="643"/>
      <c r="O779" s="658"/>
      <c r="P779" s="658"/>
      <c r="Q779" s="1899"/>
      <c r="R779" s="430"/>
      <c r="S779" s="430"/>
      <c r="T779" s="430"/>
      <c r="U779" s="430"/>
      <c r="V779" s="430"/>
      <c r="W779" s="90"/>
      <c r="X779" s="90"/>
      <c r="Y779" s="90"/>
    </row>
    <row r="780" spans="3:25" ht="15.75" customHeight="1">
      <c r="C780" s="90"/>
      <c r="D780" s="1900"/>
      <c r="E780" s="1895"/>
      <c r="F780" s="1896"/>
      <c r="G780" s="1897"/>
      <c r="H780" s="90"/>
      <c r="I780" s="90"/>
      <c r="J780" s="90"/>
      <c r="K780" s="90"/>
      <c r="L780" s="1901"/>
      <c r="M780" s="643"/>
      <c r="N780" s="643"/>
      <c r="O780" s="658"/>
      <c r="P780" s="658"/>
      <c r="Q780" s="1899"/>
      <c r="R780" s="430"/>
      <c r="S780" s="430"/>
      <c r="T780" s="430"/>
      <c r="U780" s="430"/>
      <c r="V780" s="430"/>
      <c r="W780" s="90"/>
      <c r="X780" s="90"/>
      <c r="Y780" s="90"/>
    </row>
    <row r="781" spans="3:25" ht="15.75" customHeight="1">
      <c r="C781" s="90"/>
      <c r="D781" s="1900"/>
      <c r="E781" s="1895"/>
      <c r="F781" s="1896"/>
      <c r="G781" s="1897"/>
      <c r="H781" s="90"/>
      <c r="I781" s="90"/>
      <c r="J781" s="90"/>
      <c r="K781" s="90"/>
      <c r="L781" s="1901"/>
      <c r="M781" s="643"/>
      <c r="N781" s="643"/>
      <c r="O781" s="658"/>
      <c r="P781" s="658"/>
      <c r="Q781" s="1899"/>
      <c r="R781" s="430"/>
      <c r="S781" s="430"/>
      <c r="T781" s="430"/>
      <c r="U781" s="430"/>
      <c r="V781" s="430"/>
      <c r="W781" s="90"/>
      <c r="X781" s="90"/>
      <c r="Y781" s="90"/>
    </row>
    <row r="782" spans="3:25" ht="15.75" customHeight="1">
      <c r="C782" s="90"/>
      <c r="D782" s="1900"/>
      <c r="E782" s="1895"/>
      <c r="F782" s="1896"/>
      <c r="G782" s="1897"/>
      <c r="H782" s="90"/>
      <c r="I782" s="90"/>
      <c r="J782" s="90"/>
      <c r="K782" s="90"/>
      <c r="L782" s="1901"/>
      <c r="M782" s="643"/>
      <c r="N782" s="643"/>
      <c r="O782" s="658"/>
      <c r="P782" s="658"/>
      <c r="Q782" s="1899"/>
      <c r="R782" s="430"/>
      <c r="S782" s="430"/>
      <c r="T782" s="430"/>
      <c r="U782" s="430"/>
      <c r="V782" s="430"/>
      <c r="W782" s="90"/>
      <c r="X782" s="90"/>
      <c r="Y782" s="90"/>
    </row>
    <row r="783" spans="3:25" ht="15.75" customHeight="1">
      <c r="C783" s="90"/>
      <c r="D783" s="1900"/>
      <c r="E783" s="1895"/>
      <c r="F783" s="1896"/>
      <c r="G783" s="1897"/>
      <c r="H783" s="90"/>
      <c r="I783" s="90"/>
      <c r="J783" s="90"/>
      <c r="K783" s="90"/>
      <c r="L783" s="1901"/>
      <c r="M783" s="643"/>
      <c r="N783" s="643"/>
      <c r="O783" s="658"/>
      <c r="P783" s="658"/>
      <c r="Q783" s="1899"/>
      <c r="R783" s="430"/>
      <c r="S783" s="430"/>
      <c r="T783" s="430"/>
      <c r="U783" s="430"/>
      <c r="V783" s="430"/>
      <c r="W783" s="90"/>
      <c r="X783" s="90"/>
      <c r="Y783" s="90"/>
    </row>
    <row r="784" spans="3:25" ht="15.75" customHeight="1">
      <c r="C784" s="90"/>
      <c r="D784" s="1900"/>
      <c r="E784" s="1895"/>
      <c r="F784" s="1896"/>
      <c r="G784" s="1897"/>
      <c r="H784" s="90"/>
      <c r="I784" s="90"/>
      <c r="J784" s="90"/>
      <c r="K784" s="90"/>
      <c r="L784" s="1901"/>
      <c r="M784" s="643"/>
      <c r="N784" s="643"/>
      <c r="O784" s="658"/>
      <c r="P784" s="658"/>
      <c r="Q784" s="1899"/>
      <c r="R784" s="430"/>
      <c r="S784" s="430"/>
      <c r="T784" s="430"/>
      <c r="U784" s="430"/>
      <c r="V784" s="430"/>
      <c r="W784" s="90"/>
      <c r="X784" s="90"/>
      <c r="Y784" s="90"/>
    </row>
    <row r="785" spans="3:25" ht="15.75" customHeight="1">
      <c r="C785" s="90"/>
      <c r="D785" s="1900"/>
      <c r="E785" s="1895"/>
      <c r="F785" s="1896"/>
      <c r="G785" s="1897"/>
      <c r="H785" s="90"/>
      <c r="I785" s="90"/>
      <c r="J785" s="90"/>
      <c r="K785" s="90"/>
      <c r="L785" s="1901"/>
      <c r="M785" s="643"/>
      <c r="N785" s="643"/>
      <c r="O785" s="658"/>
      <c r="P785" s="658"/>
      <c r="Q785" s="1899"/>
      <c r="R785" s="430"/>
      <c r="S785" s="430"/>
      <c r="T785" s="430"/>
      <c r="U785" s="430"/>
      <c r="V785" s="430"/>
      <c r="W785" s="90"/>
      <c r="X785" s="90"/>
      <c r="Y785" s="90"/>
    </row>
    <row r="786" spans="3:25" ht="15.75" customHeight="1">
      <c r="C786" s="90"/>
      <c r="D786" s="1900"/>
      <c r="E786" s="1895"/>
      <c r="F786" s="1896"/>
      <c r="G786" s="1897"/>
      <c r="H786" s="90"/>
      <c r="I786" s="90"/>
      <c r="J786" s="90"/>
      <c r="K786" s="90"/>
      <c r="L786" s="1901"/>
      <c r="M786" s="643"/>
      <c r="N786" s="643"/>
      <c r="O786" s="658"/>
      <c r="P786" s="658"/>
      <c r="Q786" s="1899"/>
      <c r="R786" s="430"/>
      <c r="S786" s="430"/>
      <c r="T786" s="430"/>
      <c r="U786" s="430"/>
      <c r="V786" s="430"/>
      <c r="W786" s="90"/>
      <c r="X786" s="90"/>
      <c r="Y786" s="90"/>
    </row>
    <row r="787" spans="3:25" ht="15.75" customHeight="1">
      <c r="C787" s="90"/>
      <c r="D787" s="1900"/>
      <c r="E787" s="1895"/>
      <c r="F787" s="1896"/>
      <c r="G787" s="1897"/>
      <c r="H787" s="90"/>
      <c r="I787" s="90"/>
      <c r="J787" s="90"/>
      <c r="K787" s="90"/>
      <c r="L787" s="1901"/>
      <c r="M787" s="643"/>
      <c r="N787" s="643"/>
      <c r="O787" s="658"/>
      <c r="P787" s="658"/>
      <c r="Q787" s="1899"/>
      <c r="R787" s="430"/>
      <c r="S787" s="430"/>
      <c r="T787" s="430"/>
      <c r="U787" s="430"/>
      <c r="V787" s="430"/>
      <c r="W787" s="90"/>
      <c r="X787" s="90"/>
      <c r="Y787" s="90"/>
    </row>
    <row r="788" spans="3:25" ht="15.75" customHeight="1">
      <c r="C788" s="90"/>
      <c r="D788" s="1900"/>
      <c r="E788" s="1895"/>
      <c r="F788" s="1896"/>
      <c r="G788" s="1897"/>
      <c r="H788" s="90"/>
      <c r="I788" s="90"/>
      <c r="J788" s="90"/>
      <c r="K788" s="90"/>
      <c r="L788" s="1901"/>
      <c r="M788" s="643"/>
      <c r="N788" s="643"/>
      <c r="O788" s="658"/>
      <c r="P788" s="658"/>
      <c r="Q788" s="1899"/>
      <c r="R788" s="430"/>
      <c r="S788" s="430"/>
      <c r="T788" s="430"/>
      <c r="U788" s="430"/>
      <c r="V788" s="430"/>
      <c r="W788" s="90"/>
      <c r="X788" s="90"/>
      <c r="Y788" s="90"/>
    </row>
    <row r="789" spans="3:25" ht="15.75" customHeight="1">
      <c r="C789" s="90"/>
      <c r="D789" s="1900"/>
      <c r="E789" s="1895"/>
      <c r="F789" s="1896"/>
      <c r="G789" s="1897"/>
      <c r="H789" s="90"/>
      <c r="I789" s="90"/>
      <c r="J789" s="90"/>
      <c r="K789" s="90"/>
      <c r="L789" s="1901"/>
      <c r="M789" s="643"/>
      <c r="N789" s="643"/>
      <c r="O789" s="658"/>
      <c r="P789" s="658"/>
      <c r="Q789" s="1899"/>
      <c r="R789" s="430"/>
      <c r="S789" s="430"/>
      <c r="T789" s="430"/>
      <c r="U789" s="430"/>
      <c r="V789" s="430"/>
      <c r="W789" s="90"/>
      <c r="X789" s="90"/>
      <c r="Y789" s="90"/>
    </row>
    <row r="790" spans="3:25" ht="15.75" customHeight="1">
      <c r="C790" s="90"/>
      <c r="D790" s="1900"/>
      <c r="E790" s="1895"/>
      <c r="F790" s="1896"/>
      <c r="G790" s="1897"/>
      <c r="H790" s="90"/>
      <c r="I790" s="90"/>
      <c r="J790" s="90"/>
      <c r="K790" s="90"/>
      <c r="L790" s="1901"/>
      <c r="M790" s="643"/>
      <c r="N790" s="643"/>
      <c r="O790" s="658"/>
      <c r="P790" s="658"/>
      <c r="Q790" s="1899"/>
      <c r="R790" s="430"/>
      <c r="S790" s="430"/>
      <c r="T790" s="430"/>
      <c r="U790" s="430"/>
      <c r="V790" s="430"/>
      <c r="W790" s="90"/>
      <c r="X790" s="90"/>
      <c r="Y790" s="90"/>
    </row>
    <row r="791" spans="3:25" ht="15.75" customHeight="1">
      <c r="C791" s="90"/>
      <c r="D791" s="1900"/>
      <c r="E791" s="1895"/>
      <c r="F791" s="1896"/>
      <c r="G791" s="1897"/>
      <c r="H791" s="90"/>
      <c r="I791" s="90"/>
      <c r="J791" s="90"/>
      <c r="K791" s="90"/>
      <c r="L791" s="1901"/>
      <c r="M791" s="643"/>
      <c r="N791" s="643"/>
      <c r="O791" s="658"/>
      <c r="P791" s="658"/>
      <c r="Q791" s="1899"/>
      <c r="R791" s="430"/>
      <c r="S791" s="430"/>
      <c r="T791" s="430"/>
      <c r="U791" s="430"/>
      <c r="V791" s="430"/>
      <c r="W791" s="90"/>
      <c r="X791" s="90"/>
      <c r="Y791" s="90"/>
    </row>
    <row r="792" spans="3:25" ht="15.75" customHeight="1">
      <c r="C792" s="90"/>
      <c r="D792" s="1900"/>
      <c r="E792" s="1895"/>
      <c r="F792" s="1896"/>
      <c r="G792" s="1897"/>
      <c r="H792" s="90"/>
      <c r="I792" s="90"/>
      <c r="J792" s="90"/>
      <c r="K792" s="90"/>
      <c r="L792" s="1901"/>
      <c r="M792" s="643"/>
      <c r="N792" s="643"/>
      <c r="O792" s="658"/>
      <c r="P792" s="658"/>
      <c r="Q792" s="1899"/>
      <c r="R792" s="430"/>
      <c r="S792" s="430"/>
      <c r="T792" s="430"/>
      <c r="U792" s="430"/>
      <c r="V792" s="430"/>
      <c r="W792" s="90"/>
      <c r="X792" s="90"/>
      <c r="Y792" s="90"/>
    </row>
    <row r="793" spans="3:25" ht="15.75" customHeight="1">
      <c r="C793" s="90"/>
      <c r="D793" s="1900"/>
      <c r="E793" s="1895"/>
      <c r="F793" s="1896"/>
      <c r="G793" s="1897"/>
      <c r="H793" s="90"/>
      <c r="I793" s="90"/>
      <c r="J793" s="90"/>
      <c r="K793" s="90"/>
      <c r="L793" s="1901"/>
      <c r="M793" s="643"/>
      <c r="N793" s="643"/>
      <c r="O793" s="658"/>
      <c r="P793" s="658"/>
      <c r="Q793" s="1899"/>
      <c r="R793" s="430"/>
      <c r="S793" s="430"/>
      <c r="T793" s="430"/>
      <c r="U793" s="430"/>
      <c r="V793" s="430"/>
      <c r="W793" s="90"/>
      <c r="X793" s="90"/>
      <c r="Y793" s="90"/>
    </row>
    <row r="794" spans="3:25" ht="15.75" customHeight="1">
      <c r="C794" s="90"/>
      <c r="D794" s="1900"/>
      <c r="E794" s="1895"/>
      <c r="F794" s="1896"/>
      <c r="G794" s="1897"/>
      <c r="H794" s="90"/>
      <c r="I794" s="90"/>
      <c r="J794" s="90"/>
      <c r="K794" s="90"/>
      <c r="L794" s="1901"/>
      <c r="M794" s="643"/>
      <c r="N794" s="643"/>
      <c r="O794" s="658"/>
      <c r="P794" s="658"/>
      <c r="Q794" s="1899"/>
      <c r="R794" s="430"/>
      <c r="S794" s="430"/>
      <c r="T794" s="430"/>
      <c r="U794" s="430"/>
      <c r="V794" s="430"/>
      <c r="W794" s="90"/>
      <c r="X794" s="90"/>
      <c r="Y794" s="90"/>
    </row>
    <row r="795" spans="3:25" ht="15.75" customHeight="1">
      <c r="C795" s="90"/>
      <c r="D795" s="1900"/>
      <c r="E795" s="1895"/>
      <c r="F795" s="1896"/>
      <c r="G795" s="1897"/>
      <c r="H795" s="90"/>
      <c r="I795" s="90"/>
      <c r="J795" s="90"/>
      <c r="K795" s="90"/>
      <c r="L795" s="1901"/>
      <c r="M795" s="643"/>
      <c r="N795" s="643"/>
      <c r="O795" s="658"/>
      <c r="P795" s="658"/>
      <c r="Q795" s="1899"/>
      <c r="R795" s="430"/>
      <c r="S795" s="430"/>
      <c r="T795" s="430"/>
      <c r="U795" s="430"/>
      <c r="V795" s="430"/>
      <c r="W795" s="90"/>
      <c r="X795" s="90"/>
      <c r="Y795" s="90"/>
    </row>
    <row r="796" spans="3:25" ht="15.75" customHeight="1">
      <c r="C796" s="90"/>
      <c r="D796" s="1900"/>
      <c r="E796" s="1895"/>
      <c r="F796" s="1896"/>
      <c r="G796" s="1897"/>
      <c r="H796" s="90"/>
      <c r="I796" s="90"/>
      <c r="J796" s="90"/>
      <c r="K796" s="90"/>
      <c r="L796" s="1901"/>
      <c r="M796" s="643"/>
      <c r="N796" s="643"/>
      <c r="O796" s="658"/>
      <c r="P796" s="658"/>
      <c r="Q796" s="1899"/>
      <c r="R796" s="430"/>
      <c r="S796" s="430"/>
      <c r="T796" s="430"/>
      <c r="U796" s="430"/>
      <c r="V796" s="430"/>
      <c r="W796" s="90"/>
      <c r="X796" s="90"/>
      <c r="Y796" s="90"/>
    </row>
    <row r="797" spans="3:25" ht="15.75" customHeight="1">
      <c r="C797" s="90"/>
      <c r="D797" s="1900"/>
      <c r="E797" s="1895"/>
      <c r="F797" s="1896"/>
      <c r="G797" s="1897"/>
      <c r="H797" s="90"/>
      <c r="I797" s="90"/>
      <c r="J797" s="90"/>
      <c r="K797" s="90"/>
      <c r="L797" s="1901"/>
      <c r="M797" s="643"/>
      <c r="N797" s="643"/>
      <c r="O797" s="658"/>
      <c r="P797" s="658"/>
      <c r="Q797" s="1899"/>
      <c r="R797" s="430"/>
      <c r="S797" s="430"/>
      <c r="T797" s="430"/>
      <c r="U797" s="430"/>
      <c r="V797" s="430"/>
      <c r="W797" s="90"/>
      <c r="X797" s="90"/>
      <c r="Y797" s="90"/>
    </row>
    <row r="798" spans="3:25" ht="15.75" customHeight="1">
      <c r="C798" s="90"/>
      <c r="D798" s="1900"/>
      <c r="E798" s="1895"/>
      <c r="F798" s="1896"/>
      <c r="G798" s="1897"/>
      <c r="H798" s="90"/>
      <c r="I798" s="90"/>
      <c r="J798" s="90"/>
      <c r="K798" s="90"/>
      <c r="L798" s="1901"/>
      <c r="M798" s="643"/>
      <c r="N798" s="643"/>
      <c r="O798" s="658"/>
      <c r="P798" s="658"/>
      <c r="Q798" s="1899"/>
      <c r="R798" s="430"/>
      <c r="S798" s="430"/>
      <c r="T798" s="430"/>
      <c r="U798" s="430"/>
      <c r="V798" s="430"/>
      <c r="W798" s="90"/>
      <c r="X798" s="90"/>
      <c r="Y798" s="90"/>
    </row>
    <row r="799" spans="3:25" ht="15.75" customHeight="1">
      <c r="C799" s="90"/>
      <c r="D799" s="1900"/>
      <c r="E799" s="1895"/>
      <c r="F799" s="1896"/>
      <c r="G799" s="1897"/>
      <c r="H799" s="90"/>
      <c r="I799" s="90"/>
      <c r="J799" s="90"/>
      <c r="K799" s="90"/>
      <c r="L799" s="1901"/>
      <c r="M799" s="643"/>
      <c r="N799" s="643"/>
      <c r="O799" s="658"/>
      <c r="P799" s="658"/>
      <c r="Q799" s="1899"/>
      <c r="R799" s="430"/>
      <c r="S799" s="430"/>
      <c r="T799" s="430"/>
      <c r="U799" s="430"/>
      <c r="V799" s="430"/>
      <c r="W799" s="90"/>
      <c r="X799" s="90"/>
      <c r="Y799" s="90"/>
    </row>
    <row r="800" spans="3:25" ht="15.75" customHeight="1">
      <c r="C800" s="90"/>
      <c r="D800" s="1900"/>
      <c r="E800" s="1895"/>
      <c r="F800" s="1896"/>
      <c r="G800" s="1897"/>
      <c r="H800" s="90"/>
      <c r="I800" s="90"/>
      <c r="J800" s="90"/>
      <c r="K800" s="90"/>
      <c r="L800" s="1901"/>
      <c r="M800" s="643"/>
      <c r="N800" s="643"/>
      <c r="O800" s="658"/>
      <c r="P800" s="658"/>
      <c r="Q800" s="1899"/>
      <c r="R800" s="430"/>
      <c r="S800" s="430"/>
      <c r="T800" s="430"/>
      <c r="U800" s="430"/>
      <c r="V800" s="430"/>
      <c r="W800" s="90"/>
      <c r="X800" s="90"/>
      <c r="Y800" s="90"/>
    </row>
    <row r="801" spans="3:25" ht="15.75" customHeight="1">
      <c r="C801" s="90"/>
      <c r="D801" s="1900"/>
      <c r="E801" s="1895"/>
      <c r="F801" s="1896"/>
      <c r="G801" s="1897"/>
      <c r="H801" s="90"/>
      <c r="I801" s="90"/>
      <c r="J801" s="90"/>
      <c r="K801" s="90"/>
      <c r="L801" s="1901"/>
      <c r="M801" s="643"/>
      <c r="N801" s="643"/>
      <c r="O801" s="658"/>
      <c r="P801" s="658"/>
      <c r="Q801" s="1899"/>
      <c r="R801" s="430"/>
      <c r="S801" s="430"/>
      <c r="T801" s="430"/>
      <c r="U801" s="430"/>
      <c r="V801" s="430"/>
      <c r="W801" s="90"/>
      <c r="X801" s="90"/>
      <c r="Y801" s="90"/>
    </row>
    <row r="802" spans="3:25" ht="15.75" customHeight="1">
      <c r="C802" s="90"/>
      <c r="D802" s="1900"/>
      <c r="E802" s="1895"/>
      <c r="F802" s="1896"/>
      <c r="G802" s="1897"/>
      <c r="H802" s="90"/>
      <c r="I802" s="90"/>
      <c r="J802" s="90"/>
      <c r="K802" s="90"/>
      <c r="L802" s="1901"/>
      <c r="M802" s="643"/>
      <c r="N802" s="643"/>
      <c r="O802" s="658"/>
      <c r="P802" s="658"/>
      <c r="Q802" s="1899"/>
      <c r="R802" s="430"/>
      <c r="S802" s="430"/>
      <c r="T802" s="430"/>
      <c r="U802" s="430"/>
      <c r="V802" s="430"/>
      <c r="W802" s="90"/>
      <c r="X802" s="90"/>
      <c r="Y802" s="90"/>
    </row>
    <row r="803" spans="3:25" ht="15.75" customHeight="1">
      <c r="C803" s="90"/>
      <c r="D803" s="1900"/>
      <c r="E803" s="1895"/>
      <c r="F803" s="1896"/>
      <c r="G803" s="1897"/>
      <c r="H803" s="90"/>
      <c r="I803" s="90"/>
      <c r="J803" s="90"/>
      <c r="K803" s="90"/>
      <c r="L803" s="1901"/>
      <c r="M803" s="643"/>
      <c r="N803" s="643"/>
      <c r="O803" s="658"/>
      <c r="P803" s="658"/>
      <c r="Q803" s="1899"/>
      <c r="R803" s="430"/>
      <c r="S803" s="430"/>
      <c r="T803" s="430"/>
      <c r="U803" s="430"/>
      <c r="V803" s="430"/>
      <c r="W803" s="90"/>
      <c r="X803" s="90"/>
      <c r="Y803" s="90"/>
    </row>
    <row r="804" spans="3:25" ht="15.75" customHeight="1">
      <c r="C804" s="90"/>
      <c r="D804" s="1900"/>
      <c r="E804" s="1895"/>
      <c r="F804" s="1896"/>
      <c r="G804" s="1897"/>
      <c r="H804" s="90"/>
      <c r="I804" s="90"/>
      <c r="J804" s="90"/>
      <c r="K804" s="90"/>
      <c r="L804" s="1901"/>
      <c r="M804" s="643"/>
      <c r="N804" s="643"/>
      <c r="O804" s="658"/>
      <c r="P804" s="658"/>
      <c r="Q804" s="1899"/>
      <c r="R804" s="430"/>
      <c r="S804" s="430"/>
      <c r="T804" s="430"/>
      <c r="U804" s="430"/>
      <c r="V804" s="430"/>
      <c r="W804" s="90"/>
      <c r="X804" s="90"/>
      <c r="Y804" s="90"/>
    </row>
    <row r="805" spans="3:25" ht="15.75" customHeight="1">
      <c r="C805" s="90"/>
      <c r="D805" s="1900"/>
      <c r="E805" s="1895"/>
      <c r="F805" s="1896"/>
      <c r="G805" s="1897"/>
      <c r="H805" s="90"/>
      <c r="I805" s="90"/>
      <c r="J805" s="90"/>
      <c r="K805" s="90"/>
      <c r="L805" s="1901"/>
      <c r="M805" s="643"/>
      <c r="N805" s="643"/>
      <c r="O805" s="658"/>
      <c r="P805" s="658"/>
      <c r="Q805" s="1899"/>
      <c r="R805" s="430"/>
      <c r="S805" s="430"/>
      <c r="T805" s="430"/>
      <c r="U805" s="430"/>
      <c r="V805" s="430"/>
      <c r="W805" s="90"/>
      <c r="X805" s="90"/>
      <c r="Y805" s="90"/>
    </row>
    <row r="806" spans="3:25" ht="15.75" customHeight="1">
      <c r="C806" s="90"/>
      <c r="D806" s="1900"/>
      <c r="E806" s="1895"/>
      <c r="F806" s="1896"/>
      <c r="G806" s="1897"/>
      <c r="H806" s="90"/>
      <c r="I806" s="90"/>
      <c r="J806" s="90"/>
      <c r="K806" s="90"/>
      <c r="L806" s="1901"/>
      <c r="M806" s="643"/>
      <c r="N806" s="643"/>
      <c r="O806" s="658"/>
      <c r="P806" s="658"/>
      <c r="Q806" s="1899"/>
      <c r="R806" s="430"/>
      <c r="S806" s="430"/>
      <c r="T806" s="430"/>
      <c r="U806" s="430"/>
      <c r="V806" s="430"/>
      <c r="W806" s="90"/>
      <c r="X806" s="90"/>
      <c r="Y806" s="90"/>
    </row>
    <row r="807" spans="3:25" ht="15.75" customHeight="1">
      <c r="C807" s="90"/>
      <c r="D807" s="1900"/>
      <c r="E807" s="1895"/>
      <c r="F807" s="1896"/>
      <c r="G807" s="1897"/>
      <c r="H807" s="90"/>
      <c r="I807" s="90"/>
      <c r="J807" s="90"/>
      <c r="K807" s="90"/>
      <c r="L807" s="1901"/>
      <c r="M807" s="643"/>
      <c r="N807" s="643"/>
      <c r="O807" s="658"/>
      <c r="P807" s="658"/>
      <c r="Q807" s="1899"/>
      <c r="R807" s="430"/>
      <c r="S807" s="430"/>
      <c r="T807" s="430"/>
      <c r="U807" s="430"/>
      <c r="V807" s="430"/>
      <c r="W807" s="90"/>
      <c r="X807" s="90"/>
      <c r="Y807" s="90"/>
    </row>
    <row r="808" spans="3:25" ht="15.75" customHeight="1">
      <c r="C808" s="90"/>
      <c r="D808" s="1900"/>
      <c r="E808" s="1895"/>
      <c r="F808" s="1896"/>
      <c r="G808" s="1897"/>
      <c r="H808" s="90"/>
      <c r="I808" s="90"/>
      <c r="J808" s="90"/>
      <c r="K808" s="90"/>
      <c r="L808" s="1901"/>
      <c r="M808" s="643"/>
      <c r="N808" s="643"/>
      <c r="O808" s="658"/>
      <c r="P808" s="658"/>
      <c r="Q808" s="1899"/>
      <c r="R808" s="430"/>
      <c r="S808" s="430"/>
      <c r="T808" s="430"/>
      <c r="U808" s="430"/>
      <c r="V808" s="430"/>
      <c r="W808" s="90"/>
      <c r="X808" s="90"/>
      <c r="Y808" s="90"/>
    </row>
    <row r="809" spans="3:25" ht="15.75" customHeight="1">
      <c r="C809" s="90"/>
      <c r="D809" s="1900"/>
      <c r="E809" s="1895"/>
      <c r="F809" s="1896"/>
      <c r="G809" s="1897"/>
      <c r="H809" s="90"/>
      <c r="I809" s="90"/>
      <c r="J809" s="90"/>
      <c r="K809" s="90"/>
      <c r="L809" s="1901"/>
      <c r="M809" s="643"/>
      <c r="N809" s="643"/>
      <c r="O809" s="658"/>
      <c r="P809" s="658"/>
      <c r="Q809" s="1899"/>
      <c r="R809" s="430"/>
      <c r="S809" s="430"/>
      <c r="T809" s="430"/>
      <c r="U809" s="430"/>
      <c r="V809" s="430"/>
      <c r="W809" s="90"/>
      <c r="X809" s="90"/>
      <c r="Y809" s="90"/>
    </row>
    <row r="810" spans="3:25" ht="15.75" customHeight="1">
      <c r="C810" s="90"/>
      <c r="D810" s="1900"/>
      <c r="E810" s="1895"/>
      <c r="F810" s="1896"/>
      <c r="G810" s="1897"/>
      <c r="H810" s="90"/>
      <c r="I810" s="90"/>
      <c r="J810" s="90"/>
      <c r="K810" s="90"/>
      <c r="L810" s="1901"/>
      <c r="M810" s="643"/>
      <c r="N810" s="643"/>
      <c r="O810" s="658"/>
      <c r="P810" s="658"/>
      <c r="Q810" s="1899"/>
      <c r="R810" s="430"/>
      <c r="S810" s="430"/>
      <c r="T810" s="430"/>
      <c r="U810" s="430"/>
      <c r="V810" s="430"/>
      <c r="W810" s="90"/>
      <c r="X810" s="90"/>
      <c r="Y810" s="90"/>
    </row>
    <row r="811" spans="3:25" ht="15.75" customHeight="1">
      <c r="C811" s="90"/>
      <c r="D811" s="1900"/>
      <c r="E811" s="1895"/>
      <c r="F811" s="1896"/>
      <c r="G811" s="1897"/>
      <c r="H811" s="90"/>
      <c r="I811" s="90"/>
      <c r="J811" s="90"/>
      <c r="K811" s="90"/>
      <c r="L811" s="1901"/>
      <c r="M811" s="643"/>
      <c r="N811" s="643"/>
      <c r="O811" s="658"/>
      <c r="P811" s="658"/>
      <c r="Q811" s="1899"/>
      <c r="R811" s="430"/>
      <c r="S811" s="430"/>
      <c r="T811" s="430"/>
      <c r="U811" s="430"/>
      <c r="V811" s="430"/>
      <c r="W811" s="90"/>
      <c r="X811" s="90"/>
      <c r="Y811" s="90"/>
    </row>
    <row r="812" spans="3:25" ht="15.75" customHeight="1">
      <c r="C812" s="90"/>
      <c r="D812" s="1900"/>
      <c r="E812" s="1895"/>
      <c r="F812" s="1896"/>
      <c r="G812" s="1897"/>
      <c r="H812" s="90"/>
      <c r="I812" s="90"/>
      <c r="J812" s="90"/>
      <c r="K812" s="90"/>
      <c r="L812" s="1901"/>
      <c r="M812" s="643"/>
      <c r="N812" s="643"/>
      <c r="O812" s="658"/>
      <c r="P812" s="658"/>
      <c r="Q812" s="1899"/>
      <c r="R812" s="430"/>
      <c r="S812" s="430"/>
      <c r="T812" s="430"/>
      <c r="U812" s="430"/>
      <c r="V812" s="430"/>
      <c r="W812" s="90"/>
      <c r="X812" s="90"/>
      <c r="Y812" s="90"/>
    </row>
    <row r="813" spans="3:25" ht="15.75" customHeight="1">
      <c r="C813" s="90"/>
      <c r="D813" s="1900"/>
      <c r="E813" s="1895"/>
      <c r="F813" s="1896"/>
      <c r="G813" s="1897"/>
      <c r="H813" s="90"/>
      <c r="I813" s="90"/>
      <c r="J813" s="90"/>
      <c r="K813" s="90"/>
      <c r="L813" s="1901"/>
      <c r="M813" s="643"/>
      <c r="N813" s="643"/>
      <c r="O813" s="658"/>
      <c r="P813" s="658"/>
      <c r="Q813" s="1899"/>
      <c r="R813" s="430"/>
      <c r="S813" s="430"/>
      <c r="T813" s="430"/>
      <c r="U813" s="430"/>
      <c r="V813" s="430"/>
      <c r="W813" s="90"/>
      <c r="X813" s="90"/>
      <c r="Y813" s="90"/>
    </row>
    <row r="814" spans="3:25" ht="15.75" customHeight="1">
      <c r="C814" s="90"/>
      <c r="D814" s="1900"/>
      <c r="E814" s="1895"/>
      <c r="F814" s="1896"/>
      <c r="G814" s="1897"/>
      <c r="H814" s="90"/>
      <c r="I814" s="90"/>
      <c r="J814" s="90"/>
      <c r="K814" s="90"/>
      <c r="L814" s="1901"/>
      <c r="M814" s="643"/>
      <c r="N814" s="643"/>
      <c r="O814" s="658"/>
      <c r="P814" s="658"/>
      <c r="Q814" s="1899"/>
      <c r="R814" s="430"/>
      <c r="S814" s="430"/>
      <c r="T814" s="430"/>
      <c r="U814" s="430"/>
      <c r="V814" s="430"/>
      <c r="W814" s="90"/>
      <c r="X814" s="90"/>
      <c r="Y814" s="90"/>
    </row>
    <row r="815" spans="3:25" ht="15.75" customHeight="1">
      <c r="C815" s="90"/>
      <c r="D815" s="1900"/>
      <c r="E815" s="1895"/>
      <c r="F815" s="1896"/>
      <c r="G815" s="1897"/>
      <c r="H815" s="90"/>
      <c r="I815" s="90"/>
      <c r="J815" s="90"/>
      <c r="K815" s="90"/>
      <c r="L815" s="1901"/>
      <c r="M815" s="643"/>
      <c r="N815" s="643"/>
      <c r="O815" s="658"/>
      <c r="P815" s="658"/>
      <c r="Q815" s="1899"/>
      <c r="R815" s="430"/>
      <c r="S815" s="430"/>
      <c r="T815" s="430"/>
      <c r="U815" s="430"/>
      <c r="V815" s="430"/>
      <c r="W815" s="90"/>
      <c r="X815" s="90"/>
      <c r="Y815" s="90"/>
    </row>
    <row r="816" spans="3:25" ht="15.75" customHeight="1">
      <c r="C816" s="90"/>
      <c r="D816" s="1900"/>
      <c r="E816" s="1895"/>
      <c r="F816" s="1896"/>
      <c r="G816" s="1897"/>
      <c r="H816" s="90"/>
      <c r="I816" s="90"/>
      <c r="J816" s="90"/>
      <c r="K816" s="90"/>
      <c r="L816" s="1901"/>
      <c r="M816" s="643"/>
      <c r="N816" s="643"/>
      <c r="O816" s="658"/>
      <c r="P816" s="658"/>
      <c r="Q816" s="1899"/>
      <c r="R816" s="430"/>
      <c r="S816" s="430"/>
      <c r="T816" s="430"/>
      <c r="U816" s="430"/>
      <c r="V816" s="430"/>
      <c r="W816" s="90"/>
      <c r="X816" s="90"/>
      <c r="Y816" s="90"/>
    </row>
    <row r="817" spans="3:25" ht="15.75" customHeight="1">
      <c r="C817" s="90"/>
      <c r="D817" s="1900"/>
      <c r="E817" s="1895"/>
      <c r="F817" s="1896"/>
      <c r="G817" s="1897"/>
      <c r="H817" s="90"/>
      <c r="I817" s="90"/>
      <c r="J817" s="90"/>
      <c r="K817" s="90"/>
      <c r="L817" s="1901"/>
      <c r="M817" s="643"/>
      <c r="N817" s="643"/>
      <c r="O817" s="658"/>
      <c r="P817" s="658"/>
      <c r="Q817" s="1899"/>
      <c r="R817" s="430"/>
      <c r="S817" s="430"/>
      <c r="T817" s="430"/>
      <c r="U817" s="430"/>
      <c r="V817" s="430"/>
      <c r="W817" s="90"/>
      <c r="X817" s="90"/>
      <c r="Y817" s="90"/>
    </row>
    <row r="818" spans="3:25" ht="15.75" customHeight="1">
      <c r="C818" s="90"/>
      <c r="D818" s="1900"/>
      <c r="E818" s="1895"/>
      <c r="F818" s="1896"/>
      <c r="G818" s="1897"/>
      <c r="H818" s="90"/>
      <c r="I818" s="90"/>
      <c r="J818" s="90"/>
      <c r="K818" s="90"/>
      <c r="L818" s="1901"/>
      <c r="M818" s="643"/>
      <c r="N818" s="643"/>
      <c r="O818" s="658"/>
      <c r="P818" s="658"/>
      <c r="Q818" s="1899"/>
      <c r="R818" s="430"/>
      <c r="S818" s="430"/>
      <c r="T818" s="430"/>
      <c r="U818" s="430"/>
      <c r="V818" s="430"/>
      <c r="W818" s="90"/>
      <c r="X818" s="90"/>
      <c r="Y818" s="90"/>
    </row>
    <row r="819" spans="3:25" ht="15.75" customHeight="1">
      <c r="C819" s="90"/>
      <c r="D819" s="1900"/>
      <c r="E819" s="1895"/>
      <c r="F819" s="1896"/>
      <c r="G819" s="1897"/>
      <c r="H819" s="90"/>
      <c r="I819" s="90"/>
      <c r="J819" s="90"/>
      <c r="K819" s="90"/>
      <c r="L819" s="1901"/>
      <c r="M819" s="643"/>
      <c r="N819" s="643"/>
      <c r="O819" s="658"/>
      <c r="P819" s="658"/>
      <c r="Q819" s="1899"/>
      <c r="R819" s="430"/>
      <c r="S819" s="430"/>
      <c r="T819" s="430"/>
      <c r="U819" s="430"/>
      <c r="V819" s="430"/>
      <c r="W819" s="90"/>
      <c r="X819" s="90"/>
      <c r="Y819" s="90"/>
    </row>
    <row r="820" spans="3:25" ht="15.75" customHeight="1">
      <c r="C820" s="90"/>
      <c r="D820" s="1900"/>
      <c r="E820" s="1895"/>
      <c r="F820" s="1896"/>
      <c r="G820" s="1897"/>
      <c r="H820" s="90"/>
      <c r="I820" s="90"/>
      <c r="J820" s="90"/>
      <c r="K820" s="90"/>
      <c r="L820" s="1901"/>
      <c r="M820" s="643"/>
      <c r="N820" s="643"/>
      <c r="O820" s="658"/>
      <c r="P820" s="658"/>
      <c r="Q820" s="1899"/>
      <c r="R820" s="430"/>
      <c r="S820" s="430"/>
      <c r="T820" s="430"/>
      <c r="U820" s="430"/>
      <c r="V820" s="430"/>
      <c r="W820" s="90"/>
      <c r="X820" s="90"/>
      <c r="Y820" s="90"/>
    </row>
    <row r="821" spans="3:25" ht="15.75" customHeight="1">
      <c r="C821" s="90"/>
      <c r="D821" s="1900"/>
      <c r="E821" s="1895"/>
      <c r="F821" s="1896"/>
      <c r="G821" s="1897"/>
      <c r="H821" s="90"/>
      <c r="I821" s="90"/>
      <c r="J821" s="90"/>
      <c r="K821" s="90"/>
      <c r="L821" s="1901"/>
      <c r="M821" s="643"/>
      <c r="N821" s="643"/>
      <c r="O821" s="658"/>
      <c r="P821" s="658"/>
      <c r="Q821" s="1899"/>
      <c r="R821" s="430"/>
      <c r="S821" s="430"/>
      <c r="T821" s="430"/>
      <c r="U821" s="430"/>
      <c r="V821" s="430"/>
      <c r="W821" s="90"/>
      <c r="X821" s="90"/>
      <c r="Y821" s="90"/>
    </row>
    <row r="822" spans="3:25" ht="15.75" customHeight="1">
      <c r="C822" s="90"/>
      <c r="D822" s="1900"/>
      <c r="E822" s="1895"/>
      <c r="F822" s="1896"/>
      <c r="G822" s="1897"/>
      <c r="H822" s="90"/>
      <c r="I822" s="90"/>
      <c r="J822" s="90"/>
      <c r="K822" s="90"/>
      <c r="L822" s="1901"/>
      <c r="M822" s="643"/>
      <c r="N822" s="643"/>
      <c r="O822" s="658"/>
      <c r="P822" s="658"/>
      <c r="Q822" s="1899"/>
      <c r="R822" s="430"/>
      <c r="S822" s="430"/>
      <c r="T822" s="430"/>
      <c r="U822" s="430"/>
      <c r="V822" s="430"/>
      <c r="W822" s="90"/>
      <c r="X822" s="90"/>
      <c r="Y822" s="90"/>
    </row>
    <row r="823" spans="3:25" ht="15.75" customHeight="1">
      <c r="C823" s="90"/>
      <c r="D823" s="1900"/>
      <c r="E823" s="1895"/>
      <c r="F823" s="1896"/>
      <c r="G823" s="1897"/>
      <c r="H823" s="90"/>
      <c r="I823" s="90"/>
      <c r="J823" s="90"/>
      <c r="K823" s="90"/>
      <c r="L823" s="1901"/>
      <c r="M823" s="643"/>
      <c r="N823" s="643"/>
      <c r="O823" s="658"/>
      <c r="P823" s="658"/>
      <c r="Q823" s="1899"/>
      <c r="R823" s="430"/>
      <c r="S823" s="430"/>
      <c r="T823" s="430"/>
      <c r="U823" s="430"/>
      <c r="V823" s="430"/>
      <c r="W823" s="90"/>
      <c r="X823" s="90"/>
      <c r="Y823" s="90"/>
    </row>
    <row r="824" spans="3:25" ht="15.75" customHeight="1">
      <c r="C824" s="90"/>
      <c r="D824" s="1900"/>
      <c r="E824" s="1895"/>
      <c r="F824" s="1896"/>
      <c r="G824" s="1897"/>
      <c r="H824" s="90"/>
      <c r="I824" s="90"/>
      <c r="J824" s="90"/>
      <c r="K824" s="90"/>
      <c r="L824" s="1901"/>
      <c r="M824" s="643"/>
      <c r="N824" s="643"/>
      <c r="O824" s="658"/>
      <c r="P824" s="658"/>
      <c r="Q824" s="1899"/>
      <c r="R824" s="430"/>
      <c r="S824" s="430"/>
      <c r="T824" s="430"/>
      <c r="U824" s="430"/>
      <c r="V824" s="430"/>
      <c r="W824" s="90"/>
      <c r="X824" s="90"/>
      <c r="Y824" s="90"/>
    </row>
    <row r="825" spans="3:25" ht="15.75" customHeight="1">
      <c r="C825" s="90"/>
      <c r="D825" s="1900"/>
      <c r="E825" s="1895"/>
      <c r="F825" s="1896"/>
      <c r="G825" s="1897"/>
      <c r="H825" s="90"/>
      <c r="I825" s="90"/>
      <c r="J825" s="90"/>
      <c r="K825" s="90"/>
      <c r="L825" s="1901"/>
      <c r="M825" s="643"/>
      <c r="N825" s="643"/>
      <c r="O825" s="658"/>
      <c r="P825" s="658"/>
      <c r="Q825" s="1899"/>
      <c r="R825" s="430"/>
      <c r="S825" s="430"/>
      <c r="T825" s="430"/>
      <c r="U825" s="430"/>
      <c r="V825" s="430"/>
      <c r="W825" s="90"/>
      <c r="X825" s="90"/>
      <c r="Y825" s="90"/>
    </row>
    <row r="826" spans="3:25" ht="15.75" customHeight="1">
      <c r="C826" s="90"/>
      <c r="D826" s="1900"/>
      <c r="E826" s="1895"/>
      <c r="F826" s="1896"/>
      <c r="G826" s="1897"/>
      <c r="H826" s="90"/>
      <c r="I826" s="90"/>
      <c r="J826" s="90"/>
      <c r="K826" s="90"/>
      <c r="L826" s="1901"/>
      <c r="M826" s="643"/>
      <c r="N826" s="643"/>
      <c r="O826" s="658"/>
      <c r="P826" s="658"/>
      <c r="Q826" s="1899"/>
      <c r="R826" s="430"/>
      <c r="S826" s="430"/>
      <c r="T826" s="430"/>
      <c r="U826" s="430"/>
      <c r="V826" s="430"/>
      <c r="W826" s="90"/>
      <c r="X826" s="90"/>
      <c r="Y826" s="90"/>
    </row>
    <row r="827" spans="3:25" ht="15.75" customHeight="1">
      <c r="C827" s="90"/>
      <c r="D827" s="1900"/>
      <c r="E827" s="1895"/>
      <c r="F827" s="1896"/>
      <c r="G827" s="1897"/>
      <c r="H827" s="90"/>
      <c r="I827" s="90"/>
      <c r="J827" s="90"/>
      <c r="K827" s="90"/>
      <c r="L827" s="1901"/>
      <c r="M827" s="643"/>
      <c r="N827" s="643"/>
      <c r="O827" s="658"/>
      <c r="P827" s="658"/>
      <c r="Q827" s="1899"/>
      <c r="R827" s="430"/>
      <c r="S827" s="430"/>
      <c r="T827" s="430"/>
      <c r="U827" s="430"/>
      <c r="V827" s="430"/>
      <c r="W827" s="90"/>
      <c r="X827" s="90"/>
      <c r="Y827" s="90"/>
    </row>
    <row r="828" spans="3:25" ht="15.75" customHeight="1">
      <c r="C828" s="90"/>
      <c r="D828" s="1900"/>
      <c r="E828" s="1895"/>
      <c r="F828" s="1896"/>
      <c r="G828" s="1897"/>
      <c r="H828" s="90"/>
      <c r="I828" s="90"/>
      <c r="J828" s="90"/>
      <c r="K828" s="90"/>
      <c r="L828" s="1901"/>
      <c r="M828" s="643"/>
      <c r="N828" s="643"/>
      <c r="O828" s="658"/>
      <c r="P828" s="658"/>
      <c r="Q828" s="1899"/>
      <c r="R828" s="430"/>
      <c r="S828" s="430"/>
      <c r="T828" s="430"/>
      <c r="U828" s="430"/>
      <c r="V828" s="430"/>
      <c r="W828" s="90"/>
      <c r="X828" s="90"/>
      <c r="Y828" s="90"/>
    </row>
    <row r="829" spans="3:25" ht="15.75" customHeight="1">
      <c r="C829" s="90"/>
      <c r="D829" s="1900"/>
      <c r="E829" s="1895"/>
      <c r="F829" s="1896"/>
      <c r="G829" s="1897"/>
      <c r="H829" s="90"/>
      <c r="I829" s="90"/>
      <c r="J829" s="90"/>
      <c r="K829" s="90"/>
      <c r="L829" s="1901"/>
      <c r="M829" s="643"/>
      <c r="N829" s="643"/>
      <c r="O829" s="658"/>
      <c r="P829" s="658"/>
      <c r="Q829" s="1899"/>
      <c r="R829" s="430"/>
      <c r="S829" s="430"/>
      <c r="T829" s="430"/>
      <c r="U829" s="430"/>
      <c r="V829" s="430"/>
      <c r="W829" s="90"/>
      <c r="X829" s="90"/>
      <c r="Y829" s="90"/>
    </row>
    <row r="830" spans="3:25" ht="15.75" customHeight="1">
      <c r="C830" s="90"/>
      <c r="D830" s="1900"/>
      <c r="E830" s="1895"/>
      <c r="F830" s="1896"/>
      <c r="G830" s="1897"/>
      <c r="H830" s="90"/>
      <c r="I830" s="90"/>
      <c r="J830" s="90"/>
      <c r="K830" s="90"/>
      <c r="L830" s="1901"/>
      <c r="M830" s="643"/>
      <c r="N830" s="643"/>
      <c r="O830" s="658"/>
      <c r="P830" s="658"/>
      <c r="Q830" s="1899"/>
      <c r="R830" s="430"/>
      <c r="S830" s="430"/>
      <c r="T830" s="430"/>
      <c r="U830" s="430"/>
      <c r="V830" s="430"/>
      <c r="W830" s="90"/>
      <c r="X830" s="90"/>
      <c r="Y830" s="90"/>
    </row>
    <row r="831" spans="3:25" ht="15.75" customHeight="1">
      <c r="C831" s="90"/>
      <c r="D831" s="1900"/>
      <c r="E831" s="1895"/>
      <c r="F831" s="1896"/>
      <c r="G831" s="1897"/>
      <c r="H831" s="90"/>
      <c r="I831" s="90"/>
      <c r="J831" s="90"/>
      <c r="K831" s="90"/>
      <c r="L831" s="1901"/>
      <c r="M831" s="643"/>
      <c r="N831" s="643"/>
      <c r="O831" s="658"/>
      <c r="P831" s="658"/>
      <c r="Q831" s="1899"/>
      <c r="R831" s="430"/>
      <c r="S831" s="430"/>
      <c r="T831" s="430"/>
      <c r="U831" s="430"/>
      <c r="V831" s="430"/>
      <c r="W831" s="90"/>
      <c r="X831" s="90"/>
      <c r="Y831" s="90"/>
    </row>
    <row r="832" spans="3:25" ht="15.75" customHeight="1">
      <c r="C832" s="90"/>
      <c r="D832" s="1900"/>
      <c r="E832" s="1895"/>
      <c r="F832" s="1896"/>
      <c r="G832" s="1897"/>
      <c r="H832" s="90"/>
      <c r="I832" s="90"/>
      <c r="J832" s="90"/>
      <c r="K832" s="90"/>
      <c r="L832" s="1901"/>
      <c r="M832" s="643"/>
      <c r="N832" s="643"/>
      <c r="O832" s="658"/>
      <c r="P832" s="658"/>
      <c r="Q832" s="1899"/>
      <c r="R832" s="430"/>
      <c r="S832" s="430"/>
      <c r="T832" s="430"/>
      <c r="U832" s="430"/>
      <c r="V832" s="430"/>
      <c r="W832" s="90"/>
      <c r="X832" s="90"/>
      <c r="Y832" s="90"/>
    </row>
    <row r="833" spans="3:25" ht="15.75" customHeight="1">
      <c r="C833" s="90"/>
      <c r="D833" s="1900"/>
      <c r="E833" s="1895"/>
      <c r="F833" s="1896"/>
      <c r="G833" s="1897"/>
      <c r="H833" s="90"/>
      <c r="I833" s="90"/>
      <c r="J833" s="90"/>
      <c r="K833" s="90"/>
      <c r="L833" s="1901"/>
      <c r="M833" s="643"/>
      <c r="N833" s="643"/>
      <c r="O833" s="658"/>
      <c r="P833" s="658"/>
      <c r="Q833" s="1899"/>
      <c r="R833" s="430"/>
      <c r="S833" s="430"/>
      <c r="T833" s="430"/>
      <c r="U833" s="430"/>
      <c r="V833" s="430"/>
      <c r="W833" s="90"/>
      <c r="X833" s="90"/>
      <c r="Y833" s="90"/>
    </row>
    <row r="834" spans="3:25" ht="15.75" customHeight="1">
      <c r="C834" s="90"/>
      <c r="D834" s="1900"/>
      <c r="E834" s="1895"/>
      <c r="F834" s="1896"/>
      <c r="G834" s="1897"/>
      <c r="H834" s="90"/>
      <c r="I834" s="90"/>
      <c r="J834" s="90"/>
      <c r="K834" s="90"/>
      <c r="L834" s="1901"/>
      <c r="M834" s="643"/>
      <c r="N834" s="643"/>
      <c r="O834" s="658"/>
      <c r="P834" s="658"/>
      <c r="Q834" s="1899"/>
      <c r="R834" s="430"/>
      <c r="S834" s="430"/>
      <c r="T834" s="430"/>
      <c r="U834" s="430"/>
      <c r="V834" s="430"/>
      <c r="W834" s="90"/>
      <c r="X834" s="90"/>
      <c r="Y834" s="90"/>
    </row>
    <row r="835" spans="3:25" ht="15.75" customHeight="1">
      <c r="C835" s="90"/>
      <c r="D835" s="1900"/>
      <c r="E835" s="1895"/>
      <c r="F835" s="1896"/>
      <c r="G835" s="1897"/>
      <c r="H835" s="90"/>
      <c r="I835" s="90"/>
      <c r="J835" s="90"/>
      <c r="K835" s="90"/>
      <c r="L835" s="1901"/>
      <c r="M835" s="643"/>
      <c r="N835" s="643"/>
      <c r="O835" s="658"/>
      <c r="P835" s="658"/>
      <c r="Q835" s="1899"/>
      <c r="R835" s="430"/>
      <c r="S835" s="430"/>
      <c r="T835" s="430"/>
      <c r="U835" s="430"/>
      <c r="V835" s="430"/>
      <c r="W835" s="90"/>
      <c r="X835" s="90"/>
      <c r="Y835" s="90"/>
    </row>
    <row r="836" spans="3:25" ht="15.75" customHeight="1">
      <c r="C836" s="90"/>
      <c r="D836" s="1900"/>
      <c r="E836" s="1895"/>
      <c r="F836" s="1896"/>
      <c r="G836" s="1897"/>
      <c r="H836" s="90"/>
      <c r="I836" s="90"/>
      <c r="J836" s="90"/>
      <c r="K836" s="90"/>
      <c r="L836" s="1901"/>
      <c r="M836" s="643"/>
      <c r="N836" s="643"/>
      <c r="O836" s="658"/>
      <c r="P836" s="658"/>
      <c r="Q836" s="1899"/>
      <c r="R836" s="430"/>
      <c r="S836" s="430"/>
      <c r="T836" s="430"/>
      <c r="U836" s="430"/>
      <c r="V836" s="430"/>
      <c r="W836" s="90"/>
      <c r="X836" s="90"/>
      <c r="Y836" s="90"/>
    </row>
    <row r="837" spans="3:25" ht="15.75" customHeight="1">
      <c r="C837" s="90"/>
      <c r="D837" s="1900"/>
      <c r="E837" s="1895"/>
      <c r="F837" s="1896"/>
      <c r="G837" s="1897"/>
      <c r="H837" s="90"/>
      <c r="I837" s="90"/>
      <c r="J837" s="90"/>
      <c r="K837" s="90"/>
      <c r="L837" s="1901"/>
      <c r="M837" s="643"/>
      <c r="N837" s="643"/>
      <c r="O837" s="658"/>
      <c r="P837" s="658"/>
      <c r="Q837" s="1899"/>
      <c r="R837" s="430"/>
      <c r="S837" s="430"/>
      <c r="T837" s="430"/>
      <c r="U837" s="430"/>
      <c r="V837" s="430"/>
      <c r="W837" s="90"/>
      <c r="X837" s="90"/>
      <c r="Y837" s="90"/>
    </row>
    <row r="838" spans="3:25" ht="15.75" customHeight="1">
      <c r="C838" s="90"/>
      <c r="D838" s="1900"/>
      <c r="E838" s="1895"/>
      <c r="F838" s="1896"/>
      <c r="G838" s="1897"/>
      <c r="H838" s="90"/>
      <c r="I838" s="90"/>
      <c r="J838" s="90"/>
      <c r="K838" s="90"/>
      <c r="L838" s="1901"/>
      <c r="M838" s="643"/>
      <c r="N838" s="643"/>
      <c r="O838" s="658"/>
      <c r="P838" s="658"/>
      <c r="Q838" s="1899"/>
      <c r="R838" s="430"/>
      <c r="S838" s="430"/>
      <c r="T838" s="430"/>
      <c r="U838" s="430"/>
      <c r="V838" s="430"/>
      <c r="W838" s="90"/>
      <c r="X838" s="90"/>
      <c r="Y838" s="90"/>
    </row>
    <row r="839" spans="3:25" ht="15.75" customHeight="1">
      <c r="C839" s="90"/>
      <c r="D839" s="1900"/>
      <c r="E839" s="1895"/>
      <c r="F839" s="1896"/>
      <c r="G839" s="1897"/>
      <c r="H839" s="90"/>
      <c r="I839" s="90"/>
      <c r="J839" s="90"/>
      <c r="K839" s="90"/>
      <c r="L839" s="1901"/>
      <c r="M839" s="643"/>
      <c r="N839" s="643"/>
      <c r="O839" s="658"/>
      <c r="P839" s="658"/>
      <c r="Q839" s="1899"/>
      <c r="R839" s="430"/>
      <c r="S839" s="430"/>
      <c r="T839" s="430"/>
      <c r="U839" s="430"/>
      <c r="V839" s="430"/>
      <c r="W839" s="90"/>
      <c r="X839" s="90"/>
      <c r="Y839" s="90"/>
    </row>
    <row r="840" spans="3:25" ht="15.75" customHeight="1">
      <c r="C840" s="90"/>
      <c r="D840" s="1900"/>
      <c r="E840" s="1895"/>
      <c r="F840" s="1896"/>
      <c r="G840" s="1897"/>
      <c r="H840" s="90"/>
      <c r="I840" s="90"/>
      <c r="J840" s="90"/>
      <c r="K840" s="90"/>
      <c r="L840" s="1901"/>
      <c r="M840" s="643"/>
      <c r="N840" s="643"/>
      <c r="O840" s="658"/>
      <c r="P840" s="658"/>
      <c r="Q840" s="1899"/>
      <c r="R840" s="430"/>
      <c r="S840" s="430"/>
      <c r="T840" s="430"/>
      <c r="U840" s="430"/>
      <c r="V840" s="430"/>
      <c r="W840" s="90"/>
      <c r="X840" s="90"/>
      <c r="Y840" s="90"/>
    </row>
    <row r="841" spans="3:25" ht="15.75" customHeight="1">
      <c r="C841" s="90"/>
      <c r="D841" s="1900"/>
      <c r="E841" s="1895"/>
      <c r="F841" s="1896"/>
      <c r="G841" s="1897"/>
      <c r="H841" s="90"/>
      <c r="I841" s="90"/>
      <c r="J841" s="90"/>
      <c r="K841" s="90"/>
      <c r="L841" s="1901"/>
      <c r="M841" s="643"/>
      <c r="N841" s="643"/>
      <c r="O841" s="658"/>
      <c r="P841" s="658"/>
      <c r="Q841" s="1899"/>
      <c r="R841" s="430"/>
      <c r="S841" s="430"/>
      <c r="T841" s="430"/>
      <c r="U841" s="430"/>
      <c r="V841" s="430"/>
      <c r="W841" s="90"/>
      <c r="X841" s="90"/>
      <c r="Y841" s="90"/>
    </row>
    <row r="842" spans="3:25" ht="15.75" customHeight="1">
      <c r="C842" s="90"/>
      <c r="D842" s="1900"/>
      <c r="E842" s="1895"/>
      <c r="F842" s="1896"/>
      <c r="G842" s="1897"/>
      <c r="H842" s="90"/>
      <c r="I842" s="90"/>
      <c r="J842" s="90"/>
      <c r="K842" s="90"/>
      <c r="L842" s="1901"/>
      <c r="M842" s="643"/>
      <c r="N842" s="643"/>
      <c r="O842" s="658"/>
      <c r="P842" s="658"/>
      <c r="Q842" s="1899"/>
      <c r="R842" s="430"/>
      <c r="S842" s="430"/>
      <c r="T842" s="430"/>
      <c r="U842" s="430"/>
      <c r="V842" s="430"/>
      <c r="W842" s="90"/>
      <c r="X842" s="90"/>
      <c r="Y842" s="90"/>
    </row>
    <row r="843" spans="3:25" ht="15.75" customHeight="1">
      <c r="C843" s="90"/>
      <c r="D843" s="1900"/>
      <c r="E843" s="1895"/>
      <c r="F843" s="1896"/>
      <c r="G843" s="1897"/>
      <c r="H843" s="90"/>
      <c r="I843" s="90"/>
      <c r="J843" s="90"/>
      <c r="K843" s="90"/>
      <c r="L843" s="1901"/>
      <c r="M843" s="643"/>
      <c r="N843" s="643"/>
      <c r="O843" s="658"/>
      <c r="P843" s="658"/>
      <c r="Q843" s="1899"/>
      <c r="R843" s="430"/>
      <c r="S843" s="430"/>
      <c r="T843" s="430"/>
      <c r="U843" s="430"/>
      <c r="V843" s="430"/>
      <c r="W843" s="90"/>
      <c r="X843" s="90"/>
      <c r="Y843" s="90"/>
    </row>
    <row r="844" spans="3:25" ht="15.75" customHeight="1">
      <c r="C844" s="90"/>
      <c r="D844" s="1900"/>
      <c r="E844" s="1895"/>
      <c r="F844" s="1896"/>
      <c r="G844" s="1897"/>
      <c r="H844" s="90"/>
      <c r="I844" s="90"/>
      <c r="J844" s="90"/>
      <c r="K844" s="90"/>
      <c r="L844" s="1901"/>
      <c r="M844" s="643"/>
      <c r="N844" s="643"/>
      <c r="O844" s="658"/>
      <c r="P844" s="658"/>
      <c r="Q844" s="1899"/>
      <c r="R844" s="430"/>
      <c r="S844" s="430"/>
      <c r="T844" s="430"/>
      <c r="U844" s="430"/>
      <c r="V844" s="430"/>
      <c r="W844" s="90"/>
      <c r="X844" s="90"/>
      <c r="Y844" s="90"/>
    </row>
    <row r="845" spans="3:25" ht="15.75" customHeight="1">
      <c r="C845" s="90"/>
      <c r="D845" s="1900"/>
      <c r="E845" s="1895"/>
      <c r="F845" s="1896"/>
      <c r="G845" s="1897"/>
      <c r="H845" s="90"/>
      <c r="I845" s="90"/>
      <c r="J845" s="90"/>
      <c r="K845" s="90"/>
      <c r="L845" s="1901"/>
      <c r="M845" s="643"/>
      <c r="N845" s="643"/>
      <c r="O845" s="658"/>
      <c r="P845" s="658"/>
      <c r="Q845" s="1899"/>
      <c r="R845" s="430"/>
      <c r="S845" s="430"/>
      <c r="T845" s="430"/>
      <c r="U845" s="430"/>
      <c r="V845" s="430"/>
      <c r="W845" s="90"/>
      <c r="X845" s="90"/>
      <c r="Y845" s="90"/>
    </row>
    <row r="846" spans="3:25" ht="15.75" customHeight="1">
      <c r="C846" s="90"/>
      <c r="D846" s="1900"/>
      <c r="E846" s="1895"/>
      <c r="F846" s="1896"/>
      <c r="G846" s="1897"/>
      <c r="H846" s="90"/>
      <c r="I846" s="90"/>
      <c r="J846" s="90"/>
      <c r="K846" s="90"/>
      <c r="L846" s="1901"/>
      <c r="M846" s="643"/>
      <c r="N846" s="643"/>
      <c r="O846" s="658"/>
      <c r="P846" s="658"/>
      <c r="Q846" s="1899"/>
      <c r="R846" s="430"/>
      <c r="S846" s="430"/>
      <c r="T846" s="430"/>
      <c r="U846" s="430"/>
      <c r="V846" s="430"/>
      <c r="W846" s="90"/>
      <c r="X846" s="90"/>
      <c r="Y846" s="90"/>
    </row>
    <row r="847" spans="3:25" ht="15.75" customHeight="1">
      <c r="C847" s="90"/>
      <c r="D847" s="1900"/>
      <c r="E847" s="1895"/>
      <c r="F847" s="1896"/>
      <c r="G847" s="1897"/>
      <c r="H847" s="90"/>
      <c r="I847" s="90"/>
      <c r="J847" s="90"/>
      <c r="K847" s="90"/>
      <c r="L847" s="1901"/>
      <c r="M847" s="643"/>
      <c r="N847" s="643"/>
      <c r="O847" s="658"/>
      <c r="P847" s="658"/>
      <c r="Q847" s="1899"/>
      <c r="R847" s="430"/>
      <c r="S847" s="430"/>
      <c r="T847" s="430"/>
      <c r="U847" s="430"/>
      <c r="V847" s="430"/>
      <c r="W847" s="90"/>
      <c r="X847" s="90"/>
      <c r="Y847" s="90"/>
    </row>
    <row r="848" spans="3:25" ht="15.75" customHeight="1">
      <c r="C848" s="90"/>
      <c r="D848" s="1900"/>
      <c r="E848" s="1895"/>
      <c r="F848" s="1896"/>
      <c r="G848" s="1897"/>
      <c r="H848" s="90"/>
      <c r="I848" s="90"/>
      <c r="J848" s="90"/>
      <c r="K848" s="90"/>
      <c r="L848" s="1901"/>
      <c r="M848" s="643"/>
      <c r="N848" s="643"/>
      <c r="O848" s="658"/>
      <c r="P848" s="658"/>
      <c r="Q848" s="1899"/>
      <c r="R848" s="430"/>
      <c r="S848" s="430"/>
      <c r="T848" s="430"/>
      <c r="U848" s="430"/>
      <c r="V848" s="430"/>
      <c r="W848" s="90"/>
      <c r="X848" s="90"/>
      <c r="Y848" s="90"/>
    </row>
    <row r="849" spans="3:25" ht="15.75" customHeight="1">
      <c r="C849" s="90"/>
      <c r="D849" s="1900"/>
      <c r="E849" s="1895"/>
      <c r="F849" s="1896"/>
      <c r="G849" s="1897"/>
      <c r="H849" s="90"/>
      <c r="I849" s="90"/>
      <c r="J849" s="90"/>
      <c r="K849" s="90"/>
      <c r="L849" s="1901"/>
      <c r="M849" s="643"/>
      <c r="N849" s="643"/>
      <c r="O849" s="658"/>
      <c r="P849" s="658"/>
      <c r="Q849" s="1899"/>
      <c r="R849" s="430"/>
      <c r="S849" s="430"/>
      <c r="T849" s="430"/>
      <c r="U849" s="430"/>
      <c r="V849" s="430"/>
      <c r="W849" s="90"/>
      <c r="X849" s="90"/>
      <c r="Y849" s="90"/>
    </row>
    <row r="850" spans="3:25" ht="15.75" customHeight="1">
      <c r="C850" s="90"/>
      <c r="D850" s="1900"/>
      <c r="E850" s="1895"/>
      <c r="F850" s="1896"/>
      <c r="G850" s="1897"/>
      <c r="H850" s="90"/>
      <c r="I850" s="90"/>
      <c r="J850" s="90"/>
      <c r="K850" s="90"/>
      <c r="L850" s="1901"/>
      <c r="M850" s="643"/>
      <c r="N850" s="643"/>
      <c r="O850" s="658"/>
      <c r="P850" s="658"/>
      <c r="Q850" s="1899"/>
      <c r="R850" s="430"/>
      <c r="S850" s="430"/>
      <c r="T850" s="430"/>
      <c r="U850" s="430"/>
      <c r="V850" s="430"/>
      <c r="W850" s="90"/>
      <c r="X850" s="90"/>
      <c r="Y850" s="90"/>
    </row>
    <row r="851" spans="3:25" ht="15.75" customHeight="1">
      <c r="C851" s="90"/>
      <c r="D851" s="1900"/>
      <c r="E851" s="1895"/>
      <c r="F851" s="1896"/>
      <c r="G851" s="1897"/>
      <c r="H851" s="90"/>
      <c r="I851" s="90"/>
      <c r="J851" s="90"/>
      <c r="K851" s="90"/>
      <c r="L851" s="1901"/>
      <c r="M851" s="643"/>
      <c r="N851" s="643"/>
      <c r="O851" s="658"/>
      <c r="P851" s="658"/>
      <c r="Q851" s="1899"/>
      <c r="R851" s="430"/>
      <c r="S851" s="430"/>
      <c r="T851" s="430"/>
      <c r="U851" s="430"/>
      <c r="V851" s="430"/>
      <c r="W851" s="90"/>
      <c r="X851" s="90"/>
      <c r="Y851" s="90"/>
    </row>
    <row r="852" spans="3:25" ht="15.75" customHeight="1">
      <c r="C852" s="90"/>
      <c r="D852" s="1900"/>
      <c r="E852" s="1895"/>
      <c r="F852" s="1896"/>
      <c r="G852" s="1897"/>
      <c r="H852" s="90"/>
      <c r="I852" s="90"/>
      <c r="J852" s="90"/>
      <c r="K852" s="90"/>
      <c r="L852" s="1901"/>
      <c r="M852" s="643"/>
      <c r="N852" s="643"/>
      <c r="O852" s="658"/>
      <c r="P852" s="658"/>
      <c r="Q852" s="1899"/>
      <c r="R852" s="430"/>
      <c r="S852" s="430"/>
      <c r="T852" s="430"/>
      <c r="U852" s="430"/>
      <c r="V852" s="430"/>
      <c r="W852" s="90"/>
      <c r="X852" s="90"/>
      <c r="Y852" s="90"/>
    </row>
    <row r="853" spans="3:25" ht="15.75" customHeight="1">
      <c r="C853" s="90"/>
      <c r="D853" s="1900"/>
      <c r="E853" s="1895"/>
      <c r="F853" s="1896"/>
      <c r="G853" s="1897"/>
      <c r="H853" s="90"/>
      <c r="I853" s="90"/>
      <c r="J853" s="90"/>
      <c r="K853" s="90"/>
      <c r="L853" s="1901"/>
      <c r="M853" s="643"/>
      <c r="N853" s="643"/>
      <c r="O853" s="658"/>
      <c r="P853" s="658"/>
      <c r="Q853" s="1899"/>
      <c r="R853" s="430"/>
      <c r="S853" s="430"/>
      <c r="T853" s="430"/>
      <c r="U853" s="430"/>
      <c r="V853" s="430"/>
      <c r="W853" s="90"/>
      <c r="X853" s="90"/>
      <c r="Y853" s="90"/>
    </row>
    <row r="854" spans="3:25" ht="15.75" customHeight="1">
      <c r="C854" s="90"/>
      <c r="D854" s="1900"/>
      <c r="E854" s="1895"/>
      <c r="F854" s="1896"/>
      <c r="G854" s="1897"/>
      <c r="H854" s="90"/>
      <c r="I854" s="90"/>
      <c r="J854" s="90"/>
      <c r="K854" s="90"/>
      <c r="L854" s="1901"/>
      <c r="M854" s="643"/>
      <c r="N854" s="643"/>
      <c r="O854" s="658"/>
      <c r="P854" s="658"/>
      <c r="Q854" s="1899"/>
      <c r="R854" s="430"/>
      <c r="S854" s="430"/>
      <c r="T854" s="430"/>
      <c r="U854" s="430"/>
      <c r="V854" s="430"/>
      <c r="W854" s="90"/>
      <c r="X854" s="90"/>
      <c r="Y854" s="90"/>
    </row>
    <row r="855" spans="3:25" ht="15.75" customHeight="1">
      <c r="C855" s="90"/>
      <c r="D855" s="1900"/>
      <c r="E855" s="1895"/>
      <c r="F855" s="1896"/>
      <c r="G855" s="1897"/>
      <c r="H855" s="90"/>
      <c r="I855" s="90"/>
      <c r="J855" s="90"/>
      <c r="K855" s="90"/>
      <c r="L855" s="1901"/>
      <c r="M855" s="643"/>
      <c r="N855" s="643"/>
      <c r="O855" s="658"/>
      <c r="P855" s="658"/>
      <c r="Q855" s="1899"/>
      <c r="R855" s="430"/>
      <c r="S855" s="430"/>
      <c r="T855" s="430"/>
      <c r="U855" s="430"/>
      <c r="V855" s="430"/>
      <c r="W855" s="90"/>
      <c r="X855" s="90"/>
      <c r="Y855" s="90"/>
    </row>
    <row r="856" spans="3:25" ht="15.75" customHeight="1">
      <c r="C856" s="90"/>
      <c r="D856" s="1900"/>
      <c r="E856" s="1895"/>
      <c r="F856" s="1896"/>
      <c r="G856" s="1897"/>
      <c r="H856" s="90"/>
      <c r="I856" s="90"/>
      <c r="J856" s="90"/>
      <c r="K856" s="90"/>
      <c r="L856" s="1901"/>
      <c r="M856" s="643"/>
      <c r="N856" s="643"/>
      <c r="O856" s="658"/>
      <c r="P856" s="658"/>
      <c r="Q856" s="1899"/>
      <c r="R856" s="430"/>
      <c r="S856" s="430"/>
      <c r="T856" s="430"/>
      <c r="U856" s="430"/>
      <c r="V856" s="430"/>
      <c r="W856" s="90"/>
      <c r="X856" s="90"/>
      <c r="Y856" s="90"/>
    </row>
    <row r="857" spans="3:25" ht="15.75" customHeight="1">
      <c r="C857" s="90"/>
      <c r="D857" s="1900"/>
      <c r="E857" s="1895"/>
      <c r="F857" s="1896"/>
      <c r="G857" s="1897"/>
      <c r="H857" s="90"/>
      <c r="I857" s="90"/>
      <c r="J857" s="90"/>
      <c r="K857" s="90"/>
      <c r="L857" s="1901"/>
      <c r="M857" s="643"/>
      <c r="N857" s="643"/>
      <c r="O857" s="658"/>
      <c r="P857" s="658"/>
      <c r="Q857" s="1899"/>
      <c r="R857" s="430"/>
      <c r="S857" s="430"/>
      <c r="T857" s="430"/>
      <c r="U857" s="430"/>
      <c r="V857" s="430"/>
      <c r="W857" s="90"/>
      <c r="X857" s="90"/>
      <c r="Y857" s="90"/>
    </row>
    <row r="858" spans="3:25" ht="15.75" customHeight="1">
      <c r="C858" s="90"/>
      <c r="D858" s="1900"/>
      <c r="E858" s="1895"/>
      <c r="F858" s="1896"/>
      <c r="G858" s="1897"/>
      <c r="H858" s="90"/>
      <c r="I858" s="90"/>
      <c r="J858" s="90"/>
      <c r="K858" s="90"/>
      <c r="L858" s="1901"/>
      <c r="M858" s="643"/>
      <c r="N858" s="643"/>
      <c r="O858" s="658"/>
      <c r="P858" s="658"/>
      <c r="Q858" s="1899"/>
      <c r="R858" s="430"/>
      <c r="S858" s="430"/>
      <c r="T858" s="430"/>
      <c r="U858" s="430"/>
      <c r="V858" s="430"/>
      <c r="W858" s="90"/>
      <c r="X858" s="90"/>
      <c r="Y858" s="90"/>
    </row>
    <row r="859" spans="3:25" ht="15.75" customHeight="1">
      <c r="C859" s="90"/>
      <c r="D859" s="1900"/>
      <c r="E859" s="1895"/>
      <c r="F859" s="1896"/>
      <c r="G859" s="1897"/>
      <c r="H859" s="90"/>
      <c r="I859" s="90"/>
      <c r="J859" s="90"/>
      <c r="K859" s="90"/>
      <c r="L859" s="1901"/>
      <c r="M859" s="643"/>
      <c r="N859" s="643"/>
      <c r="O859" s="658"/>
      <c r="P859" s="658"/>
      <c r="Q859" s="1899"/>
      <c r="R859" s="430"/>
      <c r="S859" s="430"/>
      <c r="T859" s="430"/>
      <c r="U859" s="430"/>
      <c r="V859" s="430"/>
      <c r="W859" s="90"/>
      <c r="X859" s="90"/>
      <c r="Y859" s="90"/>
    </row>
    <row r="860" spans="3:25" ht="15.75" customHeight="1">
      <c r="C860" s="90"/>
      <c r="D860" s="1900"/>
      <c r="E860" s="1895"/>
      <c r="F860" s="1896"/>
      <c r="G860" s="1897"/>
      <c r="H860" s="90"/>
      <c r="I860" s="90"/>
      <c r="J860" s="90"/>
      <c r="K860" s="90"/>
      <c r="L860" s="1901"/>
      <c r="M860" s="643"/>
      <c r="N860" s="643"/>
      <c r="O860" s="658"/>
      <c r="P860" s="658"/>
      <c r="Q860" s="1899"/>
      <c r="R860" s="430"/>
      <c r="S860" s="430"/>
      <c r="T860" s="430"/>
      <c r="U860" s="430"/>
      <c r="V860" s="430"/>
      <c r="W860" s="90"/>
      <c r="X860" s="90"/>
      <c r="Y860" s="90"/>
    </row>
    <row r="861" spans="3:25" ht="15.75" customHeight="1">
      <c r="C861" s="90"/>
      <c r="D861" s="1900"/>
      <c r="E861" s="1895"/>
      <c r="F861" s="1896"/>
      <c r="G861" s="1897"/>
      <c r="H861" s="90"/>
      <c r="I861" s="90"/>
      <c r="J861" s="90"/>
      <c r="K861" s="90"/>
      <c r="L861" s="1901"/>
      <c r="M861" s="643"/>
      <c r="N861" s="643"/>
      <c r="O861" s="658"/>
      <c r="P861" s="658"/>
      <c r="Q861" s="1899"/>
      <c r="R861" s="430"/>
      <c r="S861" s="430"/>
      <c r="T861" s="430"/>
      <c r="U861" s="430"/>
      <c r="V861" s="430"/>
      <c r="W861" s="90"/>
      <c r="X861" s="90"/>
      <c r="Y861" s="90"/>
    </row>
    <row r="862" spans="3:25" ht="15.75" customHeight="1">
      <c r="C862" s="90"/>
      <c r="D862" s="1900"/>
      <c r="E862" s="1895"/>
      <c r="F862" s="1896"/>
      <c r="G862" s="1897"/>
      <c r="H862" s="90"/>
      <c r="I862" s="90"/>
      <c r="J862" s="90"/>
      <c r="K862" s="90"/>
      <c r="L862" s="1901"/>
      <c r="M862" s="643"/>
      <c r="N862" s="643"/>
      <c r="O862" s="658"/>
      <c r="P862" s="658"/>
      <c r="Q862" s="1899"/>
      <c r="R862" s="430"/>
      <c r="S862" s="430"/>
      <c r="T862" s="430"/>
      <c r="U862" s="430"/>
      <c r="V862" s="430"/>
      <c r="W862" s="90"/>
      <c r="X862" s="90"/>
      <c r="Y862" s="90"/>
    </row>
    <row r="863" spans="3:25" ht="15.75" customHeight="1">
      <c r="C863" s="90"/>
      <c r="D863" s="1900"/>
      <c r="E863" s="1895"/>
      <c r="F863" s="1896"/>
      <c r="G863" s="1897"/>
      <c r="H863" s="90"/>
      <c r="I863" s="90"/>
      <c r="J863" s="90"/>
      <c r="K863" s="90"/>
      <c r="L863" s="1901"/>
      <c r="M863" s="643"/>
      <c r="N863" s="643"/>
      <c r="O863" s="658"/>
      <c r="P863" s="658"/>
      <c r="Q863" s="1899"/>
      <c r="R863" s="430"/>
      <c r="S863" s="430"/>
      <c r="T863" s="430"/>
      <c r="U863" s="430"/>
      <c r="V863" s="430"/>
      <c r="W863" s="90"/>
      <c r="X863" s="90"/>
      <c r="Y863" s="90"/>
    </row>
    <row r="864" spans="3:25" ht="15.75" customHeight="1">
      <c r="C864" s="90"/>
      <c r="D864" s="1900"/>
      <c r="E864" s="1895"/>
      <c r="F864" s="1896"/>
      <c r="G864" s="1897"/>
      <c r="H864" s="90"/>
      <c r="I864" s="90"/>
      <c r="J864" s="90"/>
      <c r="K864" s="90"/>
      <c r="L864" s="1901"/>
      <c r="M864" s="643"/>
      <c r="N864" s="643"/>
      <c r="O864" s="658"/>
      <c r="P864" s="658"/>
      <c r="Q864" s="1899"/>
      <c r="R864" s="430"/>
      <c r="S864" s="430"/>
      <c r="T864" s="430"/>
      <c r="U864" s="430"/>
      <c r="V864" s="430"/>
      <c r="W864" s="90"/>
      <c r="X864" s="90"/>
      <c r="Y864" s="90"/>
    </row>
    <row r="865" spans="3:25" ht="15.75" customHeight="1">
      <c r="C865" s="90"/>
      <c r="D865" s="1900"/>
      <c r="E865" s="1895"/>
      <c r="F865" s="1896"/>
      <c r="G865" s="1897"/>
      <c r="H865" s="90"/>
      <c r="I865" s="90"/>
      <c r="J865" s="90"/>
      <c r="K865" s="90"/>
      <c r="L865" s="1901"/>
      <c r="M865" s="643"/>
      <c r="N865" s="643"/>
      <c r="O865" s="658"/>
      <c r="P865" s="658"/>
      <c r="Q865" s="1899"/>
      <c r="R865" s="430"/>
      <c r="S865" s="430"/>
      <c r="T865" s="430"/>
      <c r="U865" s="430"/>
      <c r="V865" s="430"/>
      <c r="W865" s="90"/>
      <c r="X865" s="90"/>
      <c r="Y865" s="90"/>
    </row>
    <row r="866" spans="3:25" ht="15.75" customHeight="1">
      <c r="C866" s="90"/>
      <c r="D866" s="1900"/>
      <c r="E866" s="1895"/>
      <c r="F866" s="1896"/>
      <c r="G866" s="1897"/>
      <c r="H866" s="90"/>
      <c r="I866" s="90"/>
      <c r="J866" s="90"/>
      <c r="K866" s="90"/>
      <c r="L866" s="1901"/>
      <c r="M866" s="643"/>
      <c r="N866" s="643"/>
      <c r="O866" s="658"/>
      <c r="P866" s="658"/>
      <c r="Q866" s="1899"/>
      <c r="R866" s="430"/>
      <c r="S866" s="430"/>
      <c r="T866" s="430"/>
      <c r="U866" s="430"/>
      <c r="V866" s="430"/>
      <c r="W866" s="90"/>
      <c r="X866" s="90"/>
      <c r="Y866" s="90"/>
    </row>
    <row r="867" spans="3:25" ht="15.75" customHeight="1">
      <c r="C867" s="90"/>
      <c r="D867" s="1900"/>
      <c r="E867" s="1895"/>
      <c r="F867" s="1896"/>
      <c r="G867" s="1897"/>
      <c r="H867" s="90"/>
      <c r="I867" s="90"/>
      <c r="J867" s="90"/>
      <c r="K867" s="90"/>
      <c r="L867" s="1901"/>
      <c r="M867" s="643"/>
      <c r="N867" s="643"/>
      <c r="O867" s="658"/>
      <c r="P867" s="658"/>
      <c r="Q867" s="1899"/>
      <c r="R867" s="430"/>
      <c r="S867" s="430"/>
      <c r="T867" s="430"/>
      <c r="U867" s="430"/>
      <c r="V867" s="430"/>
      <c r="W867" s="90"/>
      <c r="X867" s="90"/>
      <c r="Y867" s="90"/>
    </row>
    <row r="868" spans="3:25" ht="15.75" customHeight="1">
      <c r="C868" s="90"/>
      <c r="D868" s="1900"/>
      <c r="E868" s="1895"/>
      <c r="F868" s="1896"/>
      <c r="G868" s="1897"/>
      <c r="H868" s="90"/>
      <c r="I868" s="90"/>
      <c r="J868" s="90"/>
      <c r="K868" s="90"/>
      <c r="L868" s="1901"/>
      <c r="M868" s="643"/>
      <c r="N868" s="643"/>
      <c r="O868" s="658"/>
      <c r="P868" s="658"/>
      <c r="Q868" s="1899"/>
      <c r="R868" s="430"/>
      <c r="S868" s="430"/>
      <c r="T868" s="430"/>
      <c r="U868" s="430"/>
      <c r="V868" s="430"/>
      <c r="W868" s="90"/>
      <c r="X868" s="90"/>
      <c r="Y868" s="90"/>
    </row>
    <row r="869" spans="3:25" ht="15.75" customHeight="1">
      <c r="C869" s="90"/>
      <c r="D869" s="1900"/>
      <c r="E869" s="1895"/>
      <c r="F869" s="1896"/>
      <c r="G869" s="1897"/>
      <c r="H869" s="90"/>
      <c r="I869" s="90"/>
      <c r="J869" s="90"/>
      <c r="K869" s="90"/>
      <c r="L869" s="1901"/>
      <c r="M869" s="643"/>
      <c r="N869" s="643"/>
      <c r="O869" s="658"/>
      <c r="P869" s="658"/>
      <c r="Q869" s="1899"/>
      <c r="R869" s="430"/>
      <c r="S869" s="430"/>
      <c r="T869" s="430"/>
      <c r="U869" s="430"/>
      <c r="V869" s="430"/>
      <c r="W869" s="90"/>
      <c r="X869" s="90"/>
      <c r="Y869" s="90"/>
    </row>
    <row r="870" spans="3:25" ht="15.75" customHeight="1">
      <c r="C870" s="90"/>
      <c r="D870" s="1900"/>
      <c r="E870" s="1895"/>
      <c r="F870" s="1896"/>
      <c r="G870" s="1897"/>
      <c r="H870" s="90"/>
      <c r="I870" s="90"/>
      <c r="J870" s="90"/>
      <c r="K870" s="90"/>
      <c r="L870" s="1901"/>
      <c r="M870" s="643"/>
      <c r="N870" s="643"/>
      <c r="O870" s="658"/>
      <c r="P870" s="658"/>
      <c r="Q870" s="1899"/>
      <c r="R870" s="430"/>
      <c r="S870" s="430"/>
      <c r="T870" s="430"/>
      <c r="U870" s="430"/>
      <c r="V870" s="430"/>
      <c r="W870" s="90"/>
      <c r="X870" s="90"/>
      <c r="Y870" s="90"/>
    </row>
    <row r="871" spans="3:25" ht="15.75" customHeight="1">
      <c r="C871" s="90"/>
      <c r="D871" s="1900"/>
      <c r="E871" s="1895"/>
      <c r="F871" s="1896"/>
      <c r="G871" s="1897"/>
      <c r="H871" s="90"/>
      <c r="I871" s="90"/>
      <c r="J871" s="90"/>
      <c r="K871" s="90"/>
      <c r="L871" s="1901"/>
      <c r="M871" s="643"/>
      <c r="N871" s="643"/>
      <c r="O871" s="658"/>
      <c r="P871" s="658"/>
      <c r="Q871" s="1899"/>
      <c r="R871" s="430"/>
      <c r="S871" s="430"/>
      <c r="T871" s="430"/>
      <c r="U871" s="430"/>
      <c r="V871" s="430"/>
      <c r="W871" s="90"/>
      <c r="X871" s="90"/>
      <c r="Y871" s="90"/>
    </row>
    <row r="872" spans="3:25" ht="15.75" customHeight="1">
      <c r="C872" s="90"/>
      <c r="D872" s="1900"/>
      <c r="E872" s="1895"/>
      <c r="F872" s="1896"/>
      <c r="G872" s="1897"/>
      <c r="H872" s="90"/>
      <c r="I872" s="90"/>
      <c r="J872" s="90"/>
      <c r="K872" s="90"/>
      <c r="L872" s="1901"/>
      <c r="M872" s="643"/>
      <c r="N872" s="643"/>
      <c r="O872" s="658"/>
      <c r="P872" s="658"/>
      <c r="Q872" s="1899"/>
      <c r="R872" s="430"/>
      <c r="S872" s="430"/>
      <c r="T872" s="430"/>
      <c r="U872" s="430"/>
      <c r="V872" s="430"/>
      <c r="W872" s="90"/>
      <c r="X872" s="90"/>
      <c r="Y872" s="90"/>
    </row>
    <row r="873" spans="3:25" ht="15.75" customHeight="1">
      <c r="C873" s="90"/>
      <c r="D873" s="1900"/>
      <c r="E873" s="1895"/>
      <c r="F873" s="1896"/>
      <c r="G873" s="1897"/>
      <c r="H873" s="90"/>
      <c r="I873" s="90"/>
      <c r="J873" s="90"/>
      <c r="K873" s="90"/>
      <c r="L873" s="1901"/>
      <c r="M873" s="643"/>
      <c r="N873" s="643"/>
      <c r="O873" s="658"/>
      <c r="P873" s="658"/>
      <c r="Q873" s="1899"/>
      <c r="R873" s="430"/>
      <c r="S873" s="430"/>
      <c r="T873" s="430"/>
      <c r="U873" s="430"/>
      <c r="V873" s="430"/>
      <c r="W873" s="90"/>
      <c r="X873" s="90"/>
      <c r="Y873" s="90"/>
    </row>
    <row r="874" spans="3:25" ht="15.75" customHeight="1">
      <c r="C874" s="90"/>
      <c r="D874" s="1900"/>
      <c r="E874" s="1895"/>
      <c r="F874" s="1896"/>
      <c r="G874" s="1897"/>
      <c r="H874" s="90"/>
      <c r="I874" s="90"/>
      <c r="J874" s="90"/>
      <c r="K874" s="90"/>
      <c r="L874" s="1901"/>
      <c r="M874" s="643"/>
      <c r="N874" s="643"/>
      <c r="O874" s="658"/>
      <c r="P874" s="658"/>
      <c r="Q874" s="1899"/>
      <c r="R874" s="430"/>
      <c r="S874" s="430"/>
      <c r="T874" s="430"/>
      <c r="U874" s="430"/>
      <c r="V874" s="430"/>
      <c r="W874" s="90"/>
      <c r="X874" s="90"/>
      <c r="Y874" s="90"/>
    </row>
    <row r="875" spans="3:25" ht="15.75" customHeight="1">
      <c r="C875" s="90"/>
      <c r="D875" s="1900"/>
      <c r="E875" s="1895"/>
      <c r="F875" s="1896"/>
      <c r="G875" s="1897"/>
      <c r="H875" s="90"/>
      <c r="I875" s="90"/>
      <c r="J875" s="90"/>
      <c r="K875" s="90"/>
      <c r="L875" s="1901"/>
      <c r="M875" s="643"/>
      <c r="N875" s="643"/>
      <c r="O875" s="658"/>
      <c r="P875" s="658"/>
      <c r="Q875" s="1899"/>
      <c r="R875" s="430"/>
      <c r="S875" s="430"/>
      <c r="T875" s="430"/>
      <c r="U875" s="430"/>
      <c r="V875" s="430"/>
      <c r="W875" s="90"/>
      <c r="X875" s="90"/>
      <c r="Y875" s="90"/>
    </row>
    <row r="876" spans="3:25" ht="15.75" customHeight="1">
      <c r="C876" s="90"/>
      <c r="D876" s="1900"/>
      <c r="E876" s="1895"/>
      <c r="F876" s="1896"/>
      <c r="G876" s="1897"/>
      <c r="H876" s="90"/>
      <c r="I876" s="90"/>
      <c r="J876" s="90"/>
      <c r="K876" s="90"/>
      <c r="L876" s="1901"/>
      <c r="M876" s="643"/>
      <c r="N876" s="643"/>
      <c r="O876" s="658"/>
      <c r="P876" s="658"/>
      <c r="Q876" s="1899"/>
      <c r="R876" s="430"/>
      <c r="S876" s="430"/>
      <c r="T876" s="430"/>
      <c r="U876" s="430"/>
      <c r="V876" s="430"/>
      <c r="W876" s="90"/>
      <c r="X876" s="90"/>
      <c r="Y876" s="90"/>
    </row>
    <row r="877" spans="3:25" ht="15.75" customHeight="1">
      <c r="C877" s="90"/>
      <c r="D877" s="1900"/>
      <c r="E877" s="1895"/>
      <c r="F877" s="1896"/>
      <c r="G877" s="1897"/>
      <c r="H877" s="90"/>
      <c r="I877" s="90"/>
      <c r="J877" s="90"/>
      <c r="K877" s="90"/>
      <c r="L877" s="1901"/>
      <c r="M877" s="643"/>
      <c r="N877" s="643"/>
      <c r="O877" s="658"/>
      <c r="P877" s="658"/>
      <c r="Q877" s="1899"/>
      <c r="R877" s="430"/>
      <c r="S877" s="430"/>
      <c r="T877" s="430"/>
      <c r="U877" s="430"/>
      <c r="V877" s="430"/>
      <c r="W877" s="90"/>
      <c r="X877" s="90"/>
      <c r="Y877" s="90"/>
    </row>
    <row r="878" spans="3:25" ht="15.75" customHeight="1">
      <c r="C878" s="90"/>
      <c r="D878" s="1900"/>
      <c r="E878" s="1895"/>
      <c r="F878" s="1896"/>
      <c r="G878" s="1897"/>
      <c r="H878" s="90"/>
      <c r="I878" s="90"/>
      <c r="J878" s="90"/>
      <c r="K878" s="90"/>
      <c r="L878" s="1901"/>
      <c r="M878" s="643"/>
      <c r="N878" s="643"/>
      <c r="O878" s="658"/>
      <c r="P878" s="658"/>
      <c r="Q878" s="1899"/>
      <c r="R878" s="430"/>
      <c r="S878" s="430"/>
      <c r="T878" s="430"/>
      <c r="U878" s="430"/>
      <c r="V878" s="430"/>
      <c r="W878" s="90"/>
      <c r="X878" s="90"/>
      <c r="Y878" s="90"/>
    </row>
    <row r="879" spans="3:25" ht="15.75" customHeight="1">
      <c r="C879" s="90"/>
      <c r="D879" s="1900"/>
      <c r="E879" s="1895"/>
      <c r="F879" s="1896"/>
      <c r="G879" s="1897"/>
      <c r="H879" s="90"/>
      <c r="I879" s="90"/>
      <c r="J879" s="90"/>
      <c r="K879" s="90"/>
      <c r="L879" s="1901"/>
      <c r="M879" s="643"/>
      <c r="N879" s="643"/>
      <c r="O879" s="658"/>
      <c r="P879" s="658"/>
      <c r="Q879" s="1899"/>
      <c r="R879" s="430"/>
      <c r="S879" s="430"/>
      <c r="T879" s="430"/>
      <c r="U879" s="430"/>
      <c r="V879" s="430"/>
      <c r="W879" s="90"/>
      <c r="X879" s="90"/>
      <c r="Y879" s="90"/>
    </row>
    <row r="880" spans="3:25" ht="15.75" customHeight="1">
      <c r="C880" s="90"/>
      <c r="D880" s="1900"/>
      <c r="E880" s="1895"/>
      <c r="F880" s="1896"/>
      <c r="G880" s="1897"/>
      <c r="H880" s="90"/>
      <c r="I880" s="90"/>
      <c r="J880" s="90"/>
      <c r="K880" s="90"/>
      <c r="L880" s="1901"/>
      <c r="M880" s="643"/>
      <c r="N880" s="643"/>
      <c r="O880" s="658"/>
      <c r="P880" s="658"/>
      <c r="Q880" s="1899"/>
      <c r="R880" s="430"/>
      <c r="S880" s="430"/>
      <c r="T880" s="430"/>
      <c r="U880" s="430"/>
      <c r="V880" s="430"/>
      <c r="W880" s="90"/>
      <c r="X880" s="90"/>
      <c r="Y880" s="90"/>
    </row>
    <row r="881" spans="3:25" ht="15.75" customHeight="1">
      <c r="C881" s="90"/>
      <c r="D881" s="1900"/>
      <c r="E881" s="1895"/>
      <c r="F881" s="1896"/>
      <c r="G881" s="1897"/>
      <c r="H881" s="90"/>
      <c r="I881" s="90"/>
      <c r="J881" s="90"/>
      <c r="K881" s="90"/>
      <c r="L881" s="1901"/>
      <c r="M881" s="643"/>
      <c r="N881" s="643"/>
      <c r="O881" s="658"/>
      <c r="P881" s="658"/>
      <c r="Q881" s="1899"/>
      <c r="R881" s="430"/>
      <c r="S881" s="430"/>
      <c r="T881" s="430"/>
      <c r="U881" s="430"/>
      <c r="V881" s="430"/>
      <c r="W881" s="90"/>
      <c r="X881" s="90"/>
      <c r="Y881" s="90"/>
    </row>
    <row r="882" spans="3:25" ht="15.75" customHeight="1">
      <c r="C882" s="90"/>
      <c r="D882" s="1900"/>
      <c r="E882" s="1895"/>
      <c r="F882" s="1896"/>
      <c r="G882" s="1897"/>
      <c r="H882" s="90"/>
      <c r="I882" s="90"/>
      <c r="J882" s="90"/>
      <c r="K882" s="90"/>
      <c r="L882" s="1901"/>
      <c r="M882" s="643"/>
      <c r="N882" s="643"/>
      <c r="O882" s="658"/>
      <c r="P882" s="658"/>
      <c r="Q882" s="1899"/>
      <c r="R882" s="430"/>
      <c r="S882" s="430"/>
      <c r="T882" s="430"/>
      <c r="U882" s="430"/>
      <c r="V882" s="430"/>
      <c r="W882" s="90"/>
      <c r="X882" s="90"/>
      <c r="Y882" s="90"/>
    </row>
    <row r="883" spans="3:25" ht="15.75" customHeight="1">
      <c r="C883" s="90"/>
      <c r="D883" s="1900"/>
      <c r="E883" s="1895"/>
      <c r="F883" s="1896"/>
      <c r="G883" s="1897"/>
      <c r="H883" s="90"/>
      <c r="I883" s="90"/>
      <c r="J883" s="90"/>
      <c r="K883" s="90"/>
      <c r="L883" s="1901"/>
      <c r="M883" s="643"/>
      <c r="N883" s="643"/>
      <c r="O883" s="658"/>
      <c r="P883" s="658"/>
      <c r="Q883" s="1899"/>
      <c r="R883" s="430"/>
      <c r="S883" s="430"/>
      <c r="T883" s="430"/>
      <c r="U883" s="430"/>
      <c r="V883" s="430"/>
      <c r="W883" s="90"/>
      <c r="X883" s="90"/>
      <c r="Y883" s="90"/>
    </row>
    <row r="884" spans="3:25" ht="15.75" customHeight="1">
      <c r="C884" s="90"/>
      <c r="D884" s="1900"/>
      <c r="E884" s="1895"/>
      <c r="F884" s="1896"/>
      <c r="G884" s="1897"/>
      <c r="H884" s="90"/>
      <c r="I884" s="90"/>
      <c r="J884" s="90"/>
      <c r="K884" s="90"/>
      <c r="L884" s="1901"/>
      <c r="M884" s="643"/>
      <c r="N884" s="643"/>
      <c r="O884" s="658"/>
      <c r="P884" s="658"/>
      <c r="Q884" s="1899"/>
      <c r="R884" s="430"/>
      <c r="S884" s="430"/>
      <c r="T884" s="430"/>
      <c r="U884" s="430"/>
      <c r="V884" s="430"/>
      <c r="W884" s="90"/>
      <c r="X884" s="90"/>
      <c r="Y884" s="90"/>
    </row>
    <row r="885" spans="3:25" ht="15.75" customHeight="1">
      <c r="C885" s="90"/>
      <c r="D885" s="1900"/>
      <c r="E885" s="1895"/>
      <c r="F885" s="1896"/>
      <c r="G885" s="1897"/>
      <c r="H885" s="90"/>
      <c r="I885" s="90"/>
      <c r="J885" s="90"/>
      <c r="K885" s="90"/>
      <c r="L885" s="1901"/>
      <c r="M885" s="643"/>
      <c r="N885" s="643"/>
      <c r="O885" s="658"/>
      <c r="P885" s="658"/>
      <c r="Q885" s="1899"/>
      <c r="R885" s="430"/>
      <c r="S885" s="430"/>
      <c r="T885" s="430"/>
      <c r="U885" s="430"/>
      <c r="V885" s="430"/>
      <c r="W885" s="90"/>
      <c r="X885" s="90"/>
      <c r="Y885" s="90"/>
    </row>
    <row r="886" spans="3:25" ht="15.75" customHeight="1">
      <c r="C886" s="90"/>
      <c r="D886" s="1900"/>
      <c r="E886" s="1895"/>
      <c r="F886" s="1896"/>
      <c r="G886" s="1897"/>
      <c r="H886" s="90"/>
      <c r="I886" s="90"/>
      <c r="J886" s="90"/>
      <c r="K886" s="90"/>
      <c r="L886" s="1901"/>
      <c r="M886" s="643"/>
      <c r="N886" s="643"/>
      <c r="O886" s="658"/>
      <c r="P886" s="658"/>
      <c r="Q886" s="1899"/>
      <c r="R886" s="430"/>
      <c r="S886" s="430"/>
      <c r="T886" s="430"/>
      <c r="U886" s="430"/>
      <c r="V886" s="430"/>
      <c r="W886" s="90"/>
      <c r="X886" s="90"/>
      <c r="Y886" s="90"/>
    </row>
    <row r="887" spans="3:25" ht="15.75" customHeight="1">
      <c r="C887" s="90"/>
      <c r="D887" s="1900"/>
      <c r="E887" s="1895"/>
      <c r="F887" s="1896"/>
      <c r="G887" s="1897"/>
      <c r="H887" s="90"/>
      <c r="I887" s="90"/>
      <c r="J887" s="90"/>
      <c r="K887" s="90"/>
      <c r="L887" s="1901"/>
      <c r="M887" s="643"/>
      <c r="N887" s="643"/>
      <c r="O887" s="658"/>
      <c r="P887" s="658"/>
      <c r="Q887" s="1899"/>
      <c r="R887" s="430"/>
      <c r="S887" s="430"/>
      <c r="T887" s="430"/>
      <c r="U887" s="430"/>
      <c r="V887" s="430"/>
      <c r="W887" s="90"/>
      <c r="X887" s="90"/>
      <c r="Y887" s="90"/>
    </row>
    <row r="888" spans="3:25" ht="15.75" customHeight="1">
      <c r="C888" s="90"/>
      <c r="D888" s="1900"/>
      <c r="E888" s="1895"/>
      <c r="F888" s="1896"/>
      <c r="G888" s="1897"/>
      <c r="H888" s="90"/>
      <c r="I888" s="90"/>
      <c r="J888" s="90"/>
      <c r="K888" s="90"/>
      <c r="L888" s="1901"/>
      <c r="M888" s="643"/>
      <c r="N888" s="643"/>
      <c r="O888" s="658"/>
      <c r="P888" s="658"/>
      <c r="Q888" s="1899"/>
      <c r="R888" s="430"/>
      <c r="S888" s="430"/>
      <c r="T888" s="430"/>
      <c r="U888" s="430"/>
      <c r="V888" s="430"/>
      <c r="W888" s="90"/>
      <c r="X888" s="90"/>
      <c r="Y888" s="90"/>
    </row>
    <row r="889" spans="3:25" ht="15.75" customHeight="1">
      <c r="C889" s="90"/>
      <c r="D889" s="1900"/>
      <c r="E889" s="1895"/>
      <c r="F889" s="1896"/>
      <c r="G889" s="1897"/>
      <c r="H889" s="90"/>
      <c r="I889" s="90"/>
      <c r="J889" s="90"/>
      <c r="K889" s="90"/>
      <c r="L889" s="1901"/>
      <c r="M889" s="643"/>
      <c r="N889" s="643"/>
      <c r="O889" s="658"/>
      <c r="P889" s="658"/>
      <c r="Q889" s="1899"/>
      <c r="R889" s="430"/>
      <c r="S889" s="430"/>
      <c r="T889" s="430"/>
      <c r="U889" s="430"/>
      <c r="V889" s="430"/>
      <c r="W889" s="90"/>
      <c r="X889" s="90"/>
      <c r="Y889" s="90"/>
    </row>
    <row r="890" spans="3:25" ht="15.75" customHeight="1">
      <c r="C890" s="90"/>
      <c r="D890" s="1900"/>
      <c r="E890" s="1895"/>
      <c r="F890" s="1896"/>
      <c r="G890" s="1897"/>
      <c r="H890" s="90"/>
      <c r="I890" s="90"/>
      <c r="J890" s="90"/>
      <c r="K890" s="90"/>
      <c r="L890" s="1901"/>
      <c r="M890" s="643"/>
      <c r="N890" s="643"/>
      <c r="O890" s="658"/>
      <c r="P890" s="658"/>
      <c r="Q890" s="1899"/>
      <c r="R890" s="430"/>
      <c r="S890" s="430"/>
      <c r="T890" s="430"/>
      <c r="U890" s="430"/>
      <c r="V890" s="430"/>
      <c r="W890" s="90"/>
      <c r="X890" s="90"/>
      <c r="Y890" s="90"/>
    </row>
    <row r="891" spans="3:25" ht="15.75" customHeight="1">
      <c r="C891" s="90"/>
      <c r="D891" s="1900"/>
      <c r="E891" s="1895"/>
      <c r="F891" s="1896"/>
      <c r="G891" s="1897"/>
      <c r="H891" s="90"/>
      <c r="I891" s="90"/>
      <c r="J891" s="90"/>
      <c r="K891" s="90"/>
      <c r="L891" s="1901"/>
      <c r="M891" s="643"/>
      <c r="N891" s="643"/>
      <c r="O891" s="658"/>
      <c r="P891" s="658"/>
      <c r="Q891" s="1899"/>
      <c r="R891" s="430"/>
      <c r="S891" s="430"/>
      <c r="T891" s="430"/>
      <c r="U891" s="430"/>
      <c r="V891" s="430"/>
      <c r="W891" s="90"/>
      <c r="X891" s="90"/>
      <c r="Y891" s="90"/>
    </row>
    <row r="892" spans="3:25" ht="15.75" customHeight="1">
      <c r="C892" s="90"/>
      <c r="D892" s="1900"/>
      <c r="E892" s="1895"/>
      <c r="F892" s="1896"/>
      <c r="G892" s="1897"/>
      <c r="H892" s="90"/>
      <c r="I892" s="90"/>
      <c r="J892" s="90"/>
      <c r="K892" s="90"/>
      <c r="L892" s="1901"/>
      <c r="M892" s="643"/>
      <c r="N892" s="643"/>
      <c r="O892" s="658"/>
      <c r="P892" s="658"/>
      <c r="Q892" s="1899"/>
      <c r="R892" s="430"/>
      <c r="S892" s="430"/>
      <c r="T892" s="430"/>
      <c r="U892" s="430"/>
      <c r="V892" s="430"/>
      <c r="W892" s="90"/>
      <c r="X892" s="90"/>
      <c r="Y892" s="90"/>
    </row>
    <row r="893" spans="3:25" ht="15.75" customHeight="1">
      <c r="C893" s="90"/>
      <c r="D893" s="1900"/>
      <c r="E893" s="1895"/>
      <c r="F893" s="1896"/>
      <c r="G893" s="1897"/>
      <c r="H893" s="90"/>
      <c r="I893" s="90"/>
      <c r="J893" s="90"/>
      <c r="K893" s="90"/>
      <c r="L893" s="1901"/>
      <c r="M893" s="643"/>
      <c r="N893" s="643"/>
      <c r="O893" s="658"/>
      <c r="P893" s="658"/>
      <c r="Q893" s="1899"/>
      <c r="R893" s="430"/>
      <c r="S893" s="430"/>
      <c r="T893" s="430"/>
      <c r="U893" s="430"/>
      <c r="V893" s="430"/>
      <c r="W893" s="90"/>
      <c r="X893" s="90"/>
      <c r="Y893" s="90"/>
    </row>
    <row r="894" spans="3:25" ht="15.75" customHeight="1">
      <c r="C894" s="90"/>
      <c r="D894" s="1900"/>
      <c r="E894" s="1895"/>
      <c r="F894" s="1896"/>
      <c r="G894" s="1897"/>
      <c r="H894" s="90"/>
      <c r="I894" s="90"/>
      <c r="J894" s="90"/>
      <c r="K894" s="90"/>
      <c r="L894" s="1901"/>
      <c r="M894" s="643"/>
      <c r="N894" s="643"/>
      <c r="O894" s="658"/>
      <c r="P894" s="658"/>
      <c r="Q894" s="1899"/>
      <c r="R894" s="430"/>
      <c r="S894" s="430"/>
      <c r="T894" s="430"/>
      <c r="U894" s="430"/>
      <c r="V894" s="430"/>
      <c r="W894" s="90"/>
      <c r="X894" s="90"/>
      <c r="Y894" s="90"/>
    </row>
    <row r="895" spans="3:25" ht="15.75" customHeight="1">
      <c r="C895" s="90"/>
      <c r="D895" s="1900"/>
      <c r="E895" s="1895"/>
      <c r="F895" s="1896"/>
      <c r="G895" s="1897"/>
      <c r="H895" s="90"/>
      <c r="I895" s="90"/>
      <c r="J895" s="90"/>
      <c r="K895" s="90"/>
      <c r="L895" s="1901"/>
      <c r="M895" s="643"/>
      <c r="N895" s="643"/>
      <c r="O895" s="658"/>
      <c r="P895" s="658"/>
      <c r="Q895" s="1899"/>
      <c r="R895" s="430"/>
      <c r="S895" s="430"/>
      <c r="T895" s="430"/>
      <c r="U895" s="430"/>
      <c r="V895" s="430"/>
      <c r="W895" s="90"/>
      <c r="X895" s="90"/>
      <c r="Y895" s="90"/>
    </row>
    <row r="896" spans="3:25" ht="15.75" customHeight="1">
      <c r="C896" s="90"/>
      <c r="D896" s="1900"/>
      <c r="E896" s="1895"/>
      <c r="F896" s="1896"/>
      <c r="G896" s="1897"/>
      <c r="H896" s="90"/>
      <c r="I896" s="90"/>
      <c r="J896" s="90"/>
      <c r="K896" s="90"/>
      <c r="L896" s="1901"/>
      <c r="M896" s="643"/>
      <c r="N896" s="643"/>
      <c r="O896" s="658"/>
      <c r="P896" s="658"/>
      <c r="Q896" s="1899"/>
      <c r="R896" s="430"/>
      <c r="S896" s="430"/>
      <c r="T896" s="430"/>
      <c r="U896" s="430"/>
      <c r="V896" s="430"/>
      <c r="W896" s="90"/>
      <c r="X896" s="90"/>
      <c r="Y896" s="90"/>
    </row>
    <row r="897" spans="3:25" ht="15.75" customHeight="1">
      <c r="C897" s="90"/>
      <c r="D897" s="1900"/>
      <c r="E897" s="1895"/>
      <c r="F897" s="1896"/>
      <c r="G897" s="1897"/>
      <c r="H897" s="90"/>
      <c r="I897" s="90"/>
      <c r="J897" s="90"/>
      <c r="K897" s="90"/>
      <c r="L897" s="1901"/>
      <c r="M897" s="643"/>
      <c r="N897" s="643"/>
      <c r="O897" s="658"/>
      <c r="P897" s="658"/>
      <c r="Q897" s="1899"/>
      <c r="R897" s="430"/>
      <c r="S897" s="430"/>
      <c r="T897" s="430"/>
      <c r="U897" s="430"/>
      <c r="V897" s="430"/>
      <c r="W897" s="90"/>
      <c r="X897" s="90"/>
      <c r="Y897" s="90"/>
    </row>
    <row r="898" spans="3:25" ht="15.75" customHeight="1">
      <c r="C898" s="90"/>
      <c r="D898" s="1900"/>
      <c r="E898" s="1895"/>
      <c r="F898" s="1896"/>
      <c r="G898" s="1897"/>
      <c r="H898" s="90"/>
      <c r="I898" s="90"/>
      <c r="J898" s="90"/>
      <c r="K898" s="90"/>
      <c r="L898" s="1901"/>
      <c r="M898" s="643"/>
      <c r="N898" s="643"/>
      <c r="O898" s="658"/>
      <c r="P898" s="658"/>
      <c r="Q898" s="1899"/>
      <c r="R898" s="430"/>
      <c r="S898" s="430"/>
      <c r="T898" s="430"/>
      <c r="U898" s="430"/>
      <c r="V898" s="430"/>
      <c r="W898" s="90"/>
      <c r="X898" s="90"/>
      <c r="Y898" s="90"/>
    </row>
    <row r="899" spans="3:25" ht="15.75" customHeight="1">
      <c r="C899" s="90"/>
      <c r="D899" s="1900"/>
      <c r="E899" s="1895"/>
      <c r="F899" s="1896"/>
      <c r="G899" s="1897"/>
      <c r="H899" s="90"/>
      <c r="I899" s="90"/>
      <c r="J899" s="90"/>
      <c r="K899" s="90"/>
      <c r="L899" s="1901"/>
      <c r="M899" s="643"/>
      <c r="N899" s="643"/>
      <c r="O899" s="658"/>
      <c r="P899" s="658"/>
      <c r="Q899" s="1899"/>
      <c r="R899" s="430"/>
      <c r="S899" s="430"/>
      <c r="T899" s="430"/>
      <c r="U899" s="430"/>
      <c r="V899" s="430"/>
      <c r="W899" s="90"/>
      <c r="X899" s="90"/>
      <c r="Y899" s="90"/>
    </row>
    <row r="900" spans="3:25" ht="15.75" customHeight="1">
      <c r="C900" s="90"/>
      <c r="D900" s="1900"/>
      <c r="E900" s="1895"/>
      <c r="F900" s="1896"/>
      <c r="G900" s="1897"/>
      <c r="H900" s="90"/>
      <c r="I900" s="90"/>
      <c r="J900" s="90"/>
      <c r="K900" s="90"/>
      <c r="L900" s="1901"/>
      <c r="M900" s="643"/>
      <c r="N900" s="643"/>
      <c r="O900" s="658"/>
      <c r="P900" s="658"/>
      <c r="Q900" s="1899"/>
      <c r="R900" s="430"/>
      <c r="S900" s="430"/>
      <c r="T900" s="430"/>
      <c r="U900" s="430"/>
      <c r="V900" s="430"/>
      <c r="W900" s="90"/>
      <c r="X900" s="90"/>
      <c r="Y900" s="90"/>
    </row>
    <row r="901" spans="3:25" ht="15.75" customHeight="1">
      <c r="C901" s="90"/>
      <c r="D901" s="1900"/>
      <c r="E901" s="1895"/>
      <c r="F901" s="1896"/>
      <c r="G901" s="1897"/>
      <c r="H901" s="90"/>
      <c r="I901" s="90"/>
      <c r="J901" s="90"/>
      <c r="K901" s="90"/>
      <c r="L901" s="1901"/>
      <c r="M901" s="643"/>
      <c r="N901" s="643"/>
      <c r="O901" s="658"/>
      <c r="P901" s="658"/>
      <c r="Q901" s="1899"/>
      <c r="R901" s="430"/>
      <c r="S901" s="430"/>
      <c r="T901" s="430"/>
      <c r="U901" s="430"/>
      <c r="V901" s="430"/>
      <c r="W901" s="90"/>
      <c r="X901" s="90"/>
      <c r="Y901" s="90"/>
    </row>
    <row r="902" spans="3:25" ht="15.75" customHeight="1">
      <c r="C902" s="90"/>
      <c r="D902" s="1900"/>
      <c r="E902" s="1895"/>
      <c r="F902" s="1896"/>
      <c r="G902" s="1897"/>
      <c r="H902" s="90"/>
      <c r="I902" s="90"/>
      <c r="J902" s="90"/>
      <c r="K902" s="90"/>
      <c r="L902" s="1901"/>
      <c r="M902" s="643"/>
      <c r="N902" s="643"/>
      <c r="O902" s="658"/>
      <c r="P902" s="658"/>
      <c r="Q902" s="1899"/>
      <c r="R902" s="430"/>
      <c r="S902" s="430"/>
      <c r="T902" s="430"/>
      <c r="U902" s="430"/>
      <c r="V902" s="430"/>
      <c r="W902" s="90"/>
      <c r="X902" s="90"/>
      <c r="Y902" s="90"/>
    </row>
    <row r="903" spans="3:25" ht="15.75" customHeight="1">
      <c r="C903" s="90"/>
      <c r="D903" s="1900"/>
      <c r="E903" s="1895"/>
      <c r="F903" s="1896"/>
      <c r="G903" s="1897"/>
      <c r="H903" s="90"/>
      <c r="I903" s="90"/>
      <c r="J903" s="90"/>
      <c r="K903" s="90"/>
      <c r="L903" s="1901"/>
      <c r="M903" s="643"/>
      <c r="N903" s="643"/>
      <c r="O903" s="658"/>
      <c r="P903" s="658"/>
      <c r="Q903" s="1899"/>
      <c r="R903" s="430"/>
      <c r="S903" s="430"/>
      <c r="T903" s="430"/>
      <c r="U903" s="430"/>
      <c r="V903" s="430"/>
      <c r="W903" s="90"/>
      <c r="X903" s="90"/>
      <c r="Y903" s="90"/>
    </row>
    <row r="904" spans="3:25" ht="15.75" customHeight="1">
      <c r="C904" s="90"/>
      <c r="D904" s="1900"/>
      <c r="E904" s="1895"/>
      <c r="F904" s="1896"/>
      <c r="G904" s="1897"/>
      <c r="H904" s="90"/>
      <c r="I904" s="90"/>
      <c r="J904" s="90"/>
      <c r="K904" s="90"/>
      <c r="L904" s="1901"/>
      <c r="M904" s="643"/>
      <c r="N904" s="643"/>
      <c r="O904" s="658"/>
      <c r="P904" s="658"/>
      <c r="Q904" s="1899"/>
      <c r="R904" s="430"/>
      <c r="S904" s="430"/>
      <c r="T904" s="430"/>
      <c r="U904" s="430"/>
      <c r="V904" s="430"/>
      <c r="W904" s="90"/>
      <c r="X904" s="90"/>
      <c r="Y904" s="90"/>
    </row>
    <row r="905" spans="3:25" ht="15.75" customHeight="1">
      <c r="C905" s="90"/>
      <c r="D905" s="1900"/>
      <c r="E905" s="1895"/>
      <c r="F905" s="1896"/>
      <c r="G905" s="1897"/>
      <c r="H905" s="90"/>
      <c r="I905" s="90"/>
      <c r="J905" s="90"/>
      <c r="K905" s="90"/>
      <c r="L905" s="1901"/>
      <c r="M905" s="643"/>
      <c r="N905" s="643"/>
      <c r="O905" s="658"/>
      <c r="P905" s="658"/>
      <c r="Q905" s="1899"/>
      <c r="R905" s="430"/>
      <c r="S905" s="430"/>
      <c r="T905" s="430"/>
      <c r="U905" s="430"/>
      <c r="V905" s="430"/>
      <c r="W905" s="90"/>
      <c r="X905" s="90"/>
      <c r="Y905" s="90"/>
    </row>
    <row r="906" spans="3:25" ht="15.75" customHeight="1">
      <c r="C906" s="90"/>
      <c r="D906" s="1900"/>
      <c r="E906" s="1895"/>
      <c r="F906" s="1896"/>
      <c r="G906" s="1897"/>
      <c r="H906" s="90"/>
      <c r="I906" s="90"/>
      <c r="J906" s="90"/>
      <c r="K906" s="90"/>
      <c r="L906" s="1901"/>
      <c r="M906" s="643"/>
      <c r="N906" s="643"/>
      <c r="O906" s="658"/>
      <c r="P906" s="658"/>
      <c r="Q906" s="1899"/>
      <c r="R906" s="430"/>
      <c r="S906" s="430"/>
      <c r="T906" s="430"/>
      <c r="U906" s="430"/>
      <c r="V906" s="430"/>
      <c r="W906" s="90"/>
      <c r="X906" s="90"/>
      <c r="Y906" s="90"/>
    </row>
    <row r="907" spans="3:25" ht="15.75" customHeight="1">
      <c r="C907" s="90"/>
      <c r="D907" s="1900"/>
      <c r="E907" s="1895"/>
      <c r="F907" s="1896"/>
      <c r="G907" s="1897"/>
      <c r="H907" s="90"/>
      <c r="I907" s="90"/>
      <c r="J907" s="90"/>
      <c r="K907" s="90"/>
      <c r="L907" s="1901"/>
      <c r="M907" s="643"/>
      <c r="N907" s="643"/>
      <c r="O907" s="658"/>
      <c r="P907" s="658"/>
      <c r="Q907" s="1899"/>
      <c r="R907" s="430"/>
      <c r="S907" s="430"/>
      <c r="T907" s="430"/>
      <c r="U907" s="430"/>
      <c r="V907" s="430"/>
      <c r="W907" s="90"/>
      <c r="X907" s="90"/>
      <c r="Y907" s="90"/>
    </row>
    <row r="908" spans="3:25" ht="15.75" customHeight="1">
      <c r="C908" s="90"/>
      <c r="D908" s="1900"/>
      <c r="E908" s="1895"/>
      <c r="F908" s="1896"/>
      <c r="G908" s="1897"/>
      <c r="H908" s="90"/>
      <c r="I908" s="90"/>
      <c r="J908" s="90"/>
      <c r="K908" s="90"/>
      <c r="L908" s="1901"/>
      <c r="M908" s="643"/>
      <c r="N908" s="643"/>
      <c r="O908" s="658"/>
      <c r="P908" s="658"/>
      <c r="Q908" s="1899"/>
      <c r="R908" s="430"/>
      <c r="S908" s="430"/>
      <c r="T908" s="430"/>
      <c r="U908" s="430"/>
      <c r="V908" s="430"/>
      <c r="W908" s="90"/>
      <c r="X908" s="90"/>
      <c r="Y908" s="90"/>
    </row>
    <row r="909" spans="3:25" ht="15.75" customHeight="1">
      <c r="C909" s="90"/>
      <c r="D909" s="1900"/>
      <c r="E909" s="1895"/>
      <c r="F909" s="1896"/>
      <c r="G909" s="1897"/>
      <c r="H909" s="90"/>
      <c r="I909" s="90"/>
      <c r="J909" s="90"/>
      <c r="K909" s="90"/>
      <c r="L909" s="1901"/>
      <c r="M909" s="643"/>
      <c r="N909" s="643"/>
      <c r="O909" s="658"/>
      <c r="P909" s="658"/>
      <c r="Q909" s="1899"/>
      <c r="R909" s="430"/>
      <c r="S909" s="430"/>
      <c r="T909" s="430"/>
      <c r="U909" s="430"/>
      <c r="V909" s="430"/>
      <c r="W909" s="90"/>
      <c r="X909" s="90"/>
      <c r="Y909" s="90"/>
    </row>
    <row r="910" spans="3:25" ht="15.75" customHeight="1">
      <c r="C910" s="90"/>
      <c r="D910" s="1900"/>
      <c r="E910" s="1895"/>
      <c r="F910" s="1896"/>
      <c r="G910" s="1897"/>
      <c r="H910" s="90"/>
      <c r="I910" s="90"/>
      <c r="J910" s="90"/>
      <c r="K910" s="90"/>
      <c r="L910" s="1901"/>
      <c r="M910" s="643"/>
      <c r="N910" s="643"/>
      <c r="O910" s="658"/>
      <c r="P910" s="658"/>
      <c r="Q910" s="1899"/>
      <c r="R910" s="430"/>
      <c r="S910" s="430"/>
      <c r="T910" s="430"/>
      <c r="U910" s="430"/>
      <c r="V910" s="430"/>
      <c r="W910" s="90"/>
      <c r="X910" s="90"/>
      <c r="Y910" s="90"/>
    </row>
    <row r="911" spans="3:25" ht="15.75" customHeight="1">
      <c r="C911" s="90"/>
      <c r="D911" s="1900"/>
      <c r="E911" s="1895"/>
      <c r="F911" s="1896"/>
      <c r="G911" s="1897"/>
      <c r="H911" s="90"/>
      <c r="I911" s="90"/>
      <c r="J911" s="90"/>
      <c r="K911" s="90"/>
      <c r="L911" s="1901"/>
      <c r="M911" s="643"/>
      <c r="N911" s="643"/>
      <c r="O911" s="658"/>
      <c r="P911" s="658"/>
      <c r="Q911" s="1899"/>
      <c r="R911" s="430"/>
      <c r="S911" s="430"/>
      <c r="T911" s="430"/>
      <c r="U911" s="430"/>
      <c r="V911" s="430"/>
      <c r="W911" s="90"/>
      <c r="X911" s="90"/>
      <c r="Y911" s="90"/>
    </row>
    <row r="912" spans="3:25" ht="15.75" customHeight="1">
      <c r="C912" s="90"/>
      <c r="D912" s="1900"/>
      <c r="E912" s="1895"/>
      <c r="F912" s="1896"/>
      <c r="G912" s="1897"/>
      <c r="H912" s="90"/>
      <c r="I912" s="90"/>
      <c r="J912" s="90"/>
      <c r="K912" s="90"/>
      <c r="L912" s="1901"/>
      <c r="M912" s="643"/>
      <c r="N912" s="643"/>
      <c r="O912" s="658"/>
      <c r="P912" s="658"/>
      <c r="Q912" s="1899"/>
      <c r="R912" s="430"/>
      <c r="S912" s="430"/>
      <c r="T912" s="430"/>
      <c r="U912" s="430"/>
      <c r="V912" s="430"/>
      <c r="W912" s="90"/>
      <c r="X912" s="90"/>
      <c r="Y912" s="90"/>
    </row>
    <row r="913" spans="3:25" ht="15.75" customHeight="1">
      <c r="C913" s="90"/>
      <c r="D913" s="1900"/>
      <c r="E913" s="1895"/>
      <c r="F913" s="1896"/>
      <c r="G913" s="1897"/>
      <c r="H913" s="90"/>
      <c r="I913" s="90"/>
      <c r="J913" s="90"/>
      <c r="K913" s="90"/>
      <c r="L913" s="1901"/>
      <c r="M913" s="643"/>
      <c r="N913" s="643"/>
      <c r="O913" s="658"/>
      <c r="P913" s="658"/>
      <c r="Q913" s="1899"/>
      <c r="R913" s="430"/>
      <c r="S913" s="430"/>
      <c r="T913" s="430"/>
      <c r="U913" s="430"/>
      <c r="V913" s="430"/>
      <c r="W913" s="90"/>
      <c r="X913" s="90"/>
      <c r="Y913" s="90"/>
    </row>
    <row r="914" spans="3:25" ht="15.75" customHeight="1">
      <c r="C914" s="90"/>
      <c r="D914" s="1900"/>
      <c r="E914" s="1895"/>
      <c r="F914" s="1896"/>
      <c r="G914" s="1897"/>
      <c r="H914" s="90"/>
      <c r="I914" s="90"/>
      <c r="J914" s="90"/>
      <c r="K914" s="90"/>
      <c r="L914" s="1901"/>
      <c r="M914" s="643"/>
      <c r="N914" s="643"/>
      <c r="O914" s="658"/>
      <c r="P914" s="658"/>
      <c r="Q914" s="1899"/>
      <c r="R914" s="430"/>
      <c r="S914" s="430"/>
      <c r="T914" s="430"/>
      <c r="U914" s="430"/>
      <c r="V914" s="430"/>
      <c r="W914" s="90"/>
      <c r="X914" s="90"/>
      <c r="Y914" s="90"/>
    </row>
    <row r="915" spans="3:25" ht="15.75" customHeight="1">
      <c r="C915" s="90"/>
      <c r="D915" s="1900"/>
      <c r="E915" s="1895"/>
      <c r="F915" s="1896"/>
      <c r="G915" s="1897"/>
      <c r="H915" s="90"/>
      <c r="I915" s="90"/>
      <c r="J915" s="90"/>
      <c r="K915" s="90"/>
      <c r="L915" s="1901"/>
      <c r="M915" s="643"/>
      <c r="N915" s="643"/>
      <c r="O915" s="658"/>
      <c r="P915" s="658"/>
      <c r="Q915" s="1899"/>
      <c r="R915" s="430"/>
      <c r="S915" s="430"/>
      <c r="T915" s="430"/>
      <c r="U915" s="430"/>
      <c r="V915" s="430"/>
      <c r="W915" s="90"/>
      <c r="X915" s="90"/>
      <c r="Y915" s="90"/>
    </row>
    <row r="916" spans="3:25" ht="15.75" customHeight="1">
      <c r="C916" s="90"/>
      <c r="D916" s="1900"/>
      <c r="E916" s="1895"/>
      <c r="F916" s="1896"/>
      <c r="G916" s="1897"/>
      <c r="H916" s="90"/>
      <c r="I916" s="90"/>
      <c r="J916" s="90"/>
      <c r="K916" s="90"/>
      <c r="L916" s="1901"/>
      <c r="M916" s="643"/>
      <c r="N916" s="643"/>
      <c r="O916" s="658"/>
      <c r="P916" s="658"/>
      <c r="Q916" s="1899"/>
      <c r="R916" s="430"/>
      <c r="S916" s="430"/>
      <c r="T916" s="430"/>
      <c r="U916" s="430"/>
      <c r="V916" s="430"/>
      <c r="W916" s="90"/>
      <c r="X916" s="90"/>
      <c r="Y916" s="90"/>
    </row>
    <row r="917" spans="3:25" ht="15.75" customHeight="1">
      <c r="C917" s="90"/>
      <c r="D917" s="1900"/>
      <c r="E917" s="1895"/>
      <c r="F917" s="1896"/>
      <c r="G917" s="1897"/>
      <c r="H917" s="90"/>
      <c r="I917" s="90"/>
      <c r="J917" s="90"/>
      <c r="K917" s="90"/>
      <c r="L917" s="1901"/>
      <c r="M917" s="643"/>
      <c r="N917" s="643"/>
      <c r="O917" s="658"/>
      <c r="P917" s="658"/>
      <c r="Q917" s="1899"/>
      <c r="R917" s="430"/>
      <c r="S917" s="430"/>
      <c r="T917" s="430"/>
      <c r="U917" s="430"/>
      <c r="V917" s="430"/>
      <c r="W917" s="90"/>
      <c r="X917" s="90"/>
      <c r="Y917" s="90"/>
    </row>
    <row r="918" spans="3:25" ht="15.75" customHeight="1">
      <c r="C918" s="90"/>
      <c r="D918" s="1900"/>
      <c r="E918" s="1895"/>
      <c r="F918" s="1896"/>
      <c r="G918" s="1897"/>
      <c r="H918" s="90"/>
      <c r="I918" s="90"/>
      <c r="J918" s="90"/>
      <c r="K918" s="90"/>
      <c r="L918" s="1901"/>
      <c r="M918" s="643"/>
      <c r="N918" s="643"/>
      <c r="O918" s="658"/>
      <c r="P918" s="658"/>
      <c r="Q918" s="1899"/>
      <c r="R918" s="430"/>
      <c r="S918" s="430"/>
      <c r="T918" s="430"/>
      <c r="U918" s="430"/>
      <c r="V918" s="430"/>
      <c r="W918" s="90"/>
      <c r="X918" s="90"/>
      <c r="Y918" s="90"/>
    </row>
    <row r="919" spans="3:25" ht="15.75" customHeight="1">
      <c r="C919" s="90"/>
      <c r="D919" s="1900"/>
      <c r="E919" s="1895"/>
      <c r="F919" s="1896"/>
      <c r="G919" s="1897"/>
      <c r="H919" s="90"/>
      <c r="I919" s="90"/>
      <c r="J919" s="90"/>
      <c r="K919" s="90"/>
      <c r="L919" s="1901"/>
      <c r="M919" s="643"/>
      <c r="N919" s="643"/>
      <c r="O919" s="658"/>
      <c r="P919" s="658"/>
      <c r="Q919" s="1899"/>
      <c r="R919" s="430"/>
      <c r="S919" s="430"/>
      <c r="T919" s="430"/>
      <c r="U919" s="430"/>
      <c r="V919" s="430"/>
      <c r="W919" s="90"/>
      <c r="X919" s="90"/>
      <c r="Y919" s="90"/>
    </row>
    <row r="920" spans="3:25" ht="15.75" customHeight="1">
      <c r="C920" s="90"/>
      <c r="D920" s="1900"/>
      <c r="E920" s="1895"/>
      <c r="F920" s="1896"/>
      <c r="G920" s="1897"/>
      <c r="H920" s="90"/>
      <c r="I920" s="90"/>
      <c r="J920" s="90"/>
      <c r="K920" s="90"/>
      <c r="L920" s="1901"/>
      <c r="M920" s="643"/>
      <c r="N920" s="643"/>
      <c r="O920" s="658"/>
      <c r="P920" s="658"/>
      <c r="Q920" s="1899"/>
      <c r="R920" s="430"/>
      <c r="S920" s="430"/>
      <c r="T920" s="430"/>
      <c r="U920" s="430"/>
      <c r="V920" s="430"/>
      <c r="W920" s="90"/>
      <c r="X920" s="90"/>
      <c r="Y920" s="90"/>
    </row>
    <row r="921" spans="3:25" ht="15.75" customHeight="1">
      <c r="C921" s="90"/>
      <c r="D921" s="1900"/>
      <c r="E921" s="1895"/>
      <c r="F921" s="1896"/>
      <c r="G921" s="1897"/>
      <c r="H921" s="90"/>
      <c r="I921" s="90"/>
      <c r="J921" s="90"/>
      <c r="K921" s="90"/>
      <c r="L921" s="1901"/>
      <c r="M921" s="643"/>
      <c r="N921" s="643"/>
      <c r="O921" s="658"/>
      <c r="P921" s="658"/>
      <c r="Q921" s="1899"/>
      <c r="R921" s="430"/>
      <c r="S921" s="430"/>
      <c r="T921" s="430"/>
      <c r="U921" s="430"/>
      <c r="V921" s="430"/>
      <c r="W921" s="90"/>
      <c r="X921" s="90"/>
      <c r="Y921" s="90"/>
    </row>
    <row r="922" spans="3:25" ht="15.75" customHeight="1">
      <c r="C922" s="90"/>
      <c r="D922" s="1900"/>
      <c r="E922" s="1895"/>
      <c r="F922" s="1896"/>
      <c r="G922" s="1897"/>
      <c r="H922" s="90"/>
      <c r="I922" s="90"/>
      <c r="J922" s="90"/>
      <c r="K922" s="90"/>
      <c r="L922" s="1901"/>
      <c r="M922" s="643"/>
      <c r="N922" s="643"/>
      <c r="O922" s="658"/>
      <c r="P922" s="658"/>
      <c r="Q922" s="1899"/>
      <c r="R922" s="430"/>
      <c r="S922" s="430"/>
      <c r="T922" s="430"/>
      <c r="U922" s="430"/>
      <c r="V922" s="430"/>
      <c r="W922" s="90"/>
      <c r="X922" s="90"/>
      <c r="Y922" s="90"/>
    </row>
    <row r="923" spans="3:25" ht="15.75" customHeight="1">
      <c r="C923" s="90"/>
      <c r="D923" s="1900"/>
      <c r="E923" s="1895"/>
      <c r="F923" s="1896"/>
      <c r="G923" s="1897"/>
      <c r="H923" s="90"/>
      <c r="I923" s="90"/>
      <c r="J923" s="90"/>
      <c r="K923" s="90"/>
      <c r="L923" s="1901"/>
      <c r="M923" s="643"/>
      <c r="N923" s="643"/>
      <c r="O923" s="658"/>
      <c r="P923" s="658"/>
      <c r="Q923" s="1899"/>
      <c r="R923" s="430"/>
      <c r="S923" s="430"/>
      <c r="T923" s="430"/>
      <c r="U923" s="430"/>
      <c r="V923" s="430"/>
      <c r="W923" s="90"/>
      <c r="X923" s="90"/>
      <c r="Y923" s="90"/>
    </row>
    <row r="924" spans="3:25" ht="15.75" customHeight="1">
      <c r="C924" s="90"/>
      <c r="D924" s="1900"/>
      <c r="E924" s="1895"/>
      <c r="F924" s="1896"/>
      <c r="G924" s="1897"/>
      <c r="H924" s="90"/>
      <c r="I924" s="90"/>
      <c r="J924" s="90"/>
      <c r="K924" s="90"/>
      <c r="L924" s="1901"/>
      <c r="M924" s="643"/>
      <c r="N924" s="643"/>
      <c r="O924" s="658"/>
      <c r="P924" s="658"/>
      <c r="Q924" s="1899"/>
      <c r="R924" s="430"/>
      <c r="S924" s="430"/>
      <c r="T924" s="430"/>
      <c r="U924" s="430"/>
      <c r="V924" s="430"/>
      <c r="W924" s="90"/>
      <c r="X924" s="90"/>
      <c r="Y924" s="90"/>
    </row>
    <row r="925" spans="3:25" ht="15.75" customHeight="1">
      <c r="C925" s="90"/>
      <c r="D925" s="1900"/>
      <c r="E925" s="1895"/>
      <c r="F925" s="1896"/>
      <c r="G925" s="1897"/>
      <c r="H925" s="90"/>
      <c r="I925" s="90"/>
      <c r="J925" s="90"/>
      <c r="K925" s="90"/>
      <c r="L925" s="1901"/>
      <c r="M925" s="643"/>
      <c r="N925" s="643"/>
      <c r="O925" s="658"/>
      <c r="P925" s="658"/>
      <c r="Q925" s="1899"/>
      <c r="R925" s="430"/>
      <c r="S925" s="430"/>
      <c r="T925" s="430"/>
      <c r="U925" s="430"/>
      <c r="V925" s="430"/>
      <c r="W925" s="90"/>
      <c r="X925" s="90"/>
      <c r="Y925" s="90"/>
    </row>
    <row r="926" spans="3:25" ht="15.75" customHeight="1">
      <c r="C926" s="90"/>
      <c r="D926" s="1900"/>
      <c r="E926" s="1895"/>
      <c r="F926" s="1896"/>
      <c r="G926" s="1897"/>
      <c r="H926" s="90"/>
      <c r="I926" s="90"/>
      <c r="J926" s="90"/>
      <c r="K926" s="90"/>
      <c r="L926" s="1901"/>
      <c r="M926" s="643"/>
      <c r="N926" s="643"/>
      <c r="O926" s="658"/>
      <c r="P926" s="658"/>
      <c r="Q926" s="1899"/>
      <c r="R926" s="430"/>
      <c r="S926" s="430"/>
      <c r="T926" s="430"/>
      <c r="U926" s="430"/>
      <c r="V926" s="430"/>
      <c r="W926" s="90"/>
      <c r="X926" s="90"/>
      <c r="Y926" s="90"/>
    </row>
    <row r="927" spans="3:25" ht="15.75" customHeight="1">
      <c r="C927" s="90"/>
      <c r="D927" s="1900"/>
      <c r="E927" s="1895"/>
      <c r="F927" s="1896"/>
      <c r="G927" s="1897"/>
      <c r="H927" s="90"/>
      <c r="I927" s="90"/>
      <c r="J927" s="90"/>
      <c r="K927" s="90"/>
      <c r="L927" s="1901"/>
      <c r="M927" s="643"/>
      <c r="N927" s="643"/>
      <c r="O927" s="658"/>
      <c r="P927" s="658"/>
      <c r="Q927" s="1899"/>
      <c r="R927" s="430"/>
      <c r="S927" s="430"/>
      <c r="T927" s="430"/>
      <c r="U927" s="430"/>
      <c r="V927" s="430"/>
      <c r="W927" s="90"/>
      <c r="X927" s="90"/>
      <c r="Y927" s="90"/>
    </row>
    <row r="928" spans="3:25" ht="15.75" customHeight="1">
      <c r="C928" s="90"/>
      <c r="D928" s="1900"/>
      <c r="E928" s="1895"/>
      <c r="F928" s="1896"/>
      <c r="G928" s="1897"/>
      <c r="H928" s="90"/>
      <c r="I928" s="90"/>
      <c r="J928" s="90"/>
      <c r="K928" s="90"/>
      <c r="L928" s="1901"/>
      <c r="M928" s="643"/>
      <c r="N928" s="643"/>
      <c r="O928" s="658"/>
      <c r="P928" s="658"/>
      <c r="Q928" s="1899"/>
      <c r="R928" s="430"/>
      <c r="S928" s="430"/>
      <c r="T928" s="430"/>
      <c r="U928" s="430"/>
      <c r="V928" s="430"/>
      <c r="W928" s="90"/>
      <c r="X928" s="90"/>
      <c r="Y928" s="90"/>
    </row>
    <row r="929" spans="3:25" ht="15.75" customHeight="1">
      <c r="C929" s="90"/>
      <c r="D929" s="1900"/>
      <c r="E929" s="1895"/>
      <c r="F929" s="1896"/>
      <c r="G929" s="1897"/>
      <c r="H929" s="90"/>
      <c r="I929" s="90"/>
      <c r="J929" s="90"/>
      <c r="K929" s="90"/>
      <c r="L929" s="1901"/>
      <c r="M929" s="643"/>
      <c r="N929" s="643"/>
      <c r="O929" s="658"/>
      <c r="P929" s="658"/>
      <c r="Q929" s="1899"/>
      <c r="R929" s="430"/>
      <c r="S929" s="430"/>
      <c r="T929" s="430"/>
      <c r="U929" s="430"/>
      <c r="V929" s="430"/>
      <c r="W929" s="90"/>
      <c r="X929" s="90"/>
      <c r="Y929" s="90"/>
    </row>
    <row r="930" spans="3:25" ht="15.75" customHeight="1">
      <c r="C930" s="90"/>
      <c r="D930" s="1900"/>
      <c r="E930" s="1895"/>
      <c r="F930" s="1896"/>
      <c r="G930" s="1897"/>
      <c r="H930" s="90"/>
      <c r="I930" s="90"/>
      <c r="J930" s="90"/>
      <c r="K930" s="90"/>
      <c r="L930" s="1901"/>
      <c r="M930" s="643"/>
      <c r="N930" s="643"/>
      <c r="O930" s="658"/>
      <c r="P930" s="658"/>
      <c r="Q930" s="1899"/>
      <c r="R930" s="430"/>
      <c r="S930" s="430"/>
      <c r="T930" s="430"/>
      <c r="U930" s="430"/>
      <c r="V930" s="430"/>
      <c r="W930" s="90"/>
      <c r="X930" s="90"/>
      <c r="Y930" s="90"/>
    </row>
    <row r="931" spans="3:25" ht="15.75" customHeight="1">
      <c r="C931" s="90"/>
      <c r="D931" s="1900"/>
      <c r="E931" s="1895"/>
      <c r="F931" s="1896"/>
      <c r="G931" s="1897"/>
      <c r="H931" s="90"/>
      <c r="I931" s="90"/>
      <c r="J931" s="90"/>
      <c r="K931" s="90"/>
      <c r="L931" s="1901"/>
      <c r="M931" s="643"/>
      <c r="N931" s="643"/>
      <c r="O931" s="658"/>
      <c r="P931" s="658"/>
      <c r="Q931" s="1899"/>
      <c r="R931" s="430"/>
      <c r="S931" s="430"/>
      <c r="T931" s="430"/>
      <c r="U931" s="430"/>
      <c r="V931" s="430"/>
      <c r="W931" s="90"/>
      <c r="X931" s="90"/>
      <c r="Y931" s="90"/>
    </row>
    <row r="932" spans="3:25" ht="15.75" customHeight="1">
      <c r="C932" s="90"/>
      <c r="D932" s="1900"/>
      <c r="E932" s="1895"/>
      <c r="F932" s="1896"/>
      <c r="G932" s="1897"/>
      <c r="H932" s="90"/>
      <c r="I932" s="90"/>
      <c r="J932" s="90"/>
      <c r="K932" s="90"/>
      <c r="L932" s="1901"/>
      <c r="M932" s="643"/>
      <c r="N932" s="643"/>
      <c r="O932" s="658"/>
      <c r="P932" s="658"/>
      <c r="Q932" s="1899"/>
      <c r="R932" s="430"/>
      <c r="S932" s="430"/>
      <c r="T932" s="430"/>
      <c r="U932" s="430"/>
      <c r="V932" s="430"/>
      <c r="W932" s="90"/>
      <c r="X932" s="90"/>
      <c r="Y932" s="90"/>
    </row>
    <row r="933" spans="3:25" ht="15.75" customHeight="1">
      <c r="C933" s="90"/>
      <c r="D933" s="1900"/>
      <c r="E933" s="1895"/>
      <c r="F933" s="1896"/>
      <c r="G933" s="1897"/>
      <c r="H933" s="90"/>
      <c r="I933" s="90"/>
      <c r="J933" s="90"/>
      <c r="K933" s="90"/>
      <c r="L933" s="1901"/>
      <c r="M933" s="643"/>
      <c r="N933" s="643"/>
      <c r="O933" s="658"/>
      <c r="P933" s="658"/>
      <c r="Q933" s="1899"/>
      <c r="R933" s="430"/>
      <c r="S933" s="430"/>
      <c r="T933" s="430"/>
      <c r="U933" s="430"/>
      <c r="V933" s="430"/>
      <c r="W933" s="90"/>
      <c r="X933" s="90"/>
      <c r="Y933" s="90"/>
    </row>
    <row r="934" spans="3:25" ht="15.75" customHeight="1">
      <c r="C934" s="90"/>
      <c r="D934" s="1900"/>
      <c r="E934" s="1895"/>
      <c r="F934" s="1896"/>
      <c r="G934" s="1897"/>
      <c r="H934" s="90"/>
      <c r="I934" s="90"/>
      <c r="J934" s="90"/>
      <c r="K934" s="90"/>
      <c r="L934" s="1901"/>
      <c r="M934" s="643"/>
      <c r="N934" s="643"/>
      <c r="O934" s="658"/>
      <c r="P934" s="658"/>
      <c r="Q934" s="1899"/>
      <c r="R934" s="430"/>
      <c r="S934" s="430"/>
      <c r="T934" s="430"/>
      <c r="U934" s="430"/>
      <c r="V934" s="430"/>
      <c r="W934" s="90"/>
      <c r="X934" s="90"/>
      <c r="Y934" s="90"/>
    </row>
    <row r="935" spans="3:25" ht="15.75" customHeight="1">
      <c r="C935" s="90"/>
      <c r="D935" s="1900"/>
      <c r="E935" s="1895"/>
      <c r="F935" s="1896"/>
      <c r="G935" s="1897"/>
      <c r="H935" s="90"/>
      <c r="I935" s="90"/>
      <c r="J935" s="90"/>
      <c r="K935" s="90"/>
      <c r="L935" s="1901"/>
      <c r="M935" s="643"/>
      <c r="N935" s="643"/>
      <c r="O935" s="658"/>
      <c r="P935" s="658"/>
      <c r="Q935" s="1899"/>
      <c r="R935" s="430"/>
      <c r="S935" s="430"/>
      <c r="T935" s="430"/>
      <c r="U935" s="430"/>
      <c r="V935" s="430"/>
      <c r="W935" s="90"/>
      <c r="X935" s="90"/>
      <c r="Y935" s="90"/>
    </row>
    <row r="936" spans="3:25" ht="15.75" customHeight="1">
      <c r="C936" s="90"/>
      <c r="D936" s="1900"/>
      <c r="E936" s="1895"/>
      <c r="F936" s="1896"/>
      <c r="G936" s="1897"/>
      <c r="H936" s="90"/>
      <c r="I936" s="90"/>
      <c r="J936" s="90"/>
      <c r="K936" s="90"/>
      <c r="L936" s="1901"/>
      <c r="M936" s="643"/>
      <c r="N936" s="643"/>
      <c r="O936" s="658"/>
      <c r="P936" s="658"/>
      <c r="Q936" s="1899"/>
      <c r="R936" s="430"/>
      <c r="S936" s="430"/>
      <c r="T936" s="430"/>
      <c r="U936" s="430"/>
      <c r="V936" s="430"/>
      <c r="W936" s="90"/>
      <c r="X936" s="90"/>
      <c r="Y936" s="90"/>
    </row>
    <row r="937" spans="3:25" ht="15.75" customHeight="1">
      <c r="C937" s="90"/>
      <c r="D937" s="1900"/>
      <c r="E937" s="1895"/>
      <c r="F937" s="1896"/>
      <c r="G937" s="1897"/>
      <c r="H937" s="90"/>
      <c r="I937" s="90"/>
      <c r="J937" s="90"/>
      <c r="K937" s="90"/>
      <c r="L937" s="1901"/>
      <c r="M937" s="643"/>
      <c r="N937" s="643"/>
      <c r="O937" s="658"/>
      <c r="P937" s="658"/>
      <c r="Q937" s="1899"/>
      <c r="R937" s="430"/>
      <c r="S937" s="430"/>
      <c r="T937" s="430"/>
      <c r="U937" s="430"/>
      <c r="V937" s="430"/>
      <c r="W937" s="90"/>
      <c r="X937" s="90"/>
      <c r="Y937" s="90"/>
    </row>
    <row r="938" spans="3:25" ht="15.75" customHeight="1">
      <c r="C938" s="90"/>
      <c r="D938" s="1900"/>
      <c r="E938" s="1895"/>
      <c r="F938" s="1896"/>
      <c r="G938" s="1897"/>
      <c r="H938" s="90"/>
      <c r="I938" s="90"/>
      <c r="J938" s="90"/>
      <c r="K938" s="90"/>
      <c r="L938" s="1901"/>
      <c r="M938" s="643"/>
      <c r="N938" s="643"/>
      <c r="O938" s="658"/>
      <c r="P938" s="658"/>
      <c r="Q938" s="1899"/>
      <c r="R938" s="430"/>
      <c r="S938" s="430"/>
      <c r="T938" s="430"/>
      <c r="U938" s="430"/>
      <c r="V938" s="430"/>
      <c r="W938" s="90"/>
      <c r="X938" s="90"/>
      <c r="Y938" s="90"/>
    </row>
    <row r="939" spans="3:25" ht="15.75" customHeight="1">
      <c r="C939" s="90"/>
      <c r="D939" s="1900"/>
      <c r="E939" s="1895"/>
      <c r="F939" s="1896"/>
      <c r="G939" s="1897"/>
      <c r="H939" s="90"/>
      <c r="I939" s="90"/>
      <c r="J939" s="90"/>
      <c r="K939" s="90"/>
      <c r="L939" s="1901"/>
      <c r="M939" s="643"/>
      <c r="N939" s="643"/>
      <c r="O939" s="658"/>
      <c r="P939" s="658"/>
      <c r="Q939" s="1899"/>
      <c r="R939" s="430"/>
      <c r="S939" s="430"/>
      <c r="T939" s="430"/>
      <c r="U939" s="430"/>
      <c r="V939" s="430"/>
      <c r="W939" s="90"/>
      <c r="X939" s="90"/>
      <c r="Y939" s="90"/>
    </row>
    <row r="940" spans="3:25" ht="15.75" customHeight="1">
      <c r="C940" s="90"/>
      <c r="D940" s="1900"/>
      <c r="E940" s="1895"/>
      <c r="F940" s="1896"/>
      <c r="G940" s="1897"/>
      <c r="H940" s="90"/>
      <c r="I940" s="90"/>
      <c r="J940" s="90"/>
      <c r="K940" s="90"/>
      <c r="L940" s="1901"/>
      <c r="M940" s="643"/>
      <c r="N940" s="643"/>
      <c r="O940" s="658"/>
      <c r="P940" s="658"/>
      <c r="Q940" s="1899"/>
      <c r="R940" s="430"/>
      <c r="S940" s="430"/>
      <c r="T940" s="430"/>
      <c r="U940" s="430"/>
      <c r="V940" s="430"/>
      <c r="W940" s="90"/>
      <c r="X940" s="90"/>
      <c r="Y940" s="90"/>
    </row>
    <row r="941" spans="3:25" ht="15.75" customHeight="1">
      <c r="C941" s="90"/>
      <c r="D941" s="1900"/>
      <c r="E941" s="1895"/>
      <c r="F941" s="1896"/>
      <c r="G941" s="1897"/>
      <c r="H941" s="90"/>
      <c r="I941" s="90"/>
      <c r="J941" s="90"/>
      <c r="K941" s="90"/>
      <c r="L941" s="1901"/>
      <c r="M941" s="643"/>
      <c r="N941" s="643"/>
      <c r="O941" s="658"/>
      <c r="P941" s="658"/>
      <c r="Q941" s="1899"/>
      <c r="R941" s="430"/>
      <c r="S941" s="430"/>
      <c r="T941" s="430"/>
      <c r="U941" s="430"/>
      <c r="V941" s="430"/>
      <c r="W941" s="90"/>
      <c r="X941" s="90"/>
      <c r="Y941" s="90"/>
    </row>
    <row r="942" spans="3:25" ht="15.75" customHeight="1">
      <c r="C942" s="90"/>
      <c r="D942" s="1900"/>
      <c r="E942" s="1895"/>
      <c r="F942" s="1896"/>
      <c r="G942" s="1897"/>
      <c r="H942" s="90"/>
      <c r="I942" s="90"/>
      <c r="J942" s="90"/>
      <c r="K942" s="90"/>
      <c r="L942" s="1901"/>
      <c r="M942" s="643"/>
      <c r="N942" s="643"/>
      <c r="O942" s="658"/>
      <c r="P942" s="658"/>
      <c r="Q942" s="1899"/>
      <c r="R942" s="430"/>
      <c r="S942" s="430"/>
      <c r="T942" s="430"/>
      <c r="U942" s="430"/>
      <c r="V942" s="430"/>
      <c r="W942" s="90"/>
      <c r="X942" s="90"/>
      <c r="Y942" s="90"/>
    </row>
    <row r="943" spans="3:25" ht="15.75" customHeight="1">
      <c r="C943" s="90"/>
      <c r="D943" s="1900"/>
      <c r="E943" s="1895"/>
      <c r="F943" s="1896"/>
      <c r="G943" s="1897"/>
      <c r="H943" s="90"/>
      <c r="I943" s="90"/>
      <c r="J943" s="90"/>
      <c r="K943" s="90"/>
      <c r="L943" s="1901"/>
      <c r="M943" s="643"/>
      <c r="N943" s="643"/>
      <c r="O943" s="658"/>
      <c r="P943" s="658"/>
      <c r="Q943" s="1899"/>
      <c r="R943" s="430"/>
      <c r="S943" s="430"/>
      <c r="T943" s="430"/>
      <c r="U943" s="430"/>
      <c r="V943" s="430"/>
      <c r="W943" s="90"/>
      <c r="X943" s="90"/>
      <c r="Y943" s="90"/>
    </row>
    <row r="944" spans="3:25" ht="15.75" customHeight="1">
      <c r="C944" s="90"/>
      <c r="D944" s="1900"/>
      <c r="E944" s="1895"/>
      <c r="F944" s="1896"/>
      <c r="G944" s="1897"/>
      <c r="H944" s="90"/>
      <c r="I944" s="90"/>
      <c r="J944" s="90"/>
      <c r="K944" s="90"/>
      <c r="L944" s="1901"/>
      <c r="M944" s="643"/>
      <c r="N944" s="643"/>
      <c r="O944" s="658"/>
      <c r="P944" s="658"/>
      <c r="Q944" s="1899"/>
      <c r="R944" s="430"/>
      <c r="S944" s="430"/>
      <c r="T944" s="430"/>
      <c r="U944" s="430"/>
      <c r="V944" s="430"/>
      <c r="W944" s="90"/>
      <c r="X944" s="90"/>
      <c r="Y944" s="90"/>
    </row>
    <row r="945" spans="3:25" ht="15.75" customHeight="1">
      <c r="C945" s="90"/>
      <c r="D945" s="1900"/>
      <c r="E945" s="1895"/>
      <c r="F945" s="1896"/>
      <c r="G945" s="1897"/>
      <c r="H945" s="90"/>
      <c r="I945" s="90"/>
      <c r="J945" s="90"/>
      <c r="K945" s="90"/>
      <c r="L945" s="1901"/>
      <c r="M945" s="643"/>
      <c r="N945" s="643"/>
      <c r="O945" s="658"/>
      <c r="P945" s="658"/>
      <c r="Q945" s="1899"/>
      <c r="R945" s="430"/>
      <c r="S945" s="430"/>
      <c r="T945" s="430"/>
      <c r="U945" s="430"/>
      <c r="V945" s="430"/>
      <c r="W945" s="90"/>
      <c r="X945" s="90"/>
      <c r="Y945" s="90"/>
    </row>
    <row r="946" spans="3:25" ht="15.75" customHeight="1">
      <c r="C946" s="90"/>
      <c r="D946" s="1900"/>
      <c r="E946" s="1895"/>
      <c r="F946" s="1896"/>
      <c r="G946" s="1897"/>
      <c r="H946" s="90"/>
      <c r="I946" s="90"/>
      <c r="J946" s="90"/>
      <c r="K946" s="90"/>
      <c r="L946" s="1901"/>
      <c r="M946" s="643"/>
      <c r="N946" s="643"/>
      <c r="O946" s="658"/>
      <c r="P946" s="658"/>
      <c r="Q946" s="1899"/>
      <c r="R946" s="430"/>
      <c r="S946" s="430"/>
      <c r="T946" s="430"/>
      <c r="U946" s="430"/>
      <c r="V946" s="430"/>
      <c r="W946" s="90"/>
      <c r="X946" s="90"/>
      <c r="Y946" s="90"/>
    </row>
    <row r="947" spans="3:25" ht="15.75" customHeight="1">
      <c r="C947" s="90"/>
      <c r="D947" s="1900"/>
      <c r="E947" s="1895"/>
      <c r="F947" s="1896"/>
      <c r="G947" s="1897"/>
      <c r="H947" s="90"/>
      <c r="I947" s="90"/>
      <c r="J947" s="90"/>
      <c r="K947" s="90"/>
      <c r="L947" s="1901"/>
      <c r="M947" s="643"/>
      <c r="N947" s="643"/>
      <c r="O947" s="658"/>
      <c r="P947" s="658"/>
      <c r="Q947" s="1899"/>
      <c r="R947" s="430"/>
      <c r="S947" s="430"/>
      <c r="T947" s="430"/>
      <c r="U947" s="430"/>
      <c r="V947" s="430"/>
      <c r="W947" s="90"/>
      <c r="X947" s="90"/>
      <c r="Y947" s="90"/>
    </row>
    <row r="948" spans="3:25" ht="15.75" customHeight="1">
      <c r="C948" s="90"/>
      <c r="D948" s="1900"/>
      <c r="E948" s="1895"/>
      <c r="F948" s="1896"/>
      <c r="G948" s="1897"/>
      <c r="H948" s="90"/>
      <c r="I948" s="90"/>
      <c r="J948" s="90"/>
      <c r="K948" s="90"/>
      <c r="L948" s="1901"/>
      <c r="M948" s="643"/>
      <c r="N948" s="643"/>
      <c r="O948" s="658"/>
      <c r="P948" s="658"/>
      <c r="Q948" s="1899"/>
      <c r="R948" s="430"/>
      <c r="S948" s="430"/>
      <c r="T948" s="430"/>
      <c r="U948" s="430"/>
      <c r="V948" s="430"/>
      <c r="W948" s="90"/>
      <c r="X948" s="90"/>
      <c r="Y948" s="90"/>
    </row>
    <row r="949" spans="3:25" ht="15.75" customHeight="1">
      <c r="C949" s="90"/>
      <c r="D949" s="1900"/>
      <c r="E949" s="1895"/>
      <c r="F949" s="1896"/>
      <c r="G949" s="1897"/>
      <c r="H949" s="90"/>
      <c r="I949" s="90"/>
      <c r="J949" s="90"/>
      <c r="K949" s="90"/>
      <c r="L949" s="1901"/>
      <c r="M949" s="643"/>
      <c r="N949" s="643"/>
      <c r="O949" s="658"/>
      <c r="P949" s="658"/>
      <c r="Q949" s="1899"/>
      <c r="R949" s="430"/>
      <c r="S949" s="430"/>
      <c r="T949" s="430"/>
      <c r="U949" s="430"/>
      <c r="V949" s="430"/>
      <c r="W949" s="90"/>
      <c r="X949" s="90"/>
      <c r="Y949" s="90"/>
    </row>
    <row r="950" spans="3:25" ht="15.75" customHeight="1">
      <c r="C950" s="90"/>
      <c r="D950" s="1900"/>
      <c r="E950" s="1895"/>
      <c r="F950" s="1896"/>
      <c r="G950" s="1897"/>
      <c r="H950" s="90"/>
      <c r="I950" s="90"/>
      <c r="J950" s="90"/>
      <c r="K950" s="90"/>
      <c r="L950" s="1901"/>
      <c r="M950" s="643"/>
      <c r="N950" s="643"/>
      <c r="O950" s="658"/>
      <c r="P950" s="658"/>
      <c r="Q950" s="1899"/>
      <c r="R950" s="430"/>
      <c r="S950" s="430"/>
      <c r="T950" s="430"/>
      <c r="U950" s="430"/>
      <c r="V950" s="430"/>
      <c r="W950" s="90"/>
      <c r="X950" s="90"/>
      <c r="Y950" s="90"/>
    </row>
    <row r="951" spans="3:25" ht="15.75" customHeight="1">
      <c r="C951" s="90"/>
      <c r="D951" s="1900"/>
      <c r="E951" s="1895"/>
      <c r="F951" s="1896"/>
      <c r="G951" s="1897"/>
      <c r="H951" s="90"/>
      <c r="I951" s="90"/>
      <c r="J951" s="90"/>
      <c r="K951" s="90"/>
      <c r="L951" s="1901"/>
      <c r="M951" s="643"/>
      <c r="N951" s="643"/>
      <c r="O951" s="658"/>
      <c r="P951" s="658"/>
      <c r="Q951" s="1899"/>
      <c r="R951" s="430"/>
      <c r="S951" s="430"/>
      <c r="T951" s="430"/>
      <c r="U951" s="430"/>
      <c r="V951" s="430"/>
      <c r="W951" s="90"/>
      <c r="X951" s="90"/>
      <c r="Y951" s="90"/>
    </row>
    <row r="952" spans="3:25" ht="15.75" customHeight="1">
      <c r="C952" s="90"/>
      <c r="D952" s="1900"/>
      <c r="E952" s="1895"/>
      <c r="F952" s="1896"/>
      <c r="G952" s="1897"/>
      <c r="H952" s="90"/>
      <c r="I952" s="90"/>
      <c r="J952" s="90"/>
      <c r="K952" s="90"/>
      <c r="L952" s="1901"/>
      <c r="M952" s="643"/>
      <c r="N952" s="643"/>
      <c r="O952" s="658"/>
      <c r="P952" s="658"/>
      <c r="Q952" s="1899"/>
      <c r="R952" s="430"/>
      <c r="S952" s="430"/>
      <c r="T952" s="430"/>
      <c r="U952" s="430"/>
      <c r="V952" s="430"/>
      <c r="W952" s="90"/>
      <c r="X952" s="90"/>
      <c r="Y952" s="90"/>
    </row>
    <row r="953" spans="3:25" ht="15.75" customHeight="1">
      <c r="C953" s="90"/>
      <c r="D953" s="1900"/>
      <c r="E953" s="1895"/>
      <c r="F953" s="1896"/>
      <c r="G953" s="1897"/>
      <c r="H953" s="90"/>
      <c r="I953" s="90"/>
      <c r="J953" s="90"/>
      <c r="K953" s="90"/>
      <c r="L953" s="1901"/>
      <c r="M953" s="643"/>
      <c r="N953" s="643"/>
      <c r="O953" s="658"/>
      <c r="P953" s="658"/>
      <c r="Q953" s="1899"/>
      <c r="R953" s="430"/>
      <c r="S953" s="430"/>
      <c r="T953" s="430"/>
      <c r="U953" s="430"/>
      <c r="V953" s="430"/>
      <c r="W953" s="90"/>
      <c r="X953" s="90"/>
      <c r="Y953" s="90"/>
    </row>
    <row r="954" spans="3:25" ht="15.75" customHeight="1">
      <c r="C954" s="90"/>
      <c r="D954" s="1900"/>
      <c r="E954" s="1895"/>
      <c r="F954" s="1896"/>
      <c r="G954" s="1897"/>
      <c r="H954" s="90"/>
      <c r="I954" s="90"/>
      <c r="J954" s="90"/>
      <c r="K954" s="90"/>
      <c r="L954" s="1901"/>
      <c r="M954" s="643"/>
      <c r="N954" s="643"/>
      <c r="O954" s="658"/>
      <c r="P954" s="658"/>
      <c r="Q954" s="1899"/>
      <c r="R954" s="430"/>
      <c r="S954" s="430"/>
      <c r="T954" s="430"/>
      <c r="U954" s="430"/>
      <c r="V954" s="430"/>
      <c r="W954" s="90"/>
      <c r="X954" s="90"/>
      <c r="Y954" s="90"/>
    </row>
    <row r="955" spans="3:25" ht="15.75" customHeight="1">
      <c r="C955" s="90"/>
      <c r="D955" s="1900"/>
      <c r="E955" s="1895"/>
      <c r="F955" s="1896"/>
      <c r="G955" s="1897"/>
      <c r="H955" s="90"/>
      <c r="I955" s="90"/>
      <c r="J955" s="90"/>
      <c r="K955" s="90"/>
      <c r="L955" s="1901"/>
      <c r="M955" s="643"/>
      <c r="N955" s="643"/>
      <c r="O955" s="658"/>
      <c r="P955" s="658"/>
      <c r="Q955" s="1899"/>
      <c r="R955" s="430"/>
      <c r="S955" s="430"/>
      <c r="T955" s="430"/>
      <c r="U955" s="430"/>
      <c r="V955" s="430"/>
      <c r="W955" s="90"/>
      <c r="X955" s="90"/>
      <c r="Y955" s="90"/>
    </row>
    <row r="956" spans="3:25" ht="15.75" customHeight="1">
      <c r="C956" s="90"/>
      <c r="D956" s="1900"/>
      <c r="E956" s="1895"/>
      <c r="F956" s="1896"/>
      <c r="G956" s="1897"/>
      <c r="H956" s="90"/>
      <c r="I956" s="90"/>
      <c r="J956" s="90"/>
      <c r="K956" s="90"/>
      <c r="L956" s="1901"/>
      <c r="M956" s="643"/>
      <c r="N956" s="643"/>
      <c r="O956" s="658"/>
      <c r="P956" s="658"/>
      <c r="Q956" s="1899"/>
      <c r="R956" s="430"/>
      <c r="S956" s="430"/>
      <c r="T956" s="430"/>
      <c r="U956" s="430"/>
      <c r="V956" s="430"/>
      <c r="W956" s="90"/>
      <c r="X956" s="90"/>
      <c r="Y956" s="90"/>
    </row>
    <row r="957" spans="3:25" ht="15.75" customHeight="1">
      <c r="C957" s="90"/>
      <c r="D957" s="1900"/>
      <c r="E957" s="1895"/>
      <c r="F957" s="1896"/>
      <c r="G957" s="1897"/>
      <c r="H957" s="90"/>
      <c r="I957" s="90"/>
      <c r="J957" s="90"/>
      <c r="K957" s="90"/>
      <c r="L957" s="1901"/>
      <c r="M957" s="643"/>
      <c r="N957" s="643"/>
      <c r="O957" s="658"/>
      <c r="P957" s="658"/>
      <c r="Q957" s="1899"/>
      <c r="R957" s="430"/>
      <c r="S957" s="430"/>
      <c r="T957" s="430"/>
      <c r="U957" s="430"/>
      <c r="V957" s="430"/>
      <c r="W957" s="90"/>
      <c r="X957" s="90"/>
      <c r="Y957" s="90"/>
    </row>
    <row r="958" spans="3:25" ht="15.75" customHeight="1">
      <c r="C958" s="90"/>
      <c r="D958" s="1900"/>
      <c r="E958" s="1895"/>
      <c r="F958" s="1896"/>
      <c r="G958" s="1897"/>
      <c r="H958" s="90"/>
      <c r="I958" s="90"/>
      <c r="J958" s="90"/>
      <c r="K958" s="90"/>
      <c r="L958" s="1901"/>
      <c r="M958" s="643"/>
      <c r="N958" s="643"/>
      <c r="O958" s="658"/>
      <c r="P958" s="658"/>
      <c r="Q958" s="1899"/>
      <c r="R958" s="430"/>
      <c r="S958" s="430"/>
      <c r="T958" s="430"/>
      <c r="U958" s="430"/>
      <c r="V958" s="430"/>
      <c r="W958" s="90"/>
      <c r="X958" s="90"/>
      <c r="Y958" s="90"/>
    </row>
    <row r="959" spans="3:25" ht="15.75" customHeight="1">
      <c r="C959" s="90"/>
      <c r="D959" s="1900"/>
      <c r="E959" s="1895"/>
      <c r="F959" s="1896"/>
      <c r="G959" s="1897"/>
      <c r="H959" s="90"/>
      <c r="I959" s="90"/>
      <c r="J959" s="90"/>
      <c r="K959" s="90"/>
      <c r="L959" s="1901"/>
      <c r="M959" s="643"/>
      <c r="N959" s="643"/>
      <c r="O959" s="658"/>
      <c r="P959" s="658"/>
      <c r="Q959" s="1899"/>
      <c r="R959" s="430"/>
      <c r="S959" s="430"/>
      <c r="T959" s="430"/>
      <c r="U959" s="430"/>
      <c r="V959" s="430"/>
      <c r="W959" s="90"/>
      <c r="X959" s="90"/>
      <c r="Y959" s="90"/>
    </row>
    <row r="960" spans="3:25" ht="15.75" customHeight="1">
      <c r="C960" s="90"/>
      <c r="D960" s="1900"/>
      <c r="E960" s="1895"/>
      <c r="F960" s="1896"/>
      <c r="G960" s="1897"/>
      <c r="H960" s="90"/>
      <c r="I960" s="90"/>
      <c r="J960" s="90"/>
      <c r="K960" s="90"/>
      <c r="L960" s="1901"/>
      <c r="M960" s="643"/>
      <c r="N960" s="643"/>
      <c r="O960" s="658"/>
      <c r="P960" s="658"/>
      <c r="Q960" s="1899"/>
      <c r="R960" s="430"/>
      <c r="S960" s="430"/>
      <c r="T960" s="430"/>
      <c r="U960" s="430"/>
      <c r="V960" s="430"/>
      <c r="W960" s="90"/>
      <c r="X960" s="90"/>
      <c r="Y960" s="90"/>
    </row>
    <row r="961" spans="3:25" ht="15.75" customHeight="1">
      <c r="C961" s="90"/>
      <c r="D961" s="1900"/>
      <c r="E961" s="1895"/>
      <c r="F961" s="1896"/>
      <c r="G961" s="1897"/>
      <c r="H961" s="90"/>
      <c r="I961" s="90"/>
      <c r="J961" s="90"/>
      <c r="K961" s="90"/>
      <c r="L961" s="1901"/>
      <c r="M961" s="643"/>
      <c r="N961" s="643"/>
      <c r="O961" s="658"/>
      <c r="P961" s="658"/>
      <c r="Q961" s="1899"/>
      <c r="R961" s="430"/>
      <c r="S961" s="430"/>
      <c r="T961" s="430"/>
      <c r="U961" s="430"/>
      <c r="V961" s="430"/>
      <c r="W961" s="90"/>
      <c r="X961" s="90"/>
      <c r="Y961" s="90"/>
    </row>
    <row r="962" spans="3:25" ht="15.75" customHeight="1">
      <c r="C962" s="90"/>
      <c r="D962" s="1900"/>
      <c r="E962" s="1895"/>
      <c r="F962" s="1896"/>
      <c r="G962" s="1897"/>
      <c r="H962" s="90"/>
      <c r="I962" s="90"/>
      <c r="J962" s="90"/>
      <c r="K962" s="90"/>
      <c r="L962" s="1901"/>
      <c r="M962" s="643"/>
      <c r="N962" s="643"/>
      <c r="O962" s="658"/>
      <c r="P962" s="658"/>
      <c r="Q962" s="1899"/>
      <c r="R962" s="430"/>
      <c r="S962" s="430"/>
      <c r="T962" s="430"/>
      <c r="U962" s="430"/>
      <c r="V962" s="430"/>
      <c r="W962" s="90"/>
      <c r="X962" s="90"/>
      <c r="Y962" s="90"/>
    </row>
    <row r="963" spans="3:25" ht="15.75" customHeight="1">
      <c r="C963" s="90"/>
      <c r="D963" s="1900"/>
      <c r="E963" s="1895"/>
      <c r="F963" s="1896"/>
      <c r="G963" s="1897"/>
      <c r="H963" s="90"/>
      <c r="I963" s="90"/>
      <c r="J963" s="90"/>
      <c r="K963" s="90"/>
      <c r="L963" s="1901"/>
      <c r="M963" s="643"/>
      <c r="N963" s="643"/>
      <c r="O963" s="658"/>
      <c r="P963" s="658"/>
      <c r="Q963" s="1899"/>
      <c r="R963" s="430"/>
      <c r="S963" s="430"/>
      <c r="T963" s="430"/>
      <c r="U963" s="430"/>
      <c r="V963" s="430"/>
      <c r="W963" s="90"/>
      <c r="X963" s="90"/>
      <c r="Y963" s="90"/>
    </row>
    <row r="964" spans="3:25" ht="15.75" customHeight="1">
      <c r="C964" s="90"/>
      <c r="D964" s="1900"/>
      <c r="E964" s="1895"/>
      <c r="F964" s="1896"/>
      <c r="G964" s="1897"/>
      <c r="H964" s="90"/>
      <c r="I964" s="90"/>
      <c r="J964" s="90"/>
      <c r="K964" s="90"/>
      <c r="L964" s="1901"/>
      <c r="M964" s="643"/>
      <c r="N964" s="643"/>
      <c r="O964" s="658"/>
      <c r="P964" s="658"/>
      <c r="Q964" s="1899"/>
      <c r="R964" s="430"/>
      <c r="S964" s="430"/>
      <c r="T964" s="430"/>
      <c r="U964" s="430"/>
      <c r="V964" s="430"/>
      <c r="W964" s="90"/>
      <c r="X964" s="90"/>
      <c r="Y964" s="90"/>
    </row>
    <row r="965" spans="3:25" ht="15.75" customHeight="1">
      <c r="C965" s="90"/>
      <c r="D965" s="1900"/>
      <c r="E965" s="1895"/>
      <c r="F965" s="1896"/>
      <c r="G965" s="1897"/>
      <c r="H965" s="90"/>
      <c r="I965" s="90"/>
      <c r="J965" s="90"/>
      <c r="K965" s="90"/>
      <c r="L965" s="1901"/>
      <c r="M965" s="643"/>
      <c r="N965" s="643"/>
      <c r="O965" s="658"/>
      <c r="P965" s="658"/>
      <c r="Q965" s="1899"/>
      <c r="R965" s="430"/>
      <c r="S965" s="430"/>
      <c r="T965" s="430"/>
      <c r="U965" s="430"/>
      <c r="V965" s="430"/>
      <c r="W965" s="90"/>
      <c r="X965" s="90"/>
      <c r="Y965" s="90"/>
    </row>
    <row r="966" spans="3:25" ht="15.75" customHeight="1">
      <c r="C966" s="90"/>
      <c r="D966" s="1900"/>
      <c r="E966" s="1895"/>
      <c r="F966" s="1896"/>
      <c r="G966" s="1897"/>
      <c r="H966" s="90"/>
      <c r="I966" s="90"/>
      <c r="J966" s="90"/>
      <c r="K966" s="90"/>
      <c r="L966" s="1901"/>
      <c r="M966" s="643"/>
      <c r="N966" s="643"/>
      <c r="O966" s="658"/>
      <c r="P966" s="658"/>
      <c r="Q966" s="1899"/>
      <c r="R966" s="430"/>
      <c r="S966" s="430"/>
      <c r="T966" s="430"/>
      <c r="U966" s="430"/>
      <c r="V966" s="430"/>
      <c r="W966" s="90"/>
      <c r="X966" s="90"/>
      <c r="Y966" s="90"/>
    </row>
    <row r="967" spans="3:25" ht="15.75" customHeight="1">
      <c r="C967" s="90"/>
      <c r="D967" s="1900"/>
      <c r="E967" s="1895"/>
      <c r="F967" s="1896"/>
      <c r="G967" s="1897"/>
      <c r="H967" s="90"/>
      <c r="I967" s="90"/>
      <c r="J967" s="90"/>
      <c r="K967" s="90"/>
      <c r="L967" s="1901"/>
      <c r="M967" s="643"/>
      <c r="N967" s="643"/>
      <c r="O967" s="658"/>
      <c r="P967" s="658"/>
      <c r="Q967" s="1899"/>
      <c r="R967" s="430"/>
      <c r="S967" s="430"/>
      <c r="T967" s="430"/>
      <c r="U967" s="430"/>
      <c r="V967" s="430"/>
      <c r="W967" s="90"/>
      <c r="X967" s="90"/>
      <c r="Y967" s="90"/>
    </row>
    <row r="968" spans="3:25" ht="15.75" customHeight="1">
      <c r="C968" s="90"/>
      <c r="D968" s="1900"/>
      <c r="E968" s="1895"/>
      <c r="F968" s="1896"/>
      <c r="G968" s="1897"/>
      <c r="H968" s="90"/>
      <c r="I968" s="90"/>
      <c r="J968" s="90"/>
      <c r="K968" s="90"/>
      <c r="L968" s="1901"/>
      <c r="M968" s="643"/>
      <c r="N968" s="643"/>
      <c r="O968" s="658"/>
      <c r="P968" s="658"/>
      <c r="Q968" s="1899"/>
      <c r="R968" s="430"/>
      <c r="S968" s="430"/>
      <c r="T968" s="430"/>
      <c r="U968" s="430"/>
      <c r="V968" s="430"/>
      <c r="W968" s="90"/>
      <c r="X968" s="90"/>
      <c r="Y968" s="90"/>
    </row>
    <row r="969" spans="3:25" ht="15.75" customHeight="1">
      <c r="C969" s="90"/>
      <c r="D969" s="1900"/>
      <c r="E969" s="1895"/>
      <c r="F969" s="1896"/>
      <c r="G969" s="1897"/>
      <c r="H969" s="90"/>
      <c r="I969" s="90"/>
      <c r="J969" s="90"/>
      <c r="K969" s="90"/>
      <c r="L969" s="1901"/>
      <c r="M969" s="643"/>
      <c r="N969" s="643"/>
      <c r="O969" s="658"/>
      <c r="P969" s="658"/>
      <c r="Q969" s="1899"/>
      <c r="R969" s="430"/>
      <c r="S969" s="430"/>
      <c r="T969" s="430"/>
      <c r="U969" s="430"/>
      <c r="V969" s="430"/>
      <c r="W969" s="90"/>
      <c r="X969" s="90"/>
      <c r="Y969" s="90"/>
    </row>
    <row r="970" spans="3:25" ht="15.75" customHeight="1">
      <c r="C970" s="90"/>
      <c r="D970" s="1900"/>
      <c r="E970" s="1895"/>
      <c r="F970" s="1896"/>
      <c r="G970" s="1897"/>
      <c r="H970" s="90"/>
      <c r="I970" s="90"/>
      <c r="J970" s="90"/>
      <c r="K970" s="90"/>
      <c r="L970" s="1901"/>
      <c r="M970" s="643"/>
      <c r="N970" s="643"/>
      <c r="O970" s="658"/>
      <c r="P970" s="658"/>
      <c r="Q970" s="1899"/>
      <c r="R970" s="430"/>
      <c r="S970" s="430"/>
      <c r="T970" s="430"/>
      <c r="U970" s="430"/>
      <c r="V970" s="430"/>
      <c r="W970" s="90"/>
      <c r="X970" s="90"/>
      <c r="Y970" s="90"/>
    </row>
    <row r="971" spans="3:25" ht="15.75" customHeight="1">
      <c r="C971" s="90"/>
      <c r="D971" s="1900"/>
      <c r="E971" s="1895"/>
      <c r="F971" s="1896"/>
      <c r="G971" s="1897"/>
      <c r="H971" s="90"/>
      <c r="I971" s="90"/>
      <c r="J971" s="90"/>
      <c r="K971" s="90"/>
      <c r="L971" s="1901"/>
      <c r="M971" s="643"/>
      <c r="N971" s="643"/>
      <c r="O971" s="658"/>
      <c r="P971" s="658"/>
      <c r="Q971" s="1899"/>
      <c r="R971" s="430"/>
      <c r="S971" s="430"/>
      <c r="T971" s="430"/>
      <c r="U971" s="430"/>
      <c r="V971" s="430"/>
      <c r="W971" s="90"/>
      <c r="X971" s="90"/>
      <c r="Y971" s="90"/>
    </row>
    <row r="972" spans="3:25" ht="15.75" customHeight="1">
      <c r="C972" s="90"/>
      <c r="D972" s="1900"/>
      <c r="E972" s="1895"/>
      <c r="F972" s="1896"/>
      <c r="G972" s="1897"/>
      <c r="H972" s="90"/>
      <c r="I972" s="90"/>
      <c r="J972" s="90"/>
      <c r="K972" s="90"/>
      <c r="L972" s="1901"/>
      <c r="M972" s="643"/>
      <c r="N972" s="643"/>
      <c r="O972" s="658"/>
      <c r="P972" s="658"/>
      <c r="Q972" s="1899"/>
      <c r="R972" s="430"/>
      <c r="S972" s="430"/>
      <c r="T972" s="430"/>
      <c r="U972" s="430"/>
      <c r="V972" s="430"/>
      <c r="W972" s="90"/>
      <c r="X972" s="90"/>
      <c r="Y972" s="90"/>
    </row>
    <row r="973" spans="3:25" ht="15.75" customHeight="1">
      <c r="C973" s="90"/>
      <c r="D973" s="1900"/>
      <c r="E973" s="1895"/>
      <c r="F973" s="1896"/>
      <c r="G973" s="1897"/>
      <c r="H973" s="90"/>
      <c r="I973" s="90"/>
      <c r="J973" s="90"/>
      <c r="K973" s="90"/>
      <c r="L973" s="1901"/>
      <c r="M973" s="643"/>
      <c r="N973" s="643"/>
      <c r="O973" s="658"/>
      <c r="P973" s="658"/>
      <c r="Q973" s="1899"/>
      <c r="R973" s="430"/>
      <c r="S973" s="430"/>
      <c r="T973" s="430"/>
      <c r="U973" s="430"/>
      <c r="V973" s="430"/>
      <c r="W973" s="90"/>
      <c r="X973" s="90"/>
      <c r="Y973" s="90"/>
    </row>
    <row r="974" spans="3:25" ht="15.75" customHeight="1">
      <c r="C974" s="90"/>
      <c r="D974" s="1900"/>
      <c r="E974" s="1895"/>
      <c r="F974" s="1896"/>
      <c r="G974" s="1897"/>
      <c r="H974" s="90"/>
      <c r="I974" s="90"/>
      <c r="J974" s="90"/>
      <c r="K974" s="90"/>
      <c r="L974" s="1901"/>
      <c r="M974" s="643"/>
      <c r="N974" s="643"/>
      <c r="O974" s="658"/>
      <c r="P974" s="658"/>
      <c r="Q974" s="1899"/>
      <c r="R974" s="430"/>
      <c r="S974" s="430"/>
      <c r="T974" s="430"/>
      <c r="U974" s="430"/>
      <c r="V974" s="430"/>
      <c r="W974" s="90"/>
      <c r="X974" s="90"/>
      <c r="Y974" s="90"/>
    </row>
    <row r="975" spans="3:25" ht="15.75" customHeight="1">
      <c r="C975" s="90"/>
      <c r="D975" s="1900"/>
      <c r="E975" s="1895"/>
      <c r="F975" s="1896"/>
      <c r="G975" s="1897"/>
      <c r="H975" s="90"/>
      <c r="I975" s="90"/>
      <c r="J975" s="90"/>
      <c r="K975" s="90"/>
      <c r="L975" s="1901"/>
      <c r="M975" s="643"/>
      <c r="N975" s="643"/>
      <c r="O975" s="658"/>
      <c r="P975" s="658"/>
      <c r="Q975" s="1899"/>
      <c r="R975" s="430"/>
      <c r="S975" s="430"/>
      <c r="T975" s="430"/>
      <c r="U975" s="430"/>
      <c r="V975" s="430"/>
      <c r="W975" s="90"/>
      <c r="X975" s="90"/>
      <c r="Y975" s="90"/>
    </row>
    <row r="976" spans="3:25" ht="15.75" customHeight="1">
      <c r="C976" s="90"/>
      <c r="D976" s="1900"/>
      <c r="E976" s="1895"/>
      <c r="F976" s="1896"/>
      <c r="G976" s="1897"/>
      <c r="H976" s="90"/>
      <c r="I976" s="90"/>
      <c r="J976" s="90"/>
      <c r="K976" s="90"/>
      <c r="L976" s="1901"/>
      <c r="M976" s="643"/>
      <c r="N976" s="643"/>
      <c r="O976" s="658"/>
      <c r="P976" s="658"/>
      <c r="Q976" s="1899"/>
      <c r="R976" s="430"/>
      <c r="S976" s="430"/>
      <c r="T976" s="430"/>
      <c r="U976" s="430"/>
      <c r="V976" s="430"/>
      <c r="W976" s="90"/>
      <c r="X976" s="90"/>
      <c r="Y976" s="90"/>
    </row>
    <row r="977" spans="3:25" ht="15.75" customHeight="1">
      <c r="C977" s="90"/>
      <c r="D977" s="1900"/>
      <c r="E977" s="1895"/>
      <c r="F977" s="1896"/>
      <c r="G977" s="1897"/>
      <c r="H977" s="90"/>
      <c r="I977" s="90"/>
      <c r="J977" s="90"/>
      <c r="K977" s="90"/>
      <c r="L977" s="1901"/>
      <c r="M977" s="643"/>
      <c r="N977" s="643"/>
      <c r="O977" s="658"/>
      <c r="P977" s="658"/>
      <c r="Q977" s="1899"/>
      <c r="R977" s="430"/>
      <c r="S977" s="430"/>
      <c r="T977" s="430"/>
      <c r="U977" s="430"/>
      <c r="V977" s="430"/>
      <c r="W977" s="90"/>
      <c r="X977" s="90"/>
      <c r="Y977" s="90"/>
    </row>
    <row r="978" spans="3:25" ht="15.75" customHeight="1">
      <c r="C978" s="90"/>
      <c r="D978" s="1900"/>
      <c r="E978" s="1895"/>
      <c r="F978" s="1896"/>
      <c r="G978" s="1897"/>
      <c r="H978" s="90"/>
      <c r="I978" s="90"/>
      <c r="J978" s="90"/>
      <c r="K978" s="90"/>
      <c r="L978" s="1901"/>
      <c r="M978" s="643"/>
      <c r="N978" s="643"/>
      <c r="O978" s="658"/>
      <c r="P978" s="658"/>
      <c r="Q978" s="1899"/>
      <c r="R978" s="430"/>
      <c r="S978" s="430"/>
      <c r="T978" s="430"/>
      <c r="U978" s="430"/>
      <c r="V978" s="430"/>
      <c r="W978" s="90"/>
      <c r="X978" s="90"/>
      <c r="Y978" s="90"/>
    </row>
    <row r="979" spans="3:25" ht="15.75" customHeight="1">
      <c r="C979" s="90"/>
      <c r="D979" s="1900"/>
      <c r="E979" s="1895"/>
      <c r="F979" s="1896"/>
      <c r="G979" s="1897"/>
      <c r="H979" s="90"/>
      <c r="I979" s="90"/>
      <c r="J979" s="90"/>
      <c r="K979" s="90"/>
      <c r="L979" s="1901"/>
      <c r="M979" s="643"/>
      <c r="N979" s="643"/>
      <c r="O979" s="658"/>
      <c r="P979" s="658"/>
      <c r="Q979" s="1899"/>
      <c r="R979" s="430"/>
      <c r="S979" s="430"/>
      <c r="T979" s="430"/>
      <c r="U979" s="430"/>
      <c r="V979" s="430"/>
      <c r="W979" s="90"/>
      <c r="X979" s="90"/>
      <c r="Y979" s="90"/>
    </row>
    <row r="980" spans="3:25" ht="15.75" customHeight="1">
      <c r="C980" s="90"/>
      <c r="D980" s="1900"/>
      <c r="E980" s="1895"/>
      <c r="F980" s="1896"/>
      <c r="G980" s="1897"/>
      <c r="H980" s="90"/>
      <c r="I980" s="90"/>
      <c r="J980" s="90"/>
      <c r="K980" s="90"/>
      <c r="L980" s="1901"/>
      <c r="M980" s="643"/>
      <c r="N980" s="643"/>
      <c r="O980" s="658"/>
      <c r="P980" s="658"/>
      <c r="Q980" s="1899"/>
      <c r="R980" s="430"/>
      <c r="S980" s="430"/>
      <c r="T980" s="430"/>
      <c r="U980" s="430"/>
      <c r="V980" s="430"/>
      <c r="W980" s="90"/>
      <c r="X980" s="90"/>
      <c r="Y980" s="90"/>
    </row>
    <row r="981" spans="3:25" ht="15.75" customHeight="1">
      <c r="C981" s="90"/>
      <c r="D981" s="1900"/>
      <c r="E981" s="1895"/>
      <c r="F981" s="1896"/>
      <c r="G981" s="1897"/>
      <c r="H981" s="90"/>
      <c r="I981" s="90"/>
      <c r="J981" s="90"/>
      <c r="K981" s="90"/>
      <c r="L981" s="1901"/>
      <c r="M981" s="643"/>
      <c r="N981" s="643"/>
      <c r="O981" s="658"/>
      <c r="P981" s="658"/>
      <c r="Q981" s="1899"/>
      <c r="R981" s="430"/>
      <c r="S981" s="430"/>
      <c r="T981" s="430"/>
      <c r="U981" s="430"/>
      <c r="V981" s="430"/>
      <c r="W981" s="90"/>
      <c r="X981" s="90"/>
      <c r="Y981" s="90"/>
    </row>
    <row r="982" spans="3:25" ht="15.75" customHeight="1">
      <c r="C982" s="90"/>
      <c r="D982" s="1900"/>
      <c r="E982" s="1895"/>
      <c r="F982" s="1896"/>
      <c r="G982" s="1897"/>
      <c r="H982" s="90"/>
      <c r="I982" s="90"/>
      <c r="J982" s="90"/>
      <c r="K982" s="90"/>
      <c r="L982" s="1901"/>
      <c r="M982" s="643"/>
      <c r="N982" s="643"/>
      <c r="O982" s="658"/>
      <c r="P982" s="658"/>
      <c r="Q982" s="1899"/>
      <c r="R982" s="430"/>
      <c r="S982" s="430"/>
      <c r="T982" s="430"/>
      <c r="U982" s="430"/>
      <c r="V982" s="430"/>
      <c r="W982" s="90"/>
      <c r="X982" s="90"/>
      <c r="Y982" s="90"/>
    </row>
    <row r="983" spans="3:25" ht="15.75" customHeight="1">
      <c r="C983" s="90"/>
      <c r="D983" s="1900"/>
      <c r="E983" s="1895"/>
      <c r="F983" s="1896"/>
      <c r="G983" s="1897"/>
      <c r="H983" s="90"/>
      <c r="I983" s="90"/>
      <c r="J983" s="90"/>
      <c r="K983" s="90"/>
      <c r="L983" s="1901"/>
      <c r="M983" s="643"/>
      <c r="N983" s="643"/>
      <c r="O983" s="658"/>
      <c r="P983" s="658"/>
      <c r="Q983" s="1899"/>
      <c r="R983" s="430"/>
      <c r="S983" s="430"/>
      <c r="T983" s="430"/>
      <c r="U983" s="430"/>
      <c r="V983" s="430"/>
      <c r="W983" s="90"/>
      <c r="X983" s="90"/>
      <c r="Y983" s="90"/>
    </row>
    <row r="984" spans="3:25" ht="15.75" customHeight="1">
      <c r="C984" s="90"/>
      <c r="D984" s="1900"/>
      <c r="E984" s="1895"/>
      <c r="F984" s="1896"/>
      <c r="G984" s="1897"/>
      <c r="H984" s="90"/>
      <c r="I984" s="90"/>
      <c r="J984" s="90"/>
      <c r="K984" s="90"/>
      <c r="L984" s="1901"/>
      <c r="M984" s="643"/>
      <c r="N984" s="643"/>
      <c r="O984" s="658"/>
      <c r="P984" s="658"/>
      <c r="Q984" s="1899"/>
      <c r="R984" s="430"/>
      <c r="S984" s="430"/>
      <c r="T984" s="430"/>
      <c r="U984" s="430"/>
      <c r="V984" s="430"/>
      <c r="W984" s="90"/>
      <c r="X984" s="90"/>
      <c r="Y984" s="90"/>
    </row>
    <row r="985" spans="3:25" ht="15.75" customHeight="1">
      <c r="C985" s="90"/>
      <c r="D985" s="1900"/>
      <c r="E985" s="1895"/>
      <c r="F985" s="1896"/>
      <c r="G985" s="1897"/>
      <c r="H985" s="90"/>
      <c r="I985" s="90"/>
      <c r="J985" s="90"/>
      <c r="K985" s="90"/>
      <c r="L985" s="1901"/>
      <c r="M985" s="643"/>
      <c r="N985" s="643"/>
      <c r="O985" s="658"/>
      <c r="P985" s="658"/>
      <c r="Q985" s="1899"/>
      <c r="R985" s="430"/>
      <c r="S985" s="430"/>
      <c r="T985" s="430"/>
      <c r="U985" s="430"/>
      <c r="V985" s="430"/>
      <c r="W985" s="90"/>
      <c r="X985" s="90"/>
      <c r="Y985" s="90"/>
    </row>
    <row r="986" spans="3:25" ht="15.75" customHeight="1">
      <c r="C986" s="90"/>
      <c r="D986" s="1900"/>
      <c r="E986" s="1895"/>
      <c r="F986" s="1896"/>
      <c r="G986" s="1897"/>
      <c r="H986" s="90"/>
      <c r="I986" s="90"/>
      <c r="J986" s="90"/>
      <c r="K986" s="90"/>
      <c r="L986" s="1901"/>
      <c r="M986" s="643"/>
      <c r="N986" s="643"/>
      <c r="O986" s="658"/>
      <c r="P986" s="658"/>
      <c r="Q986" s="1899"/>
      <c r="R986" s="430"/>
      <c r="S986" s="430"/>
      <c r="T986" s="430"/>
      <c r="U986" s="430"/>
      <c r="V986" s="430"/>
      <c r="W986" s="90"/>
      <c r="X986" s="90"/>
      <c r="Y986" s="90"/>
    </row>
    <row r="987" spans="3:25" ht="15.75" customHeight="1">
      <c r="C987" s="90"/>
      <c r="D987" s="1900"/>
      <c r="E987" s="1895"/>
      <c r="F987" s="1896"/>
      <c r="G987" s="1897"/>
      <c r="H987" s="90"/>
      <c r="I987" s="90"/>
      <c r="J987" s="90"/>
      <c r="K987" s="90"/>
      <c r="L987" s="1901"/>
      <c r="M987" s="643"/>
      <c r="N987" s="643"/>
      <c r="O987" s="658"/>
      <c r="P987" s="658"/>
      <c r="Q987" s="1899"/>
      <c r="R987" s="430"/>
      <c r="S987" s="430"/>
      <c r="T987" s="430"/>
      <c r="U987" s="430"/>
      <c r="V987" s="430"/>
      <c r="W987" s="90"/>
      <c r="X987" s="90"/>
      <c r="Y987" s="90"/>
    </row>
    <row r="988" spans="3:25" ht="15.75" customHeight="1">
      <c r="C988" s="90"/>
      <c r="D988" s="1900"/>
      <c r="E988" s="1895"/>
      <c r="F988" s="1896"/>
      <c r="G988" s="1897"/>
      <c r="H988" s="90"/>
      <c r="I988" s="90"/>
      <c r="J988" s="90"/>
      <c r="K988" s="90"/>
      <c r="L988" s="1901"/>
      <c r="M988" s="643"/>
      <c r="N988" s="643"/>
      <c r="O988" s="658"/>
      <c r="P988" s="658"/>
      <c r="Q988" s="1899"/>
      <c r="R988" s="430"/>
      <c r="S988" s="430"/>
      <c r="T988" s="430"/>
      <c r="U988" s="430"/>
      <c r="V988" s="430"/>
      <c r="W988" s="90"/>
      <c r="X988" s="90"/>
      <c r="Y988" s="90"/>
    </row>
    <row r="989" spans="3:25" ht="15.75" customHeight="1">
      <c r="C989" s="90"/>
      <c r="D989" s="1900"/>
      <c r="E989" s="1895"/>
      <c r="F989" s="1896"/>
      <c r="G989" s="1897"/>
      <c r="H989" s="90"/>
      <c r="I989" s="90"/>
      <c r="J989" s="90"/>
      <c r="K989" s="90"/>
      <c r="L989" s="1901"/>
      <c r="M989" s="643"/>
      <c r="N989" s="643"/>
      <c r="O989" s="658"/>
      <c r="P989" s="658"/>
      <c r="Q989" s="1899"/>
      <c r="R989" s="430"/>
      <c r="S989" s="430"/>
      <c r="T989" s="430"/>
      <c r="U989" s="430"/>
      <c r="V989" s="430"/>
      <c r="W989" s="90"/>
      <c r="X989" s="90"/>
      <c r="Y989" s="90"/>
    </row>
    <row r="990" spans="3:25" ht="15.75" customHeight="1">
      <c r="C990" s="90"/>
      <c r="D990" s="1900"/>
      <c r="E990" s="1895"/>
      <c r="F990" s="1896"/>
      <c r="G990" s="1897"/>
      <c r="H990" s="90"/>
      <c r="I990" s="90"/>
      <c r="J990" s="90"/>
      <c r="K990" s="90"/>
      <c r="L990" s="1901"/>
      <c r="M990" s="643"/>
      <c r="N990" s="643"/>
      <c r="O990" s="658"/>
      <c r="P990" s="658"/>
      <c r="Q990" s="1899"/>
      <c r="R990" s="430"/>
      <c r="S990" s="430"/>
      <c r="T990" s="430"/>
      <c r="U990" s="430"/>
      <c r="V990" s="430"/>
      <c r="W990" s="90"/>
      <c r="X990" s="90"/>
      <c r="Y990" s="90"/>
    </row>
    <row r="991" spans="3:25" ht="15.75" customHeight="1">
      <c r="C991" s="90"/>
      <c r="D991" s="1900"/>
      <c r="E991" s="1895"/>
      <c r="F991" s="1896"/>
      <c r="G991" s="1897"/>
      <c r="H991" s="90"/>
      <c r="I991" s="90"/>
      <c r="J991" s="90"/>
      <c r="K991" s="90"/>
      <c r="L991" s="1901"/>
      <c r="M991" s="643"/>
      <c r="N991" s="643"/>
      <c r="O991" s="658"/>
      <c r="P991" s="658"/>
      <c r="Q991" s="1899"/>
      <c r="R991" s="430"/>
      <c r="S991" s="430"/>
      <c r="T991" s="430"/>
      <c r="U991" s="430"/>
      <c r="V991" s="430"/>
      <c r="W991" s="90"/>
      <c r="X991" s="90"/>
      <c r="Y991" s="90"/>
    </row>
    <row r="992" spans="3:25" ht="15.75" customHeight="1">
      <c r="C992" s="90"/>
      <c r="D992" s="1900"/>
      <c r="E992" s="1895"/>
      <c r="F992" s="1896"/>
      <c r="G992" s="1897"/>
      <c r="H992" s="90"/>
      <c r="I992" s="90"/>
      <c r="J992" s="90"/>
      <c r="K992" s="90"/>
      <c r="L992" s="1901"/>
      <c r="M992" s="643"/>
      <c r="N992" s="643"/>
      <c r="O992" s="658"/>
      <c r="P992" s="658"/>
      <c r="Q992" s="1899"/>
      <c r="R992" s="430"/>
      <c r="S992" s="430"/>
      <c r="T992" s="430"/>
      <c r="U992" s="430"/>
      <c r="V992" s="430"/>
      <c r="W992" s="90"/>
      <c r="X992" s="90"/>
      <c r="Y992" s="90"/>
    </row>
    <row r="993" spans="3:25" ht="15.75" customHeight="1">
      <c r="C993" s="90"/>
      <c r="D993" s="1900"/>
      <c r="E993" s="1895"/>
      <c r="F993" s="1896"/>
      <c r="G993" s="1897"/>
      <c r="H993" s="90"/>
      <c r="I993" s="90"/>
      <c r="J993" s="90"/>
      <c r="K993" s="90"/>
      <c r="L993" s="1901"/>
      <c r="M993" s="643"/>
      <c r="N993" s="643"/>
      <c r="O993" s="658"/>
      <c r="P993" s="658"/>
      <c r="Q993" s="1899"/>
      <c r="R993" s="430"/>
      <c r="S993" s="430"/>
      <c r="T993" s="430"/>
      <c r="U993" s="430"/>
      <c r="V993" s="430"/>
      <c r="W993" s="90"/>
      <c r="X993" s="90"/>
      <c r="Y993" s="90"/>
    </row>
    <row r="994" spans="3:25" ht="15.75" customHeight="1">
      <c r="C994" s="90"/>
      <c r="D994" s="1900"/>
      <c r="E994" s="1895"/>
      <c r="F994" s="1896"/>
      <c r="G994" s="1897"/>
      <c r="H994" s="90"/>
      <c r="I994" s="90"/>
      <c r="J994" s="90"/>
      <c r="K994" s="90"/>
      <c r="L994" s="1901"/>
      <c r="M994" s="643"/>
      <c r="N994" s="643"/>
      <c r="O994" s="658"/>
      <c r="P994" s="658"/>
      <c r="Q994" s="1899"/>
      <c r="R994" s="430"/>
      <c r="S994" s="430"/>
      <c r="T994" s="430"/>
      <c r="U994" s="430"/>
      <c r="V994" s="430"/>
      <c r="W994" s="90"/>
      <c r="X994" s="90"/>
      <c r="Y994" s="90"/>
    </row>
    <row r="995" spans="3:25" ht="15.75" customHeight="1">
      <c r="C995" s="90"/>
      <c r="D995" s="1900"/>
      <c r="E995" s="1895"/>
      <c r="F995" s="1896"/>
      <c r="G995" s="1897"/>
      <c r="H995" s="90"/>
      <c r="I995" s="90"/>
      <c r="J995" s="90"/>
      <c r="K995" s="90"/>
      <c r="L995" s="1901"/>
      <c r="M995" s="643"/>
      <c r="N995" s="643"/>
      <c r="O995" s="658"/>
      <c r="P995" s="658"/>
      <c r="Q995" s="1899"/>
      <c r="R995" s="430"/>
      <c r="S995" s="430"/>
      <c r="T995" s="430"/>
      <c r="U995" s="430"/>
      <c r="V995" s="430"/>
      <c r="W995" s="90"/>
      <c r="X995" s="90"/>
      <c r="Y995" s="90"/>
    </row>
    <row r="996" spans="3:25" ht="15.75" customHeight="1">
      <c r="C996" s="90"/>
      <c r="D996" s="1900"/>
      <c r="E996" s="1895"/>
      <c r="F996" s="1896"/>
      <c r="G996" s="1897"/>
      <c r="H996" s="90"/>
      <c r="I996" s="90"/>
      <c r="J996" s="90"/>
      <c r="K996" s="90"/>
      <c r="L996" s="1901"/>
      <c r="M996" s="643"/>
      <c r="N996" s="643"/>
      <c r="O996" s="658"/>
      <c r="P996" s="658"/>
      <c r="Q996" s="1899"/>
      <c r="R996" s="430"/>
      <c r="S996" s="430"/>
      <c r="T996" s="430"/>
      <c r="U996" s="430"/>
      <c r="V996" s="430"/>
      <c r="W996" s="90"/>
      <c r="X996" s="90"/>
      <c r="Y996" s="90"/>
    </row>
    <row r="997" spans="3:25" ht="15.75" customHeight="1">
      <c r="C997" s="90"/>
      <c r="D997" s="1900"/>
      <c r="E997" s="1895"/>
      <c r="F997" s="1896"/>
      <c r="G997" s="1897"/>
      <c r="H997" s="90"/>
      <c r="I997" s="90"/>
      <c r="J997" s="90"/>
      <c r="K997" s="90"/>
      <c r="L997" s="1901"/>
      <c r="M997" s="643"/>
      <c r="N997" s="643"/>
      <c r="O997" s="658"/>
      <c r="P997" s="658"/>
      <c r="Q997" s="1899"/>
      <c r="R997" s="430"/>
      <c r="S997" s="430"/>
      <c r="T997" s="430"/>
      <c r="U997" s="430"/>
      <c r="V997" s="430"/>
      <c r="W997" s="90"/>
      <c r="X997" s="90"/>
      <c r="Y997" s="90"/>
    </row>
    <row r="998" spans="3:25" ht="15.75" customHeight="1">
      <c r="C998" s="90"/>
      <c r="D998" s="1900"/>
      <c r="E998" s="1895"/>
      <c r="F998" s="1896"/>
      <c r="G998" s="1897"/>
      <c r="H998" s="90"/>
      <c r="I998" s="90"/>
      <c r="J998" s="90"/>
      <c r="K998" s="90"/>
      <c r="L998" s="1901"/>
      <c r="M998" s="643"/>
      <c r="N998" s="643"/>
      <c r="O998" s="658"/>
      <c r="P998" s="658"/>
      <c r="Q998" s="1899"/>
      <c r="R998" s="430"/>
      <c r="S998" s="430"/>
      <c r="T998" s="430"/>
      <c r="U998" s="430"/>
      <c r="V998" s="430"/>
      <c r="W998" s="90"/>
      <c r="X998" s="90"/>
      <c r="Y998" s="90"/>
    </row>
    <row r="999" spans="3:25" ht="15.75" customHeight="1">
      <c r="C999" s="90"/>
      <c r="D999" s="1900"/>
      <c r="E999" s="1895"/>
      <c r="F999" s="1896"/>
      <c r="G999" s="1897"/>
      <c r="H999" s="90"/>
      <c r="I999" s="90"/>
      <c r="J999" s="90"/>
      <c r="K999" s="90"/>
      <c r="L999" s="1901"/>
      <c r="M999" s="643"/>
      <c r="N999" s="643"/>
      <c r="O999" s="658"/>
      <c r="P999" s="658"/>
      <c r="Q999" s="1899"/>
      <c r="R999" s="430"/>
      <c r="S999" s="430"/>
      <c r="T999" s="430"/>
      <c r="U999" s="430"/>
      <c r="V999" s="430"/>
      <c r="W999" s="90"/>
      <c r="X999" s="90"/>
      <c r="Y999" s="90"/>
    </row>
    <row r="1000" spans="3:25" ht="15.75" customHeight="1">
      <c r="C1000" s="90"/>
      <c r="D1000" s="1900"/>
      <c r="E1000" s="1895"/>
      <c r="F1000" s="1896"/>
      <c r="G1000" s="1897"/>
      <c r="H1000" s="90"/>
      <c r="I1000" s="90"/>
      <c r="J1000" s="90"/>
      <c r="K1000" s="90"/>
      <c r="L1000" s="1901"/>
      <c r="M1000" s="643"/>
      <c r="N1000" s="643"/>
      <c r="O1000" s="658"/>
      <c r="P1000" s="658"/>
      <c r="Q1000" s="1899"/>
      <c r="R1000" s="430"/>
      <c r="S1000" s="430"/>
      <c r="T1000" s="430"/>
      <c r="U1000" s="430"/>
      <c r="V1000" s="430"/>
      <c r="W1000" s="90"/>
      <c r="X1000" s="90"/>
      <c r="Y1000" s="90"/>
    </row>
    <row r="1001" spans="3:25" ht="15.75" customHeight="1">
      <c r="C1001" s="90"/>
      <c r="D1001" s="1900"/>
      <c r="E1001" s="1895"/>
      <c r="F1001" s="1896"/>
      <c r="G1001" s="1897"/>
      <c r="H1001" s="90"/>
      <c r="I1001" s="90"/>
      <c r="J1001" s="90"/>
      <c r="K1001" s="90"/>
      <c r="L1001" s="1901"/>
      <c r="M1001" s="643"/>
      <c r="N1001" s="643"/>
      <c r="O1001" s="658"/>
      <c r="P1001" s="658"/>
      <c r="Q1001" s="1899"/>
      <c r="R1001" s="430"/>
      <c r="S1001" s="430"/>
      <c r="T1001" s="430"/>
      <c r="U1001" s="430"/>
      <c r="V1001" s="430"/>
      <c r="W1001" s="90"/>
      <c r="X1001" s="90"/>
      <c r="Y1001" s="90"/>
    </row>
    <row r="1002" spans="3:25" ht="15.75" customHeight="1">
      <c r="C1002" s="90"/>
      <c r="D1002" s="1900"/>
      <c r="E1002" s="1895"/>
      <c r="F1002" s="1896"/>
      <c r="G1002" s="1897"/>
      <c r="H1002" s="90"/>
      <c r="I1002" s="90"/>
      <c r="J1002" s="90"/>
      <c r="K1002" s="90"/>
      <c r="L1002" s="1901"/>
      <c r="M1002" s="643"/>
      <c r="N1002" s="643"/>
      <c r="O1002" s="658"/>
      <c r="P1002" s="658"/>
      <c r="Q1002" s="1899"/>
      <c r="R1002" s="430"/>
      <c r="S1002" s="430"/>
      <c r="T1002" s="430"/>
      <c r="U1002" s="430"/>
      <c r="V1002" s="430"/>
      <c r="W1002" s="90"/>
      <c r="X1002" s="90"/>
      <c r="Y1002" s="90"/>
    </row>
    <row r="1003" spans="3:25" ht="15.75" customHeight="1">
      <c r="C1003" s="90"/>
      <c r="D1003" s="1900"/>
      <c r="E1003" s="1895"/>
      <c r="F1003" s="1896"/>
      <c r="G1003" s="1897"/>
      <c r="H1003" s="90"/>
      <c r="I1003" s="90"/>
      <c r="J1003" s="90"/>
      <c r="K1003" s="90"/>
      <c r="L1003" s="1901"/>
      <c r="M1003" s="643"/>
      <c r="N1003" s="643"/>
      <c r="O1003" s="658"/>
      <c r="P1003" s="658"/>
      <c r="Q1003" s="1899"/>
      <c r="R1003" s="430"/>
      <c r="S1003" s="430"/>
      <c r="T1003" s="430"/>
      <c r="U1003" s="430"/>
      <c r="V1003" s="430"/>
      <c r="W1003" s="90"/>
      <c r="X1003" s="90"/>
      <c r="Y1003" s="90"/>
    </row>
    <row r="1004" spans="3:25" ht="15.75" customHeight="1">
      <c r="C1004" s="90"/>
      <c r="D1004" s="1900"/>
      <c r="E1004" s="1895"/>
      <c r="F1004" s="1896"/>
      <c r="G1004" s="1897"/>
      <c r="H1004" s="90"/>
      <c r="I1004" s="90"/>
      <c r="J1004" s="90"/>
      <c r="K1004" s="90"/>
      <c r="L1004" s="1901"/>
      <c r="M1004" s="643"/>
      <c r="N1004" s="643"/>
      <c r="O1004" s="658"/>
      <c r="P1004" s="658"/>
      <c r="Q1004" s="1899"/>
      <c r="R1004" s="430"/>
      <c r="S1004" s="430"/>
      <c r="T1004" s="430"/>
      <c r="U1004" s="430"/>
      <c r="V1004" s="430"/>
      <c r="W1004" s="90"/>
      <c r="X1004" s="90"/>
      <c r="Y1004" s="90"/>
    </row>
    <row r="1005" spans="3:25" ht="15.75" customHeight="1">
      <c r="C1005" s="90"/>
      <c r="D1005" s="1900"/>
      <c r="E1005" s="1895"/>
      <c r="F1005" s="1896"/>
      <c r="G1005" s="1897"/>
      <c r="H1005" s="90"/>
      <c r="I1005" s="90"/>
      <c r="J1005" s="90"/>
      <c r="K1005" s="90"/>
      <c r="L1005" s="1901"/>
      <c r="M1005" s="643"/>
      <c r="N1005" s="643"/>
      <c r="O1005" s="658"/>
      <c r="P1005" s="658"/>
      <c r="Q1005" s="1899"/>
      <c r="R1005" s="430"/>
      <c r="S1005" s="430"/>
      <c r="T1005" s="430"/>
      <c r="U1005" s="430"/>
      <c r="V1005" s="430"/>
      <c r="W1005" s="90"/>
      <c r="X1005" s="90"/>
      <c r="Y1005" s="90"/>
    </row>
    <row r="1006" spans="3:25" ht="15.75" customHeight="1">
      <c r="C1006" s="90"/>
      <c r="D1006" s="1900"/>
      <c r="E1006" s="1895"/>
      <c r="F1006" s="1896"/>
      <c r="G1006" s="1897"/>
      <c r="H1006" s="90"/>
      <c r="I1006" s="90"/>
      <c r="J1006" s="90"/>
      <c r="K1006" s="90"/>
      <c r="L1006" s="1901"/>
      <c r="M1006" s="643"/>
      <c r="N1006" s="643"/>
      <c r="O1006" s="658"/>
      <c r="P1006" s="658"/>
      <c r="Q1006" s="1899"/>
      <c r="R1006" s="430"/>
      <c r="S1006" s="430"/>
      <c r="T1006" s="430"/>
      <c r="U1006" s="430"/>
      <c r="V1006" s="430"/>
      <c r="W1006" s="90"/>
      <c r="X1006" s="90"/>
      <c r="Y1006" s="90"/>
    </row>
    <row r="1007" spans="3:25" ht="15.75" customHeight="1">
      <c r="C1007" s="90"/>
      <c r="D1007" s="1900"/>
      <c r="E1007" s="1895"/>
      <c r="F1007" s="1896"/>
      <c r="G1007" s="1897"/>
      <c r="H1007" s="90"/>
      <c r="I1007" s="90"/>
      <c r="J1007" s="90"/>
      <c r="K1007" s="90"/>
      <c r="L1007" s="1901"/>
      <c r="M1007" s="643"/>
      <c r="N1007" s="643"/>
      <c r="O1007" s="658"/>
      <c r="P1007" s="658"/>
      <c r="Q1007" s="1899"/>
      <c r="R1007" s="430"/>
      <c r="S1007" s="430"/>
      <c r="T1007" s="430"/>
      <c r="U1007" s="430"/>
      <c r="V1007" s="430"/>
      <c r="W1007" s="90"/>
      <c r="X1007" s="90"/>
      <c r="Y1007" s="90"/>
    </row>
    <row r="1008" spans="3:25" ht="15.75" customHeight="1">
      <c r="C1008" s="90"/>
      <c r="D1008" s="1900"/>
      <c r="E1008" s="1895"/>
      <c r="F1008" s="1896"/>
      <c r="G1008" s="1897"/>
      <c r="H1008" s="90"/>
      <c r="I1008" s="90"/>
      <c r="J1008" s="90"/>
      <c r="K1008" s="90"/>
      <c r="L1008" s="1901"/>
      <c r="M1008" s="643"/>
      <c r="N1008" s="643"/>
      <c r="O1008" s="658"/>
      <c r="P1008" s="658"/>
      <c r="Q1008" s="1899"/>
      <c r="R1008" s="430"/>
      <c r="S1008" s="430"/>
      <c r="T1008" s="430"/>
      <c r="U1008" s="430"/>
      <c r="V1008" s="430"/>
      <c r="W1008" s="90"/>
      <c r="X1008" s="90"/>
      <c r="Y1008" s="90"/>
    </row>
    <row r="1009" spans="3:25" ht="15.75" customHeight="1">
      <c r="C1009" s="90"/>
      <c r="D1009" s="1900"/>
      <c r="E1009" s="1895"/>
      <c r="F1009" s="1896"/>
      <c r="G1009" s="1897"/>
      <c r="H1009" s="90"/>
      <c r="I1009" s="90"/>
      <c r="J1009" s="90"/>
      <c r="K1009" s="90"/>
      <c r="L1009" s="1901"/>
      <c r="M1009" s="643"/>
      <c r="N1009" s="643"/>
      <c r="O1009" s="658"/>
      <c r="P1009" s="658"/>
      <c r="Q1009" s="1899"/>
      <c r="R1009" s="430"/>
      <c r="S1009" s="430"/>
      <c r="T1009" s="430"/>
      <c r="U1009" s="430"/>
      <c r="V1009" s="430"/>
      <c r="W1009" s="90"/>
      <c r="X1009" s="90"/>
      <c r="Y1009" s="90"/>
    </row>
    <row r="1010" spans="3:25" ht="15.75" customHeight="1">
      <c r="C1010" s="90"/>
      <c r="D1010" s="1900"/>
      <c r="E1010" s="1895"/>
      <c r="F1010" s="1896"/>
      <c r="G1010" s="1897"/>
      <c r="H1010" s="90"/>
      <c r="I1010" s="90"/>
      <c r="J1010" s="90"/>
      <c r="K1010" s="90"/>
      <c r="L1010" s="1901"/>
      <c r="M1010" s="643"/>
      <c r="N1010" s="643"/>
      <c r="O1010" s="658"/>
      <c r="P1010" s="658"/>
      <c r="Q1010" s="1899"/>
      <c r="R1010" s="430"/>
      <c r="S1010" s="430"/>
      <c r="T1010" s="430"/>
      <c r="U1010" s="430"/>
      <c r="V1010" s="430"/>
      <c r="W1010" s="90"/>
      <c r="X1010" s="90"/>
      <c r="Y1010" s="90"/>
    </row>
    <row r="1011" spans="3:25" ht="15.75" customHeight="1">
      <c r="C1011" s="90"/>
      <c r="D1011" s="1900"/>
      <c r="E1011" s="1895"/>
      <c r="F1011" s="1896"/>
      <c r="G1011" s="1897"/>
      <c r="H1011" s="90"/>
      <c r="I1011" s="90"/>
      <c r="J1011" s="90"/>
      <c r="K1011" s="90"/>
      <c r="L1011" s="1901"/>
      <c r="M1011" s="643"/>
      <c r="N1011" s="643"/>
      <c r="O1011" s="658"/>
      <c r="P1011" s="658"/>
      <c r="Q1011" s="1899"/>
      <c r="R1011" s="430"/>
      <c r="S1011" s="430"/>
      <c r="T1011" s="430"/>
      <c r="U1011" s="430"/>
      <c r="V1011" s="430"/>
      <c r="W1011" s="90"/>
      <c r="X1011" s="90"/>
      <c r="Y1011" s="90"/>
    </row>
    <row r="1012" spans="3:25" ht="15.75" customHeight="1">
      <c r="C1012" s="90"/>
      <c r="D1012" s="1900"/>
      <c r="E1012" s="1895"/>
      <c r="F1012" s="1896"/>
      <c r="G1012" s="1897"/>
      <c r="H1012" s="90"/>
      <c r="I1012" s="90"/>
      <c r="J1012" s="90"/>
      <c r="K1012" s="90"/>
      <c r="L1012" s="1901"/>
      <c r="M1012" s="643"/>
      <c r="N1012" s="643"/>
      <c r="O1012" s="658"/>
      <c r="P1012" s="658"/>
      <c r="Q1012" s="1899"/>
      <c r="R1012" s="430"/>
      <c r="S1012" s="430"/>
      <c r="T1012" s="430"/>
      <c r="U1012" s="430"/>
      <c r="V1012" s="430"/>
      <c r="W1012" s="90"/>
      <c r="X1012" s="90"/>
      <c r="Y1012" s="90"/>
    </row>
    <row r="1013" spans="3:25" ht="15.75" customHeight="1">
      <c r="C1013" s="90"/>
      <c r="D1013" s="1900"/>
      <c r="E1013" s="1895"/>
      <c r="F1013" s="1896"/>
      <c r="G1013" s="1897"/>
      <c r="H1013" s="90"/>
      <c r="I1013" s="90"/>
      <c r="J1013" s="90"/>
      <c r="K1013" s="90"/>
      <c r="L1013" s="1901"/>
      <c r="M1013" s="643"/>
      <c r="N1013" s="643"/>
      <c r="O1013" s="658"/>
      <c r="P1013" s="658"/>
      <c r="Q1013" s="1899"/>
      <c r="R1013" s="430"/>
      <c r="S1013" s="430"/>
      <c r="T1013" s="430"/>
      <c r="U1013" s="430"/>
      <c r="V1013" s="430"/>
      <c r="W1013" s="90"/>
      <c r="X1013" s="90"/>
      <c r="Y1013" s="90"/>
    </row>
    <row r="1014" spans="3:25" ht="15.75" customHeight="1">
      <c r="C1014" s="90"/>
      <c r="D1014" s="1900"/>
      <c r="E1014" s="1895"/>
      <c r="F1014" s="1896"/>
      <c r="G1014" s="1897"/>
      <c r="H1014" s="90"/>
      <c r="I1014" s="90"/>
      <c r="J1014" s="90"/>
      <c r="K1014" s="90"/>
      <c r="L1014" s="1901"/>
      <c r="M1014" s="643"/>
      <c r="N1014" s="643"/>
      <c r="O1014" s="658"/>
      <c r="P1014" s="658"/>
      <c r="Q1014" s="1899"/>
      <c r="R1014" s="430"/>
      <c r="S1014" s="430"/>
      <c r="T1014" s="430"/>
      <c r="U1014" s="430"/>
      <c r="V1014" s="430"/>
      <c r="W1014" s="90"/>
      <c r="X1014" s="90"/>
      <c r="Y1014" s="90"/>
    </row>
    <row r="1015" spans="3:25" ht="15.75" customHeight="1">
      <c r="C1015" s="90"/>
      <c r="D1015" s="1900"/>
      <c r="E1015" s="1895"/>
      <c r="F1015" s="1896"/>
      <c r="G1015" s="1897"/>
      <c r="H1015" s="90"/>
      <c r="I1015" s="90"/>
      <c r="J1015" s="90"/>
      <c r="K1015" s="90"/>
      <c r="L1015" s="1901"/>
      <c r="M1015" s="643"/>
      <c r="N1015" s="643"/>
      <c r="O1015" s="658"/>
      <c r="P1015" s="658"/>
      <c r="Q1015" s="1899"/>
      <c r="R1015" s="430"/>
      <c r="S1015" s="430"/>
      <c r="T1015" s="430"/>
      <c r="U1015" s="430"/>
      <c r="V1015" s="430"/>
      <c r="W1015" s="90"/>
      <c r="X1015" s="90"/>
      <c r="Y1015" s="90"/>
    </row>
    <row r="1016" spans="3:25" ht="15.75" customHeight="1">
      <c r="C1016" s="90"/>
      <c r="D1016" s="1900"/>
      <c r="E1016" s="1895"/>
      <c r="F1016" s="1896"/>
      <c r="G1016" s="1897"/>
      <c r="H1016" s="90"/>
      <c r="I1016" s="90"/>
      <c r="J1016" s="90"/>
      <c r="K1016" s="90"/>
      <c r="L1016" s="1901"/>
      <c r="M1016" s="643"/>
      <c r="N1016" s="643"/>
      <c r="O1016" s="658"/>
      <c r="P1016" s="658"/>
      <c r="Q1016" s="1899"/>
      <c r="R1016" s="430"/>
      <c r="S1016" s="430"/>
      <c r="T1016" s="430"/>
      <c r="U1016" s="430"/>
      <c r="V1016" s="430"/>
      <c r="W1016" s="90"/>
      <c r="X1016" s="90"/>
      <c r="Y1016" s="90"/>
    </row>
    <row r="1017" spans="3:25" ht="15.75" customHeight="1">
      <c r="C1017" s="90"/>
      <c r="D1017" s="1900"/>
      <c r="E1017" s="1895"/>
      <c r="F1017" s="1896"/>
      <c r="G1017" s="1897"/>
      <c r="H1017" s="90"/>
      <c r="I1017" s="90"/>
      <c r="J1017" s="90"/>
      <c r="K1017" s="90"/>
      <c r="L1017" s="1901"/>
      <c r="M1017" s="643"/>
      <c r="N1017" s="643"/>
      <c r="O1017" s="658"/>
      <c r="P1017" s="658"/>
      <c r="Q1017" s="1899"/>
      <c r="R1017" s="430"/>
      <c r="S1017" s="430"/>
      <c r="T1017" s="430"/>
      <c r="U1017" s="430"/>
      <c r="V1017" s="430"/>
      <c r="W1017" s="90"/>
      <c r="X1017" s="90"/>
      <c r="Y1017" s="90"/>
    </row>
    <row r="1018" spans="3:25" ht="15.75" customHeight="1">
      <c r="C1018" s="90"/>
      <c r="D1018" s="1900"/>
      <c r="E1018" s="1895"/>
      <c r="F1018" s="1896"/>
      <c r="G1018" s="1897"/>
      <c r="H1018" s="90"/>
      <c r="I1018" s="90"/>
      <c r="J1018" s="90"/>
      <c r="K1018" s="90"/>
      <c r="L1018" s="1901"/>
      <c r="M1018" s="643"/>
      <c r="N1018" s="643"/>
      <c r="O1018" s="658"/>
      <c r="P1018" s="658"/>
      <c r="Q1018" s="1899"/>
      <c r="R1018" s="430"/>
      <c r="S1018" s="430"/>
      <c r="T1018" s="430"/>
      <c r="U1018" s="430"/>
      <c r="V1018" s="430"/>
      <c r="W1018" s="90"/>
      <c r="X1018" s="90"/>
      <c r="Y1018" s="90"/>
    </row>
    <row r="1019" spans="3:25" ht="15.75" customHeight="1">
      <c r="C1019" s="90"/>
      <c r="D1019" s="1900"/>
      <c r="E1019" s="1895"/>
      <c r="F1019" s="1896"/>
      <c r="G1019" s="1897"/>
      <c r="H1019" s="90"/>
      <c r="I1019" s="90"/>
      <c r="J1019" s="90"/>
      <c r="K1019" s="90"/>
      <c r="L1019" s="1901"/>
      <c r="M1019" s="643"/>
      <c r="N1019" s="643"/>
      <c r="O1019" s="658"/>
      <c r="P1019" s="658"/>
      <c r="Q1019" s="1899"/>
      <c r="R1019" s="430"/>
      <c r="S1019" s="430"/>
      <c r="T1019" s="430"/>
      <c r="U1019" s="430"/>
      <c r="V1019" s="430"/>
      <c r="W1019" s="90"/>
      <c r="X1019" s="90"/>
      <c r="Y1019" s="90"/>
    </row>
    <row r="1020" spans="3:25" ht="15.75" customHeight="1">
      <c r="C1020" s="90"/>
      <c r="D1020" s="1900"/>
      <c r="E1020" s="1895"/>
      <c r="F1020" s="1896"/>
      <c r="G1020" s="1897"/>
      <c r="H1020" s="90"/>
      <c r="I1020" s="90"/>
      <c r="J1020" s="90"/>
      <c r="K1020" s="90"/>
      <c r="L1020" s="1901"/>
      <c r="M1020" s="643"/>
      <c r="N1020" s="643"/>
      <c r="O1020" s="658"/>
      <c r="P1020" s="658"/>
      <c r="Q1020" s="1899"/>
      <c r="R1020" s="430"/>
      <c r="S1020" s="430"/>
      <c r="T1020" s="430"/>
      <c r="U1020" s="430"/>
      <c r="V1020" s="430"/>
      <c r="W1020" s="90"/>
      <c r="X1020" s="90"/>
      <c r="Y1020" s="90"/>
    </row>
    <row r="1021" spans="3:25" ht="15.75" customHeight="1">
      <c r="C1021" s="90"/>
      <c r="D1021" s="1900"/>
      <c r="E1021" s="1895"/>
      <c r="F1021" s="1896"/>
      <c r="G1021" s="1897"/>
      <c r="H1021" s="90"/>
      <c r="I1021" s="90"/>
      <c r="J1021" s="90"/>
      <c r="K1021" s="90"/>
      <c r="L1021" s="1901"/>
      <c r="M1021" s="643"/>
      <c r="N1021" s="643"/>
      <c r="O1021" s="658"/>
      <c r="P1021" s="658"/>
      <c r="Q1021" s="1899"/>
      <c r="R1021" s="430"/>
      <c r="S1021" s="430"/>
      <c r="T1021" s="430"/>
      <c r="U1021" s="430"/>
      <c r="V1021" s="430"/>
      <c r="W1021" s="90"/>
      <c r="X1021" s="90"/>
      <c r="Y1021" s="90"/>
    </row>
    <row r="1022" spans="3:25" ht="15.75" customHeight="1">
      <c r="C1022" s="90"/>
      <c r="D1022" s="1900"/>
      <c r="E1022" s="1895"/>
      <c r="F1022" s="1896"/>
      <c r="G1022" s="1897"/>
      <c r="H1022" s="90"/>
      <c r="I1022" s="90"/>
      <c r="J1022" s="90"/>
      <c r="K1022" s="90"/>
      <c r="L1022" s="1901"/>
      <c r="M1022" s="643"/>
      <c r="N1022" s="643"/>
      <c r="O1022" s="658"/>
      <c r="P1022" s="658"/>
      <c r="Q1022" s="1899"/>
      <c r="R1022" s="430"/>
      <c r="S1022" s="430"/>
      <c r="T1022" s="430"/>
      <c r="U1022" s="430"/>
      <c r="V1022" s="430"/>
      <c r="W1022" s="90"/>
      <c r="X1022" s="90"/>
      <c r="Y1022" s="90"/>
    </row>
    <row r="1023" spans="3:25" ht="15.75" customHeight="1">
      <c r="C1023" s="90"/>
      <c r="D1023" s="1900"/>
      <c r="E1023" s="1895"/>
      <c r="F1023" s="1896"/>
      <c r="G1023" s="1897"/>
      <c r="H1023" s="90"/>
      <c r="I1023" s="90"/>
      <c r="J1023" s="90"/>
      <c r="K1023" s="90"/>
      <c r="L1023" s="1901"/>
      <c r="M1023" s="643"/>
      <c r="N1023" s="643"/>
      <c r="O1023" s="658"/>
      <c r="P1023" s="658"/>
      <c r="Q1023" s="1899"/>
      <c r="R1023" s="430"/>
      <c r="S1023" s="430"/>
      <c r="T1023" s="430"/>
      <c r="U1023" s="430"/>
      <c r="V1023" s="430"/>
      <c r="W1023" s="90"/>
      <c r="X1023" s="90"/>
      <c r="Y1023" s="90"/>
    </row>
    <row r="1024" spans="3:25" ht="15.75" customHeight="1">
      <c r="C1024" s="90"/>
      <c r="D1024" s="1900"/>
      <c r="E1024" s="1895"/>
      <c r="F1024" s="1896"/>
      <c r="G1024" s="1897"/>
      <c r="H1024" s="90"/>
      <c r="I1024" s="90"/>
      <c r="J1024" s="90"/>
      <c r="K1024" s="90"/>
      <c r="L1024" s="1901"/>
      <c r="M1024" s="643"/>
      <c r="N1024" s="643"/>
      <c r="O1024" s="658"/>
      <c r="P1024" s="658"/>
      <c r="Q1024" s="1899"/>
      <c r="R1024" s="430"/>
      <c r="S1024" s="430"/>
      <c r="T1024" s="430"/>
      <c r="U1024" s="430"/>
      <c r="V1024" s="430"/>
      <c r="W1024" s="90"/>
      <c r="X1024" s="90"/>
      <c r="Y1024" s="90"/>
    </row>
    <row r="1025" spans="3:25" ht="15.75" customHeight="1">
      <c r="C1025" s="90"/>
      <c r="D1025" s="1900"/>
      <c r="E1025" s="1895"/>
      <c r="F1025" s="1896"/>
      <c r="G1025" s="1897"/>
      <c r="H1025" s="90"/>
      <c r="I1025" s="90"/>
      <c r="J1025" s="90"/>
      <c r="K1025" s="90"/>
      <c r="L1025" s="1901"/>
      <c r="M1025" s="643"/>
      <c r="N1025" s="643"/>
      <c r="O1025" s="658"/>
      <c r="P1025" s="658"/>
      <c r="Q1025" s="1899"/>
      <c r="R1025" s="430"/>
      <c r="S1025" s="430"/>
      <c r="T1025" s="430"/>
      <c r="U1025" s="430"/>
      <c r="V1025" s="430"/>
      <c r="W1025" s="90"/>
      <c r="X1025" s="90"/>
      <c r="Y1025" s="90"/>
    </row>
    <row r="1026" spans="3:25" ht="15.75" customHeight="1">
      <c r="C1026" s="90"/>
      <c r="D1026" s="1900"/>
      <c r="E1026" s="1895"/>
      <c r="F1026" s="1896"/>
      <c r="G1026" s="1897"/>
      <c r="H1026" s="90"/>
      <c r="I1026" s="90"/>
      <c r="J1026" s="90"/>
      <c r="K1026" s="90"/>
      <c r="L1026" s="1901"/>
      <c r="M1026" s="643"/>
      <c r="N1026" s="643"/>
      <c r="O1026" s="658"/>
      <c r="P1026" s="658"/>
      <c r="Q1026" s="1899"/>
      <c r="R1026" s="430"/>
      <c r="S1026" s="430"/>
      <c r="T1026" s="430"/>
      <c r="U1026" s="430"/>
      <c r="V1026" s="430"/>
      <c r="W1026" s="90"/>
      <c r="X1026" s="90"/>
      <c r="Y1026" s="90"/>
    </row>
    <row r="1027" spans="3:25" ht="15.75" customHeight="1">
      <c r="C1027" s="90"/>
      <c r="D1027" s="1900"/>
      <c r="E1027" s="1895"/>
      <c r="F1027" s="1896"/>
      <c r="G1027" s="1897"/>
      <c r="H1027" s="90"/>
      <c r="I1027" s="90"/>
      <c r="J1027" s="90"/>
      <c r="K1027" s="90"/>
      <c r="L1027" s="1901"/>
      <c r="M1027" s="643"/>
      <c r="N1027" s="643"/>
      <c r="O1027" s="658"/>
      <c r="P1027" s="658"/>
      <c r="Q1027" s="1899"/>
      <c r="R1027" s="430"/>
      <c r="S1027" s="430"/>
      <c r="T1027" s="430"/>
      <c r="U1027" s="430"/>
      <c r="V1027" s="430"/>
      <c r="W1027" s="90"/>
      <c r="X1027" s="90"/>
      <c r="Y1027" s="90"/>
    </row>
    <row r="1028" spans="3:25" ht="15.75" customHeight="1">
      <c r="C1028" s="90"/>
      <c r="D1028" s="1900"/>
      <c r="E1028" s="1895"/>
      <c r="F1028" s="1896"/>
      <c r="G1028" s="1897"/>
      <c r="H1028" s="90"/>
      <c r="I1028" s="90"/>
      <c r="J1028" s="90"/>
      <c r="K1028" s="90"/>
      <c r="L1028" s="1901"/>
      <c r="M1028" s="643"/>
      <c r="N1028" s="643"/>
      <c r="O1028" s="658"/>
      <c r="P1028" s="658"/>
      <c r="Q1028" s="1899"/>
      <c r="R1028" s="430"/>
      <c r="S1028" s="430"/>
      <c r="T1028" s="430"/>
      <c r="U1028" s="430"/>
      <c r="V1028" s="430"/>
      <c r="W1028" s="90"/>
      <c r="X1028" s="90"/>
      <c r="Y1028" s="90"/>
    </row>
    <row r="1029" spans="3:25" ht="15.75" customHeight="1">
      <c r="C1029" s="90"/>
      <c r="D1029" s="1900"/>
      <c r="E1029" s="1895"/>
      <c r="F1029" s="1896"/>
      <c r="G1029" s="1897"/>
      <c r="H1029" s="90"/>
      <c r="I1029" s="90"/>
      <c r="J1029" s="90"/>
      <c r="K1029" s="90"/>
      <c r="L1029" s="1901"/>
      <c r="M1029" s="643"/>
      <c r="N1029" s="643"/>
      <c r="O1029" s="658"/>
      <c r="P1029" s="658"/>
      <c r="Q1029" s="1899"/>
      <c r="R1029" s="430"/>
      <c r="S1029" s="430"/>
      <c r="T1029" s="430"/>
      <c r="U1029" s="430"/>
      <c r="V1029" s="430"/>
      <c r="W1029" s="90"/>
      <c r="X1029" s="90"/>
      <c r="Y1029" s="90"/>
    </row>
    <row r="1030" spans="3:25" ht="15.75" customHeight="1">
      <c r="C1030" s="90"/>
      <c r="D1030" s="1900"/>
      <c r="E1030" s="1895"/>
      <c r="F1030" s="1896"/>
      <c r="G1030" s="1897"/>
      <c r="H1030" s="90"/>
      <c r="I1030" s="90"/>
      <c r="J1030" s="90"/>
      <c r="K1030" s="90"/>
      <c r="L1030" s="1901"/>
      <c r="M1030" s="643"/>
      <c r="N1030" s="643"/>
      <c r="O1030" s="658"/>
      <c r="P1030" s="658"/>
      <c r="Q1030" s="1899"/>
      <c r="R1030" s="430"/>
      <c r="S1030" s="430"/>
      <c r="T1030" s="430"/>
      <c r="U1030" s="430"/>
      <c r="V1030" s="430"/>
      <c r="W1030" s="90"/>
      <c r="X1030" s="90"/>
      <c r="Y1030" s="90"/>
    </row>
    <row r="1031" spans="3:25" ht="15.75" customHeight="1">
      <c r="C1031" s="90"/>
      <c r="D1031" s="1900"/>
      <c r="E1031" s="1895"/>
      <c r="F1031" s="1896"/>
      <c r="G1031" s="1897"/>
      <c r="H1031" s="90"/>
      <c r="I1031" s="90"/>
      <c r="J1031" s="90"/>
      <c r="K1031" s="90"/>
      <c r="L1031" s="1901"/>
      <c r="M1031" s="643"/>
      <c r="N1031" s="643"/>
      <c r="O1031" s="658"/>
      <c r="P1031" s="658"/>
      <c r="Q1031" s="1899"/>
      <c r="R1031" s="430"/>
      <c r="S1031" s="430"/>
      <c r="T1031" s="430"/>
      <c r="U1031" s="430"/>
      <c r="V1031" s="430"/>
      <c r="W1031" s="90"/>
      <c r="X1031" s="90"/>
      <c r="Y1031" s="90"/>
    </row>
    <row r="1032" spans="3:25" ht="15.75" customHeight="1">
      <c r="C1032" s="90"/>
      <c r="D1032" s="1900"/>
      <c r="E1032" s="1895"/>
      <c r="F1032" s="1896"/>
      <c r="G1032" s="1897"/>
      <c r="H1032" s="90"/>
      <c r="I1032" s="90"/>
      <c r="J1032" s="90"/>
      <c r="K1032" s="90"/>
      <c r="L1032" s="1901"/>
      <c r="M1032" s="643"/>
      <c r="N1032" s="643"/>
      <c r="O1032" s="658"/>
      <c r="P1032" s="658"/>
      <c r="Q1032" s="1899"/>
      <c r="R1032" s="430"/>
      <c r="S1032" s="430"/>
      <c r="T1032" s="430"/>
      <c r="U1032" s="430"/>
      <c r="V1032" s="430"/>
      <c r="W1032" s="90"/>
      <c r="X1032" s="90"/>
      <c r="Y1032" s="90"/>
    </row>
    <row r="1033" spans="3:25" ht="15.75" customHeight="1">
      <c r="C1033" s="90"/>
      <c r="D1033" s="1900"/>
      <c r="E1033" s="1895"/>
      <c r="F1033" s="1896"/>
      <c r="G1033" s="1897"/>
      <c r="H1033" s="90"/>
      <c r="I1033" s="90"/>
      <c r="J1033" s="90"/>
      <c r="K1033" s="90"/>
      <c r="L1033" s="1901"/>
      <c r="M1033" s="643"/>
      <c r="N1033" s="643"/>
      <c r="O1033" s="658"/>
      <c r="P1033" s="658"/>
      <c r="Q1033" s="1899"/>
      <c r="R1033" s="430"/>
      <c r="S1033" s="430"/>
      <c r="T1033" s="430"/>
      <c r="U1033" s="430"/>
      <c r="V1033" s="430"/>
      <c r="W1033" s="90"/>
      <c r="X1033" s="90"/>
      <c r="Y1033" s="90"/>
    </row>
    <row r="1034" spans="3:25" ht="15.75" customHeight="1">
      <c r="C1034" s="90"/>
      <c r="D1034" s="1900"/>
      <c r="E1034" s="1895"/>
      <c r="F1034" s="1896"/>
      <c r="G1034" s="1897"/>
      <c r="H1034" s="90"/>
      <c r="I1034" s="90"/>
      <c r="J1034" s="90"/>
      <c r="K1034" s="90"/>
      <c r="L1034" s="1901"/>
      <c r="M1034" s="643"/>
      <c r="N1034" s="643"/>
      <c r="O1034" s="658"/>
      <c r="P1034" s="658"/>
      <c r="Q1034" s="1899"/>
      <c r="R1034" s="430"/>
      <c r="S1034" s="430"/>
      <c r="T1034" s="430"/>
      <c r="U1034" s="430"/>
      <c r="V1034" s="430"/>
      <c r="W1034" s="90"/>
      <c r="X1034" s="90"/>
      <c r="Y1034" s="90"/>
    </row>
    <row r="1035" spans="3:25" ht="15.75" customHeight="1">
      <c r="C1035" s="90"/>
      <c r="D1035" s="1900"/>
      <c r="E1035" s="1895"/>
      <c r="F1035" s="1896"/>
      <c r="G1035" s="1897"/>
      <c r="H1035" s="90"/>
      <c r="I1035" s="90"/>
      <c r="J1035" s="90"/>
      <c r="K1035" s="90"/>
      <c r="L1035" s="1901"/>
      <c r="M1035" s="643"/>
      <c r="N1035" s="643"/>
      <c r="O1035" s="658"/>
      <c r="P1035" s="658"/>
      <c r="Q1035" s="1899"/>
      <c r="R1035" s="430"/>
      <c r="S1035" s="430"/>
      <c r="T1035" s="430"/>
      <c r="U1035" s="430"/>
      <c r="V1035" s="430"/>
      <c r="W1035" s="90"/>
      <c r="X1035" s="90"/>
      <c r="Y1035" s="90"/>
    </row>
    <row r="1036" spans="3:25" ht="15.75" customHeight="1">
      <c r="C1036" s="90"/>
      <c r="D1036" s="1900"/>
      <c r="E1036" s="1895"/>
      <c r="F1036" s="1896"/>
      <c r="G1036" s="1897"/>
      <c r="H1036" s="90"/>
      <c r="I1036" s="90"/>
      <c r="J1036" s="90"/>
      <c r="K1036" s="90"/>
      <c r="L1036" s="1901"/>
      <c r="M1036" s="643"/>
      <c r="N1036" s="643"/>
      <c r="O1036" s="658"/>
      <c r="P1036" s="658"/>
      <c r="Q1036" s="1899"/>
      <c r="R1036" s="430"/>
      <c r="S1036" s="430"/>
      <c r="T1036" s="430"/>
      <c r="U1036" s="430"/>
      <c r="V1036" s="430"/>
      <c r="W1036" s="90"/>
      <c r="X1036" s="90"/>
      <c r="Y1036" s="90"/>
    </row>
    <row r="1037" spans="3:25" ht="15.75" customHeight="1">
      <c r="C1037" s="90"/>
      <c r="D1037" s="1900"/>
      <c r="E1037" s="1895"/>
      <c r="F1037" s="1896"/>
      <c r="G1037" s="1897"/>
      <c r="H1037" s="90"/>
      <c r="I1037" s="90"/>
      <c r="J1037" s="90"/>
      <c r="K1037" s="90"/>
      <c r="L1037" s="1901"/>
      <c r="M1037" s="643"/>
      <c r="N1037" s="643"/>
      <c r="O1037" s="658"/>
      <c r="P1037" s="658"/>
      <c r="Q1037" s="1899"/>
      <c r="R1037" s="430"/>
      <c r="S1037" s="430"/>
      <c r="T1037" s="430"/>
      <c r="U1037" s="430"/>
      <c r="V1037" s="430"/>
      <c r="W1037" s="90"/>
      <c r="X1037" s="90"/>
      <c r="Y1037" s="90"/>
    </row>
    <row r="1038" spans="3:25" ht="15.75" customHeight="1">
      <c r="C1038" s="90"/>
      <c r="D1038" s="1900"/>
      <c r="E1038" s="1895"/>
      <c r="F1038" s="1896"/>
      <c r="G1038" s="1897"/>
      <c r="H1038" s="90"/>
      <c r="I1038" s="90"/>
      <c r="J1038" s="90"/>
      <c r="K1038" s="90"/>
      <c r="L1038" s="1901"/>
      <c r="M1038" s="643"/>
      <c r="N1038" s="643"/>
      <c r="O1038" s="658"/>
      <c r="P1038" s="658"/>
      <c r="Q1038" s="1899"/>
      <c r="R1038" s="430"/>
      <c r="S1038" s="430"/>
      <c r="T1038" s="430"/>
      <c r="U1038" s="430"/>
      <c r="V1038" s="430"/>
      <c r="W1038" s="90"/>
      <c r="X1038" s="90"/>
      <c r="Y1038" s="90"/>
    </row>
    <row r="1039" spans="3:25" ht="15.75" customHeight="1">
      <c r="C1039" s="90"/>
      <c r="D1039" s="1900"/>
      <c r="E1039" s="1895"/>
      <c r="F1039" s="1896"/>
      <c r="G1039" s="1897"/>
      <c r="H1039" s="90"/>
      <c r="I1039" s="90"/>
      <c r="J1039" s="90"/>
      <c r="K1039" s="90"/>
      <c r="L1039" s="1901"/>
      <c r="M1039" s="643"/>
      <c r="N1039" s="643"/>
      <c r="O1039" s="658"/>
      <c r="P1039" s="658"/>
      <c r="Q1039" s="1899"/>
      <c r="R1039" s="430"/>
      <c r="S1039" s="430"/>
      <c r="T1039" s="430"/>
      <c r="U1039" s="430"/>
      <c r="V1039" s="430"/>
      <c r="W1039" s="90"/>
      <c r="X1039" s="90"/>
      <c r="Y1039" s="90"/>
    </row>
    <row r="1040" spans="3:25" ht="15.75" customHeight="1">
      <c r="C1040" s="90"/>
      <c r="D1040" s="1900"/>
      <c r="E1040" s="1895"/>
      <c r="F1040" s="1896"/>
      <c r="G1040" s="1897"/>
      <c r="H1040" s="90"/>
      <c r="I1040" s="90"/>
      <c r="J1040" s="90"/>
      <c r="K1040" s="90"/>
      <c r="L1040" s="1901"/>
      <c r="M1040" s="643"/>
      <c r="N1040" s="643"/>
      <c r="O1040" s="658"/>
      <c r="P1040" s="658"/>
      <c r="Q1040" s="1899"/>
      <c r="R1040" s="430"/>
      <c r="S1040" s="430"/>
      <c r="T1040" s="430"/>
      <c r="U1040" s="430"/>
      <c r="V1040" s="430"/>
      <c r="W1040" s="90"/>
      <c r="X1040" s="90"/>
      <c r="Y1040" s="90"/>
    </row>
    <row r="1041" spans="3:25" ht="15.75" customHeight="1">
      <c r="C1041" s="90"/>
      <c r="D1041" s="1900"/>
      <c r="E1041" s="1895"/>
      <c r="F1041" s="1896"/>
      <c r="G1041" s="1897"/>
      <c r="H1041" s="90"/>
      <c r="I1041" s="90"/>
      <c r="J1041" s="90"/>
      <c r="K1041" s="90"/>
      <c r="L1041" s="1901"/>
      <c r="M1041" s="643"/>
      <c r="N1041" s="643"/>
      <c r="O1041" s="658"/>
      <c r="P1041" s="658"/>
      <c r="Q1041" s="1899"/>
      <c r="R1041" s="430"/>
      <c r="S1041" s="430"/>
      <c r="T1041" s="430"/>
      <c r="U1041" s="430"/>
      <c r="V1041" s="430"/>
      <c r="W1041" s="90"/>
      <c r="X1041" s="90"/>
      <c r="Y1041" s="90"/>
    </row>
    <row r="1042" spans="3:25" ht="15.75" customHeight="1">
      <c r="C1042" s="90"/>
      <c r="D1042" s="1900"/>
      <c r="E1042" s="1895"/>
      <c r="F1042" s="1896"/>
      <c r="G1042" s="1897"/>
      <c r="H1042" s="90"/>
      <c r="I1042" s="90"/>
      <c r="J1042" s="90"/>
      <c r="K1042" s="90"/>
      <c r="L1042" s="1901"/>
      <c r="M1042" s="643"/>
      <c r="N1042" s="643"/>
      <c r="O1042" s="658"/>
      <c r="P1042" s="658"/>
      <c r="Q1042" s="1899"/>
      <c r="R1042" s="430"/>
      <c r="S1042" s="430"/>
      <c r="T1042" s="430"/>
      <c r="U1042" s="430"/>
      <c r="V1042" s="430"/>
      <c r="W1042" s="90"/>
      <c r="X1042" s="90"/>
      <c r="Y1042" s="90"/>
    </row>
    <row r="1043" spans="3:25" ht="15.75" customHeight="1">
      <c r="C1043" s="90"/>
      <c r="D1043" s="1900"/>
      <c r="E1043" s="1895"/>
      <c r="F1043" s="1896"/>
      <c r="G1043" s="1897"/>
      <c r="H1043" s="90"/>
      <c r="I1043" s="90"/>
      <c r="J1043" s="90"/>
      <c r="K1043" s="90"/>
      <c r="L1043" s="1901"/>
      <c r="M1043" s="643"/>
      <c r="N1043" s="643"/>
      <c r="O1043" s="658"/>
      <c r="P1043" s="658"/>
      <c r="Q1043" s="1899"/>
      <c r="R1043" s="430"/>
      <c r="S1043" s="430"/>
      <c r="T1043" s="430"/>
      <c r="U1043" s="430"/>
      <c r="V1043" s="430"/>
      <c r="W1043" s="90"/>
      <c r="X1043" s="90"/>
      <c r="Y1043" s="90"/>
    </row>
    <row r="1044" spans="3:25" ht="15.75" customHeight="1">
      <c r="C1044" s="90"/>
      <c r="D1044" s="1900"/>
      <c r="E1044" s="1895"/>
      <c r="F1044" s="1896"/>
      <c r="G1044" s="1897"/>
      <c r="H1044" s="90"/>
      <c r="I1044" s="90"/>
      <c r="J1044" s="90"/>
      <c r="K1044" s="90"/>
      <c r="L1044" s="1901"/>
      <c r="M1044" s="643"/>
      <c r="N1044" s="643"/>
      <c r="O1044" s="658"/>
      <c r="P1044" s="658"/>
      <c r="Q1044" s="1899"/>
      <c r="R1044" s="430"/>
      <c r="S1044" s="430"/>
      <c r="T1044" s="430"/>
      <c r="U1044" s="430"/>
      <c r="V1044" s="430"/>
      <c r="W1044" s="90"/>
      <c r="X1044" s="90"/>
      <c r="Y1044" s="90"/>
    </row>
    <row r="1045" spans="3:25" ht="15.75" customHeight="1">
      <c r="C1045" s="90"/>
      <c r="D1045" s="1900"/>
      <c r="E1045" s="1895"/>
      <c r="F1045" s="1896"/>
      <c r="G1045" s="1897"/>
      <c r="H1045" s="90"/>
      <c r="I1045" s="90"/>
      <c r="J1045" s="90"/>
      <c r="K1045" s="90"/>
      <c r="L1045" s="1901"/>
      <c r="M1045" s="643"/>
      <c r="N1045" s="643"/>
      <c r="O1045" s="658"/>
      <c r="P1045" s="658"/>
      <c r="Q1045" s="1899"/>
      <c r="R1045" s="430"/>
      <c r="S1045" s="430"/>
      <c r="T1045" s="430"/>
      <c r="U1045" s="430"/>
      <c r="V1045" s="430"/>
      <c r="W1045" s="90"/>
      <c r="X1045" s="90"/>
      <c r="Y1045" s="90"/>
    </row>
    <row r="1046" spans="3:25" ht="15.75" customHeight="1">
      <c r="C1046" s="90"/>
      <c r="D1046" s="1900"/>
      <c r="E1046" s="1895"/>
      <c r="F1046" s="1896"/>
      <c r="G1046" s="1897"/>
      <c r="H1046" s="90"/>
      <c r="I1046" s="90"/>
      <c r="J1046" s="90"/>
      <c r="K1046" s="90"/>
      <c r="L1046" s="1901"/>
      <c r="M1046" s="643"/>
      <c r="N1046" s="643"/>
      <c r="O1046" s="658"/>
      <c r="P1046" s="658"/>
      <c r="Q1046" s="1899"/>
      <c r="R1046" s="430"/>
      <c r="S1046" s="430"/>
      <c r="T1046" s="430"/>
      <c r="U1046" s="430"/>
      <c r="V1046" s="430"/>
      <c r="W1046" s="90"/>
      <c r="X1046" s="90"/>
      <c r="Y1046" s="90"/>
    </row>
    <row r="1047" spans="3:25" ht="15.75" customHeight="1">
      <c r="C1047" s="90"/>
      <c r="D1047" s="1900"/>
      <c r="E1047" s="1895"/>
      <c r="F1047" s="1896"/>
      <c r="G1047" s="1897"/>
      <c r="H1047" s="90"/>
      <c r="I1047" s="90"/>
      <c r="J1047" s="90"/>
      <c r="K1047" s="90"/>
      <c r="L1047" s="1901"/>
      <c r="M1047" s="643"/>
      <c r="N1047" s="643"/>
      <c r="O1047" s="658"/>
      <c r="P1047" s="658"/>
      <c r="Q1047" s="1899"/>
      <c r="R1047" s="430"/>
      <c r="S1047" s="430"/>
      <c r="T1047" s="430"/>
      <c r="U1047" s="430"/>
      <c r="V1047" s="430"/>
      <c r="W1047" s="90"/>
      <c r="X1047" s="90"/>
      <c r="Y1047" s="90"/>
    </row>
    <row r="1048" spans="3:25" ht="15.75" customHeight="1">
      <c r="C1048" s="90"/>
      <c r="D1048" s="1900"/>
      <c r="E1048" s="1895"/>
      <c r="F1048" s="1896"/>
      <c r="G1048" s="1897"/>
      <c r="H1048" s="90"/>
      <c r="I1048" s="90"/>
      <c r="J1048" s="90"/>
      <c r="K1048" s="90"/>
      <c r="L1048" s="1901"/>
      <c r="M1048" s="643"/>
      <c r="N1048" s="643"/>
      <c r="O1048" s="658"/>
      <c r="P1048" s="658"/>
      <c r="Q1048" s="1899"/>
      <c r="R1048" s="430"/>
      <c r="S1048" s="430"/>
      <c r="T1048" s="430"/>
      <c r="U1048" s="430"/>
      <c r="V1048" s="430"/>
      <c r="W1048" s="90"/>
      <c r="X1048" s="90"/>
      <c r="Y1048" s="90"/>
    </row>
    <row r="1049" spans="3:25" ht="15.75" customHeight="1">
      <c r="C1049" s="90"/>
      <c r="D1049" s="1900"/>
      <c r="E1049" s="1895"/>
      <c r="F1049" s="1896"/>
      <c r="G1049" s="1897"/>
      <c r="H1049" s="90"/>
      <c r="I1049" s="90"/>
      <c r="J1049" s="90"/>
      <c r="K1049" s="90"/>
      <c r="L1049" s="1901"/>
      <c r="M1049" s="643"/>
      <c r="N1049" s="643"/>
      <c r="O1049" s="658"/>
      <c r="P1049" s="658"/>
      <c r="Q1049" s="1899"/>
      <c r="R1049" s="430"/>
      <c r="S1049" s="430"/>
      <c r="T1049" s="430"/>
      <c r="U1049" s="430"/>
      <c r="V1049" s="430"/>
      <c r="W1049" s="90"/>
      <c r="X1049" s="90"/>
      <c r="Y1049" s="90"/>
    </row>
    <row r="1050" spans="3:25" ht="15.75" customHeight="1">
      <c r="C1050" s="90"/>
      <c r="D1050" s="1900"/>
      <c r="E1050" s="1895"/>
      <c r="F1050" s="1896"/>
      <c r="G1050" s="1897"/>
      <c r="H1050" s="90"/>
      <c r="I1050" s="90"/>
      <c r="J1050" s="90"/>
      <c r="K1050" s="90"/>
      <c r="L1050" s="1901"/>
      <c r="M1050" s="643"/>
      <c r="N1050" s="643"/>
      <c r="O1050" s="658"/>
      <c r="P1050" s="658"/>
      <c r="Q1050" s="1899"/>
      <c r="R1050" s="430"/>
      <c r="S1050" s="430"/>
      <c r="T1050" s="430"/>
      <c r="U1050" s="430"/>
      <c r="V1050" s="430"/>
      <c r="W1050" s="90"/>
      <c r="X1050" s="90"/>
      <c r="Y1050" s="90"/>
    </row>
    <row r="1051" spans="3:25" ht="15.75" customHeight="1">
      <c r="C1051" s="90"/>
      <c r="D1051" s="1900"/>
      <c r="E1051" s="1895"/>
      <c r="F1051" s="1896"/>
      <c r="G1051" s="1897"/>
      <c r="H1051" s="90"/>
      <c r="I1051" s="90"/>
      <c r="J1051" s="90"/>
      <c r="K1051" s="90"/>
      <c r="L1051" s="1901"/>
      <c r="M1051" s="643"/>
      <c r="N1051" s="643"/>
      <c r="O1051" s="658"/>
      <c r="P1051" s="658"/>
      <c r="Q1051" s="1899"/>
      <c r="R1051" s="430"/>
      <c r="S1051" s="430"/>
      <c r="T1051" s="430"/>
      <c r="U1051" s="430"/>
      <c r="V1051" s="430"/>
      <c r="W1051" s="90"/>
      <c r="X1051" s="90"/>
      <c r="Y1051" s="90"/>
    </row>
    <row r="1052" spans="3:25" ht="15.75" customHeight="1">
      <c r="C1052" s="90"/>
      <c r="D1052" s="1900"/>
      <c r="E1052" s="1895"/>
      <c r="F1052" s="1896"/>
      <c r="G1052" s="1897"/>
      <c r="H1052" s="90"/>
      <c r="I1052" s="90"/>
      <c r="J1052" s="90"/>
      <c r="K1052" s="90"/>
      <c r="L1052" s="1901"/>
      <c r="M1052" s="643"/>
      <c r="N1052" s="643"/>
      <c r="O1052" s="658"/>
      <c r="P1052" s="658"/>
      <c r="Q1052" s="1899"/>
      <c r="R1052" s="430"/>
      <c r="S1052" s="430"/>
      <c r="T1052" s="430"/>
      <c r="U1052" s="430"/>
      <c r="V1052" s="430"/>
      <c r="W1052" s="90"/>
      <c r="X1052" s="90"/>
      <c r="Y1052" s="90"/>
    </row>
    <row r="1053" spans="3:25" ht="15.75" customHeight="1">
      <c r="C1053" s="90"/>
      <c r="D1053" s="1900"/>
      <c r="E1053" s="1895"/>
      <c r="F1053" s="1896"/>
      <c r="G1053" s="1897"/>
      <c r="H1053" s="90"/>
      <c r="I1053" s="90"/>
      <c r="J1053" s="90"/>
      <c r="K1053" s="90"/>
      <c r="L1053" s="1901"/>
      <c r="M1053" s="643"/>
      <c r="N1053" s="643"/>
      <c r="O1053" s="658"/>
      <c r="P1053" s="658"/>
      <c r="Q1053" s="1899"/>
      <c r="R1053" s="430"/>
      <c r="S1053" s="430"/>
      <c r="T1053" s="430"/>
      <c r="U1053" s="430"/>
      <c r="V1053" s="430"/>
      <c r="W1053" s="90"/>
      <c r="X1053" s="90"/>
      <c r="Y1053" s="90"/>
    </row>
    <row r="1054" spans="3:25" ht="15.75" customHeight="1">
      <c r="C1054" s="90"/>
      <c r="D1054" s="1900"/>
      <c r="E1054" s="1895"/>
      <c r="F1054" s="1896"/>
      <c r="G1054" s="1897"/>
      <c r="H1054" s="90"/>
      <c r="I1054" s="90"/>
      <c r="J1054" s="90"/>
      <c r="K1054" s="90"/>
      <c r="L1054" s="1901"/>
      <c r="M1054" s="643"/>
      <c r="N1054" s="643"/>
      <c r="O1054" s="658"/>
      <c r="P1054" s="658"/>
      <c r="Q1054" s="1899"/>
      <c r="R1054" s="430"/>
      <c r="S1054" s="430"/>
      <c r="T1054" s="430"/>
      <c r="U1054" s="430"/>
      <c r="V1054" s="430"/>
      <c r="W1054" s="90"/>
      <c r="X1054" s="90"/>
      <c r="Y1054" s="90"/>
    </row>
    <row r="1055" spans="3:25" ht="15.75" customHeight="1">
      <c r="C1055" s="90"/>
      <c r="D1055" s="1900"/>
      <c r="E1055" s="1895"/>
      <c r="F1055" s="1896"/>
      <c r="G1055" s="1897"/>
      <c r="H1055" s="90"/>
      <c r="I1055" s="90"/>
      <c r="J1055" s="90"/>
      <c r="K1055" s="90"/>
      <c r="L1055" s="1901"/>
      <c r="M1055" s="643"/>
      <c r="N1055" s="643"/>
      <c r="O1055" s="658"/>
      <c r="P1055" s="658"/>
      <c r="Q1055" s="1899"/>
      <c r="R1055" s="430"/>
      <c r="S1055" s="430"/>
      <c r="T1055" s="430"/>
      <c r="U1055" s="430"/>
      <c r="V1055" s="430"/>
      <c r="W1055" s="90"/>
      <c r="X1055" s="90"/>
      <c r="Y1055" s="90"/>
    </row>
    <row r="1056" spans="3:25" ht="15.75" customHeight="1">
      <c r="C1056" s="90"/>
      <c r="D1056" s="1900"/>
      <c r="E1056" s="1895"/>
      <c r="F1056" s="1896"/>
      <c r="G1056" s="1897"/>
      <c r="H1056" s="90"/>
      <c r="I1056" s="90"/>
      <c r="J1056" s="90"/>
      <c r="K1056" s="90"/>
      <c r="L1056" s="1901"/>
      <c r="M1056" s="643"/>
      <c r="N1056" s="643"/>
      <c r="O1056" s="658"/>
      <c r="P1056" s="658"/>
      <c r="Q1056" s="1899"/>
      <c r="R1056" s="430"/>
      <c r="S1056" s="430"/>
      <c r="T1056" s="430"/>
      <c r="U1056" s="430"/>
      <c r="V1056" s="430"/>
      <c r="W1056" s="90"/>
      <c r="X1056" s="90"/>
      <c r="Y1056" s="90"/>
    </row>
    <row r="1057" spans="3:25" ht="15.75" customHeight="1">
      <c r="C1057" s="90"/>
      <c r="D1057" s="1900"/>
      <c r="E1057" s="1895"/>
      <c r="F1057" s="1896"/>
      <c r="G1057" s="1897"/>
      <c r="H1057" s="90"/>
      <c r="I1057" s="90"/>
      <c r="J1057" s="90"/>
      <c r="K1057" s="90"/>
      <c r="L1057" s="1901"/>
      <c r="M1057" s="643"/>
      <c r="N1057" s="643"/>
      <c r="O1057" s="658"/>
      <c r="P1057" s="658"/>
      <c r="Q1057" s="1899"/>
      <c r="R1057" s="430"/>
      <c r="S1057" s="430"/>
      <c r="T1057" s="430"/>
      <c r="U1057" s="430"/>
      <c r="V1057" s="430"/>
      <c r="W1057" s="90"/>
      <c r="X1057" s="90"/>
      <c r="Y1057" s="90"/>
    </row>
    <row r="1058" spans="3:25" ht="15.75" customHeight="1">
      <c r="C1058" s="90"/>
      <c r="D1058" s="1900"/>
      <c r="E1058" s="1895"/>
      <c r="F1058" s="1896"/>
      <c r="G1058" s="1897"/>
      <c r="H1058" s="90"/>
      <c r="I1058" s="90"/>
      <c r="J1058" s="90"/>
      <c r="K1058" s="90"/>
      <c r="L1058" s="1901"/>
      <c r="M1058" s="643"/>
      <c r="N1058" s="643"/>
      <c r="O1058" s="658"/>
      <c r="P1058" s="658"/>
      <c r="Q1058" s="1899"/>
      <c r="R1058" s="430"/>
      <c r="S1058" s="430"/>
      <c r="T1058" s="430"/>
      <c r="U1058" s="430"/>
      <c r="V1058" s="430"/>
      <c r="W1058" s="90"/>
      <c r="X1058" s="90"/>
      <c r="Y1058" s="90"/>
    </row>
    <row r="1059" spans="3:25" ht="15.75" customHeight="1">
      <c r="C1059" s="90"/>
      <c r="D1059" s="1900"/>
      <c r="E1059" s="1895"/>
      <c r="F1059" s="1896"/>
      <c r="G1059" s="1897"/>
      <c r="H1059" s="90"/>
      <c r="I1059" s="90"/>
      <c r="J1059" s="90"/>
      <c r="K1059" s="90"/>
      <c r="L1059" s="1901"/>
      <c r="M1059" s="643"/>
      <c r="N1059" s="643"/>
      <c r="O1059" s="658"/>
      <c r="P1059" s="658"/>
      <c r="Q1059" s="1899"/>
      <c r="R1059" s="430"/>
      <c r="S1059" s="430"/>
      <c r="T1059" s="430"/>
      <c r="U1059" s="430"/>
      <c r="V1059" s="430"/>
      <c r="W1059" s="90"/>
      <c r="X1059" s="90"/>
      <c r="Y1059" s="90"/>
    </row>
    <row r="1060" spans="3:25" ht="15.75" customHeight="1">
      <c r="C1060" s="90"/>
      <c r="D1060" s="1900"/>
      <c r="E1060" s="1895"/>
      <c r="F1060" s="1896"/>
      <c r="G1060" s="1897"/>
      <c r="H1060" s="90"/>
      <c r="I1060" s="90"/>
      <c r="J1060" s="90"/>
      <c r="K1060" s="90"/>
      <c r="L1060" s="1901"/>
      <c r="M1060" s="643"/>
      <c r="N1060" s="643"/>
      <c r="O1060" s="658"/>
      <c r="P1060" s="658"/>
      <c r="Q1060" s="1899"/>
      <c r="R1060" s="430"/>
      <c r="S1060" s="430"/>
      <c r="T1060" s="430"/>
      <c r="U1060" s="430"/>
      <c r="V1060" s="430"/>
      <c r="W1060" s="90"/>
      <c r="X1060" s="90"/>
      <c r="Y1060" s="90"/>
    </row>
    <row r="1061" spans="3:25" ht="15.75" customHeight="1">
      <c r="C1061" s="90"/>
      <c r="D1061" s="1900"/>
      <c r="E1061" s="1895"/>
      <c r="F1061" s="1896"/>
      <c r="G1061" s="1897"/>
      <c r="H1061" s="90"/>
      <c r="I1061" s="90"/>
      <c r="J1061" s="90"/>
      <c r="K1061" s="90"/>
      <c r="L1061" s="1901"/>
      <c r="M1061" s="643"/>
      <c r="N1061" s="643"/>
      <c r="O1061" s="658"/>
      <c r="P1061" s="658"/>
      <c r="Q1061" s="1899"/>
      <c r="R1061" s="430"/>
      <c r="S1061" s="430"/>
      <c r="T1061" s="430"/>
      <c r="U1061" s="430"/>
      <c r="V1061" s="430"/>
      <c r="W1061" s="90"/>
      <c r="X1061" s="90"/>
      <c r="Y1061" s="90"/>
    </row>
    <row r="1062" spans="3:25" ht="15.75" customHeight="1">
      <c r="C1062" s="90"/>
      <c r="D1062" s="1900"/>
      <c r="E1062" s="1895"/>
      <c r="F1062" s="1896"/>
      <c r="G1062" s="1897"/>
      <c r="H1062" s="90"/>
      <c r="I1062" s="90"/>
      <c r="J1062" s="90"/>
      <c r="K1062" s="90"/>
      <c r="L1062" s="1901"/>
      <c r="M1062" s="643"/>
      <c r="N1062" s="643"/>
      <c r="O1062" s="658"/>
      <c r="P1062" s="658"/>
      <c r="Q1062" s="1899"/>
      <c r="R1062" s="430"/>
      <c r="S1062" s="430"/>
      <c r="T1062" s="430"/>
      <c r="U1062" s="430"/>
      <c r="V1062" s="430"/>
      <c r="W1062" s="90"/>
      <c r="X1062" s="90"/>
      <c r="Y1062" s="90"/>
    </row>
    <row r="1063" spans="3:25" ht="15.75" customHeight="1">
      <c r="C1063" s="90"/>
      <c r="D1063" s="1900"/>
      <c r="E1063" s="1895"/>
      <c r="F1063" s="1896"/>
      <c r="G1063" s="1897"/>
      <c r="H1063" s="90"/>
      <c r="I1063" s="90"/>
      <c r="J1063" s="90"/>
      <c r="K1063" s="90"/>
      <c r="L1063" s="1901"/>
      <c r="M1063" s="643"/>
      <c r="N1063" s="643"/>
      <c r="O1063" s="658"/>
      <c r="P1063" s="658"/>
      <c r="Q1063" s="1899"/>
      <c r="R1063" s="430"/>
      <c r="S1063" s="430"/>
      <c r="T1063" s="430"/>
      <c r="U1063" s="430"/>
      <c r="V1063" s="430"/>
      <c r="W1063" s="90"/>
      <c r="X1063" s="90"/>
      <c r="Y1063" s="90"/>
    </row>
    <row r="1064" spans="3:25" ht="15.75" customHeight="1">
      <c r="C1064" s="90"/>
      <c r="D1064" s="1900"/>
      <c r="E1064" s="1895"/>
      <c r="F1064" s="1896"/>
      <c r="G1064" s="1897"/>
      <c r="H1064" s="90"/>
      <c r="I1064" s="90"/>
      <c r="J1064" s="90"/>
      <c r="K1064" s="90"/>
      <c r="L1064" s="1901"/>
      <c r="M1064" s="643"/>
      <c r="N1064" s="643"/>
      <c r="O1064" s="658"/>
      <c r="P1064" s="658"/>
      <c r="Q1064" s="1899"/>
      <c r="R1064" s="430"/>
      <c r="S1064" s="430"/>
      <c r="T1064" s="430"/>
      <c r="U1064" s="430"/>
      <c r="V1064" s="430"/>
      <c r="W1064" s="90"/>
      <c r="X1064" s="90"/>
      <c r="Y1064" s="90"/>
    </row>
    <row r="1065" spans="3:25" ht="15.75" customHeight="1">
      <c r="C1065" s="90"/>
      <c r="D1065" s="1900"/>
      <c r="E1065" s="1895"/>
      <c r="F1065" s="1896"/>
      <c r="G1065" s="1897"/>
      <c r="H1065" s="90"/>
      <c r="I1065" s="90"/>
      <c r="J1065" s="90"/>
      <c r="K1065" s="90"/>
      <c r="L1065" s="1901"/>
      <c r="M1065" s="643"/>
      <c r="N1065" s="643"/>
      <c r="O1065" s="658"/>
      <c r="P1065" s="658"/>
      <c r="Q1065" s="1899"/>
      <c r="R1065" s="430"/>
      <c r="S1065" s="430"/>
      <c r="T1065" s="430"/>
      <c r="U1065" s="430"/>
      <c r="V1065" s="430"/>
      <c r="W1065" s="90"/>
      <c r="X1065" s="90"/>
      <c r="Y1065" s="90"/>
    </row>
    <row r="1066" spans="3:25" ht="15.75" customHeight="1">
      <c r="C1066" s="90"/>
      <c r="D1066" s="1900"/>
      <c r="E1066" s="1895"/>
      <c r="F1066" s="1896"/>
      <c r="G1066" s="1897"/>
      <c r="H1066" s="90"/>
      <c r="I1066" s="90"/>
      <c r="J1066" s="90"/>
      <c r="K1066" s="90"/>
      <c r="L1066" s="1901"/>
      <c r="M1066" s="643"/>
      <c r="N1066" s="643"/>
      <c r="O1066" s="658"/>
      <c r="P1066" s="658"/>
      <c r="Q1066" s="1899"/>
      <c r="R1066" s="430"/>
      <c r="S1066" s="430"/>
      <c r="T1066" s="430"/>
      <c r="U1066" s="430"/>
      <c r="V1066" s="430"/>
      <c r="W1066" s="90"/>
      <c r="X1066" s="90"/>
      <c r="Y1066" s="90"/>
    </row>
    <row r="1067" spans="3:25" ht="15.75" customHeight="1">
      <c r="C1067" s="90"/>
      <c r="D1067" s="1900"/>
      <c r="E1067" s="1895"/>
      <c r="F1067" s="1896"/>
      <c r="G1067" s="1897"/>
      <c r="H1067" s="90"/>
      <c r="I1067" s="90"/>
      <c r="J1067" s="90"/>
      <c r="K1067" s="90"/>
      <c r="L1067" s="1901"/>
      <c r="M1067" s="643"/>
      <c r="N1067" s="643"/>
      <c r="O1067" s="658"/>
      <c r="P1067" s="658"/>
      <c r="Q1067" s="1899"/>
      <c r="R1067" s="430"/>
      <c r="S1067" s="430"/>
      <c r="T1067" s="430"/>
      <c r="U1067" s="430"/>
      <c r="V1067" s="430"/>
      <c r="W1067" s="90"/>
      <c r="X1067" s="90"/>
      <c r="Y1067" s="90"/>
    </row>
    <row r="1068" spans="3:25" ht="15.75" customHeight="1">
      <c r="C1068" s="90"/>
      <c r="D1068" s="1900"/>
      <c r="E1068" s="1895"/>
      <c r="F1068" s="1896"/>
      <c r="G1068" s="1897"/>
      <c r="H1068" s="90"/>
      <c r="I1068" s="90"/>
      <c r="J1068" s="90"/>
      <c r="K1068" s="90"/>
      <c r="L1068" s="1901"/>
      <c r="M1068" s="643"/>
      <c r="N1068" s="643"/>
      <c r="O1068" s="658"/>
      <c r="P1068" s="658"/>
      <c r="Q1068" s="1899"/>
      <c r="R1068" s="430"/>
      <c r="S1068" s="430"/>
      <c r="T1068" s="430"/>
      <c r="U1068" s="430"/>
      <c r="V1068" s="430"/>
      <c r="W1068" s="90"/>
      <c r="X1068" s="90"/>
      <c r="Y1068" s="90"/>
    </row>
    <row r="1069" spans="3:25" ht="15.75" customHeight="1">
      <c r="C1069" s="90"/>
      <c r="D1069" s="1900"/>
      <c r="E1069" s="1895"/>
      <c r="F1069" s="1896"/>
      <c r="G1069" s="1897"/>
      <c r="H1069" s="90"/>
      <c r="I1069" s="90"/>
      <c r="J1069" s="90"/>
      <c r="K1069" s="90"/>
      <c r="L1069" s="1901"/>
      <c r="M1069" s="643"/>
      <c r="N1069" s="643"/>
      <c r="O1069" s="658"/>
      <c r="P1069" s="658"/>
      <c r="Q1069" s="1899"/>
      <c r="R1069" s="430"/>
      <c r="S1069" s="430"/>
      <c r="T1069" s="430"/>
      <c r="U1069" s="430"/>
      <c r="V1069" s="430"/>
      <c r="W1069" s="90"/>
      <c r="X1069" s="90"/>
      <c r="Y1069" s="90"/>
    </row>
    <row r="1070" spans="3:25" ht="15.75" customHeight="1">
      <c r="C1070" s="90"/>
      <c r="D1070" s="1900"/>
      <c r="E1070" s="1895"/>
      <c r="F1070" s="1896"/>
      <c r="G1070" s="1897"/>
      <c r="H1070" s="90"/>
      <c r="I1070" s="90"/>
      <c r="J1070" s="90"/>
      <c r="K1070" s="90"/>
      <c r="L1070" s="1901"/>
      <c r="M1070" s="643"/>
      <c r="N1070" s="643"/>
      <c r="O1070" s="658"/>
      <c r="P1070" s="658"/>
      <c r="Q1070" s="1899"/>
      <c r="R1070" s="430"/>
      <c r="S1070" s="430"/>
      <c r="T1070" s="430"/>
      <c r="U1070" s="430"/>
      <c r="V1070" s="430"/>
      <c r="W1070" s="90"/>
      <c r="X1070" s="90"/>
      <c r="Y1070" s="90"/>
    </row>
    <row r="1071" spans="3:25" ht="15.75" customHeight="1">
      <c r="C1071" s="90"/>
      <c r="D1071" s="1900"/>
      <c r="E1071" s="1895"/>
      <c r="F1071" s="1896"/>
      <c r="G1071" s="1897"/>
      <c r="H1071" s="90"/>
      <c r="I1071" s="90"/>
      <c r="J1071" s="90"/>
      <c r="K1071" s="90"/>
      <c r="L1071" s="1901"/>
      <c r="M1071" s="643"/>
      <c r="N1071" s="643"/>
      <c r="O1071" s="658"/>
      <c r="P1071" s="658"/>
      <c r="Q1071" s="1899"/>
      <c r="R1071" s="430"/>
      <c r="S1071" s="430"/>
      <c r="T1071" s="430"/>
      <c r="U1071" s="430"/>
      <c r="V1071" s="430"/>
      <c r="W1071" s="90"/>
      <c r="X1071" s="90"/>
      <c r="Y1071" s="90"/>
    </row>
    <row r="1072" spans="3:25" ht="15.75" customHeight="1">
      <c r="C1072" s="90"/>
      <c r="D1072" s="1900"/>
      <c r="E1072" s="1895"/>
      <c r="F1072" s="1896"/>
      <c r="G1072" s="1897"/>
      <c r="H1072" s="90"/>
      <c r="I1072" s="90"/>
      <c r="J1072" s="90"/>
      <c r="K1072" s="90"/>
      <c r="L1072" s="1901"/>
      <c r="M1072" s="643"/>
      <c r="N1072" s="643"/>
      <c r="O1072" s="658"/>
      <c r="P1072" s="658"/>
      <c r="Q1072" s="1899"/>
      <c r="R1072" s="430"/>
      <c r="S1072" s="430"/>
      <c r="T1072" s="430"/>
      <c r="U1072" s="430"/>
      <c r="V1072" s="430"/>
      <c r="W1072" s="90"/>
      <c r="X1072" s="90"/>
      <c r="Y1072" s="90"/>
    </row>
    <row r="1073" spans="3:25" ht="15.75" customHeight="1">
      <c r="C1073" s="90"/>
      <c r="D1073" s="1900"/>
      <c r="E1073" s="1895"/>
      <c r="F1073" s="1896"/>
      <c r="G1073" s="1897"/>
      <c r="H1073" s="90"/>
      <c r="I1073" s="90"/>
      <c r="J1073" s="90"/>
      <c r="K1073" s="90"/>
      <c r="L1073" s="1901"/>
      <c r="M1073" s="643"/>
      <c r="N1073" s="643"/>
      <c r="O1073" s="658"/>
      <c r="P1073" s="658"/>
      <c r="Q1073" s="1899"/>
      <c r="R1073" s="430"/>
      <c r="S1073" s="430"/>
      <c r="T1073" s="430"/>
      <c r="U1073" s="430"/>
      <c r="V1073" s="430"/>
      <c r="W1073" s="90"/>
      <c r="X1073" s="90"/>
      <c r="Y1073" s="90"/>
    </row>
    <row r="1074" spans="3:25" ht="15.75" customHeight="1">
      <c r="C1074" s="90"/>
      <c r="D1074" s="1900"/>
      <c r="E1074" s="1895"/>
      <c r="F1074" s="1896"/>
      <c r="G1074" s="1897"/>
      <c r="H1074" s="90"/>
      <c r="I1074" s="90"/>
      <c r="J1074" s="90"/>
      <c r="K1074" s="90"/>
      <c r="L1074" s="1901"/>
      <c r="M1074" s="643"/>
      <c r="N1074" s="643"/>
      <c r="O1074" s="658"/>
      <c r="P1074" s="658"/>
      <c r="Q1074" s="1899"/>
      <c r="R1074" s="430"/>
      <c r="S1074" s="430"/>
      <c r="T1074" s="430"/>
      <c r="U1074" s="430"/>
      <c r="V1074" s="430"/>
      <c r="W1074" s="90"/>
      <c r="X1074" s="90"/>
      <c r="Y1074" s="90"/>
    </row>
    <row r="1075" spans="3:25" ht="15.75" customHeight="1">
      <c r="C1075" s="90"/>
      <c r="D1075" s="1900"/>
      <c r="E1075" s="1895"/>
      <c r="F1075" s="1896"/>
      <c r="G1075" s="1897"/>
      <c r="H1075" s="90"/>
      <c r="I1075" s="90"/>
      <c r="J1075" s="90"/>
      <c r="K1075" s="90"/>
      <c r="L1075" s="1901"/>
      <c r="M1075" s="643"/>
      <c r="N1075" s="643"/>
      <c r="O1075" s="658"/>
      <c r="P1075" s="658"/>
      <c r="Q1075" s="1899"/>
      <c r="R1075" s="430"/>
      <c r="S1075" s="430"/>
      <c r="T1075" s="430"/>
      <c r="U1075" s="430"/>
      <c r="V1075" s="430"/>
      <c r="W1075" s="90"/>
      <c r="X1075" s="90"/>
      <c r="Y1075" s="90"/>
    </row>
    <row r="1076" spans="3:25" ht="15.75" customHeight="1">
      <c r="C1076" s="90"/>
      <c r="D1076" s="1900"/>
      <c r="E1076" s="1895"/>
      <c r="F1076" s="1896"/>
      <c r="G1076" s="1897"/>
      <c r="H1076" s="90"/>
      <c r="I1076" s="90"/>
      <c r="J1076" s="90"/>
      <c r="K1076" s="90"/>
      <c r="L1076" s="1901"/>
      <c r="M1076" s="643"/>
      <c r="N1076" s="643"/>
      <c r="O1076" s="658"/>
      <c r="P1076" s="658"/>
      <c r="Q1076" s="1899"/>
      <c r="R1076" s="430"/>
      <c r="S1076" s="430"/>
      <c r="T1076" s="430"/>
      <c r="U1076" s="430"/>
      <c r="V1076" s="430"/>
      <c r="W1076" s="90"/>
      <c r="X1076" s="90"/>
      <c r="Y1076" s="90"/>
    </row>
    <row r="1077" spans="3:25" ht="15.75" customHeight="1">
      <c r="C1077" s="90"/>
      <c r="D1077" s="1900"/>
      <c r="E1077" s="1895"/>
      <c r="F1077" s="1896"/>
      <c r="G1077" s="1897"/>
      <c r="H1077" s="90"/>
      <c r="I1077" s="90"/>
      <c r="J1077" s="90"/>
      <c r="K1077" s="90"/>
      <c r="L1077" s="1901"/>
      <c r="M1077" s="643"/>
      <c r="N1077" s="643"/>
      <c r="O1077" s="658"/>
      <c r="P1077" s="658"/>
      <c r="Q1077" s="1899"/>
      <c r="R1077" s="430"/>
      <c r="S1077" s="430"/>
      <c r="T1077" s="430"/>
      <c r="U1077" s="430"/>
      <c r="V1077" s="430"/>
      <c r="W1077" s="90"/>
      <c r="X1077" s="90"/>
      <c r="Y1077" s="90"/>
    </row>
    <row r="1078" spans="3:25" ht="15.75" customHeight="1">
      <c r="C1078" s="90"/>
      <c r="D1078" s="1900"/>
      <c r="E1078" s="1895"/>
      <c r="F1078" s="1896"/>
      <c r="G1078" s="1897"/>
      <c r="H1078" s="90"/>
      <c r="I1078" s="90"/>
      <c r="J1078" s="90"/>
      <c r="K1078" s="90"/>
      <c r="L1078" s="1901"/>
      <c r="M1078" s="643"/>
      <c r="N1078" s="643"/>
      <c r="O1078" s="658"/>
      <c r="P1078" s="658"/>
      <c r="Q1078" s="1899"/>
      <c r="R1078" s="430"/>
      <c r="S1078" s="430"/>
      <c r="T1078" s="430"/>
      <c r="U1078" s="430"/>
      <c r="V1078" s="430"/>
      <c r="W1078" s="90"/>
      <c r="X1078" s="90"/>
      <c r="Y1078" s="90"/>
    </row>
    <row r="1079" spans="3:25" ht="15.75" customHeight="1">
      <c r="C1079" s="90"/>
      <c r="D1079" s="1900"/>
      <c r="E1079" s="1895"/>
      <c r="F1079" s="1896"/>
      <c r="G1079" s="1897"/>
      <c r="H1079" s="90"/>
      <c r="I1079" s="90"/>
      <c r="J1079" s="90"/>
      <c r="K1079" s="90"/>
      <c r="L1079" s="1901"/>
      <c r="M1079" s="643"/>
      <c r="N1079" s="643"/>
      <c r="O1079" s="658"/>
      <c r="P1079" s="658"/>
      <c r="Q1079" s="1899"/>
      <c r="R1079" s="430"/>
      <c r="S1079" s="430"/>
      <c r="T1079" s="430"/>
      <c r="U1079" s="430"/>
      <c r="V1079" s="430"/>
      <c r="W1079" s="90"/>
      <c r="X1079" s="90"/>
      <c r="Y1079" s="90"/>
    </row>
    <row r="1080" spans="3:25" ht="15.75" customHeight="1">
      <c r="C1080" s="90"/>
      <c r="D1080" s="1900"/>
      <c r="E1080" s="1895"/>
      <c r="F1080" s="1896"/>
      <c r="G1080" s="1897"/>
      <c r="H1080" s="90"/>
      <c r="I1080" s="90"/>
      <c r="J1080" s="90"/>
      <c r="K1080" s="90"/>
      <c r="L1080" s="1901"/>
      <c r="M1080" s="643"/>
      <c r="N1080" s="643"/>
      <c r="O1080" s="658"/>
      <c r="P1080" s="658"/>
      <c r="Q1080" s="1899"/>
      <c r="R1080" s="430"/>
      <c r="S1080" s="430"/>
      <c r="T1080" s="430"/>
      <c r="U1080" s="430"/>
      <c r="V1080" s="430"/>
      <c r="W1080" s="90"/>
      <c r="X1080" s="90"/>
      <c r="Y1080" s="90"/>
    </row>
    <row r="1081" spans="3:25" ht="15.75" customHeight="1">
      <c r="C1081" s="90"/>
      <c r="D1081" s="1900"/>
      <c r="E1081" s="1895"/>
      <c r="F1081" s="1896"/>
      <c r="G1081" s="1897"/>
      <c r="H1081" s="90"/>
      <c r="I1081" s="90"/>
      <c r="J1081" s="90"/>
      <c r="K1081" s="90"/>
      <c r="L1081" s="1901"/>
      <c r="M1081" s="643"/>
      <c r="N1081" s="643"/>
      <c r="O1081" s="658"/>
      <c r="P1081" s="658"/>
      <c r="Q1081" s="1899"/>
      <c r="R1081" s="430"/>
      <c r="S1081" s="430"/>
      <c r="T1081" s="430"/>
      <c r="U1081" s="430"/>
      <c r="V1081" s="430"/>
      <c r="W1081" s="90"/>
      <c r="X1081" s="90"/>
      <c r="Y1081" s="90"/>
    </row>
    <row r="1082" spans="3:25" ht="15.75" customHeight="1">
      <c r="C1082" s="90"/>
      <c r="D1082" s="1900"/>
      <c r="E1082" s="1895"/>
      <c r="F1082" s="1896"/>
      <c r="G1082" s="1897"/>
      <c r="H1082" s="90"/>
      <c r="I1082" s="90"/>
      <c r="J1082" s="90"/>
      <c r="K1082" s="90"/>
      <c r="L1082" s="1901"/>
      <c r="M1082" s="643"/>
      <c r="N1082" s="643"/>
      <c r="O1082" s="658"/>
      <c r="P1082" s="658"/>
      <c r="Q1082" s="1899"/>
      <c r="R1082" s="430"/>
      <c r="S1082" s="430"/>
      <c r="T1082" s="430"/>
      <c r="U1082" s="430"/>
      <c r="V1082" s="430"/>
      <c r="W1082" s="90"/>
      <c r="X1082" s="90"/>
      <c r="Y1082" s="90"/>
    </row>
    <row r="1083" spans="3:25" ht="15.75" customHeight="1">
      <c r="C1083" s="90"/>
      <c r="D1083" s="1900"/>
      <c r="E1083" s="1895"/>
      <c r="F1083" s="1896"/>
      <c r="G1083" s="1897"/>
      <c r="H1083" s="90"/>
      <c r="I1083" s="90"/>
      <c r="J1083" s="90"/>
      <c r="K1083" s="90"/>
      <c r="L1083" s="1901"/>
      <c r="M1083" s="643"/>
      <c r="N1083" s="643"/>
      <c r="O1083" s="658"/>
      <c r="P1083" s="658"/>
      <c r="Q1083" s="1899"/>
      <c r="R1083" s="430"/>
      <c r="S1083" s="430"/>
      <c r="T1083" s="430"/>
      <c r="U1083" s="430"/>
      <c r="V1083" s="430"/>
      <c r="W1083" s="90"/>
      <c r="X1083" s="90"/>
      <c r="Y1083" s="90"/>
    </row>
    <row r="1084" spans="3:25" ht="15.75" customHeight="1">
      <c r="C1084" s="90"/>
      <c r="D1084" s="1900"/>
      <c r="E1084" s="1895"/>
      <c r="F1084" s="1896"/>
      <c r="G1084" s="1897"/>
      <c r="H1084" s="90"/>
      <c r="I1084" s="90"/>
      <c r="J1084" s="90"/>
      <c r="K1084" s="90"/>
      <c r="L1084" s="1901"/>
      <c r="M1084" s="643"/>
      <c r="N1084" s="643"/>
      <c r="O1084" s="658"/>
      <c r="P1084" s="658"/>
      <c r="Q1084" s="1899"/>
      <c r="R1084" s="430"/>
      <c r="S1084" s="430"/>
      <c r="T1084" s="430"/>
      <c r="U1084" s="430"/>
      <c r="V1084" s="430"/>
      <c r="W1084" s="90"/>
      <c r="X1084" s="90"/>
      <c r="Y1084" s="90"/>
    </row>
    <row r="1085" spans="3:25" ht="15.75" customHeight="1">
      <c r="C1085" s="90"/>
      <c r="D1085" s="1900"/>
      <c r="E1085" s="1895"/>
      <c r="F1085" s="1896"/>
      <c r="G1085" s="1897"/>
      <c r="H1085" s="90"/>
      <c r="I1085" s="90"/>
      <c r="J1085" s="90"/>
      <c r="K1085" s="90"/>
      <c r="L1085" s="1901"/>
      <c r="M1085" s="643"/>
      <c r="N1085" s="643"/>
      <c r="O1085" s="658"/>
      <c r="P1085" s="658"/>
      <c r="Q1085" s="1899"/>
      <c r="R1085" s="430"/>
      <c r="S1085" s="430"/>
      <c r="T1085" s="430"/>
      <c r="U1085" s="430"/>
      <c r="V1085" s="430"/>
      <c r="W1085" s="90"/>
      <c r="X1085" s="90"/>
      <c r="Y1085" s="90"/>
    </row>
    <row r="1086" spans="3:25" ht="15.75" customHeight="1">
      <c r="C1086" s="90"/>
      <c r="D1086" s="1900"/>
      <c r="E1086" s="1895"/>
      <c r="F1086" s="1896"/>
      <c r="G1086" s="1897"/>
      <c r="H1086" s="90"/>
      <c r="I1086" s="90"/>
      <c r="J1086" s="90"/>
      <c r="K1086" s="90"/>
      <c r="L1086" s="1901"/>
      <c r="M1086" s="643"/>
      <c r="N1086" s="643"/>
      <c r="O1086" s="658"/>
      <c r="P1086" s="658"/>
      <c r="Q1086" s="1899"/>
      <c r="R1086" s="430"/>
      <c r="S1086" s="430"/>
      <c r="T1086" s="430"/>
      <c r="U1086" s="430"/>
      <c r="V1086" s="430"/>
      <c r="W1086" s="90"/>
      <c r="X1086" s="90"/>
      <c r="Y1086" s="90"/>
    </row>
    <row r="1087" spans="3:25" ht="15.75" customHeight="1">
      <c r="C1087" s="90"/>
      <c r="D1087" s="1900"/>
      <c r="E1087" s="1895"/>
      <c r="F1087" s="1896"/>
      <c r="G1087" s="1897"/>
      <c r="H1087" s="90"/>
      <c r="I1087" s="90"/>
      <c r="J1087" s="90"/>
      <c r="K1087" s="90"/>
      <c r="L1087" s="1901"/>
      <c r="M1087" s="643"/>
      <c r="N1087" s="643"/>
      <c r="O1087" s="658"/>
      <c r="P1087" s="658"/>
      <c r="Q1087" s="1899"/>
      <c r="R1087" s="430"/>
      <c r="S1087" s="430"/>
      <c r="T1087" s="430"/>
      <c r="U1087" s="430"/>
      <c r="V1087" s="430"/>
      <c r="W1087" s="90"/>
      <c r="X1087" s="90"/>
      <c r="Y1087" s="90"/>
    </row>
    <row r="1088" spans="3:25" ht="15.75" customHeight="1">
      <c r="C1088" s="90"/>
      <c r="D1088" s="1900"/>
      <c r="E1088" s="1895"/>
      <c r="F1088" s="1896"/>
      <c r="G1088" s="1897"/>
      <c r="H1088" s="90"/>
      <c r="I1088" s="90"/>
      <c r="J1088" s="90"/>
      <c r="K1088" s="90"/>
      <c r="L1088" s="1901"/>
      <c r="M1088" s="643"/>
      <c r="N1088" s="643"/>
      <c r="O1088" s="658"/>
      <c r="P1088" s="658"/>
      <c r="Q1088" s="1899"/>
      <c r="R1088" s="430"/>
      <c r="S1088" s="430"/>
      <c r="T1088" s="430"/>
      <c r="U1088" s="430"/>
      <c r="V1088" s="430"/>
      <c r="W1088" s="90"/>
      <c r="X1088" s="90"/>
      <c r="Y1088" s="90"/>
    </row>
    <row r="1089" spans="3:25" ht="15.75" customHeight="1">
      <c r="C1089" s="90"/>
      <c r="D1089" s="1900"/>
      <c r="E1089" s="1895"/>
      <c r="F1089" s="1896"/>
      <c r="G1089" s="1897"/>
      <c r="H1089" s="90"/>
      <c r="I1089" s="90"/>
      <c r="J1089" s="90"/>
      <c r="K1089" s="90"/>
      <c r="L1089" s="1901"/>
      <c r="M1089" s="643"/>
      <c r="N1089" s="643"/>
      <c r="O1089" s="658"/>
      <c r="P1089" s="658"/>
      <c r="Q1089" s="1899"/>
      <c r="R1089" s="430"/>
      <c r="S1089" s="430"/>
      <c r="T1089" s="430"/>
      <c r="U1089" s="430"/>
      <c r="V1089" s="430"/>
      <c r="W1089" s="90"/>
      <c r="X1089" s="90"/>
      <c r="Y1089" s="90"/>
    </row>
    <row r="1090" spans="3:25" ht="15.75" customHeight="1">
      <c r="C1090" s="90"/>
      <c r="D1090" s="1900"/>
      <c r="E1090" s="1895"/>
      <c r="F1090" s="1896"/>
      <c r="G1090" s="1897"/>
      <c r="H1090" s="90"/>
      <c r="I1090" s="90"/>
      <c r="J1090" s="90"/>
      <c r="K1090" s="90"/>
      <c r="L1090" s="1901"/>
      <c r="M1090" s="643"/>
      <c r="N1090" s="643"/>
      <c r="O1090" s="658"/>
      <c r="P1090" s="658"/>
      <c r="Q1090" s="1899"/>
      <c r="R1090" s="430"/>
      <c r="S1090" s="430"/>
      <c r="T1090" s="430"/>
      <c r="U1090" s="430"/>
      <c r="V1090" s="430"/>
      <c r="W1090" s="90"/>
      <c r="X1090" s="90"/>
      <c r="Y1090" s="90"/>
    </row>
    <row r="1091" spans="3:25" ht="15.75" customHeight="1">
      <c r="C1091" s="90"/>
      <c r="D1091" s="1900"/>
      <c r="E1091" s="1895"/>
      <c r="F1091" s="1896"/>
      <c r="G1091" s="1897"/>
      <c r="H1091" s="90"/>
      <c r="I1091" s="90"/>
      <c r="J1091" s="90"/>
      <c r="K1091" s="90"/>
      <c r="L1091" s="1901"/>
      <c r="M1091" s="643"/>
      <c r="N1091" s="643"/>
      <c r="O1091" s="658"/>
      <c r="P1091" s="658"/>
      <c r="Q1091" s="1899"/>
      <c r="R1091" s="430"/>
      <c r="S1091" s="430"/>
      <c r="T1091" s="430"/>
      <c r="U1091" s="430"/>
      <c r="V1091" s="430"/>
      <c r="W1091" s="90"/>
      <c r="X1091" s="90"/>
      <c r="Y1091" s="90"/>
    </row>
    <row r="1092" spans="3:25" ht="15.75" customHeight="1">
      <c r="C1092" s="90"/>
      <c r="D1092" s="1900"/>
      <c r="E1092" s="1895"/>
      <c r="F1092" s="1896"/>
      <c r="G1092" s="1897"/>
      <c r="H1092" s="90"/>
      <c r="I1092" s="90"/>
      <c r="J1092" s="90"/>
      <c r="K1092" s="90"/>
      <c r="L1092" s="1901"/>
      <c r="M1092" s="643"/>
      <c r="N1092" s="643"/>
      <c r="O1092" s="658"/>
      <c r="P1092" s="658"/>
      <c r="Q1092" s="1899"/>
      <c r="R1092" s="430"/>
      <c r="S1092" s="430"/>
      <c r="T1092" s="430"/>
      <c r="U1092" s="430"/>
      <c r="V1092" s="430"/>
      <c r="W1092" s="90"/>
      <c r="X1092" s="90"/>
      <c r="Y1092" s="90"/>
    </row>
    <row r="1093" spans="3:25" ht="15.75" customHeight="1">
      <c r="C1093" s="90"/>
      <c r="D1093" s="1900"/>
      <c r="E1093" s="1895"/>
      <c r="F1093" s="1896"/>
      <c r="G1093" s="1897"/>
      <c r="H1093" s="90"/>
      <c r="I1093" s="90"/>
      <c r="J1093" s="90"/>
      <c r="K1093" s="90"/>
      <c r="L1093" s="1901"/>
      <c r="M1093" s="643"/>
      <c r="N1093" s="643"/>
      <c r="O1093" s="658"/>
      <c r="P1093" s="658"/>
      <c r="Q1093" s="1899"/>
      <c r="R1093" s="430"/>
      <c r="S1093" s="430"/>
      <c r="T1093" s="430"/>
      <c r="U1093" s="430"/>
      <c r="V1093" s="430"/>
      <c r="W1093" s="90"/>
      <c r="X1093" s="90"/>
      <c r="Y1093" s="90"/>
    </row>
    <row r="1094" spans="3:25" ht="15.75" customHeight="1">
      <c r="C1094" s="90"/>
      <c r="D1094" s="1900"/>
      <c r="E1094" s="1895"/>
      <c r="F1094" s="1896"/>
      <c r="G1094" s="1897"/>
      <c r="H1094" s="90"/>
      <c r="I1094" s="90"/>
      <c r="J1094" s="90"/>
      <c r="K1094" s="90"/>
      <c r="L1094" s="1901"/>
      <c r="M1094" s="643"/>
      <c r="N1094" s="643"/>
      <c r="O1094" s="658"/>
      <c r="P1094" s="658"/>
      <c r="Q1094" s="1899"/>
      <c r="R1094" s="430"/>
      <c r="S1094" s="430"/>
      <c r="T1094" s="430"/>
      <c r="U1094" s="430"/>
      <c r="V1094" s="430"/>
      <c r="W1094" s="90"/>
      <c r="X1094" s="90"/>
      <c r="Y1094" s="90"/>
    </row>
    <row r="1095" spans="3:25" ht="15.75" customHeight="1">
      <c r="C1095" s="90"/>
      <c r="D1095" s="1900"/>
      <c r="E1095" s="1895"/>
      <c r="F1095" s="1896"/>
      <c r="G1095" s="1897"/>
      <c r="H1095" s="90"/>
      <c r="I1095" s="90"/>
      <c r="J1095" s="90"/>
      <c r="K1095" s="90"/>
      <c r="L1095" s="1901"/>
      <c r="M1095" s="643"/>
      <c r="N1095" s="643"/>
      <c r="O1095" s="658"/>
      <c r="P1095" s="658"/>
      <c r="Q1095" s="1899"/>
      <c r="R1095" s="430"/>
      <c r="S1095" s="430"/>
      <c r="T1095" s="430"/>
      <c r="U1095" s="430"/>
      <c r="V1095" s="430"/>
      <c r="W1095" s="90"/>
      <c r="X1095" s="90"/>
      <c r="Y1095" s="90"/>
    </row>
    <row r="1096" spans="3:25" ht="15.75" customHeight="1">
      <c r="C1096" s="90"/>
      <c r="D1096" s="1900"/>
      <c r="E1096" s="1895"/>
      <c r="F1096" s="1896"/>
      <c r="G1096" s="1897"/>
      <c r="H1096" s="90"/>
      <c r="I1096" s="90"/>
      <c r="J1096" s="90"/>
      <c r="K1096" s="90"/>
      <c r="L1096" s="1901"/>
      <c r="M1096" s="643"/>
      <c r="N1096" s="643"/>
      <c r="O1096" s="658"/>
      <c r="P1096" s="658"/>
      <c r="Q1096" s="1899"/>
      <c r="R1096" s="430"/>
      <c r="S1096" s="430"/>
      <c r="T1096" s="430"/>
      <c r="U1096" s="430"/>
      <c r="V1096" s="430"/>
      <c r="W1096" s="90"/>
      <c r="X1096" s="90"/>
      <c r="Y1096" s="90"/>
    </row>
    <row r="1097" spans="3:25" ht="15.75" customHeight="1">
      <c r="C1097" s="90"/>
      <c r="D1097" s="1900"/>
      <c r="E1097" s="1895"/>
      <c r="F1097" s="1896"/>
      <c r="G1097" s="1897"/>
      <c r="H1097" s="90"/>
      <c r="I1097" s="90"/>
      <c r="J1097" s="90"/>
      <c r="K1097" s="90"/>
      <c r="L1097" s="1901"/>
      <c r="M1097" s="643"/>
      <c r="N1097" s="643"/>
      <c r="O1097" s="658"/>
      <c r="P1097" s="658"/>
      <c r="Q1097" s="1899"/>
      <c r="R1097" s="430"/>
      <c r="S1097" s="430"/>
      <c r="T1097" s="430"/>
      <c r="U1097" s="430"/>
      <c r="V1097" s="430"/>
      <c r="W1097" s="90"/>
      <c r="X1097" s="90"/>
      <c r="Y1097" s="90"/>
    </row>
    <row r="1098" spans="3:25" ht="15.75" customHeight="1">
      <c r="C1098" s="90"/>
      <c r="D1098" s="1900"/>
      <c r="E1098" s="1895"/>
      <c r="F1098" s="1896"/>
      <c r="G1098" s="1897"/>
      <c r="H1098" s="90"/>
      <c r="I1098" s="90"/>
      <c r="J1098" s="90"/>
      <c r="K1098" s="90"/>
      <c r="L1098" s="1901"/>
      <c r="M1098" s="643"/>
      <c r="N1098" s="643"/>
      <c r="O1098" s="658"/>
      <c r="P1098" s="658"/>
      <c r="Q1098" s="1899"/>
      <c r="R1098" s="430"/>
      <c r="S1098" s="430"/>
      <c r="T1098" s="430"/>
      <c r="U1098" s="430"/>
      <c r="V1098" s="430"/>
      <c r="W1098" s="90"/>
      <c r="X1098" s="90"/>
      <c r="Y1098" s="90"/>
    </row>
    <row r="1099" spans="3:25" ht="15.75" customHeight="1">
      <c r="C1099" s="90"/>
      <c r="D1099" s="1900"/>
      <c r="E1099" s="1895"/>
      <c r="F1099" s="1896"/>
      <c r="G1099" s="1897"/>
      <c r="H1099" s="90"/>
      <c r="I1099" s="90"/>
      <c r="J1099" s="90"/>
      <c r="K1099" s="90"/>
      <c r="L1099" s="1901"/>
      <c r="M1099" s="643"/>
      <c r="N1099" s="643"/>
      <c r="O1099" s="658"/>
      <c r="P1099" s="658"/>
      <c r="Q1099" s="1899"/>
      <c r="R1099" s="430"/>
      <c r="S1099" s="430"/>
      <c r="T1099" s="430"/>
      <c r="U1099" s="430"/>
      <c r="V1099" s="430"/>
      <c r="W1099" s="90"/>
      <c r="X1099" s="90"/>
      <c r="Y1099" s="90"/>
    </row>
    <row r="1100" spans="3:25" ht="15.75" customHeight="1">
      <c r="C1100" s="90"/>
      <c r="D1100" s="1900"/>
      <c r="E1100" s="1895"/>
      <c r="F1100" s="1896"/>
      <c r="G1100" s="1897"/>
      <c r="H1100" s="90"/>
      <c r="I1100" s="90"/>
      <c r="J1100" s="90"/>
      <c r="K1100" s="90"/>
      <c r="L1100" s="1901"/>
      <c r="M1100" s="643"/>
      <c r="N1100" s="643"/>
      <c r="O1100" s="658"/>
      <c r="P1100" s="658"/>
      <c r="Q1100" s="1899"/>
      <c r="R1100" s="430"/>
      <c r="S1100" s="430"/>
      <c r="T1100" s="430"/>
      <c r="U1100" s="430"/>
      <c r="V1100" s="430"/>
      <c r="W1100" s="90"/>
      <c r="X1100" s="90"/>
      <c r="Y1100" s="90"/>
    </row>
    <row r="1101" spans="3:25" ht="15.75" customHeight="1">
      <c r="C1101" s="90"/>
      <c r="D1101" s="1900"/>
      <c r="E1101" s="1895"/>
      <c r="F1101" s="1896"/>
      <c r="G1101" s="1897"/>
      <c r="H1101" s="90"/>
      <c r="I1101" s="90"/>
      <c r="J1101" s="90"/>
      <c r="K1101" s="90"/>
      <c r="L1101" s="1901"/>
      <c r="M1101" s="643"/>
      <c r="N1101" s="643"/>
      <c r="O1101" s="658"/>
      <c r="P1101" s="658"/>
      <c r="Q1101" s="1899"/>
      <c r="R1101" s="430"/>
      <c r="S1101" s="430"/>
      <c r="T1101" s="430"/>
      <c r="U1101" s="430"/>
      <c r="V1101" s="430"/>
      <c r="W1101" s="90"/>
      <c r="X1101" s="90"/>
      <c r="Y1101" s="90"/>
    </row>
    <row r="1102" spans="3:25" ht="15.75" customHeight="1">
      <c r="C1102" s="90"/>
      <c r="D1102" s="1900"/>
      <c r="E1102" s="1895"/>
      <c r="F1102" s="1896"/>
      <c r="G1102" s="1897"/>
      <c r="H1102" s="90"/>
      <c r="I1102" s="90"/>
      <c r="J1102" s="90"/>
      <c r="K1102" s="90"/>
      <c r="L1102" s="1901"/>
      <c r="M1102" s="643"/>
      <c r="N1102" s="643"/>
      <c r="O1102" s="658"/>
      <c r="P1102" s="658"/>
      <c r="Q1102" s="1899"/>
      <c r="R1102" s="430"/>
      <c r="S1102" s="430"/>
      <c r="T1102" s="430"/>
      <c r="U1102" s="430"/>
      <c r="V1102" s="430"/>
      <c r="W1102" s="90"/>
      <c r="X1102" s="90"/>
      <c r="Y1102" s="90"/>
    </row>
    <row r="1103" spans="3:25" ht="15.75" customHeight="1">
      <c r="C1103" s="90"/>
      <c r="D1103" s="1900"/>
      <c r="E1103" s="1895"/>
      <c r="F1103" s="1896"/>
      <c r="G1103" s="1897"/>
      <c r="H1103" s="90"/>
      <c r="I1103" s="90"/>
      <c r="J1103" s="90"/>
      <c r="K1103" s="90"/>
      <c r="L1103" s="1901"/>
      <c r="M1103" s="643"/>
      <c r="N1103" s="643"/>
      <c r="O1103" s="658"/>
      <c r="P1103" s="658"/>
      <c r="Q1103" s="1899"/>
      <c r="R1103" s="430"/>
      <c r="S1103" s="430"/>
      <c r="T1103" s="430"/>
      <c r="U1103" s="430"/>
      <c r="V1103" s="430"/>
      <c r="W1103" s="90"/>
      <c r="X1103" s="90"/>
      <c r="Y1103" s="90"/>
    </row>
    <row r="1104" spans="3:25" ht="15.75" customHeight="1">
      <c r="C1104" s="90"/>
      <c r="D1104" s="1900"/>
      <c r="E1104" s="1895"/>
      <c r="F1104" s="1896"/>
      <c r="G1104" s="1897"/>
      <c r="H1104" s="90"/>
      <c r="I1104" s="90"/>
      <c r="J1104" s="90"/>
      <c r="K1104" s="90"/>
      <c r="L1104" s="1901"/>
      <c r="M1104" s="643"/>
      <c r="N1104" s="643"/>
      <c r="O1104" s="658"/>
      <c r="P1104" s="658"/>
      <c r="Q1104" s="1899"/>
      <c r="R1104" s="430"/>
      <c r="S1104" s="430"/>
      <c r="T1104" s="430"/>
      <c r="U1104" s="430"/>
      <c r="V1104" s="430"/>
      <c r="W1104" s="90"/>
      <c r="X1104" s="90"/>
      <c r="Y1104" s="90"/>
    </row>
    <row r="1105" spans="3:25" ht="15.75" customHeight="1">
      <c r="C1105" s="90"/>
      <c r="D1105" s="1900"/>
      <c r="E1105" s="1895"/>
      <c r="F1105" s="1896"/>
      <c r="G1105" s="1897"/>
      <c r="H1105" s="90"/>
      <c r="I1105" s="90"/>
      <c r="J1105" s="90"/>
      <c r="K1105" s="90"/>
      <c r="L1105" s="1901"/>
      <c r="M1105" s="643"/>
      <c r="N1105" s="643"/>
      <c r="O1105" s="658"/>
      <c r="P1105" s="658"/>
      <c r="Q1105" s="1899"/>
      <c r="R1105" s="430"/>
      <c r="S1105" s="430"/>
      <c r="T1105" s="430"/>
      <c r="U1105" s="430"/>
      <c r="V1105" s="430"/>
      <c r="W1105" s="90"/>
      <c r="X1105" s="90"/>
      <c r="Y1105" s="90"/>
    </row>
    <row r="1106" spans="3:25" ht="15.75" customHeight="1">
      <c r="C1106" s="90"/>
      <c r="D1106" s="1900"/>
      <c r="E1106" s="1895"/>
      <c r="F1106" s="1896"/>
      <c r="G1106" s="1897"/>
      <c r="H1106" s="90"/>
      <c r="I1106" s="90"/>
      <c r="J1106" s="90"/>
      <c r="K1106" s="90"/>
      <c r="L1106" s="1901"/>
      <c r="M1106" s="643"/>
      <c r="N1106" s="643"/>
      <c r="O1106" s="658"/>
      <c r="P1106" s="658"/>
      <c r="Q1106" s="1899"/>
      <c r="R1106" s="430"/>
      <c r="S1106" s="430"/>
      <c r="T1106" s="430"/>
      <c r="U1106" s="430"/>
      <c r="V1106" s="430"/>
      <c r="W1106" s="90"/>
      <c r="X1106" s="90"/>
      <c r="Y1106" s="90"/>
    </row>
    <row r="1107" spans="3:25" ht="15.75" customHeight="1">
      <c r="C1107" s="90"/>
      <c r="D1107" s="1900"/>
      <c r="E1107" s="1895"/>
      <c r="F1107" s="1896"/>
      <c r="G1107" s="1897"/>
      <c r="H1107" s="90"/>
      <c r="I1107" s="90"/>
      <c r="J1107" s="90"/>
      <c r="K1107" s="90"/>
      <c r="L1107" s="1901"/>
      <c r="M1107" s="643"/>
      <c r="N1107" s="643"/>
      <c r="O1107" s="658"/>
      <c r="P1107" s="658"/>
      <c r="Q1107" s="1899"/>
      <c r="R1107" s="430"/>
      <c r="S1107" s="430"/>
      <c r="T1107" s="430"/>
      <c r="U1107" s="430"/>
      <c r="V1107" s="430"/>
      <c r="W1107" s="90"/>
      <c r="X1107" s="90"/>
      <c r="Y1107" s="90"/>
    </row>
    <row r="1108" spans="3:25" ht="15.75" customHeight="1">
      <c r="C1108" s="90"/>
      <c r="D1108" s="1900"/>
      <c r="E1108" s="1895"/>
      <c r="F1108" s="1896"/>
      <c r="G1108" s="1897"/>
      <c r="H1108" s="90"/>
      <c r="I1108" s="90"/>
      <c r="J1108" s="90"/>
      <c r="K1108" s="90"/>
      <c r="L1108" s="1901"/>
      <c r="M1108" s="643"/>
      <c r="N1108" s="643"/>
      <c r="O1108" s="658"/>
      <c r="P1108" s="658"/>
      <c r="Q1108" s="1899"/>
      <c r="R1108" s="430"/>
      <c r="S1108" s="430"/>
      <c r="T1108" s="430"/>
      <c r="U1108" s="430"/>
      <c r="V1108" s="430"/>
      <c r="W1108" s="90"/>
      <c r="X1108" s="90"/>
      <c r="Y1108" s="90"/>
    </row>
    <row r="1109" spans="3:25" ht="15.75" customHeight="1">
      <c r="C1109" s="90"/>
      <c r="D1109" s="1900"/>
      <c r="E1109" s="1895"/>
      <c r="F1109" s="1896"/>
      <c r="G1109" s="1897"/>
      <c r="H1109" s="90"/>
      <c r="I1109" s="90"/>
      <c r="J1109" s="90"/>
      <c r="K1109" s="90"/>
      <c r="L1109" s="1901"/>
      <c r="M1109" s="643"/>
      <c r="N1109" s="643"/>
      <c r="O1109" s="658"/>
      <c r="P1109" s="658"/>
      <c r="Q1109" s="1899"/>
      <c r="R1109" s="430"/>
      <c r="S1109" s="430"/>
      <c r="T1109" s="430"/>
      <c r="U1109" s="430"/>
      <c r="V1109" s="430"/>
      <c r="W1109" s="90"/>
      <c r="X1109" s="90"/>
      <c r="Y1109" s="90"/>
    </row>
    <row r="1110" spans="3:25" ht="15.75" customHeight="1">
      <c r="C1110" s="90"/>
      <c r="D1110" s="1900"/>
      <c r="E1110" s="1895"/>
      <c r="F1110" s="1896"/>
      <c r="G1110" s="1897"/>
      <c r="H1110" s="90"/>
      <c r="I1110" s="90"/>
      <c r="J1110" s="90"/>
      <c r="K1110" s="90"/>
      <c r="L1110" s="1901"/>
      <c r="M1110" s="643"/>
      <c r="N1110" s="643"/>
      <c r="O1110" s="658"/>
      <c r="P1110" s="658"/>
      <c r="Q1110" s="1899"/>
      <c r="R1110" s="430"/>
      <c r="S1110" s="430"/>
      <c r="T1110" s="430"/>
      <c r="U1110" s="430"/>
      <c r="V1110" s="430"/>
      <c r="W1110" s="90"/>
      <c r="X1110" s="90"/>
      <c r="Y1110" s="90"/>
    </row>
    <row r="1111" spans="3:25" ht="15.75" customHeight="1">
      <c r="C1111" s="90"/>
      <c r="D1111" s="1900"/>
      <c r="E1111" s="1895"/>
      <c r="F1111" s="1896"/>
      <c r="G1111" s="1897"/>
      <c r="H1111" s="90"/>
      <c r="I1111" s="90"/>
      <c r="J1111" s="90"/>
      <c r="K1111" s="90"/>
      <c r="L1111" s="1901"/>
      <c r="M1111" s="643"/>
      <c r="N1111" s="643"/>
      <c r="O1111" s="658"/>
      <c r="P1111" s="658"/>
      <c r="Q1111" s="1899"/>
      <c r="R1111" s="430"/>
      <c r="S1111" s="430"/>
      <c r="T1111" s="430"/>
      <c r="U1111" s="430"/>
      <c r="V1111" s="430"/>
      <c r="W1111" s="90"/>
      <c r="X1111" s="90"/>
      <c r="Y1111" s="90"/>
    </row>
    <row r="1112" spans="3:25" ht="15.75" customHeight="1">
      <c r="C1112" s="90"/>
      <c r="D1112" s="1900"/>
      <c r="E1112" s="1895"/>
      <c r="F1112" s="1896"/>
      <c r="G1112" s="1897"/>
      <c r="H1112" s="90"/>
      <c r="I1112" s="90"/>
      <c r="J1112" s="90"/>
      <c r="K1112" s="90"/>
      <c r="L1112" s="1901"/>
      <c r="M1112" s="643"/>
      <c r="N1112" s="643"/>
      <c r="O1112" s="658"/>
      <c r="P1112" s="658"/>
      <c r="Q1112" s="1899"/>
      <c r="R1112" s="430"/>
      <c r="S1112" s="430"/>
      <c r="T1112" s="430"/>
      <c r="U1112" s="430"/>
      <c r="V1112" s="430"/>
      <c r="W1112" s="90"/>
      <c r="X1112" s="90"/>
      <c r="Y1112" s="90"/>
    </row>
    <row r="1113" spans="3:25" ht="15.75" customHeight="1">
      <c r="C1113" s="90"/>
      <c r="D1113" s="1900"/>
      <c r="E1113" s="1895"/>
      <c r="F1113" s="1896"/>
      <c r="G1113" s="1897"/>
      <c r="H1113" s="90"/>
      <c r="I1113" s="90"/>
      <c r="J1113" s="90"/>
      <c r="K1113" s="90"/>
      <c r="L1113" s="1901"/>
      <c r="M1113" s="643"/>
      <c r="N1113" s="643"/>
      <c r="O1113" s="658"/>
      <c r="P1113" s="658"/>
      <c r="Q1113" s="1899"/>
      <c r="R1113" s="430"/>
      <c r="S1113" s="430"/>
      <c r="T1113" s="430"/>
      <c r="U1113" s="430"/>
      <c r="V1113" s="430"/>
      <c r="W1113" s="90"/>
      <c r="X1113" s="90"/>
      <c r="Y1113" s="90"/>
    </row>
    <row r="1114" spans="3:25" ht="15.75" customHeight="1">
      <c r="C1114" s="90"/>
      <c r="D1114" s="1900"/>
      <c r="E1114" s="1895"/>
      <c r="F1114" s="1896"/>
      <c r="G1114" s="1897"/>
      <c r="H1114" s="90"/>
      <c r="I1114" s="90"/>
      <c r="J1114" s="90"/>
      <c r="K1114" s="90"/>
      <c r="L1114" s="1901"/>
      <c r="M1114" s="643"/>
      <c r="N1114" s="643"/>
      <c r="O1114" s="658"/>
      <c r="P1114" s="658"/>
      <c r="Q1114" s="1899"/>
      <c r="R1114" s="430"/>
      <c r="S1114" s="430"/>
      <c r="T1114" s="430"/>
      <c r="U1114" s="430"/>
      <c r="V1114" s="430"/>
      <c r="W1114" s="90"/>
      <c r="X1114" s="90"/>
      <c r="Y1114" s="90"/>
    </row>
    <row r="1115" spans="3:25" ht="15.75" customHeight="1">
      <c r="C1115" s="90"/>
      <c r="D1115" s="1900"/>
      <c r="E1115" s="1895"/>
      <c r="F1115" s="1896"/>
      <c r="G1115" s="1897"/>
      <c r="H1115" s="90"/>
      <c r="I1115" s="90"/>
      <c r="J1115" s="90"/>
      <c r="K1115" s="90"/>
      <c r="L1115" s="1901"/>
      <c r="M1115" s="643"/>
      <c r="N1115" s="643"/>
      <c r="O1115" s="658"/>
      <c r="P1115" s="658"/>
      <c r="Q1115" s="1899"/>
      <c r="R1115" s="430"/>
      <c r="S1115" s="430"/>
      <c r="T1115" s="430"/>
      <c r="U1115" s="430"/>
      <c r="V1115" s="430"/>
      <c r="W1115" s="90"/>
      <c r="X1115" s="90"/>
      <c r="Y1115" s="90"/>
    </row>
    <row r="1116" spans="3:25" ht="15.75" customHeight="1">
      <c r="C1116" s="90"/>
      <c r="D1116" s="1900"/>
      <c r="E1116" s="1895"/>
      <c r="F1116" s="1896"/>
      <c r="G1116" s="1897"/>
      <c r="H1116" s="90"/>
      <c r="I1116" s="90"/>
      <c r="J1116" s="90"/>
      <c r="K1116" s="90"/>
      <c r="L1116" s="1901"/>
      <c r="M1116" s="643"/>
      <c r="N1116" s="643"/>
      <c r="O1116" s="658"/>
      <c r="P1116" s="658"/>
      <c r="Q1116" s="1899"/>
      <c r="R1116" s="430"/>
      <c r="S1116" s="430"/>
      <c r="T1116" s="430"/>
      <c r="U1116" s="430"/>
      <c r="V1116" s="430"/>
      <c r="W1116" s="90"/>
      <c r="X1116" s="90"/>
      <c r="Y1116" s="90"/>
    </row>
    <row r="1117" spans="3:25" ht="15.75" customHeight="1">
      <c r="C1117" s="90"/>
      <c r="D1117" s="1900"/>
      <c r="E1117" s="1895"/>
      <c r="F1117" s="1896"/>
      <c r="G1117" s="1897"/>
      <c r="H1117" s="90"/>
      <c r="I1117" s="90"/>
      <c r="J1117" s="90"/>
      <c r="K1117" s="90"/>
      <c r="L1117" s="1901"/>
      <c r="M1117" s="643"/>
      <c r="N1117" s="643"/>
      <c r="O1117" s="658"/>
      <c r="P1117" s="658"/>
      <c r="Q1117" s="1899"/>
      <c r="R1117" s="430"/>
      <c r="S1117" s="430"/>
      <c r="T1117" s="430"/>
      <c r="U1117" s="430"/>
      <c r="V1117" s="430"/>
      <c r="W1117" s="90"/>
      <c r="X1117" s="90"/>
      <c r="Y1117" s="90"/>
    </row>
    <row r="1118" spans="3:25" ht="15.75" customHeight="1">
      <c r="C1118" s="90"/>
      <c r="D1118" s="1900"/>
      <c r="E1118" s="1895"/>
      <c r="F1118" s="1896"/>
      <c r="G1118" s="1897"/>
      <c r="H1118" s="90"/>
      <c r="I1118" s="90"/>
      <c r="J1118" s="90"/>
      <c r="K1118" s="90"/>
      <c r="L1118" s="1901"/>
      <c r="M1118" s="643"/>
      <c r="N1118" s="643"/>
      <c r="O1118" s="658"/>
      <c r="P1118" s="658"/>
      <c r="Q1118" s="1899"/>
      <c r="R1118" s="430"/>
      <c r="S1118" s="430"/>
      <c r="T1118" s="430"/>
      <c r="U1118" s="430"/>
      <c r="V1118" s="430"/>
      <c r="W1118" s="90"/>
      <c r="X1118" s="90"/>
      <c r="Y1118" s="90"/>
    </row>
    <row r="1119" spans="3:25" ht="15.75" customHeight="1">
      <c r="C1119" s="90"/>
      <c r="D1119" s="1900"/>
      <c r="E1119" s="1895"/>
      <c r="F1119" s="1896"/>
      <c r="G1119" s="1897"/>
      <c r="H1119" s="90"/>
      <c r="I1119" s="90"/>
      <c r="J1119" s="90"/>
      <c r="K1119" s="90"/>
      <c r="L1119" s="1901"/>
      <c r="M1119" s="643"/>
      <c r="N1119" s="643"/>
      <c r="O1119" s="658"/>
      <c r="P1119" s="658"/>
      <c r="Q1119" s="1899"/>
      <c r="R1119" s="430"/>
      <c r="S1119" s="430"/>
      <c r="T1119" s="430"/>
      <c r="U1119" s="430"/>
      <c r="V1119" s="430"/>
      <c r="W1119" s="90"/>
      <c r="X1119" s="90"/>
      <c r="Y1119" s="90"/>
    </row>
    <row r="1120" spans="3:25" ht="15.75" customHeight="1">
      <c r="C1120" s="90"/>
      <c r="D1120" s="1900"/>
      <c r="E1120" s="1895"/>
      <c r="F1120" s="1896"/>
      <c r="G1120" s="1897"/>
      <c r="H1120" s="90"/>
      <c r="I1120" s="90"/>
      <c r="J1120" s="90"/>
      <c r="K1120" s="90"/>
      <c r="L1120" s="1901"/>
      <c r="M1120" s="643"/>
      <c r="N1120" s="643"/>
      <c r="O1120" s="658"/>
      <c r="P1120" s="658"/>
      <c r="Q1120" s="1899"/>
      <c r="R1120" s="430"/>
      <c r="S1120" s="430"/>
      <c r="T1120" s="430"/>
      <c r="U1120" s="430"/>
      <c r="V1120" s="430"/>
      <c r="W1120" s="90"/>
      <c r="X1120" s="90"/>
      <c r="Y1120" s="90"/>
    </row>
    <row r="1121" spans="3:25" ht="15.75" customHeight="1">
      <c r="C1121" s="90"/>
      <c r="D1121" s="1900"/>
      <c r="E1121" s="1895"/>
      <c r="F1121" s="1896"/>
      <c r="G1121" s="1897"/>
      <c r="H1121" s="90"/>
      <c r="I1121" s="90"/>
      <c r="J1121" s="90"/>
      <c r="K1121" s="90"/>
      <c r="L1121" s="1901"/>
      <c r="M1121" s="643"/>
      <c r="N1121" s="643"/>
      <c r="O1121" s="658"/>
      <c r="P1121" s="658"/>
      <c r="Q1121" s="1899"/>
      <c r="R1121" s="430"/>
      <c r="S1121" s="430"/>
      <c r="T1121" s="430"/>
      <c r="U1121" s="430"/>
      <c r="V1121" s="430"/>
      <c r="W1121" s="90"/>
      <c r="X1121" s="90"/>
      <c r="Y1121" s="90"/>
    </row>
    <row r="1122" spans="3:25" ht="15.75" customHeight="1">
      <c r="C1122" s="90"/>
      <c r="D1122" s="1900"/>
      <c r="E1122" s="1895"/>
      <c r="F1122" s="1896"/>
      <c r="G1122" s="1897"/>
      <c r="H1122" s="90"/>
      <c r="I1122" s="90"/>
      <c r="J1122" s="90"/>
      <c r="K1122" s="90"/>
      <c r="L1122" s="1901"/>
      <c r="M1122" s="643"/>
      <c r="N1122" s="643"/>
      <c r="O1122" s="658"/>
      <c r="P1122" s="658"/>
      <c r="Q1122" s="1899"/>
      <c r="R1122" s="430"/>
      <c r="S1122" s="430"/>
      <c r="T1122" s="430"/>
      <c r="U1122" s="430"/>
      <c r="V1122" s="430"/>
      <c r="W1122" s="90"/>
      <c r="X1122" s="90"/>
      <c r="Y1122" s="90"/>
    </row>
    <row r="1123" spans="3:25" ht="15.75" customHeight="1">
      <c r="C1123" s="90"/>
      <c r="D1123" s="1900"/>
      <c r="E1123" s="1895"/>
      <c r="F1123" s="1896"/>
      <c r="G1123" s="1897"/>
      <c r="H1123" s="90"/>
      <c r="I1123" s="90"/>
      <c r="J1123" s="90"/>
      <c r="K1123" s="90"/>
      <c r="L1123" s="1901"/>
      <c r="M1123" s="643"/>
      <c r="N1123" s="643"/>
      <c r="O1123" s="658"/>
      <c r="P1123" s="658"/>
      <c r="Q1123" s="1899"/>
      <c r="R1123" s="430"/>
      <c r="S1123" s="430"/>
      <c r="T1123" s="430"/>
      <c r="U1123" s="430"/>
      <c r="V1123" s="430"/>
      <c r="W1123" s="90"/>
      <c r="X1123" s="90"/>
      <c r="Y1123" s="90"/>
    </row>
    <row r="1124" spans="3:25" ht="15.75" customHeight="1">
      <c r="C1124" s="90"/>
      <c r="D1124" s="1900"/>
      <c r="E1124" s="1895"/>
      <c r="F1124" s="1896"/>
      <c r="G1124" s="1897"/>
      <c r="H1124" s="90"/>
      <c r="I1124" s="90"/>
      <c r="J1124" s="90"/>
      <c r="K1124" s="90"/>
      <c r="L1124" s="1901"/>
      <c r="M1124" s="643"/>
      <c r="N1124" s="643"/>
      <c r="O1124" s="658"/>
      <c r="P1124" s="658"/>
      <c r="Q1124" s="1899"/>
      <c r="R1124" s="430"/>
      <c r="S1124" s="430"/>
      <c r="T1124" s="430"/>
      <c r="U1124" s="430"/>
      <c r="V1124" s="430"/>
      <c r="W1124" s="90"/>
      <c r="X1124" s="90"/>
      <c r="Y1124" s="90"/>
    </row>
    <row r="1125" spans="3:25" ht="15.75" customHeight="1">
      <c r="C1125" s="90"/>
      <c r="D1125" s="1900"/>
      <c r="E1125" s="1895"/>
      <c r="F1125" s="1896"/>
      <c r="G1125" s="1897"/>
      <c r="H1125" s="90"/>
      <c r="I1125" s="90"/>
      <c r="J1125" s="90"/>
      <c r="K1125" s="90"/>
      <c r="L1125" s="1901"/>
      <c r="M1125" s="643"/>
      <c r="N1125" s="643"/>
      <c r="O1125" s="658"/>
      <c r="P1125" s="658"/>
      <c r="Q1125" s="1899"/>
      <c r="R1125" s="430"/>
      <c r="S1125" s="430"/>
      <c r="T1125" s="430"/>
      <c r="U1125" s="430"/>
      <c r="V1125" s="430"/>
      <c r="W1125" s="90"/>
      <c r="X1125" s="90"/>
      <c r="Y1125" s="90"/>
    </row>
    <row r="1126" spans="3:25" ht="15.75" customHeight="1">
      <c r="C1126" s="90"/>
      <c r="D1126" s="1900"/>
      <c r="E1126" s="1895"/>
      <c r="F1126" s="1896"/>
      <c r="G1126" s="1897"/>
      <c r="H1126" s="90"/>
      <c r="I1126" s="90"/>
      <c r="J1126" s="90"/>
      <c r="K1126" s="90"/>
      <c r="L1126" s="1901"/>
      <c r="M1126" s="643"/>
      <c r="N1126" s="643"/>
      <c r="O1126" s="658"/>
      <c r="P1126" s="658"/>
      <c r="Q1126" s="1899"/>
      <c r="R1126" s="430"/>
      <c r="S1126" s="430"/>
      <c r="T1126" s="430"/>
      <c r="U1126" s="430"/>
      <c r="V1126" s="430"/>
      <c r="W1126" s="90"/>
      <c r="X1126" s="90"/>
      <c r="Y1126" s="90"/>
    </row>
    <row r="1127" spans="3:25" ht="15.75" customHeight="1">
      <c r="C1127" s="90"/>
      <c r="D1127" s="1900"/>
      <c r="E1127" s="1895"/>
      <c r="F1127" s="1896"/>
      <c r="G1127" s="1897"/>
      <c r="H1127" s="90"/>
      <c r="I1127" s="90"/>
      <c r="J1127" s="90"/>
      <c r="K1127" s="90"/>
      <c r="L1127" s="1901"/>
      <c r="M1127" s="643"/>
      <c r="N1127" s="643"/>
      <c r="O1127" s="658"/>
      <c r="P1127" s="658"/>
      <c r="Q1127" s="1899"/>
      <c r="R1127" s="430"/>
      <c r="S1127" s="430"/>
      <c r="T1127" s="430"/>
      <c r="U1127" s="430"/>
      <c r="V1127" s="430"/>
      <c r="W1127" s="90"/>
      <c r="X1127" s="90"/>
      <c r="Y1127" s="90"/>
    </row>
    <row r="1128" spans="3:25" ht="15.75" customHeight="1">
      <c r="C1128" s="90"/>
      <c r="D1128" s="1900"/>
      <c r="E1128" s="1895"/>
      <c r="F1128" s="1896"/>
      <c r="G1128" s="1897"/>
      <c r="H1128" s="90"/>
      <c r="I1128" s="90"/>
      <c r="J1128" s="90"/>
      <c r="K1128" s="90"/>
      <c r="L1128" s="1901"/>
      <c r="M1128" s="643"/>
      <c r="N1128" s="643"/>
      <c r="O1128" s="658"/>
      <c r="P1128" s="658"/>
      <c r="Q1128" s="1899"/>
      <c r="R1128" s="430"/>
      <c r="S1128" s="430"/>
      <c r="T1128" s="430"/>
      <c r="U1128" s="430"/>
      <c r="V1128" s="430"/>
      <c r="W1128" s="90"/>
      <c r="X1128" s="90"/>
      <c r="Y1128" s="90"/>
    </row>
    <row r="1129" spans="3:25" ht="15.75" customHeight="1">
      <c r="C1129" s="90"/>
      <c r="D1129" s="1900"/>
      <c r="E1129" s="1895"/>
      <c r="F1129" s="1896"/>
      <c r="G1129" s="1897"/>
      <c r="H1129" s="90"/>
      <c r="I1129" s="90"/>
      <c r="J1129" s="90"/>
      <c r="K1129" s="90"/>
      <c r="L1129" s="1901"/>
      <c r="M1129" s="643"/>
      <c r="N1129" s="643"/>
      <c r="O1129" s="658"/>
      <c r="P1129" s="658"/>
      <c r="Q1129" s="1899"/>
      <c r="R1129" s="430"/>
      <c r="S1129" s="430"/>
      <c r="T1129" s="430"/>
      <c r="U1129" s="430"/>
      <c r="V1129" s="430"/>
      <c r="W1129" s="90"/>
      <c r="X1129" s="90"/>
      <c r="Y1129" s="90"/>
    </row>
    <row r="1130" spans="3:25" ht="15.75" customHeight="1">
      <c r="C1130" s="90"/>
      <c r="D1130" s="1900"/>
      <c r="E1130" s="1895"/>
      <c r="F1130" s="1896"/>
      <c r="G1130" s="1897"/>
      <c r="H1130" s="90"/>
      <c r="I1130" s="90"/>
      <c r="J1130" s="90"/>
      <c r="K1130" s="90"/>
      <c r="L1130" s="1901"/>
      <c r="M1130" s="643"/>
      <c r="N1130" s="643"/>
      <c r="O1130" s="658"/>
      <c r="P1130" s="658"/>
      <c r="Q1130" s="1899"/>
      <c r="R1130" s="430"/>
      <c r="S1130" s="430"/>
      <c r="T1130" s="430"/>
      <c r="U1130" s="430"/>
      <c r="V1130" s="430"/>
      <c r="W1130" s="90"/>
      <c r="X1130" s="90"/>
      <c r="Y1130" s="90"/>
    </row>
    <row r="1131" spans="3:25" ht="15.75" customHeight="1">
      <c r="C1131" s="90"/>
      <c r="D1131" s="1900"/>
      <c r="E1131" s="1895"/>
      <c r="F1131" s="1896"/>
      <c r="G1131" s="1897"/>
      <c r="H1131" s="90"/>
      <c r="I1131" s="90"/>
      <c r="J1131" s="90"/>
      <c r="K1131" s="90"/>
      <c r="L1131" s="1901"/>
      <c r="M1131" s="643"/>
      <c r="N1131" s="643"/>
      <c r="O1131" s="658"/>
      <c r="P1131" s="658"/>
      <c r="Q1131" s="1899"/>
      <c r="R1131" s="430"/>
      <c r="S1131" s="430"/>
      <c r="T1131" s="430"/>
      <c r="U1131" s="430"/>
      <c r="V1131" s="430"/>
      <c r="W1131" s="90"/>
      <c r="X1131" s="90"/>
      <c r="Y1131" s="90"/>
    </row>
    <row r="1132" spans="3:25" ht="15.75" customHeight="1">
      <c r="C1132" s="90"/>
      <c r="D1132" s="1900"/>
      <c r="E1132" s="1895"/>
      <c r="F1132" s="1896"/>
      <c r="G1132" s="1897"/>
      <c r="H1132" s="90"/>
      <c r="I1132" s="90"/>
      <c r="J1132" s="90"/>
      <c r="K1132" s="90"/>
      <c r="L1132" s="1901"/>
      <c r="M1132" s="643"/>
      <c r="N1132" s="643"/>
      <c r="O1132" s="658"/>
      <c r="P1132" s="658"/>
      <c r="Q1132" s="1899"/>
      <c r="R1132" s="430"/>
      <c r="S1132" s="430"/>
      <c r="T1132" s="430"/>
      <c r="U1132" s="430"/>
      <c r="V1132" s="430"/>
      <c r="W1132" s="90"/>
      <c r="X1132" s="90"/>
      <c r="Y1132" s="90"/>
    </row>
    <row r="1133" spans="3:25" ht="15.75" customHeight="1">
      <c r="C1133" s="90"/>
      <c r="D1133" s="1900"/>
      <c r="E1133" s="1895"/>
      <c r="F1133" s="1896"/>
      <c r="G1133" s="1897"/>
      <c r="H1133" s="90"/>
      <c r="I1133" s="90"/>
      <c r="J1133" s="90"/>
      <c r="K1133" s="90"/>
      <c r="L1133" s="1901"/>
      <c r="M1133" s="643"/>
      <c r="N1133" s="643"/>
      <c r="O1133" s="658"/>
      <c r="P1133" s="658"/>
      <c r="Q1133" s="1899"/>
      <c r="R1133" s="430"/>
      <c r="S1133" s="430"/>
      <c r="T1133" s="430"/>
      <c r="U1133" s="430"/>
      <c r="V1133" s="430"/>
      <c r="W1133" s="90"/>
      <c r="X1133" s="90"/>
      <c r="Y1133" s="90"/>
    </row>
    <row r="1134" spans="3:25" ht="15.75" customHeight="1">
      <c r="C1134" s="90"/>
      <c r="D1134" s="1900"/>
      <c r="E1134" s="1895"/>
      <c r="F1134" s="1896"/>
      <c r="G1134" s="1897"/>
      <c r="H1134" s="90"/>
      <c r="I1134" s="90"/>
      <c r="J1134" s="90"/>
      <c r="K1134" s="90"/>
      <c r="L1134" s="1901"/>
      <c r="M1134" s="643"/>
      <c r="N1134" s="643"/>
      <c r="O1134" s="658"/>
      <c r="P1134" s="658"/>
      <c r="Q1134" s="1899"/>
      <c r="R1134" s="430"/>
      <c r="S1134" s="430"/>
      <c r="T1134" s="430"/>
      <c r="U1134" s="430"/>
      <c r="V1134" s="430"/>
      <c r="W1134" s="90"/>
      <c r="X1134" s="90"/>
      <c r="Y1134" s="90"/>
    </row>
    <row r="1135" spans="3:25" ht="15.75" customHeight="1">
      <c r="C1135" s="90"/>
      <c r="D1135" s="1900"/>
      <c r="E1135" s="1895"/>
      <c r="F1135" s="1896"/>
      <c r="G1135" s="1897"/>
      <c r="H1135" s="90"/>
      <c r="I1135" s="90"/>
      <c r="J1135" s="90"/>
      <c r="K1135" s="90"/>
      <c r="L1135" s="1901"/>
      <c r="M1135" s="643"/>
      <c r="N1135" s="643"/>
      <c r="O1135" s="658"/>
      <c r="P1135" s="658"/>
      <c r="Q1135" s="1899"/>
      <c r="R1135" s="430"/>
      <c r="S1135" s="430"/>
      <c r="T1135" s="430"/>
      <c r="U1135" s="430"/>
      <c r="V1135" s="430"/>
      <c r="W1135" s="90"/>
      <c r="X1135" s="90"/>
      <c r="Y1135" s="90"/>
    </row>
    <row r="1136" spans="3:25" ht="15.75" customHeight="1">
      <c r="C1136" s="90"/>
      <c r="D1136" s="1900"/>
      <c r="E1136" s="1895"/>
      <c r="F1136" s="1896"/>
      <c r="G1136" s="1897"/>
      <c r="H1136" s="90"/>
      <c r="I1136" s="90"/>
      <c r="J1136" s="90"/>
      <c r="K1136" s="90"/>
      <c r="L1136" s="1901"/>
      <c r="M1136" s="643"/>
      <c r="N1136" s="643"/>
      <c r="O1136" s="658"/>
      <c r="P1136" s="658"/>
      <c r="Q1136" s="1899"/>
      <c r="R1136" s="430"/>
      <c r="S1136" s="430"/>
      <c r="T1136" s="430"/>
      <c r="U1136" s="430"/>
      <c r="V1136" s="430"/>
      <c r="W1136" s="90"/>
      <c r="X1136" s="90"/>
      <c r="Y1136" s="90"/>
    </row>
    <row r="1137" spans="3:25" ht="15.75" customHeight="1">
      <c r="C1137" s="90"/>
      <c r="D1137" s="1900"/>
      <c r="E1137" s="1895"/>
      <c r="F1137" s="1896"/>
      <c r="G1137" s="1897"/>
      <c r="H1137" s="90"/>
      <c r="I1137" s="90"/>
      <c r="J1137" s="90"/>
      <c r="K1137" s="90"/>
      <c r="L1137" s="1901"/>
      <c r="M1137" s="643"/>
      <c r="N1137" s="643"/>
      <c r="O1137" s="658"/>
      <c r="P1137" s="658"/>
      <c r="Q1137" s="1899"/>
      <c r="R1137" s="430"/>
      <c r="S1137" s="430"/>
      <c r="T1137" s="430"/>
      <c r="U1137" s="430"/>
      <c r="V1137" s="430"/>
      <c r="W1137" s="90"/>
      <c r="X1137" s="90"/>
      <c r="Y1137" s="90"/>
    </row>
    <row r="1138" spans="3:25" ht="15.75" customHeight="1">
      <c r="C1138" s="90"/>
      <c r="D1138" s="1900"/>
      <c r="E1138" s="1895"/>
      <c r="F1138" s="1896"/>
      <c r="G1138" s="1897"/>
      <c r="H1138" s="90"/>
      <c r="I1138" s="90"/>
      <c r="J1138" s="90"/>
      <c r="K1138" s="90"/>
      <c r="L1138" s="1901"/>
      <c r="M1138" s="643"/>
      <c r="N1138" s="643"/>
      <c r="O1138" s="658"/>
      <c r="P1138" s="658"/>
      <c r="Q1138" s="1899"/>
      <c r="R1138" s="430"/>
      <c r="S1138" s="430"/>
      <c r="T1138" s="430"/>
      <c r="U1138" s="430"/>
      <c r="V1138" s="430"/>
      <c r="W1138" s="90"/>
      <c r="X1138" s="90"/>
      <c r="Y1138" s="90"/>
    </row>
    <row r="1139" spans="3:25" ht="15.75" customHeight="1">
      <c r="C1139" s="90"/>
      <c r="D1139" s="1900"/>
      <c r="E1139" s="1895"/>
      <c r="F1139" s="1896"/>
      <c r="G1139" s="1897"/>
      <c r="H1139" s="90"/>
      <c r="I1139" s="90"/>
      <c r="J1139" s="90"/>
      <c r="K1139" s="90"/>
      <c r="L1139" s="1901"/>
      <c r="M1139" s="643"/>
      <c r="N1139" s="643"/>
      <c r="O1139" s="658"/>
      <c r="P1139" s="658"/>
      <c r="Q1139" s="1899"/>
      <c r="R1139" s="430"/>
      <c r="S1139" s="430"/>
      <c r="T1139" s="430"/>
      <c r="U1139" s="430"/>
      <c r="V1139" s="430"/>
      <c r="W1139" s="90"/>
      <c r="X1139" s="90"/>
      <c r="Y1139" s="90"/>
    </row>
    <row r="1140" spans="3:25" ht="15.75" customHeight="1">
      <c r="C1140" s="90"/>
      <c r="D1140" s="1900"/>
      <c r="E1140" s="1895"/>
      <c r="F1140" s="1896"/>
      <c r="G1140" s="1897"/>
      <c r="H1140" s="90"/>
      <c r="I1140" s="90"/>
      <c r="J1140" s="90"/>
      <c r="K1140" s="90"/>
      <c r="L1140" s="1901"/>
      <c r="M1140" s="643"/>
      <c r="N1140" s="643"/>
      <c r="O1140" s="658"/>
      <c r="P1140" s="658"/>
      <c r="Q1140" s="1899"/>
      <c r="R1140" s="430"/>
      <c r="S1140" s="430"/>
      <c r="T1140" s="430"/>
      <c r="U1140" s="430"/>
      <c r="V1140" s="430"/>
      <c r="W1140" s="90"/>
      <c r="X1140" s="90"/>
      <c r="Y1140" s="90"/>
    </row>
    <row r="1141" spans="3:25" ht="15.75" customHeight="1">
      <c r="C1141" s="90"/>
      <c r="D1141" s="1900"/>
      <c r="E1141" s="1895"/>
      <c r="F1141" s="1896"/>
      <c r="G1141" s="1897"/>
      <c r="H1141" s="90"/>
      <c r="I1141" s="90"/>
      <c r="J1141" s="90"/>
      <c r="K1141" s="90"/>
      <c r="L1141" s="1901"/>
      <c r="M1141" s="643"/>
      <c r="N1141" s="643"/>
      <c r="O1141" s="658"/>
      <c r="P1141" s="658"/>
      <c r="Q1141" s="1899"/>
      <c r="R1141" s="430"/>
      <c r="S1141" s="430"/>
      <c r="T1141" s="430"/>
      <c r="U1141" s="430"/>
      <c r="V1141" s="430"/>
      <c r="W1141" s="90"/>
      <c r="X1141" s="90"/>
      <c r="Y1141" s="90"/>
    </row>
    <row r="1142" spans="3:25" ht="15.75" customHeight="1">
      <c r="C1142" s="90"/>
      <c r="D1142" s="1900"/>
      <c r="E1142" s="1895"/>
      <c r="F1142" s="1896"/>
      <c r="G1142" s="1897"/>
      <c r="H1142" s="90"/>
      <c r="I1142" s="90"/>
      <c r="J1142" s="90"/>
      <c r="K1142" s="90"/>
      <c r="L1142" s="1901"/>
      <c r="M1142" s="643"/>
      <c r="N1142" s="643"/>
      <c r="O1142" s="658"/>
      <c r="P1142" s="658"/>
      <c r="Q1142" s="1899"/>
      <c r="R1142" s="430"/>
      <c r="S1142" s="430"/>
      <c r="T1142" s="430"/>
      <c r="U1142" s="430"/>
      <c r="V1142" s="430"/>
      <c r="W1142" s="90"/>
      <c r="X1142" s="90"/>
      <c r="Y1142" s="90"/>
    </row>
    <row r="1143" spans="3:25" ht="15.75" customHeight="1">
      <c r="C1143" s="90"/>
      <c r="D1143" s="1900"/>
      <c r="E1143" s="1895"/>
      <c r="F1143" s="1896"/>
      <c r="G1143" s="1897"/>
      <c r="H1143" s="90"/>
      <c r="I1143" s="90"/>
      <c r="J1143" s="90"/>
      <c r="K1143" s="90"/>
      <c r="L1143" s="1901"/>
      <c r="M1143" s="643"/>
      <c r="N1143" s="643"/>
      <c r="O1143" s="658"/>
      <c r="P1143" s="658"/>
      <c r="Q1143" s="1899"/>
      <c r="R1143" s="430"/>
      <c r="S1143" s="430"/>
      <c r="T1143" s="430"/>
      <c r="U1143" s="430"/>
      <c r="V1143" s="430"/>
      <c r="W1143" s="90"/>
      <c r="X1143" s="90"/>
      <c r="Y1143" s="90"/>
    </row>
    <row r="1144" spans="3:25" ht="15.75" customHeight="1">
      <c r="C1144" s="90"/>
      <c r="D1144" s="1900"/>
      <c r="E1144" s="1895"/>
      <c r="F1144" s="1896"/>
      <c r="G1144" s="1897"/>
      <c r="H1144" s="90"/>
      <c r="I1144" s="90"/>
      <c r="J1144" s="90"/>
      <c r="K1144" s="90"/>
      <c r="L1144" s="1901"/>
      <c r="M1144" s="643"/>
      <c r="N1144" s="643"/>
      <c r="O1144" s="658"/>
      <c r="P1144" s="658"/>
      <c r="Q1144" s="1899"/>
      <c r="R1144" s="430"/>
      <c r="S1144" s="430"/>
      <c r="T1144" s="430"/>
      <c r="U1144" s="430"/>
      <c r="V1144" s="430"/>
      <c r="W1144" s="90"/>
      <c r="X1144" s="90"/>
      <c r="Y1144" s="90"/>
    </row>
    <row r="1145" spans="3:25" ht="15.75" customHeight="1">
      <c r="C1145" s="90"/>
      <c r="D1145" s="1900"/>
      <c r="E1145" s="1895"/>
      <c r="F1145" s="1896"/>
      <c r="G1145" s="1897"/>
      <c r="H1145" s="90"/>
      <c r="I1145" s="90"/>
      <c r="J1145" s="90"/>
      <c r="K1145" s="90"/>
      <c r="L1145" s="1901"/>
      <c r="M1145" s="643"/>
      <c r="N1145" s="643"/>
      <c r="O1145" s="658"/>
      <c r="P1145" s="658"/>
      <c r="Q1145" s="1899"/>
      <c r="R1145" s="430"/>
      <c r="S1145" s="430"/>
      <c r="T1145" s="430"/>
      <c r="U1145" s="430"/>
      <c r="V1145" s="430"/>
      <c r="W1145" s="90"/>
      <c r="X1145" s="90"/>
      <c r="Y1145" s="90"/>
    </row>
    <row r="1146" spans="3:25" ht="15.75" customHeight="1">
      <c r="C1146" s="90"/>
      <c r="D1146" s="1900"/>
      <c r="E1146" s="1895"/>
      <c r="F1146" s="1896"/>
      <c r="G1146" s="1897"/>
      <c r="H1146" s="90"/>
      <c r="I1146" s="90"/>
      <c r="J1146" s="90"/>
      <c r="K1146" s="90"/>
      <c r="L1146" s="1901"/>
      <c r="M1146" s="643"/>
      <c r="N1146" s="643"/>
      <c r="O1146" s="658"/>
      <c r="P1146" s="658"/>
      <c r="Q1146" s="1899"/>
      <c r="R1146" s="430"/>
      <c r="S1146" s="430"/>
      <c r="T1146" s="430"/>
      <c r="U1146" s="430"/>
      <c r="V1146" s="430"/>
      <c r="W1146" s="90"/>
      <c r="X1146" s="90"/>
      <c r="Y1146" s="90"/>
    </row>
    <row r="1147" spans="3:25" ht="15.75" customHeight="1">
      <c r="C1147" s="90"/>
      <c r="D1147" s="1900"/>
      <c r="E1147" s="1895"/>
      <c r="F1147" s="1896"/>
      <c r="G1147" s="1897"/>
      <c r="H1147" s="90"/>
      <c r="I1147" s="90"/>
      <c r="J1147" s="90"/>
      <c r="K1147" s="90"/>
      <c r="L1147" s="1901"/>
      <c r="M1147" s="643"/>
      <c r="N1147" s="643"/>
      <c r="O1147" s="658"/>
      <c r="P1147" s="658"/>
      <c r="Q1147" s="1899"/>
      <c r="R1147" s="430"/>
      <c r="S1147" s="430"/>
      <c r="T1147" s="430"/>
      <c r="U1147" s="430"/>
      <c r="V1147" s="430"/>
      <c r="W1147" s="90"/>
      <c r="X1147" s="90"/>
      <c r="Y1147" s="90"/>
    </row>
    <row r="1148" spans="3:25" ht="15.75" customHeight="1">
      <c r="C1148" s="90"/>
      <c r="D1148" s="1900"/>
      <c r="E1148" s="1895"/>
      <c r="F1148" s="1896"/>
      <c r="G1148" s="1897"/>
      <c r="H1148" s="90"/>
      <c r="I1148" s="90"/>
      <c r="J1148" s="90"/>
      <c r="K1148" s="90"/>
      <c r="L1148" s="1901"/>
      <c r="M1148" s="643"/>
      <c r="N1148" s="643"/>
      <c r="O1148" s="658"/>
      <c r="P1148" s="658"/>
      <c r="Q1148" s="1899"/>
      <c r="R1148" s="430"/>
      <c r="S1148" s="430"/>
      <c r="T1148" s="430"/>
      <c r="U1148" s="430"/>
      <c r="V1148" s="430"/>
      <c r="W1148" s="90"/>
      <c r="X1148" s="90"/>
      <c r="Y1148" s="90"/>
    </row>
    <row r="1149" spans="3:25" ht="15.75" customHeight="1">
      <c r="C1149" s="90"/>
      <c r="D1149" s="1900"/>
      <c r="E1149" s="1895"/>
      <c r="F1149" s="1896"/>
      <c r="G1149" s="1897"/>
      <c r="H1149" s="90"/>
      <c r="I1149" s="90"/>
      <c r="J1149" s="90"/>
      <c r="K1149" s="90"/>
      <c r="L1149" s="1901"/>
      <c r="M1149" s="643"/>
      <c r="N1149" s="643"/>
      <c r="O1149" s="658"/>
      <c r="P1149" s="658"/>
      <c r="Q1149" s="1899"/>
      <c r="R1149" s="430"/>
      <c r="S1149" s="430"/>
      <c r="T1149" s="430"/>
      <c r="U1149" s="430"/>
      <c r="V1149" s="430"/>
      <c r="W1149" s="90"/>
      <c r="X1149" s="90"/>
      <c r="Y1149" s="90"/>
    </row>
    <row r="1150" spans="3:25" ht="15.75" customHeight="1">
      <c r="C1150" s="90"/>
      <c r="D1150" s="1900"/>
      <c r="E1150" s="1895"/>
      <c r="F1150" s="1896"/>
      <c r="G1150" s="1897"/>
      <c r="H1150" s="90"/>
      <c r="I1150" s="90"/>
      <c r="J1150" s="90"/>
      <c r="K1150" s="90"/>
      <c r="L1150" s="1901"/>
      <c r="M1150" s="643"/>
      <c r="N1150" s="643"/>
      <c r="O1150" s="658"/>
      <c r="P1150" s="658"/>
      <c r="Q1150" s="1899"/>
      <c r="R1150" s="430"/>
      <c r="S1150" s="430"/>
      <c r="T1150" s="430"/>
      <c r="U1150" s="430"/>
      <c r="V1150" s="430"/>
      <c r="W1150" s="90"/>
      <c r="X1150" s="90"/>
      <c r="Y1150" s="90"/>
    </row>
    <row r="1151" spans="3:25" ht="15.75" customHeight="1">
      <c r="C1151" s="90"/>
      <c r="D1151" s="1900"/>
      <c r="E1151" s="1895"/>
      <c r="F1151" s="1896"/>
      <c r="G1151" s="1897"/>
      <c r="H1151" s="90"/>
      <c r="I1151" s="90"/>
      <c r="J1151" s="90"/>
      <c r="K1151" s="90"/>
      <c r="L1151" s="1901"/>
      <c r="M1151" s="643"/>
      <c r="N1151" s="643"/>
      <c r="O1151" s="658"/>
      <c r="P1151" s="658"/>
      <c r="Q1151" s="1899"/>
      <c r="R1151" s="430"/>
      <c r="S1151" s="430"/>
      <c r="T1151" s="430"/>
      <c r="U1151" s="430"/>
      <c r="V1151" s="430"/>
      <c r="W1151" s="90"/>
      <c r="X1151" s="90"/>
      <c r="Y1151" s="90"/>
    </row>
    <row r="1152" spans="3:25" ht="15.75" customHeight="1">
      <c r="C1152" s="90"/>
      <c r="D1152" s="1900"/>
      <c r="E1152" s="1895"/>
      <c r="F1152" s="1896"/>
      <c r="G1152" s="1897"/>
      <c r="H1152" s="90"/>
      <c r="I1152" s="90"/>
      <c r="J1152" s="90"/>
      <c r="K1152" s="90"/>
      <c r="L1152" s="1901"/>
      <c r="M1152" s="643"/>
      <c r="N1152" s="643"/>
      <c r="O1152" s="658"/>
      <c r="P1152" s="658"/>
      <c r="Q1152" s="1899"/>
      <c r="R1152" s="430"/>
      <c r="S1152" s="430"/>
      <c r="T1152" s="430"/>
      <c r="U1152" s="430"/>
      <c r="V1152" s="430"/>
      <c r="W1152" s="90"/>
      <c r="X1152" s="90"/>
      <c r="Y1152" s="90"/>
    </row>
    <row r="1153" spans="3:25" ht="15.75" customHeight="1">
      <c r="C1153" s="90"/>
      <c r="D1153" s="1900"/>
      <c r="E1153" s="1895"/>
      <c r="F1153" s="1896"/>
      <c r="G1153" s="1897"/>
      <c r="H1153" s="90"/>
      <c r="I1153" s="90"/>
      <c r="J1153" s="90"/>
      <c r="K1153" s="90"/>
      <c r="L1153" s="1901"/>
      <c r="M1153" s="643"/>
      <c r="N1153" s="643"/>
      <c r="O1153" s="658"/>
      <c r="P1153" s="658"/>
      <c r="Q1153" s="1899"/>
      <c r="R1153" s="430"/>
      <c r="S1153" s="430"/>
      <c r="T1153" s="430"/>
      <c r="U1153" s="430"/>
      <c r="V1153" s="430"/>
      <c r="W1153" s="90"/>
      <c r="X1153" s="90"/>
      <c r="Y1153" s="90"/>
    </row>
    <row r="1154" spans="3:25" ht="15.75" customHeight="1">
      <c r="C1154" s="90"/>
      <c r="D1154" s="1900"/>
      <c r="E1154" s="1895"/>
      <c r="F1154" s="1896"/>
      <c r="G1154" s="1897"/>
      <c r="H1154" s="90"/>
      <c r="I1154" s="90"/>
      <c r="J1154" s="90"/>
      <c r="K1154" s="90"/>
      <c r="L1154" s="1901"/>
      <c r="M1154" s="643"/>
      <c r="N1154" s="643"/>
      <c r="O1154" s="658"/>
      <c r="P1154" s="658"/>
      <c r="Q1154" s="1899"/>
      <c r="R1154" s="430"/>
      <c r="S1154" s="430"/>
      <c r="T1154" s="430"/>
      <c r="U1154" s="430"/>
      <c r="V1154" s="430"/>
      <c r="W1154" s="90"/>
      <c r="X1154" s="90"/>
      <c r="Y1154" s="90"/>
    </row>
    <row r="1155" spans="3:25" ht="15.75" customHeight="1">
      <c r="C1155" s="90"/>
      <c r="D1155" s="1900"/>
      <c r="E1155" s="1895"/>
      <c r="F1155" s="1896"/>
      <c r="G1155" s="1897"/>
      <c r="H1155" s="90"/>
      <c r="I1155" s="90"/>
      <c r="J1155" s="90"/>
      <c r="K1155" s="90"/>
      <c r="L1155" s="1901"/>
      <c r="M1155" s="643"/>
      <c r="N1155" s="643"/>
      <c r="O1155" s="658"/>
      <c r="P1155" s="658"/>
      <c r="Q1155" s="1899"/>
      <c r="R1155" s="430"/>
      <c r="S1155" s="430"/>
      <c r="T1155" s="430"/>
      <c r="U1155" s="430"/>
      <c r="V1155" s="430"/>
      <c r="W1155" s="90"/>
      <c r="X1155" s="90"/>
      <c r="Y1155" s="90"/>
    </row>
    <row r="1156" spans="3:25" ht="15.75" customHeight="1">
      <c r="C1156" s="90"/>
      <c r="D1156" s="1900"/>
      <c r="E1156" s="1895"/>
      <c r="F1156" s="1896"/>
      <c r="G1156" s="1897"/>
      <c r="H1156" s="90"/>
      <c r="I1156" s="90"/>
      <c r="J1156" s="90"/>
      <c r="K1156" s="90"/>
      <c r="L1156" s="1901"/>
      <c r="M1156" s="643"/>
      <c r="N1156" s="643"/>
      <c r="O1156" s="658"/>
      <c r="P1156" s="658"/>
      <c r="Q1156" s="1899"/>
      <c r="R1156" s="430"/>
      <c r="S1156" s="430"/>
      <c r="T1156" s="430"/>
      <c r="U1156" s="430"/>
      <c r="V1156" s="430"/>
      <c r="W1156" s="90"/>
      <c r="X1156" s="90"/>
      <c r="Y1156" s="90"/>
    </row>
    <row r="1157" spans="3:25" ht="15.75" customHeight="1">
      <c r="C1157" s="90"/>
      <c r="D1157" s="1900"/>
      <c r="E1157" s="1895"/>
      <c r="F1157" s="1896"/>
      <c r="G1157" s="1897"/>
      <c r="H1157" s="90"/>
      <c r="I1157" s="90"/>
      <c r="J1157" s="90"/>
      <c r="K1157" s="90"/>
      <c r="L1157" s="1901"/>
      <c r="M1157" s="643"/>
      <c r="N1157" s="643"/>
      <c r="O1157" s="658"/>
      <c r="P1157" s="658"/>
      <c r="Q1157" s="1899"/>
      <c r="R1157" s="430"/>
      <c r="S1157" s="430"/>
      <c r="T1157" s="430"/>
      <c r="U1157" s="430"/>
      <c r="V1157" s="430"/>
      <c r="W1157" s="90"/>
      <c r="X1157" s="90"/>
      <c r="Y1157" s="90"/>
    </row>
    <row r="1158" spans="3:25" ht="15.75" customHeight="1">
      <c r="C1158" s="90"/>
      <c r="D1158" s="1900"/>
      <c r="E1158" s="1895"/>
      <c r="F1158" s="1896"/>
      <c r="G1158" s="1897"/>
      <c r="H1158" s="90"/>
      <c r="I1158" s="90"/>
      <c r="J1158" s="90"/>
      <c r="K1158" s="90"/>
      <c r="L1158" s="1901"/>
      <c r="M1158" s="643"/>
      <c r="N1158" s="643"/>
      <c r="O1158" s="658"/>
      <c r="P1158" s="658"/>
      <c r="Q1158" s="1899"/>
      <c r="R1158" s="430"/>
      <c r="S1158" s="430"/>
      <c r="T1158" s="430"/>
      <c r="U1158" s="430"/>
      <c r="V1158" s="430"/>
      <c r="W1158" s="90"/>
      <c r="X1158" s="90"/>
      <c r="Y1158" s="90"/>
    </row>
    <row r="1159" spans="3:25" ht="15.75" customHeight="1">
      <c r="C1159" s="90"/>
      <c r="D1159" s="1900"/>
      <c r="E1159" s="1895"/>
      <c r="F1159" s="1896"/>
      <c r="G1159" s="1897"/>
      <c r="H1159" s="90"/>
      <c r="I1159" s="90"/>
      <c r="J1159" s="90"/>
      <c r="K1159" s="90"/>
      <c r="L1159" s="1901"/>
      <c r="M1159" s="643"/>
      <c r="N1159" s="643"/>
      <c r="O1159" s="658"/>
      <c r="P1159" s="658"/>
      <c r="Q1159" s="1899"/>
      <c r="R1159" s="430"/>
      <c r="S1159" s="430"/>
      <c r="T1159" s="430"/>
      <c r="U1159" s="430"/>
      <c r="V1159" s="430"/>
      <c r="W1159" s="90"/>
      <c r="X1159" s="90"/>
      <c r="Y1159" s="90"/>
    </row>
    <row r="1160" spans="3:25" ht="15.75" customHeight="1">
      <c r="C1160" s="90"/>
      <c r="D1160" s="1900"/>
      <c r="E1160" s="1895"/>
      <c r="F1160" s="1896"/>
      <c r="G1160" s="1897"/>
      <c r="H1160" s="90"/>
      <c r="I1160" s="90"/>
      <c r="J1160" s="90"/>
      <c r="K1160" s="90"/>
      <c r="L1160" s="1901"/>
      <c r="M1160" s="643"/>
      <c r="N1160" s="643"/>
      <c r="O1160" s="658"/>
      <c r="P1160" s="658"/>
      <c r="Q1160" s="1899"/>
      <c r="R1160" s="430"/>
      <c r="S1160" s="430"/>
      <c r="T1160" s="430"/>
      <c r="U1160" s="430"/>
      <c r="V1160" s="430"/>
      <c r="W1160" s="90"/>
      <c r="X1160" s="90"/>
      <c r="Y1160" s="90"/>
    </row>
    <row r="1161" spans="3:25" ht="15.75" customHeight="1">
      <c r="C1161" s="90"/>
      <c r="D1161" s="1900"/>
      <c r="E1161" s="1895"/>
      <c r="F1161" s="1896"/>
      <c r="G1161" s="1897"/>
      <c r="H1161" s="90"/>
      <c r="I1161" s="90"/>
      <c r="J1161" s="90"/>
      <c r="K1161" s="90"/>
      <c r="L1161" s="1901"/>
      <c r="M1161" s="643"/>
      <c r="N1161" s="643"/>
      <c r="O1161" s="658"/>
      <c r="P1161" s="658"/>
      <c r="Q1161" s="1899"/>
      <c r="R1161" s="430"/>
      <c r="S1161" s="430"/>
      <c r="T1161" s="430"/>
      <c r="U1161" s="430"/>
      <c r="V1161" s="430"/>
      <c r="W1161" s="90"/>
      <c r="X1161" s="90"/>
      <c r="Y1161" s="90"/>
    </row>
    <row r="1162" spans="3:25" ht="15.75" customHeight="1">
      <c r="C1162" s="90"/>
      <c r="D1162" s="1900"/>
      <c r="E1162" s="1895"/>
      <c r="F1162" s="1896"/>
      <c r="G1162" s="1897"/>
      <c r="H1162" s="90"/>
      <c r="I1162" s="90"/>
      <c r="J1162" s="90"/>
      <c r="K1162" s="90"/>
      <c r="L1162" s="1901"/>
      <c r="M1162" s="643"/>
      <c r="N1162" s="643"/>
      <c r="O1162" s="658"/>
      <c r="P1162" s="658"/>
      <c r="Q1162" s="1899"/>
      <c r="R1162" s="430"/>
      <c r="S1162" s="430"/>
      <c r="T1162" s="430"/>
      <c r="U1162" s="430"/>
      <c r="V1162" s="430"/>
      <c r="W1162" s="90"/>
      <c r="X1162" s="90"/>
      <c r="Y1162" s="90"/>
    </row>
    <row r="1163" spans="3:25" ht="15.75" customHeight="1">
      <c r="C1163" s="90"/>
      <c r="D1163" s="1900"/>
      <c r="E1163" s="1895"/>
      <c r="F1163" s="1896"/>
      <c r="G1163" s="1897"/>
      <c r="H1163" s="90"/>
      <c r="I1163" s="90"/>
      <c r="J1163" s="90"/>
      <c r="K1163" s="90"/>
      <c r="L1163" s="1901"/>
      <c r="M1163" s="643"/>
      <c r="N1163" s="643"/>
      <c r="O1163" s="658"/>
      <c r="P1163" s="658"/>
      <c r="Q1163" s="1899"/>
      <c r="R1163" s="430"/>
      <c r="S1163" s="430"/>
      <c r="T1163" s="430"/>
      <c r="U1163" s="430"/>
      <c r="V1163" s="430"/>
      <c r="W1163" s="90"/>
      <c r="X1163" s="90"/>
      <c r="Y1163" s="90"/>
    </row>
    <row r="1164" spans="3:25" ht="15.75" customHeight="1">
      <c r="C1164" s="90"/>
      <c r="D1164" s="1900"/>
      <c r="E1164" s="1895"/>
      <c r="F1164" s="1896"/>
      <c r="G1164" s="1897"/>
      <c r="H1164" s="90"/>
      <c r="I1164" s="90"/>
      <c r="J1164" s="90"/>
      <c r="K1164" s="90"/>
      <c r="L1164" s="1901"/>
      <c r="M1164" s="643"/>
      <c r="N1164" s="643"/>
      <c r="O1164" s="658"/>
      <c r="P1164" s="658"/>
      <c r="Q1164" s="1899"/>
      <c r="R1164" s="430"/>
      <c r="S1164" s="430"/>
      <c r="T1164" s="430"/>
      <c r="U1164" s="430"/>
      <c r="V1164" s="430"/>
      <c r="W1164" s="90"/>
      <c r="X1164" s="90"/>
      <c r="Y1164" s="90"/>
    </row>
    <row r="1165" spans="3:25" ht="15.75" customHeight="1">
      <c r="C1165" s="90"/>
      <c r="D1165" s="1900"/>
      <c r="E1165" s="1895"/>
      <c r="F1165" s="1896"/>
      <c r="G1165" s="1897"/>
      <c r="H1165" s="90"/>
      <c r="I1165" s="90"/>
      <c r="J1165" s="90"/>
      <c r="K1165" s="90"/>
      <c r="L1165" s="1901"/>
      <c r="M1165" s="643"/>
      <c r="N1165" s="643"/>
      <c r="O1165" s="658"/>
      <c r="P1165" s="658"/>
      <c r="Q1165" s="1899"/>
      <c r="R1165" s="430"/>
      <c r="S1165" s="430"/>
      <c r="T1165" s="430"/>
      <c r="U1165" s="430"/>
      <c r="V1165" s="430"/>
      <c r="W1165" s="90"/>
      <c r="X1165" s="90"/>
      <c r="Y1165" s="90"/>
    </row>
    <row r="1166" spans="3:25" ht="15.75" customHeight="1">
      <c r="C1166" s="90"/>
      <c r="D1166" s="1900"/>
      <c r="E1166" s="1895"/>
      <c r="F1166" s="1896"/>
      <c r="G1166" s="1897"/>
      <c r="H1166" s="90"/>
      <c r="I1166" s="90"/>
      <c r="J1166" s="90"/>
      <c r="K1166" s="90"/>
      <c r="L1166" s="1901"/>
      <c r="M1166" s="643"/>
      <c r="N1166" s="643"/>
      <c r="O1166" s="658"/>
      <c r="P1166" s="658"/>
      <c r="Q1166" s="1899"/>
      <c r="R1166" s="430"/>
      <c r="S1166" s="430"/>
      <c r="T1166" s="430"/>
      <c r="U1166" s="430"/>
      <c r="V1166" s="430"/>
      <c r="W1166" s="90"/>
      <c r="X1166" s="90"/>
      <c r="Y1166" s="90"/>
    </row>
    <row r="1167" spans="3:25" ht="15.75" customHeight="1">
      <c r="C1167" s="90"/>
      <c r="D1167" s="1900"/>
      <c r="E1167" s="1895"/>
      <c r="F1167" s="1896"/>
      <c r="G1167" s="1897"/>
      <c r="H1167" s="90"/>
      <c r="I1167" s="90"/>
      <c r="J1167" s="90"/>
      <c r="K1167" s="90"/>
      <c r="L1167" s="1901"/>
      <c r="M1167" s="643"/>
      <c r="N1167" s="643"/>
      <c r="O1167" s="658"/>
      <c r="P1167" s="658"/>
      <c r="Q1167" s="1899"/>
      <c r="R1167" s="430"/>
      <c r="S1167" s="430"/>
      <c r="T1167" s="430"/>
      <c r="U1167" s="430"/>
      <c r="V1167" s="430"/>
      <c r="W1167" s="90"/>
      <c r="X1167" s="90"/>
      <c r="Y1167" s="90"/>
    </row>
    <row r="1168" spans="3:25" ht="15.75" customHeight="1">
      <c r="C1168" s="90"/>
      <c r="D1168" s="1900"/>
      <c r="E1168" s="1895"/>
      <c r="F1168" s="1896"/>
      <c r="G1168" s="1897"/>
      <c r="H1168" s="90"/>
      <c r="I1168" s="90"/>
      <c r="J1168" s="90"/>
      <c r="K1168" s="90"/>
      <c r="L1168" s="1901"/>
      <c r="M1168" s="643"/>
      <c r="N1168" s="643"/>
      <c r="O1168" s="658"/>
      <c r="P1168" s="658"/>
      <c r="Q1168" s="1899"/>
      <c r="R1168" s="430"/>
      <c r="S1168" s="430"/>
      <c r="T1168" s="430"/>
      <c r="U1168" s="430"/>
      <c r="V1168" s="430"/>
      <c r="W1168" s="90"/>
      <c r="X1168" s="90"/>
      <c r="Y1168" s="90"/>
    </row>
    <row r="1169" spans="3:25" ht="15.75" customHeight="1">
      <c r="C1169" s="90"/>
      <c r="D1169" s="1900"/>
      <c r="E1169" s="1895"/>
      <c r="F1169" s="1896"/>
      <c r="G1169" s="1897"/>
      <c r="H1169" s="90"/>
      <c r="I1169" s="90"/>
      <c r="J1169" s="90"/>
      <c r="K1169" s="90"/>
      <c r="L1169" s="1901"/>
      <c r="M1169" s="643"/>
      <c r="N1169" s="643"/>
      <c r="O1169" s="658"/>
      <c r="P1169" s="658"/>
      <c r="Q1169" s="1899"/>
      <c r="R1169" s="430"/>
      <c r="S1169" s="430"/>
      <c r="T1169" s="430"/>
      <c r="U1169" s="430"/>
      <c r="V1169" s="430"/>
      <c r="W1169" s="90"/>
      <c r="X1169" s="90"/>
      <c r="Y1169" s="90"/>
    </row>
    <row r="1170" spans="3:25" ht="15.75" customHeight="1">
      <c r="C1170" s="90"/>
      <c r="D1170" s="1900"/>
      <c r="E1170" s="1895"/>
      <c r="F1170" s="1896"/>
      <c r="G1170" s="1897"/>
      <c r="H1170" s="90"/>
      <c r="I1170" s="90"/>
      <c r="J1170" s="90"/>
      <c r="K1170" s="90"/>
      <c r="L1170" s="1901"/>
      <c r="M1170" s="643"/>
      <c r="N1170" s="643"/>
      <c r="O1170" s="658"/>
      <c r="P1170" s="658"/>
      <c r="Q1170" s="1899"/>
      <c r="R1170" s="430"/>
      <c r="S1170" s="430"/>
      <c r="T1170" s="430"/>
      <c r="U1170" s="430"/>
      <c r="V1170" s="430"/>
      <c r="W1170" s="90"/>
      <c r="X1170" s="90"/>
      <c r="Y1170" s="90"/>
    </row>
    <row r="1171" spans="3:25" ht="15.75" customHeight="1">
      <c r="C1171" s="90"/>
      <c r="D1171" s="1900"/>
      <c r="E1171" s="1895"/>
      <c r="F1171" s="1896"/>
      <c r="G1171" s="1897"/>
      <c r="H1171" s="90"/>
      <c r="I1171" s="90"/>
      <c r="J1171" s="90"/>
      <c r="K1171" s="90"/>
      <c r="L1171" s="1901"/>
      <c r="M1171" s="643"/>
      <c r="N1171" s="643"/>
      <c r="O1171" s="658"/>
      <c r="P1171" s="658"/>
      <c r="Q1171" s="1899"/>
      <c r="R1171" s="430"/>
      <c r="S1171" s="430"/>
      <c r="T1171" s="430"/>
      <c r="U1171" s="430"/>
      <c r="V1171" s="430"/>
      <c r="W1171" s="90"/>
      <c r="X1171" s="90"/>
      <c r="Y1171" s="90"/>
    </row>
    <row r="1172" spans="3:25" ht="15.75" customHeight="1">
      <c r="C1172" s="90"/>
      <c r="D1172" s="1900"/>
      <c r="E1172" s="1895"/>
      <c r="F1172" s="1896"/>
      <c r="G1172" s="1897"/>
      <c r="H1172" s="90"/>
      <c r="I1172" s="90"/>
      <c r="J1172" s="90"/>
      <c r="K1172" s="90"/>
      <c r="L1172" s="1901"/>
      <c r="M1172" s="643"/>
      <c r="N1172" s="643"/>
      <c r="O1172" s="658"/>
      <c r="P1172" s="658"/>
      <c r="Q1172" s="1899"/>
      <c r="R1172" s="430"/>
      <c r="S1172" s="430"/>
      <c r="T1172" s="430"/>
      <c r="U1172" s="430"/>
      <c r="V1172" s="430"/>
      <c r="W1172" s="90"/>
      <c r="X1172" s="90"/>
      <c r="Y1172" s="90"/>
    </row>
    <row r="1173" spans="3:25" ht="15.75" customHeight="1">
      <c r="C1173" s="90"/>
      <c r="D1173" s="1900"/>
      <c r="E1173" s="1895"/>
      <c r="F1173" s="1896"/>
      <c r="G1173" s="1897"/>
      <c r="H1173" s="90"/>
      <c r="I1173" s="90"/>
      <c r="J1173" s="90"/>
      <c r="K1173" s="90"/>
      <c r="L1173" s="1901"/>
      <c r="M1173" s="643"/>
      <c r="N1173" s="643"/>
      <c r="O1173" s="658"/>
      <c r="P1173" s="658"/>
      <c r="Q1173" s="1899"/>
      <c r="R1173" s="430"/>
      <c r="S1173" s="430"/>
      <c r="T1173" s="430"/>
      <c r="U1173" s="430"/>
      <c r="V1173" s="430"/>
      <c r="W1173" s="90"/>
      <c r="X1173" s="90"/>
      <c r="Y1173" s="90"/>
    </row>
    <row r="1174" spans="3:25" ht="15.75" customHeight="1">
      <c r="C1174" s="90"/>
      <c r="D1174" s="1900"/>
      <c r="E1174" s="1895"/>
      <c r="F1174" s="1896"/>
      <c r="G1174" s="1897"/>
      <c r="H1174" s="90"/>
      <c r="I1174" s="90"/>
      <c r="J1174" s="90"/>
      <c r="K1174" s="90"/>
      <c r="L1174" s="1901"/>
      <c r="M1174" s="643"/>
      <c r="N1174" s="643"/>
      <c r="O1174" s="658"/>
      <c r="P1174" s="658"/>
      <c r="Q1174" s="1899"/>
      <c r="R1174" s="430"/>
      <c r="S1174" s="430"/>
      <c r="T1174" s="430"/>
      <c r="U1174" s="430"/>
      <c r="V1174" s="430"/>
      <c r="W1174" s="90"/>
      <c r="X1174" s="90"/>
      <c r="Y1174" s="90"/>
    </row>
    <row r="1175" spans="3:25" ht="15.75" customHeight="1">
      <c r="C1175" s="90"/>
      <c r="D1175" s="1900"/>
      <c r="E1175" s="1895"/>
      <c r="F1175" s="1896"/>
      <c r="G1175" s="1897"/>
      <c r="H1175" s="90"/>
      <c r="I1175" s="90"/>
      <c r="J1175" s="90"/>
      <c r="K1175" s="90"/>
      <c r="L1175" s="1901"/>
      <c r="M1175" s="643"/>
      <c r="N1175" s="643"/>
      <c r="O1175" s="658"/>
      <c r="P1175" s="658"/>
      <c r="Q1175" s="1899"/>
      <c r="R1175" s="430"/>
      <c r="S1175" s="430"/>
      <c r="T1175" s="430"/>
      <c r="U1175" s="430"/>
      <c r="V1175" s="430"/>
      <c r="W1175" s="90"/>
      <c r="X1175" s="90"/>
      <c r="Y1175" s="90"/>
    </row>
    <row r="1176" spans="3:25" ht="15.75" customHeight="1">
      <c r="C1176" s="90"/>
      <c r="D1176" s="1900"/>
      <c r="E1176" s="1895"/>
      <c r="F1176" s="1896"/>
      <c r="G1176" s="1897"/>
      <c r="H1176" s="90"/>
      <c r="I1176" s="90"/>
      <c r="J1176" s="90"/>
      <c r="K1176" s="90"/>
      <c r="L1176" s="1901"/>
      <c r="M1176" s="643"/>
      <c r="N1176" s="643"/>
      <c r="O1176" s="658"/>
      <c r="P1176" s="658"/>
      <c r="Q1176" s="1899"/>
      <c r="R1176" s="430"/>
      <c r="S1176" s="430"/>
      <c r="T1176" s="430"/>
      <c r="U1176" s="430"/>
      <c r="V1176" s="430"/>
      <c r="W1176" s="90"/>
      <c r="X1176" s="90"/>
      <c r="Y1176" s="90"/>
    </row>
    <row r="1177" spans="3:25" ht="15.75" customHeight="1">
      <c r="C1177" s="90"/>
      <c r="D1177" s="1900"/>
      <c r="E1177" s="1895"/>
      <c r="F1177" s="1896"/>
      <c r="G1177" s="1897"/>
      <c r="H1177" s="90"/>
      <c r="I1177" s="90"/>
      <c r="J1177" s="90"/>
      <c r="K1177" s="90"/>
      <c r="L1177" s="1901"/>
      <c r="M1177" s="643"/>
      <c r="N1177" s="643"/>
      <c r="O1177" s="658"/>
      <c r="P1177" s="658"/>
      <c r="Q1177" s="1899"/>
      <c r="R1177" s="430"/>
      <c r="S1177" s="430"/>
      <c r="T1177" s="430"/>
      <c r="U1177" s="430"/>
      <c r="V1177" s="430"/>
      <c r="W1177" s="90"/>
      <c r="X1177" s="90"/>
      <c r="Y1177" s="90"/>
    </row>
    <row r="1178" spans="3:25" ht="15.75" customHeight="1">
      <c r="C1178" s="90"/>
      <c r="D1178" s="1900"/>
      <c r="E1178" s="1895"/>
      <c r="F1178" s="1896"/>
      <c r="G1178" s="1897"/>
      <c r="H1178" s="90"/>
      <c r="I1178" s="90"/>
      <c r="J1178" s="90"/>
      <c r="K1178" s="90"/>
      <c r="L1178" s="1901"/>
      <c r="M1178" s="643"/>
      <c r="N1178" s="643"/>
      <c r="O1178" s="658"/>
      <c r="P1178" s="658"/>
      <c r="Q1178" s="1899"/>
      <c r="R1178" s="430"/>
      <c r="S1178" s="430"/>
      <c r="T1178" s="430"/>
      <c r="U1178" s="430"/>
      <c r="V1178" s="430"/>
      <c r="W1178" s="90"/>
      <c r="X1178" s="90"/>
      <c r="Y1178" s="90"/>
    </row>
    <row r="1179" spans="3:25" ht="15.75" customHeight="1">
      <c r="C1179" s="90"/>
      <c r="D1179" s="1900"/>
      <c r="E1179" s="1895"/>
      <c r="F1179" s="1896"/>
      <c r="G1179" s="1897"/>
      <c r="H1179" s="90"/>
      <c r="I1179" s="90"/>
      <c r="J1179" s="90"/>
      <c r="K1179" s="90"/>
      <c r="L1179" s="1901"/>
      <c r="M1179" s="643"/>
      <c r="N1179" s="643"/>
      <c r="O1179" s="658"/>
      <c r="P1179" s="658"/>
      <c r="Q1179" s="1899"/>
      <c r="R1179" s="430"/>
      <c r="S1179" s="430"/>
      <c r="T1179" s="430"/>
      <c r="U1179" s="430"/>
      <c r="V1179" s="430"/>
      <c r="W1179" s="90"/>
      <c r="X1179" s="90"/>
      <c r="Y1179" s="90"/>
    </row>
    <row r="1180" spans="3:25" ht="15.75" customHeight="1">
      <c r="C1180" s="90"/>
      <c r="D1180" s="1900"/>
      <c r="E1180" s="1895"/>
      <c r="F1180" s="1896"/>
      <c r="G1180" s="1897"/>
      <c r="H1180" s="90"/>
      <c r="I1180" s="90"/>
      <c r="J1180" s="90"/>
      <c r="K1180" s="90"/>
      <c r="L1180" s="1901"/>
      <c r="M1180" s="643"/>
      <c r="N1180" s="643"/>
      <c r="O1180" s="658"/>
      <c r="P1180" s="658"/>
      <c r="Q1180" s="1899"/>
      <c r="R1180" s="430"/>
      <c r="S1180" s="430"/>
      <c r="T1180" s="430"/>
      <c r="U1180" s="430"/>
      <c r="V1180" s="430"/>
      <c r="W1180" s="90"/>
      <c r="X1180" s="90"/>
      <c r="Y1180" s="90"/>
    </row>
    <row r="1181" spans="3:25" ht="15.75" customHeight="1">
      <c r="C1181" s="90"/>
      <c r="D1181" s="1900"/>
      <c r="E1181" s="1895"/>
      <c r="F1181" s="1896"/>
      <c r="G1181" s="1897"/>
      <c r="H1181" s="90"/>
      <c r="I1181" s="90"/>
      <c r="J1181" s="90"/>
      <c r="K1181" s="90"/>
      <c r="L1181" s="1901"/>
      <c r="M1181" s="643"/>
      <c r="N1181" s="643"/>
      <c r="O1181" s="658"/>
      <c r="P1181" s="658"/>
      <c r="Q1181" s="1899"/>
      <c r="R1181" s="430"/>
      <c r="S1181" s="430"/>
      <c r="T1181" s="430"/>
      <c r="U1181" s="430"/>
      <c r="V1181" s="430"/>
      <c r="W1181" s="90"/>
      <c r="X1181" s="90"/>
      <c r="Y1181" s="90"/>
    </row>
    <row r="1182" spans="3:25" ht="15.75" customHeight="1">
      <c r="C1182" s="90"/>
      <c r="D1182" s="1900"/>
      <c r="E1182" s="1895"/>
      <c r="F1182" s="1896"/>
      <c r="G1182" s="1897"/>
      <c r="H1182" s="90"/>
      <c r="I1182" s="90"/>
      <c r="J1182" s="90"/>
      <c r="K1182" s="90"/>
      <c r="L1182" s="1901"/>
      <c r="M1182" s="643"/>
      <c r="N1182" s="643"/>
      <c r="O1182" s="658"/>
      <c r="P1182" s="658"/>
      <c r="Q1182" s="1899"/>
      <c r="R1182" s="430"/>
      <c r="S1182" s="430"/>
      <c r="T1182" s="430"/>
      <c r="U1182" s="430"/>
      <c r="V1182" s="430"/>
      <c r="W1182" s="90"/>
      <c r="X1182" s="90"/>
      <c r="Y1182" s="90"/>
    </row>
    <row r="1183" spans="3:25" ht="15.75" customHeight="1">
      <c r="C1183" s="90"/>
      <c r="D1183" s="1900"/>
      <c r="E1183" s="1895"/>
      <c r="F1183" s="1896"/>
      <c r="G1183" s="1897"/>
      <c r="H1183" s="90"/>
      <c r="I1183" s="90"/>
      <c r="J1183" s="90"/>
      <c r="K1183" s="90"/>
      <c r="L1183" s="1901"/>
      <c r="M1183" s="643"/>
      <c r="N1183" s="643"/>
      <c r="O1183" s="658"/>
      <c r="P1183" s="658"/>
      <c r="Q1183" s="1899"/>
      <c r="R1183" s="430"/>
      <c r="S1183" s="430"/>
      <c r="T1183" s="430"/>
      <c r="U1183" s="430"/>
      <c r="V1183" s="430"/>
      <c r="W1183" s="90"/>
      <c r="X1183" s="90"/>
      <c r="Y1183" s="90"/>
    </row>
    <row r="1184" spans="3:25" ht="15.75" customHeight="1">
      <c r="C1184" s="90"/>
      <c r="D1184" s="1900"/>
      <c r="E1184" s="1895"/>
      <c r="F1184" s="1896"/>
      <c r="G1184" s="1897"/>
      <c r="H1184" s="90"/>
      <c r="I1184" s="90"/>
      <c r="J1184" s="90"/>
      <c r="K1184" s="90"/>
      <c r="L1184" s="1901"/>
      <c r="M1184" s="643"/>
      <c r="N1184" s="643"/>
      <c r="O1184" s="658"/>
      <c r="P1184" s="658"/>
      <c r="Q1184" s="1899"/>
      <c r="R1184" s="430"/>
      <c r="S1184" s="430"/>
      <c r="T1184" s="430"/>
      <c r="U1184" s="430"/>
      <c r="V1184" s="430"/>
      <c r="W1184" s="90"/>
      <c r="X1184" s="90"/>
      <c r="Y1184" s="90"/>
    </row>
    <row r="1185" spans="3:25" ht="15.75" customHeight="1">
      <c r="C1185" s="90"/>
      <c r="D1185" s="1900"/>
      <c r="E1185" s="1895"/>
      <c r="F1185" s="1896"/>
      <c r="G1185" s="1897"/>
      <c r="H1185" s="90"/>
      <c r="I1185" s="90"/>
      <c r="J1185" s="90"/>
      <c r="K1185" s="90"/>
      <c r="L1185" s="1901"/>
      <c r="M1185" s="643"/>
      <c r="N1185" s="643"/>
      <c r="O1185" s="658"/>
      <c r="P1185" s="658"/>
      <c r="Q1185" s="1899"/>
      <c r="R1185" s="430"/>
      <c r="S1185" s="430"/>
      <c r="T1185" s="430"/>
      <c r="U1185" s="430"/>
      <c r="V1185" s="430"/>
      <c r="W1185" s="90"/>
      <c r="X1185" s="90"/>
      <c r="Y1185" s="90"/>
    </row>
    <row r="1186" spans="3:25" ht="15.75" customHeight="1">
      <c r="C1186" s="90"/>
      <c r="D1186" s="1900"/>
      <c r="E1186" s="1895"/>
      <c r="F1186" s="1896"/>
      <c r="G1186" s="1897"/>
      <c r="H1186" s="90"/>
      <c r="I1186" s="90"/>
      <c r="J1186" s="90"/>
      <c r="K1186" s="90"/>
      <c r="L1186" s="1901"/>
      <c r="M1186" s="643"/>
      <c r="N1186" s="643"/>
      <c r="O1186" s="658"/>
      <c r="P1186" s="658"/>
      <c r="Q1186" s="1899"/>
      <c r="R1186" s="430"/>
      <c r="S1186" s="430"/>
      <c r="T1186" s="430"/>
      <c r="U1186" s="430"/>
      <c r="V1186" s="430"/>
      <c r="W1186" s="90"/>
      <c r="X1186" s="90"/>
      <c r="Y1186" s="90"/>
    </row>
    <row r="1187" spans="3:25" ht="15.75" customHeight="1">
      <c r="C1187" s="90"/>
      <c r="D1187" s="1900"/>
      <c r="E1187" s="1895"/>
      <c r="F1187" s="1896"/>
      <c r="G1187" s="1897"/>
      <c r="H1187" s="90"/>
      <c r="I1187" s="90"/>
      <c r="J1187" s="90"/>
      <c r="K1187" s="90"/>
      <c r="L1187" s="1901"/>
      <c r="M1187" s="643"/>
      <c r="N1187" s="643"/>
      <c r="O1187" s="658"/>
      <c r="P1187" s="658"/>
      <c r="Q1187" s="1899"/>
      <c r="R1187" s="430"/>
      <c r="S1187" s="430"/>
      <c r="T1187" s="430"/>
      <c r="U1187" s="430"/>
      <c r="V1187" s="430"/>
      <c r="W1187" s="90"/>
      <c r="X1187" s="90"/>
      <c r="Y1187" s="90"/>
    </row>
    <row r="1188" spans="3:25" ht="15.75" customHeight="1">
      <c r="C1188" s="90"/>
      <c r="D1188" s="1900"/>
      <c r="E1188" s="1895"/>
      <c r="F1188" s="1896"/>
      <c r="G1188" s="1897"/>
      <c r="H1188" s="90"/>
      <c r="I1188" s="90"/>
      <c r="J1188" s="90"/>
      <c r="K1188" s="90"/>
      <c r="L1188" s="1901"/>
      <c r="M1188" s="643"/>
      <c r="N1188" s="643"/>
      <c r="O1188" s="658"/>
      <c r="P1188" s="658"/>
      <c r="Q1188" s="1899"/>
      <c r="R1188" s="430"/>
      <c r="S1188" s="430"/>
      <c r="T1188" s="430"/>
      <c r="U1188" s="430"/>
      <c r="V1188" s="430"/>
      <c r="W1188" s="90"/>
      <c r="X1188" s="90"/>
      <c r="Y1188" s="90"/>
    </row>
    <row r="1189" spans="3:25" ht="15.75" customHeight="1">
      <c r="C1189" s="90"/>
      <c r="D1189" s="1900"/>
      <c r="E1189" s="1895"/>
      <c r="F1189" s="1896"/>
      <c r="G1189" s="1897"/>
      <c r="H1189" s="90"/>
      <c r="I1189" s="90"/>
      <c r="J1189" s="90"/>
      <c r="K1189" s="90"/>
      <c r="L1189" s="1901"/>
      <c r="M1189" s="643"/>
      <c r="N1189" s="643"/>
      <c r="O1189" s="658"/>
      <c r="P1189" s="658"/>
      <c r="Q1189" s="1899"/>
      <c r="R1189" s="430"/>
      <c r="S1189" s="430"/>
      <c r="T1189" s="430"/>
      <c r="U1189" s="430"/>
      <c r="V1189" s="430"/>
      <c r="W1189" s="90"/>
      <c r="X1189" s="90"/>
      <c r="Y1189" s="90"/>
    </row>
    <row r="1190" spans="3:25" ht="15.75" customHeight="1">
      <c r="C1190" s="90"/>
      <c r="D1190" s="1900"/>
      <c r="E1190" s="1895"/>
      <c r="F1190" s="1896"/>
      <c r="G1190" s="1897"/>
      <c r="H1190" s="90"/>
      <c r="I1190" s="90"/>
      <c r="J1190" s="90"/>
      <c r="K1190" s="90"/>
      <c r="L1190" s="1901"/>
      <c r="M1190" s="643"/>
      <c r="N1190" s="643"/>
      <c r="O1190" s="658"/>
      <c r="P1190" s="658"/>
      <c r="Q1190" s="1899"/>
      <c r="R1190" s="430"/>
      <c r="S1190" s="430"/>
      <c r="T1190" s="430"/>
      <c r="U1190" s="430"/>
      <c r="V1190" s="430"/>
      <c r="W1190" s="90"/>
      <c r="X1190" s="90"/>
      <c r="Y1190" s="90"/>
    </row>
    <row r="1191" spans="3:25" ht="15.75" customHeight="1">
      <c r="C1191" s="90"/>
      <c r="D1191" s="1900"/>
      <c r="E1191" s="1895"/>
      <c r="F1191" s="1896"/>
      <c r="G1191" s="1897"/>
      <c r="H1191" s="90"/>
      <c r="I1191" s="90"/>
      <c r="J1191" s="90"/>
      <c r="K1191" s="90"/>
      <c r="L1191" s="1901"/>
      <c r="M1191" s="643"/>
      <c r="N1191" s="643"/>
      <c r="O1191" s="658"/>
      <c r="P1191" s="658"/>
      <c r="Q1191" s="1899"/>
      <c r="R1191" s="430"/>
      <c r="S1191" s="430"/>
      <c r="T1191" s="430"/>
      <c r="U1191" s="430"/>
      <c r="V1191" s="430"/>
      <c r="W1191" s="90"/>
      <c r="X1191" s="90"/>
      <c r="Y1191" s="90"/>
    </row>
    <row r="1192" spans="3:25" ht="15.75" customHeight="1">
      <c r="C1192" s="90"/>
      <c r="D1192" s="1900"/>
      <c r="E1192" s="1895"/>
      <c r="F1192" s="1896"/>
      <c r="G1192" s="1897"/>
      <c r="H1192" s="90"/>
      <c r="I1192" s="90"/>
      <c r="J1192" s="90"/>
      <c r="K1192" s="90"/>
      <c r="L1192" s="1901"/>
      <c r="M1192" s="643"/>
      <c r="N1192" s="643"/>
      <c r="O1192" s="658"/>
      <c r="P1192" s="658"/>
      <c r="Q1192" s="1899"/>
      <c r="R1192" s="430"/>
      <c r="S1192" s="430"/>
      <c r="T1192" s="430"/>
      <c r="U1192" s="430"/>
      <c r="V1192" s="430"/>
      <c r="W1192" s="90"/>
      <c r="X1192" s="90"/>
      <c r="Y1192" s="90"/>
    </row>
    <row r="1193" spans="3:25" ht="15.75" customHeight="1">
      <c r="C1193" s="90"/>
      <c r="D1193" s="1900"/>
      <c r="E1193" s="1895"/>
      <c r="F1193" s="1896"/>
      <c r="G1193" s="1897"/>
      <c r="H1193" s="90"/>
      <c r="I1193" s="90"/>
      <c r="J1193" s="90"/>
      <c r="K1193" s="90"/>
      <c r="L1193" s="1901"/>
      <c r="M1193" s="643"/>
      <c r="N1193" s="643"/>
      <c r="O1193" s="658"/>
      <c r="P1193" s="658"/>
      <c r="Q1193" s="1899"/>
      <c r="R1193" s="430"/>
      <c r="S1193" s="430"/>
      <c r="T1193" s="430"/>
      <c r="U1193" s="430"/>
      <c r="V1193" s="430"/>
      <c r="W1193" s="90"/>
      <c r="X1193" s="90"/>
      <c r="Y1193" s="90"/>
    </row>
    <row r="1194" spans="3:25" ht="15.75" customHeight="1">
      <c r="C1194" s="90"/>
      <c r="D1194" s="1900"/>
      <c r="E1194" s="1895"/>
      <c r="F1194" s="1896"/>
      <c r="G1194" s="1897"/>
      <c r="H1194" s="90"/>
      <c r="I1194" s="90"/>
      <c r="J1194" s="90"/>
      <c r="K1194" s="90"/>
      <c r="L1194" s="1901"/>
      <c r="M1194" s="643"/>
      <c r="N1194" s="643"/>
      <c r="O1194" s="658"/>
      <c r="P1194" s="658"/>
      <c r="Q1194" s="1899"/>
      <c r="R1194" s="430"/>
      <c r="S1194" s="430"/>
      <c r="T1194" s="430"/>
      <c r="U1194" s="430"/>
      <c r="V1194" s="430"/>
      <c r="W1194" s="90"/>
      <c r="X1194" s="90"/>
      <c r="Y1194" s="90"/>
    </row>
    <row r="1195" spans="3:25" ht="15.75" customHeight="1">
      <c r="C1195" s="90"/>
      <c r="D1195" s="1900"/>
      <c r="E1195" s="1895"/>
      <c r="F1195" s="1896"/>
      <c r="G1195" s="1897"/>
      <c r="H1195" s="90"/>
      <c r="I1195" s="90"/>
      <c r="J1195" s="90"/>
      <c r="K1195" s="90"/>
      <c r="L1195" s="1901"/>
      <c r="M1195" s="643"/>
      <c r="N1195" s="643"/>
      <c r="O1195" s="658"/>
      <c r="P1195" s="658"/>
      <c r="Q1195" s="1899"/>
      <c r="R1195" s="430"/>
      <c r="S1195" s="430"/>
      <c r="T1195" s="430"/>
      <c r="U1195" s="430"/>
      <c r="V1195" s="430"/>
      <c r="W1195" s="90"/>
      <c r="X1195" s="90"/>
      <c r="Y1195" s="90"/>
    </row>
    <row r="1196" spans="3:25" ht="15.75" customHeight="1">
      <c r="C1196" s="90"/>
      <c r="D1196" s="1900"/>
      <c r="E1196" s="1895"/>
      <c r="F1196" s="1896"/>
      <c r="G1196" s="1897"/>
      <c r="H1196" s="90"/>
      <c r="I1196" s="90"/>
      <c r="J1196" s="90"/>
      <c r="K1196" s="90"/>
      <c r="L1196" s="1901"/>
      <c r="M1196" s="643"/>
      <c r="N1196" s="643"/>
      <c r="O1196" s="658"/>
      <c r="P1196" s="658"/>
      <c r="Q1196" s="1899"/>
      <c r="R1196" s="430"/>
      <c r="S1196" s="430"/>
      <c r="T1196" s="430"/>
      <c r="U1196" s="430"/>
      <c r="V1196" s="430"/>
      <c r="W1196" s="90"/>
      <c r="X1196" s="90"/>
      <c r="Y1196" s="90"/>
    </row>
    <row r="1197" spans="3:25" ht="15.75" customHeight="1">
      <c r="C1197" s="90"/>
      <c r="D1197" s="1900"/>
      <c r="E1197" s="1895"/>
      <c r="F1197" s="1896"/>
      <c r="G1197" s="1897"/>
      <c r="H1197" s="90"/>
      <c r="I1197" s="90"/>
      <c r="J1197" s="90"/>
      <c r="K1197" s="90"/>
      <c r="L1197" s="1901"/>
      <c r="M1197" s="643"/>
      <c r="N1197" s="643"/>
      <c r="O1197" s="658"/>
      <c r="P1197" s="658"/>
      <c r="Q1197" s="1899"/>
      <c r="R1197" s="430"/>
      <c r="S1197" s="430"/>
      <c r="T1197" s="430"/>
      <c r="U1197" s="430"/>
      <c r="V1197" s="430"/>
      <c r="W1197" s="90"/>
      <c r="X1197" s="90"/>
      <c r="Y1197" s="90"/>
    </row>
    <row r="1198" spans="3:25" ht="15.75" customHeight="1">
      <c r="C1198" s="90"/>
      <c r="D1198" s="1900"/>
      <c r="E1198" s="1895"/>
      <c r="F1198" s="1896"/>
      <c r="G1198" s="1897"/>
      <c r="H1198" s="90"/>
      <c r="I1198" s="90"/>
      <c r="J1198" s="90"/>
      <c r="K1198" s="90"/>
      <c r="L1198" s="1901"/>
      <c r="M1198" s="643"/>
      <c r="N1198" s="643"/>
      <c r="O1198" s="658"/>
      <c r="P1198" s="658"/>
      <c r="Q1198" s="1899"/>
      <c r="R1198" s="430"/>
      <c r="S1198" s="430"/>
      <c r="T1198" s="430"/>
      <c r="U1198" s="430"/>
      <c r="V1198" s="430"/>
      <c r="W1198" s="90"/>
      <c r="X1198" s="90"/>
      <c r="Y1198" s="90"/>
    </row>
    <row r="1199" spans="3:25" ht="15.75" customHeight="1">
      <c r="C1199" s="90"/>
      <c r="D1199" s="1900"/>
      <c r="E1199" s="1895"/>
      <c r="F1199" s="1896"/>
      <c r="G1199" s="1897"/>
      <c r="H1199" s="90"/>
      <c r="I1199" s="90"/>
      <c r="J1199" s="90"/>
      <c r="K1199" s="90"/>
      <c r="L1199" s="1901"/>
      <c r="M1199" s="643"/>
      <c r="N1199" s="643"/>
      <c r="O1199" s="658"/>
      <c r="P1199" s="658"/>
      <c r="Q1199" s="1899"/>
      <c r="R1199" s="430"/>
      <c r="S1199" s="430"/>
      <c r="T1199" s="430"/>
      <c r="U1199" s="430"/>
      <c r="V1199" s="430"/>
      <c r="W1199" s="90"/>
      <c r="X1199" s="90"/>
      <c r="Y1199" s="90"/>
    </row>
    <row r="1200" spans="3:25" ht="15.75" customHeight="1">
      <c r="C1200" s="90"/>
      <c r="D1200" s="1900"/>
      <c r="E1200" s="1895"/>
      <c r="F1200" s="1896"/>
      <c r="G1200" s="1897"/>
      <c r="H1200" s="90"/>
      <c r="I1200" s="90"/>
      <c r="J1200" s="90"/>
      <c r="K1200" s="90"/>
      <c r="L1200" s="1901"/>
      <c r="M1200" s="643"/>
      <c r="N1200" s="643"/>
      <c r="O1200" s="658"/>
      <c r="P1200" s="658"/>
      <c r="Q1200" s="1899"/>
      <c r="R1200" s="430"/>
      <c r="S1200" s="430"/>
      <c r="T1200" s="430"/>
      <c r="U1200" s="430"/>
      <c r="V1200" s="430"/>
      <c r="W1200" s="90"/>
      <c r="X1200" s="90"/>
      <c r="Y1200" s="90"/>
    </row>
    <row r="1201" spans="3:25" ht="15.75" customHeight="1">
      <c r="C1201" s="90"/>
      <c r="D1201" s="1900"/>
      <c r="E1201" s="1895"/>
      <c r="F1201" s="1896"/>
      <c r="G1201" s="1897"/>
      <c r="H1201" s="90"/>
      <c r="I1201" s="90"/>
      <c r="J1201" s="90"/>
      <c r="K1201" s="90"/>
      <c r="L1201" s="1901"/>
      <c r="M1201" s="643"/>
      <c r="N1201" s="643"/>
      <c r="O1201" s="658"/>
      <c r="P1201" s="658"/>
      <c r="Q1201" s="1899"/>
      <c r="R1201" s="430"/>
      <c r="S1201" s="430"/>
      <c r="T1201" s="430"/>
      <c r="U1201" s="430"/>
      <c r="V1201" s="430"/>
      <c r="W1201" s="90"/>
      <c r="X1201" s="90"/>
      <c r="Y1201" s="90"/>
    </row>
    <row r="1202" spans="3:25" ht="15.75" customHeight="1">
      <c r="C1202" s="90"/>
      <c r="D1202" s="1900"/>
      <c r="E1202" s="1895"/>
      <c r="F1202" s="1896"/>
      <c r="G1202" s="1897"/>
      <c r="H1202" s="90"/>
      <c r="I1202" s="90"/>
      <c r="J1202" s="90"/>
      <c r="K1202" s="90"/>
      <c r="L1202" s="1901"/>
      <c r="M1202" s="643"/>
      <c r="N1202" s="643"/>
      <c r="O1202" s="658"/>
      <c r="P1202" s="658"/>
      <c r="Q1202" s="1899"/>
      <c r="R1202" s="430"/>
      <c r="S1202" s="430"/>
      <c r="T1202" s="430"/>
      <c r="U1202" s="430"/>
      <c r="V1202" s="430"/>
      <c r="W1202" s="90"/>
      <c r="X1202" s="90"/>
      <c r="Y1202" s="90"/>
    </row>
    <row r="1203" spans="3:25" ht="15.75" customHeight="1">
      <c r="C1203" s="90"/>
      <c r="D1203" s="1900"/>
      <c r="E1203" s="1895"/>
      <c r="F1203" s="1896"/>
      <c r="G1203" s="1897"/>
      <c r="H1203" s="90"/>
      <c r="I1203" s="90"/>
      <c r="J1203" s="90"/>
      <c r="K1203" s="90"/>
      <c r="L1203" s="1901"/>
      <c r="M1203" s="643"/>
      <c r="N1203" s="643"/>
      <c r="O1203" s="658"/>
      <c r="P1203" s="658"/>
      <c r="Q1203" s="1899"/>
      <c r="R1203" s="430"/>
      <c r="S1203" s="430"/>
      <c r="T1203" s="430"/>
      <c r="U1203" s="430"/>
      <c r="V1203" s="430"/>
      <c r="W1203" s="90"/>
      <c r="X1203" s="90"/>
      <c r="Y1203" s="90"/>
    </row>
    <row r="1204" spans="3:25" ht="15.75" customHeight="1">
      <c r="C1204" s="90"/>
      <c r="D1204" s="1900"/>
      <c r="E1204" s="1895"/>
      <c r="F1204" s="1896"/>
      <c r="G1204" s="1897"/>
      <c r="H1204" s="90"/>
      <c r="I1204" s="90"/>
      <c r="J1204" s="90"/>
      <c r="K1204" s="90"/>
      <c r="L1204" s="1901"/>
      <c r="M1204" s="643"/>
      <c r="N1204" s="643"/>
      <c r="O1204" s="658"/>
      <c r="P1204" s="658"/>
      <c r="Q1204" s="1899"/>
      <c r="R1204" s="430"/>
      <c r="S1204" s="430"/>
      <c r="T1204" s="430"/>
      <c r="U1204" s="430"/>
      <c r="V1204" s="430"/>
      <c r="W1204" s="90"/>
      <c r="X1204" s="90"/>
      <c r="Y1204" s="90"/>
    </row>
    <row r="1205" spans="3:25" ht="15.75" customHeight="1">
      <c r="C1205" s="90"/>
      <c r="D1205" s="1900"/>
      <c r="E1205" s="1895"/>
      <c r="F1205" s="1896"/>
      <c r="G1205" s="1897"/>
      <c r="H1205" s="90"/>
      <c r="I1205" s="90"/>
      <c r="J1205" s="90"/>
      <c r="K1205" s="90"/>
      <c r="L1205" s="1901"/>
      <c r="M1205" s="643"/>
      <c r="N1205" s="643"/>
      <c r="O1205" s="658"/>
      <c r="P1205" s="658"/>
      <c r="Q1205" s="1899"/>
      <c r="R1205" s="430"/>
      <c r="S1205" s="430"/>
      <c r="T1205" s="430"/>
      <c r="U1205" s="430"/>
      <c r="V1205" s="430"/>
      <c r="W1205" s="90"/>
      <c r="X1205" s="90"/>
      <c r="Y1205" s="90"/>
    </row>
    <row r="1206" spans="3:25" ht="15.75" customHeight="1">
      <c r="C1206" s="90"/>
      <c r="D1206" s="1900"/>
      <c r="E1206" s="1895"/>
      <c r="F1206" s="1896"/>
      <c r="G1206" s="1897"/>
      <c r="H1206" s="90"/>
      <c r="I1206" s="90"/>
      <c r="J1206" s="90"/>
      <c r="K1206" s="90"/>
      <c r="L1206" s="1901"/>
      <c r="M1206" s="643"/>
      <c r="N1206" s="643"/>
      <c r="O1206" s="658"/>
      <c r="P1206" s="658"/>
      <c r="Q1206" s="1899"/>
      <c r="R1206" s="430"/>
      <c r="S1206" s="430"/>
      <c r="T1206" s="430"/>
      <c r="U1206" s="430"/>
      <c r="V1206" s="430"/>
      <c r="W1206" s="90"/>
      <c r="X1206" s="90"/>
      <c r="Y1206" s="90"/>
    </row>
    <row r="1207" spans="3:25" ht="15.75" customHeight="1">
      <c r="C1207" s="90"/>
      <c r="D1207" s="1900"/>
      <c r="E1207" s="1895"/>
      <c r="F1207" s="1896"/>
      <c r="G1207" s="1897"/>
      <c r="H1207" s="90"/>
      <c r="I1207" s="90"/>
      <c r="J1207" s="90"/>
      <c r="K1207" s="90"/>
      <c r="L1207" s="1901"/>
      <c r="M1207" s="643"/>
      <c r="N1207" s="643"/>
      <c r="O1207" s="658"/>
      <c r="P1207" s="658"/>
      <c r="Q1207" s="1899"/>
      <c r="R1207" s="430"/>
      <c r="S1207" s="430"/>
      <c r="T1207" s="430"/>
      <c r="U1207" s="430"/>
      <c r="V1207" s="430"/>
      <c r="W1207" s="90"/>
      <c r="X1207" s="90"/>
      <c r="Y1207" s="90"/>
    </row>
    <row r="1208" spans="3:25" ht="15.75" customHeight="1">
      <c r="C1208" s="90"/>
      <c r="D1208" s="1900"/>
      <c r="E1208" s="1895"/>
      <c r="F1208" s="1896"/>
      <c r="G1208" s="1897"/>
      <c r="H1208" s="90"/>
      <c r="I1208" s="90"/>
      <c r="J1208" s="90"/>
      <c r="K1208" s="90"/>
      <c r="L1208" s="1901"/>
      <c r="M1208" s="643"/>
      <c r="N1208" s="643"/>
      <c r="O1208" s="658"/>
      <c r="P1208" s="658"/>
      <c r="Q1208" s="1899"/>
      <c r="R1208" s="430"/>
      <c r="S1208" s="430"/>
      <c r="T1208" s="430"/>
      <c r="U1208" s="430"/>
      <c r="V1208" s="430"/>
      <c r="W1208" s="90"/>
      <c r="X1208" s="90"/>
      <c r="Y1208" s="90"/>
    </row>
    <row r="1209" spans="3:25" ht="15.75" customHeight="1">
      <c r="C1209" s="90"/>
      <c r="D1209" s="1900"/>
      <c r="E1209" s="1895"/>
      <c r="F1209" s="1896"/>
      <c r="G1209" s="1897"/>
      <c r="H1209" s="90"/>
      <c r="I1209" s="90"/>
      <c r="J1209" s="90"/>
      <c r="K1209" s="90"/>
      <c r="L1209" s="1901"/>
      <c r="M1209" s="643"/>
      <c r="N1209" s="643"/>
      <c r="O1209" s="658"/>
      <c r="P1209" s="658"/>
      <c r="Q1209" s="1899"/>
      <c r="R1209" s="430"/>
      <c r="S1209" s="430"/>
      <c r="T1209" s="430"/>
      <c r="U1209" s="430"/>
      <c r="V1209" s="430"/>
      <c r="W1209" s="90"/>
      <c r="X1209" s="90"/>
      <c r="Y1209" s="90"/>
    </row>
    <row r="1210" spans="3:25" ht="15.75" customHeight="1">
      <c r="C1210" s="90"/>
      <c r="D1210" s="1900"/>
      <c r="E1210" s="1895"/>
      <c r="F1210" s="1896"/>
      <c r="G1210" s="1897"/>
      <c r="H1210" s="90"/>
      <c r="I1210" s="90"/>
      <c r="J1210" s="90"/>
      <c r="K1210" s="90"/>
      <c r="L1210" s="1901"/>
      <c r="M1210" s="643"/>
      <c r="N1210" s="643"/>
      <c r="O1210" s="658"/>
      <c r="P1210" s="658"/>
      <c r="Q1210" s="1899"/>
      <c r="R1210" s="430"/>
      <c r="S1210" s="430"/>
      <c r="T1210" s="430"/>
      <c r="U1210" s="430"/>
      <c r="V1210" s="430"/>
      <c r="W1210" s="90"/>
      <c r="X1210" s="90"/>
      <c r="Y1210" s="90"/>
    </row>
    <row r="1211" spans="3:25" ht="15.75" customHeight="1">
      <c r="C1211" s="90"/>
      <c r="D1211" s="1900"/>
      <c r="E1211" s="1895"/>
      <c r="F1211" s="1896"/>
      <c r="G1211" s="1897"/>
      <c r="H1211" s="90"/>
      <c r="I1211" s="90"/>
      <c r="J1211" s="90"/>
      <c r="K1211" s="90"/>
      <c r="L1211" s="1901"/>
      <c r="M1211" s="643"/>
      <c r="N1211" s="643"/>
      <c r="O1211" s="658"/>
      <c r="P1211" s="658"/>
      <c r="Q1211" s="1899"/>
      <c r="R1211" s="430"/>
      <c r="S1211" s="430"/>
      <c r="T1211" s="430"/>
      <c r="U1211" s="430"/>
      <c r="V1211" s="430"/>
      <c r="W1211" s="90"/>
      <c r="X1211" s="90"/>
      <c r="Y1211" s="90"/>
    </row>
    <row r="1212" spans="3:25" ht="15.75" customHeight="1">
      <c r="C1212" s="90"/>
      <c r="D1212" s="1900"/>
      <c r="E1212" s="1895"/>
      <c r="F1212" s="1896"/>
      <c r="G1212" s="1897"/>
      <c r="H1212" s="90"/>
      <c r="I1212" s="90"/>
      <c r="J1212" s="90"/>
      <c r="K1212" s="90"/>
      <c r="L1212" s="1901"/>
      <c r="M1212" s="643"/>
      <c r="N1212" s="643"/>
      <c r="O1212" s="658"/>
      <c r="P1212" s="658"/>
      <c r="Q1212" s="1899"/>
      <c r="R1212" s="430"/>
      <c r="S1212" s="430"/>
      <c r="T1212" s="430"/>
      <c r="U1212" s="430"/>
      <c r="V1212" s="430"/>
      <c r="W1212" s="90"/>
      <c r="X1212" s="90"/>
      <c r="Y1212" s="90"/>
    </row>
    <row r="1213" spans="3:25" ht="15.75" customHeight="1">
      <c r="C1213" s="90"/>
      <c r="D1213" s="1900"/>
      <c r="E1213" s="1895"/>
      <c r="F1213" s="1896"/>
      <c r="G1213" s="1897"/>
      <c r="H1213" s="90"/>
      <c r="I1213" s="90"/>
      <c r="J1213" s="90"/>
      <c r="K1213" s="90"/>
      <c r="L1213" s="1901"/>
      <c r="M1213" s="643"/>
      <c r="N1213" s="643"/>
      <c r="O1213" s="658"/>
      <c r="P1213" s="658"/>
      <c r="Q1213" s="1899"/>
      <c r="R1213" s="430"/>
      <c r="S1213" s="430"/>
      <c r="T1213" s="430"/>
      <c r="U1213" s="430"/>
      <c r="V1213" s="430"/>
      <c r="W1213" s="90"/>
      <c r="X1213" s="90"/>
      <c r="Y1213" s="90"/>
    </row>
    <row r="1214" spans="3:25" ht="15.75" customHeight="1">
      <c r="C1214" s="90"/>
      <c r="D1214" s="1900"/>
      <c r="E1214" s="1895"/>
      <c r="F1214" s="1896"/>
      <c r="G1214" s="1897"/>
      <c r="H1214" s="90"/>
      <c r="I1214" s="90"/>
      <c r="J1214" s="90"/>
      <c r="K1214" s="90"/>
      <c r="L1214" s="1901"/>
      <c r="M1214" s="643"/>
      <c r="N1214" s="643"/>
      <c r="O1214" s="658"/>
      <c r="P1214" s="658"/>
      <c r="Q1214" s="1899"/>
      <c r="R1214" s="430"/>
      <c r="S1214" s="430"/>
      <c r="T1214" s="430"/>
      <c r="U1214" s="430"/>
      <c r="V1214" s="430"/>
      <c r="W1214" s="90"/>
      <c r="X1214" s="90"/>
      <c r="Y1214" s="90"/>
    </row>
    <row r="1215" spans="3:25" ht="15.75" customHeight="1">
      <c r="C1215" s="90"/>
      <c r="D1215" s="1900"/>
      <c r="E1215" s="1895"/>
      <c r="F1215" s="1896"/>
      <c r="G1215" s="1897"/>
      <c r="H1215" s="90"/>
      <c r="I1215" s="90"/>
      <c r="J1215" s="90"/>
      <c r="K1215" s="90"/>
      <c r="L1215" s="1901"/>
      <c r="M1215" s="643"/>
      <c r="N1215" s="643"/>
      <c r="O1215" s="658"/>
      <c r="P1215" s="658"/>
      <c r="Q1215" s="1899"/>
      <c r="R1215" s="430"/>
      <c r="S1215" s="430"/>
      <c r="T1215" s="430"/>
      <c r="U1215" s="430"/>
      <c r="V1215" s="430"/>
      <c r="W1215" s="90"/>
      <c r="X1215" s="90"/>
      <c r="Y1215" s="90"/>
    </row>
    <row r="1216" spans="3:25" ht="15.75" customHeight="1">
      <c r="C1216" s="90"/>
      <c r="D1216" s="1900"/>
      <c r="E1216" s="1895"/>
      <c r="F1216" s="1896"/>
      <c r="G1216" s="1897"/>
      <c r="H1216" s="90"/>
      <c r="I1216" s="90"/>
      <c r="J1216" s="90"/>
      <c r="K1216" s="90"/>
      <c r="L1216" s="1901"/>
      <c r="M1216" s="643"/>
      <c r="N1216" s="643"/>
      <c r="O1216" s="658"/>
      <c r="P1216" s="658"/>
      <c r="Q1216" s="1899"/>
      <c r="R1216" s="430"/>
      <c r="S1216" s="430"/>
      <c r="T1216" s="430"/>
      <c r="U1216" s="430"/>
      <c r="V1216" s="430"/>
      <c r="W1216" s="90"/>
      <c r="X1216" s="90"/>
      <c r="Y1216" s="90"/>
    </row>
    <row r="1217" spans="3:25" ht="15.75" customHeight="1">
      <c r="C1217" s="90"/>
      <c r="D1217" s="1900"/>
      <c r="E1217" s="1895"/>
      <c r="F1217" s="1896"/>
      <c r="G1217" s="1897"/>
      <c r="H1217" s="90"/>
      <c r="I1217" s="90"/>
      <c r="J1217" s="90"/>
      <c r="K1217" s="90"/>
      <c r="L1217" s="1901"/>
      <c r="M1217" s="643"/>
      <c r="N1217" s="643"/>
      <c r="O1217" s="658"/>
      <c r="P1217" s="658"/>
      <c r="Q1217" s="1899"/>
      <c r="R1217" s="430"/>
      <c r="S1217" s="430"/>
      <c r="T1217" s="430"/>
      <c r="U1217" s="430"/>
      <c r="V1217" s="430"/>
      <c r="W1217" s="90"/>
      <c r="X1217" s="90"/>
      <c r="Y1217" s="90"/>
    </row>
    <row r="1218" spans="3:25" ht="15.75" customHeight="1">
      <c r="C1218" s="90"/>
      <c r="D1218" s="1900"/>
      <c r="E1218" s="1895"/>
      <c r="F1218" s="1896"/>
      <c r="G1218" s="1897"/>
      <c r="H1218" s="90"/>
      <c r="I1218" s="90"/>
      <c r="J1218" s="90"/>
      <c r="K1218" s="90"/>
      <c r="L1218" s="1901"/>
      <c r="M1218" s="643"/>
      <c r="N1218" s="643"/>
      <c r="O1218" s="658"/>
      <c r="P1218" s="658"/>
      <c r="Q1218" s="1899"/>
      <c r="R1218" s="430"/>
      <c r="S1218" s="430"/>
      <c r="T1218" s="430"/>
      <c r="U1218" s="430"/>
      <c r="V1218" s="430"/>
      <c r="W1218" s="90"/>
      <c r="X1218" s="90"/>
      <c r="Y1218" s="90"/>
    </row>
    <row r="1219" spans="3:25" ht="15.75" customHeight="1">
      <c r="C1219" s="90"/>
      <c r="D1219" s="1900"/>
      <c r="E1219" s="1895"/>
      <c r="F1219" s="1896"/>
      <c r="G1219" s="1897"/>
      <c r="H1219" s="90"/>
      <c r="I1219" s="90"/>
      <c r="J1219" s="90"/>
      <c r="K1219" s="90"/>
      <c r="L1219" s="1901"/>
      <c r="M1219" s="643"/>
      <c r="N1219" s="643"/>
      <c r="O1219" s="658"/>
      <c r="P1219" s="658"/>
      <c r="Q1219" s="1899"/>
      <c r="R1219" s="430"/>
      <c r="S1219" s="430"/>
      <c r="T1219" s="430"/>
      <c r="U1219" s="430"/>
      <c r="V1219" s="430"/>
      <c r="W1219" s="90"/>
      <c r="X1219" s="90"/>
      <c r="Y1219" s="90"/>
    </row>
    <row r="1220" spans="3:25" ht="15.75" customHeight="1">
      <c r="C1220" s="90"/>
      <c r="D1220" s="1900"/>
      <c r="E1220" s="1895"/>
      <c r="F1220" s="1896"/>
      <c r="G1220" s="1897"/>
      <c r="H1220" s="90"/>
      <c r="I1220" s="90"/>
      <c r="J1220" s="90"/>
      <c r="K1220" s="90"/>
      <c r="L1220" s="1901"/>
      <c r="M1220" s="643"/>
      <c r="N1220" s="643"/>
      <c r="O1220" s="658"/>
      <c r="P1220" s="658"/>
      <c r="Q1220" s="1899"/>
      <c r="R1220" s="430"/>
      <c r="S1220" s="430"/>
      <c r="T1220" s="430"/>
      <c r="U1220" s="430"/>
      <c r="V1220" s="430"/>
      <c r="W1220" s="90"/>
      <c r="X1220" s="90"/>
      <c r="Y1220" s="90"/>
    </row>
    <row r="1221" spans="3:25" ht="15.75" customHeight="1">
      <c r="C1221" s="90"/>
      <c r="D1221" s="1900"/>
      <c r="E1221" s="1895"/>
      <c r="F1221" s="1896"/>
      <c r="G1221" s="1897"/>
      <c r="H1221" s="90"/>
      <c r="I1221" s="90"/>
      <c r="J1221" s="90"/>
      <c r="K1221" s="90"/>
      <c r="L1221" s="1901"/>
      <c r="M1221" s="643"/>
      <c r="N1221" s="643"/>
      <c r="O1221" s="658"/>
      <c r="P1221" s="658"/>
      <c r="Q1221" s="1899"/>
      <c r="R1221" s="430"/>
      <c r="S1221" s="430"/>
      <c r="T1221" s="430"/>
      <c r="U1221" s="430"/>
      <c r="V1221" s="430"/>
      <c r="W1221" s="90"/>
      <c r="X1221" s="90"/>
      <c r="Y1221" s="90"/>
    </row>
    <row r="1222" spans="3:25" ht="15.75" customHeight="1">
      <c r="C1222" s="90"/>
      <c r="D1222" s="1900"/>
      <c r="E1222" s="1895"/>
      <c r="F1222" s="1896"/>
      <c r="G1222" s="1897"/>
      <c r="H1222" s="90"/>
      <c r="I1222" s="90"/>
      <c r="J1222" s="90"/>
      <c r="K1222" s="90"/>
      <c r="L1222" s="1901"/>
      <c r="M1222" s="643"/>
      <c r="N1222" s="643"/>
      <c r="O1222" s="658"/>
      <c r="P1222" s="658"/>
      <c r="Q1222" s="1899"/>
      <c r="R1222" s="430"/>
      <c r="S1222" s="430"/>
      <c r="T1222" s="430"/>
      <c r="U1222" s="430"/>
      <c r="V1222" s="430"/>
      <c r="W1222" s="90"/>
      <c r="X1222" s="90"/>
      <c r="Y1222" s="90"/>
    </row>
    <row r="1223" spans="3:25" ht="15.75" customHeight="1">
      <c r="C1223" s="90"/>
      <c r="D1223" s="1900"/>
      <c r="E1223" s="1895"/>
      <c r="F1223" s="1896"/>
      <c r="G1223" s="1897"/>
      <c r="H1223" s="90"/>
      <c r="I1223" s="90"/>
      <c r="J1223" s="90"/>
      <c r="K1223" s="90"/>
      <c r="L1223" s="1901"/>
      <c r="M1223" s="643"/>
      <c r="N1223" s="643"/>
      <c r="O1223" s="658"/>
      <c r="P1223" s="658"/>
      <c r="Q1223" s="1899"/>
      <c r="R1223" s="430"/>
      <c r="S1223" s="430"/>
      <c r="T1223" s="430"/>
      <c r="U1223" s="430"/>
      <c r="V1223" s="430"/>
      <c r="W1223" s="90"/>
      <c r="X1223" s="90"/>
      <c r="Y1223" s="90"/>
    </row>
    <row r="1224" spans="3:25" ht="15.75" customHeight="1">
      <c r="C1224" s="90"/>
      <c r="D1224" s="1900"/>
      <c r="E1224" s="1895"/>
      <c r="F1224" s="1896"/>
      <c r="G1224" s="1897"/>
      <c r="H1224" s="90"/>
      <c r="I1224" s="90"/>
      <c r="J1224" s="90"/>
      <c r="K1224" s="90"/>
      <c r="L1224" s="1901"/>
      <c r="M1224" s="643"/>
      <c r="N1224" s="643"/>
      <c r="O1224" s="658"/>
      <c r="P1224" s="658"/>
      <c r="Q1224" s="1899"/>
      <c r="R1224" s="430"/>
      <c r="S1224" s="430"/>
      <c r="T1224" s="430"/>
      <c r="U1224" s="430"/>
      <c r="V1224" s="430"/>
      <c r="W1224" s="90"/>
      <c r="X1224" s="90"/>
      <c r="Y1224" s="90"/>
    </row>
    <row r="1225" spans="3:25" ht="15.75" customHeight="1">
      <c r="C1225" s="90"/>
      <c r="D1225" s="1900"/>
      <c r="E1225" s="1895"/>
      <c r="F1225" s="1896"/>
      <c r="G1225" s="1897"/>
      <c r="H1225" s="90"/>
      <c r="I1225" s="90"/>
      <c r="J1225" s="90"/>
      <c r="K1225" s="90"/>
      <c r="L1225" s="1901"/>
      <c r="M1225" s="643"/>
      <c r="N1225" s="643"/>
      <c r="O1225" s="658"/>
      <c r="P1225" s="658"/>
      <c r="Q1225" s="1899"/>
      <c r="R1225" s="430"/>
      <c r="S1225" s="430"/>
      <c r="T1225" s="430"/>
      <c r="U1225" s="430"/>
      <c r="V1225" s="430"/>
      <c r="W1225" s="90"/>
      <c r="X1225" s="90"/>
      <c r="Y1225" s="90"/>
    </row>
    <row r="1226" spans="3:25" ht="15.75" customHeight="1">
      <c r="C1226" s="90"/>
      <c r="D1226" s="1900"/>
      <c r="E1226" s="1895"/>
      <c r="F1226" s="1896"/>
      <c r="G1226" s="1897"/>
      <c r="H1226" s="90"/>
      <c r="I1226" s="90"/>
      <c r="J1226" s="90"/>
      <c r="K1226" s="90"/>
      <c r="L1226" s="1901"/>
      <c r="M1226" s="643"/>
      <c r="N1226" s="643"/>
      <c r="O1226" s="658"/>
      <c r="P1226" s="658"/>
      <c r="Q1226" s="1899"/>
      <c r="R1226" s="430"/>
      <c r="S1226" s="430"/>
      <c r="T1226" s="430"/>
      <c r="U1226" s="430"/>
      <c r="V1226" s="430"/>
      <c r="W1226" s="90"/>
      <c r="X1226" s="90"/>
      <c r="Y1226" s="90"/>
    </row>
    <row r="1227" spans="3:25" ht="15.75" customHeight="1">
      <c r="C1227" s="90"/>
      <c r="D1227" s="1900"/>
      <c r="E1227" s="1895"/>
      <c r="F1227" s="1896"/>
      <c r="G1227" s="1897"/>
      <c r="H1227" s="90"/>
      <c r="I1227" s="90"/>
      <c r="J1227" s="90"/>
      <c r="K1227" s="90"/>
      <c r="L1227" s="1901"/>
      <c r="M1227" s="643"/>
      <c r="N1227" s="643"/>
      <c r="O1227" s="658"/>
      <c r="P1227" s="658"/>
      <c r="Q1227" s="1899"/>
      <c r="R1227" s="430"/>
      <c r="S1227" s="430"/>
      <c r="T1227" s="430"/>
      <c r="U1227" s="430"/>
      <c r="V1227" s="430"/>
      <c r="W1227" s="90"/>
      <c r="X1227" s="90"/>
      <c r="Y1227" s="90"/>
    </row>
    <row r="1228" spans="3:25" ht="15.75" customHeight="1">
      <c r="C1228" s="90"/>
      <c r="D1228" s="1900"/>
      <c r="E1228" s="1895"/>
      <c r="F1228" s="1896"/>
      <c r="G1228" s="1897"/>
      <c r="H1228" s="90"/>
      <c r="I1228" s="90"/>
      <c r="J1228" s="90"/>
      <c r="K1228" s="90"/>
      <c r="L1228" s="1901"/>
      <c r="M1228" s="643"/>
      <c r="N1228" s="643"/>
      <c r="O1228" s="658"/>
      <c r="P1228" s="658"/>
      <c r="Q1228" s="1899"/>
      <c r="R1228" s="430"/>
      <c r="S1228" s="430"/>
      <c r="T1228" s="430"/>
      <c r="U1228" s="430"/>
      <c r="V1228" s="430"/>
      <c r="W1228" s="90"/>
      <c r="X1228" s="90"/>
      <c r="Y1228" s="90"/>
    </row>
    <row r="1229" spans="3:25" ht="15.75" customHeight="1">
      <c r="C1229" s="90"/>
      <c r="D1229" s="1900"/>
      <c r="E1229" s="1895"/>
      <c r="F1229" s="1896"/>
      <c r="G1229" s="1897"/>
      <c r="H1229" s="90"/>
      <c r="I1229" s="90"/>
      <c r="J1229" s="90"/>
      <c r="K1229" s="90"/>
      <c r="L1229" s="1901"/>
      <c r="M1229" s="643"/>
      <c r="N1229" s="643"/>
      <c r="O1229" s="658"/>
      <c r="P1229" s="658"/>
      <c r="Q1229" s="1899"/>
      <c r="R1229" s="430"/>
      <c r="S1229" s="430"/>
      <c r="T1229" s="430"/>
      <c r="U1229" s="430"/>
      <c r="V1229" s="430"/>
      <c r="W1229" s="90"/>
      <c r="X1229" s="90"/>
      <c r="Y1229" s="90"/>
    </row>
    <row r="1230" spans="3:25" ht="15.75" customHeight="1">
      <c r="C1230" s="90"/>
      <c r="D1230" s="1900"/>
      <c r="E1230" s="1895"/>
      <c r="F1230" s="1896"/>
      <c r="G1230" s="1897"/>
      <c r="H1230" s="90"/>
      <c r="I1230" s="90"/>
      <c r="J1230" s="90"/>
      <c r="K1230" s="90"/>
      <c r="L1230" s="1901"/>
      <c r="M1230" s="643"/>
      <c r="N1230" s="643"/>
      <c r="O1230" s="658"/>
      <c r="P1230" s="658"/>
      <c r="Q1230" s="1899"/>
      <c r="R1230" s="430"/>
      <c r="S1230" s="430"/>
      <c r="T1230" s="430"/>
      <c r="U1230" s="430"/>
      <c r="V1230" s="430"/>
      <c r="W1230" s="90"/>
      <c r="X1230" s="90"/>
      <c r="Y1230" s="90"/>
    </row>
    <row r="1231" spans="3:25" ht="15.75" customHeight="1">
      <c r="C1231" s="90"/>
      <c r="D1231" s="1900"/>
      <c r="E1231" s="1895"/>
      <c r="F1231" s="1896"/>
      <c r="G1231" s="1897"/>
      <c r="H1231" s="90"/>
      <c r="I1231" s="90"/>
      <c r="J1231" s="90"/>
      <c r="K1231" s="90"/>
      <c r="L1231" s="1901"/>
      <c r="M1231" s="643"/>
      <c r="N1231" s="643"/>
      <c r="O1231" s="658"/>
      <c r="P1231" s="658"/>
      <c r="Q1231" s="1899"/>
      <c r="R1231" s="430"/>
      <c r="S1231" s="430"/>
      <c r="T1231" s="430"/>
      <c r="U1231" s="430"/>
      <c r="V1231" s="430"/>
      <c r="W1231" s="90"/>
      <c r="X1231" s="90"/>
      <c r="Y1231" s="90"/>
    </row>
    <row r="1232" spans="3:25" ht="15.75" customHeight="1">
      <c r="C1232" s="90"/>
      <c r="D1232" s="1900"/>
      <c r="E1232" s="1895"/>
      <c r="F1232" s="1896"/>
      <c r="G1232" s="1897"/>
      <c r="H1232" s="90"/>
      <c r="I1232" s="90"/>
      <c r="J1232" s="90"/>
      <c r="K1232" s="90"/>
      <c r="L1232" s="1901"/>
      <c r="M1232" s="643"/>
      <c r="N1232" s="643"/>
      <c r="O1232" s="658"/>
      <c r="P1232" s="658"/>
      <c r="Q1232" s="1899"/>
      <c r="R1232" s="430"/>
      <c r="S1232" s="430"/>
      <c r="T1232" s="430"/>
      <c r="U1232" s="430"/>
      <c r="V1232" s="430"/>
      <c r="W1232" s="90"/>
      <c r="X1232" s="90"/>
      <c r="Y1232" s="90"/>
    </row>
    <row r="1233" spans="3:25" ht="15.75" customHeight="1">
      <c r="C1233" s="90"/>
      <c r="D1233" s="1900"/>
      <c r="E1233" s="1895"/>
      <c r="F1233" s="1896"/>
      <c r="G1233" s="1897"/>
      <c r="H1233" s="90"/>
      <c r="I1233" s="90"/>
      <c r="J1233" s="90"/>
      <c r="K1233" s="90"/>
      <c r="L1233" s="1901"/>
      <c r="M1233" s="643"/>
      <c r="N1233" s="643"/>
      <c r="O1233" s="658"/>
      <c r="P1233" s="658"/>
      <c r="Q1233" s="1899"/>
      <c r="R1233" s="430"/>
      <c r="S1233" s="430"/>
      <c r="T1233" s="430"/>
      <c r="U1233" s="430"/>
      <c r="V1233" s="430"/>
      <c r="W1233" s="90"/>
      <c r="X1233" s="90"/>
      <c r="Y1233" s="90"/>
    </row>
    <row r="1234" spans="3:25" ht="15.75" customHeight="1">
      <c r="C1234" s="90"/>
      <c r="D1234" s="1900"/>
      <c r="E1234" s="1895"/>
      <c r="F1234" s="1896"/>
      <c r="G1234" s="1897"/>
      <c r="H1234" s="90"/>
      <c r="I1234" s="90"/>
      <c r="J1234" s="90"/>
      <c r="K1234" s="90"/>
      <c r="L1234" s="1901"/>
      <c r="M1234" s="643"/>
      <c r="N1234" s="643"/>
      <c r="O1234" s="658"/>
      <c r="P1234" s="658"/>
      <c r="Q1234" s="1899"/>
      <c r="R1234" s="430"/>
      <c r="S1234" s="430"/>
      <c r="T1234" s="430"/>
      <c r="U1234" s="430"/>
      <c r="V1234" s="430"/>
      <c r="W1234" s="90"/>
      <c r="X1234" s="90"/>
      <c r="Y1234" s="90"/>
    </row>
    <row r="1235" spans="3:25" ht="15.75" customHeight="1">
      <c r="C1235" s="90"/>
      <c r="D1235" s="1900"/>
      <c r="E1235" s="1895"/>
      <c r="F1235" s="1896"/>
      <c r="G1235" s="1897"/>
      <c r="H1235" s="90"/>
      <c r="I1235" s="90"/>
      <c r="J1235" s="90"/>
      <c r="K1235" s="90"/>
      <c r="L1235" s="1901"/>
      <c r="M1235" s="643"/>
      <c r="N1235" s="643"/>
      <c r="O1235" s="658"/>
      <c r="P1235" s="658"/>
      <c r="Q1235" s="1899"/>
      <c r="R1235" s="430"/>
      <c r="S1235" s="430"/>
      <c r="T1235" s="430"/>
      <c r="U1235" s="430"/>
      <c r="V1235" s="430"/>
      <c r="W1235" s="90"/>
      <c r="X1235" s="90"/>
      <c r="Y1235" s="90"/>
    </row>
    <row r="1236" spans="3:25" ht="15.75" customHeight="1">
      <c r="C1236" s="90"/>
      <c r="D1236" s="1900"/>
      <c r="E1236" s="1895"/>
      <c r="F1236" s="1896"/>
      <c r="G1236" s="1897"/>
      <c r="H1236" s="90"/>
      <c r="I1236" s="90"/>
      <c r="J1236" s="90"/>
      <c r="K1236" s="90"/>
      <c r="L1236" s="1901"/>
      <c r="M1236" s="643"/>
      <c r="N1236" s="643"/>
      <c r="O1236" s="658"/>
      <c r="P1236" s="658"/>
      <c r="Q1236" s="1899"/>
      <c r="R1236" s="430"/>
      <c r="S1236" s="430"/>
      <c r="T1236" s="430"/>
      <c r="U1236" s="430"/>
      <c r="V1236" s="430"/>
      <c r="W1236" s="90"/>
      <c r="X1236" s="90"/>
      <c r="Y1236" s="90"/>
    </row>
    <row r="1237" spans="3:25" ht="15.75" customHeight="1">
      <c r="C1237" s="90"/>
      <c r="D1237" s="1900"/>
      <c r="E1237" s="1895"/>
      <c r="F1237" s="1896"/>
      <c r="G1237" s="1897"/>
      <c r="H1237" s="90"/>
      <c r="I1237" s="90"/>
      <c r="J1237" s="90"/>
      <c r="K1237" s="90"/>
      <c r="L1237" s="1901"/>
      <c r="M1237" s="643"/>
      <c r="N1237" s="643"/>
      <c r="O1237" s="658"/>
      <c r="P1237" s="658"/>
      <c r="Q1237" s="1899"/>
      <c r="R1237" s="430"/>
      <c r="S1237" s="430"/>
      <c r="T1237" s="430"/>
      <c r="U1237" s="430"/>
      <c r="V1237" s="430"/>
      <c r="W1237" s="90"/>
      <c r="X1237" s="90"/>
      <c r="Y1237" s="90"/>
    </row>
    <row r="1238" spans="3:25" ht="15.75" customHeight="1">
      <c r="C1238" s="90"/>
      <c r="D1238" s="1900"/>
      <c r="E1238" s="1895"/>
      <c r="F1238" s="1896"/>
      <c r="G1238" s="1897"/>
      <c r="H1238" s="90"/>
      <c r="I1238" s="90"/>
      <c r="J1238" s="90"/>
      <c r="K1238" s="90"/>
      <c r="L1238" s="1901"/>
      <c r="M1238" s="643"/>
      <c r="N1238" s="643"/>
      <c r="O1238" s="658"/>
      <c r="P1238" s="658"/>
      <c r="Q1238" s="1899"/>
      <c r="R1238" s="430"/>
      <c r="S1238" s="430"/>
      <c r="T1238" s="430"/>
      <c r="U1238" s="430"/>
      <c r="V1238" s="430"/>
      <c r="W1238" s="90"/>
      <c r="X1238" s="90"/>
      <c r="Y1238" s="90"/>
    </row>
    <row r="1239" spans="3:25" ht="15.75" customHeight="1">
      <c r="C1239" s="90"/>
      <c r="D1239" s="1900"/>
      <c r="E1239" s="1895"/>
      <c r="F1239" s="1896"/>
      <c r="G1239" s="1897"/>
      <c r="H1239" s="90"/>
      <c r="I1239" s="90"/>
      <c r="J1239" s="90"/>
      <c r="K1239" s="90"/>
      <c r="L1239" s="1901"/>
      <c r="M1239" s="643"/>
      <c r="N1239" s="643"/>
      <c r="O1239" s="658"/>
      <c r="P1239" s="658"/>
      <c r="Q1239" s="1899"/>
      <c r="R1239" s="430"/>
      <c r="S1239" s="430"/>
      <c r="T1239" s="430"/>
      <c r="U1239" s="430"/>
      <c r="V1239" s="430"/>
      <c r="W1239" s="90"/>
      <c r="X1239" s="90"/>
      <c r="Y1239" s="90"/>
    </row>
    <row r="1240" spans="3:25" ht="15.75" customHeight="1">
      <c r="C1240" s="90"/>
      <c r="D1240" s="1900"/>
      <c r="E1240" s="1895"/>
      <c r="F1240" s="1896"/>
      <c r="G1240" s="1897"/>
      <c r="H1240" s="90"/>
      <c r="I1240" s="90"/>
      <c r="J1240" s="90"/>
      <c r="K1240" s="90"/>
      <c r="L1240" s="1901"/>
      <c r="M1240" s="643"/>
      <c r="N1240" s="643"/>
      <c r="O1240" s="658"/>
      <c r="P1240" s="658"/>
      <c r="Q1240" s="1899"/>
      <c r="R1240" s="430"/>
      <c r="S1240" s="430"/>
      <c r="T1240" s="430"/>
      <c r="U1240" s="430"/>
      <c r="V1240" s="430"/>
      <c r="W1240" s="90"/>
      <c r="X1240" s="90"/>
      <c r="Y1240" s="90"/>
    </row>
    <row r="1241" spans="3:25" ht="15.75" customHeight="1">
      <c r="C1241" s="90"/>
      <c r="D1241" s="1900"/>
      <c r="E1241" s="1895"/>
      <c r="F1241" s="1896"/>
      <c r="G1241" s="1897"/>
      <c r="H1241" s="90"/>
      <c r="I1241" s="90"/>
      <c r="J1241" s="90"/>
      <c r="K1241" s="90"/>
      <c r="L1241" s="1901"/>
      <c r="M1241" s="643"/>
      <c r="N1241" s="643"/>
      <c r="O1241" s="658"/>
      <c r="P1241" s="658"/>
      <c r="Q1241" s="1899"/>
      <c r="R1241" s="430"/>
      <c r="S1241" s="430"/>
      <c r="T1241" s="430"/>
      <c r="U1241" s="430"/>
      <c r="V1241" s="430"/>
      <c r="W1241" s="90"/>
      <c r="X1241" s="90"/>
      <c r="Y1241" s="90"/>
    </row>
    <row r="1242" spans="3:25" ht="15.75" customHeight="1">
      <c r="C1242" s="90"/>
      <c r="D1242" s="1900"/>
      <c r="E1242" s="1895"/>
      <c r="F1242" s="1896"/>
      <c r="G1242" s="1897"/>
      <c r="H1242" s="90"/>
      <c r="I1242" s="90"/>
      <c r="J1242" s="90"/>
      <c r="K1242" s="90"/>
      <c r="L1242" s="1901"/>
      <c r="M1242" s="643"/>
      <c r="N1242" s="643"/>
      <c r="O1242" s="658"/>
      <c r="P1242" s="658"/>
      <c r="Q1242" s="1899"/>
      <c r="R1242" s="430"/>
      <c r="S1242" s="430"/>
      <c r="T1242" s="430"/>
      <c r="U1242" s="430"/>
      <c r="V1242" s="430"/>
      <c r="W1242" s="90"/>
      <c r="X1242" s="90"/>
      <c r="Y1242" s="90"/>
    </row>
    <row r="1243" spans="3:25" ht="15.75" customHeight="1">
      <c r="C1243" s="90"/>
      <c r="D1243" s="1900"/>
      <c r="E1243" s="1895"/>
      <c r="F1243" s="1896"/>
      <c r="G1243" s="1897"/>
      <c r="H1243" s="90"/>
      <c r="I1243" s="90"/>
      <c r="J1243" s="90"/>
      <c r="K1243" s="90"/>
      <c r="L1243" s="1901"/>
      <c r="M1243" s="643"/>
      <c r="N1243" s="643"/>
      <c r="O1243" s="658"/>
      <c r="P1243" s="658"/>
      <c r="Q1243" s="1899"/>
      <c r="R1243" s="430"/>
      <c r="S1243" s="430"/>
      <c r="T1243" s="430"/>
      <c r="U1243" s="430"/>
      <c r="V1243" s="430"/>
      <c r="W1243" s="90"/>
      <c r="X1243" s="90"/>
      <c r="Y1243" s="90"/>
    </row>
    <row r="1244" spans="3:25" ht="15.75" customHeight="1">
      <c r="C1244" s="90"/>
      <c r="D1244" s="1900"/>
      <c r="E1244" s="1895"/>
      <c r="F1244" s="1896"/>
      <c r="G1244" s="1897"/>
      <c r="H1244" s="90"/>
      <c r="I1244" s="90"/>
      <c r="J1244" s="90"/>
      <c r="K1244" s="90"/>
      <c r="L1244" s="1901"/>
      <c r="M1244" s="643"/>
      <c r="N1244" s="643"/>
      <c r="O1244" s="658"/>
      <c r="P1244" s="658"/>
      <c r="Q1244" s="1899"/>
      <c r="R1244" s="430"/>
      <c r="S1244" s="430"/>
      <c r="T1244" s="430"/>
      <c r="U1244" s="430"/>
      <c r="V1244" s="430"/>
      <c r="W1244" s="90"/>
      <c r="X1244" s="90"/>
      <c r="Y1244" s="90"/>
    </row>
    <row r="1245" spans="3:25" ht="15.75" customHeight="1">
      <c r="C1245" s="90"/>
      <c r="D1245" s="1900"/>
      <c r="E1245" s="1895"/>
      <c r="F1245" s="1896"/>
      <c r="G1245" s="1897"/>
      <c r="H1245" s="90"/>
      <c r="I1245" s="90"/>
      <c r="J1245" s="90"/>
      <c r="K1245" s="90"/>
      <c r="L1245" s="1901"/>
      <c r="M1245" s="643"/>
      <c r="N1245" s="643"/>
      <c r="O1245" s="658"/>
      <c r="P1245" s="658"/>
      <c r="Q1245" s="1899"/>
      <c r="R1245" s="430"/>
      <c r="S1245" s="430"/>
      <c r="T1245" s="430"/>
      <c r="U1245" s="430"/>
      <c r="V1245" s="430"/>
      <c r="W1245" s="90"/>
      <c r="X1245" s="90"/>
      <c r="Y1245" s="90"/>
    </row>
    <row r="1246" spans="3:25" ht="15.75" customHeight="1">
      <c r="C1246" s="90"/>
      <c r="D1246" s="1900"/>
      <c r="E1246" s="1895"/>
      <c r="F1246" s="1896"/>
      <c r="G1246" s="1897"/>
      <c r="H1246" s="90"/>
      <c r="I1246" s="90"/>
      <c r="J1246" s="90"/>
      <c r="K1246" s="90"/>
      <c r="L1246" s="1901"/>
      <c r="M1246" s="643"/>
      <c r="N1246" s="643"/>
      <c r="O1246" s="658"/>
      <c r="P1246" s="658"/>
      <c r="Q1246" s="1899"/>
      <c r="R1246" s="430"/>
      <c r="S1246" s="430"/>
      <c r="T1246" s="430"/>
      <c r="U1246" s="430"/>
      <c r="V1246" s="430"/>
      <c r="W1246" s="90"/>
      <c r="X1246" s="90"/>
      <c r="Y1246" s="90"/>
    </row>
    <row r="1247" spans="3:25" ht="15.75" customHeight="1">
      <c r="C1247" s="90"/>
      <c r="D1247" s="1900"/>
      <c r="E1247" s="1895"/>
      <c r="F1247" s="1896"/>
      <c r="G1247" s="1897"/>
      <c r="H1247" s="90"/>
      <c r="I1247" s="90"/>
      <c r="J1247" s="90"/>
      <c r="K1247" s="90"/>
      <c r="L1247" s="1901"/>
      <c r="M1247" s="643"/>
      <c r="N1247" s="643"/>
      <c r="O1247" s="658"/>
      <c r="P1247" s="658"/>
      <c r="Q1247" s="1899"/>
      <c r="R1247" s="430"/>
      <c r="S1247" s="430"/>
      <c r="T1247" s="430"/>
      <c r="U1247" s="430"/>
      <c r="V1247" s="430"/>
      <c r="W1247" s="90"/>
      <c r="X1247" s="90"/>
      <c r="Y1247" s="90"/>
    </row>
    <row r="1248" spans="3:25" ht="15.75" customHeight="1">
      <c r="C1248" s="90"/>
      <c r="D1248" s="1900"/>
      <c r="E1248" s="1895"/>
      <c r="F1248" s="1896"/>
      <c r="G1248" s="1897"/>
      <c r="H1248" s="90"/>
      <c r="I1248" s="90"/>
      <c r="J1248" s="90"/>
      <c r="K1248" s="90"/>
      <c r="L1248" s="1901"/>
      <c r="M1248" s="643"/>
      <c r="N1248" s="643"/>
      <c r="O1248" s="658"/>
      <c r="P1248" s="658"/>
      <c r="Q1248" s="1899"/>
      <c r="R1248" s="430"/>
      <c r="S1248" s="430"/>
      <c r="T1248" s="430"/>
      <c r="U1248" s="430"/>
      <c r="V1248" s="430"/>
      <c r="W1248" s="90"/>
      <c r="X1248" s="90"/>
      <c r="Y1248" s="90"/>
    </row>
    <row r="1249" spans="3:25" ht="15.75" customHeight="1">
      <c r="C1249" s="90"/>
      <c r="D1249" s="1900"/>
      <c r="E1249" s="1895"/>
      <c r="F1249" s="1896"/>
      <c r="G1249" s="1897"/>
      <c r="H1249" s="90"/>
      <c r="I1249" s="90"/>
      <c r="J1249" s="90"/>
      <c r="K1249" s="90"/>
      <c r="L1249" s="1901"/>
      <c r="M1249" s="643"/>
      <c r="N1249" s="643"/>
      <c r="O1249" s="658"/>
      <c r="P1249" s="658"/>
      <c r="Q1249" s="1899"/>
      <c r="R1249" s="430"/>
      <c r="S1249" s="430"/>
      <c r="T1249" s="430"/>
      <c r="U1249" s="430"/>
      <c r="V1249" s="430"/>
      <c r="W1249" s="90"/>
      <c r="X1249" s="90"/>
      <c r="Y1249" s="90"/>
    </row>
    <row r="1250" spans="3:25" ht="15.75" customHeight="1">
      <c r="C1250" s="90"/>
      <c r="D1250" s="1900"/>
      <c r="E1250" s="1895"/>
      <c r="F1250" s="1896"/>
      <c r="G1250" s="1897"/>
      <c r="H1250" s="90"/>
      <c r="I1250" s="90"/>
      <c r="J1250" s="90"/>
      <c r="K1250" s="90"/>
      <c r="L1250" s="1901"/>
      <c r="M1250" s="643"/>
      <c r="N1250" s="643"/>
      <c r="O1250" s="658"/>
      <c r="P1250" s="658"/>
      <c r="Q1250" s="1899"/>
      <c r="R1250" s="430"/>
      <c r="S1250" s="430"/>
      <c r="T1250" s="430"/>
      <c r="U1250" s="430"/>
      <c r="V1250" s="430"/>
      <c r="W1250" s="90"/>
      <c r="X1250" s="90"/>
      <c r="Y1250" s="90"/>
    </row>
    <row r="1251" spans="3:25" ht="15.75" customHeight="1">
      <c r="C1251" s="90"/>
      <c r="D1251" s="1900"/>
      <c r="E1251" s="1895"/>
      <c r="F1251" s="1896"/>
      <c r="G1251" s="1897"/>
      <c r="H1251" s="90"/>
      <c r="I1251" s="90"/>
      <c r="J1251" s="90"/>
      <c r="K1251" s="90"/>
      <c r="L1251" s="1901"/>
      <c r="M1251" s="643"/>
      <c r="N1251" s="643"/>
      <c r="O1251" s="658"/>
      <c r="P1251" s="658"/>
      <c r="Q1251" s="1899"/>
      <c r="R1251" s="430"/>
      <c r="S1251" s="430"/>
      <c r="T1251" s="430"/>
      <c r="U1251" s="430"/>
      <c r="V1251" s="430"/>
      <c r="W1251" s="90"/>
      <c r="X1251" s="90"/>
      <c r="Y1251" s="90"/>
    </row>
    <row r="1252" spans="3:25" ht="15.75" customHeight="1">
      <c r="C1252" s="90"/>
      <c r="D1252" s="1900"/>
      <c r="E1252" s="1895"/>
      <c r="F1252" s="1896"/>
      <c r="G1252" s="1897"/>
      <c r="H1252" s="90"/>
      <c r="I1252" s="90"/>
      <c r="J1252" s="90"/>
      <c r="K1252" s="90"/>
      <c r="L1252" s="1901"/>
      <c r="M1252" s="643"/>
      <c r="N1252" s="643"/>
      <c r="O1252" s="658"/>
      <c r="P1252" s="658"/>
      <c r="Q1252" s="1899"/>
      <c r="R1252" s="430"/>
      <c r="S1252" s="430"/>
      <c r="T1252" s="430"/>
      <c r="U1252" s="430"/>
      <c r="V1252" s="430"/>
      <c r="W1252" s="90"/>
      <c r="X1252" s="90"/>
      <c r="Y1252" s="90"/>
    </row>
    <row r="1253" spans="3:25" ht="15.75" customHeight="1">
      <c r="C1253" s="90"/>
      <c r="D1253" s="1900"/>
      <c r="E1253" s="1895"/>
      <c r="F1253" s="1896"/>
      <c r="G1253" s="1897"/>
      <c r="H1253" s="90"/>
      <c r="I1253" s="90"/>
      <c r="J1253" s="90"/>
      <c r="K1253" s="90"/>
      <c r="L1253" s="1901"/>
      <c r="M1253" s="643"/>
      <c r="N1253" s="643"/>
      <c r="O1253" s="658"/>
      <c r="P1253" s="658"/>
      <c r="Q1253" s="1899"/>
      <c r="R1253" s="430"/>
      <c r="S1253" s="430"/>
      <c r="T1253" s="430"/>
      <c r="U1253" s="430"/>
      <c r="V1253" s="430"/>
      <c r="W1253" s="90"/>
      <c r="X1253" s="90"/>
      <c r="Y1253" s="90"/>
    </row>
    <row r="1254" spans="3:25" ht="15.75" customHeight="1">
      <c r="C1254" s="90"/>
      <c r="D1254" s="1900"/>
      <c r="E1254" s="1895"/>
      <c r="F1254" s="1896"/>
      <c r="G1254" s="1897"/>
      <c r="H1254" s="90"/>
      <c r="I1254" s="90"/>
      <c r="J1254" s="90"/>
      <c r="K1254" s="90"/>
      <c r="L1254" s="1901"/>
      <c r="M1254" s="643"/>
      <c r="N1254" s="643"/>
      <c r="O1254" s="658"/>
      <c r="P1254" s="658"/>
      <c r="Q1254" s="1899"/>
      <c r="R1254" s="430"/>
      <c r="S1254" s="430"/>
      <c r="T1254" s="430"/>
      <c r="U1254" s="430"/>
      <c r="V1254" s="430"/>
      <c r="W1254" s="90"/>
      <c r="X1254" s="90"/>
      <c r="Y1254" s="90"/>
    </row>
    <row r="1255" spans="3:25" ht="15.75" customHeight="1">
      <c r="C1255" s="90"/>
      <c r="D1255" s="1900"/>
      <c r="E1255" s="1895"/>
      <c r="F1255" s="1896"/>
      <c r="G1255" s="1897"/>
      <c r="H1255" s="90"/>
      <c r="I1255" s="90"/>
      <c r="J1255" s="90"/>
      <c r="K1255" s="90"/>
      <c r="L1255" s="1901"/>
      <c r="M1255" s="643"/>
      <c r="N1255" s="643"/>
      <c r="O1255" s="658"/>
      <c r="P1255" s="658"/>
      <c r="Q1255" s="1899"/>
      <c r="R1255" s="430"/>
      <c r="S1255" s="430"/>
      <c r="T1255" s="430"/>
      <c r="U1255" s="430"/>
      <c r="V1255" s="430"/>
      <c r="W1255" s="90"/>
      <c r="X1255" s="90"/>
      <c r="Y1255" s="90"/>
    </row>
    <row r="1256" spans="3:25" ht="15.75" customHeight="1">
      <c r="C1256" s="90"/>
      <c r="D1256" s="1900"/>
      <c r="E1256" s="1895"/>
      <c r="F1256" s="1896"/>
      <c r="G1256" s="1897"/>
      <c r="H1256" s="90"/>
      <c r="I1256" s="90"/>
      <c r="J1256" s="90"/>
      <c r="K1256" s="90"/>
      <c r="L1256" s="1901"/>
      <c r="M1256" s="643"/>
      <c r="N1256" s="643"/>
      <c r="O1256" s="658"/>
      <c r="P1256" s="658"/>
      <c r="Q1256" s="1899"/>
      <c r="R1256" s="430"/>
      <c r="S1256" s="430"/>
      <c r="T1256" s="430"/>
      <c r="U1256" s="430"/>
      <c r="V1256" s="430"/>
      <c r="W1256" s="90"/>
      <c r="X1256" s="90"/>
      <c r="Y1256" s="90"/>
    </row>
    <row r="1257" spans="3:25" ht="15.75" customHeight="1">
      <c r="C1257" s="90"/>
      <c r="D1257" s="1900"/>
      <c r="E1257" s="1895"/>
      <c r="F1257" s="1896"/>
      <c r="G1257" s="1897"/>
      <c r="H1257" s="90"/>
      <c r="I1257" s="90"/>
      <c r="J1257" s="90"/>
      <c r="K1257" s="90"/>
      <c r="L1257" s="1901"/>
      <c r="M1257" s="643"/>
      <c r="N1257" s="643"/>
      <c r="O1257" s="658"/>
      <c r="P1257" s="658"/>
      <c r="Q1257" s="1899"/>
      <c r="R1257" s="430"/>
      <c r="S1257" s="430"/>
      <c r="T1257" s="430"/>
      <c r="U1257" s="430"/>
      <c r="V1257" s="430"/>
      <c r="W1257" s="90"/>
      <c r="X1257" s="90"/>
      <c r="Y1257" s="90"/>
    </row>
    <row r="1258" spans="3:25" ht="15.75" customHeight="1">
      <c r="C1258" s="90"/>
      <c r="D1258" s="1900"/>
      <c r="E1258" s="1895"/>
      <c r="F1258" s="1896"/>
      <c r="G1258" s="1897"/>
      <c r="H1258" s="90"/>
      <c r="I1258" s="90"/>
      <c r="J1258" s="90"/>
      <c r="K1258" s="90"/>
      <c r="L1258" s="1901"/>
      <c r="M1258" s="643"/>
      <c r="N1258" s="643"/>
      <c r="O1258" s="658"/>
      <c r="P1258" s="658"/>
      <c r="Q1258" s="1899"/>
      <c r="R1258" s="430"/>
      <c r="S1258" s="430"/>
      <c r="T1258" s="430"/>
      <c r="U1258" s="430"/>
      <c r="V1258" s="430"/>
      <c r="W1258" s="90"/>
      <c r="X1258" s="90"/>
      <c r="Y1258" s="90"/>
    </row>
    <row r="1259" spans="3:25" ht="15.75" customHeight="1">
      <c r="C1259" s="90"/>
      <c r="D1259" s="1900"/>
      <c r="E1259" s="1895"/>
      <c r="F1259" s="1896"/>
      <c r="G1259" s="1897"/>
      <c r="H1259" s="90"/>
      <c r="I1259" s="90"/>
      <c r="J1259" s="90"/>
      <c r="K1259" s="90"/>
      <c r="L1259" s="1901"/>
      <c r="M1259" s="643"/>
      <c r="N1259" s="643"/>
      <c r="O1259" s="658"/>
      <c r="P1259" s="658"/>
      <c r="Q1259" s="1899"/>
      <c r="R1259" s="430"/>
      <c r="S1259" s="430"/>
      <c r="T1259" s="430"/>
      <c r="U1259" s="430"/>
      <c r="V1259" s="430"/>
      <c r="W1259" s="90"/>
      <c r="X1259" s="90"/>
      <c r="Y1259" s="90"/>
    </row>
    <row r="1260" spans="3:25" ht="15.75" customHeight="1">
      <c r="C1260" s="90"/>
      <c r="D1260" s="1900"/>
      <c r="E1260" s="1895"/>
      <c r="F1260" s="1896"/>
      <c r="G1260" s="1897"/>
      <c r="H1260" s="90"/>
      <c r="I1260" s="90"/>
      <c r="J1260" s="90"/>
      <c r="K1260" s="90"/>
      <c r="L1260" s="1901"/>
      <c r="M1260" s="643"/>
      <c r="N1260" s="643"/>
      <c r="O1260" s="658"/>
      <c r="P1260" s="658"/>
      <c r="Q1260" s="1899"/>
      <c r="R1260" s="430"/>
      <c r="S1260" s="430"/>
      <c r="T1260" s="430"/>
      <c r="U1260" s="430"/>
      <c r="V1260" s="430"/>
      <c r="W1260" s="90"/>
      <c r="X1260" s="90"/>
      <c r="Y1260" s="90"/>
    </row>
    <row r="1261" spans="3:25" ht="15.75" customHeight="1">
      <c r="C1261" s="90"/>
      <c r="D1261" s="1900"/>
      <c r="E1261" s="1895"/>
      <c r="F1261" s="1896"/>
      <c r="G1261" s="1897"/>
      <c r="H1261" s="90"/>
      <c r="I1261" s="90"/>
      <c r="J1261" s="90"/>
      <c r="K1261" s="90"/>
      <c r="L1261" s="1901"/>
      <c r="M1261" s="643"/>
      <c r="N1261" s="643"/>
      <c r="O1261" s="658"/>
      <c r="P1261" s="658"/>
      <c r="Q1261" s="1899"/>
      <c r="R1261" s="430"/>
      <c r="S1261" s="430"/>
      <c r="T1261" s="430"/>
      <c r="U1261" s="430"/>
      <c r="V1261" s="430"/>
      <c r="W1261" s="90"/>
      <c r="X1261" s="90"/>
      <c r="Y1261" s="90"/>
    </row>
    <row r="1262" spans="3:25" ht="15.75" customHeight="1">
      <c r="C1262" s="90"/>
      <c r="D1262" s="1900"/>
      <c r="E1262" s="1895"/>
      <c r="F1262" s="1896"/>
      <c r="G1262" s="1897"/>
      <c r="H1262" s="90"/>
      <c r="I1262" s="90"/>
      <c r="J1262" s="90"/>
      <c r="K1262" s="90"/>
      <c r="L1262" s="1901"/>
      <c r="M1262" s="643"/>
      <c r="N1262" s="643"/>
      <c r="O1262" s="658"/>
      <c r="P1262" s="658"/>
      <c r="Q1262" s="1899"/>
      <c r="R1262" s="430"/>
      <c r="S1262" s="430"/>
      <c r="T1262" s="430"/>
      <c r="U1262" s="430"/>
      <c r="V1262" s="430"/>
      <c r="W1262" s="90"/>
      <c r="X1262" s="90"/>
      <c r="Y1262" s="90"/>
    </row>
    <row r="1263" spans="3:25" ht="15.75" customHeight="1">
      <c r="C1263" s="90"/>
      <c r="D1263" s="1900"/>
      <c r="E1263" s="1895"/>
      <c r="F1263" s="1896"/>
      <c r="G1263" s="1897"/>
      <c r="H1263" s="90"/>
      <c r="I1263" s="90"/>
      <c r="J1263" s="90"/>
      <c r="K1263" s="90"/>
      <c r="L1263" s="1901"/>
      <c r="M1263" s="643"/>
      <c r="N1263" s="643"/>
      <c r="O1263" s="658"/>
      <c r="P1263" s="658"/>
      <c r="Q1263" s="1899"/>
      <c r="R1263" s="430"/>
      <c r="S1263" s="430"/>
      <c r="T1263" s="430"/>
      <c r="U1263" s="430"/>
      <c r="V1263" s="430"/>
      <c r="W1263" s="90"/>
      <c r="X1263" s="90"/>
      <c r="Y1263" s="90"/>
    </row>
    <row r="1264" spans="3:25" ht="15.75" customHeight="1">
      <c r="C1264" s="90"/>
      <c r="D1264" s="1900"/>
      <c r="E1264" s="1895"/>
      <c r="F1264" s="1896"/>
      <c r="G1264" s="1897"/>
      <c r="H1264" s="90"/>
      <c r="I1264" s="90"/>
      <c r="J1264" s="90"/>
      <c r="K1264" s="90"/>
      <c r="L1264" s="1901"/>
      <c r="M1264" s="643"/>
      <c r="N1264" s="643"/>
      <c r="O1264" s="658"/>
      <c r="P1264" s="658"/>
      <c r="Q1264" s="1899"/>
      <c r="R1264" s="430"/>
      <c r="S1264" s="430"/>
      <c r="T1264" s="430"/>
      <c r="U1264" s="430"/>
      <c r="V1264" s="430"/>
      <c r="W1264" s="90"/>
      <c r="X1264" s="90"/>
      <c r="Y1264" s="90"/>
    </row>
    <row r="1265" spans="3:25" ht="15.75" customHeight="1">
      <c r="C1265" s="90"/>
      <c r="D1265" s="1900"/>
      <c r="E1265" s="1895"/>
      <c r="F1265" s="1896"/>
      <c r="G1265" s="1897"/>
      <c r="H1265" s="90"/>
      <c r="I1265" s="90"/>
      <c r="J1265" s="90"/>
      <c r="K1265" s="90"/>
      <c r="L1265" s="1901"/>
      <c r="M1265" s="643"/>
      <c r="N1265" s="643"/>
      <c r="O1265" s="658"/>
      <c r="P1265" s="658"/>
      <c r="Q1265" s="1899"/>
      <c r="R1265" s="430"/>
      <c r="S1265" s="430"/>
      <c r="T1265" s="430"/>
      <c r="U1265" s="430"/>
      <c r="V1265" s="430"/>
      <c r="W1265" s="90"/>
      <c r="X1265" s="90"/>
      <c r="Y1265" s="90"/>
    </row>
    <row r="1266" spans="3:25" ht="15.75" customHeight="1">
      <c r="C1266" s="90"/>
      <c r="D1266" s="1900"/>
      <c r="E1266" s="1895"/>
      <c r="F1266" s="1896"/>
      <c r="G1266" s="1897"/>
      <c r="H1266" s="90"/>
      <c r="I1266" s="90"/>
      <c r="J1266" s="90"/>
      <c r="K1266" s="90"/>
      <c r="L1266" s="1901"/>
      <c r="M1266" s="643"/>
      <c r="N1266" s="643"/>
      <c r="O1266" s="658"/>
      <c r="P1266" s="658"/>
      <c r="Q1266" s="1899"/>
      <c r="R1266" s="430"/>
      <c r="S1266" s="430"/>
      <c r="T1266" s="430"/>
      <c r="U1266" s="430"/>
      <c r="V1266" s="430"/>
      <c r="W1266" s="90"/>
      <c r="X1266" s="90"/>
      <c r="Y1266" s="90"/>
    </row>
    <row r="1267" spans="3:25" ht="15.75" customHeight="1">
      <c r="C1267" s="90"/>
      <c r="D1267" s="1900"/>
      <c r="E1267" s="1895"/>
      <c r="F1267" s="1896"/>
      <c r="G1267" s="1897"/>
      <c r="H1267" s="90"/>
      <c r="I1267" s="90"/>
      <c r="J1267" s="90"/>
      <c r="K1267" s="90"/>
      <c r="L1267" s="1901"/>
      <c r="M1267" s="643"/>
      <c r="N1267" s="643"/>
      <c r="O1267" s="658"/>
      <c r="P1267" s="658"/>
      <c r="Q1267" s="1899"/>
      <c r="R1267" s="430"/>
      <c r="S1267" s="430"/>
      <c r="T1267" s="430"/>
      <c r="U1267" s="430"/>
      <c r="V1267" s="430"/>
      <c r="W1267" s="90"/>
      <c r="X1267" s="90"/>
      <c r="Y1267" s="90"/>
    </row>
    <row r="1268" spans="3:25" ht="15.75" customHeight="1">
      <c r="C1268" s="90"/>
      <c r="D1268" s="1900"/>
      <c r="E1268" s="1895"/>
      <c r="F1268" s="1896"/>
      <c r="G1268" s="1897"/>
      <c r="H1268" s="90"/>
      <c r="I1268" s="90"/>
      <c r="J1268" s="90"/>
      <c r="K1268" s="90"/>
      <c r="L1268" s="1901"/>
      <c r="M1268" s="643"/>
      <c r="N1268" s="643"/>
      <c r="O1268" s="658"/>
      <c r="P1268" s="658"/>
      <c r="Q1268" s="1899"/>
      <c r="R1268" s="430"/>
      <c r="S1268" s="430"/>
      <c r="T1268" s="430"/>
      <c r="U1268" s="430"/>
      <c r="V1268" s="430"/>
      <c r="W1268" s="90"/>
      <c r="X1268" s="90"/>
      <c r="Y1268" s="90"/>
    </row>
    <row r="1269" spans="3:25" ht="15.75" customHeight="1">
      <c r="C1269" s="90"/>
      <c r="D1269" s="1900"/>
      <c r="E1269" s="1895"/>
      <c r="F1269" s="1896"/>
      <c r="G1269" s="1897"/>
      <c r="H1269" s="90"/>
      <c r="I1269" s="90"/>
      <c r="J1269" s="90"/>
      <c r="K1269" s="90"/>
      <c r="L1269" s="1901"/>
      <c r="M1269" s="643"/>
      <c r="N1269" s="643"/>
      <c r="O1269" s="658"/>
      <c r="P1269" s="658"/>
      <c r="Q1269" s="1899"/>
      <c r="R1269" s="430"/>
      <c r="S1269" s="430"/>
      <c r="T1269" s="430"/>
      <c r="U1269" s="430"/>
      <c r="V1269" s="430"/>
      <c r="W1269" s="90"/>
      <c r="X1269" s="90"/>
      <c r="Y1269" s="90"/>
    </row>
    <row r="1270" spans="3:25" ht="15.75" customHeight="1">
      <c r="C1270" s="90"/>
      <c r="D1270" s="1900"/>
      <c r="E1270" s="1895"/>
      <c r="F1270" s="1896"/>
      <c r="G1270" s="1897"/>
      <c r="H1270" s="90"/>
      <c r="I1270" s="90"/>
      <c r="J1270" s="90"/>
      <c r="K1270" s="90"/>
      <c r="L1270" s="1901"/>
      <c r="M1270" s="643"/>
      <c r="N1270" s="643"/>
      <c r="O1270" s="658"/>
      <c r="P1270" s="658"/>
      <c r="Q1270" s="1899"/>
      <c r="R1270" s="430"/>
      <c r="S1270" s="430"/>
      <c r="T1270" s="430"/>
      <c r="U1270" s="430"/>
      <c r="V1270" s="430"/>
      <c r="W1270" s="90"/>
      <c r="X1270" s="90"/>
      <c r="Y1270" s="90"/>
    </row>
    <row r="1271" spans="3:25" ht="15.75" customHeight="1">
      <c r="C1271" s="90"/>
      <c r="D1271" s="1900"/>
      <c r="E1271" s="1895"/>
      <c r="F1271" s="1896"/>
      <c r="G1271" s="1897"/>
      <c r="H1271" s="90"/>
      <c r="I1271" s="90"/>
      <c r="J1271" s="90"/>
      <c r="K1271" s="90"/>
      <c r="L1271" s="1901"/>
      <c r="M1271" s="643"/>
      <c r="N1271" s="643"/>
      <c r="O1271" s="658"/>
      <c r="P1271" s="658"/>
      <c r="Q1271" s="1899"/>
      <c r="R1271" s="430"/>
      <c r="S1271" s="430"/>
      <c r="T1271" s="430"/>
      <c r="U1271" s="430"/>
      <c r="V1271" s="430"/>
      <c r="W1271" s="90"/>
      <c r="X1271" s="90"/>
      <c r="Y1271" s="90"/>
    </row>
    <row r="1272" spans="3:25" ht="15.75" customHeight="1">
      <c r="C1272" s="90"/>
      <c r="D1272" s="1900"/>
      <c r="E1272" s="1895"/>
      <c r="F1272" s="1896"/>
      <c r="G1272" s="1897"/>
      <c r="H1272" s="90"/>
      <c r="I1272" s="90"/>
      <c r="J1272" s="90"/>
      <c r="K1272" s="90"/>
      <c r="L1272" s="1901"/>
      <c r="M1272" s="643"/>
      <c r="N1272" s="643"/>
      <c r="O1272" s="658"/>
      <c r="P1272" s="658"/>
      <c r="Q1272" s="1899"/>
      <c r="R1272" s="430"/>
      <c r="S1272" s="430"/>
      <c r="T1272" s="430"/>
      <c r="U1272" s="430"/>
      <c r="V1272" s="430"/>
      <c r="W1272" s="90"/>
      <c r="X1272" s="90"/>
      <c r="Y1272" s="90"/>
    </row>
    <row r="1273" spans="3:25" ht="15.75" customHeight="1">
      <c r="C1273" s="90"/>
      <c r="D1273" s="1900"/>
      <c r="E1273" s="1895"/>
      <c r="F1273" s="1896"/>
      <c r="G1273" s="1897"/>
      <c r="H1273" s="90"/>
      <c r="I1273" s="90"/>
      <c r="J1273" s="90"/>
      <c r="K1273" s="90"/>
      <c r="L1273" s="1901"/>
      <c r="M1273" s="643"/>
      <c r="N1273" s="643"/>
      <c r="O1273" s="658"/>
      <c r="P1273" s="658"/>
      <c r="Q1273" s="1899"/>
      <c r="R1273" s="430"/>
      <c r="S1273" s="430"/>
      <c r="T1273" s="430"/>
      <c r="U1273" s="430"/>
      <c r="V1273" s="430"/>
      <c r="W1273" s="90"/>
      <c r="X1273" s="90"/>
      <c r="Y1273" s="90"/>
    </row>
    <row r="1274" spans="3:25" ht="15.75" customHeight="1">
      <c r="C1274" s="90"/>
      <c r="D1274" s="1900"/>
      <c r="E1274" s="1895"/>
      <c r="F1274" s="1896"/>
      <c r="G1274" s="1897"/>
      <c r="H1274" s="90"/>
      <c r="I1274" s="90"/>
      <c r="J1274" s="90"/>
      <c r="K1274" s="90"/>
      <c r="L1274" s="1901"/>
      <c r="M1274" s="643"/>
      <c r="N1274" s="643"/>
      <c r="O1274" s="658"/>
      <c r="P1274" s="658"/>
      <c r="Q1274" s="1899"/>
      <c r="R1274" s="430"/>
      <c r="S1274" s="430"/>
      <c r="T1274" s="430"/>
      <c r="U1274" s="430"/>
      <c r="V1274" s="430"/>
      <c r="W1274" s="90"/>
      <c r="X1274" s="90"/>
      <c r="Y1274" s="90"/>
    </row>
    <row r="1275" spans="3:25" ht="15.75" customHeight="1">
      <c r="C1275" s="90"/>
      <c r="D1275" s="1900"/>
      <c r="E1275" s="1895"/>
      <c r="F1275" s="1896"/>
      <c r="G1275" s="1897"/>
      <c r="H1275" s="90"/>
      <c r="I1275" s="90"/>
      <c r="J1275" s="90"/>
      <c r="K1275" s="90"/>
      <c r="L1275" s="1901"/>
      <c r="M1275" s="643"/>
      <c r="N1275" s="643"/>
      <c r="O1275" s="658"/>
      <c r="P1275" s="658"/>
      <c r="Q1275" s="1899"/>
      <c r="R1275" s="430"/>
      <c r="S1275" s="430"/>
      <c r="T1275" s="430"/>
      <c r="U1275" s="430"/>
      <c r="V1275" s="430"/>
      <c r="W1275" s="90"/>
      <c r="X1275" s="90"/>
      <c r="Y1275" s="90"/>
    </row>
    <row r="1276" spans="3:25" ht="15.75" customHeight="1">
      <c r="C1276" s="90"/>
      <c r="D1276" s="1900"/>
      <c r="E1276" s="1895"/>
      <c r="F1276" s="1896"/>
      <c r="G1276" s="1897"/>
      <c r="H1276" s="90"/>
      <c r="I1276" s="90"/>
      <c r="J1276" s="90"/>
      <c r="K1276" s="90"/>
      <c r="L1276" s="1901"/>
      <c r="M1276" s="643"/>
      <c r="N1276" s="643"/>
      <c r="O1276" s="658"/>
      <c r="P1276" s="658"/>
      <c r="Q1276" s="1899"/>
      <c r="R1276" s="430"/>
      <c r="S1276" s="430"/>
      <c r="T1276" s="430"/>
      <c r="U1276" s="430"/>
      <c r="V1276" s="430"/>
      <c r="W1276" s="90"/>
      <c r="X1276" s="90"/>
      <c r="Y1276" s="90"/>
    </row>
    <row r="1277" spans="3:25" ht="15.75" customHeight="1">
      <c r="C1277" s="90"/>
      <c r="D1277" s="1900"/>
      <c r="E1277" s="1895"/>
      <c r="F1277" s="1896"/>
      <c r="G1277" s="1897"/>
      <c r="H1277" s="90"/>
      <c r="I1277" s="90"/>
      <c r="J1277" s="90"/>
      <c r="K1277" s="90"/>
      <c r="L1277" s="1901"/>
      <c r="M1277" s="643"/>
      <c r="N1277" s="643"/>
      <c r="O1277" s="658"/>
      <c r="P1277" s="658"/>
      <c r="Q1277" s="1899"/>
      <c r="R1277" s="430"/>
      <c r="S1277" s="430"/>
      <c r="T1277" s="430"/>
      <c r="U1277" s="430"/>
      <c r="V1277" s="430"/>
      <c r="W1277" s="90"/>
      <c r="X1277" s="90"/>
      <c r="Y1277" s="90"/>
    </row>
    <row r="1278" spans="3:25" ht="15.75" customHeight="1">
      <c r="C1278" s="90"/>
      <c r="D1278" s="1900"/>
      <c r="E1278" s="1895"/>
      <c r="F1278" s="1896"/>
      <c r="G1278" s="1897"/>
      <c r="H1278" s="90"/>
      <c r="I1278" s="90"/>
      <c r="J1278" s="90"/>
      <c r="K1278" s="90"/>
      <c r="L1278" s="1901"/>
      <c r="M1278" s="643"/>
      <c r="N1278" s="643"/>
      <c r="O1278" s="658"/>
      <c r="P1278" s="658"/>
      <c r="Q1278" s="1899"/>
      <c r="R1278" s="430"/>
      <c r="S1278" s="430"/>
      <c r="T1278" s="430"/>
      <c r="U1278" s="430"/>
      <c r="V1278" s="430"/>
      <c r="W1278" s="90"/>
      <c r="X1278" s="90"/>
      <c r="Y1278" s="90"/>
    </row>
    <row r="1279" spans="3:25" ht="15.75" customHeight="1">
      <c r="C1279" s="90"/>
      <c r="D1279" s="1900"/>
      <c r="E1279" s="1895"/>
      <c r="F1279" s="1896"/>
      <c r="G1279" s="1897"/>
      <c r="H1279" s="90"/>
      <c r="I1279" s="90"/>
      <c r="J1279" s="90"/>
      <c r="K1279" s="90"/>
      <c r="L1279" s="1901"/>
      <c r="M1279" s="643"/>
      <c r="N1279" s="643"/>
      <c r="O1279" s="658"/>
      <c r="P1279" s="658"/>
      <c r="Q1279" s="1899"/>
      <c r="R1279" s="430"/>
      <c r="S1279" s="430"/>
      <c r="T1279" s="430"/>
      <c r="U1279" s="430"/>
      <c r="V1279" s="430"/>
      <c r="W1279" s="90"/>
      <c r="X1279" s="90"/>
      <c r="Y1279" s="90"/>
    </row>
    <row r="1280" spans="3:25" ht="15.75" customHeight="1">
      <c r="C1280" s="90"/>
      <c r="D1280" s="1900"/>
      <c r="E1280" s="1895"/>
      <c r="F1280" s="1896"/>
      <c r="G1280" s="1897"/>
      <c r="H1280" s="90"/>
      <c r="I1280" s="90"/>
      <c r="J1280" s="90"/>
      <c r="K1280" s="90"/>
      <c r="L1280" s="1901"/>
      <c r="M1280" s="643"/>
      <c r="N1280" s="643"/>
      <c r="O1280" s="658"/>
      <c r="P1280" s="658"/>
      <c r="Q1280" s="1899"/>
      <c r="R1280" s="430"/>
      <c r="S1280" s="430"/>
      <c r="T1280" s="430"/>
      <c r="U1280" s="430"/>
      <c r="V1280" s="430"/>
      <c r="W1280" s="90"/>
      <c r="X1280" s="90"/>
      <c r="Y1280" s="90"/>
    </row>
    <row r="1281" spans="3:25" ht="15.75" customHeight="1">
      <c r="C1281" s="90"/>
      <c r="D1281" s="1900"/>
      <c r="E1281" s="1895"/>
      <c r="F1281" s="1896"/>
      <c r="G1281" s="1897"/>
      <c r="H1281" s="90"/>
      <c r="I1281" s="90"/>
      <c r="J1281" s="90"/>
      <c r="K1281" s="90"/>
      <c r="L1281" s="1901"/>
      <c r="M1281" s="643"/>
      <c r="N1281" s="643"/>
      <c r="O1281" s="658"/>
      <c r="P1281" s="658"/>
      <c r="Q1281" s="1899"/>
      <c r="R1281" s="430"/>
      <c r="S1281" s="430"/>
      <c r="T1281" s="430"/>
      <c r="U1281" s="430"/>
      <c r="V1281" s="430"/>
      <c r="W1281" s="90"/>
      <c r="X1281" s="90"/>
      <c r="Y1281" s="90"/>
    </row>
    <row r="1282" spans="3:25" ht="15.75" customHeight="1">
      <c r="C1282" s="90"/>
      <c r="D1282" s="1900"/>
      <c r="E1282" s="1895"/>
      <c r="F1282" s="1896"/>
      <c r="G1282" s="1897"/>
      <c r="H1282" s="90"/>
      <c r="I1282" s="90"/>
      <c r="J1282" s="90"/>
      <c r="K1282" s="90"/>
      <c r="L1282" s="1901"/>
      <c r="M1282" s="643"/>
      <c r="N1282" s="643"/>
      <c r="O1282" s="658"/>
      <c r="P1282" s="658"/>
      <c r="Q1282" s="1899"/>
      <c r="R1282" s="430"/>
      <c r="S1282" s="430"/>
      <c r="T1282" s="430"/>
      <c r="U1282" s="430"/>
      <c r="V1282" s="430"/>
      <c r="W1282" s="90"/>
      <c r="X1282" s="90"/>
      <c r="Y1282" s="90"/>
    </row>
    <row r="1283" spans="3:25" ht="15.75" customHeight="1">
      <c r="C1283" s="90"/>
      <c r="D1283" s="1900"/>
      <c r="E1283" s="1895"/>
      <c r="F1283" s="1896"/>
      <c r="G1283" s="1897"/>
      <c r="H1283" s="90"/>
      <c r="I1283" s="90"/>
      <c r="J1283" s="90"/>
      <c r="K1283" s="90"/>
      <c r="L1283" s="1901"/>
      <c r="M1283" s="643"/>
      <c r="N1283" s="643"/>
      <c r="O1283" s="658"/>
      <c r="P1283" s="658"/>
      <c r="Q1283" s="1899"/>
      <c r="R1283" s="430"/>
      <c r="S1283" s="430"/>
      <c r="T1283" s="430"/>
      <c r="U1283" s="430"/>
      <c r="V1283" s="430"/>
      <c r="W1283" s="90"/>
      <c r="X1283" s="90"/>
      <c r="Y1283" s="90"/>
    </row>
    <row r="1284" spans="3:25" ht="15.75" customHeight="1">
      <c r="C1284" s="90"/>
      <c r="D1284" s="1900"/>
      <c r="E1284" s="1895"/>
      <c r="F1284" s="1896"/>
      <c r="G1284" s="1897"/>
      <c r="H1284" s="90"/>
      <c r="I1284" s="90"/>
      <c r="J1284" s="90"/>
      <c r="K1284" s="90"/>
      <c r="L1284" s="1901"/>
      <c r="M1284" s="643"/>
      <c r="N1284" s="643"/>
      <c r="O1284" s="658"/>
      <c r="P1284" s="658"/>
      <c r="Q1284" s="1899"/>
      <c r="R1284" s="430"/>
      <c r="S1284" s="430"/>
      <c r="T1284" s="430"/>
      <c r="U1284" s="430"/>
      <c r="V1284" s="430"/>
      <c r="W1284" s="90"/>
      <c r="X1284" s="90"/>
      <c r="Y1284" s="90"/>
    </row>
    <row r="1285" spans="3:25" ht="15.75" customHeight="1">
      <c r="C1285" s="90"/>
      <c r="D1285" s="1900"/>
      <c r="E1285" s="1895"/>
      <c r="F1285" s="1896"/>
      <c r="G1285" s="1897"/>
      <c r="H1285" s="90"/>
      <c r="I1285" s="90"/>
      <c r="J1285" s="90"/>
      <c r="K1285" s="90"/>
      <c r="L1285" s="1901"/>
      <c r="M1285" s="643"/>
      <c r="N1285" s="643"/>
      <c r="O1285" s="658"/>
      <c r="P1285" s="658"/>
      <c r="Q1285" s="1899"/>
      <c r="R1285" s="430"/>
      <c r="S1285" s="430"/>
      <c r="T1285" s="430"/>
      <c r="U1285" s="430"/>
      <c r="V1285" s="430"/>
      <c r="W1285" s="90"/>
      <c r="X1285" s="90"/>
      <c r="Y1285" s="90"/>
    </row>
    <row r="1286" spans="3:25" ht="15.75" customHeight="1">
      <c r="C1286" s="90"/>
      <c r="D1286" s="1900"/>
      <c r="E1286" s="1895"/>
      <c r="F1286" s="1896"/>
      <c r="G1286" s="1897"/>
      <c r="H1286" s="90"/>
      <c r="I1286" s="90"/>
      <c r="J1286" s="90"/>
      <c r="K1286" s="90"/>
      <c r="L1286" s="1901"/>
      <c r="M1286" s="643"/>
      <c r="N1286" s="643"/>
      <c r="O1286" s="658"/>
      <c r="P1286" s="658"/>
      <c r="Q1286" s="1899"/>
      <c r="R1286" s="430"/>
      <c r="S1286" s="430"/>
      <c r="T1286" s="430"/>
      <c r="U1286" s="430"/>
      <c r="V1286" s="430"/>
      <c r="W1286" s="90"/>
      <c r="X1286" s="90"/>
      <c r="Y1286" s="90"/>
    </row>
    <row r="1287" spans="3:25" ht="15.75" customHeight="1">
      <c r="C1287" s="90"/>
      <c r="D1287" s="1900"/>
      <c r="E1287" s="1895"/>
      <c r="F1287" s="1896"/>
      <c r="G1287" s="1897"/>
      <c r="H1287" s="90"/>
      <c r="I1287" s="90"/>
      <c r="J1287" s="90"/>
      <c r="K1287" s="90"/>
      <c r="L1287" s="1901"/>
      <c r="M1287" s="643"/>
      <c r="N1287" s="643"/>
      <c r="O1287" s="658"/>
      <c r="P1287" s="658"/>
      <c r="Q1287" s="1899"/>
      <c r="R1287" s="430"/>
      <c r="S1287" s="430"/>
      <c r="T1287" s="430"/>
      <c r="U1287" s="430"/>
      <c r="V1287" s="430"/>
      <c r="W1287" s="90"/>
      <c r="X1287" s="90"/>
      <c r="Y1287" s="90"/>
    </row>
    <row r="1288" spans="3:25" ht="15.75" customHeight="1">
      <c r="C1288" s="90"/>
      <c r="D1288" s="1900"/>
      <c r="E1288" s="1895"/>
      <c r="F1288" s="1896"/>
      <c r="G1288" s="1897"/>
      <c r="H1288" s="90"/>
      <c r="I1288" s="90"/>
      <c r="J1288" s="90"/>
      <c r="K1288" s="90"/>
      <c r="L1288" s="1901"/>
      <c r="M1288" s="643"/>
      <c r="N1288" s="643"/>
      <c r="O1288" s="658"/>
      <c r="P1288" s="658"/>
      <c r="Q1288" s="1899"/>
      <c r="R1288" s="430"/>
      <c r="S1288" s="430"/>
      <c r="T1288" s="430"/>
      <c r="U1288" s="430"/>
      <c r="V1288" s="430"/>
      <c r="W1288" s="90"/>
      <c r="X1288" s="90"/>
      <c r="Y1288" s="90"/>
    </row>
    <row r="1289" spans="3:25" ht="15.75" customHeight="1">
      <c r="C1289" s="90"/>
      <c r="D1289" s="1900"/>
      <c r="E1289" s="1895"/>
      <c r="F1289" s="1896"/>
      <c r="G1289" s="1897"/>
      <c r="H1289" s="90"/>
      <c r="I1289" s="90"/>
      <c r="J1289" s="90"/>
      <c r="K1289" s="90"/>
      <c r="L1289" s="1901"/>
      <c r="M1289" s="643"/>
      <c r="N1289" s="643"/>
      <c r="O1289" s="658"/>
      <c r="P1289" s="658"/>
      <c r="Q1289" s="1899"/>
      <c r="R1289" s="430"/>
      <c r="S1289" s="430"/>
      <c r="T1289" s="430"/>
      <c r="U1289" s="430"/>
      <c r="V1289" s="430"/>
      <c r="W1289" s="90"/>
      <c r="X1289" s="90"/>
      <c r="Y1289" s="90"/>
    </row>
    <row r="1290" spans="3:25" ht="15.75" customHeight="1">
      <c r="C1290" s="90"/>
      <c r="D1290" s="1900"/>
      <c r="E1290" s="1895"/>
      <c r="F1290" s="1896"/>
      <c r="G1290" s="1897"/>
      <c r="H1290" s="90"/>
      <c r="I1290" s="90"/>
      <c r="J1290" s="90"/>
      <c r="K1290" s="90"/>
      <c r="L1290" s="1901"/>
      <c r="M1290" s="643"/>
      <c r="N1290" s="643"/>
      <c r="O1290" s="658"/>
      <c r="P1290" s="658"/>
      <c r="Q1290" s="1899"/>
      <c r="R1290" s="430"/>
      <c r="S1290" s="430"/>
      <c r="T1290" s="430"/>
      <c r="U1290" s="430"/>
      <c r="V1290" s="430"/>
      <c r="W1290" s="90"/>
      <c r="X1290" s="90"/>
      <c r="Y1290" s="90"/>
    </row>
    <row r="1291" spans="3:25" ht="15.75" customHeight="1">
      <c r="C1291" s="90"/>
      <c r="D1291" s="1900"/>
      <c r="E1291" s="1895"/>
      <c r="F1291" s="1896"/>
      <c r="G1291" s="1897"/>
      <c r="H1291" s="90"/>
      <c r="I1291" s="90"/>
      <c r="J1291" s="90"/>
      <c r="K1291" s="90"/>
      <c r="L1291" s="1901"/>
      <c r="M1291" s="643"/>
      <c r="N1291" s="643"/>
      <c r="O1291" s="658"/>
      <c r="P1291" s="658"/>
      <c r="Q1291" s="1899"/>
      <c r="R1291" s="430"/>
      <c r="S1291" s="430"/>
      <c r="T1291" s="430"/>
      <c r="U1291" s="430"/>
      <c r="V1291" s="430"/>
      <c r="W1291" s="90"/>
      <c r="X1291" s="90"/>
      <c r="Y1291" s="90"/>
    </row>
    <row r="1292" spans="3:25" ht="15.75" customHeight="1">
      <c r="C1292" s="90"/>
      <c r="D1292" s="1900"/>
      <c r="E1292" s="1895"/>
      <c r="F1292" s="1896"/>
      <c r="G1292" s="1897"/>
      <c r="H1292" s="90"/>
      <c r="I1292" s="90"/>
      <c r="J1292" s="90"/>
      <c r="K1292" s="90"/>
      <c r="L1292" s="1901"/>
      <c r="M1292" s="643"/>
      <c r="N1292" s="643"/>
      <c r="O1292" s="658"/>
      <c r="P1292" s="658"/>
      <c r="Q1292" s="1899"/>
      <c r="R1292" s="430"/>
      <c r="S1292" s="430"/>
      <c r="T1292" s="430"/>
      <c r="U1292" s="430"/>
      <c r="V1292" s="430"/>
      <c r="W1292" s="90"/>
      <c r="X1292" s="90"/>
      <c r="Y1292" s="90"/>
    </row>
    <row r="1293" spans="3:25" ht="15.75" customHeight="1">
      <c r="C1293" s="90"/>
      <c r="D1293" s="1900"/>
      <c r="E1293" s="1895"/>
      <c r="F1293" s="1896"/>
      <c r="G1293" s="1897"/>
      <c r="H1293" s="90"/>
      <c r="I1293" s="90"/>
      <c r="J1293" s="90"/>
      <c r="K1293" s="90"/>
      <c r="L1293" s="1901"/>
      <c r="M1293" s="643"/>
      <c r="N1293" s="643"/>
      <c r="O1293" s="658"/>
      <c r="P1293" s="658"/>
      <c r="Q1293" s="1899"/>
      <c r="R1293" s="430"/>
      <c r="S1293" s="430"/>
      <c r="T1293" s="430"/>
      <c r="U1293" s="430"/>
      <c r="V1293" s="430"/>
      <c r="W1293" s="90"/>
      <c r="X1293" s="90"/>
      <c r="Y1293" s="90"/>
    </row>
    <row r="1294" spans="3:25" ht="15.75" customHeight="1">
      <c r="C1294" s="90"/>
      <c r="D1294" s="1900"/>
      <c r="E1294" s="1895"/>
      <c r="F1294" s="1896"/>
      <c r="G1294" s="1897"/>
      <c r="H1294" s="90"/>
      <c r="I1294" s="90"/>
      <c r="J1294" s="90"/>
      <c r="K1294" s="90"/>
      <c r="L1294" s="1901"/>
      <c r="M1294" s="643"/>
      <c r="N1294" s="643"/>
      <c r="O1294" s="658"/>
      <c r="P1294" s="658"/>
      <c r="Q1294" s="1899"/>
      <c r="R1294" s="430"/>
      <c r="S1294" s="430"/>
      <c r="T1294" s="430"/>
      <c r="U1294" s="430"/>
      <c r="V1294" s="430"/>
      <c r="W1294" s="90"/>
      <c r="X1294" s="90"/>
      <c r="Y1294" s="90"/>
    </row>
    <row r="1295" spans="3:25" ht="15.75" customHeight="1">
      <c r="C1295" s="90"/>
      <c r="D1295" s="1900"/>
      <c r="E1295" s="1895"/>
      <c r="F1295" s="1896"/>
      <c r="G1295" s="1897"/>
      <c r="H1295" s="90"/>
      <c r="I1295" s="90"/>
      <c r="J1295" s="90"/>
      <c r="K1295" s="90"/>
      <c r="L1295" s="1901"/>
      <c r="M1295" s="643"/>
      <c r="N1295" s="643"/>
      <c r="O1295" s="658"/>
      <c r="P1295" s="658"/>
      <c r="Q1295" s="1899"/>
      <c r="R1295" s="430"/>
      <c r="S1295" s="430"/>
      <c r="T1295" s="430"/>
      <c r="U1295" s="430"/>
      <c r="V1295" s="430"/>
      <c r="W1295" s="90"/>
      <c r="X1295" s="90"/>
      <c r="Y1295" s="90"/>
    </row>
    <row r="1296" spans="3:25" ht="15.75" customHeight="1">
      <c r="C1296" s="90"/>
      <c r="D1296" s="1900"/>
      <c r="E1296" s="1895"/>
      <c r="F1296" s="1896"/>
      <c r="G1296" s="1897"/>
      <c r="H1296" s="90"/>
      <c r="I1296" s="90"/>
      <c r="J1296" s="90"/>
      <c r="K1296" s="90"/>
      <c r="L1296" s="1901"/>
      <c r="M1296" s="643"/>
      <c r="N1296" s="643"/>
      <c r="O1296" s="658"/>
      <c r="P1296" s="658"/>
      <c r="Q1296" s="1899"/>
      <c r="R1296" s="430"/>
      <c r="S1296" s="430"/>
      <c r="T1296" s="430"/>
      <c r="U1296" s="430"/>
      <c r="V1296" s="430"/>
      <c r="W1296" s="90"/>
      <c r="X1296" s="90"/>
      <c r="Y1296" s="90"/>
    </row>
    <row r="1297" spans="3:25" ht="15.75" customHeight="1">
      <c r="C1297" s="90"/>
      <c r="D1297" s="1900"/>
      <c r="E1297" s="1895"/>
      <c r="F1297" s="1896"/>
      <c r="G1297" s="1897"/>
      <c r="H1297" s="90"/>
      <c r="I1297" s="90"/>
      <c r="J1297" s="90"/>
      <c r="K1297" s="90"/>
      <c r="L1297" s="1901"/>
      <c r="M1297" s="643"/>
      <c r="N1297" s="643"/>
      <c r="O1297" s="658"/>
      <c r="P1297" s="658"/>
      <c r="Q1297" s="1899"/>
      <c r="R1297" s="430"/>
      <c r="S1297" s="430"/>
      <c r="T1297" s="430"/>
      <c r="U1297" s="430"/>
      <c r="V1297" s="430"/>
      <c r="W1297" s="90"/>
      <c r="X1297" s="90"/>
      <c r="Y1297" s="90"/>
    </row>
    <row r="1298" spans="3:25" ht="15.75" customHeight="1">
      <c r="C1298" s="90"/>
      <c r="D1298" s="1900"/>
      <c r="E1298" s="1895"/>
      <c r="F1298" s="1896"/>
      <c r="G1298" s="1897"/>
      <c r="H1298" s="90"/>
      <c r="I1298" s="90"/>
      <c r="J1298" s="90"/>
      <c r="K1298" s="90"/>
      <c r="L1298" s="1901"/>
      <c r="M1298" s="643"/>
      <c r="N1298" s="643"/>
      <c r="O1298" s="658"/>
      <c r="P1298" s="658"/>
      <c r="Q1298" s="1899"/>
      <c r="R1298" s="430"/>
      <c r="S1298" s="430"/>
      <c r="T1298" s="430"/>
      <c r="U1298" s="430"/>
      <c r="V1298" s="430"/>
      <c r="W1298" s="90"/>
      <c r="X1298" s="90"/>
      <c r="Y1298" s="90"/>
    </row>
    <row r="1299" spans="3:25" ht="15.75" customHeight="1">
      <c r="C1299" s="90"/>
      <c r="D1299" s="1900"/>
      <c r="E1299" s="1895"/>
      <c r="F1299" s="1896"/>
      <c r="G1299" s="1897"/>
      <c r="H1299" s="90"/>
      <c r="I1299" s="90"/>
      <c r="J1299" s="90"/>
      <c r="K1299" s="90"/>
      <c r="L1299" s="1901"/>
      <c r="M1299" s="643"/>
      <c r="N1299" s="643"/>
      <c r="O1299" s="658"/>
      <c r="P1299" s="658"/>
      <c r="Q1299" s="1899"/>
      <c r="R1299" s="430"/>
      <c r="S1299" s="430"/>
      <c r="T1299" s="430"/>
      <c r="U1299" s="430"/>
      <c r="V1299" s="430"/>
      <c r="W1299" s="90"/>
      <c r="X1299" s="90"/>
      <c r="Y1299" s="90"/>
    </row>
    <row r="1300" spans="3:25" ht="15.75" customHeight="1">
      <c r="C1300" s="90"/>
      <c r="D1300" s="1900"/>
      <c r="E1300" s="1895"/>
      <c r="F1300" s="1896"/>
      <c r="G1300" s="1897"/>
      <c r="H1300" s="90"/>
      <c r="I1300" s="90"/>
      <c r="J1300" s="90"/>
      <c r="K1300" s="90"/>
      <c r="L1300" s="1901"/>
      <c r="M1300" s="643"/>
      <c r="N1300" s="643"/>
      <c r="O1300" s="658"/>
      <c r="P1300" s="658"/>
      <c r="Q1300" s="1899"/>
      <c r="R1300" s="430"/>
      <c r="S1300" s="430"/>
      <c r="T1300" s="430"/>
      <c r="U1300" s="430"/>
      <c r="V1300" s="430"/>
      <c r="W1300" s="90"/>
      <c r="X1300" s="90"/>
      <c r="Y1300" s="90"/>
    </row>
    <row r="1301" spans="3:25" ht="15.75" customHeight="1">
      <c r="C1301" s="90"/>
      <c r="D1301" s="1900"/>
      <c r="E1301" s="1895"/>
      <c r="F1301" s="1896"/>
      <c r="G1301" s="1897"/>
      <c r="H1301" s="90"/>
      <c r="I1301" s="90"/>
      <c r="J1301" s="90"/>
      <c r="K1301" s="90"/>
      <c r="L1301" s="1901"/>
      <c r="M1301" s="643"/>
      <c r="N1301" s="643"/>
      <c r="O1301" s="658"/>
      <c r="P1301" s="658"/>
      <c r="Q1301" s="1899"/>
      <c r="R1301" s="430"/>
      <c r="S1301" s="430"/>
      <c r="T1301" s="430"/>
      <c r="U1301" s="430"/>
      <c r="V1301" s="430"/>
      <c r="W1301" s="90"/>
      <c r="X1301" s="90"/>
      <c r="Y1301" s="90"/>
    </row>
    <row r="1302" spans="3:25" ht="15.75" customHeight="1">
      <c r="C1302" s="90"/>
      <c r="D1302" s="1900"/>
      <c r="E1302" s="1895"/>
      <c r="F1302" s="1896"/>
      <c r="G1302" s="1897"/>
      <c r="H1302" s="90"/>
      <c r="I1302" s="90"/>
      <c r="J1302" s="90"/>
      <c r="K1302" s="90"/>
      <c r="L1302" s="1901"/>
      <c r="M1302" s="643"/>
      <c r="N1302" s="643"/>
      <c r="O1302" s="658"/>
      <c r="P1302" s="658"/>
      <c r="Q1302" s="1899"/>
      <c r="R1302" s="430"/>
      <c r="S1302" s="430"/>
      <c r="T1302" s="430"/>
      <c r="U1302" s="430"/>
      <c r="V1302" s="430"/>
      <c r="W1302" s="90"/>
      <c r="X1302" s="90"/>
      <c r="Y1302" s="90"/>
    </row>
    <row r="1303" spans="3:25" ht="15.75" customHeight="1">
      <c r="C1303" s="90"/>
      <c r="D1303" s="1900"/>
      <c r="E1303" s="1895"/>
      <c r="F1303" s="1896"/>
      <c r="G1303" s="1897"/>
      <c r="H1303" s="90"/>
      <c r="I1303" s="90"/>
      <c r="J1303" s="90"/>
      <c r="K1303" s="90"/>
      <c r="L1303" s="1901"/>
      <c r="M1303" s="643"/>
      <c r="N1303" s="643"/>
      <c r="O1303" s="658"/>
      <c r="P1303" s="658"/>
      <c r="Q1303" s="1899"/>
      <c r="R1303" s="430"/>
      <c r="S1303" s="430"/>
      <c r="T1303" s="430"/>
      <c r="U1303" s="430"/>
      <c r="V1303" s="430"/>
      <c r="W1303" s="90"/>
      <c r="X1303" s="90"/>
      <c r="Y1303" s="90"/>
    </row>
    <row r="1304" spans="3:25" ht="15.75" customHeight="1">
      <c r="C1304" s="90"/>
      <c r="D1304" s="1900"/>
      <c r="E1304" s="1895"/>
      <c r="F1304" s="1896"/>
      <c r="G1304" s="1897"/>
      <c r="H1304" s="90"/>
      <c r="I1304" s="90"/>
      <c r="J1304" s="90"/>
      <c r="K1304" s="90"/>
      <c r="L1304" s="1901"/>
      <c r="M1304" s="643"/>
      <c r="N1304" s="643"/>
      <c r="O1304" s="658"/>
      <c r="P1304" s="658"/>
      <c r="Q1304" s="1899"/>
      <c r="R1304" s="430"/>
      <c r="S1304" s="430"/>
      <c r="T1304" s="430"/>
      <c r="U1304" s="430"/>
      <c r="V1304" s="430"/>
      <c r="W1304" s="90"/>
      <c r="X1304" s="90"/>
      <c r="Y1304" s="90"/>
    </row>
    <row r="1305" spans="3:25" ht="15.75" customHeight="1">
      <c r="C1305" s="90"/>
      <c r="D1305" s="1900"/>
      <c r="E1305" s="1895"/>
      <c r="F1305" s="1896"/>
      <c r="G1305" s="1897"/>
      <c r="H1305" s="90"/>
      <c r="I1305" s="90"/>
      <c r="J1305" s="90"/>
      <c r="K1305" s="90"/>
      <c r="L1305" s="1901"/>
      <c r="M1305" s="643"/>
      <c r="N1305" s="643"/>
      <c r="O1305" s="658"/>
      <c r="P1305" s="658"/>
      <c r="Q1305" s="1899"/>
      <c r="R1305" s="430"/>
      <c r="S1305" s="430"/>
      <c r="T1305" s="430"/>
      <c r="U1305" s="430"/>
      <c r="V1305" s="430"/>
      <c r="W1305" s="90"/>
      <c r="X1305" s="90"/>
      <c r="Y1305" s="90"/>
    </row>
    <row r="1306" spans="3:25" ht="15.75" customHeight="1">
      <c r="C1306" s="90"/>
      <c r="D1306" s="1900"/>
      <c r="E1306" s="1895"/>
      <c r="F1306" s="1896"/>
      <c r="G1306" s="1897"/>
      <c r="H1306" s="90"/>
      <c r="I1306" s="90"/>
      <c r="J1306" s="90"/>
      <c r="K1306" s="90"/>
      <c r="L1306" s="1901"/>
      <c r="M1306" s="643"/>
      <c r="N1306" s="643"/>
      <c r="O1306" s="658"/>
      <c r="P1306" s="658"/>
      <c r="Q1306" s="1899"/>
      <c r="R1306" s="430"/>
      <c r="S1306" s="430"/>
      <c r="T1306" s="430"/>
      <c r="U1306" s="430"/>
      <c r="V1306" s="430"/>
      <c r="W1306" s="90"/>
      <c r="X1306" s="90"/>
      <c r="Y1306" s="90"/>
    </row>
    <row r="1307" spans="3:25" ht="15.75" customHeight="1">
      <c r="C1307" s="90"/>
      <c r="D1307" s="1900"/>
      <c r="E1307" s="1895"/>
      <c r="F1307" s="1896"/>
      <c r="G1307" s="1897"/>
      <c r="H1307" s="90"/>
      <c r="I1307" s="90"/>
      <c r="J1307" s="90"/>
      <c r="K1307" s="90"/>
      <c r="L1307" s="1901"/>
      <c r="M1307" s="643"/>
      <c r="N1307" s="643"/>
      <c r="O1307" s="658"/>
      <c r="P1307" s="658"/>
      <c r="Q1307" s="1899"/>
      <c r="R1307" s="430"/>
      <c r="S1307" s="430"/>
      <c r="T1307" s="430"/>
      <c r="U1307" s="430"/>
      <c r="V1307" s="430"/>
      <c r="W1307" s="90"/>
      <c r="X1307" s="90"/>
      <c r="Y1307" s="90"/>
    </row>
    <row r="1308" spans="3:25" ht="15.75" customHeight="1">
      <c r="C1308" s="90"/>
      <c r="D1308" s="1900"/>
      <c r="E1308" s="1895"/>
      <c r="F1308" s="1896"/>
      <c r="G1308" s="1897"/>
      <c r="H1308" s="90"/>
      <c r="I1308" s="90"/>
      <c r="J1308" s="90"/>
      <c r="K1308" s="90"/>
      <c r="L1308" s="1901"/>
      <c r="M1308" s="643"/>
      <c r="N1308" s="643"/>
      <c r="O1308" s="658"/>
      <c r="P1308" s="658"/>
      <c r="Q1308" s="1899"/>
      <c r="R1308" s="430"/>
      <c r="S1308" s="430"/>
      <c r="T1308" s="430"/>
      <c r="U1308" s="430"/>
      <c r="V1308" s="430"/>
      <c r="W1308" s="90"/>
      <c r="X1308" s="90"/>
      <c r="Y1308" s="90"/>
    </row>
    <row r="1309" spans="3:25" ht="15.75" customHeight="1">
      <c r="C1309" s="90"/>
      <c r="D1309" s="1900"/>
      <c r="E1309" s="1895"/>
      <c r="F1309" s="1896"/>
      <c r="G1309" s="1897"/>
      <c r="H1309" s="90"/>
      <c r="I1309" s="90"/>
      <c r="J1309" s="90"/>
      <c r="K1309" s="90"/>
      <c r="L1309" s="1901"/>
      <c r="M1309" s="643"/>
      <c r="N1309" s="643"/>
      <c r="O1309" s="658"/>
      <c r="P1309" s="658"/>
      <c r="Q1309" s="1899"/>
      <c r="R1309" s="430"/>
      <c r="S1309" s="430"/>
      <c r="T1309" s="430"/>
      <c r="U1309" s="430"/>
      <c r="V1309" s="430"/>
      <c r="W1309" s="90"/>
      <c r="X1309" s="90"/>
      <c r="Y1309" s="90"/>
    </row>
    <row r="1310" spans="3:25" ht="15.75" customHeight="1">
      <c r="C1310" s="90"/>
      <c r="D1310" s="1900"/>
      <c r="E1310" s="1895"/>
      <c r="F1310" s="1896"/>
      <c r="G1310" s="1897"/>
      <c r="H1310" s="90"/>
      <c r="I1310" s="90"/>
      <c r="J1310" s="90"/>
      <c r="K1310" s="90"/>
      <c r="L1310" s="1901"/>
      <c r="M1310" s="643"/>
      <c r="N1310" s="643"/>
      <c r="O1310" s="658"/>
      <c r="P1310" s="658"/>
      <c r="Q1310" s="1899"/>
      <c r="R1310" s="430"/>
      <c r="S1310" s="430"/>
      <c r="T1310" s="430"/>
      <c r="U1310" s="430"/>
      <c r="V1310" s="430"/>
      <c r="W1310" s="90"/>
      <c r="X1310" s="90"/>
      <c r="Y1310" s="90"/>
    </row>
    <row r="1311" spans="3:25" ht="15.75" customHeight="1">
      <c r="C1311" s="90"/>
      <c r="D1311" s="1900"/>
      <c r="E1311" s="1895"/>
      <c r="F1311" s="1896"/>
      <c r="G1311" s="1897"/>
      <c r="H1311" s="90"/>
      <c r="I1311" s="90"/>
      <c r="J1311" s="90"/>
      <c r="K1311" s="90"/>
      <c r="L1311" s="1901"/>
      <c r="M1311" s="643"/>
      <c r="N1311" s="643"/>
      <c r="O1311" s="658"/>
      <c r="P1311" s="658"/>
      <c r="Q1311" s="1899"/>
      <c r="R1311" s="430"/>
      <c r="S1311" s="430"/>
      <c r="T1311" s="430"/>
      <c r="U1311" s="430"/>
      <c r="V1311" s="430"/>
      <c r="W1311" s="90"/>
      <c r="X1311" s="90"/>
      <c r="Y1311" s="90"/>
    </row>
    <row r="1312" spans="3:25" ht="15.75" customHeight="1">
      <c r="C1312" s="90"/>
      <c r="D1312" s="1900"/>
      <c r="E1312" s="1895"/>
      <c r="F1312" s="1896"/>
      <c r="G1312" s="1897"/>
      <c r="H1312" s="90"/>
      <c r="I1312" s="90"/>
      <c r="J1312" s="90"/>
      <c r="K1312" s="90"/>
      <c r="L1312" s="1901"/>
      <c r="M1312" s="643"/>
      <c r="N1312" s="643"/>
      <c r="O1312" s="658"/>
      <c r="P1312" s="658"/>
      <c r="Q1312" s="1899"/>
      <c r="R1312" s="430"/>
      <c r="S1312" s="430"/>
      <c r="T1312" s="430"/>
      <c r="U1312" s="430"/>
      <c r="V1312" s="430"/>
      <c r="W1312" s="90"/>
      <c r="X1312" s="90"/>
      <c r="Y1312" s="90"/>
    </row>
    <row r="1313" spans="3:25" ht="15.75" customHeight="1">
      <c r="C1313" s="90"/>
      <c r="D1313" s="1900"/>
      <c r="E1313" s="1895"/>
      <c r="F1313" s="1896"/>
      <c r="G1313" s="1897"/>
      <c r="H1313" s="90"/>
      <c r="I1313" s="90"/>
      <c r="J1313" s="90"/>
      <c r="K1313" s="90"/>
      <c r="L1313" s="1901"/>
      <c r="M1313" s="643"/>
      <c r="N1313" s="643"/>
      <c r="O1313" s="658"/>
      <c r="P1313" s="658"/>
      <c r="Q1313" s="1899"/>
      <c r="R1313" s="430"/>
      <c r="S1313" s="430"/>
      <c r="T1313" s="430"/>
      <c r="U1313" s="430"/>
      <c r="V1313" s="430"/>
      <c r="W1313" s="90"/>
      <c r="X1313" s="90"/>
      <c r="Y1313" s="90"/>
    </row>
    <row r="1314" spans="3:25" ht="15.75" customHeight="1">
      <c r="C1314" s="90"/>
      <c r="D1314" s="1900"/>
      <c r="E1314" s="1895"/>
      <c r="F1314" s="1896"/>
      <c r="G1314" s="1897"/>
      <c r="H1314" s="90"/>
      <c r="I1314" s="90"/>
      <c r="J1314" s="90"/>
      <c r="K1314" s="90"/>
      <c r="L1314" s="1901"/>
      <c r="M1314" s="643"/>
      <c r="N1314" s="643"/>
      <c r="O1314" s="658"/>
      <c r="P1314" s="658"/>
      <c r="Q1314" s="1899"/>
      <c r="R1314" s="430"/>
      <c r="S1314" s="430"/>
      <c r="T1314" s="430"/>
      <c r="U1314" s="430"/>
      <c r="V1314" s="430"/>
      <c r="W1314" s="90"/>
      <c r="X1314" s="90"/>
      <c r="Y1314" s="90"/>
    </row>
    <row r="1315" spans="3:25" ht="15.75" customHeight="1">
      <c r="C1315" s="90"/>
      <c r="D1315" s="1900"/>
      <c r="E1315" s="1895"/>
      <c r="F1315" s="1896"/>
      <c r="G1315" s="1897"/>
      <c r="H1315" s="90"/>
      <c r="I1315" s="90"/>
      <c r="J1315" s="90"/>
      <c r="K1315" s="90"/>
      <c r="L1315" s="1901"/>
      <c r="M1315" s="643"/>
      <c r="N1315" s="643"/>
      <c r="O1315" s="658"/>
      <c r="P1315" s="658"/>
      <c r="Q1315" s="1899"/>
      <c r="R1315" s="430"/>
      <c r="S1315" s="430"/>
      <c r="T1315" s="430"/>
      <c r="U1315" s="430"/>
      <c r="V1315" s="430"/>
      <c r="W1315" s="90"/>
      <c r="X1315" s="90"/>
      <c r="Y1315" s="90"/>
    </row>
    <row r="1316" spans="3:25" ht="15.75" customHeight="1">
      <c r="C1316" s="90"/>
      <c r="D1316" s="1900"/>
      <c r="E1316" s="1895"/>
      <c r="F1316" s="1896"/>
      <c r="G1316" s="1897"/>
      <c r="H1316" s="90"/>
      <c r="I1316" s="90"/>
      <c r="J1316" s="90"/>
      <c r="K1316" s="90"/>
      <c r="L1316" s="1901"/>
      <c r="M1316" s="643"/>
      <c r="N1316" s="643"/>
      <c r="O1316" s="658"/>
      <c r="P1316" s="658"/>
      <c r="Q1316" s="1899"/>
      <c r="R1316" s="430"/>
      <c r="S1316" s="430"/>
      <c r="T1316" s="430"/>
      <c r="U1316" s="430"/>
      <c r="V1316" s="430"/>
      <c r="W1316" s="90"/>
      <c r="X1316" s="90"/>
      <c r="Y1316" s="90"/>
    </row>
    <row r="1317" spans="3:25" ht="15.75" customHeight="1">
      <c r="C1317" s="90"/>
      <c r="D1317" s="1900"/>
      <c r="E1317" s="1895"/>
      <c r="F1317" s="1896"/>
      <c r="G1317" s="1897"/>
      <c r="H1317" s="90"/>
      <c r="I1317" s="90"/>
      <c r="J1317" s="90"/>
      <c r="K1317" s="90"/>
      <c r="L1317" s="1901"/>
      <c r="M1317" s="643"/>
      <c r="N1317" s="643"/>
      <c r="O1317" s="658"/>
      <c r="P1317" s="658"/>
      <c r="Q1317" s="1899"/>
      <c r="R1317" s="430"/>
      <c r="S1317" s="430"/>
      <c r="T1317" s="430"/>
      <c r="U1317" s="430"/>
      <c r="V1317" s="430"/>
      <c r="W1317" s="90"/>
      <c r="X1317" s="90"/>
      <c r="Y1317" s="90"/>
    </row>
    <row r="1318" spans="3:25" ht="15.75" customHeight="1">
      <c r="C1318" s="90"/>
      <c r="D1318" s="1900"/>
      <c r="E1318" s="1895"/>
      <c r="F1318" s="1896"/>
      <c r="G1318" s="1897"/>
      <c r="H1318" s="90"/>
      <c r="I1318" s="90"/>
      <c r="J1318" s="90"/>
      <c r="K1318" s="90"/>
      <c r="L1318" s="1901"/>
      <c r="M1318" s="643"/>
      <c r="N1318" s="643"/>
      <c r="O1318" s="658"/>
      <c r="P1318" s="658"/>
      <c r="Q1318" s="1899"/>
      <c r="R1318" s="430"/>
      <c r="S1318" s="430"/>
      <c r="T1318" s="430"/>
      <c r="U1318" s="430"/>
      <c r="V1318" s="430"/>
      <c r="W1318" s="90"/>
      <c r="X1318" s="90"/>
      <c r="Y1318" s="90"/>
    </row>
    <row r="1319" spans="3:25" ht="15.75" customHeight="1">
      <c r="C1319" s="90"/>
      <c r="D1319" s="1900"/>
      <c r="E1319" s="1895"/>
      <c r="F1319" s="1896"/>
      <c r="G1319" s="1897"/>
      <c r="H1319" s="90"/>
      <c r="I1319" s="90"/>
      <c r="J1319" s="90"/>
      <c r="K1319" s="90"/>
      <c r="L1319" s="1901"/>
      <c r="M1319" s="643"/>
      <c r="N1319" s="643"/>
      <c r="O1319" s="658"/>
      <c r="P1319" s="658"/>
      <c r="Q1319" s="1899"/>
      <c r="R1319" s="430"/>
      <c r="S1319" s="430"/>
      <c r="T1319" s="430"/>
      <c r="U1319" s="430"/>
      <c r="V1319" s="430"/>
      <c r="W1319" s="90"/>
      <c r="X1319" s="90"/>
      <c r="Y1319" s="90"/>
    </row>
    <row r="1320" spans="3:25" ht="15.75" customHeight="1">
      <c r="C1320" s="90"/>
      <c r="D1320" s="1900"/>
      <c r="E1320" s="1895"/>
      <c r="F1320" s="1896"/>
      <c r="G1320" s="1897"/>
      <c r="H1320" s="90"/>
      <c r="I1320" s="90"/>
      <c r="J1320" s="90"/>
      <c r="K1320" s="90"/>
      <c r="L1320" s="1901"/>
      <c r="M1320" s="643"/>
      <c r="N1320" s="643"/>
      <c r="O1320" s="658"/>
      <c r="P1320" s="658"/>
      <c r="Q1320" s="1899"/>
      <c r="R1320" s="430"/>
      <c r="S1320" s="430"/>
      <c r="T1320" s="430"/>
      <c r="U1320" s="430"/>
      <c r="V1320" s="430"/>
      <c r="W1320" s="90"/>
      <c r="X1320" s="90"/>
      <c r="Y1320" s="90"/>
    </row>
    <row r="1321" spans="3:25" ht="15.75" customHeight="1">
      <c r="C1321" s="90"/>
      <c r="D1321" s="1900"/>
      <c r="E1321" s="1895"/>
      <c r="F1321" s="1896"/>
      <c r="G1321" s="1897"/>
      <c r="H1321" s="90"/>
      <c r="I1321" s="90"/>
      <c r="J1321" s="90"/>
      <c r="K1321" s="90"/>
      <c r="L1321" s="1901"/>
      <c r="M1321" s="643"/>
      <c r="N1321" s="643"/>
      <c r="O1321" s="658"/>
      <c r="P1321" s="658"/>
      <c r="Q1321" s="1899"/>
      <c r="R1321" s="430"/>
      <c r="S1321" s="430"/>
      <c r="T1321" s="430"/>
      <c r="U1321" s="430"/>
      <c r="V1321" s="430"/>
      <c r="W1321" s="90"/>
      <c r="X1321" s="90"/>
      <c r="Y1321" s="90"/>
    </row>
    <row r="1322" spans="3:25" ht="15.75" customHeight="1">
      <c r="C1322" s="90"/>
      <c r="D1322" s="1900"/>
      <c r="E1322" s="1895"/>
      <c r="F1322" s="1896"/>
      <c r="G1322" s="1897"/>
      <c r="H1322" s="90"/>
      <c r="I1322" s="90"/>
      <c r="J1322" s="90"/>
      <c r="K1322" s="90"/>
      <c r="L1322" s="1901"/>
      <c r="M1322" s="643"/>
      <c r="N1322" s="643"/>
      <c r="O1322" s="658"/>
      <c r="P1322" s="658"/>
      <c r="Q1322" s="1899"/>
      <c r="R1322" s="430"/>
      <c r="S1322" s="430"/>
      <c r="T1322" s="430"/>
      <c r="U1322" s="430"/>
      <c r="V1322" s="430"/>
      <c r="W1322" s="90"/>
      <c r="X1322" s="90"/>
      <c r="Y1322" s="90"/>
    </row>
    <row r="1323" spans="3:25" ht="15.75" customHeight="1">
      <c r="C1323" s="90"/>
      <c r="D1323" s="1900"/>
      <c r="E1323" s="1895"/>
      <c r="F1323" s="1896"/>
      <c r="G1323" s="1897"/>
      <c r="H1323" s="90"/>
      <c r="I1323" s="90"/>
      <c r="J1323" s="90"/>
      <c r="K1323" s="90"/>
      <c r="L1323" s="1901"/>
      <c r="M1323" s="643"/>
      <c r="N1323" s="643"/>
      <c r="O1323" s="658"/>
      <c r="P1323" s="658"/>
      <c r="Q1323" s="1899"/>
      <c r="R1323" s="430"/>
      <c r="S1323" s="430"/>
      <c r="T1323" s="430"/>
      <c r="U1323" s="430"/>
      <c r="V1323" s="430"/>
      <c r="W1323" s="90"/>
      <c r="X1323" s="90"/>
      <c r="Y1323" s="90"/>
    </row>
    <row r="1324" spans="3:25" ht="15.75" customHeight="1">
      <c r="C1324" s="90"/>
      <c r="D1324" s="1900"/>
      <c r="E1324" s="1895"/>
      <c r="F1324" s="1896"/>
      <c r="G1324" s="1897"/>
      <c r="H1324" s="90"/>
      <c r="I1324" s="90"/>
      <c r="J1324" s="90"/>
      <c r="K1324" s="90"/>
      <c r="L1324" s="1901"/>
      <c r="M1324" s="643"/>
      <c r="N1324" s="643"/>
      <c r="O1324" s="658"/>
      <c r="P1324" s="658"/>
      <c r="Q1324" s="1899"/>
      <c r="R1324" s="430"/>
      <c r="S1324" s="430"/>
      <c r="T1324" s="430"/>
      <c r="U1324" s="430"/>
      <c r="V1324" s="430"/>
      <c r="W1324" s="90"/>
      <c r="X1324" s="90"/>
      <c r="Y1324" s="90"/>
    </row>
    <row r="1325" spans="3:25" ht="15.75" customHeight="1">
      <c r="C1325" s="90"/>
      <c r="D1325" s="1900"/>
      <c r="E1325" s="1895"/>
      <c r="F1325" s="1896"/>
      <c r="G1325" s="1897"/>
      <c r="H1325" s="90"/>
      <c r="I1325" s="90"/>
      <c r="J1325" s="90"/>
      <c r="K1325" s="90"/>
      <c r="L1325" s="1901"/>
      <c r="M1325" s="643"/>
      <c r="N1325" s="643"/>
      <c r="O1325" s="658"/>
      <c r="P1325" s="658"/>
      <c r="Q1325" s="1899"/>
      <c r="R1325" s="430"/>
      <c r="S1325" s="430"/>
      <c r="T1325" s="430"/>
      <c r="U1325" s="430"/>
      <c r="V1325" s="430"/>
      <c r="W1325" s="90"/>
      <c r="X1325" s="90"/>
      <c r="Y1325" s="90"/>
    </row>
    <row r="1326" spans="3:25" ht="15.75" customHeight="1">
      <c r="C1326" s="90"/>
      <c r="D1326" s="1900"/>
      <c r="E1326" s="1895"/>
      <c r="F1326" s="1896"/>
      <c r="G1326" s="1897"/>
      <c r="H1326" s="90"/>
      <c r="I1326" s="90"/>
      <c r="J1326" s="90"/>
      <c r="K1326" s="90"/>
      <c r="L1326" s="1901"/>
      <c r="M1326" s="643"/>
      <c r="N1326" s="643"/>
      <c r="O1326" s="658"/>
      <c r="P1326" s="658"/>
      <c r="Q1326" s="1899"/>
      <c r="R1326" s="430"/>
      <c r="S1326" s="430"/>
      <c r="T1326" s="430"/>
      <c r="U1326" s="430"/>
      <c r="V1326" s="430"/>
      <c r="W1326" s="90"/>
      <c r="X1326" s="90"/>
      <c r="Y1326" s="90"/>
    </row>
    <row r="1327" spans="3:25" ht="15.75" customHeight="1">
      <c r="C1327" s="90"/>
      <c r="D1327" s="1900"/>
      <c r="E1327" s="1895"/>
      <c r="F1327" s="1896"/>
      <c r="G1327" s="1897"/>
      <c r="H1327" s="90"/>
      <c r="I1327" s="90"/>
      <c r="J1327" s="90"/>
      <c r="K1327" s="90"/>
      <c r="L1327" s="1901"/>
      <c r="M1327" s="643"/>
      <c r="N1327" s="643"/>
      <c r="O1327" s="658"/>
      <c r="P1327" s="658"/>
      <c r="Q1327" s="1899"/>
      <c r="R1327" s="430"/>
      <c r="S1327" s="430"/>
      <c r="T1327" s="430"/>
      <c r="U1327" s="430"/>
      <c r="V1327" s="430"/>
      <c r="W1327" s="90"/>
      <c r="X1327" s="90"/>
      <c r="Y1327" s="90"/>
    </row>
    <row r="1328" spans="3:25" ht="15.75" customHeight="1">
      <c r="C1328" s="90"/>
      <c r="D1328" s="1900"/>
      <c r="E1328" s="1895"/>
      <c r="F1328" s="1896"/>
      <c r="G1328" s="1897"/>
      <c r="H1328" s="90"/>
      <c r="I1328" s="90"/>
      <c r="J1328" s="90"/>
      <c r="K1328" s="90"/>
      <c r="L1328" s="1901"/>
      <c r="M1328" s="643"/>
      <c r="N1328" s="643"/>
      <c r="O1328" s="658"/>
      <c r="P1328" s="658"/>
      <c r="Q1328" s="1899"/>
      <c r="R1328" s="430"/>
      <c r="S1328" s="430"/>
      <c r="T1328" s="430"/>
      <c r="U1328" s="430"/>
      <c r="V1328" s="430"/>
      <c r="W1328" s="90"/>
      <c r="X1328" s="90"/>
      <c r="Y1328" s="90"/>
    </row>
    <row r="1329" spans="3:25" ht="15.75" customHeight="1">
      <c r="C1329" s="90"/>
      <c r="D1329" s="1900"/>
      <c r="E1329" s="1895"/>
      <c r="F1329" s="1896"/>
      <c r="G1329" s="1897"/>
      <c r="H1329" s="90"/>
      <c r="I1329" s="90"/>
      <c r="J1329" s="90"/>
      <c r="K1329" s="90"/>
      <c r="L1329" s="1901"/>
      <c r="M1329" s="643"/>
      <c r="N1329" s="643"/>
      <c r="O1329" s="658"/>
      <c r="P1329" s="658"/>
      <c r="Q1329" s="1899"/>
      <c r="R1329" s="430"/>
      <c r="S1329" s="430"/>
      <c r="T1329" s="430"/>
      <c r="U1329" s="430"/>
      <c r="V1329" s="430"/>
      <c r="W1329" s="90"/>
      <c r="X1329" s="90"/>
      <c r="Y1329" s="90"/>
    </row>
    <row r="1330" spans="3:25" ht="15.75" customHeight="1">
      <c r="C1330" s="90"/>
      <c r="D1330" s="1900"/>
      <c r="E1330" s="1895"/>
      <c r="F1330" s="1896"/>
      <c r="G1330" s="1897"/>
      <c r="H1330" s="90"/>
      <c r="I1330" s="90"/>
      <c r="J1330" s="90"/>
      <c r="K1330" s="90"/>
      <c r="L1330" s="1901"/>
      <c r="M1330" s="643"/>
      <c r="N1330" s="643"/>
      <c r="O1330" s="658"/>
      <c r="P1330" s="658"/>
      <c r="Q1330" s="1899"/>
      <c r="R1330" s="430"/>
      <c r="S1330" s="430"/>
      <c r="T1330" s="430"/>
      <c r="U1330" s="430"/>
      <c r="V1330" s="430"/>
      <c r="W1330" s="90"/>
      <c r="X1330" s="90"/>
      <c r="Y1330" s="90"/>
    </row>
    <row r="1331" spans="3:25" ht="15.75" customHeight="1">
      <c r="C1331" s="90"/>
      <c r="D1331" s="1900"/>
      <c r="E1331" s="1895"/>
      <c r="F1331" s="1896"/>
      <c r="G1331" s="1897"/>
      <c r="H1331" s="90"/>
      <c r="I1331" s="90"/>
      <c r="J1331" s="90"/>
      <c r="K1331" s="90"/>
      <c r="L1331" s="1901"/>
      <c r="M1331" s="643"/>
      <c r="N1331" s="643"/>
      <c r="O1331" s="658"/>
      <c r="P1331" s="658"/>
      <c r="Q1331" s="1899"/>
      <c r="R1331" s="430"/>
      <c r="S1331" s="430"/>
      <c r="T1331" s="430"/>
      <c r="U1331" s="430"/>
      <c r="V1331" s="430"/>
      <c r="W1331" s="90"/>
      <c r="X1331" s="90"/>
      <c r="Y1331" s="90"/>
    </row>
    <row r="1332" spans="3:25" ht="15.75" customHeight="1">
      <c r="C1332" s="90"/>
      <c r="D1332" s="1900"/>
      <c r="E1332" s="1895"/>
      <c r="F1332" s="1896"/>
      <c r="G1332" s="1897"/>
      <c r="H1332" s="90"/>
      <c r="I1332" s="90"/>
      <c r="J1332" s="90"/>
      <c r="K1332" s="90"/>
      <c r="L1332" s="1901"/>
      <c r="M1332" s="643"/>
      <c r="N1332" s="643"/>
      <c r="O1332" s="658"/>
      <c r="P1332" s="658"/>
      <c r="Q1332" s="1899"/>
      <c r="R1332" s="430"/>
      <c r="S1332" s="430"/>
      <c r="T1332" s="430"/>
      <c r="U1332" s="430"/>
      <c r="V1332" s="430"/>
      <c r="W1332" s="90"/>
      <c r="X1332" s="90"/>
      <c r="Y1332" s="90"/>
    </row>
    <row r="1333" spans="3:25" ht="15.75" customHeight="1">
      <c r="C1333" s="90"/>
      <c r="D1333" s="1900"/>
      <c r="E1333" s="1895"/>
      <c r="F1333" s="1896"/>
      <c r="G1333" s="1897"/>
      <c r="H1333" s="90"/>
      <c r="I1333" s="90"/>
      <c r="J1333" s="90"/>
      <c r="K1333" s="90"/>
      <c r="L1333" s="1901"/>
      <c r="M1333" s="643"/>
      <c r="N1333" s="643"/>
      <c r="O1333" s="658"/>
      <c r="P1333" s="658"/>
      <c r="Q1333" s="1899"/>
      <c r="R1333" s="430"/>
      <c r="S1333" s="430"/>
      <c r="T1333" s="430"/>
      <c r="U1333" s="430"/>
      <c r="V1333" s="430"/>
      <c r="W1333" s="90"/>
      <c r="X1333" s="90"/>
      <c r="Y1333" s="90"/>
    </row>
    <row r="1334" spans="3:25" ht="15.75" customHeight="1">
      <c r="C1334" s="90"/>
      <c r="D1334" s="1900"/>
      <c r="E1334" s="1895"/>
      <c r="F1334" s="1896"/>
      <c r="G1334" s="1897"/>
      <c r="H1334" s="90"/>
      <c r="I1334" s="90"/>
      <c r="J1334" s="90"/>
      <c r="K1334" s="90"/>
      <c r="L1334" s="1901"/>
      <c r="M1334" s="643"/>
      <c r="N1334" s="643"/>
      <c r="O1334" s="658"/>
      <c r="P1334" s="658"/>
      <c r="Q1334" s="1899"/>
      <c r="R1334" s="430"/>
      <c r="S1334" s="430"/>
      <c r="T1334" s="430"/>
      <c r="U1334" s="430"/>
      <c r="V1334" s="430"/>
      <c r="W1334" s="90"/>
      <c r="X1334" s="90"/>
      <c r="Y1334" s="90"/>
    </row>
    <row r="1335" spans="3:25" ht="15.75" customHeight="1">
      <c r="C1335" s="90"/>
      <c r="D1335" s="1900"/>
      <c r="E1335" s="1895"/>
      <c r="F1335" s="1896"/>
      <c r="G1335" s="1897"/>
      <c r="H1335" s="90"/>
      <c r="I1335" s="90"/>
      <c r="J1335" s="90"/>
      <c r="K1335" s="90"/>
      <c r="L1335" s="1901"/>
      <c r="M1335" s="643"/>
      <c r="N1335" s="643"/>
      <c r="O1335" s="658"/>
      <c r="P1335" s="658"/>
      <c r="Q1335" s="1899"/>
      <c r="R1335" s="430"/>
      <c r="S1335" s="430"/>
      <c r="T1335" s="430"/>
      <c r="U1335" s="430"/>
      <c r="V1335" s="430"/>
      <c r="W1335" s="90"/>
      <c r="X1335" s="90"/>
      <c r="Y1335" s="90"/>
    </row>
    <row r="1336" spans="3:25" ht="15.75" customHeight="1">
      <c r="C1336" s="90"/>
      <c r="D1336" s="1900"/>
      <c r="E1336" s="1895"/>
      <c r="F1336" s="1896"/>
      <c r="G1336" s="1897"/>
      <c r="H1336" s="90"/>
      <c r="I1336" s="90"/>
      <c r="J1336" s="90"/>
      <c r="K1336" s="90"/>
      <c r="L1336" s="1901"/>
      <c r="M1336" s="643"/>
      <c r="N1336" s="643"/>
      <c r="O1336" s="658"/>
      <c r="P1336" s="658"/>
      <c r="Q1336" s="1899"/>
      <c r="R1336" s="430"/>
      <c r="S1336" s="430"/>
      <c r="T1336" s="430"/>
      <c r="U1336" s="430"/>
      <c r="V1336" s="430"/>
      <c r="W1336" s="90"/>
      <c r="X1336" s="90"/>
      <c r="Y1336" s="90"/>
    </row>
    <row r="1337" spans="3:25" ht="15.75" customHeight="1">
      <c r="C1337" s="90"/>
      <c r="D1337" s="1900"/>
      <c r="E1337" s="1895"/>
      <c r="F1337" s="1896"/>
      <c r="G1337" s="1897"/>
      <c r="H1337" s="90"/>
      <c r="I1337" s="90"/>
      <c r="J1337" s="90"/>
      <c r="K1337" s="90"/>
      <c r="L1337" s="1901"/>
      <c r="M1337" s="643"/>
      <c r="N1337" s="643"/>
      <c r="O1337" s="658"/>
      <c r="P1337" s="658"/>
      <c r="Q1337" s="1899"/>
      <c r="R1337" s="430"/>
      <c r="S1337" s="430"/>
      <c r="T1337" s="430"/>
      <c r="U1337" s="430"/>
      <c r="V1337" s="430"/>
      <c r="W1337" s="90"/>
      <c r="X1337" s="90"/>
      <c r="Y1337" s="90"/>
    </row>
    <row r="1338" spans="3:25" ht="15.75" customHeight="1">
      <c r="C1338" s="90"/>
      <c r="D1338" s="1900"/>
      <c r="E1338" s="1895"/>
      <c r="F1338" s="1896"/>
      <c r="G1338" s="1897"/>
      <c r="H1338" s="90"/>
      <c r="I1338" s="90"/>
      <c r="J1338" s="90"/>
      <c r="K1338" s="90"/>
      <c r="L1338" s="1901"/>
      <c r="M1338" s="643"/>
      <c r="N1338" s="643"/>
      <c r="O1338" s="658"/>
      <c r="P1338" s="658"/>
      <c r="Q1338" s="1899"/>
      <c r="R1338" s="430"/>
      <c r="S1338" s="430"/>
      <c r="T1338" s="430"/>
      <c r="U1338" s="430"/>
      <c r="V1338" s="430"/>
      <c r="W1338" s="90"/>
      <c r="X1338" s="90"/>
      <c r="Y1338" s="90"/>
    </row>
    <row r="1339" spans="3:25" ht="15.75" customHeight="1">
      <c r="C1339" s="90"/>
      <c r="D1339" s="1900"/>
      <c r="E1339" s="1895"/>
      <c r="F1339" s="1896"/>
      <c r="G1339" s="1897"/>
      <c r="H1339" s="90"/>
      <c r="I1339" s="90"/>
      <c r="J1339" s="90"/>
      <c r="K1339" s="90"/>
      <c r="L1339" s="1901"/>
      <c r="M1339" s="643"/>
      <c r="N1339" s="643"/>
      <c r="O1339" s="658"/>
      <c r="P1339" s="658"/>
      <c r="Q1339" s="1899"/>
      <c r="R1339" s="430"/>
      <c r="S1339" s="430"/>
      <c r="T1339" s="430"/>
      <c r="U1339" s="430"/>
      <c r="V1339" s="430"/>
      <c r="W1339" s="90"/>
      <c r="X1339" s="90"/>
      <c r="Y1339" s="90"/>
    </row>
    <row r="1340" spans="3:25" ht="15.75" customHeight="1">
      <c r="C1340" s="90"/>
      <c r="D1340" s="1900"/>
      <c r="E1340" s="1895"/>
      <c r="F1340" s="1896"/>
      <c r="G1340" s="1897"/>
      <c r="H1340" s="90"/>
      <c r="I1340" s="90"/>
      <c r="J1340" s="90"/>
      <c r="K1340" s="90"/>
      <c r="L1340" s="1901"/>
      <c r="M1340" s="643"/>
      <c r="N1340" s="643"/>
      <c r="O1340" s="658"/>
      <c r="P1340" s="658"/>
      <c r="Q1340" s="1899"/>
      <c r="R1340" s="430"/>
      <c r="S1340" s="430"/>
      <c r="T1340" s="430"/>
      <c r="U1340" s="430"/>
      <c r="V1340" s="430"/>
      <c r="W1340" s="90"/>
      <c r="X1340" s="90"/>
      <c r="Y1340" s="90"/>
    </row>
    <row r="1341" spans="3:25" ht="15.75" customHeight="1">
      <c r="C1341" s="90"/>
      <c r="D1341" s="1900"/>
      <c r="E1341" s="1895"/>
      <c r="F1341" s="1896"/>
      <c r="G1341" s="1897"/>
      <c r="H1341" s="90"/>
      <c r="I1341" s="90"/>
      <c r="J1341" s="90"/>
      <c r="K1341" s="90"/>
      <c r="L1341" s="1901"/>
      <c r="M1341" s="643"/>
      <c r="N1341" s="643"/>
      <c r="O1341" s="658"/>
      <c r="P1341" s="658"/>
      <c r="Q1341" s="1899"/>
      <c r="R1341" s="430"/>
      <c r="S1341" s="430"/>
      <c r="T1341" s="430"/>
      <c r="U1341" s="430"/>
      <c r="V1341" s="430"/>
      <c r="W1341" s="90"/>
      <c r="X1341" s="90"/>
      <c r="Y1341" s="90"/>
    </row>
    <row r="1342" spans="3:25" ht="15.75" customHeight="1">
      <c r="C1342" s="90"/>
      <c r="D1342" s="1900"/>
      <c r="E1342" s="1895"/>
      <c r="F1342" s="1896"/>
      <c r="G1342" s="1897"/>
      <c r="H1342" s="90"/>
      <c r="I1342" s="90"/>
      <c r="J1342" s="90"/>
      <c r="K1342" s="90"/>
      <c r="L1342" s="1901"/>
      <c r="M1342" s="643"/>
      <c r="N1342" s="643"/>
      <c r="O1342" s="658"/>
      <c r="P1342" s="658"/>
      <c r="Q1342" s="1899"/>
      <c r="R1342" s="430"/>
      <c r="S1342" s="430"/>
      <c r="T1342" s="430"/>
      <c r="U1342" s="430"/>
      <c r="V1342" s="430"/>
      <c r="W1342" s="90"/>
      <c r="X1342" s="90"/>
      <c r="Y1342" s="90"/>
    </row>
    <row r="1343" spans="3:25" ht="15.75" customHeight="1">
      <c r="C1343" s="90"/>
      <c r="D1343" s="1900"/>
      <c r="E1343" s="1895"/>
      <c r="F1343" s="1896"/>
      <c r="G1343" s="1897"/>
      <c r="H1343" s="90"/>
      <c r="I1343" s="90"/>
      <c r="J1343" s="90"/>
      <c r="K1343" s="90"/>
      <c r="L1343" s="1901"/>
      <c r="M1343" s="643"/>
      <c r="N1343" s="643"/>
      <c r="O1343" s="658"/>
      <c r="P1343" s="658"/>
      <c r="Q1343" s="1899"/>
      <c r="R1343" s="430"/>
      <c r="S1343" s="430"/>
      <c r="T1343" s="430"/>
      <c r="U1343" s="430"/>
      <c r="V1343" s="430"/>
      <c r="W1343" s="90"/>
      <c r="X1343" s="90"/>
      <c r="Y1343" s="90"/>
    </row>
    <row r="1344" spans="3:25" ht="15.75" customHeight="1">
      <c r="C1344" s="90"/>
      <c r="D1344" s="1900"/>
      <c r="E1344" s="1895"/>
      <c r="F1344" s="1896"/>
      <c r="G1344" s="1897"/>
      <c r="H1344" s="90"/>
      <c r="I1344" s="90"/>
      <c r="J1344" s="90"/>
      <c r="K1344" s="90"/>
      <c r="L1344" s="1901"/>
      <c r="M1344" s="643"/>
      <c r="N1344" s="643"/>
      <c r="O1344" s="658"/>
      <c r="P1344" s="658"/>
      <c r="Q1344" s="1899"/>
      <c r="R1344" s="430"/>
      <c r="S1344" s="430"/>
      <c r="T1344" s="430"/>
      <c r="U1344" s="430"/>
      <c r="V1344" s="430"/>
      <c r="W1344" s="90"/>
      <c r="X1344" s="90"/>
      <c r="Y1344" s="90"/>
    </row>
    <row r="1345" spans="3:25" ht="15.75" customHeight="1">
      <c r="C1345" s="90"/>
      <c r="D1345" s="1900"/>
      <c r="E1345" s="1895"/>
      <c r="F1345" s="1896"/>
      <c r="G1345" s="1897"/>
      <c r="H1345" s="90"/>
      <c r="I1345" s="90"/>
      <c r="J1345" s="90"/>
      <c r="K1345" s="90"/>
      <c r="L1345" s="1901"/>
      <c r="M1345" s="643"/>
      <c r="N1345" s="643"/>
      <c r="O1345" s="658"/>
      <c r="P1345" s="658"/>
      <c r="Q1345" s="1899"/>
      <c r="R1345" s="430"/>
      <c r="S1345" s="430"/>
      <c r="T1345" s="430"/>
      <c r="U1345" s="430"/>
      <c r="V1345" s="430"/>
      <c r="W1345" s="90"/>
      <c r="X1345" s="90"/>
      <c r="Y1345" s="90"/>
    </row>
    <row r="1346" spans="3:25" ht="15.75" customHeight="1">
      <c r="C1346" s="90"/>
      <c r="D1346" s="1900"/>
      <c r="E1346" s="1895"/>
      <c r="F1346" s="1896"/>
      <c r="G1346" s="1897"/>
      <c r="H1346" s="90"/>
      <c r="I1346" s="90"/>
      <c r="J1346" s="90"/>
      <c r="K1346" s="90"/>
      <c r="L1346" s="1901"/>
      <c r="M1346" s="643"/>
      <c r="N1346" s="643"/>
      <c r="O1346" s="658"/>
      <c r="P1346" s="658"/>
      <c r="Q1346" s="1899"/>
      <c r="R1346" s="430"/>
      <c r="S1346" s="430"/>
      <c r="T1346" s="430"/>
      <c r="U1346" s="430"/>
      <c r="V1346" s="430"/>
      <c r="W1346" s="90"/>
      <c r="X1346" s="90"/>
      <c r="Y1346" s="90"/>
    </row>
    <row r="1347" spans="3:25" ht="15.75" customHeight="1">
      <c r="C1347" s="90"/>
      <c r="D1347" s="1900"/>
      <c r="E1347" s="1895"/>
      <c r="F1347" s="1896"/>
      <c r="G1347" s="1897"/>
      <c r="H1347" s="90"/>
      <c r="I1347" s="90"/>
      <c r="J1347" s="90"/>
      <c r="K1347" s="90"/>
      <c r="L1347" s="1901"/>
      <c r="M1347" s="643"/>
      <c r="N1347" s="643"/>
      <c r="O1347" s="658"/>
      <c r="P1347" s="658"/>
      <c r="Q1347" s="1899"/>
      <c r="R1347" s="430"/>
      <c r="S1347" s="430"/>
      <c r="T1347" s="430"/>
      <c r="U1347" s="430"/>
      <c r="V1347" s="430"/>
      <c r="W1347" s="90"/>
      <c r="X1347" s="90"/>
      <c r="Y1347" s="90"/>
    </row>
    <row r="1348" spans="3:25" ht="15.75" customHeight="1">
      <c r="C1348" s="90"/>
      <c r="D1348" s="1900"/>
      <c r="E1348" s="1895"/>
      <c r="F1348" s="1896"/>
      <c r="G1348" s="1897"/>
      <c r="H1348" s="90"/>
      <c r="I1348" s="90"/>
      <c r="J1348" s="90"/>
      <c r="K1348" s="90"/>
      <c r="L1348" s="1901"/>
      <c r="M1348" s="643"/>
      <c r="N1348" s="643"/>
      <c r="O1348" s="658"/>
      <c r="P1348" s="658"/>
      <c r="Q1348" s="1899"/>
      <c r="R1348" s="430"/>
      <c r="S1348" s="430"/>
      <c r="T1348" s="430"/>
      <c r="U1348" s="430"/>
      <c r="V1348" s="430"/>
      <c r="W1348" s="90"/>
      <c r="X1348" s="90"/>
      <c r="Y1348" s="90"/>
    </row>
    <row r="1349" spans="3:25" ht="15.75" customHeight="1">
      <c r="C1349" s="90"/>
      <c r="D1349" s="1900"/>
      <c r="E1349" s="1895"/>
      <c r="F1349" s="1896"/>
      <c r="G1349" s="1897"/>
      <c r="H1349" s="90"/>
      <c r="I1349" s="90"/>
      <c r="J1349" s="90"/>
      <c r="K1349" s="90"/>
      <c r="L1349" s="1901"/>
      <c r="M1349" s="643"/>
      <c r="N1349" s="643"/>
      <c r="O1349" s="658"/>
      <c r="P1349" s="658"/>
      <c r="Q1349" s="1899"/>
      <c r="R1349" s="430"/>
      <c r="S1349" s="430"/>
      <c r="T1349" s="430"/>
      <c r="U1349" s="430"/>
      <c r="V1349" s="430"/>
      <c r="W1349" s="90"/>
      <c r="X1349" s="90"/>
      <c r="Y1349" s="90"/>
    </row>
    <row r="1350" spans="3:25" ht="15.75" customHeight="1">
      <c r="C1350" s="90"/>
      <c r="D1350" s="1900"/>
      <c r="E1350" s="1895"/>
      <c r="F1350" s="1896"/>
      <c r="G1350" s="1897"/>
      <c r="H1350" s="90"/>
      <c r="I1350" s="90"/>
      <c r="J1350" s="90"/>
      <c r="K1350" s="90"/>
      <c r="L1350" s="1901"/>
      <c r="M1350" s="643"/>
      <c r="N1350" s="643"/>
      <c r="O1350" s="658"/>
      <c r="P1350" s="658"/>
      <c r="Q1350" s="1899"/>
      <c r="R1350" s="430"/>
      <c r="S1350" s="430"/>
      <c r="T1350" s="430"/>
      <c r="U1350" s="430"/>
      <c r="V1350" s="430"/>
      <c r="W1350" s="90"/>
      <c r="X1350" s="90"/>
      <c r="Y1350" s="90"/>
    </row>
    <row r="1351" spans="3:25" ht="15.75" customHeight="1">
      <c r="C1351" s="90"/>
      <c r="D1351" s="1900"/>
      <c r="E1351" s="1895"/>
      <c r="F1351" s="1896"/>
      <c r="G1351" s="1897"/>
      <c r="H1351" s="90"/>
      <c r="I1351" s="90"/>
      <c r="J1351" s="90"/>
      <c r="K1351" s="90"/>
      <c r="L1351" s="1901"/>
      <c r="M1351" s="643"/>
      <c r="N1351" s="643"/>
      <c r="O1351" s="658"/>
      <c r="P1351" s="658"/>
      <c r="Q1351" s="1899"/>
      <c r="R1351" s="430"/>
      <c r="S1351" s="430"/>
      <c r="T1351" s="430"/>
      <c r="U1351" s="430"/>
      <c r="V1351" s="430"/>
      <c r="W1351" s="90"/>
      <c r="X1351" s="90"/>
      <c r="Y1351" s="90"/>
    </row>
    <row r="1352" spans="3:25" ht="15.75" customHeight="1">
      <c r="C1352" s="90"/>
      <c r="D1352" s="1900"/>
      <c r="E1352" s="1895"/>
      <c r="F1352" s="1896"/>
      <c r="G1352" s="1897"/>
      <c r="H1352" s="90"/>
      <c r="I1352" s="90"/>
      <c r="J1352" s="90"/>
      <c r="K1352" s="90"/>
      <c r="L1352" s="1901"/>
      <c r="M1352" s="643"/>
      <c r="N1352" s="643"/>
      <c r="O1352" s="658"/>
      <c r="P1352" s="658"/>
      <c r="Q1352" s="1899"/>
      <c r="R1352" s="430"/>
      <c r="S1352" s="430"/>
      <c r="T1352" s="430"/>
      <c r="U1352" s="430"/>
      <c r="V1352" s="430"/>
      <c r="W1352" s="90"/>
      <c r="X1352" s="90"/>
      <c r="Y1352" s="90"/>
    </row>
    <row r="1353" spans="3:25" ht="15.75" customHeight="1">
      <c r="C1353" s="90"/>
      <c r="D1353" s="1900"/>
      <c r="E1353" s="1895"/>
      <c r="F1353" s="1896"/>
      <c r="G1353" s="1897"/>
      <c r="H1353" s="90"/>
      <c r="I1353" s="90"/>
      <c r="J1353" s="90"/>
      <c r="K1353" s="90"/>
      <c r="L1353" s="1901"/>
      <c r="M1353" s="643"/>
      <c r="N1353" s="643"/>
      <c r="O1353" s="658"/>
      <c r="P1353" s="658"/>
      <c r="Q1353" s="1899"/>
      <c r="R1353" s="430"/>
      <c r="S1353" s="430"/>
      <c r="T1353" s="430"/>
      <c r="U1353" s="430"/>
      <c r="V1353" s="430"/>
      <c r="W1353" s="90"/>
      <c r="X1353" s="90"/>
      <c r="Y1353" s="90"/>
    </row>
    <row r="1354" spans="3:25" ht="15.75" customHeight="1">
      <c r="C1354" s="90"/>
      <c r="D1354" s="1900"/>
      <c r="E1354" s="1895"/>
      <c r="F1354" s="1896"/>
      <c r="G1354" s="1897"/>
      <c r="H1354" s="90"/>
      <c r="I1354" s="90"/>
      <c r="J1354" s="90"/>
      <c r="K1354" s="90"/>
      <c r="L1354" s="1901"/>
      <c r="M1354" s="643"/>
      <c r="N1354" s="643"/>
      <c r="O1354" s="658"/>
      <c r="P1354" s="658"/>
      <c r="Q1354" s="1899"/>
      <c r="R1354" s="430"/>
      <c r="S1354" s="430"/>
      <c r="T1354" s="430"/>
      <c r="U1354" s="430"/>
      <c r="V1354" s="430"/>
      <c r="W1354" s="90"/>
      <c r="X1354" s="90"/>
      <c r="Y1354" s="90"/>
    </row>
    <row r="1355" spans="3:25" ht="15.75" customHeight="1">
      <c r="C1355" s="90"/>
      <c r="D1355" s="1900"/>
      <c r="E1355" s="1895"/>
      <c r="F1355" s="1896"/>
      <c r="G1355" s="1897"/>
      <c r="H1355" s="90"/>
      <c r="I1355" s="90"/>
      <c r="J1355" s="90"/>
      <c r="K1355" s="90"/>
      <c r="L1355" s="1901"/>
      <c r="M1355" s="643"/>
      <c r="N1355" s="643"/>
      <c r="O1355" s="658"/>
      <c r="P1355" s="658"/>
      <c r="Q1355" s="1899"/>
      <c r="R1355" s="430"/>
      <c r="S1355" s="430"/>
      <c r="T1355" s="430"/>
      <c r="U1355" s="430"/>
      <c r="V1355" s="430"/>
      <c r="W1355" s="90"/>
      <c r="X1355" s="90"/>
      <c r="Y1355" s="90"/>
    </row>
    <row r="1356" spans="3:25" ht="15.75" customHeight="1">
      <c r="C1356" s="90"/>
      <c r="D1356" s="1900"/>
      <c r="E1356" s="1895"/>
      <c r="F1356" s="1896"/>
      <c r="G1356" s="1897"/>
      <c r="H1356" s="90"/>
      <c r="I1356" s="90"/>
      <c r="J1356" s="90"/>
      <c r="K1356" s="90"/>
      <c r="L1356" s="1901"/>
      <c r="M1356" s="643"/>
      <c r="N1356" s="643"/>
      <c r="O1356" s="658"/>
      <c r="P1356" s="658"/>
      <c r="Q1356" s="1899"/>
      <c r="R1356" s="430"/>
      <c r="S1356" s="430"/>
      <c r="T1356" s="430"/>
      <c r="U1356" s="430"/>
      <c r="V1356" s="430"/>
      <c r="W1356" s="90"/>
      <c r="X1356" s="90"/>
      <c r="Y1356" s="90"/>
    </row>
    <row r="1357" spans="3:25" ht="15.75" customHeight="1">
      <c r="C1357" s="90"/>
      <c r="D1357" s="1900"/>
      <c r="E1357" s="1895"/>
      <c r="F1357" s="1896"/>
      <c r="G1357" s="1897"/>
      <c r="H1357" s="90"/>
      <c r="I1357" s="90"/>
      <c r="J1357" s="90"/>
      <c r="K1357" s="90"/>
      <c r="L1357" s="1901"/>
      <c r="M1357" s="643"/>
      <c r="N1357" s="643"/>
      <c r="O1357" s="658"/>
      <c r="P1357" s="658"/>
      <c r="Q1357" s="1899"/>
      <c r="R1357" s="430"/>
      <c r="S1357" s="430"/>
      <c r="T1357" s="430"/>
      <c r="U1357" s="430"/>
      <c r="V1357" s="430"/>
      <c r="W1357" s="90"/>
      <c r="X1357" s="90"/>
      <c r="Y1357" s="90"/>
    </row>
    <row r="1358" spans="3:25" ht="15.75" customHeight="1">
      <c r="C1358" s="90"/>
      <c r="D1358" s="1900"/>
      <c r="E1358" s="1895"/>
      <c r="F1358" s="1896"/>
      <c r="G1358" s="1897"/>
      <c r="H1358" s="90"/>
      <c r="I1358" s="90"/>
      <c r="J1358" s="90"/>
      <c r="K1358" s="90"/>
      <c r="L1358" s="1901"/>
      <c r="M1358" s="643"/>
      <c r="N1358" s="643"/>
      <c r="O1358" s="658"/>
      <c r="P1358" s="658"/>
      <c r="Q1358" s="1899"/>
      <c r="R1358" s="430"/>
      <c r="S1358" s="430"/>
      <c r="T1358" s="430"/>
      <c r="U1358" s="430"/>
      <c r="V1358" s="430"/>
      <c r="W1358" s="90"/>
      <c r="X1358" s="90"/>
      <c r="Y1358" s="90"/>
    </row>
    <row r="1359" spans="3:25" ht="15.75" customHeight="1">
      <c r="C1359" s="90"/>
      <c r="D1359" s="1900"/>
      <c r="E1359" s="1895"/>
      <c r="F1359" s="1896"/>
      <c r="G1359" s="1897"/>
      <c r="H1359" s="90"/>
      <c r="I1359" s="90"/>
      <c r="J1359" s="90"/>
      <c r="K1359" s="90"/>
      <c r="L1359" s="1901"/>
      <c r="M1359" s="643"/>
      <c r="N1359" s="643"/>
      <c r="O1359" s="658"/>
      <c r="P1359" s="658"/>
      <c r="Q1359" s="1899"/>
      <c r="R1359" s="430"/>
      <c r="S1359" s="430"/>
      <c r="T1359" s="430"/>
      <c r="U1359" s="430"/>
      <c r="V1359" s="430"/>
      <c r="W1359" s="90"/>
      <c r="X1359" s="90"/>
      <c r="Y1359" s="90"/>
    </row>
    <row r="1360" spans="3:25" ht="15.75" customHeight="1">
      <c r="C1360" s="90"/>
      <c r="D1360" s="1900"/>
      <c r="E1360" s="1895"/>
      <c r="F1360" s="1896"/>
      <c r="G1360" s="1897"/>
      <c r="H1360" s="90"/>
      <c r="I1360" s="90"/>
      <c r="J1360" s="90"/>
      <c r="K1360" s="90"/>
      <c r="L1360" s="1901"/>
      <c r="M1360" s="643"/>
      <c r="N1360" s="643"/>
      <c r="O1360" s="658"/>
      <c r="P1360" s="658"/>
      <c r="Q1360" s="1899"/>
      <c r="R1360" s="430"/>
      <c r="S1360" s="430"/>
      <c r="T1360" s="430"/>
      <c r="U1360" s="430"/>
      <c r="V1360" s="430"/>
      <c r="W1360" s="90"/>
      <c r="X1360" s="90"/>
      <c r="Y1360" s="90"/>
    </row>
    <row r="1361" spans="3:25" ht="15.75" customHeight="1">
      <c r="C1361" s="90"/>
      <c r="D1361" s="1900"/>
      <c r="E1361" s="1895"/>
      <c r="F1361" s="1896"/>
      <c r="G1361" s="1897"/>
      <c r="H1361" s="90"/>
      <c r="I1361" s="90"/>
      <c r="J1361" s="90"/>
      <c r="K1361" s="90"/>
      <c r="L1361" s="1901"/>
      <c r="M1361" s="643"/>
      <c r="N1361" s="643"/>
      <c r="O1361" s="658"/>
      <c r="P1361" s="658"/>
      <c r="Q1361" s="1899"/>
      <c r="R1361" s="430"/>
      <c r="S1361" s="430"/>
      <c r="T1361" s="430"/>
      <c r="U1361" s="430"/>
      <c r="V1361" s="430"/>
      <c r="W1361" s="90"/>
      <c r="X1361" s="90"/>
      <c r="Y1361" s="90"/>
    </row>
    <row r="1362" spans="3:25" ht="15.75" customHeight="1">
      <c r="C1362" s="90"/>
      <c r="D1362" s="1900"/>
      <c r="E1362" s="1895"/>
      <c r="F1362" s="1896"/>
      <c r="G1362" s="1897"/>
      <c r="H1362" s="90"/>
      <c r="I1362" s="90"/>
      <c r="J1362" s="90"/>
      <c r="K1362" s="90"/>
      <c r="L1362" s="1901"/>
      <c r="M1362" s="643"/>
      <c r="N1362" s="643"/>
      <c r="O1362" s="658"/>
      <c r="P1362" s="658"/>
      <c r="Q1362" s="1899"/>
      <c r="R1362" s="430"/>
      <c r="S1362" s="430"/>
      <c r="T1362" s="430"/>
      <c r="U1362" s="430"/>
      <c r="V1362" s="430"/>
      <c r="W1362" s="90"/>
      <c r="X1362" s="90"/>
      <c r="Y1362" s="90"/>
    </row>
    <row r="1363" spans="3:25" ht="15.75" customHeight="1">
      <c r="C1363" s="90"/>
      <c r="D1363" s="1900"/>
      <c r="E1363" s="1895"/>
      <c r="F1363" s="1896"/>
      <c r="G1363" s="1897"/>
      <c r="H1363" s="90"/>
      <c r="I1363" s="90"/>
      <c r="J1363" s="90"/>
      <c r="K1363" s="90"/>
      <c r="L1363" s="1901"/>
      <c r="M1363" s="643"/>
      <c r="N1363" s="643"/>
      <c r="O1363" s="658"/>
      <c r="P1363" s="658"/>
      <c r="Q1363" s="1899"/>
      <c r="R1363" s="430"/>
      <c r="S1363" s="430"/>
      <c r="T1363" s="430"/>
      <c r="U1363" s="430"/>
      <c r="V1363" s="430"/>
      <c r="W1363" s="90"/>
      <c r="X1363" s="90"/>
      <c r="Y1363" s="90"/>
    </row>
    <row r="1364" spans="3:25" ht="15.75" customHeight="1">
      <c r="C1364" s="90"/>
      <c r="D1364" s="1900"/>
      <c r="E1364" s="1895"/>
      <c r="F1364" s="1896"/>
      <c r="G1364" s="1897"/>
      <c r="H1364" s="90"/>
      <c r="I1364" s="90"/>
      <c r="J1364" s="90"/>
      <c r="K1364" s="90"/>
      <c r="L1364" s="1901"/>
      <c r="M1364" s="643"/>
      <c r="N1364" s="643"/>
      <c r="O1364" s="658"/>
      <c r="P1364" s="658"/>
      <c r="Q1364" s="1899"/>
      <c r="R1364" s="430"/>
      <c r="S1364" s="430"/>
      <c r="T1364" s="430"/>
      <c r="U1364" s="430"/>
      <c r="V1364" s="430"/>
      <c r="W1364" s="90"/>
      <c r="X1364" s="90"/>
      <c r="Y1364" s="90"/>
    </row>
    <row r="1365" spans="3:25" ht="15.75" customHeight="1">
      <c r="C1365" s="90"/>
      <c r="D1365" s="1900"/>
      <c r="E1365" s="1895"/>
      <c r="F1365" s="1896"/>
      <c r="G1365" s="1897"/>
      <c r="H1365" s="90"/>
      <c r="I1365" s="90"/>
      <c r="J1365" s="90"/>
      <c r="K1365" s="90"/>
      <c r="L1365" s="1901"/>
      <c r="M1365" s="643"/>
      <c r="N1365" s="643"/>
      <c r="O1365" s="658"/>
      <c r="P1365" s="658"/>
      <c r="Q1365" s="1899"/>
      <c r="R1365" s="430"/>
      <c r="S1365" s="430"/>
      <c r="T1365" s="430"/>
      <c r="U1365" s="430"/>
      <c r="V1365" s="430"/>
      <c r="W1365" s="90"/>
      <c r="X1365" s="90"/>
      <c r="Y1365" s="90"/>
    </row>
    <row r="1366" spans="3:25" ht="15.75" customHeight="1">
      <c r="C1366" s="90"/>
      <c r="D1366" s="1900"/>
      <c r="E1366" s="1895"/>
      <c r="F1366" s="1896"/>
      <c r="G1366" s="1897"/>
      <c r="H1366" s="90"/>
      <c r="I1366" s="90"/>
      <c r="J1366" s="90"/>
      <c r="K1366" s="90"/>
      <c r="L1366" s="1901"/>
      <c r="M1366" s="643"/>
      <c r="N1366" s="643"/>
      <c r="O1366" s="658"/>
      <c r="P1366" s="658"/>
      <c r="Q1366" s="1899"/>
      <c r="R1366" s="430"/>
      <c r="S1366" s="430"/>
      <c r="T1366" s="430"/>
      <c r="U1366" s="430"/>
      <c r="V1366" s="430"/>
      <c r="W1366" s="90"/>
      <c r="X1366" s="90"/>
      <c r="Y1366" s="90"/>
    </row>
    <row r="1367" spans="3:25" ht="15.75" customHeight="1">
      <c r="C1367" s="90"/>
      <c r="D1367" s="1900"/>
      <c r="E1367" s="1895"/>
      <c r="F1367" s="1896"/>
      <c r="G1367" s="1897"/>
      <c r="H1367" s="90"/>
      <c r="I1367" s="90"/>
      <c r="J1367" s="90"/>
      <c r="K1367" s="90"/>
      <c r="L1367" s="1901"/>
      <c r="M1367" s="643"/>
      <c r="N1367" s="643"/>
      <c r="O1367" s="658"/>
      <c r="P1367" s="658"/>
      <c r="Q1367" s="1899"/>
      <c r="R1367" s="430"/>
      <c r="S1367" s="430"/>
      <c r="T1367" s="430"/>
      <c r="U1367" s="430"/>
      <c r="V1367" s="430"/>
      <c r="W1367" s="90"/>
      <c r="X1367" s="90"/>
      <c r="Y1367" s="90"/>
    </row>
    <row r="1368" spans="3:25" ht="15.75" customHeight="1">
      <c r="C1368" s="90"/>
      <c r="D1368" s="1900"/>
      <c r="E1368" s="1895"/>
      <c r="F1368" s="1896"/>
      <c r="G1368" s="1897"/>
      <c r="H1368" s="90"/>
      <c r="I1368" s="90"/>
      <c r="J1368" s="90"/>
      <c r="K1368" s="90"/>
      <c r="L1368" s="1901"/>
      <c r="M1368" s="643"/>
      <c r="N1368" s="643"/>
      <c r="O1368" s="658"/>
      <c r="P1368" s="658"/>
      <c r="Q1368" s="1899"/>
      <c r="R1368" s="430"/>
      <c r="S1368" s="430"/>
      <c r="T1368" s="430"/>
      <c r="U1368" s="430"/>
      <c r="V1368" s="430"/>
      <c r="W1368" s="90"/>
      <c r="X1368" s="90"/>
      <c r="Y1368" s="90"/>
    </row>
    <row r="1369" spans="3:25" ht="15.75" customHeight="1">
      <c r="C1369" s="90"/>
      <c r="D1369" s="1900"/>
      <c r="E1369" s="1895"/>
      <c r="F1369" s="1896"/>
      <c r="G1369" s="1897"/>
      <c r="H1369" s="90"/>
      <c r="I1369" s="90"/>
      <c r="J1369" s="90"/>
      <c r="K1369" s="90"/>
      <c r="L1369" s="1901"/>
      <c r="M1369" s="643"/>
      <c r="N1369" s="643"/>
      <c r="O1369" s="658"/>
      <c r="P1369" s="658"/>
      <c r="Q1369" s="1899"/>
      <c r="R1369" s="430"/>
      <c r="S1369" s="430"/>
      <c r="T1369" s="430"/>
      <c r="U1369" s="430"/>
      <c r="V1369" s="430"/>
      <c r="W1369" s="90"/>
      <c r="X1369" s="90"/>
      <c r="Y1369" s="90"/>
    </row>
    <row r="1370" spans="3:25" ht="15.75" customHeight="1">
      <c r="C1370" s="90"/>
      <c r="D1370" s="1900"/>
      <c r="E1370" s="1895"/>
      <c r="F1370" s="1896"/>
      <c r="G1370" s="1897"/>
      <c r="H1370" s="90"/>
      <c r="I1370" s="90"/>
      <c r="J1370" s="90"/>
      <c r="K1370" s="90"/>
      <c r="L1370" s="1901"/>
      <c r="M1370" s="643"/>
      <c r="N1370" s="643"/>
      <c r="O1370" s="658"/>
      <c r="P1370" s="658"/>
      <c r="Q1370" s="1899"/>
      <c r="R1370" s="430"/>
      <c r="S1370" s="430"/>
      <c r="T1370" s="430"/>
      <c r="U1370" s="430"/>
      <c r="V1370" s="430"/>
      <c r="W1370" s="90"/>
      <c r="X1370" s="90"/>
      <c r="Y1370" s="90"/>
    </row>
    <row r="1371" spans="3:25" ht="15.75" customHeight="1">
      <c r="C1371" s="90"/>
      <c r="D1371" s="1900"/>
      <c r="E1371" s="1895"/>
      <c r="F1371" s="1896"/>
      <c r="G1371" s="1897"/>
      <c r="H1371" s="90"/>
      <c r="I1371" s="90"/>
      <c r="J1371" s="90"/>
      <c r="K1371" s="90"/>
      <c r="L1371" s="1901"/>
      <c r="M1371" s="643"/>
      <c r="N1371" s="643"/>
      <c r="O1371" s="658"/>
      <c r="P1371" s="658"/>
      <c r="Q1371" s="1899"/>
      <c r="R1371" s="430"/>
      <c r="S1371" s="430"/>
      <c r="T1371" s="430"/>
      <c r="U1371" s="430"/>
      <c r="V1371" s="430"/>
      <c r="W1371" s="90"/>
      <c r="X1371" s="90"/>
      <c r="Y1371" s="90"/>
    </row>
    <row r="1372" spans="3:25" ht="15.75" customHeight="1">
      <c r="C1372" s="90"/>
      <c r="D1372" s="1900"/>
      <c r="E1372" s="1895"/>
      <c r="F1372" s="1896"/>
      <c r="G1372" s="1897"/>
      <c r="H1372" s="90"/>
      <c r="I1372" s="90"/>
      <c r="J1372" s="90"/>
      <c r="K1372" s="90"/>
      <c r="L1372" s="1901"/>
      <c r="M1372" s="643"/>
      <c r="N1372" s="643"/>
      <c r="O1372" s="658"/>
      <c r="P1372" s="658"/>
      <c r="Q1372" s="1899"/>
      <c r="R1372" s="430"/>
      <c r="S1372" s="430"/>
      <c r="T1372" s="430"/>
      <c r="U1372" s="430"/>
      <c r="V1372" s="430"/>
      <c r="W1372" s="90"/>
      <c r="X1372" s="90"/>
      <c r="Y1372" s="90"/>
    </row>
    <row r="1373" spans="3:25" ht="15.75" customHeight="1">
      <c r="C1373" s="90"/>
      <c r="D1373" s="1900"/>
      <c r="E1373" s="1895"/>
      <c r="F1373" s="1896"/>
      <c r="G1373" s="1897"/>
      <c r="H1373" s="90"/>
      <c r="I1373" s="90"/>
      <c r="J1373" s="90"/>
      <c r="K1373" s="90"/>
      <c r="L1373" s="1901"/>
      <c r="M1373" s="643"/>
      <c r="N1373" s="643"/>
      <c r="O1373" s="658"/>
      <c r="P1373" s="658"/>
      <c r="Q1373" s="1899"/>
      <c r="R1373" s="430"/>
      <c r="S1373" s="430"/>
      <c r="T1373" s="430"/>
      <c r="U1373" s="430"/>
      <c r="V1373" s="430"/>
      <c r="W1373" s="90"/>
      <c r="X1373" s="90"/>
      <c r="Y1373" s="90"/>
    </row>
    <row r="1374" spans="3:25" ht="15.75" customHeight="1">
      <c r="C1374" s="90"/>
      <c r="D1374" s="1900"/>
      <c r="E1374" s="1895"/>
      <c r="F1374" s="1896"/>
      <c r="G1374" s="1897"/>
      <c r="H1374" s="90"/>
      <c r="I1374" s="90"/>
      <c r="J1374" s="90"/>
      <c r="K1374" s="90"/>
      <c r="L1374" s="1901"/>
      <c r="M1374" s="643"/>
      <c r="N1374" s="643"/>
      <c r="O1374" s="658"/>
      <c r="P1374" s="658"/>
      <c r="Q1374" s="1899"/>
      <c r="R1374" s="430"/>
      <c r="S1374" s="430"/>
      <c r="T1374" s="430"/>
      <c r="U1374" s="430"/>
      <c r="V1374" s="430"/>
      <c r="W1374" s="90"/>
      <c r="X1374" s="90"/>
      <c r="Y1374" s="90"/>
    </row>
    <row r="1375" spans="3:25" ht="15.75" customHeight="1">
      <c r="C1375" s="90"/>
      <c r="D1375" s="1900"/>
      <c r="E1375" s="1895"/>
      <c r="F1375" s="1896"/>
      <c r="G1375" s="1897"/>
      <c r="H1375" s="90"/>
      <c r="I1375" s="90"/>
      <c r="J1375" s="90"/>
      <c r="K1375" s="90"/>
      <c r="L1375" s="1901"/>
      <c r="M1375" s="643"/>
      <c r="N1375" s="643"/>
      <c r="O1375" s="658"/>
      <c r="P1375" s="658"/>
      <c r="Q1375" s="1899"/>
      <c r="R1375" s="430"/>
      <c r="S1375" s="430"/>
      <c r="T1375" s="430"/>
      <c r="U1375" s="430"/>
      <c r="V1375" s="430"/>
      <c r="W1375" s="90"/>
      <c r="X1375" s="90"/>
      <c r="Y1375" s="90"/>
    </row>
    <row r="1376" spans="3:25" ht="15.75" customHeight="1">
      <c r="C1376" s="90"/>
      <c r="D1376" s="1900"/>
      <c r="E1376" s="1895"/>
      <c r="F1376" s="1896"/>
      <c r="G1376" s="1897"/>
      <c r="H1376" s="90"/>
      <c r="I1376" s="90"/>
      <c r="J1376" s="90"/>
      <c r="K1376" s="90"/>
      <c r="L1376" s="1901"/>
      <c r="M1376" s="643"/>
      <c r="N1376" s="643"/>
      <c r="O1376" s="658"/>
      <c r="P1376" s="658"/>
      <c r="Q1376" s="1899"/>
      <c r="R1376" s="430"/>
      <c r="S1376" s="430"/>
      <c r="T1376" s="430"/>
      <c r="U1376" s="430"/>
      <c r="V1376" s="430"/>
      <c r="W1376" s="90"/>
      <c r="X1376" s="90"/>
      <c r="Y1376" s="90"/>
    </row>
    <row r="1377" spans="3:25" ht="15.75" customHeight="1">
      <c r="C1377" s="90"/>
      <c r="D1377" s="1900"/>
      <c r="E1377" s="1895"/>
      <c r="F1377" s="1896"/>
      <c r="G1377" s="1897"/>
      <c r="H1377" s="90"/>
      <c r="I1377" s="90"/>
      <c r="J1377" s="90"/>
      <c r="K1377" s="90"/>
      <c r="L1377" s="1901"/>
      <c r="M1377" s="643"/>
      <c r="N1377" s="643"/>
      <c r="O1377" s="658"/>
      <c r="P1377" s="658"/>
      <c r="Q1377" s="1899"/>
      <c r="R1377" s="430"/>
      <c r="S1377" s="430"/>
      <c r="T1377" s="430"/>
      <c r="U1377" s="430"/>
      <c r="V1377" s="430"/>
      <c r="W1377" s="90"/>
      <c r="X1377" s="90"/>
      <c r="Y1377" s="90"/>
    </row>
    <row r="1378" spans="3:25" ht="15.75" customHeight="1">
      <c r="C1378" s="90"/>
      <c r="D1378" s="1900"/>
      <c r="E1378" s="1895"/>
      <c r="F1378" s="1896"/>
      <c r="G1378" s="1897"/>
      <c r="H1378" s="90"/>
      <c r="I1378" s="90"/>
      <c r="J1378" s="90"/>
      <c r="K1378" s="90"/>
      <c r="L1378" s="1901"/>
      <c r="M1378" s="643"/>
      <c r="N1378" s="643"/>
      <c r="O1378" s="658"/>
      <c r="P1378" s="658"/>
      <c r="Q1378" s="1899"/>
      <c r="R1378" s="430"/>
      <c r="S1378" s="430"/>
      <c r="T1378" s="430"/>
      <c r="U1378" s="430"/>
      <c r="V1378" s="430"/>
      <c r="W1378" s="90"/>
      <c r="X1378" s="90"/>
      <c r="Y1378" s="90"/>
    </row>
    <row r="1379" spans="3:25" ht="15.75" customHeight="1">
      <c r="C1379" s="90"/>
      <c r="D1379" s="1900"/>
      <c r="E1379" s="1895"/>
      <c r="F1379" s="1896"/>
      <c r="G1379" s="1897"/>
      <c r="H1379" s="90"/>
      <c r="I1379" s="90"/>
      <c r="J1379" s="90"/>
      <c r="K1379" s="90"/>
      <c r="L1379" s="1901"/>
      <c r="M1379" s="643"/>
      <c r="N1379" s="643"/>
      <c r="O1379" s="658"/>
      <c r="P1379" s="658"/>
      <c r="Q1379" s="1899"/>
      <c r="R1379" s="430"/>
      <c r="S1379" s="430"/>
      <c r="T1379" s="430"/>
      <c r="U1379" s="430"/>
      <c r="V1379" s="430"/>
      <c r="W1379" s="90"/>
      <c r="X1379" s="90"/>
      <c r="Y1379" s="90"/>
    </row>
    <row r="1380" spans="3:25" ht="15.75" customHeight="1">
      <c r="C1380" s="90"/>
      <c r="D1380" s="1900"/>
      <c r="E1380" s="1895"/>
      <c r="F1380" s="1896"/>
      <c r="G1380" s="1897"/>
      <c r="H1380" s="90"/>
      <c r="I1380" s="90"/>
      <c r="J1380" s="90"/>
      <c r="K1380" s="90"/>
      <c r="L1380" s="1901"/>
      <c r="M1380" s="643"/>
      <c r="N1380" s="643"/>
      <c r="O1380" s="658"/>
      <c r="P1380" s="658"/>
      <c r="Q1380" s="1899"/>
      <c r="R1380" s="430"/>
      <c r="S1380" s="430"/>
      <c r="T1380" s="430"/>
      <c r="U1380" s="430"/>
      <c r="V1380" s="430"/>
      <c r="W1380" s="90"/>
      <c r="X1380" s="90"/>
      <c r="Y1380" s="90"/>
    </row>
    <row r="1381" spans="3:25" ht="15.75" customHeight="1">
      <c r="C1381" s="90"/>
      <c r="D1381" s="1900"/>
      <c r="E1381" s="1895"/>
      <c r="F1381" s="1896"/>
      <c r="G1381" s="1897"/>
      <c r="H1381" s="90"/>
      <c r="I1381" s="90"/>
      <c r="J1381" s="90"/>
      <c r="K1381" s="90"/>
      <c r="L1381" s="1901"/>
      <c r="M1381" s="643"/>
      <c r="N1381" s="643"/>
      <c r="O1381" s="658"/>
      <c r="P1381" s="658"/>
      <c r="Q1381" s="1899"/>
      <c r="R1381" s="430"/>
      <c r="S1381" s="430"/>
      <c r="T1381" s="430"/>
      <c r="U1381" s="430"/>
      <c r="V1381" s="430"/>
      <c r="W1381" s="90"/>
      <c r="X1381" s="90"/>
      <c r="Y1381" s="90"/>
    </row>
    <row r="1382" spans="3:25" ht="15.75" customHeight="1">
      <c r="C1382" s="90"/>
      <c r="D1382" s="1900"/>
      <c r="E1382" s="1895"/>
      <c r="F1382" s="1896"/>
      <c r="G1382" s="1897"/>
      <c r="H1382" s="90"/>
      <c r="I1382" s="90"/>
      <c r="J1382" s="90"/>
      <c r="K1382" s="90"/>
      <c r="L1382" s="1901"/>
      <c r="M1382" s="643"/>
      <c r="N1382" s="643"/>
      <c r="O1382" s="658"/>
      <c r="P1382" s="658"/>
      <c r="Q1382" s="1899"/>
      <c r="R1382" s="430"/>
      <c r="S1382" s="430"/>
      <c r="T1382" s="430"/>
      <c r="U1382" s="430"/>
      <c r="V1382" s="430"/>
      <c r="W1382" s="90"/>
      <c r="X1382" s="90"/>
      <c r="Y1382" s="90"/>
    </row>
    <row r="1383" spans="3:25" ht="15.75" customHeight="1">
      <c r="C1383" s="90"/>
      <c r="D1383" s="1900"/>
      <c r="E1383" s="1895"/>
      <c r="F1383" s="1896"/>
      <c r="G1383" s="1897"/>
      <c r="H1383" s="90"/>
      <c r="I1383" s="90"/>
      <c r="J1383" s="90"/>
      <c r="K1383" s="90"/>
      <c r="L1383" s="1901"/>
      <c r="M1383" s="643"/>
      <c r="N1383" s="643"/>
      <c r="O1383" s="658"/>
      <c r="P1383" s="658"/>
      <c r="Q1383" s="1899"/>
      <c r="R1383" s="430"/>
      <c r="S1383" s="430"/>
      <c r="T1383" s="430"/>
      <c r="U1383" s="430"/>
      <c r="V1383" s="430"/>
      <c r="W1383" s="90"/>
      <c r="X1383" s="90"/>
      <c r="Y1383" s="90"/>
    </row>
    <row r="1384" spans="3:25" ht="15.75" customHeight="1">
      <c r="C1384" s="90"/>
      <c r="D1384" s="1900"/>
      <c r="E1384" s="1895"/>
      <c r="F1384" s="1896"/>
      <c r="G1384" s="1897"/>
      <c r="H1384" s="90"/>
      <c r="I1384" s="90"/>
      <c r="J1384" s="90"/>
      <c r="K1384" s="90"/>
      <c r="L1384" s="1901"/>
      <c r="M1384" s="643"/>
      <c r="N1384" s="643"/>
      <c r="O1384" s="658"/>
      <c r="P1384" s="658"/>
      <c r="Q1384" s="1899"/>
      <c r="R1384" s="430"/>
      <c r="S1384" s="430"/>
      <c r="T1384" s="430"/>
      <c r="U1384" s="430"/>
      <c r="V1384" s="430"/>
      <c r="W1384" s="90"/>
      <c r="X1384" s="90"/>
      <c r="Y1384" s="90"/>
    </row>
    <row r="1385" spans="3:25" ht="15.75" customHeight="1">
      <c r="C1385" s="90"/>
      <c r="D1385" s="1900"/>
      <c r="E1385" s="1895"/>
      <c r="F1385" s="1896"/>
      <c r="G1385" s="1897"/>
      <c r="H1385" s="90"/>
      <c r="I1385" s="90"/>
      <c r="J1385" s="90"/>
      <c r="K1385" s="90"/>
      <c r="L1385" s="1901"/>
      <c r="M1385" s="643"/>
      <c r="N1385" s="643"/>
      <c r="O1385" s="658"/>
      <c r="P1385" s="658"/>
      <c r="Q1385" s="1899"/>
      <c r="R1385" s="430"/>
      <c r="S1385" s="430"/>
      <c r="T1385" s="430"/>
      <c r="U1385" s="430"/>
      <c r="V1385" s="430"/>
      <c r="W1385" s="90"/>
      <c r="X1385" s="90"/>
      <c r="Y1385" s="90"/>
    </row>
    <row r="1386" spans="3:25" ht="15.75" customHeight="1">
      <c r="C1386" s="90"/>
      <c r="D1386" s="1900"/>
      <c r="E1386" s="1895"/>
      <c r="F1386" s="1896"/>
      <c r="G1386" s="1897"/>
      <c r="H1386" s="90"/>
      <c r="I1386" s="90"/>
      <c r="J1386" s="90"/>
      <c r="K1386" s="90"/>
      <c r="L1386" s="1901"/>
      <c r="M1386" s="643"/>
      <c r="N1386" s="643"/>
      <c r="O1386" s="658"/>
      <c r="P1386" s="658"/>
      <c r="Q1386" s="1899"/>
      <c r="R1386" s="430"/>
      <c r="S1386" s="430"/>
      <c r="T1386" s="430"/>
      <c r="U1386" s="430"/>
      <c r="V1386" s="430"/>
      <c r="W1386" s="90"/>
      <c r="X1386" s="90"/>
      <c r="Y1386" s="90"/>
    </row>
    <row r="1387" spans="3:25" ht="15.75" customHeight="1">
      <c r="C1387" s="90"/>
      <c r="D1387" s="1900"/>
      <c r="E1387" s="1895"/>
      <c r="F1387" s="1896"/>
      <c r="G1387" s="1897"/>
      <c r="H1387" s="90"/>
      <c r="I1387" s="90"/>
      <c r="J1387" s="90"/>
      <c r="K1387" s="90"/>
      <c r="L1387" s="1901"/>
      <c r="M1387" s="643"/>
      <c r="N1387" s="643"/>
      <c r="O1387" s="658"/>
      <c r="P1387" s="658"/>
      <c r="Q1387" s="1899"/>
      <c r="R1387" s="430"/>
      <c r="S1387" s="430"/>
      <c r="T1387" s="430"/>
      <c r="U1387" s="430"/>
      <c r="V1387" s="430"/>
      <c r="W1387" s="90"/>
      <c r="X1387" s="90"/>
      <c r="Y1387" s="90"/>
    </row>
    <row r="1388" spans="3:25" ht="15.75" customHeight="1">
      <c r="C1388" s="90"/>
      <c r="D1388" s="1900"/>
      <c r="E1388" s="1895"/>
      <c r="F1388" s="1896"/>
      <c r="G1388" s="1897"/>
      <c r="H1388" s="90"/>
      <c r="I1388" s="90"/>
      <c r="J1388" s="90"/>
      <c r="K1388" s="90"/>
      <c r="L1388" s="1901"/>
      <c r="M1388" s="643"/>
      <c r="N1388" s="643"/>
      <c r="O1388" s="658"/>
      <c r="P1388" s="658"/>
      <c r="Q1388" s="1899"/>
      <c r="R1388" s="430"/>
      <c r="S1388" s="430"/>
      <c r="T1388" s="430"/>
      <c r="U1388" s="430"/>
      <c r="V1388" s="430"/>
      <c r="W1388" s="90"/>
      <c r="X1388" s="90"/>
      <c r="Y1388" s="90"/>
    </row>
    <row r="1389" spans="3:25" ht="15.75" customHeight="1">
      <c r="C1389" s="90"/>
      <c r="D1389" s="1900"/>
      <c r="E1389" s="1895"/>
      <c r="F1389" s="1896"/>
      <c r="G1389" s="1897"/>
      <c r="H1389" s="90"/>
      <c r="I1389" s="90"/>
      <c r="J1389" s="90"/>
      <c r="K1389" s="90"/>
      <c r="L1389" s="1901"/>
      <c r="M1389" s="643"/>
      <c r="N1389" s="643"/>
      <c r="O1389" s="658"/>
      <c r="P1389" s="658"/>
      <c r="Q1389" s="1899"/>
      <c r="R1389" s="430"/>
      <c r="S1389" s="430"/>
      <c r="T1389" s="430"/>
      <c r="U1389" s="430"/>
      <c r="V1389" s="430"/>
      <c r="W1389" s="90"/>
      <c r="X1389" s="90"/>
      <c r="Y1389" s="90"/>
    </row>
    <row r="1390" spans="3:25" ht="15.75" customHeight="1">
      <c r="C1390" s="90"/>
      <c r="D1390" s="1900"/>
      <c r="E1390" s="1895"/>
      <c r="F1390" s="1896"/>
      <c r="G1390" s="1897"/>
      <c r="H1390" s="90"/>
      <c r="I1390" s="90"/>
      <c r="J1390" s="90"/>
      <c r="K1390" s="90"/>
      <c r="L1390" s="1901"/>
      <c r="M1390" s="643"/>
      <c r="N1390" s="643"/>
      <c r="O1390" s="658"/>
      <c r="P1390" s="658"/>
      <c r="Q1390" s="1899"/>
      <c r="R1390" s="430"/>
      <c r="S1390" s="430"/>
      <c r="T1390" s="430"/>
      <c r="U1390" s="430"/>
      <c r="V1390" s="430"/>
      <c r="W1390" s="90"/>
      <c r="X1390" s="90"/>
      <c r="Y1390" s="90"/>
    </row>
    <row r="1391" spans="3:25" ht="15.75" customHeight="1">
      <c r="C1391" s="90"/>
      <c r="D1391" s="1900"/>
      <c r="E1391" s="1895"/>
      <c r="F1391" s="1896"/>
      <c r="G1391" s="1897"/>
      <c r="H1391" s="90"/>
      <c r="I1391" s="90"/>
      <c r="J1391" s="90"/>
      <c r="K1391" s="90"/>
      <c r="L1391" s="1901"/>
      <c r="M1391" s="643"/>
      <c r="N1391" s="643"/>
      <c r="O1391" s="658"/>
      <c r="P1391" s="658"/>
      <c r="Q1391" s="1899"/>
      <c r="R1391" s="430"/>
      <c r="S1391" s="430"/>
      <c r="T1391" s="430"/>
      <c r="U1391" s="430"/>
      <c r="V1391" s="430"/>
      <c r="W1391" s="90"/>
      <c r="X1391" s="90"/>
      <c r="Y1391" s="90"/>
    </row>
    <row r="1392" spans="3:25" ht="15.75" customHeight="1">
      <c r="C1392" s="90"/>
      <c r="D1392" s="1900"/>
      <c r="E1392" s="1895"/>
      <c r="F1392" s="1896"/>
      <c r="G1392" s="1897"/>
      <c r="H1392" s="90"/>
      <c r="I1392" s="90"/>
      <c r="J1392" s="90"/>
      <c r="K1392" s="90"/>
      <c r="L1392" s="1901"/>
      <c r="M1392" s="643"/>
      <c r="N1392" s="643"/>
      <c r="O1392" s="658"/>
      <c r="P1392" s="658"/>
      <c r="Q1392" s="1899"/>
      <c r="R1392" s="430"/>
      <c r="S1392" s="430"/>
      <c r="T1392" s="430"/>
      <c r="U1392" s="430"/>
      <c r="V1392" s="430"/>
      <c r="W1392" s="90"/>
      <c r="X1392" s="90"/>
      <c r="Y1392" s="90"/>
    </row>
    <row r="1393" spans="3:25" ht="15.75" customHeight="1">
      <c r="C1393" s="90"/>
      <c r="D1393" s="1900"/>
      <c r="E1393" s="1895"/>
      <c r="F1393" s="1896"/>
      <c r="G1393" s="1897"/>
      <c r="H1393" s="90"/>
      <c r="I1393" s="90"/>
      <c r="J1393" s="90"/>
      <c r="K1393" s="90"/>
      <c r="L1393" s="1901"/>
      <c r="M1393" s="643"/>
      <c r="N1393" s="643"/>
      <c r="O1393" s="658"/>
      <c r="P1393" s="658"/>
      <c r="Q1393" s="1899"/>
      <c r="R1393" s="430"/>
      <c r="S1393" s="430"/>
      <c r="T1393" s="430"/>
      <c r="U1393" s="430"/>
      <c r="V1393" s="430"/>
      <c r="W1393" s="90"/>
      <c r="X1393" s="90"/>
      <c r="Y1393" s="90"/>
    </row>
    <row r="1394" spans="3:25" ht="15.75" customHeight="1">
      <c r="C1394" s="90"/>
      <c r="D1394" s="1900"/>
      <c r="E1394" s="1895"/>
      <c r="F1394" s="1896"/>
      <c r="G1394" s="1897"/>
      <c r="H1394" s="90"/>
      <c r="I1394" s="90"/>
      <c r="J1394" s="90"/>
      <c r="K1394" s="90"/>
      <c r="L1394" s="1901"/>
      <c r="M1394" s="643"/>
      <c r="N1394" s="643"/>
      <c r="O1394" s="658"/>
      <c r="P1394" s="658"/>
      <c r="Q1394" s="1899"/>
      <c r="R1394" s="430"/>
      <c r="S1394" s="430"/>
      <c r="T1394" s="430"/>
      <c r="U1394" s="430"/>
      <c r="V1394" s="430"/>
      <c r="W1394" s="90"/>
      <c r="X1394" s="90"/>
      <c r="Y1394" s="90"/>
    </row>
    <row r="1395" spans="3:25" ht="15.75" customHeight="1">
      <c r="C1395" s="90"/>
      <c r="D1395" s="1900"/>
      <c r="E1395" s="1895"/>
      <c r="F1395" s="1896"/>
      <c r="G1395" s="1897"/>
      <c r="H1395" s="90"/>
      <c r="I1395" s="90"/>
      <c r="J1395" s="90"/>
      <c r="K1395" s="90"/>
      <c r="L1395" s="1901"/>
      <c r="M1395" s="643"/>
      <c r="N1395" s="643"/>
      <c r="O1395" s="658"/>
      <c r="P1395" s="658"/>
      <c r="Q1395" s="1899"/>
      <c r="R1395" s="430"/>
      <c r="S1395" s="430"/>
      <c r="T1395" s="430"/>
      <c r="U1395" s="430"/>
      <c r="V1395" s="430"/>
      <c r="W1395" s="90"/>
      <c r="X1395" s="90"/>
      <c r="Y1395" s="90"/>
    </row>
    <row r="1396" spans="3:25" ht="15.75" customHeight="1">
      <c r="C1396" s="90"/>
      <c r="D1396" s="1900"/>
      <c r="E1396" s="1895"/>
      <c r="F1396" s="1896"/>
      <c r="G1396" s="1897"/>
      <c r="H1396" s="90"/>
      <c r="I1396" s="90"/>
      <c r="J1396" s="90"/>
      <c r="K1396" s="90"/>
      <c r="L1396" s="1901"/>
      <c r="M1396" s="643"/>
      <c r="N1396" s="643"/>
      <c r="O1396" s="658"/>
      <c r="P1396" s="658"/>
      <c r="Q1396" s="1899"/>
      <c r="R1396" s="430"/>
      <c r="S1396" s="430"/>
      <c r="T1396" s="430"/>
      <c r="U1396" s="430"/>
      <c r="V1396" s="430"/>
      <c r="W1396" s="90"/>
      <c r="X1396" s="90"/>
      <c r="Y1396" s="90"/>
    </row>
    <row r="1397" spans="3:25" ht="15.75" customHeight="1">
      <c r="C1397" s="90"/>
      <c r="D1397" s="1900"/>
      <c r="E1397" s="1895"/>
      <c r="F1397" s="1896"/>
      <c r="G1397" s="1897"/>
      <c r="H1397" s="90"/>
      <c r="I1397" s="90"/>
      <c r="J1397" s="90"/>
      <c r="K1397" s="90"/>
      <c r="L1397" s="1901"/>
      <c r="M1397" s="643"/>
      <c r="N1397" s="643"/>
      <c r="O1397" s="658"/>
      <c r="P1397" s="658"/>
      <c r="Q1397" s="1899"/>
      <c r="R1397" s="430"/>
      <c r="S1397" s="430"/>
      <c r="T1397" s="430"/>
      <c r="U1397" s="430"/>
      <c r="V1397" s="430"/>
      <c r="W1397" s="90"/>
      <c r="X1397" s="90"/>
      <c r="Y1397" s="90"/>
    </row>
    <row r="1398" spans="3:25" ht="15.75" customHeight="1">
      <c r="C1398" s="90"/>
      <c r="D1398" s="1900"/>
      <c r="E1398" s="1895"/>
      <c r="F1398" s="1896"/>
      <c r="G1398" s="1897"/>
      <c r="H1398" s="90"/>
      <c r="I1398" s="90"/>
      <c r="J1398" s="90"/>
      <c r="K1398" s="90"/>
      <c r="L1398" s="1901"/>
      <c r="M1398" s="643"/>
      <c r="N1398" s="643"/>
      <c r="O1398" s="658"/>
      <c r="P1398" s="658"/>
      <c r="Q1398" s="1899"/>
      <c r="R1398" s="430"/>
      <c r="S1398" s="430"/>
      <c r="T1398" s="430"/>
      <c r="U1398" s="430"/>
      <c r="V1398" s="430"/>
      <c r="W1398" s="90"/>
      <c r="X1398" s="90"/>
      <c r="Y1398" s="90"/>
    </row>
    <row r="1399" spans="3:25" ht="15.75" customHeight="1">
      <c r="C1399" s="90"/>
      <c r="D1399" s="1900"/>
      <c r="E1399" s="1895"/>
      <c r="F1399" s="1896"/>
      <c r="G1399" s="1897"/>
      <c r="H1399" s="90"/>
      <c r="I1399" s="90"/>
      <c r="J1399" s="90"/>
      <c r="K1399" s="90"/>
      <c r="L1399" s="1901"/>
      <c r="M1399" s="643"/>
      <c r="N1399" s="643"/>
      <c r="O1399" s="658"/>
      <c r="P1399" s="658"/>
      <c r="Q1399" s="1899"/>
      <c r="R1399" s="430"/>
      <c r="S1399" s="430"/>
      <c r="T1399" s="430"/>
      <c r="U1399" s="430"/>
      <c r="V1399" s="430"/>
      <c r="W1399" s="90"/>
      <c r="X1399" s="90"/>
      <c r="Y1399" s="90"/>
    </row>
    <row r="1400" spans="3:25" ht="15.75" customHeight="1">
      <c r="C1400" s="90"/>
      <c r="D1400" s="1900"/>
      <c r="E1400" s="1895"/>
      <c r="F1400" s="1896"/>
      <c r="G1400" s="1897"/>
      <c r="H1400" s="90"/>
      <c r="I1400" s="90"/>
      <c r="J1400" s="90"/>
      <c r="K1400" s="90"/>
      <c r="L1400" s="1901"/>
      <c r="M1400" s="643"/>
      <c r="N1400" s="643"/>
      <c r="O1400" s="658"/>
      <c r="P1400" s="658"/>
      <c r="Q1400" s="1899"/>
      <c r="R1400" s="430"/>
      <c r="S1400" s="430"/>
      <c r="T1400" s="430"/>
      <c r="U1400" s="430"/>
      <c r="V1400" s="430"/>
      <c r="W1400" s="90"/>
      <c r="X1400" s="90"/>
      <c r="Y1400" s="90"/>
    </row>
    <row r="1401" spans="3:25" ht="15.75" customHeight="1">
      <c r="C1401" s="90"/>
      <c r="D1401" s="1900"/>
      <c r="E1401" s="1895"/>
      <c r="F1401" s="1896"/>
      <c r="G1401" s="1897"/>
      <c r="H1401" s="90"/>
      <c r="I1401" s="90"/>
      <c r="J1401" s="90"/>
      <c r="K1401" s="90"/>
      <c r="L1401" s="1901"/>
      <c r="M1401" s="643"/>
      <c r="N1401" s="643"/>
      <c r="O1401" s="658"/>
      <c r="P1401" s="658"/>
      <c r="Q1401" s="1899"/>
      <c r="R1401" s="430"/>
      <c r="S1401" s="430"/>
      <c r="T1401" s="430"/>
      <c r="U1401" s="430"/>
      <c r="V1401" s="430"/>
      <c r="W1401" s="90"/>
      <c r="X1401" s="90"/>
      <c r="Y1401" s="90"/>
    </row>
    <row r="1402" spans="3:25" ht="15.75" customHeight="1">
      <c r="C1402" s="90"/>
      <c r="D1402" s="1900"/>
      <c r="E1402" s="1895"/>
      <c r="F1402" s="1896"/>
      <c r="G1402" s="1897"/>
      <c r="H1402" s="90"/>
      <c r="I1402" s="90"/>
      <c r="J1402" s="90"/>
      <c r="K1402" s="90"/>
      <c r="L1402" s="1901"/>
      <c r="M1402" s="643"/>
      <c r="N1402" s="643"/>
      <c r="O1402" s="658"/>
      <c r="P1402" s="658"/>
      <c r="Q1402" s="1899"/>
      <c r="R1402" s="430"/>
      <c r="S1402" s="430"/>
      <c r="T1402" s="430"/>
      <c r="U1402" s="430"/>
      <c r="V1402" s="430"/>
      <c r="W1402" s="90"/>
      <c r="X1402" s="90"/>
      <c r="Y1402" s="90"/>
    </row>
    <row r="1403" spans="3:25" ht="15.75" customHeight="1">
      <c r="C1403" s="90"/>
      <c r="D1403" s="1900"/>
      <c r="E1403" s="1895"/>
      <c r="F1403" s="1896"/>
      <c r="G1403" s="1897"/>
      <c r="H1403" s="90"/>
      <c r="I1403" s="90"/>
      <c r="J1403" s="90"/>
      <c r="K1403" s="90"/>
      <c r="L1403" s="1901"/>
      <c r="M1403" s="643"/>
      <c r="N1403" s="643"/>
      <c r="O1403" s="658"/>
      <c r="P1403" s="658"/>
      <c r="Q1403" s="1899"/>
      <c r="R1403" s="430"/>
      <c r="S1403" s="430"/>
      <c r="T1403" s="430"/>
      <c r="U1403" s="430"/>
      <c r="V1403" s="430"/>
      <c r="W1403" s="90"/>
      <c r="X1403" s="90"/>
      <c r="Y1403" s="90"/>
    </row>
    <row r="1404" spans="3:25" ht="15.75" customHeight="1">
      <c r="C1404" s="90"/>
      <c r="D1404" s="1900"/>
      <c r="E1404" s="1895"/>
      <c r="F1404" s="1896"/>
      <c r="G1404" s="1897"/>
      <c r="H1404" s="90"/>
      <c r="I1404" s="90"/>
      <c r="J1404" s="90"/>
      <c r="K1404" s="90"/>
      <c r="L1404" s="1901"/>
      <c r="M1404" s="643"/>
      <c r="N1404" s="643"/>
      <c r="O1404" s="658"/>
      <c r="P1404" s="658"/>
      <c r="Q1404" s="1899"/>
      <c r="R1404" s="430"/>
      <c r="S1404" s="430"/>
      <c r="T1404" s="430"/>
      <c r="U1404" s="430"/>
      <c r="V1404" s="430"/>
      <c r="W1404" s="90"/>
      <c r="X1404" s="90"/>
      <c r="Y1404" s="90"/>
    </row>
    <row r="1405" spans="3:25" ht="15.75" customHeight="1">
      <c r="C1405" s="90"/>
      <c r="D1405" s="1900"/>
      <c r="E1405" s="1895"/>
      <c r="F1405" s="1896"/>
      <c r="G1405" s="1897"/>
      <c r="H1405" s="90"/>
      <c r="I1405" s="90"/>
      <c r="J1405" s="90"/>
      <c r="K1405" s="90"/>
      <c r="L1405" s="1901"/>
      <c r="M1405" s="643"/>
      <c r="N1405" s="643"/>
      <c r="O1405" s="658"/>
      <c r="P1405" s="658"/>
      <c r="Q1405" s="1899"/>
      <c r="R1405" s="430"/>
      <c r="S1405" s="430"/>
      <c r="T1405" s="430"/>
      <c r="U1405" s="430"/>
      <c r="V1405" s="430"/>
      <c r="W1405" s="90"/>
      <c r="X1405" s="90"/>
      <c r="Y1405" s="90"/>
    </row>
    <row r="1406" spans="3:25" ht="15.75" customHeight="1">
      <c r="C1406" s="90"/>
      <c r="D1406" s="1900"/>
      <c r="E1406" s="1895"/>
      <c r="F1406" s="1896"/>
      <c r="G1406" s="1897"/>
      <c r="H1406" s="90"/>
      <c r="I1406" s="90"/>
      <c r="J1406" s="90"/>
      <c r="K1406" s="90"/>
      <c r="L1406" s="1901"/>
      <c r="M1406" s="643"/>
      <c r="N1406" s="643"/>
      <c r="O1406" s="658"/>
      <c r="P1406" s="658"/>
      <c r="Q1406" s="1899"/>
      <c r="R1406" s="430"/>
      <c r="S1406" s="430"/>
      <c r="T1406" s="430"/>
      <c r="U1406" s="430"/>
      <c r="V1406" s="430"/>
      <c r="W1406" s="90"/>
      <c r="X1406" s="90"/>
      <c r="Y1406" s="90"/>
    </row>
    <row r="1407" spans="3:25" ht="15.75" customHeight="1">
      <c r="C1407" s="90"/>
      <c r="D1407" s="1900"/>
      <c r="E1407" s="1895"/>
      <c r="F1407" s="1896"/>
      <c r="G1407" s="1897"/>
      <c r="H1407" s="90"/>
      <c r="I1407" s="90"/>
      <c r="J1407" s="90"/>
      <c r="K1407" s="90"/>
      <c r="L1407" s="1901"/>
      <c r="M1407" s="643"/>
      <c r="N1407" s="643"/>
      <c r="O1407" s="658"/>
      <c r="P1407" s="658"/>
      <c r="Q1407" s="1899"/>
      <c r="R1407" s="430"/>
      <c r="S1407" s="430"/>
      <c r="T1407" s="430"/>
      <c r="U1407" s="430"/>
      <c r="V1407" s="430"/>
      <c r="W1407" s="90"/>
      <c r="X1407" s="90"/>
      <c r="Y1407" s="90"/>
    </row>
    <row r="1408" spans="3:25" ht="15.75" customHeight="1">
      <c r="C1408" s="90"/>
      <c r="D1408" s="1900"/>
      <c r="E1408" s="1895"/>
      <c r="F1408" s="1896"/>
      <c r="G1408" s="1897"/>
      <c r="H1408" s="90"/>
      <c r="I1408" s="90"/>
      <c r="J1408" s="90"/>
      <c r="K1408" s="90"/>
      <c r="L1408" s="1901"/>
      <c r="M1408" s="643"/>
      <c r="N1408" s="643"/>
      <c r="O1408" s="658"/>
      <c r="P1408" s="658"/>
      <c r="Q1408" s="1899"/>
      <c r="R1408" s="430"/>
      <c r="S1408" s="430"/>
      <c r="T1408" s="430"/>
      <c r="U1408" s="430"/>
      <c r="V1408" s="430"/>
      <c r="W1408" s="90"/>
      <c r="X1408" s="90"/>
      <c r="Y1408" s="90"/>
    </row>
    <row r="1409" spans="3:25" ht="15.75" customHeight="1">
      <c r="C1409" s="90"/>
      <c r="D1409" s="1900"/>
      <c r="E1409" s="1895"/>
      <c r="F1409" s="1896"/>
      <c r="G1409" s="1897"/>
      <c r="H1409" s="90"/>
      <c r="I1409" s="90"/>
      <c r="J1409" s="90"/>
      <c r="K1409" s="90"/>
      <c r="L1409" s="1901"/>
      <c r="M1409" s="643"/>
      <c r="N1409" s="643"/>
      <c r="O1409" s="658"/>
      <c r="P1409" s="658"/>
      <c r="Q1409" s="1899"/>
      <c r="R1409" s="430"/>
      <c r="S1409" s="430"/>
      <c r="T1409" s="430"/>
      <c r="U1409" s="430"/>
      <c r="V1409" s="430"/>
      <c r="W1409" s="90"/>
      <c r="X1409" s="90"/>
      <c r="Y1409" s="90"/>
    </row>
    <row r="1410" spans="3:25" ht="15.75" customHeight="1">
      <c r="C1410" s="90"/>
      <c r="D1410" s="1900"/>
      <c r="E1410" s="1895"/>
      <c r="F1410" s="1896"/>
      <c r="G1410" s="1897"/>
      <c r="H1410" s="90"/>
      <c r="I1410" s="90"/>
      <c r="J1410" s="90"/>
      <c r="K1410" s="90"/>
      <c r="L1410" s="1901"/>
      <c r="M1410" s="643"/>
      <c r="N1410" s="643"/>
      <c r="O1410" s="658"/>
      <c r="P1410" s="658"/>
      <c r="Q1410" s="1899"/>
      <c r="R1410" s="430"/>
      <c r="S1410" s="430"/>
      <c r="T1410" s="430"/>
      <c r="U1410" s="430"/>
      <c r="V1410" s="430"/>
      <c r="W1410" s="90"/>
      <c r="X1410" s="90"/>
      <c r="Y1410" s="90"/>
    </row>
    <row r="1411" spans="3:25" ht="15.75" customHeight="1">
      <c r="C1411" s="90"/>
      <c r="D1411" s="1900"/>
      <c r="E1411" s="1895"/>
      <c r="F1411" s="1896"/>
      <c r="G1411" s="1897"/>
      <c r="H1411" s="90"/>
      <c r="I1411" s="90"/>
      <c r="J1411" s="90"/>
      <c r="K1411" s="90"/>
      <c r="L1411" s="1901"/>
      <c r="M1411" s="643"/>
      <c r="N1411" s="643"/>
      <c r="O1411" s="658"/>
      <c r="P1411" s="658"/>
      <c r="Q1411" s="1899"/>
      <c r="R1411" s="430"/>
      <c r="S1411" s="430"/>
      <c r="T1411" s="430"/>
      <c r="U1411" s="430"/>
      <c r="V1411" s="430"/>
      <c r="W1411" s="90"/>
      <c r="X1411" s="90"/>
      <c r="Y1411" s="90"/>
    </row>
    <row r="1412" spans="3:25" ht="15.75" customHeight="1">
      <c r="C1412" s="90"/>
      <c r="D1412" s="1900"/>
      <c r="E1412" s="1895"/>
      <c r="F1412" s="1896"/>
      <c r="G1412" s="1897"/>
      <c r="H1412" s="90"/>
      <c r="I1412" s="90"/>
      <c r="J1412" s="90"/>
      <c r="K1412" s="90"/>
      <c r="L1412" s="1901"/>
      <c r="M1412" s="643"/>
      <c r="N1412" s="643"/>
      <c r="O1412" s="658"/>
      <c r="P1412" s="658"/>
      <c r="Q1412" s="1899"/>
      <c r="R1412" s="430"/>
      <c r="S1412" s="430"/>
      <c r="T1412" s="430"/>
      <c r="U1412" s="430"/>
      <c r="V1412" s="430"/>
      <c r="W1412" s="90"/>
      <c r="X1412" s="90"/>
      <c r="Y1412" s="90"/>
    </row>
    <row r="1413" spans="3:25" ht="15.75" customHeight="1">
      <c r="C1413" s="90"/>
      <c r="D1413" s="1900"/>
      <c r="E1413" s="1895"/>
      <c r="F1413" s="1896"/>
      <c r="G1413" s="1897"/>
      <c r="H1413" s="90"/>
      <c r="I1413" s="90"/>
      <c r="J1413" s="90"/>
      <c r="K1413" s="90"/>
      <c r="L1413" s="1901"/>
      <c r="M1413" s="643"/>
      <c r="N1413" s="643"/>
      <c r="O1413" s="658"/>
      <c r="P1413" s="658"/>
      <c r="Q1413" s="1899"/>
      <c r="R1413" s="430"/>
      <c r="S1413" s="430"/>
      <c r="T1413" s="430"/>
      <c r="U1413" s="430"/>
      <c r="V1413" s="430"/>
      <c r="W1413" s="90"/>
      <c r="X1413" s="90"/>
      <c r="Y1413" s="90"/>
    </row>
    <row r="1414" spans="3:25" ht="15.75" customHeight="1">
      <c r="C1414" s="90"/>
      <c r="D1414" s="1900"/>
      <c r="E1414" s="1895"/>
      <c r="F1414" s="1896"/>
      <c r="G1414" s="1897"/>
      <c r="H1414" s="90"/>
      <c r="I1414" s="90"/>
      <c r="J1414" s="90"/>
      <c r="K1414" s="90"/>
      <c r="L1414" s="1901"/>
      <c r="M1414" s="643"/>
      <c r="N1414" s="643"/>
      <c r="O1414" s="658"/>
      <c r="P1414" s="658"/>
      <c r="Q1414" s="1899"/>
      <c r="R1414" s="430"/>
      <c r="S1414" s="430"/>
      <c r="T1414" s="430"/>
      <c r="U1414" s="430"/>
      <c r="V1414" s="430"/>
      <c r="W1414" s="90"/>
      <c r="X1414" s="90"/>
      <c r="Y1414" s="90"/>
    </row>
    <row r="1415" spans="3:25" ht="15.75" customHeight="1">
      <c r="C1415" s="90"/>
      <c r="D1415" s="1900"/>
      <c r="E1415" s="1895"/>
      <c r="F1415" s="1896"/>
      <c r="G1415" s="1897"/>
      <c r="H1415" s="90"/>
      <c r="I1415" s="90"/>
      <c r="J1415" s="90"/>
      <c r="K1415" s="90"/>
      <c r="L1415" s="1901"/>
      <c r="M1415" s="643"/>
      <c r="N1415" s="643"/>
      <c r="O1415" s="658"/>
      <c r="P1415" s="658"/>
      <c r="Q1415" s="1899"/>
      <c r="R1415" s="430"/>
      <c r="S1415" s="430"/>
      <c r="T1415" s="430"/>
      <c r="U1415" s="430"/>
      <c r="V1415" s="430"/>
      <c r="W1415" s="90"/>
      <c r="X1415" s="90"/>
      <c r="Y1415" s="90"/>
    </row>
    <row r="1416" spans="3:25" ht="15.75" customHeight="1">
      <c r="C1416" s="90"/>
      <c r="D1416" s="1900"/>
      <c r="E1416" s="1895"/>
      <c r="F1416" s="1896"/>
      <c r="G1416" s="1897"/>
      <c r="H1416" s="90"/>
      <c r="I1416" s="90"/>
      <c r="J1416" s="90"/>
      <c r="K1416" s="90"/>
      <c r="L1416" s="1901"/>
      <c r="M1416" s="643"/>
      <c r="N1416" s="643"/>
      <c r="O1416" s="658"/>
      <c r="P1416" s="658"/>
      <c r="Q1416" s="1899"/>
      <c r="R1416" s="430"/>
      <c r="S1416" s="430"/>
      <c r="T1416" s="430"/>
      <c r="U1416" s="430"/>
      <c r="V1416" s="430"/>
      <c r="W1416" s="90"/>
      <c r="X1416" s="90"/>
      <c r="Y1416" s="90"/>
    </row>
    <row r="1417" spans="3:25" ht="15.75" customHeight="1">
      <c r="C1417" s="90"/>
      <c r="D1417" s="1900"/>
      <c r="E1417" s="1895"/>
      <c r="F1417" s="1896"/>
      <c r="G1417" s="1897"/>
      <c r="H1417" s="90"/>
      <c r="I1417" s="90"/>
      <c r="J1417" s="90"/>
      <c r="K1417" s="90"/>
      <c r="L1417" s="1901"/>
      <c r="M1417" s="643"/>
      <c r="N1417" s="643"/>
      <c r="O1417" s="658"/>
      <c r="P1417" s="658"/>
      <c r="Q1417" s="1899"/>
      <c r="R1417" s="430"/>
      <c r="S1417" s="430"/>
      <c r="T1417" s="430"/>
      <c r="U1417" s="430"/>
      <c r="V1417" s="430"/>
      <c r="W1417" s="90"/>
      <c r="X1417" s="90"/>
      <c r="Y1417" s="90"/>
    </row>
    <row r="1418" spans="3:25" ht="15.75" customHeight="1">
      <c r="C1418" s="90"/>
      <c r="D1418" s="1900"/>
      <c r="E1418" s="1895"/>
      <c r="F1418" s="1896"/>
      <c r="G1418" s="1897"/>
      <c r="H1418" s="90"/>
      <c r="I1418" s="90"/>
      <c r="J1418" s="90"/>
      <c r="K1418" s="90"/>
      <c r="L1418" s="1901"/>
      <c r="M1418" s="643"/>
      <c r="N1418" s="643"/>
      <c r="O1418" s="658"/>
      <c r="P1418" s="658"/>
      <c r="Q1418" s="1899"/>
      <c r="R1418" s="430"/>
      <c r="S1418" s="430"/>
      <c r="T1418" s="430"/>
      <c r="U1418" s="430"/>
      <c r="V1418" s="430"/>
      <c r="W1418" s="90"/>
      <c r="X1418" s="90"/>
      <c r="Y1418" s="90"/>
    </row>
    <row r="1419" spans="3:25" ht="15.75" customHeight="1">
      <c r="C1419" s="90"/>
      <c r="D1419" s="1900"/>
      <c r="E1419" s="1895"/>
      <c r="F1419" s="1896"/>
      <c r="G1419" s="1897"/>
      <c r="H1419" s="90"/>
      <c r="I1419" s="90"/>
      <c r="J1419" s="90"/>
      <c r="K1419" s="90"/>
      <c r="L1419" s="1901"/>
      <c r="M1419" s="643"/>
      <c r="N1419" s="643"/>
      <c r="O1419" s="658"/>
      <c r="P1419" s="658"/>
      <c r="Q1419" s="1899"/>
      <c r="R1419" s="430"/>
      <c r="S1419" s="430"/>
      <c r="T1419" s="430"/>
      <c r="U1419" s="430"/>
      <c r="V1419" s="430"/>
      <c r="W1419" s="90"/>
      <c r="X1419" s="90"/>
      <c r="Y1419" s="90"/>
    </row>
    <row r="1420" spans="3:25" ht="15.75" customHeight="1">
      <c r="C1420" s="90"/>
      <c r="D1420" s="1900"/>
      <c r="E1420" s="1895"/>
      <c r="F1420" s="1896"/>
      <c r="G1420" s="1897"/>
      <c r="H1420" s="90"/>
      <c r="I1420" s="90"/>
      <c r="J1420" s="90"/>
      <c r="K1420" s="90"/>
      <c r="L1420" s="1901"/>
      <c r="M1420" s="643"/>
      <c r="N1420" s="643"/>
      <c r="O1420" s="658"/>
      <c r="P1420" s="658"/>
      <c r="Q1420" s="1899"/>
      <c r="R1420" s="430"/>
      <c r="S1420" s="430"/>
      <c r="T1420" s="430"/>
      <c r="U1420" s="430"/>
      <c r="V1420" s="430"/>
      <c r="W1420" s="90"/>
      <c r="X1420" s="90"/>
      <c r="Y1420" s="90"/>
    </row>
    <row r="1421" spans="3:25" ht="15.75" customHeight="1">
      <c r="C1421" s="90"/>
      <c r="D1421" s="1900"/>
      <c r="E1421" s="1895"/>
      <c r="F1421" s="1896"/>
      <c r="G1421" s="1897"/>
      <c r="H1421" s="90"/>
      <c r="I1421" s="90"/>
      <c r="J1421" s="90"/>
      <c r="K1421" s="90"/>
      <c r="L1421" s="1901"/>
      <c r="M1421" s="643"/>
      <c r="N1421" s="643"/>
      <c r="O1421" s="658"/>
      <c r="P1421" s="658"/>
      <c r="Q1421" s="1899"/>
      <c r="R1421" s="430"/>
      <c r="S1421" s="430"/>
      <c r="T1421" s="430"/>
      <c r="U1421" s="430"/>
      <c r="V1421" s="430"/>
      <c r="W1421" s="90"/>
      <c r="X1421" s="90"/>
      <c r="Y1421" s="90"/>
    </row>
    <row r="1422" spans="3:25" ht="15.75" customHeight="1">
      <c r="C1422" s="90"/>
      <c r="D1422" s="1900"/>
      <c r="E1422" s="1895"/>
      <c r="F1422" s="1896"/>
      <c r="G1422" s="1897"/>
      <c r="H1422" s="90"/>
      <c r="I1422" s="90"/>
      <c r="J1422" s="90"/>
      <c r="K1422" s="90"/>
      <c r="L1422" s="1901"/>
      <c r="M1422" s="643"/>
      <c r="N1422" s="643"/>
      <c r="O1422" s="658"/>
      <c r="P1422" s="658"/>
      <c r="Q1422" s="1899"/>
      <c r="R1422" s="430"/>
      <c r="S1422" s="430"/>
      <c r="T1422" s="430"/>
      <c r="U1422" s="430"/>
      <c r="V1422" s="430"/>
      <c r="W1422" s="90"/>
      <c r="X1422" s="90"/>
      <c r="Y1422" s="90"/>
    </row>
    <row r="1423" spans="3:25" ht="15.75" customHeight="1">
      <c r="C1423" s="90"/>
      <c r="D1423" s="1900"/>
      <c r="E1423" s="1895"/>
      <c r="F1423" s="1896"/>
      <c r="G1423" s="1897"/>
      <c r="H1423" s="90"/>
      <c r="I1423" s="90"/>
      <c r="J1423" s="90"/>
      <c r="K1423" s="90"/>
      <c r="L1423" s="1901"/>
      <c r="M1423" s="643"/>
      <c r="N1423" s="643"/>
      <c r="O1423" s="658"/>
      <c r="P1423" s="658"/>
      <c r="Q1423" s="1899"/>
      <c r="R1423" s="430"/>
      <c r="S1423" s="430"/>
      <c r="T1423" s="430"/>
      <c r="U1423" s="430"/>
      <c r="V1423" s="430"/>
      <c r="W1423" s="90"/>
      <c r="X1423" s="90"/>
      <c r="Y1423" s="90"/>
    </row>
    <row r="1424" spans="3:25" ht="15.75" customHeight="1">
      <c r="C1424" s="90"/>
      <c r="D1424" s="1900"/>
      <c r="E1424" s="1895"/>
      <c r="F1424" s="1896"/>
      <c r="G1424" s="1897"/>
      <c r="H1424" s="90"/>
      <c r="I1424" s="90"/>
      <c r="J1424" s="90"/>
      <c r="K1424" s="90"/>
      <c r="L1424" s="1901"/>
      <c r="M1424" s="643"/>
      <c r="N1424" s="643"/>
      <c r="O1424" s="658"/>
      <c r="P1424" s="658"/>
      <c r="Q1424" s="1899"/>
      <c r="R1424" s="430"/>
      <c r="S1424" s="430"/>
      <c r="T1424" s="430"/>
      <c r="U1424" s="430"/>
      <c r="V1424" s="430"/>
      <c r="W1424" s="90"/>
      <c r="X1424" s="90"/>
      <c r="Y1424" s="90"/>
    </row>
    <row r="1425" spans="3:25" ht="15.75" customHeight="1">
      <c r="C1425" s="90"/>
      <c r="D1425" s="1900"/>
      <c r="E1425" s="1895"/>
      <c r="F1425" s="1896"/>
      <c r="G1425" s="1897"/>
      <c r="H1425" s="90"/>
      <c r="I1425" s="90"/>
      <c r="J1425" s="90"/>
      <c r="K1425" s="90"/>
      <c r="L1425" s="1901"/>
      <c r="M1425" s="643"/>
      <c r="N1425" s="643"/>
      <c r="O1425" s="658"/>
      <c r="P1425" s="658"/>
      <c r="Q1425" s="1899"/>
      <c r="R1425" s="430"/>
      <c r="S1425" s="430"/>
      <c r="T1425" s="430"/>
      <c r="U1425" s="430"/>
      <c r="V1425" s="430"/>
      <c r="W1425" s="90"/>
      <c r="X1425" s="90"/>
      <c r="Y1425" s="90"/>
    </row>
    <row r="1426" spans="3:25" ht="15.75" customHeight="1">
      <c r="C1426" s="90"/>
      <c r="D1426" s="1900"/>
      <c r="E1426" s="1895"/>
      <c r="F1426" s="1896"/>
      <c r="G1426" s="1897"/>
      <c r="H1426" s="90"/>
      <c r="I1426" s="90"/>
      <c r="J1426" s="90"/>
      <c r="K1426" s="90"/>
      <c r="L1426" s="1901"/>
      <c r="M1426" s="643"/>
      <c r="N1426" s="643"/>
      <c r="O1426" s="658"/>
      <c r="P1426" s="658"/>
      <c r="Q1426" s="1899"/>
      <c r="R1426" s="430"/>
      <c r="S1426" s="430"/>
      <c r="T1426" s="430"/>
      <c r="U1426" s="430"/>
      <c r="V1426" s="430"/>
      <c r="W1426" s="90"/>
      <c r="X1426" s="90"/>
      <c r="Y1426" s="90"/>
    </row>
    <row r="1427" spans="3:25" ht="15.75" customHeight="1">
      <c r="C1427" s="90"/>
      <c r="D1427" s="1900"/>
      <c r="E1427" s="1895"/>
      <c r="F1427" s="1896"/>
      <c r="G1427" s="1897"/>
      <c r="H1427" s="90"/>
      <c r="I1427" s="90"/>
      <c r="J1427" s="90"/>
      <c r="K1427" s="90"/>
      <c r="L1427" s="1901"/>
      <c r="M1427" s="643"/>
      <c r="N1427" s="643"/>
      <c r="O1427" s="658"/>
      <c r="P1427" s="658"/>
      <c r="Q1427" s="1899"/>
      <c r="R1427" s="430"/>
      <c r="S1427" s="430"/>
      <c r="T1427" s="430"/>
      <c r="U1427" s="430"/>
      <c r="V1427" s="430"/>
      <c r="W1427" s="90"/>
      <c r="X1427" s="90"/>
      <c r="Y1427" s="90"/>
    </row>
    <row r="1428" spans="3:25" ht="15.75" customHeight="1">
      <c r="C1428" s="90"/>
      <c r="D1428" s="1900"/>
      <c r="E1428" s="1895"/>
      <c r="F1428" s="1896"/>
      <c r="G1428" s="1897"/>
      <c r="H1428" s="90"/>
      <c r="I1428" s="90"/>
      <c r="J1428" s="90"/>
      <c r="K1428" s="90"/>
      <c r="L1428" s="1901"/>
      <c r="M1428" s="643"/>
      <c r="N1428" s="643"/>
      <c r="O1428" s="658"/>
      <c r="P1428" s="658"/>
      <c r="Q1428" s="1899"/>
      <c r="R1428" s="430"/>
      <c r="S1428" s="430"/>
      <c r="T1428" s="430"/>
      <c r="U1428" s="430"/>
      <c r="V1428" s="430"/>
      <c r="W1428" s="90"/>
      <c r="X1428" s="90"/>
      <c r="Y1428" s="90"/>
    </row>
    <row r="1429" spans="3:25" ht="15.75" customHeight="1">
      <c r="C1429" s="90"/>
      <c r="D1429" s="1900"/>
      <c r="E1429" s="1895"/>
      <c r="F1429" s="1896"/>
      <c r="G1429" s="1897"/>
      <c r="H1429" s="90"/>
      <c r="I1429" s="90"/>
      <c r="J1429" s="90"/>
      <c r="K1429" s="90"/>
      <c r="L1429" s="1901"/>
      <c r="M1429" s="643"/>
      <c r="N1429" s="643"/>
      <c r="O1429" s="658"/>
      <c r="P1429" s="658"/>
      <c r="Q1429" s="1899"/>
      <c r="R1429" s="430"/>
      <c r="S1429" s="430"/>
      <c r="T1429" s="430"/>
      <c r="U1429" s="430"/>
      <c r="V1429" s="430"/>
      <c r="W1429" s="90"/>
      <c r="X1429" s="90"/>
      <c r="Y1429" s="90"/>
    </row>
    <row r="1430" spans="3:25" ht="15.75" customHeight="1">
      <c r="C1430" s="90"/>
      <c r="D1430" s="1900"/>
      <c r="E1430" s="1895"/>
      <c r="F1430" s="1896"/>
      <c r="G1430" s="1897"/>
      <c r="H1430" s="90"/>
      <c r="I1430" s="90"/>
      <c r="J1430" s="90"/>
      <c r="K1430" s="90"/>
      <c r="L1430" s="1901"/>
      <c r="M1430" s="643"/>
      <c r="N1430" s="643"/>
      <c r="O1430" s="658"/>
      <c r="P1430" s="658"/>
      <c r="Q1430" s="1899"/>
      <c r="R1430" s="430"/>
      <c r="S1430" s="430"/>
      <c r="T1430" s="430"/>
      <c r="U1430" s="430"/>
      <c r="V1430" s="430"/>
      <c r="W1430" s="90"/>
      <c r="X1430" s="90"/>
      <c r="Y1430" s="90"/>
    </row>
    <row r="1431" spans="3:25" ht="15.75" customHeight="1">
      <c r="C1431" s="90"/>
      <c r="D1431" s="1900"/>
      <c r="E1431" s="1895"/>
      <c r="F1431" s="1896"/>
      <c r="G1431" s="1897"/>
      <c r="H1431" s="90"/>
      <c r="I1431" s="90"/>
      <c r="J1431" s="90"/>
      <c r="K1431" s="90"/>
      <c r="L1431" s="1901"/>
      <c r="M1431" s="643"/>
      <c r="N1431" s="643"/>
      <c r="O1431" s="658"/>
      <c r="P1431" s="658"/>
      <c r="Q1431" s="1899"/>
      <c r="R1431" s="430"/>
      <c r="S1431" s="430"/>
      <c r="T1431" s="430"/>
      <c r="U1431" s="430"/>
      <c r="V1431" s="430"/>
      <c r="W1431" s="90"/>
      <c r="X1431" s="90"/>
      <c r="Y1431" s="90"/>
    </row>
    <row r="1432" spans="3:25" ht="15.75" customHeight="1">
      <c r="C1432" s="90"/>
      <c r="D1432" s="1900"/>
      <c r="E1432" s="1895"/>
      <c r="F1432" s="1896"/>
      <c r="G1432" s="1897"/>
      <c r="H1432" s="90"/>
      <c r="I1432" s="90"/>
      <c r="J1432" s="90"/>
      <c r="K1432" s="90"/>
      <c r="L1432" s="1901"/>
      <c r="M1432" s="643"/>
      <c r="N1432" s="643"/>
      <c r="O1432" s="658"/>
      <c r="P1432" s="658"/>
      <c r="Q1432" s="1899"/>
      <c r="R1432" s="430"/>
      <c r="S1432" s="430"/>
      <c r="T1432" s="430"/>
      <c r="U1432" s="430"/>
      <c r="V1432" s="430"/>
      <c r="W1432" s="90"/>
      <c r="X1432" s="90"/>
      <c r="Y1432" s="90"/>
    </row>
    <row r="1433" spans="3:25" ht="15.75" customHeight="1">
      <c r="C1433" s="90"/>
      <c r="D1433" s="1900"/>
      <c r="E1433" s="1895"/>
      <c r="F1433" s="1896"/>
      <c r="G1433" s="1897"/>
      <c r="H1433" s="90"/>
      <c r="I1433" s="90"/>
      <c r="J1433" s="90"/>
      <c r="K1433" s="90"/>
      <c r="L1433" s="1901"/>
      <c r="M1433" s="643"/>
      <c r="N1433" s="643"/>
      <c r="O1433" s="658"/>
      <c r="P1433" s="658"/>
      <c r="Q1433" s="1899"/>
      <c r="R1433" s="430"/>
      <c r="S1433" s="430"/>
      <c r="T1433" s="430"/>
      <c r="U1433" s="430"/>
      <c r="V1433" s="430"/>
      <c r="W1433" s="90"/>
      <c r="X1433" s="90"/>
      <c r="Y1433" s="90"/>
    </row>
    <row r="1434" spans="3:25" ht="15.75" customHeight="1">
      <c r="C1434" s="90"/>
      <c r="D1434" s="1900"/>
      <c r="E1434" s="1895"/>
      <c r="F1434" s="1896"/>
      <c r="G1434" s="1897"/>
      <c r="H1434" s="90"/>
      <c r="I1434" s="90"/>
      <c r="J1434" s="90"/>
      <c r="K1434" s="90"/>
      <c r="L1434" s="1901"/>
      <c r="M1434" s="643"/>
      <c r="N1434" s="643"/>
      <c r="O1434" s="658"/>
      <c r="P1434" s="658"/>
      <c r="Q1434" s="1899"/>
      <c r="R1434" s="430"/>
      <c r="S1434" s="430"/>
      <c r="T1434" s="430"/>
      <c r="U1434" s="430"/>
      <c r="V1434" s="430"/>
      <c r="W1434" s="90"/>
      <c r="X1434" s="90"/>
      <c r="Y1434" s="90"/>
    </row>
    <row r="1435" spans="3:25" ht="15.75" customHeight="1">
      <c r="C1435" s="90"/>
      <c r="D1435" s="1900"/>
      <c r="E1435" s="1895"/>
      <c r="F1435" s="1896"/>
      <c r="G1435" s="1897"/>
      <c r="H1435" s="90"/>
      <c r="I1435" s="90"/>
      <c r="J1435" s="90"/>
      <c r="K1435" s="90"/>
      <c r="L1435" s="1901"/>
      <c r="M1435" s="643"/>
      <c r="N1435" s="643"/>
      <c r="O1435" s="658"/>
      <c r="P1435" s="658"/>
      <c r="Q1435" s="1899"/>
      <c r="R1435" s="430"/>
      <c r="S1435" s="430"/>
      <c r="T1435" s="430"/>
      <c r="U1435" s="430"/>
      <c r="V1435" s="430"/>
      <c r="W1435" s="90"/>
      <c r="X1435" s="90"/>
      <c r="Y1435" s="90"/>
    </row>
    <row r="1436" spans="3:25" ht="15.75" customHeight="1">
      <c r="C1436" s="90"/>
      <c r="D1436" s="1900"/>
      <c r="E1436" s="1895"/>
      <c r="F1436" s="1896"/>
      <c r="G1436" s="1897"/>
      <c r="H1436" s="90"/>
      <c r="I1436" s="90"/>
      <c r="J1436" s="90"/>
      <c r="K1436" s="90"/>
      <c r="L1436" s="1901"/>
      <c r="M1436" s="643"/>
      <c r="N1436" s="643"/>
      <c r="O1436" s="658"/>
      <c r="P1436" s="658"/>
      <c r="Q1436" s="1899"/>
      <c r="R1436" s="430"/>
      <c r="S1436" s="430"/>
      <c r="T1436" s="430"/>
      <c r="U1436" s="430"/>
      <c r="V1436" s="430"/>
      <c r="W1436" s="90"/>
      <c r="X1436" s="90"/>
      <c r="Y1436" s="90"/>
    </row>
    <row r="1437" spans="3:25" ht="15.75" customHeight="1">
      <c r="C1437" s="90"/>
      <c r="D1437" s="1900"/>
      <c r="E1437" s="1895"/>
      <c r="F1437" s="1896"/>
      <c r="G1437" s="1897"/>
      <c r="H1437" s="90"/>
      <c r="I1437" s="90"/>
      <c r="J1437" s="90"/>
      <c r="K1437" s="90"/>
      <c r="L1437" s="1901"/>
      <c r="M1437" s="643"/>
      <c r="N1437" s="643"/>
      <c r="O1437" s="658"/>
      <c r="P1437" s="658"/>
      <c r="Q1437" s="1899"/>
      <c r="R1437" s="430"/>
      <c r="S1437" s="430"/>
      <c r="T1437" s="430"/>
      <c r="U1437" s="430"/>
      <c r="V1437" s="430"/>
      <c r="W1437" s="90"/>
      <c r="X1437" s="90"/>
      <c r="Y1437" s="90"/>
    </row>
    <row r="1438" spans="3:25" ht="15.75" customHeight="1">
      <c r="C1438" s="90"/>
      <c r="D1438" s="1900"/>
      <c r="E1438" s="1895"/>
      <c r="F1438" s="1896"/>
      <c r="G1438" s="1897"/>
      <c r="H1438" s="90"/>
      <c r="I1438" s="90"/>
      <c r="J1438" s="90"/>
      <c r="K1438" s="90"/>
      <c r="L1438" s="1901"/>
      <c r="M1438" s="643"/>
      <c r="N1438" s="643"/>
      <c r="O1438" s="658"/>
      <c r="P1438" s="658"/>
      <c r="Q1438" s="1899"/>
      <c r="R1438" s="430"/>
      <c r="S1438" s="430"/>
      <c r="T1438" s="430"/>
      <c r="U1438" s="430"/>
      <c r="V1438" s="430"/>
      <c r="W1438" s="90"/>
      <c r="X1438" s="90"/>
      <c r="Y1438" s="90"/>
    </row>
    <row r="1439" spans="3:25" ht="15.75" customHeight="1">
      <c r="C1439" s="90"/>
      <c r="D1439" s="1900"/>
      <c r="E1439" s="1895"/>
      <c r="F1439" s="1896"/>
      <c r="G1439" s="1897"/>
      <c r="H1439" s="90"/>
      <c r="I1439" s="90"/>
      <c r="J1439" s="90"/>
      <c r="K1439" s="90"/>
      <c r="L1439" s="1901"/>
      <c r="M1439" s="643"/>
      <c r="N1439" s="643"/>
      <c r="O1439" s="658"/>
      <c r="P1439" s="658"/>
      <c r="Q1439" s="1899"/>
      <c r="R1439" s="430"/>
      <c r="S1439" s="430"/>
      <c r="T1439" s="430"/>
      <c r="U1439" s="430"/>
      <c r="V1439" s="430"/>
      <c r="W1439" s="90"/>
      <c r="X1439" s="90"/>
      <c r="Y1439" s="90"/>
    </row>
    <row r="1440" spans="3:25" ht="15.75" customHeight="1">
      <c r="C1440" s="90"/>
      <c r="D1440" s="1900"/>
      <c r="E1440" s="1895"/>
      <c r="F1440" s="1896"/>
      <c r="G1440" s="1897"/>
      <c r="H1440" s="90"/>
      <c r="I1440" s="90"/>
      <c r="J1440" s="90"/>
      <c r="K1440" s="90"/>
      <c r="L1440" s="1901"/>
      <c r="M1440" s="643"/>
      <c r="N1440" s="643"/>
      <c r="O1440" s="658"/>
      <c r="P1440" s="658"/>
      <c r="Q1440" s="1899"/>
      <c r="R1440" s="430"/>
      <c r="S1440" s="430"/>
      <c r="T1440" s="430"/>
      <c r="U1440" s="430"/>
      <c r="V1440" s="430"/>
      <c r="W1440" s="90"/>
      <c r="X1440" s="90"/>
      <c r="Y1440" s="90"/>
    </row>
    <row r="1441" spans="3:25" ht="15.75" customHeight="1">
      <c r="C1441" s="90"/>
      <c r="D1441" s="1900"/>
      <c r="E1441" s="1895"/>
      <c r="F1441" s="1896"/>
      <c r="G1441" s="1897"/>
      <c r="H1441" s="90"/>
      <c r="I1441" s="90"/>
      <c r="J1441" s="90"/>
      <c r="K1441" s="90"/>
      <c r="L1441" s="1901"/>
      <c r="M1441" s="643"/>
      <c r="N1441" s="643"/>
      <c r="O1441" s="658"/>
      <c r="P1441" s="658"/>
      <c r="Q1441" s="1899"/>
      <c r="R1441" s="430"/>
      <c r="S1441" s="430"/>
      <c r="T1441" s="430"/>
      <c r="U1441" s="430"/>
      <c r="V1441" s="430"/>
      <c r="W1441" s="90"/>
      <c r="X1441" s="90"/>
      <c r="Y1441" s="90"/>
    </row>
    <row r="1442" spans="3:25" ht="15.75" customHeight="1">
      <c r="C1442" s="90"/>
      <c r="D1442" s="1900"/>
      <c r="E1442" s="1895"/>
      <c r="F1442" s="1896"/>
      <c r="G1442" s="1897"/>
      <c r="H1442" s="90"/>
      <c r="I1442" s="90"/>
      <c r="J1442" s="90"/>
      <c r="K1442" s="90"/>
      <c r="L1442" s="1901"/>
      <c r="M1442" s="643"/>
      <c r="N1442" s="643"/>
      <c r="O1442" s="658"/>
      <c r="P1442" s="658"/>
      <c r="Q1442" s="1899"/>
      <c r="R1442" s="430"/>
      <c r="S1442" s="430"/>
      <c r="T1442" s="430"/>
      <c r="U1442" s="430"/>
      <c r="V1442" s="430"/>
      <c r="W1442" s="90"/>
      <c r="X1442" s="90"/>
      <c r="Y1442" s="90"/>
    </row>
    <row r="1443" spans="3:25" ht="15.75" customHeight="1">
      <c r="C1443" s="90"/>
      <c r="D1443" s="1900"/>
      <c r="E1443" s="1895"/>
      <c r="F1443" s="1896"/>
      <c r="G1443" s="1897"/>
      <c r="H1443" s="90"/>
      <c r="I1443" s="90"/>
      <c r="J1443" s="90"/>
      <c r="K1443" s="90"/>
      <c r="L1443" s="1901"/>
      <c r="M1443" s="643"/>
      <c r="N1443" s="643"/>
      <c r="O1443" s="658"/>
      <c r="P1443" s="658"/>
      <c r="Q1443" s="1899"/>
      <c r="R1443" s="430"/>
      <c r="S1443" s="430"/>
      <c r="T1443" s="430"/>
      <c r="U1443" s="430"/>
      <c r="V1443" s="430"/>
      <c r="W1443" s="90"/>
      <c r="X1443" s="90"/>
      <c r="Y1443" s="90"/>
    </row>
    <row r="1444" spans="3:25" ht="15.75" customHeight="1">
      <c r="C1444" s="90"/>
      <c r="D1444" s="1900"/>
      <c r="E1444" s="1895"/>
      <c r="F1444" s="1896"/>
      <c r="G1444" s="1897"/>
      <c r="H1444" s="90"/>
      <c r="I1444" s="90"/>
      <c r="J1444" s="90"/>
      <c r="K1444" s="90"/>
      <c r="L1444" s="1901"/>
      <c r="M1444" s="643"/>
      <c r="N1444" s="643"/>
      <c r="O1444" s="658"/>
      <c r="P1444" s="658"/>
      <c r="Q1444" s="1899"/>
      <c r="R1444" s="430"/>
      <c r="S1444" s="430"/>
      <c r="T1444" s="430"/>
      <c r="U1444" s="430"/>
      <c r="V1444" s="430"/>
      <c r="W1444" s="90"/>
      <c r="X1444" s="90"/>
      <c r="Y1444" s="90"/>
    </row>
    <row r="1445" spans="3:25" ht="15.75" customHeight="1">
      <c r="C1445" s="90"/>
      <c r="D1445" s="1900"/>
      <c r="E1445" s="1895"/>
      <c r="F1445" s="1896"/>
      <c r="G1445" s="1897"/>
      <c r="H1445" s="90"/>
      <c r="I1445" s="90"/>
      <c r="J1445" s="90"/>
      <c r="K1445" s="90"/>
      <c r="L1445" s="1901"/>
      <c r="M1445" s="643"/>
      <c r="N1445" s="643"/>
      <c r="O1445" s="658"/>
      <c r="P1445" s="658"/>
      <c r="Q1445" s="1899"/>
      <c r="R1445" s="430"/>
      <c r="S1445" s="430"/>
      <c r="T1445" s="430"/>
      <c r="U1445" s="430"/>
      <c r="V1445" s="430"/>
      <c r="W1445" s="90"/>
      <c r="X1445" s="90"/>
      <c r="Y1445" s="90"/>
    </row>
    <row r="1446" spans="3:25" ht="15.75" customHeight="1">
      <c r="C1446" s="90"/>
      <c r="D1446" s="1900"/>
      <c r="E1446" s="1895"/>
      <c r="F1446" s="1896"/>
      <c r="G1446" s="1897"/>
      <c r="H1446" s="90"/>
      <c r="I1446" s="90"/>
      <c r="J1446" s="90"/>
      <c r="K1446" s="90"/>
      <c r="L1446" s="1901"/>
      <c r="M1446" s="643"/>
      <c r="N1446" s="643"/>
      <c r="O1446" s="658"/>
      <c r="P1446" s="658"/>
      <c r="Q1446" s="1899"/>
      <c r="R1446" s="430"/>
      <c r="S1446" s="430"/>
      <c r="T1446" s="430"/>
      <c r="U1446" s="430"/>
      <c r="V1446" s="430"/>
      <c r="W1446" s="90"/>
      <c r="X1446" s="90"/>
      <c r="Y1446" s="90"/>
    </row>
    <row r="1447" spans="3:25" ht="15.75" customHeight="1">
      <c r="C1447" s="90"/>
      <c r="D1447" s="1900"/>
      <c r="E1447" s="1895"/>
      <c r="F1447" s="1896"/>
      <c r="G1447" s="1897"/>
      <c r="H1447" s="90"/>
      <c r="I1447" s="90"/>
      <c r="J1447" s="90"/>
      <c r="K1447" s="90"/>
      <c r="L1447" s="1901"/>
      <c r="M1447" s="643"/>
      <c r="N1447" s="643"/>
      <c r="O1447" s="658"/>
      <c r="P1447" s="658"/>
      <c r="Q1447" s="1899"/>
      <c r="R1447" s="430"/>
      <c r="S1447" s="430"/>
      <c r="T1447" s="430"/>
      <c r="U1447" s="430"/>
      <c r="V1447" s="430"/>
      <c r="W1447" s="90"/>
      <c r="X1447" s="90"/>
      <c r="Y1447" s="90"/>
    </row>
    <row r="1448" spans="3:25" ht="15.75" customHeight="1">
      <c r="C1448" s="90"/>
      <c r="D1448" s="1900"/>
      <c r="E1448" s="1895"/>
      <c r="F1448" s="1896"/>
      <c r="G1448" s="1897"/>
      <c r="H1448" s="90"/>
      <c r="I1448" s="90"/>
      <c r="J1448" s="90"/>
      <c r="K1448" s="90"/>
      <c r="L1448" s="1901"/>
      <c r="M1448" s="643"/>
      <c r="N1448" s="643"/>
      <c r="O1448" s="658"/>
      <c r="P1448" s="658"/>
      <c r="Q1448" s="1899"/>
      <c r="R1448" s="430"/>
      <c r="S1448" s="430"/>
      <c r="T1448" s="430"/>
      <c r="U1448" s="430"/>
      <c r="V1448" s="430"/>
      <c r="W1448" s="90"/>
      <c r="X1448" s="90"/>
      <c r="Y1448" s="90"/>
    </row>
    <row r="1449" spans="3:25" ht="15.75" customHeight="1">
      <c r="C1449" s="90"/>
      <c r="D1449" s="1900"/>
      <c r="E1449" s="1895"/>
      <c r="F1449" s="1896"/>
      <c r="G1449" s="1897"/>
      <c r="H1449" s="90"/>
      <c r="I1449" s="90"/>
      <c r="J1449" s="90"/>
      <c r="K1449" s="90"/>
      <c r="L1449" s="1901"/>
      <c r="M1449" s="643"/>
      <c r="N1449" s="643"/>
      <c r="O1449" s="658"/>
      <c r="P1449" s="658"/>
      <c r="Q1449" s="1899"/>
      <c r="R1449" s="430"/>
      <c r="S1449" s="430"/>
      <c r="T1449" s="430"/>
      <c r="U1449" s="430"/>
      <c r="V1449" s="430"/>
      <c r="W1449" s="90"/>
      <c r="X1449" s="90"/>
      <c r="Y1449" s="90"/>
    </row>
    <row r="1450" spans="3:25" ht="15.75" customHeight="1">
      <c r="C1450" s="90"/>
      <c r="D1450" s="1900"/>
      <c r="E1450" s="1895"/>
      <c r="F1450" s="1896"/>
      <c r="G1450" s="1897"/>
      <c r="H1450" s="90"/>
      <c r="I1450" s="90"/>
      <c r="J1450" s="90"/>
      <c r="K1450" s="90"/>
      <c r="L1450" s="1901"/>
      <c r="M1450" s="643"/>
      <c r="N1450" s="643"/>
      <c r="O1450" s="658"/>
      <c r="P1450" s="658"/>
      <c r="Q1450" s="1899"/>
      <c r="R1450" s="430"/>
      <c r="S1450" s="430"/>
      <c r="T1450" s="430"/>
      <c r="U1450" s="430"/>
      <c r="V1450" s="430"/>
      <c r="W1450" s="90"/>
      <c r="X1450" s="90"/>
      <c r="Y1450" s="90"/>
    </row>
    <row r="1451" spans="3:25" ht="15.75" customHeight="1">
      <c r="C1451" s="90"/>
      <c r="D1451" s="1900"/>
      <c r="E1451" s="1895"/>
      <c r="F1451" s="1896"/>
      <c r="G1451" s="1897"/>
      <c r="H1451" s="90"/>
      <c r="I1451" s="90"/>
      <c r="J1451" s="90"/>
      <c r="K1451" s="90"/>
      <c r="L1451" s="1901"/>
      <c r="M1451" s="643"/>
      <c r="N1451" s="643"/>
      <c r="O1451" s="658"/>
      <c r="P1451" s="658"/>
      <c r="Q1451" s="1899"/>
      <c r="R1451" s="430"/>
      <c r="S1451" s="430"/>
      <c r="T1451" s="430"/>
      <c r="U1451" s="430"/>
      <c r="V1451" s="430"/>
      <c r="W1451" s="90"/>
      <c r="X1451" s="90"/>
      <c r="Y1451" s="90"/>
    </row>
    <row r="1452" spans="3:25" ht="15.75" customHeight="1">
      <c r="C1452" s="90"/>
      <c r="D1452" s="1900"/>
      <c r="E1452" s="1895"/>
      <c r="F1452" s="1896"/>
      <c r="G1452" s="1897"/>
      <c r="H1452" s="90"/>
      <c r="I1452" s="90"/>
      <c r="J1452" s="90"/>
      <c r="K1452" s="90"/>
      <c r="L1452" s="1901"/>
      <c r="M1452" s="643"/>
      <c r="N1452" s="643"/>
      <c r="O1452" s="658"/>
      <c r="P1452" s="658"/>
      <c r="Q1452" s="1899"/>
      <c r="R1452" s="430"/>
      <c r="S1452" s="430"/>
      <c r="T1452" s="430"/>
      <c r="U1452" s="430"/>
      <c r="V1452" s="430"/>
      <c r="W1452" s="90"/>
      <c r="X1452" s="90"/>
      <c r="Y1452" s="90"/>
    </row>
    <row r="1453" spans="3:25" ht="15.75" customHeight="1">
      <c r="C1453" s="90"/>
      <c r="D1453" s="1900"/>
      <c r="E1453" s="1895"/>
      <c r="F1453" s="1896"/>
      <c r="G1453" s="1897"/>
      <c r="H1453" s="90"/>
      <c r="I1453" s="90"/>
      <c r="J1453" s="90"/>
      <c r="K1453" s="90"/>
      <c r="L1453" s="1901"/>
      <c r="M1453" s="643"/>
      <c r="N1453" s="643"/>
      <c r="O1453" s="658"/>
      <c r="P1453" s="658"/>
      <c r="Q1453" s="1899"/>
      <c r="R1453" s="430"/>
      <c r="S1453" s="430"/>
      <c r="T1453" s="430"/>
      <c r="U1453" s="430"/>
      <c r="V1453" s="430"/>
      <c r="W1453" s="90"/>
      <c r="X1453" s="90"/>
      <c r="Y1453" s="90"/>
    </row>
    <row r="1454" spans="3:25" ht="15.75" customHeight="1">
      <c r="C1454" s="90"/>
      <c r="D1454" s="1900"/>
      <c r="E1454" s="1895"/>
      <c r="F1454" s="1896"/>
      <c r="G1454" s="1897"/>
      <c r="H1454" s="90"/>
      <c r="I1454" s="90"/>
      <c r="J1454" s="90"/>
      <c r="K1454" s="90"/>
      <c r="L1454" s="1901"/>
      <c r="M1454" s="643"/>
      <c r="N1454" s="643"/>
      <c r="O1454" s="658"/>
      <c r="P1454" s="658"/>
      <c r="Q1454" s="1899"/>
      <c r="R1454" s="430"/>
      <c r="S1454" s="430"/>
      <c r="T1454" s="430"/>
      <c r="U1454" s="430"/>
      <c r="V1454" s="430"/>
      <c r="W1454" s="90"/>
      <c r="X1454" s="90"/>
      <c r="Y1454" s="90"/>
    </row>
    <row r="1455" spans="3:25" ht="15.75" customHeight="1">
      <c r="C1455" s="90"/>
      <c r="D1455" s="1900"/>
      <c r="E1455" s="1895"/>
      <c r="F1455" s="1896"/>
      <c r="G1455" s="1897"/>
      <c r="H1455" s="90"/>
      <c r="I1455" s="90"/>
      <c r="J1455" s="90"/>
      <c r="K1455" s="90"/>
      <c r="L1455" s="1901"/>
      <c r="M1455" s="643"/>
      <c r="N1455" s="643"/>
      <c r="O1455" s="658"/>
      <c r="P1455" s="658"/>
      <c r="Q1455" s="1899"/>
      <c r="R1455" s="430"/>
      <c r="S1455" s="430"/>
      <c r="T1455" s="430"/>
      <c r="U1455" s="430"/>
      <c r="V1455" s="430"/>
      <c r="W1455" s="90"/>
      <c r="X1455" s="90"/>
      <c r="Y1455" s="90"/>
    </row>
    <row r="1456" spans="3:25" ht="15.75" customHeight="1">
      <c r="C1456" s="90"/>
      <c r="D1456" s="1900"/>
      <c r="E1456" s="1895"/>
      <c r="F1456" s="1896"/>
      <c r="G1456" s="1897"/>
      <c r="H1456" s="90"/>
      <c r="I1456" s="90"/>
      <c r="J1456" s="90"/>
      <c r="K1456" s="90"/>
      <c r="L1456" s="1901"/>
      <c r="M1456" s="643"/>
      <c r="N1456" s="643"/>
      <c r="O1456" s="658"/>
      <c r="P1456" s="658"/>
      <c r="Q1456" s="1899"/>
      <c r="R1456" s="430"/>
      <c r="S1456" s="430"/>
      <c r="T1456" s="430"/>
      <c r="U1456" s="430"/>
      <c r="V1456" s="430"/>
      <c r="W1456" s="90"/>
      <c r="X1456" s="90"/>
      <c r="Y1456" s="90"/>
    </row>
    <row r="1457" spans="3:25" ht="15.75" customHeight="1">
      <c r="C1457" s="90"/>
      <c r="D1457" s="1900"/>
      <c r="E1457" s="1895"/>
      <c r="F1457" s="1896"/>
      <c r="G1457" s="1897"/>
      <c r="H1457" s="90"/>
      <c r="I1457" s="90"/>
      <c r="J1457" s="90"/>
      <c r="K1457" s="90"/>
      <c r="L1457" s="1901"/>
      <c r="M1457" s="643"/>
      <c r="N1457" s="643"/>
      <c r="O1457" s="658"/>
      <c r="P1457" s="658"/>
      <c r="Q1457" s="1899"/>
      <c r="R1457" s="430"/>
      <c r="S1457" s="430"/>
      <c r="T1457" s="430"/>
      <c r="U1457" s="430"/>
      <c r="V1457" s="430"/>
      <c r="W1457" s="90"/>
      <c r="X1457" s="90"/>
      <c r="Y1457" s="90"/>
    </row>
    <row r="1458" spans="3:25" ht="15.75" customHeight="1">
      <c r="C1458" s="90"/>
      <c r="D1458" s="1900"/>
      <c r="E1458" s="1895"/>
      <c r="F1458" s="1896"/>
      <c r="G1458" s="1897"/>
      <c r="H1458" s="90"/>
      <c r="I1458" s="90"/>
      <c r="J1458" s="90"/>
      <c r="K1458" s="90"/>
      <c r="L1458" s="1901"/>
      <c r="M1458" s="643"/>
      <c r="N1458" s="643"/>
      <c r="O1458" s="658"/>
      <c r="P1458" s="658"/>
      <c r="Q1458" s="1899"/>
      <c r="R1458" s="430"/>
      <c r="S1458" s="430"/>
      <c r="T1458" s="430"/>
      <c r="U1458" s="430"/>
      <c r="V1458" s="430"/>
      <c r="W1458" s="90"/>
      <c r="X1458" s="90"/>
      <c r="Y1458" s="90"/>
    </row>
    <row r="1459" spans="3:25" ht="15.75" customHeight="1">
      <c r="C1459" s="90"/>
      <c r="D1459" s="1900"/>
      <c r="E1459" s="1895"/>
      <c r="F1459" s="1896"/>
      <c r="G1459" s="1897"/>
      <c r="H1459" s="90"/>
      <c r="I1459" s="90"/>
      <c r="J1459" s="90"/>
      <c r="K1459" s="90"/>
      <c r="L1459" s="1901"/>
      <c r="M1459" s="643"/>
      <c r="N1459" s="643"/>
      <c r="O1459" s="658"/>
      <c r="P1459" s="658"/>
      <c r="Q1459" s="1899"/>
      <c r="R1459" s="430"/>
      <c r="S1459" s="430"/>
      <c r="T1459" s="430"/>
      <c r="U1459" s="430"/>
      <c r="V1459" s="430"/>
      <c r="W1459" s="90"/>
      <c r="X1459" s="90"/>
      <c r="Y1459" s="90"/>
    </row>
    <row r="1460" spans="3:25" ht="15.75" customHeight="1">
      <c r="C1460" s="90"/>
      <c r="D1460" s="1900"/>
      <c r="E1460" s="1895"/>
      <c r="F1460" s="1896"/>
      <c r="G1460" s="1897"/>
      <c r="H1460" s="90"/>
      <c r="I1460" s="90"/>
      <c r="J1460" s="90"/>
      <c r="K1460" s="90"/>
      <c r="L1460" s="1901"/>
      <c r="M1460" s="643"/>
      <c r="N1460" s="643"/>
      <c r="O1460" s="658"/>
      <c r="P1460" s="658"/>
      <c r="Q1460" s="1899"/>
      <c r="R1460" s="430"/>
      <c r="S1460" s="430"/>
      <c r="T1460" s="430"/>
      <c r="U1460" s="430"/>
      <c r="V1460" s="430"/>
      <c r="W1460" s="90"/>
      <c r="X1460" s="90"/>
      <c r="Y1460" s="90"/>
    </row>
    <row r="1461" spans="3:25" ht="15.75" customHeight="1">
      <c r="C1461" s="90"/>
      <c r="D1461" s="1900"/>
      <c r="E1461" s="1895"/>
      <c r="F1461" s="1896"/>
      <c r="G1461" s="1897"/>
      <c r="H1461" s="90"/>
      <c r="I1461" s="90"/>
      <c r="J1461" s="90"/>
      <c r="K1461" s="90"/>
      <c r="L1461" s="1901"/>
      <c r="M1461" s="643"/>
      <c r="N1461" s="643"/>
      <c r="O1461" s="658"/>
      <c r="P1461" s="658"/>
      <c r="Q1461" s="1899"/>
      <c r="R1461" s="430"/>
      <c r="S1461" s="430"/>
      <c r="T1461" s="430"/>
      <c r="U1461" s="430"/>
      <c r="V1461" s="430"/>
      <c r="W1461" s="90"/>
      <c r="X1461" s="90"/>
      <c r="Y1461" s="90"/>
    </row>
    <row r="1462" spans="3:25" ht="15.75" customHeight="1">
      <c r="C1462" s="90"/>
      <c r="D1462" s="1900"/>
      <c r="E1462" s="1895"/>
      <c r="F1462" s="1896"/>
      <c r="G1462" s="1897"/>
      <c r="H1462" s="90"/>
      <c r="I1462" s="90"/>
      <c r="J1462" s="90"/>
      <c r="K1462" s="90"/>
      <c r="L1462" s="1901"/>
      <c r="M1462" s="643"/>
      <c r="N1462" s="643"/>
      <c r="O1462" s="658"/>
      <c r="P1462" s="658"/>
      <c r="Q1462" s="1899"/>
      <c r="R1462" s="430"/>
      <c r="S1462" s="430"/>
      <c r="T1462" s="430"/>
      <c r="U1462" s="430"/>
      <c r="V1462" s="430"/>
      <c r="W1462" s="90"/>
      <c r="X1462" s="90"/>
      <c r="Y1462" s="90"/>
    </row>
    <row r="1463" spans="3:25" ht="15.75" customHeight="1">
      <c r="C1463" s="90"/>
      <c r="D1463" s="1900"/>
      <c r="E1463" s="1895"/>
      <c r="F1463" s="1896"/>
      <c r="G1463" s="1897"/>
      <c r="H1463" s="90"/>
      <c r="I1463" s="90"/>
      <c r="J1463" s="90"/>
      <c r="K1463" s="90"/>
      <c r="L1463" s="1901"/>
      <c r="M1463" s="643"/>
      <c r="N1463" s="643"/>
      <c r="O1463" s="658"/>
      <c r="P1463" s="658"/>
      <c r="Q1463" s="1899"/>
      <c r="R1463" s="430"/>
      <c r="S1463" s="430"/>
      <c r="T1463" s="430"/>
      <c r="U1463" s="430"/>
      <c r="V1463" s="430"/>
      <c r="W1463" s="90"/>
      <c r="X1463" s="90"/>
      <c r="Y1463" s="90"/>
    </row>
    <row r="1464" spans="3:25" ht="15.75" customHeight="1">
      <c r="C1464" s="90"/>
      <c r="D1464" s="1900"/>
      <c r="E1464" s="1895"/>
      <c r="F1464" s="1896"/>
      <c r="G1464" s="1897"/>
      <c r="H1464" s="90"/>
      <c r="I1464" s="90"/>
      <c r="J1464" s="90"/>
      <c r="K1464" s="90"/>
      <c r="L1464" s="1901"/>
      <c r="M1464" s="643"/>
      <c r="N1464" s="643"/>
      <c r="O1464" s="658"/>
      <c r="P1464" s="658"/>
      <c r="Q1464" s="1899"/>
      <c r="R1464" s="430"/>
      <c r="S1464" s="430"/>
      <c r="T1464" s="430"/>
      <c r="U1464" s="430"/>
      <c r="V1464" s="430"/>
      <c r="W1464" s="90"/>
      <c r="X1464" s="90"/>
      <c r="Y1464" s="90"/>
    </row>
    <row r="1465" spans="3:25" ht="15.75" customHeight="1">
      <c r="C1465" s="90"/>
      <c r="D1465" s="1900"/>
      <c r="E1465" s="1895"/>
      <c r="F1465" s="1896"/>
      <c r="G1465" s="1897"/>
      <c r="H1465" s="90"/>
      <c r="I1465" s="90"/>
      <c r="J1465" s="90"/>
      <c r="K1465" s="90"/>
      <c r="L1465" s="1901"/>
      <c r="M1465" s="643"/>
      <c r="N1465" s="643"/>
      <c r="O1465" s="658"/>
      <c r="P1465" s="658"/>
      <c r="Q1465" s="1899"/>
      <c r="R1465" s="430"/>
      <c r="S1465" s="430"/>
      <c r="T1465" s="430"/>
      <c r="U1465" s="430"/>
      <c r="V1465" s="430"/>
      <c r="W1465" s="90"/>
      <c r="X1465" s="90"/>
      <c r="Y1465" s="90"/>
    </row>
    <row r="1466" spans="3:25" ht="15.75" customHeight="1">
      <c r="C1466" s="90"/>
      <c r="D1466" s="1900"/>
      <c r="E1466" s="1895"/>
      <c r="F1466" s="1896"/>
      <c r="G1466" s="1897"/>
      <c r="H1466" s="90"/>
      <c r="I1466" s="90"/>
      <c r="J1466" s="90"/>
      <c r="K1466" s="90"/>
      <c r="L1466" s="1901"/>
      <c r="M1466" s="643"/>
      <c r="N1466" s="643"/>
      <c r="O1466" s="658"/>
      <c r="P1466" s="658"/>
      <c r="Q1466" s="1899"/>
      <c r="R1466" s="430"/>
      <c r="S1466" s="430"/>
      <c r="T1466" s="430"/>
      <c r="U1466" s="430"/>
      <c r="V1466" s="430"/>
      <c r="W1466" s="90"/>
      <c r="X1466" s="90"/>
      <c r="Y1466" s="90"/>
    </row>
    <row r="1467" spans="3:25" ht="15.75" customHeight="1">
      <c r="C1467" s="90"/>
      <c r="D1467" s="1900"/>
      <c r="E1467" s="1895"/>
      <c r="F1467" s="1896"/>
      <c r="G1467" s="1897"/>
      <c r="H1467" s="90"/>
      <c r="I1467" s="90"/>
      <c r="J1467" s="90"/>
      <c r="K1467" s="90"/>
      <c r="L1467" s="1901"/>
      <c r="M1467" s="643"/>
      <c r="N1467" s="643"/>
      <c r="O1467" s="658"/>
      <c r="P1467" s="658"/>
      <c r="Q1467" s="1899"/>
      <c r="R1467" s="430"/>
      <c r="S1467" s="430"/>
      <c r="T1467" s="430"/>
      <c r="U1467" s="430"/>
      <c r="V1467" s="430"/>
      <c r="W1467" s="90"/>
      <c r="X1467" s="90"/>
      <c r="Y1467" s="90"/>
    </row>
    <row r="1468" spans="3:25" ht="15.75" customHeight="1">
      <c r="C1468" s="90"/>
      <c r="D1468" s="1900"/>
      <c r="E1468" s="1895"/>
      <c r="F1468" s="1896"/>
      <c r="G1468" s="1897"/>
      <c r="H1468" s="90"/>
      <c r="I1468" s="90"/>
      <c r="J1468" s="90"/>
      <c r="K1468" s="90"/>
      <c r="L1468" s="1901"/>
      <c r="M1468" s="643"/>
      <c r="N1468" s="643"/>
      <c r="O1468" s="658"/>
      <c r="P1468" s="658"/>
      <c r="Q1468" s="1899"/>
      <c r="R1468" s="430"/>
      <c r="S1468" s="430"/>
      <c r="T1468" s="430"/>
      <c r="U1468" s="430"/>
      <c r="V1468" s="430"/>
      <c r="W1468" s="90"/>
      <c r="X1468" s="90"/>
      <c r="Y1468" s="90"/>
    </row>
    <row r="1469" spans="3:25" ht="15.75" customHeight="1">
      <c r="C1469" s="90"/>
      <c r="D1469" s="1900"/>
      <c r="E1469" s="1895"/>
      <c r="F1469" s="1896"/>
      <c r="G1469" s="1897"/>
      <c r="H1469" s="90"/>
      <c r="I1469" s="90"/>
      <c r="J1469" s="90"/>
      <c r="K1469" s="90"/>
      <c r="L1469" s="1901"/>
      <c r="M1469" s="643"/>
      <c r="N1469" s="643"/>
      <c r="O1469" s="658"/>
      <c r="P1469" s="658"/>
      <c r="Q1469" s="1899"/>
      <c r="R1469" s="430"/>
      <c r="S1469" s="430"/>
      <c r="T1469" s="430"/>
      <c r="U1469" s="430"/>
      <c r="V1469" s="430"/>
      <c r="W1469" s="90"/>
      <c r="X1469" s="90"/>
      <c r="Y1469" s="90"/>
    </row>
    <row r="1470" spans="3:25" ht="15.75" customHeight="1">
      <c r="C1470" s="90"/>
      <c r="D1470" s="1900"/>
      <c r="E1470" s="1895"/>
      <c r="F1470" s="1896"/>
      <c r="G1470" s="1897"/>
      <c r="H1470" s="90"/>
      <c r="I1470" s="90"/>
      <c r="J1470" s="90"/>
      <c r="K1470" s="90"/>
      <c r="L1470" s="1901"/>
      <c r="M1470" s="643"/>
      <c r="N1470" s="643"/>
      <c r="O1470" s="658"/>
      <c r="P1470" s="658"/>
      <c r="Q1470" s="1899"/>
      <c r="R1470" s="430"/>
      <c r="S1470" s="430"/>
      <c r="T1470" s="430"/>
      <c r="U1470" s="430"/>
      <c r="V1470" s="430"/>
      <c r="W1470" s="90"/>
      <c r="X1470" s="90"/>
      <c r="Y1470" s="90"/>
    </row>
    <row r="1471" spans="3:25" ht="15.75" customHeight="1">
      <c r="C1471" s="90"/>
      <c r="D1471" s="1900"/>
      <c r="E1471" s="1895"/>
      <c r="F1471" s="1896"/>
      <c r="G1471" s="1897"/>
      <c r="H1471" s="90"/>
      <c r="I1471" s="90"/>
      <c r="J1471" s="90"/>
      <c r="K1471" s="90"/>
      <c r="L1471" s="1901"/>
      <c r="M1471" s="643"/>
      <c r="N1471" s="643"/>
      <c r="O1471" s="658"/>
      <c r="P1471" s="658"/>
      <c r="Q1471" s="1899"/>
      <c r="R1471" s="430"/>
      <c r="S1471" s="430"/>
      <c r="T1471" s="430"/>
      <c r="U1471" s="430"/>
      <c r="V1471" s="430"/>
      <c r="W1471" s="90"/>
      <c r="X1471" s="90"/>
      <c r="Y1471" s="90"/>
    </row>
    <row r="1472" spans="3:25" ht="15.75" customHeight="1">
      <c r="C1472" s="90"/>
      <c r="D1472" s="1900"/>
      <c r="E1472" s="1895"/>
      <c r="F1472" s="1896"/>
      <c r="G1472" s="1897"/>
      <c r="H1472" s="90"/>
      <c r="I1472" s="90"/>
      <c r="J1472" s="90"/>
      <c r="K1472" s="90"/>
      <c r="L1472" s="1901"/>
      <c r="M1472" s="643"/>
      <c r="N1472" s="643"/>
      <c r="O1472" s="658"/>
      <c r="P1472" s="658"/>
      <c r="Q1472" s="1899"/>
      <c r="R1472" s="430"/>
      <c r="S1472" s="430"/>
      <c r="T1472" s="430"/>
      <c r="U1472" s="430"/>
      <c r="V1472" s="430"/>
      <c r="W1472" s="90"/>
      <c r="X1472" s="90"/>
      <c r="Y1472" s="90"/>
    </row>
    <row r="1473" spans="3:25" ht="15.75" customHeight="1">
      <c r="C1473" s="90"/>
      <c r="D1473" s="1900"/>
      <c r="E1473" s="1895"/>
      <c r="F1473" s="1896"/>
      <c r="G1473" s="1897"/>
      <c r="H1473" s="90"/>
      <c r="I1473" s="90"/>
      <c r="J1473" s="90"/>
      <c r="K1473" s="90"/>
      <c r="L1473" s="1901"/>
      <c r="M1473" s="643"/>
      <c r="N1473" s="643"/>
      <c r="O1473" s="658"/>
      <c r="P1473" s="658"/>
      <c r="Q1473" s="1899"/>
      <c r="R1473" s="430"/>
      <c r="S1473" s="430"/>
      <c r="T1473" s="430"/>
      <c r="U1473" s="430"/>
      <c r="V1473" s="430"/>
      <c r="W1473" s="90"/>
      <c r="X1473" s="90"/>
      <c r="Y1473" s="90"/>
    </row>
    <row r="1474" spans="3:25" ht="15.75" customHeight="1">
      <c r="C1474" s="90"/>
      <c r="D1474" s="1900"/>
      <c r="E1474" s="1895"/>
      <c r="F1474" s="1896"/>
      <c r="G1474" s="1897"/>
      <c r="H1474" s="90"/>
      <c r="I1474" s="90"/>
      <c r="J1474" s="90"/>
      <c r="K1474" s="90"/>
      <c r="L1474" s="1901"/>
      <c r="M1474" s="643"/>
      <c r="N1474" s="643"/>
      <c r="O1474" s="658"/>
      <c r="P1474" s="658"/>
      <c r="Q1474" s="1899"/>
      <c r="R1474" s="430"/>
      <c r="S1474" s="430"/>
      <c r="T1474" s="430"/>
      <c r="U1474" s="430"/>
      <c r="V1474" s="430"/>
      <c r="W1474" s="90"/>
      <c r="X1474" s="90"/>
      <c r="Y1474" s="90"/>
    </row>
    <row r="1475" spans="3:25" ht="15.75" customHeight="1">
      <c r="C1475" s="90"/>
      <c r="D1475" s="1900"/>
      <c r="E1475" s="1895"/>
      <c r="F1475" s="1896"/>
      <c r="G1475" s="1897"/>
      <c r="H1475" s="90"/>
      <c r="I1475" s="90"/>
      <c r="J1475" s="90"/>
      <c r="K1475" s="90"/>
      <c r="L1475" s="1901"/>
      <c r="M1475" s="643"/>
      <c r="N1475" s="643"/>
      <c r="O1475" s="658"/>
      <c r="P1475" s="658"/>
      <c r="Q1475" s="1899"/>
      <c r="R1475" s="430"/>
      <c r="S1475" s="430"/>
      <c r="T1475" s="430"/>
      <c r="U1475" s="430"/>
      <c r="V1475" s="430"/>
      <c r="W1475" s="90"/>
      <c r="X1475" s="90"/>
      <c r="Y1475" s="90"/>
    </row>
    <row r="1476" spans="3:25" ht="15.75" customHeight="1">
      <c r="C1476" s="90"/>
      <c r="D1476" s="1900"/>
      <c r="E1476" s="1895"/>
      <c r="F1476" s="1896"/>
      <c r="G1476" s="1897"/>
      <c r="H1476" s="90"/>
      <c r="I1476" s="90"/>
      <c r="J1476" s="90"/>
      <c r="K1476" s="90"/>
      <c r="L1476" s="1901"/>
      <c r="M1476" s="643"/>
      <c r="N1476" s="643"/>
      <c r="O1476" s="658"/>
      <c r="P1476" s="658"/>
      <c r="Q1476" s="1899"/>
      <c r="R1476" s="430"/>
      <c r="S1476" s="430"/>
      <c r="T1476" s="430"/>
      <c r="U1476" s="430"/>
      <c r="V1476" s="430"/>
      <c r="W1476" s="90"/>
      <c r="X1476" s="90"/>
      <c r="Y1476" s="90"/>
    </row>
    <row r="1477" spans="3:25" ht="15.75" customHeight="1">
      <c r="C1477" s="90"/>
      <c r="D1477" s="1900"/>
      <c r="E1477" s="1895"/>
      <c r="F1477" s="1896"/>
      <c r="G1477" s="1897"/>
      <c r="H1477" s="90"/>
      <c r="I1477" s="90"/>
      <c r="J1477" s="90"/>
      <c r="K1477" s="90"/>
      <c r="L1477" s="1901"/>
      <c r="M1477" s="643"/>
      <c r="N1477" s="643"/>
      <c r="O1477" s="658"/>
      <c r="P1477" s="658"/>
      <c r="Q1477" s="1899"/>
      <c r="R1477" s="430"/>
      <c r="S1477" s="430"/>
      <c r="T1477" s="430"/>
      <c r="U1477" s="430"/>
      <c r="V1477" s="430"/>
      <c r="W1477" s="90"/>
      <c r="X1477" s="90"/>
      <c r="Y1477" s="90"/>
    </row>
    <row r="1478" spans="3:25" ht="15.75" customHeight="1">
      <c r="C1478" s="90"/>
      <c r="D1478" s="1900"/>
      <c r="E1478" s="1895"/>
      <c r="F1478" s="1896"/>
      <c r="G1478" s="1897"/>
      <c r="H1478" s="90"/>
      <c r="I1478" s="90"/>
      <c r="J1478" s="90"/>
      <c r="K1478" s="90"/>
      <c r="L1478" s="1901"/>
      <c r="M1478" s="643"/>
      <c r="N1478" s="643"/>
      <c r="O1478" s="658"/>
      <c r="P1478" s="658"/>
      <c r="Q1478" s="1899"/>
      <c r="R1478" s="430"/>
      <c r="S1478" s="430"/>
      <c r="T1478" s="430"/>
      <c r="U1478" s="430"/>
      <c r="V1478" s="430"/>
      <c r="W1478" s="90"/>
      <c r="X1478" s="90"/>
      <c r="Y1478" s="90"/>
    </row>
    <row r="1479" spans="3:25" ht="15.75" customHeight="1">
      <c r="C1479" s="90"/>
      <c r="D1479" s="1900"/>
      <c r="E1479" s="1895"/>
      <c r="F1479" s="1896"/>
      <c r="G1479" s="1897"/>
      <c r="H1479" s="90"/>
      <c r="I1479" s="90"/>
      <c r="J1479" s="90"/>
      <c r="K1479" s="90"/>
      <c r="L1479" s="1901"/>
      <c r="M1479" s="643"/>
      <c r="N1479" s="643"/>
      <c r="O1479" s="658"/>
      <c r="P1479" s="658"/>
      <c r="Q1479" s="1899"/>
      <c r="R1479" s="430"/>
      <c r="S1479" s="430"/>
      <c r="T1479" s="430"/>
      <c r="U1479" s="430"/>
      <c r="V1479" s="430"/>
      <c r="W1479" s="90"/>
      <c r="X1479" s="90"/>
      <c r="Y1479" s="90"/>
    </row>
    <row r="1480" spans="3:25" ht="15.75" customHeight="1">
      <c r="C1480" s="90"/>
      <c r="D1480" s="1900"/>
      <c r="E1480" s="1895"/>
      <c r="F1480" s="1896"/>
      <c r="G1480" s="1897"/>
      <c r="H1480" s="90"/>
      <c r="I1480" s="90"/>
      <c r="J1480" s="90"/>
      <c r="K1480" s="90"/>
      <c r="L1480" s="1901"/>
      <c r="M1480" s="643"/>
      <c r="N1480" s="643"/>
      <c r="O1480" s="658"/>
      <c r="P1480" s="658"/>
      <c r="Q1480" s="1899"/>
      <c r="R1480" s="430"/>
      <c r="S1480" s="430"/>
      <c r="T1480" s="430"/>
      <c r="U1480" s="430"/>
      <c r="V1480" s="430"/>
      <c r="W1480" s="90"/>
      <c r="X1480" s="90"/>
      <c r="Y1480" s="90"/>
    </row>
    <row r="1481" spans="3:25" ht="15.75" customHeight="1">
      <c r="C1481" s="90"/>
      <c r="D1481" s="1900"/>
      <c r="E1481" s="1895"/>
      <c r="F1481" s="1896"/>
      <c r="G1481" s="1897"/>
      <c r="H1481" s="90"/>
      <c r="I1481" s="90"/>
      <c r="J1481" s="90"/>
      <c r="K1481" s="90"/>
      <c r="L1481" s="1901"/>
      <c r="M1481" s="643"/>
      <c r="N1481" s="643"/>
      <c r="O1481" s="658"/>
      <c r="P1481" s="658"/>
      <c r="Q1481" s="1899"/>
      <c r="R1481" s="430"/>
      <c r="S1481" s="430"/>
      <c r="T1481" s="430"/>
      <c r="U1481" s="430"/>
      <c r="V1481" s="430"/>
      <c r="W1481" s="90"/>
      <c r="X1481" s="90"/>
      <c r="Y1481" s="90"/>
    </row>
    <row r="1482" spans="3:25" ht="15.75" customHeight="1">
      <c r="C1482" s="90"/>
      <c r="D1482" s="1900"/>
      <c r="E1482" s="1895"/>
      <c r="F1482" s="1896"/>
      <c r="G1482" s="1897"/>
      <c r="H1482" s="90"/>
      <c r="I1482" s="90"/>
      <c r="J1482" s="90"/>
      <c r="K1482" s="90"/>
      <c r="L1482" s="1901"/>
      <c r="M1482" s="643"/>
      <c r="N1482" s="643"/>
      <c r="O1482" s="658"/>
      <c r="P1482" s="658"/>
      <c r="Q1482" s="1899"/>
      <c r="R1482" s="430"/>
      <c r="S1482" s="430"/>
      <c r="T1482" s="430"/>
      <c r="U1482" s="430"/>
      <c r="V1482" s="430"/>
      <c r="W1482" s="90"/>
      <c r="X1482" s="90"/>
      <c r="Y1482" s="90"/>
    </row>
    <row r="1483" spans="3:25" ht="15.75" customHeight="1">
      <c r="C1483" s="90"/>
      <c r="D1483" s="1900"/>
      <c r="E1483" s="1895"/>
      <c r="F1483" s="1896"/>
      <c r="G1483" s="1897"/>
      <c r="H1483" s="90"/>
      <c r="I1483" s="90"/>
      <c r="J1483" s="90"/>
      <c r="K1483" s="90"/>
      <c r="L1483" s="1901"/>
      <c r="M1483" s="643"/>
      <c r="N1483" s="643"/>
      <c r="O1483" s="658"/>
      <c r="P1483" s="658"/>
      <c r="Q1483" s="1899"/>
      <c r="R1483" s="430"/>
      <c r="S1483" s="430"/>
      <c r="T1483" s="430"/>
      <c r="U1483" s="430"/>
      <c r="V1483" s="430"/>
      <c r="W1483" s="90"/>
      <c r="X1483" s="90"/>
      <c r="Y1483" s="90"/>
    </row>
    <row r="1484" spans="3:25" ht="15.75" customHeight="1">
      <c r="C1484" s="90"/>
      <c r="D1484" s="1900"/>
      <c r="E1484" s="1895"/>
      <c r="F1484" s="1896"/>
      <c r="G1484" s="1897"/>
      <c r="H1484" s="90"/>
      <c r="I1484" s="90"/>
      <c r="J1484" s="90"/>
      <c r="K1484" s="90"/>
      <c r="L1484" s="1901"/>
      <c r="M1484" s="643"/>
      <c r="N1484" s="643"/>
      <c r="O1484" s="658"/>
      <c r="P1484" s="658"/>
      <c r="Q1484" s="1899"/>
      <c r="R1484" s="430"/>
      <c r="S1484" s="430"/>
      <c r="T1484" s="430"/>
      <c r="U1484" s="430"/>
      <c r="V1484" s="430"/>
      <c r="W1484" s="90"/>
      <c r="X1484" s="90"/>
      <c r="Y1484" s="90"/>
    </row>
    <row r="1485" spans="3:25" ht="15.75" customHeight="1">
      <c r="C1485" s="90"/>
      <c r="D1485" s="1900"/>
      <c r="E1485" s="1895"/>
      <c r="F1485" s="1896"/>
      <c r="G1485" s="1897"/>
      <c r="H1485" s="90"/>
      <c r="I1485" s="90"/>
      <c r="J1485" s="90"/>
      <c r="K1485" s="90"/>
      <c r="L1485" s="1901"/>
      <c r="M1485" s="643"/>
      <c r="N1485" s="643"/>
      <c r="O1485" s="658"/>
      <c r="P1485" s="658"/>
      <c r="Q1485" s="1899"/>
      <c r="R1485" s="430"/>
      <c r="S1485" s="430"/>
      <c r="T1485" s="430"/>
      <c r="U1485" s="430"/>
      <c r="V1485" s="430"/>
      <c r="W1485" s="90"/>
      <c r="X1485" s="90"/>
      <c r="Y1485" s="90"/>
    </row>
    <row r="1486" spans="3:25" ht="15.75" customHeight="1">
      <c r="C1486" s="90"/>
      <c r="D1486" s="1900"/>
      <c r="E1486" s="1895"/>
      <c r="F1486" s="1896"/>
      <c r="G1486" s="1897"/>
      <c r="H1486" s="90"/>
      <c r="I1486" s="90"/>
      <c r="J1486" s="90"/>
      <c r="K1486" s="90"/>
      <c r="L1486" s="1901"/>
      <c r="M1486" s="643"/>
      <c r="N1486" s="643"/>
      <c r="O1486" s="658"/>
      <c r="P1486" s="658"/>
      <c r="Q1486" s="1899"/>
      <c r="R1486" s="430"/>
      <c r="S1486" s="430"/>
      <c r="T1486" s="430"/>
      <c r="U1486" s="430"/>
      <c r="V1486" s="430"/>
      <c r="W1486" s="90"/>
      <c r="X1486" s="90"/>
      <c r="Y1486" s="90"/>
    </row>
    <row r="1487" spans="3:25" ht="15.75" customHeight="1">
      <c r="C1487" s="90"/>
      <c r="D1487" s="1900"/>
      <c r="E1487" s="1895"/>
      <c r="F1487" s="1896"/>
      <c r="G1487" s="1897"/>
      <c r="H1487" s="90"/>
      <c r="I1487" s="90"/>
      <c r="J1487" s="90"/>
      <c r="K1487" s="90"/>
      <c r="L1487" s="1901"/>
      <c r="M1487" s="643"/>
      <c r="N1487" s="643"/>
      <c r="O1487" s="658"/>
      <c r="P1487" s="658"/>
      <c r="Q1487" s="1899"/>
      <c r="R1487" s="430"/>
      <c r="S1487" s="430"/>
      <c r="T1487" s="430"/>
      <c r="U1487" s="430"/>
      <c r="V1487" s="430"/>
      <c r="W1487" s="90"/>
      <c r="X1487" s="90"/>
      <c r="Y1487" s="90"/>
    </row>
    <row r="1488" spans="3:25" ht="15.75" customHeight="1">
      <c r="C1488" s="90"/>
      <c r="D1488" s="1900"/>
      <c r="E1488" s="1895"/>
      <c r="F1488" s="1896"/>
      <c r="G1488" s="1897"/>
      <c r="H1488" s="90"/>
      <c r="I1488" s="90"/>
      <c r="J1488" s="90"/>
      <c r="K1488" s="90"/>
      <c r="L1488" s="1901"/>
      <c r="M1488" s="643"/>
      <c r="N1488" s="643"/>
      <c r="O1488" s="658"/>
      <c r="P1488" s="658"/>
      <c r="Q1488" s="1899"/>
      <c r="R1488" s="430"/>
      <c r="S1488" s="430"/>
      <c r="T1488" s="430"/>
      <c r="U1488" s="430"/>
      <c r="V1488" s="430"/>
      <c r="W1488" s="90"/>
      <c r="X1488" s="90"/>
      <c r="Y1488" s="90"/>
    </row>
    <row r="1489" spans="3:25" ht="15.75" customHeight="1">
      <c r="C1489" s="90"/>
      <c r="D1489" s="1900"/>
      <c r="E1489" s="1895"/>
      <c r="F1489" s="1896"/>
      <c r="G1489" s="1897"/>
      <c r="H1489" s="90"/>
      <c r="I1489" s="90"/>
      <c r="J1489" s="90"/>
      <c r="K1489" s="90"/>
      <c r="L1489" s="1901"/>
      <c r="M1489" s="643"/>
      <c r="N1489" s="643"/>
      <c r="O1489" s="658"/>
      <c r="P1489" s="658"/>
      <c r="Q1489" s="1899"/>
      <c r="R1489" s="430"/>
      <c r="S1489" s="430"/>
      <c r="T1489" s="430"/>
      <c r="U1489" s="430"/>
      <c r="V1489" s="430"/>
      <c r="W1489" s="90"/>
      <c r="X1489" s="90"/>
      <c r="Y1489" s="90"/>
    </row>
    <row r="1490" spans="3:25" ht="15.75" customHeight="1">
      <c r="C1490" s="90"/>
      <c r="D1490" s="1900"/>
      <c r="E1490" s="1895"/>
      <c r="F1490" s="1896"/>
      <c r="G1490" s="1897"/>
      <c r="H1490" s="90"/>
      <c r="I1490" s="90"/>
      <c r="J1490" s="90"/>
      <c r="K1490" s="90"/>
      <c r="L1490" s="1901"/>
      <c r="M1490" s="643"/>
      <c r="N1490" s="643"/>
      <c r="O1490" s="658"/>
      <c r="P1490" s="658"/>
      <c r="Q1490" s="1899"/>
      <c r="R1490" s="430"/>
      <c r="S1490" s="430"/>
      <c r="T1490" s="430"/>
      <c r="U1490" s="430"/>
      <c r="V1490" s="430"/>
      <c r="W1490" s="90"/>
      <c r="X1490" s="90"/>
      <c r="Y1490" s="90"/>
    </row>
    <row r="1491" spans="3:25" ht="15.75" customHeight="1">
      <c r="C1491" s="90"/>
      <c r="D1491" s="1900"/>
      <c r="E1491" s="1895"/>
      <c r="F1491" s="1896"/>
      <c r="G1491" s="1897"/>
      <c r="H1491" s="90"/>
      <c r="I1491" s="90"/>
      <c r="J1491" s="90"/>
      <c r="K1491" s="90"/>
      <c r="L1491" s="1901"/>
      <c r="M1491" s="643"/>
      <c r="N1491" s="643"/>
      <c r="O1491" s="658"/>
      <c r="P1491" s="658"/>
      <c r="Q1491" s="1899"/>
      <c r="R1491" s="430"/>
      <c r="S1491" s="430"/>
      <c r="T1491" s="430"/>
      <c r="U1491" s="430"/>
      <c r="V1491" s="430"/>
      <c r="W1491" s="90"/>
      <c r="X1491" s="90"/>
      <c r="Y1491" s="90"/>
    </row>
    <row r="1492" spans="3:25" ht="15.75" customHeight="1">
      <c r="C1492" s="90"/>
      <c r="D1492" s="1900"/>
      <c r="E1492" s="1895"/>
      <c r="F1492" s="1896"/>
      <c r="G1492" s="1897"/>
      <c r="H1492" s="90"/>
      <c r="I1492" s="90"/>
      <c r="J1492" s="90"/>
      <c r="K1492" s="90"/>
      <c r="L1492" s="1901"/>
      <c r="M1492" s="643"/>
      <c r="N1492" s="643"/>
      <c r="O1492" s="658"/>
      <c r="P1492" s="658"/>
      <c r="Q1492" s="1899"/>
      <c r="R1492" s="430"/>
      <c r="S1492" s="430"/>
      <c r="T1492" s="430"/>
      <c r="U1492" s="430"/>
      <c r="V1492" s="430"/>
      <c r="W1492" s="90"/>
      <c r="X1492" s="90"/>
      <c r="Y1492" s="90"/>
    </row>
    <row r="1493" spans="3:25" ht="15.75" customHeight="1">
      <c r="C1493" s="90"/>
      <c r="D1493" s="1900"/>
      <c r="E1493" s="1895"/>
      <c r="F1493" s="1896"/>
      <c r="G1493" s="1897"/>
      <c r="H1493" s="90"/>
      <c r="I1493" s="90"/>
      <c r="J1493" s="90"/>
      <c r="K1493" s="90"/>
      <c r="L1493" s="1901"/>
      <c r="M1493" s="643"/>
      <c r="N1493" s="643"/>
      <c r="O1493" s="658"/>
      <c r="P1493" s="658"/>
      <c r="Q1493" s="1899"/>
      <c r="R1493" s="430"/>
      <c r="S1493" s="430"/>
      <c r="T1493" s="430"/>
      <c r="U1493" s="430"/>
      <c r="V1493" s="430"/>
      <c r="W1493" s="90"/>
      <c r="X1493" s="90"/>
      <c r="Y1493" s="90"/>
    </row>
    <row r="1494" spans="3:25" ht="15.75" customHeight="1">
      <c r="C1494" s="90"/>
      <c r="D1494" s="1900"/>
      <c r="E1494" s="1895"/>
      <c r="F1494" s="1896"/>
      <c r="G1494" s="1897"/>
      <c r="H1494" s="90"/>
      <c r="I1494" s="90"/>
      <c r="J1494" s="90"/>
      <c r="K1494" s="90"/>
      <c r="L1494" s="1901"/>
      <c r="M1494" s="643"/>
      <c r="N1494" s="643"/>
      <c r="O1494" s="658"/>
      <c r="P1494" s="658"/>
      <c r="Q1494" s="1899"/>
      <c r="R1494" s="430"/>
      <c r="S1494" s="430"/>
      <c r="T1494" s="430"/>
      <c r="U1494" s="430"/>
      <c r="V1494" s="430"/>
      <c r="W1494" s="90"/>
      <c r="X1494" s="90"/>
      <c r="Y1494" s="90"/>
    </row>
    <row r="1495" spans="3:25" ht="15.75" customHeight="1">
      <c r="C1495" s="90"/>
      <c r="D1495" s="1900"/>
      <c r="E1495" s="1895"/>
      <c r="F1495" s="1896"/>
      <c r="G1495" s="1897"/>
      <c r="H1495" s="90"/>
      <c r="I1495" s="90"/>
      <c r="J1495" s="90"/>
      <c r="K1495" s="90"/>
      <c r="L1495" s="1901"/>
      <c r="M1495" s="643"/>
      <c r="N1495" s="643"/>
      <c r="O1495" s="658"/>
      <c r="P1495" s="658"/>
      <c r="Q1495" s="1899"/>
      <c r="R1495" s="430"/>
      <c r="S1495" s="430"/>
      <c r="T1495" s="430"/>
      <c r="U1495" s="430"/>
      <c r="V1495" s="430"/>
      <c r="W1495" s="90"/>
      <c r="X1495" s="90"/>
      <c r="Y1495" s="90"/>
    </row>
    <row r="1496" spans="3:25" ht="15.75" customHeight="1">
      <c r="C1496" s="90"/>
      <c r="D1496" s="1900"/>
      <c r="E1496" s="1895"/>
      <c r="F1496" s="1896"/>
      <c r="G1496" s="1897"/>
      <c r="H1496" s="90"/>
      <c r="I1496" s="90"/>
      <c r="J1496" s="90"/>
      <c r="K1496" s="90"/>
      <c r="L1496" s="1901"/>
      <c r="M1496" s="643"/>
      <c r="N1496" s="643"/>
      <c r="O1496" s="658"/>
      <c r="P1496" s="658"/>
      <c r="Q1496" s="1899"/>
      <c r="R1496" s="430"/>
      <c r="S1496" s="430"/>
      <c r="T1496" s="430"/>
      <c r="U1496" s="430"/>
      <c r="V1496" s="430"/>
      <c r="W1496" s="90"/>
      <c r="X1496" s="90"/>
      <c r="Y1496" s="90"/>
    </row>
    <row r="1497" spans="3:25" ht="15.75" customHeight="1">
      <c r="C1497" s="90"/>
      <c r="D1497" s="1900"/>
      <c r="E1497" s="1895"/>
      <c r="F1497" s="1896"/>
      <c r="G1497" s="1897"/>
      <c r="H1497" s="90"/>
      <c r="I1497" s="90"/>
      <c r="J1497" s="90"/>
      <c r="K1497" s="90"/>
      <c r="L1497" s="1901"/>
      <c r="M1497" s="643"/>
      <c r="N1497" s="643"/>
      <c r="O1497" s="658"/>
      <c r="P1497" s="658"/>
      <c r="Q1497" s="1899"/>
      <c r="R1497" s="430"/>
      <c r="S1497" s="430"/>
      <c r="T1497" s="430"/>
      <c r="U1497" s="430"/>
      <c r="V1497" s="430"/>
      <c r="W1497" s="90"/>
      <c r="X1497" s="90"/>
      <c r="Y1497" s="90"/>
    </row>
    <row r="1498" spans="3:25" ht="15.75" customHeight="1">
      <c r="C1498" s="90"/>
      <c r="D1498" s="1900"/>
      <c r="E1498" s="1895"/>
      <c r="F1498" s="1896"/>
      <c r="G1498" s="1897"/>
      <c r="H1498" s="90"/>
      <c r="I1498" s="90"/>
      <c r="J1498" s="90"/>
      <c r="K1498" s="90"/>
      <c r="L1498" s="1901"/>
      <c r="M1498" s="643"/>
      <c r="N1498" s="643"/>
      <c r="O1498" s="658"/>
      <c r="P1498" s="658"/>
      <c r="Q1498" s="1899"/>
      <c r="R1498" s="430"/>
      <c r="S1498" s="430"/>
      <c r="T1498" s="430"/>
      <c r="U1498" s="430"/>
      <c r="V1498" s="430"/>
      <c r="W1498" s="90"/>
      <c r="X1498" s="90"/>
      <c r="Y1498" s="90"/>
    </row>
    <row r="1499" spans="3:25" ht="15.75" customHeight="1">
      <c r="C1499" s="90"/>
      <c r="D1499" s="1900"/>
      <c r="E1499" s="1895"/>
      <c r="F1499" s="1896"/>
      <c r="G1499" s="1897"/>
      <c r="H1499" s="90"/>
      <c r="I1499" s="90"/>
      <c r="J1499" s="90"/>
      <c r="K1499" s="90"/>
      <c r="L1499" s="1901"/>
      <c r="M1499" s="643"/>
      <c r="N1499" s="643"/>
      <c r="O1499" s="658"/>
      <c r="P1499" s="658"/>
      <c r="Q1499" s="1899"/>
      <c r="R1499" s="430"/>
      <c r="S1499" s="430"/>
      <c r="T1499" s="430"/>
      <c r="U1499" s="430"/>
      <c r="V1499" s="430"/>
      <c r="W1499" s="90"/>
      <c r="X1499" s="90"/>
      <c r="Y1499" s="90"/>
    </row>
    <row r="1500" spans="3:25" ht="15.75" customHeight="1">
      <c r="C1500" s="90"/>
      <c r="D1500" s="1900"/>
      <c r="E1500" s="1895"/>
      <c r="F1500" s="1896"/>
      <c r="G1500" s="1897"/>
      <c r="H1500" s="90"/>
      <c r="I1500" s="90"/>
      <c r="J1500" s="90"/>
      <c r="K1500" s="90"/>
      <c r="L1500" s="1901"/>
      <c r="M1500" s="643"/>
      <c r="N1500" s="643"/>
      <c r="O1500" s="658"/>
      <c r="P1500" s="658"/>
      <c r="Q1500" s="1899"/>
      <c r="R1500" s="430"/>
      <c r="S1500" s="430"/>
      <c r="T1500" s="430"/>
      <c r="U1500" s="430"/>
      <c r="V1500" s="430"/>
      <c r="W1500" s="90"/>
      <c r="X1500" s="90"/>
      <c r="Y1500" s="90"/>
    </row>
    <row r="1501" spans="3:25" ht="15.75" customHeight="1">
      <c r="C1501" s="90"/>
      <c r="D1501" s="1900"/>
      <c r="E1501" s="1895"/>
      <c r="F1501" s="1896"/>
      <c r="G1501" s="1897"/>
      <c r="H1501" s="90"/>
      <c r="I1501" s="90"/>
      <c r="J1501" s="90"/>
      <c r="K1501" s="90"/>
      <c r="L1501" s="1901"/>
      <c r="M1501" s="643"/>
      <c r="N1501" s="643"/>
      <c r="O1501" s="658"/>
      <c r="P1501" s="658"/>
      <c r="Q1501" s="1899"/>
      <c r="R1501" s="430"/>
      <c r="S1501" s="430"/>
      <c r="T1501" s="430"/>
      <c r="U1501" s="430"/>
      <c r="V1501" s="430"/>
      <c r="W1501" s="90"/>
      <c r="X1501" s="90"/>
      <c r="Y1501" s="90"/>
    </row>
    <row r="1502" spans="3:25" ht="15.75" customHeight="1">
      <c r="C1502" s="90"/>
      <c r="D1502" s="1900"/>
      <c r="E1502" s="1895"/>
      <c r="F1502" s="1896"/>
      <c r="G1502" s="1897"/>
      <c r="H1502" s="90"/>
      <c r="I1502" s="90"/>
      <c r="J1502" s="90"/>
      <c r="K1502" s="90"/>
      <c r="L1502" s="1901"/>
      <c r="M1502" s="643"/>
      <c r="N1502" s="643"/>
      <c r="O1502" s="658"/>
      <c r="P1502" s="658"/>
      <c r="Q1502" s="1899"/>
      <c r="R1502" s="430"/>
      <c r="S1502" s="430"/>
      <c r="T1502" s="430"/>
      <c r="U1502" s="430"/>
      <c r="V1502" s="430"/>
      <c r="W1502" s="90"/>
      <c r="X1502" s="90"/>
      <c r="Y1502" s="90"/>
    </row>
    <row r="1503" spans="3:25" ht="15.75" customHeight="1">
      <c r="C1503" s="90"/>
      <c r="D1503" s="1900"/>
      <c r="E1503" s="1895"/>
      <c r="F1503" s="1896"/>
      <c r="G1503" s="1897"/>
      <c r="H1503" s="90"/>
      <c r="I1503" s="90"/>
      <c r="J1503" s="90"/>
      <c r="K1503" s="90"/>
      <c r="L1503" s="1901"/>
      <c r="M1503" s="643"/>
      <c r="N1503" s="643"/>
      <c r="O1503" s="658"/>
      <c r="P1503" s="658"/>
      <c r="Q1503" s="1899"/>
      <c r="R1503" s="430"/>
      <c r="S1503" s="430"/>
      <c r="T1503" s="430"/>
      <c r="U1503" s="430"/>
      <c r="V1503" s="430"/>
      <c r="W1503" s="90"/>
      <c r="X1503" s="90"/>
      <c r="Y1503" s="90"/>
    </row>
    <row r="1504" spans="3:25" ht="15.75" customHeight="1">
      <c r="C1504" s="90"/>
      <c r="D1504" s="1900"/>
      <c r="E1504" s="1895"/>
      <c r="F1504" s="1896"/>
      <c r="G1504" s="1897"/>
      <c r="H1504" s="90"/>
      <c r="I1504" s="90"/>
      <c r="J1504" s="90"/>
      <c r="K1504" s="90"/>
      <c r="L1504" s="1901"/>
      <c r="M1504" s="643"/>
      <c r="N1504" s="643"/>
      <c r="O1504" s="658"/>
      <c r="P1504" s="658"/>
      <c r="Q1504" s="1899"/>
      <c r="R1504" s="430"/>
      <c r="S1504" s="430"/>
      <c r="T1504" s="430"/>
      <c r="U1504" s="430"/>
      <c r="V1504" s="430"/>
      <c r="W1504" s="90"/>
      <c r="X1504" s="90"/>
      <c r="Y1504" s="90"/>
    </row>
    <row r="1505" spans="3:25" ht="15.75" customHeight="1">
      <c r="C1505" s="90"/>
      <c r="D1505" s="1900"/>
      <c r="E1505" s="1895"/>
      <c r="F1505" s="1896"/>
      <c r="G1505" s="1897"/>
      <c r="H1505" s="90"/>
      <c r="I1505" s="90"/>
      <c r="J1505" s="90"/>
      <c r="K1505" s="90"/>
      <c r="L1505" s="1901"/>
      <c r="M1505" s="643"/>
      <c r="N1505" s="643"/>
      <c r="O1505" s="658"/>
      <c r="P1505" s="658"/>
      <c r="Q1505" s="1899"/>
      <c r="R1505" s="430"/>
      <c r="S1505" s="430"/>
      <c r="T1505" s="430"/>
      <c r="U1505" s="430"/>
      <c r="V1505" s="430"/>
      <c r="W1505" s="90"/>
      <c r="X1505" s="90"/>
      <c r="Y1505" s="90"/>
    </row>
    <row r="1506" spans="3:25" ht="15.75" customHeight="1">
      <c r="C1506" s="90"/>
      <c r="D1506" s="1900"/>
      <c r="E1506" s="1895"/>
      <c r="F1506" s="1896"/>
      <c r="G1506" s="1897"/>
      <c r="H1506" s="90"/>
      <c r="I1506" s="90"/>
      <c r="J1506" s="90"/>
      <c r="K1506" s="90"/>
      <c r="L1506" s="1901"/>
      <c r="M1506" s="643"/>
      <c r="N1506" s="643"/>
      <c r="O1506" s="658"/>
      <c r="P1506" s="658"/>
      <c r="Q1506" s="1899"/>
      <c r="R1506" s="430"/>
      <c r="S1506" s="430"/>
      <c r="T1506" s="430"/>
      <c r="U1506" s="430"/>
      <c r="V1506" s="430"/>
      <c r="W1506" s="90"/>
      <c r="X1506" s="90"/>
      <c r="Y1506" s="90"/>
    </row>
    <row r="1507" spans="3:25" ht="15.75" customHeight="1">
      <c r="C1507" s="90"/>
      <c r="D1507" s="1900"/>
      <c r="E1507" s="1895"/>
      <c r="F1507" s="1896"/>
      <c r="G1507" s="1897"/>
      <c r="H1507" s="90"/>
      <c r="I1507" s="90"/>
      <c r="J1507" s="90"/>
      <c r="K1507" s="90"/>
      <c r="L1507" s="1901"/>
      <c r="M1507" s="643"/>
      <c r="N1507" s="643"/>
      <c r="O1507" s="658"/>
      <c r="P1507" s="658"/>
      <c r="Q1507" s="1899"/>
      <c r="R1507" s="430"/>
      <c r="S1507" s="430"/>
      <c r="T1507" s="430"/>
      <c r="U1507" s="430"/>
      <c r="V1507" s="430"/>
      <c r="W1507" s="90"/>
      <c r="X1507" s="90"/>
      <c r="Y1507" s="90"/>
    </row>
    <row r="1508" spans="3:25" ht="15.75" customHeight="1">
      <c r="C1508" s="90"/>
      <c r="D1508" s="1900"/>
      <c r="E1508" s="1895"/>
      <c r="F1508" s="1896"/>
      <c r="G1508" s="1897"/>
      <c r="H1508" s="90"/>
      <c r="I1508" s="90"/>
      <c r="J1508" s="90"/>
      <c r="K1508" s="90"/>
      <c r="L1508" s="1901"/>
      <c r="M1508" s="643"/>
      <c r="N1508" s="643"/>
      <c r="O1508" s="658"/>
      <c r="P1508" s="658"/>
      <c r="Q1508" s="1899"/>
      <c r="R1508" s="430"/>
      <c r="S1508" s="430"/>
      <c r="T1508" s="430"/>
      <c r="U1508" s="430"/>
      <c r="V1508" s="430"/>
      <c r="W1508" s="90"/>
      <c r="X1508" s="90"/>
      <c r="Y1508" s="90"/>
    </row>
    <row r="1509" spans="3:25" ht="15.75" customHeight="1">
      <c r="C1509" s="90"/>
      <c r="D1509" s="1900"/>
      <c r="E1509" s="1895"/>
      <c r="F1509" s="1896"/>
      <c r="G1509" s="1897"/>
      <c r="H1509" s="90"/>
      <c r="I1509" s="90"/>
      <c r="J1509" s="90"/>
      <c r="K1509" s="90"/>
      <c r="L1509" s="1901"/>
      <c r="M1509" s="643"/>
      <c r="N1509" s="643"/>
      <c r="O1509" s="658"/>
      <c r="P1509" s="658"/>
      <c r="Q1509" s="1899"/>
      <c r="R1509" s="430"/>
      <c r="S1509" s="430"/>
      <c r="T1509" s="430"/>
      <c r="U1509" s="430"/>
      <c r="V1509" s="430"/>
      <c r="W1509" s="90"/>
      <c r="X1509" s="90"/>
      <c r="Y1509" s="90"/>
    </row>
    <row r="1510" spans="3:25" ht="15.75" customHeight="1">
      <c r="C1510" s="90"/>
      <c r="D1510" s="1900"/>
      <c r="E1510" s="1895"/>
      <c r="F1510" s="1896"/>
      <c r="G1510" s="1897"/>
      <c r="H1510" s="90"/>
      <c r="I1510" s="90"/>
      <c r="J1510" s="90"/>
      <c r="K1510" s="90"/>
      <c r="L1510" s="1901"/>
      <c r="M1510" s="643"/>
      <c r="N1510" s="643"/>
      <c r="O1510" s="658"/>
      <c r="P1510" s="658"/>
      <c r="Q1510" s="1899"/>
      <c r="R1510" s="430"/>
      <c r="S1510" s="430"/>
      <c r="T1510" s="430"/>
      <c r="U1510" s="430"/>
      <c r="V1510" s="430"/>
      <c r="W1510" s="90"/>
      <c r="X1510" s="90"/>
      <c r="Y1510" s="90"/>
    </row>
    <row r="1511" spans="3:25" ht="15.75" customHeight="1">
      <c r="C1511" s="90"/>
      <c r="D1511" s="1900"/>
      <c r="E1511" s="1895"/>
      <c r="F1511" s="1896"/>
      <c r="G1511" s="1897"/>
      <c r="H1511" s="90"/>
      <c r="I1511" s="90"/>
      <c r="J1511" s="90"/>
      <c r="K1511" s="90"/>
      <c r="L1511" s="1901"/>
      <c r="M1511" s="643"/>
      <c r="N1511" s="643"/>
      <c r="O1511" s="658"/>
      <c r="P1511" s="658"/>
      <c r="Q1511" s="1899"/>
      <c r="R1511" s="430"/>
      <c r="S1511" s="430"/>
      <c r="T1511" s="430"/>
      <c r="U1511" s="430"/>
      <c r="V1511" s="430"/>
      <c r="W1511" s="90"/>
      <c r="X1511" s="90"/>
      <c r="Y1511" s="90"/>
    </row>
    <row r="1512" spans="3:25" ht="15.75" customHeight="1">
      <c r="C1512" s="90"/>
      <c r="D1512" s="1900"/>
      <c r="E1512" s="1895"/>
      <c r="F1512" s="1896"/>
      <c r="G1512" s="1897"/>
      <c r="H1512" s="90"/>
      <c r="I1512" s="90"/>
      <c r="J1512" s="90"/>
      <c r="K1512" s="90"/>
      <c r="L1512" s="1901"/>
      <c r="M1512" s="643"/>
      <c r="N1512" s="643"/>
      <c r="O1512" s="658"/>
      <c r="P1512" s="658"/>
      <c r="Q1512" s="1899"/>
      <c r="R1512" s="430"/>
      <c r="S1512" s="430"/>
      <c r="T1512" s="430"/>
      <c r="U1512" s="430"/>
      <c r="V1512" s="430"/>
      <c r="W1512" s="90"/>
      <c r="X1512" s="90"/>
      <c r="Y1512" s="90"/>
    </row>
    <row r="1513" spans="3:25" ht="15.75" customHeight="1">
      <c r="C1513" s="90"/>
      <c r="D1513" s="1900"/>
      <c r="E1513" s="1895"/>
      <c r="F1513" s="1896"/>
      <c r="G1513" s="1897"/>
      <c r="H1513" s="90"/>
      <c r="I1513" s="90"/>
      <c r="J1513" s="90"/>
      <c r="K1513" s="90"/>
      <c r="L1513" s="1901"/>
      <c r="M1513" s="643"/>
      <c r="N1513" s="643"/>
      <c r="O1513" s="658"/>
      <c r="P1513" s="658"/>
      <c r="Q1513" s="1899"/>
      <c r="R1513" s="430"/>
      <c r="S1513" s="430"/>
      <c r="T1513" s="430"/>
      <c r="U1513" s="430"/>
      <c r="V1513" s="430"/>
      <c r="W1513" s="90"/>
      <c r="X1513" s="90"/>
      <c r="Y1513" s="90"/>
    </row>
    <row r="1514" spans="3:25" ht="15.75" customHeight="1">
      <c r="C1514" s="90"/>
      <c r="D1514" s="1900"/>
      <c r="E1514" s="1895"/>
      <c r="F1514" s="1896"/>
      <c r="G1514" s="1897"/>
      <c r="H1514" s="90"/>
      <c r="I1514" s="90"/>
      <c r="J1514" s="90"/>
      <c r="K1514" s="90"/>
      <c r="L1514" s="1901"/>
      <c r="M1514" s="643"/>
      <c r="N1514" s="643"/>
      <c r="O1514" s="658"/>
      <c r="P1514" s="658"/>
      <c r="Q1514" s="1899"/>
      <c r="R1514" s="430"/>
      <c r="S1514" s="430"/>
      <c r="T1514" s="430"/>
      <c r="U1514" s="430"/>
      <c r="V1514" s="430"/>
      <c r="W1514" s="90"/>
      <c r="X1514" s="90"/>
      <c r="Y1514" s="90"/>
    </row>
    <row r="1515" spans="3:25" ht="15.75" customHeight="1">
      <c r="C1515" s="90"/>
      <c r="D1515" s="1900"/>
      <c r="E1515" s="1895"/>
      <c r="F1515" s="1896"/>
      <c r="G1515" s="1897"/>
      <c r="H1515" s="90"/>
      <c r="I1515" s="90"/>
      <c r="J1515" s="90"/>
      <c r="K1515" s="90"/>
      <c r="L1515" s="1901"/>
      <c r="M1515" s="643"/>
      <c r="N1515" s="643"/>
      <c r="O1515" s="658"/>
      <c r="P1515" s="658"/>
      <c r="Q1515" s="1899"/>
      <c r="R1515" s="430"/>
      <c r="S1515" s="430"/>
      <c r="T1515" s="430"/>
      <c r="U1515" s="430"/>
      <c r="V1515" s="430"/>
      <c r="W1515" s="90"/>
      <c r="X1515" s="90"/>
      <c r="Y1515" s="90"/>
    </row>
    <row r="1516" spans="3:25" ht="15.75" customHeight="1">
      <c r="C1516" s="90"/>
      <c r="D1516" s="1900"/>
      <c r="E1516" s="1895"/>
      <c r="F1516" s="1896"/>
      <c r="G1516" s="1897"/>
      <c r="H1516" s="90"/>
      <c r="I1516" s="90"/>
      <c r="J1516" s="90"/>
      <c r="K1516" s="90"/>
      <c r="L1516" s="1901"/>
      <c r="M1516" s="643"/>
      <c r="N1516" s="643"/>
      <c r="O1516" s="658"/>
      <c r="P1516" s="658"/>
      <c r="Q1516" s="1899"/>
      <c r="R1516" s="430"/>
      <c r="S1516" s="430"/>
      <c r="T1516" s="430"/>
      <c r="U1516" s="430"/>
      <c r="V1516" s="430"/>
      <c r="W1516" s="90"/>
      <c r="X1516" s="90"/>
      <c r="Y1516" s="90"/>
    </row>
    <row r="1517" spans="3:25" ht="15.75" customHeight="1">
      <c r="C1517" s="90"/>
      <c r="D1517" s="1900"/>
      <c r="E1517" s="1895"/>
      <c r="F1517" s="1896"/>
      <c r="G1517" s="1897"/>
      <c r="H1517" s="90"/>
      <c r="I1517" s="90"/>
      <c r="J1517" s="90"/>
      <c r="K1517" s="90"/>
      <c r="L1517" s="1901"/>
      <c r="M1517" s="643"/>
      <c r="N1517" s="643"/>
      <c r="O1517" s="658"/>
      <c r="P1517" s="658"/>
      <c r="Q1517" s="1899"/>
      <c r="R1517" s="430"/>
      <c r="S1517" s="430"/>
      <c r="T1517" s="430"/>
      <c r="U1517" s="430"/>
      <c r="V1517" s="430"/>
      <c r="W1517" s="90"/>
      <c r="X1517" s="90"/>
      <c r="Y1517" s="90"/>
    </row>
    <row r="1518" spans="3:25" ht="15.75" customHeight="1">
      <c r="C1518" s="90"/>
      <c r="D1518" s="1900"/>
      <c r="E1518" s="1895"/>
      <c r="F1518" s="1896"/>
      <c r="G1518" s="1897"/>
      <c r="H1518" s="90"/>
      <c r="I1518" s="90"/>
      <c r="J1518" s="90"/>
      <c r="K1518" s="90"/>
      <c r="L1518" s="1901"/>
      <c r="M1518" s="643"/>
      <c r="N1518" s="643"/>
      <c r="O1518" s="658"/>
      <c r="P1518" s="658"/>
      <c r="Q1518" s="1899"/>
      <c r="R1518" s="430"/>
      <c r="S1518" s="430"/>
      <c r="T1518" s="430"/>
      <c r="U1518" s="430"/>
      <c r="V1518" s="430"/>
      <c r="W1518" s="90"/>
      <c r="X1518" s="90"/>
      <c r="Y1518" s="90"/>
    </row>
    <row r="1519" spans="3:25" ht="15.75" customHeight="1">
      <c r="C1519" s="90"/>
      <c r="D1519" s="1900"/>
      <c r="E1519" s="1895"/>
      <c r="F1519" s="1896"/>
      <c r="G1519" s="1897"/>
      <c r="H1519" s="90"/>
      <c r="I1519" s="90"/>
      <c r="J1519" s="90"/>
      <c r="K1519" s="90"/>
      <c r="L1519" s="1901"/>
      <c r="M1519" s="643"/>
      <c r="N1519" s="643"/>
      <c r="O1519" s="658"/>
      <c r="P1519" s="658"/>
      <c r="Q1519" s="1899"/>
      <c r="R1519" s="430"/>
      <c r="S1519" s="430"/>
      <c r="T1519" s="430"/>
      <c r="U1519" s="430"/>
      <c r="V1519" s="430"/>
      <c r="W1519" s="90"/>
      <c r="X1519" s="90"/>
      <c r="Y1519" s="90"/>
    </row>
    <row r="1520" spans="3:25" ht="15.75" customHeight="1">
      <c r="C1520" s="90"/>
      <c r="D1520" s="1900"/>
      <c r="E1520" s="1895"/>
      <c r="F1520" s="1896"/>
      <c r="G1520" s="1897"/>
      <c r="H1520" s="90"/>
      <c r="I1520" s="90"/>
      <c r="J1520" s="90"/>
      <c r="K1520" s="90"/>
      <c r="L1520" s="1901"/>
      <c r="M1520" s="643"/>
      <c r="N1520" s="643"/>
      <c r="O1520" s="658"/>
      <c r="P1520" s="658"/>
      <c r="Q1520" s="1899"/>
      <c r="R1520" s="430"/>
      <c r="S1520" s="430"/>
      <c r="T1520" s="430"/>
      <c r="U1520" s="430"/>
      <c r="V1520" s="430"/>
      <c r="W1520" s="90"/>
      <c r="X1520" s="90"/>
      <c r="Y1520" s="90"/>
    </row>
    <row r="1521" spans="3:25" ht="15.75" customHeight="1">
      <c r="C1521" s="90"/>
      <c r="D1521" s="1900"/>
      <c r="E1521" s="1895"/>
      <c r="F1521" s="1896"/>
      <c r="G1521" s="1897"/>
      <c r="H1521" s="90"/>
      <c r="I1521" s="90"/>
      <c r="J1521" s="90"/>
      <c r="K1521" s="90"/>
      <c r="L1521" s="1901"/>
      <c r="M1521" s="643"/>
      <c r="N1521" s="643"/>
      <c r="O1521" s="658"/>
      <c r="P1521" s="658"/>
      <c r="Q1521" s="1899"/>
      <c r="R1521" s="430"/>
      <c r="S1521" s="430"/>
      <c r="T1521" s="430"/>
      <c r="U1521" s="430"/>
      <c r="V1521" s="430"/>
      <c r="W1521" s="90"/>
      <c r="X1521" s="90"/>
      <c r="Y1521" s="90"/>
    </row>
    <row r="1522" spans="3:25" ht="15.75" customHeight="1">
      <c r="C1522" s="90"/>
      <c r="D1522" s="1900"/>
      <c r="E1522" s="1895"/>
      <c r="F1522" s="1896"/>
      <c r="G1522" s="1897"/>
      <c r="H1522" s="90"/>
      <c r="I1522" s="90"/>
      <c r="J1522" s="90"/>
      <c r="K1522" s="90"/>
      <c r="L1522" s="1901"/>
      <c r="M1522" s="643"/>
      <c r="N1522" s="643"/>
      <c r="O1522" s="658"/>
      <c r="P1522" s="658"/>
      <c r="Q1522" s="1899"/>
      <c r="R1522" s="430"/>
      <c r="S1522" s="430"/>
      <c r="T1522" s="430"/>
      <c r="U1522" s="430"/>
      <c r="V1522" s="430"/>
      <c r="W1522" s="90"/>
      <c r="X1522" s="90"/>
      <c r="Y1522" s="90"/>
    </row>
    <row r="1523" spans="3:25" ht="15.75" customHeight="1">
      <c r="C1523" s="90"/>
      <c r="D1523" s="1900"/>
      <c r="E1523" s="1895"/>
      <c r="F1523" s="1896"/>
      <c r="G1523" s="1897"/>
      <c r="H1523" s="90"/>
      <c r="I1523" s="90"/>
      <c r="J1523" s="90"/>
      <c r="K1523" s="90"/>
      <c r="L1523" s="1901"/>
      <c r="M1523" s="643"/>
      <c r="N1523" s="643"/>
      <c r="O1523" s="658"/>
      <c r="P1523" s="658"/>
      <c r="Q1523" s="1899"/>
      <c r="R1523" s="430"/>
      <c r="S1523" s="430"/>
      <c r="T1523" s="430"/>
      <c r="U1523" s="430"/>
      <c r="V1523" s="430"/>
      <c r="W1523" s="90"/>
      <c r="X1523" s="90"/>
      <c r="Y1523" s="90"/>
    </row>
    <row r="1524" spans="3:25" ht="15.75" customHeight="1">
      <c r="C1524" s="90"/>
      <c r="D1524" s="1900"/>
      <c r="E1524" s="1895"/>
      <c r="F1524" s="1896"/>
      <c r="G1524" s="1897"/>
      <c r="H1524" s="90"/>
      <c r="I1524" s="90"/>
      <c r="J1524" s="90"/>
      <c r="K1524" s="90"/>
      <c r="L1524" s="1901"/>
      <c r="M1524" s="643"/>
      <c r="N1524" s="643"/>
      <c r="O1524" s="658"/>
      <c r="P1524" s="658"/>
      <c r="Q1524" s="1899"/>
      <c r="R1524" s="430"/>
      <c r="S1524" s="430"/>
      <c r="T1524" s="430"/>
      <c r="U1524" s="430"/>
      <c r="V1524" s="430"/>
      <c r="W1524" s="90"/>
      <c r="X1524" s="90"/>
      <c r="Y1524" s="90"/>
    </row>
    <row r="1525" spans="3:25" ht="15.75" customHeight="1">
      <c r="C1525" s="90"/>
      <c r="D1525" s="1900"/>
      <c r="E1525" s="1895"/>
      <c r="F1525" s="1896"/>
      <c r="G1525" s="1897"/>
      <c r="H1525" s="90"/>
      <c r="I1525" s="90"/>
      <c r="J1525" s="90"/>
      <c r="K1525" s="90"/>
      <c r="L1525" s="1901"/>
      <c r="M1525" s="643"/>
      <c r="N1525" s="643"/>
      <c r="O1525" s="658"/>
      <c r="P1525" s="658"/>
      <c r="Q1525" s="1899"/>
      <c r="R1525" s="430"/>
      <c r="S1525" s="430"/>
      <c r="T1525" s="430"/>
      <c r="U1525" s="430"/>
      <c r="V1525" s="430"/>
      <c r="W1525" s="90"/>
      <c r="X1525" s="90"/>
      <c r="Y1525" s="90"/>
    </row>
    <row r="1526" spans="3:25" ht="15.75" customHeight="1">
      <c r="C1526" s="90"/>
      <c r="D1526" s="1900"/>
      <c r="E1526" s="1895"/>
      <c r="F1526" s="1896"/>
      <c r="G1526" s="1897"/>
      <c r="H1526" s="90"/>
      <c r="I1526" s="90"/>
      <c r="J1526" s="90"/>
      <c r="K1526" s="90"/>
      <c r="L1526" s="1901"/>
      <c r="M1526" s="643"/>
      <c r="N1526" s="643"/>
      <c r="O1526" s="658"/>
      <c r="P1526" s="658"/>
      <c r="Q1526" s="1899"/>
      <c r="R1526" s="430"/>
      <c r="S1526" s="430"/>
      <c r="T1526" s="430"/>
      <c r="U1526" s="430"/>
      <c r="V1526" s="430"/>
      <c r="W1526" s="90"/>
      <c r="X1526" s="90"/>
      <c r="Y1526" s="90"/>
    </row>
    <row r="1527" spans="3:25" ht="15.75" customHeight="1">
      <c r="C1527" s="90"/>
      <c r="D1527" s="1900"/>
      <c r="E1527" s="1895"/>
      <c r="F1527" s="1896"/>
      <c r="G1527" s="1897"/>
      <c r="H1527" s="90"/>
      <c r="I1527" s="90"/>
      <c r="J1527" s="90"/>
      <c r="K1527" s="90"/>
      <c r="L1527" s="1901"/>
      <c r="M1527" s="643"/>
      <c r="N1527" s="643"/>
      <c r="O1527" s="658"/>
      <c r="P1527" s="658"/>
      <c r="Q1527" s="1899"/>
      <c r="R1527" s="430"/>
      <c r="S1527" s="430"/>
      <c r="T1527" s="430"/>
      <c r="U1527" s="430"/>
      <c r="V1527" s="430"/>
      <c r="W1527" s="90"/>
      <c r="X1527" s="90"/>
      <c r="Y1527" s="90"/>
    </row>
    <row r="1528" spans="3:25" ht="15.75" customHeight="1">
      <c r="C1528" s="90"/>
      <c r="D1528" s="1900"/>
      <c r="E1528" s="1895"/>
      <c r="F1528" s="1896"/>
      <c r="G1528" s="1897"/>
      <c r="H1528" s="90"/>
      <c r="I1528" s="90"/>
      <c r="J1528" s="90"/>
      <c r="K1528" s="90"/>
      <c r="L1528" s="1901"/>
      <c r="M1528" s="643"/>
      <c r="N1528" s="643"/>
      <c r="O1528" s="658"/>
      <c r="P1528" s="658"/>
      <c r="Q1528" s="1899"/>
      <c r="R1528" s="430"/>
      <c r="S1528" s="430"/>
      <c r="T1528" s="430"/>
      <c r="U1528" s="430"/>
      <c r="V1528" s="430"/>
      <c r="W1528" s="90"/>
      <c r="X1528" s="90"/>
      <c r="Y1528" s="90"/>
    </row>
    <row r="1529" spans="3:25" ht="15.75" customHeight="1">
      <c r="C1529" s="90"/>
      <c r="D1529" s="1900"/>
      <c r="E1529" s="1895"/>
      <c r="F1529" s="1896"/>
      <c r="G1529" s="1897"/>
      <c r="H1529" s="90"/>
      <c r="I1529" s="90"/>
      <c r="J1529" s="90"/>
      <c r="K1529" s="90"/>
      <c r="L1529" s="1901"/>
      <c r="M1529" s="643"/>
      <c r="N1529" s="643"/>
      <c r="O1529" s="658"/>
      <c r="P1529" s="658"/>
      <c r="Q1529" s="1899"/>
      <c r="R1529" s="430"/>
      <c r="S1529" s="430"/>
      <c r="T1529" s="430"/>
      <c r="U1529" s="430"/>
      <c r="V1529" s="430"/>
      <c r="W1529" s="90"/>
      <c r="X1529" s="90"/>
      <c r="Y1529" s="90"/>
    </row>
    <row r="1530" spans="3:25" ht="15.75" customHeight="1">
      <c r="C1530" s="90"/>
      <c r="D1530" s="1900"/>
      <c r="E1530" s="1895"/>
      <c r="F1530" s="1896"/>
      <c r="G1530" s="1897"/>
      <c r="H1530" s="90"/>
      <c r="I1530" s="90"/>
      <c r="J1530" s="90"/>
      <c r="K1530" s="90"/>
      <c r="L1530" s="1901"/>
      <c r="M1530" s="643"/>
      <c r="N1530" s="643"/>
      <c r="O1530" s="658"/>
      <c r="P1530" s="658"/>
      <c r="Q1530" s="1899"/>
      <c r="R1530" s="430"/>
      <c r="S1530" s="430"/>
      <c r="T1530" s="430"/>
      <c r="U1530" s="430"/>
      <c r="V1530" s="430"/>
      <c r="W1530" s="90"/>
      <c r="X1530" s="90"/>
      <c r="Y1530" s="90"/>
    </row>
    <row r="1531" spans="3:25" ht="15.75" customHeight="1">
      <c r="C1531" s="90"/>
      <c r="D1531" s="1900"/>
      <c r="E1531" s="1895"/>
      <c r="F1531" s="1896"/>
      <c r="G1531" s="1897"/>
      <c r="H1531" s="90"/>
      <c r="I1531" s="90"/>
      <c r="J1531" s="90"/>
      <c r="K1531" s="90"/>
      <c r="L1531" s="1901"/>
      <c r="M1531" s="643"/>
      <c r="N1531" s="643"/>
      <c r="O1531" s="658"/>
      <c r="P1531" s="658"/>
      <c r="Q1531" s="1899"/>
      <c r="R1531" s="430"/>
      <c r="S1531" s="430"/>
      <c r="T1531" s="430"/>
      <c r="U1531" s="430"/>
      <c r="V1531" s="430"/>
      <c r="W1531" s="90"/>
      <c r="X1531" s="90"/>
      <c r="Y1531" s="90"/>
    </row>
    <row r="1532" spans="3:25" ht="15.75" customHeight="1">
      <c r="C1532" s="90"/>
      <c r="D1532" s="1900"/>
      <c r="E1532" s="1895"/>
      <c r="F1532" s="1896"/>
      <c r="G1532" s="1897"/>
      <c r="H1532" s="90"/>
      <c r="I1532" s="90"/>
      <c r="J1532" s="90"/>
      <c r="K1532" s="90"/>
      <c r="L1532" s="1901"/>
      <c r="M1532" s="643"/>
      <c r="N1532" s="643"/>
      <c r="O1532" s="658"/>
      <c r="P1532" s="658"/>
      <c r="Q1532" s="1899"/>
      <c r="R1532" s="430"/>
      <c r="S1532" s="430"/>
      <c r="T1532" s="430"/>
      <c r="U1532" s="430"/>
      <c r="V1532" s="430"/>
      <c r="W1532" s="90"/>
      <c r="X1532" s="90"/>
      <c r="Y1532" s="90"/>
    </row>
    <row r="1533" spans="3:25" ht="15.75" customHeight="1">
      <c r="C1533" s="90"/>
      <c r="D1533" s="1900"/>
      <c r="E1533" s="1895"/>
      <c r="F1533" s="1896"/>
      <c r="G1533" s="1897"/>
      <c r="H1533" s="90"/>
      <c r="I1533" s="90"/>
      <c r="J1533" s="90"/>
      <c r="K1533" s="90"/>
      <c r="L1533" s="1901"/>
      <c r="M1533" s="643"/>
      <c r="N1533" s="643"/>
      <c r="O1533" s="658"/>
      <c r="P1533" s="658"/>
      <c r="Q1533" s="1899"/>
      <c r="R1533" s="430"/>
      <c r="S1533" s="430"/>
      <c r="T1533" s="430"/>
      <c r="U1533" s="430"/>
      <c r="V1533" s="430"/>
      <c r="W1533" s="90"/>
      <c r="X1533" s="90"/>
      <c r="Y1533" s="90"/>
    </row>
    <row r="1534" spans="3:25" ht="15.75" customHeight="1">
      <c r="C1534" s="90"/>
      <c r="D1534" s="1900"/>
      <c r="E1534" s="1895"/>
      <c r="F1534" s="1896"/>
      <c r="G1534" s="1897"/>
      <c r="H1534" s="90"/>
      <c r="I1534" s="90"/>
      <c r="J1534" s="90"/>
      <c r="K1534" s="90"/>
      <c r="L1534" s="1901"/>
      <c r="M1534" s="643"/>
      <c r="N1534" s="643"/>
      <c r="O1534" s="658"/>
      <c r="P1534" s="658"/>
      <c r="Q1534" s="1899"/>
      <c r="R1534" s="430"/>
      <c r="S1534" s="430"/>
      <c r="T1534" s="430"/>
      <c r="U1534" s="430"/>
      <c r="V1534" s="430"/>
      <c r="W1534" s="90"/>
      <c r="X1534" s="90"/>
      <c r="Y1534" s="90"/>
    </row>
    <row r="1535" spans="3:25" ht="15.75" customHeight="1">
      <c r="C1535" s="90"/>
      <c r="D1535" s="1900"/>
      <c r="E1535" s="1895"/>
      <c r="F1535" s="1896"/>
      <c r="G1535" s="1897"/>
      <c r="H1535" s="90"/>
      <c r="I1535" s="90"/>
      <c r="J1535" s="90"/>
      <c r="K1535" s="90"/>
      <c r="L1535" s="1901"/>
      <c r="M1535" s="643"/>
      <c r="N1535" s="643"/>
      <c r="O1535" s="658"/>
      <c r="P1535" s="658"/>
      <c r="Q1535" s="1899"/>
      <c r="R1535" s="430"/>
      <c r="S1535" s="430"/>
      <c r="T1535" s="430"/>
      <c r="U1535" s="430"/>
      <c r="V1535" s="430"/>
      <c r="W1535" s="90"/>
      <c r="X1535" s="90"/>
      <c r="Y1535" s="90"/>
    </row>
    <row r="1536" spans="3:25" ht="15.75" customHeight="1">
      <c r="C1536" s="90"/>
      <c r="D1536" s="1900"/>
      <c r="E1536" s="1895"/>
      <c r="F1536" s="1896"/>
      <c r="G1536" s="1897"/>
      <c r="H1536" s="90"/>
      <c r="I1536" s="90"/>
      <c r="J1536" s="90"/>
      <c r="K1536" s="90"/>
      <c r="L1536" s="1901"/>
      <c r="M1536" s="643"/>
      <c r="N1536" s="643"/>
      <c r="O1536" s="658"/>
      <c r="P1536" s="658"/>
      <c r="Q1536" s="1899"/>
      <c r="R1536" s="430"/>
      <c r="S1536" s="430"/>
      <c r="T1536" s="430"/>
      <c r="U1536" s="430"/>
      <c r="V1536" s="430"/>
      <c r="W1536" s="90"/>
      <c r="X1536" s="90"/>
      <c r="Y1536" s="90"/>
    </row>
    <row r="1537" spans="3:25" ht="15.75" customHeight="1">
      <c r="C1537" s="90"/>
      <c r="D1537" s="1900"/>
      <c r="E1537" s="1895"/>
      <c r="F1537" s="1896"/>
      <c r="G1537" s="1897"/>
      <c r="H1537" s="90"/>
      <c r="I1537" s="90"/>
      <c r="J1537" s="90"/>
      <c r="K1537" s="90"/>
      <c r="L1537" s="1901"/>
      <c r="M1537" s="643"/>
      <c r="N1537" s="643"/>
      <c r="O1537" s="658"/>
      <c r="P1537" s="658"/>
      <c r="Q1537" s="1899"/>
      <c r="R1537" s="430"/>
      <c r="S1537" s="430"/>
      <c r="T1537" s="430"/>
      <c r="U1537" s="430"/>
      <c r="V1537" s="430"/>
      <c r="W1537" s="90"/>
      <c r="X1537" s="90"/>
      <c r="Y1537" s="90"/>
    </row>
    <row r="1538" spans="3:25" ht="15.75" customHeight="1">
      <c r="C1538" s="90"/>
      <c r="D1538" s="1900"/>
      <c r="E1538" s="1895"/>
      <c r="F1538" s="1896"/>
      <c r="G1538" s="1897"/>
      <c r="H1538" s="90"/>
      <c r="I1538" s="90"/>
      <c r="J1538" s="90"/>
      <c r="K1538" s="90"/>
      <c r="L1538" s="1901"/>
      <c r="M1538" s="643"/>
      <c r="N1538" s="643"/>
      <c r="O1538" s="658"/>
      <c r="P1538" s="658"/>
      <c r="Q1538" s="1899"/>
      <c r="R1538" s="430"/>
      <c r="S1538" s="430"/>
      <c r="T1538" s="430"/>
      <c r="U1538" s="430"/>
      <c r="V1538" s="430"/>
      <c r="W1538" s="90"/>
      <c r="X1538" s="90"/>
      <c r="Y1538" s="90"/>
    </row>
    <row r="1539" spans="3:25" ht="15.75" customHeight="1">
      <c r="C1539" s="90"/>
      <c r="D1539" s="1900"/>
      <c r="E1539" s="1895"/>
      <c r="F1539" s="1896"/>
      <c r="G1539" s="1897"/>
      <c r="H1539" s="90"/>
      <c r="I1539" s="90"/>
      <c r="J1539" s="90"/>
      <c r="K1539" s="90"/>
      <c r="L1539" s="1901"/>
      <c r="M1539" s="643"/>
      <c r="N1539" s="643"/>
      <c r="O1539" s="658"/>
      <c r="P1539" s="658"/>
      <c r="Q1539" s="1899"/>
      <c r="R1539" s="430"/>
      <c r="S1539" s="430"/>
      <c r="T1539" s="430"/>
      <c r="U1539" s="430"/>
      <c r="V1539" s="430"/>
      <c r="W1539" s="90"/>
      <c r="X1539" s="90"/>
      <c r="Y1539" s="90"/>
    </row>
    <row r="1540" spans="3:25" ht="15.75" customHeight="1">
      <c r="C1540" s="90"/>
      <c r="D1540" s="1900"/>
      <c r="E1540" s="1895"/>
      <c r="F1540" s="1896"/>
      <c r="G1540" s="1897"/>
      <c r="H1540" s="90"/>
      <c r="I1540" s="90"/>
      <c r="J1540" s="90"/>
      <c r="K1540" s="90"/>
      <c r="L1540" s="1901"/>
      <c r="M1540" s="643"/>
      <c r="N1540" s="643"/>
      <c r="O1540" s="658"/>
      <c r="P1540" s="658"/>
      <c r="Q1540" s="1899"/>
      <c r="R1540" s="430"/>
      <c r="S1540" s="430"/>
      <c r="T1540" s="430"/>
      <c r="U1540" s="430"/>
      <c r="V1540" s="430"/>
      <c r="W1540" s="90"/>
      <c r="X1540" s="90"/>
      <c r="Y1540" s="90"/>
    </row>
    <row r="1541" spans="3:25" ht="15.75" customHeight="1">
      <c r="C1541" s="90"/>
      <c r="D1541" s="1900"/>
      <c r="E1541" s="1895"/>
      <c r="F1541" s="1896"/>
      <c r="G1541" s="1897"/>
      <c r="H1541" s="90"/>
      <c r="I1541" s="90"/>
      <c r="J1541" s="90"/>
      <c r="K1541" s="90"/>
      <c r="L1541" s="1901"/>
      <c r="M1541" s="643"/>
      <c r="N1541" s="643"/>
      <c r="O1541" s="658"/>
      <c r="P1541" s="658"/>
      <c r="Q1541" s="1899"/>
      <c r="R1541" s="430"/>
      <c r="S1541" s="430"/>
      <c r="T1541" s="430"/>
      <c r="U1541" s="430"/>
      <c r="V1541" s="430"/>
      <c r="W1541" s="90"/>
      <c r="X1541" s="90"/>
      <c r="Y1541" s="90"/>
    </row>
    <row r="1542" spans="3:25" ht="15.75" customHeight="1">
      <c r="C1542" s="90"/>
      <c r="D1542" s="1900"/>
      <c r="E1542" s="1895"/>
      <c r="F1542" s="1896"/>
      <c r="G1542" s="1897"/>
      <c r="H1542" s="90"/>
      <c r="I1542" s="90"/>
      <c r="J1542" s="90"/>
      <c r="K1542" s="90"/>
      <c r="L1542" s="1901"/>
      <c r="M1542" s="643"/>
      <c r="N1542" s="643"/>
      <c r="O1542" s="658"/>
      <c r="P1542" s="658"/>
      <c r="Q1542" s="1899"/>
      <c r="R1542" s="430"/>
      <c r="S1542" s="430"/>
      <c r="T1542" s="430"/>
      <c r="U1542" s="430"/>
      <c r="V1542" s="430"/>
      <c r="W1542" s="90"/>
      <c r="X1542" s="90"/>
      <c r="Y1542" s="90"/>
    </row>
    <row r="1543" spans="3:25" ht="15.75" customHeight="1">
      <c r="C1543" s="90"/>
      <c r="D1543" s="1900"/>
      <c r="E1543" s="1895"/>
      <c r="F1543" s="1896"/>
      <c r="G1543" s="1897"/>
      <c r="H1543" s="90"/>
      <c r="I1543" s="90"/>
      <c r="J1543" s="90"/>
      <c r="K1543" s="90"/>
      <c r="L1543" s="1901"/>
      <c r="M1543" s="643"/>
      <c r="N1543" s="643"/>
      <c r="O1543" s="658"/>
      <c r="P1543" s="658"/>
      <c r="Q1543" s="1899"/>
      <c r="R1543" s="430"/>
      <c r="S1543" s="430"/>
      <c r="T1543" s="430"/>
      <c r="U1543" s="430"/>
      <c r="V1543" s="430"/>
      <c r="W1543" s="90"/>
      <c r="X1543" s="90"/>
      <c r="Y1543" s="90"/>
    </row>
    <row r="1544" spans="3:25" ht="15.75" customHeight="1">
      <c r="C1544" s="90"/>
      <c r="D1544" s="1900"/>
      <c r="E1544" s="1895"/>
      <c r="F1544" s="1896"/>
      <c r="G1544" s="1897"/>
      <c r="H1544" s="90"/>
      <c r="I1544" s="90"/>
      <c r="J1544" s="90"/>
      <c r="K1544" s="90"/>
      <c r="L1544" s="1901"/>
      <c r="M1544" s="643"/>
      <c r="N1544" s="643"/>
      <c r="O1544" s="658"/>
      <c r="P1544" s="658"/>
      <c r="Q1544" s="1899"/>
      <c r="R1544" s="430"/>
      <c r="S1544" s="430"/>
      <c r="T1544" s="430"/>
      <c r="U1544" s="430"/>
      <c r="V1544" s="430"/>
      <c r="W1544" s="90"/>
      <c r="X1544" s="90"/>
      <c r="Y1544" s="90"/>
    </row>
    <row r="1545" spans="3:25" ht="15.75" customHeight="1">
      <c r="C1545" s="90"/>
      <c r="D1545" s="1900"/>
      <c r="E1545" s="1895"/>
      <c r="F1545" s="1896"/>
      <c r="G1545" s="1897"/>
      <c r="H1545" s="90"/>
      <c r="I1545" s="90"/>
      <c r="J1545" s="90"/>
      <c r="K1545" s="90"/>
      <c r="L1545" s="1901"/>
      <c r="M1545" s="643"/>
      <c r="N1545" s="643"/>
      <c r="O1545" s="658"/>
      <c r="P1545" s="658"/>
      <c r="Q1545" s="1899"/>
      <c r="R1545" s="430"/>
      <c r="S1545" s="430"/>
      <c r="T1545" s="430"/>
      <c r="U1545" s="430"/>
      <c r="V1545" s="430"/>
      <c r="W1545" s="90"/>
      <c r="X1545" s="90"/>
      <c r="Y1545" s="90"/>
    </row>
    <row r="1546" spans="3:25" ht="15.75" customHeight="1">
      <c r="C1546" s="90"/>
      <c r="D1546" s="1900"/>
      <c r="E1546" s="1895"/>
      <c r="F1546" s="1896"/>
      <c r="G1546" s="1897"/>
      <c r="H1546" s="90"/>
      <c r="I1546" s="90"/>
      <c r="J1546" s="90"/>
      <c r="K1546" s="90"/>
      <c r="L1546" s="1901"/>
      <c r="M1546" s="643"/>
      <c r="N1546" s="643"/>
      <c r="O1546" s="658"/>
      <c r="P1546" s="658"/>
      <c r="Q1546" s="1899"/>
      <c r="R1546" s="430"/>
      <c r="S1546" s="430"/>
      <c r="T1546" s="430"/>
      <c r="U1546" s="430"/>
      <c r="V1546" s="430"/>
      <c r="W1546" s="90"/>
      <c r="X1546" s="90"/>
      <c r="Y1546" s="90"/>
    </row>
    <row r="1547" spans="3:25" ht="15.75" customHeight="1">
      <c r="C1547" s="90"/>
      <c r="D1547" s="1900"/>
      <c r="E1547" s="1895"/>
      <c r="F1547" s="1896"/>
      <c r="G1547" s="1897"/>
      <c r="H1547" s="90"/>
      <c r="I1547" s="90"/>
      <c r="J1547" s="90"/>
      <c r="K1547" s="90"/>
      <c r="L1547" s="1901"/>
      <c r="M1547" s="643"/>
      <c r="N1547" s="643"/>
      <c r="O1547" s="658"/>
      <c r="P1547" s="658"/>
      <c r="Q1547" s="1899"/>
      <c r="R1547" s="430"/>
      <c r="S1547" s="430"/>
      <c r="T1547" s="430"/>
      <c r="U1547" s="430"/>
      <c r="V1547" s="430"/>
      <c r="W1547" s="90"/>
      <c r="X1547" s="90"/>
      <c r="Y1547" s="90"/>
    </row>
    <row r="1548" spans="3:25" ht="15.75" customHeight="1">
      <c r="C1548" s="90"/>
      <c r="D1548" s="1900"/>
      <c r="E1548" s="1895"/>
      <c r="F1548" s="1896"/>
      <c r="G1548" s="1897"/>
      <c r="H1548" s="90"/>
      <c r="I1548" s="90"/>
      <c r="J1548" s="90"/>
      <c r="K1548" s="90"/>
      <c r="L1548" s="1901"/>
      <c r="M1548" s="643"/>
      <c r="N1548" s="643"/>
      <c r="O1548" s="658"/>
      <c r="P1548" s="658"/>
      <c r="Q1548" s="1899"/>
      <c r="R1548" s="430"/>
      <c r="S1548" s="430"/>
      <c r="T1548" s="430"/>
      <c r="U1548" s="430"/>
      <c r="V1548" s="430"/>
      <c r="W1548" s="90"/>
      <c r="X1548" s="90"/>
      <c r="Y1548" s="90"/>
    </row>
    <row r="1549" spans="3:25" ht="15.75" customHeight="1">
      <c r="C1549" s="90"/>
      <c r="D1549" s="1900"/>
      <c r="E1549" s="1895"/>
      <c r="F1549" s="1896"/>
      <c r="G1549" s="1897"/>
      <c r="H1549" s="90"/>
      <c r="I1549" s="90"/>
      <c r="J1549" s="90"/>
      <c r="K1549" s="90"/>
      <c r="L1549" s="1901"/>
      <c r="M1549" s="643"/>
      <c r="N1549" s="643"/>
      <c r="O1549" s="658"/>
      <c r="P1549" s="658"/>
      <c r="Q1549" s="1899"/>
      <c r="R1549" s="430"/>
      <c r="S1549" s="430"/>
      <c r="T1549" s="430"/>
      <c r="U1549" s="430"/>
      <c r="V1549" s="430"/>
      <c r="W1549" s="90"/>
      <c r="X1549" s="90"/>
      <c r="Y1549" s="90"/>
    </row>
    <row r="1550" spans="3:25" ht="15.75" customHeight="1">
      <c r="C1550" s="90"/>
      <c r="D1550" s="1900"/>
      <c r="E1550" s="1895"/>
      <c r="F1550" s="1896"/>
      <c r="G1550" s="1897"/>
      <c r="H1550" s="90"/>
      <c r="I1550" s="90"/>
      <c r="J1550" s="90"/>
      <c r="K1550" s="90"/>
      <c r="L1550" s="1901"/>
      <c r="M1550" s="643"/>
      <c r="N1550" s="643"/>
      <c r="O1550" s="658"/>
      <c r="P1550" s="658"/>
      <c r="Q1550" s="1899"/>
      <c r="R1550" s="430"/>
      <c r="S1550" s="430"/>
      <c r="T1550" s="430"/>
      <c r="U1550" s="430"/>
      <c r="V1550" s="430"/>
      <c r="W1550" s="90"/>
      <c r="X1550" s="90"/>
      <c r="Y1550" s="90"/>
    </row>
    <row r="1551" spans="3:25" ht="15.75" customHeight="1">
      <c r="C1551" s="90"/>
      <c r="D1551" s="1900"/>
      <c r="E1551" s="1895"/>
      <c r="F1551" s="1896"/>
      <c r="G1551" s="1897"/>
      <c r="H1551" s="90"/>
      <c r="I1551" s="90"/>
      <c r="J1551" s="90"/>
      <c r="K1551" s="90"/>
      <c r="L1551" s="1901"/>
      <c r="M1551" s="643"/>
      <c r="N1551" s="643"/>
      <c r="O1551" s="658"/>
      <c r="P1551" s="658"/>
      <c r="Q1551" s="1899"/>
      <c r="R1551" s="430"/>
      <c r="S1551" s="430"/>
      <c r="T1551" s="430"/>
      <c r="U1551" s="430"/>
      <c r="V1551" s="430"/>
      <c r="W1551" s="90"/>
      <c r="X1551" s="90"/>
      <c r="Y1551" s="90"/>
    </row>
    <row r="1552" spans="3:25" ht="15.75" customHeight="1">
      <c r="C1552" s="90"/>
      <c r="D1552" s="1900"/>
      <c r="E1552" s="1895"/>
      <c r="F1552" s="1896"/>
      <c r="G1552" s="1897"/>
      <c r="H1552" s="90"/>
      <c r="I1552" s="90"/>
      <c r="J1552" s="90"/>
      <c r="K1552" s="90"/>
      <c r="L1552" s="1901"/>
      <c r="M1552" s="643"/>
      <c r="N1552" s="643"/>
      <c r="O1552" s="658"/>
      <c r="P1552" s="658"/>
      <c r="Q1552" s="1899"/>
      <c r="R1552" s="430"/>
      <c r="S1552" s="430"/>
      <c r="T1552" s="430"/>
      <c r="U1552" s="430"/>
      <c r="V1552" s="430"/>
      <c r="W1552" s="90"/>
      <c r="X1552" s="90"/>
      <c r="Y1552" s="90"/>
    </row>
    <row r="1553" spans="3:25" ht="15.75" customHeight="1">
      <c r="C1553" s="90"/>
      <c r="D1553" s="1900"/>
      <c r="E1553" s="1895"/>
      <c r="F1553" s="1896"/>
      <c r="G1553" s="1897"/>
      <c r="H1553" s="90"/>
      <c r="I1553" s="90"/>
      <c r="J1553" s="90"/>
      <c r="K1553" s="90"/>
      <c r="L1553" s="1901"/>
      <c r="M1553" s="643"/>
      <c r="N1553" s="643"/>
      <c r="O1553" s="658"/>
      <c r="P1553" s="658"/>
      <c r="Q1553" s="1899"/>
      <c r="R1553" s="430"/>
      <c r="S1553" s="430"/>
      <c r="T1553" s="430"/>
      <c r="U1553" s="430"/>
      <c r="V1553" s="430"/>
      <c r="W1553" s="90"/>
      <c r="X1553" s="90"/>
      <c r="Y1553" s="90"/>
    </row>
    <row r="1554" spans="3:25" ht="15.75" customHeight="1">
      <c r="C1554" s="90"/>
      <c r="D1554" s="1900"/>
      <c r="E1554" s="1895"/>
      <c r="F1554" s="1896"/>
      <c r="G1554" s="1897"/>
      <c r="H1554" s="90"/>
      <c r="I1554" s="90"/>
      <c r="J1554" s="90"/>
      <c r="K1554" s="90"/>
      <c r="L1554" s="1901"/>
      <c r="M1554" s="643"/>
      <c r="N1554" s="643"/>
      <c r="O1554" s="658"/>
      <c r="P1554" s="658"/>
      <c r="Q1554" s="1899"/>
      <c r="R1554" s="430"/>
      <c r="S1554" s="430"/>
      <c r="T1554" s="430"/>
      <c r="U1554" s="430"/>
      <c r="V1554" s="430"/>
      <c r="W1554" s="90"/>
      <c r="X1554" s="90"/>
      <c r="Y1554" s="90"/>
    </row>
    <row r="1555" spans="3:25" ht="15.75" customHeight="1">
      <c r="C1555" s="90"/>
      <c r="D1555" s="1900"/>
      <c r="E1555" s="1895"/>
      <c r="F1555" s="1896"/>
      <c r="G1555" s="1897"/>
      <c r="H1555" s="90"/>
      <c r="I1555" s="90"/>
      <c r="J1555" s="90"/>
      <c r="K1555" s="90"/>
      <c r="L1555" s="1901"/>
      <c r="M1555" s="643"/>
      <c r="N1555" s="643"/>
      <c r="O1555" s="658"/>
      <c r="P1555" s="658"/>
      <c r="Q1555" s="1899"/>
      <c r="R1555" s="430"/>
      <c r="S1555" s="430"/>
      <c r="T1555" s="430"/>
      <c r="U1555" s="430"/>
      <c r="V1555" s="430"/>
      <c r="W1555" s="90"/>
      <c r="X1555" s="90"/>
      <c r="Y1555" s="90"/>
    </row>
    <row r="1556" spans="3:25" ht="15.75" customHeight="1">
      <c r="C1556" s="90"/>
      <c r="D1556" s="1900"/>
      <c r="E1556" s="1895"/>
      <c r="F1556" s="1896"/>
      <c r="G1556" s="1897"/>
      <c r="H1556" s="90"/>
      <c r="I1556" s="90"/>
      <c r="J1556" s="90"/>
      <c r="K1556" s="90"/>
      <c r="L1556" s="1901"/>
      <c r="M1556" s="643"/>
      <c r="N1556" s="643"/>
      <c r="O1556" s="658"/>
      <c r="P1556" s="658"/>
      <c r="Q1556" s="1899"/>
      <c r="R1556" s="430"/>
      <c r="S1556" s="430"/>
      <c r="T1556" s="430"/>
      <c r="U1556" s="430"/>
      <c r="V1556" s="430"/>
      <c r="W1556" s="90"/>
      <c r="X1556" s="90"/>
      <c r="Y1556" s="90"/>
    </row>
    <row r="1557" spans="3:25" ht="15.75" customHeight="1">
      <c r="C1557" s="90"/>
      <c r="D1557" s="1900"/>
      <c r="E1557" s="1895"/>
      <c r="F1557" s="1896"/>
      <c r="G1557" s="1897"/>
      <c r="H1557" s="90"/>
      <c r="I1557" s="90"/>
      <c r="J1557" s="90"/>
      <c r="K1557" s="90"/>
      <c r="L1557" s="1901"/>
      <c r="M1557" s="643"/>
      <c r="N1557" s="643"/>
      <c r="O1557" s="658"/>
      <c r="P1557" s="658"/>
      <c r="Q1557" s="1899"/>
      <c r="R1557" s="430"/>
      <c r="S1557" s="430"/>
      <c r="T1557" s="430"/>
      <c r="U1557" s="430"/>
      <c r="V1557" s="430"/>
      <c r="W1557" s="90"/>
      <c r="X1557" s="90"/>
      <c r="Y1557" s="90"/>
    </row>
    <row r="1558" spans="3:25" ht="15.75" customHeight="1">
      <c r="C1558" s="90"/>
      <c r="D1558" s="1900"/>
      <c r="E1558" s="1895"/>
      <c r="F1558" s="1896"/>
      <c r="G1558" s="1897"/>
      <c r="H1558" s="90"/>
      <c r="I1558" s="90"/>
      <c r="J1558" s="90"/>
      <c r="K1558" s="90"/>
      <c r="L1558" s="1901"/>
      <c r="M1558" s="643"/>
      <c r="N1558" s="643"/>
      <c r="O1558" s="658"/>
      <c r="P1558" s="658"/>
      <c r="Q1558" s="1899"/>
      <c r="R1558" s="430"/>
      <c r="S1558" s="430"/>
      <c r="T1558" s="430"/>
      <c r="U1558" s="430"/>
      <c r="V1558" s="430"/>
      <c r="W1558" s="90"/>
      <c r="X1558" s="90"/>
      <c r="Y1558" s="90"/>
    </row>
    <row r="1559" spans="3:25" ht="15.75" customHeight="1">
      <c r="C1559" s="90"/>
      <c r="D1559" s="1900"/>
      <c r="E1559" s="1895"/>
      <c r="F1559" s="1896"/>
      <c r="G1559" s="1897"/>
      <c r="H1559" s="90"/>
      <c r="I1559" s="90"/>
      <c r="J1559" s="90"/>
      <c r="K1559" s="90"/>
      <c r="L1559" s="1901"/>
      <c r="M1559" s="643"/>
      <c r="N1559" s="643"/>
      <c r="O1559" s="658"/>
      <c r="P1559" s="658"/>
      <c r="Q1559" s="1899"/>
      <c r="R1559" s="430"/>
      <c r="S1559" s="430"/>
      <c r="T1559" s="430"/>
      <c r="U1559" s="430"/>
      <c r="V1559" s="430"/>
      <c r="W1559" s="90"/>
      <c r="X1559" s="90"/>
      <c r="Y1559" s="90"/>
    </row>
    <row r="1560" spans="3:25" ht="15.75" customHeight="1">
      <c r="C1560" s="90"/>
      <c r="D1560" s="1900"/>
      <c r="E1560" s="1895"/>
      <c r="F1560" s="1896"/>
      <c r="G1560" s="1897"/>
      <c r="H1560" s="90"/>
      <c r="I1560" s="90"/>
      <c r="J1560" s="90"/>
      <c r="K1560" s="90"/>
      <c r="L1560" s="1901"/>
      <c r="M1560" s="643"/>
      <c r="N1560" s="643"/>
      <c r="O1560" s="658"/>
      <c r="P1560" s="658"/>
      <c r="Q1560" s="1899"/>
      <c r="R1560" s="430"/>
      <c r="S1560" s="430"/>
      <c r="T1560" s="430"/>
      <c r="U1560" s="430"/>
      <c r="V1560" s="430"/>
      <c r="W1560" s="90"/>
      <c r="X1560" s="90"/>
      <c r="Y1560" s="90"/>
    </row>
    <row r="1561" spans="3:25" ht="15.75" customHeight="1">
      <c r="C1561" s="90"/>
      <c r="D1561" s="1900"/>
      <c r="E1561" s="1895"/>
      <c r="F1561" s="1896"/>
      <c r="G1561" s="1897"/>
      <c r="H1561" s="90"/>
      <c r="I1561" s="90"/>
      <c r="J1561" s="90"/>
      <c r="K1561" s="90"/>
      <c r="L1561" s="1901"/>
      <c r="M1561" s="643"/>
      <c r="N1561" s="643"/>
      <c r="O1561" s="658"/>
      <c r="P1561" s="658"/>
      <c r="Q1561" s="1899"/>
      <c r="R1561" s="430"/>
      <c r="S1561" s="430"/>
      <c r="T1561" s="430"/>
      <c r="U1561" s="430"/>
      <c r="V1561" s="430"/>
      <c r="W1561" s="90"/>
      <c r="X1561" s="90"/>
      <c r="Y1561" s="90"/>
    </row>
    <row r="1562" spans="3:25" ht="15.75" customHeight="1">
      <c r="C1562" s="90"/>
      <c r="D1562" s="1900"/>
      <c r="E1562" s="1895"/>
      <c r="F1562" s="1896"/>
      <c r="G1562" s="1897"/>
      <c r="H1562" s="90"/>
      <c r="I1562" s="90"/>
      <c r="J1562" s="90"/>
      <c r="K1562" s="90"/>
      <c r="L1562" s="1901"/>
      <c r="M1562" s="643"/>
      <c r="N1562" s="643"/>
      <c r="O1562" s="658"/>
      <c r="P1562" s="658"/>
      <c r="Q1562" s="1899"/>
      <c r="R1562" s="430"/>
      <c r="S1562" s="430"/>
      <c r="T1562" s="430"/>
      <c r="U1562" s="430"/>
      <c r="V1562" s="430"/>
      <c r="W1562" s="90"/>
      <c r="X1562" s="90"/>
      <c r="Y1562" s="90"/>
    </row>
    <row r="1563" spans="3:25" ht="15.75" customHeight="1">
      <c r="C1563" s="90"/>
      <c r="D1563" s="1900"/>
      <c r="E1563" s="1895"/>
      <c r="F1563" s="1896"/>
      <c r="G1563" s="1897"/>
      <c r="H1563" s="90"/>
      <c r="I1563" s="90"/>
      <c r="J1563" s="90"/>
      <c r="K1563" s="90"/>
      <c r="L1563" s="1901"/>
      <c r="M1563" s="643"/>
      <c r="N1563" s="643"/>
      <c r="O1563" s="658"/>
      <c r="P1563" s="658"/>
      <c r="Q1563" s="1899"/>
      <c r="R1563" s="430"/>
      <c r="S1563" s="430"/>
      <c r="T1563" s="430"/>
      <c r="U1563" s="430"/>
      <c r="V1563" s="430"/>
      <c r="W1563" s="90"/>
      <c r="X1563" s="90"/>
      <c r="Y1563" s="90"/>
    </row>
    <row r="1564" spans="3:25" ht="15.75" customHeight="1">
      <c r="C1564" s="90"/>
      <c r="D1564" s="1900"/>
      <c r="E1564" s="1895"/>
      <c r="F1564" s="1896"/>
      <c r="G1564" s="1897"/>
      <c r="H1564" s="90"/>
      <c r="I1564" s="90"/>
      <c r="J1564" s="90"/>
      <c r="K1564" s="90"/>
      <c r="L1564" s="1901"/>
      <c r="M1564" s="643"/>
      <c r="N1564" s="643"/>
      <c r="O1564" s="658"/>
      <c r="P1564" s="658"/>
      <c r="Q1564" s="1899"/>
      <c r="R1564" s="430"/>
      <c r="S1564" s="430"/>
      <c r="T1564" s="430"/>
      <c r="U1564" s="430"/>
      <c r="V1564" s="430"/>
      <c r="W1564" s="90"/>
      <c r="X1564" s="90"/>
      <c r="Y1564" s="90"/>
    </row>
    <row r="1565" spans="3:25" ht="15.75" customHeight="1">
      <c r="C1565" s="90"/>
      <c r="D1565" s="1900"/>
      <c r="E1565" s="1895"/>
      <c r="F1565" s="1896"/>
      <c r="G1565" s="1897"/>
      <c r="H1565" s="90"/>
      <c r="I1565" s="90"/>
      <c r="J1565" s="90"/>
      <c r="K1565" s="90"/>
      <c r="L1565" s="1901"/>
      <c r="M1565" s="643"/>
      <c r="N1565" s="643"/>
      <c r="O1565" s="658"/>
      <c r="P1565" s="658"/>
      <c r="Q1565" s="1899"/>
      <c r="R1565" s="430"/>
      <c r="S1565" s="430"/>
      <c r="T1565" s="430"/>
      <c r="U1565" s="430"/>
      <c r="V1565" s="430"/>
      <c r="W1565" s="90"/>
      <c r="X1565" s="90"/>
      <c r="Y1565" s="90"/>
    </row>
    <row r="1566" spans="3:25" ht="15.75" customHeight="1">
      <c r="C1566" s="90"/>
      <c r="D1566" s="1900"/>
      <c r="E1566" s="1895"/>
      <c r="F1566" s="1896"/>
      <c r="G1566" s="1897"/>
      <c r="H1566" s="90"/>
      <c r="I1566" s="90"/>
      <c r="J1566" s="90"/>
      <c r="K1566" s="90"/>
      <c r="L1566" s="1901"/>
      <c r="M1566" s="643"/>
      <c r="N1566" s="643"/>
      <c r="O1566" s="658"/>
      <c r="P1566" s="658"/>
      <c r="Q1566" s="1899"/>
      <c r="R1566" s="430"/>
      <c r="S1566" s="430"/>
      <c r="T1566" s="430"/>
      <c r="U1566" s="430"/>
      <c r="V1566" s="430"/>
      <c r="W1566" s="90"/>
      <c r="X1566" s="90"/>
      <c r="Y1566" s="90"/>
    </row>
    <row r="1567" spans="3:25" ht="15.75" customHeight="1">
      <c r="C1567" s="90"/>
      <c r="D1567" s="1900"/>
      <c r="E1567" s="1895"/>
      <c r="F1567" s="1896"/>
      <c r="G1567" s="1897"/>
      <c r="H1567" s="90"/>
      <c r="I1567" s="90"/>
      <c r="J1567" s="90"/>
      <c r="K1567" s="90"/>
      <c r="L1567" s="1901"/>
      <c r="M1567" s="643"/>
      <c r="N1567" s="643"/>
      <c r="O1567" s="658"/>
      <c r="P1567" s="658"/>
      <c r="Q1567" s="1899"/>
      <c r="R1567" s="430"/>
      <c r="S1567" s="430"/>
      <c r="T1567" s="430"/>
      <c r="U1567" s="430"/>
      <c r="V1567" s="430"/>
      <c r="W1567" s="90"/>
      <c r="X1567" s="90"/>
      <c r="Y1567" s="90"/>
    </row>
    <row r="1568" spans="3:25" ht="15.75" customHeight="1">
      <c r="C1568" s="90"/>
      <c r="D1568" s="1900"/>
      <c r="E1568" s="1895"/>
      <c r="F1568" s="1896"/>
      <c r="G1568" s="1897"/>
      <c r="H1568" s="90"/>
      <c r="I1568" s="90"/>
      <c r="J1568" s="90"/>
      <c r="K1568" s="90"/>
      <c r="L1568" s="1901"/>
      <c r="M1568" s="643"/>
      <c r="N1568" s="643"/>
      <c r="O1568" s="658"/>
      <c r="P1568" s="658"/>
      <c r="Q1568" s="1899"/>
      <c r="R1568" s="430"/>
      <c r="S1568" s="430"/>
      <c r="T1568" s="430"/>
      <c r="U1568" s="430"/>
      <c r="V1568" s="430"/>
      <c r="W1568" s="90"/>
      <c r="X1568" s="90"/>
      <c r="Y1568" s="90"/>
    </row>
    <row r="1569" spans="3:25" ht="15.75" customHeight="1">
      <c r="C1569" s="90"/>
      <c r="D1569" s="1900"/>
      <c r="E1569" s="1895"/>
      <c r="F1569" s="1896"/>
      <c r="G1569" s="1897"/>
      <c r="H1569" s="90"/>
      <c r="I1569" s="90"/>
      <c r="J1569" s="90"/>
      <c r="K1569" s="90"/>
      <c r="L1569" s="1901"/>
      <c r="M1569" s="643"/>
      <c r="N1569" s="643"/>
      <c r="O1569" s="658"/>
      <c r="P1569" s="658"/>
      <c r="Q1569" s="1899"/>
      <c r="R1569" s="430"/>
      <c r="S1569" s="430"/>
      <c r="T1569" s="430"/>
      <c r="U1569" s="430"/>
      <c r="V1569" s="430"/>
      <c r="W1569" s="90"/>
      <c r="X1569" s="90"/>
      <c r="Y1569" s="90"/>
    </row>
    <row r="1570" spans="3:25" ht="15.75" customHeight="1">
      <c r="C1570" s="90"/>
      <c r="D1570" s="1900"/>
      <c r="E1570" s="1895"/>
      <c r="F1570" s="1896"/>
      <c r="G1570" s="1897"/>
      <c r="H1570" s="90"/>
      <c r="I1570" s="90"/>
      <c r="J1570" s="90"/>
      <c r="K1570" s="90"/>
      <c r="L1570" s="1901"/>
      <c r="M1570" s="643"/>
      <c r="N1570" s="643"/>
      <c r="O1570" s="658"/>
      <c r="P1570" s="658"/>
      <c r="Q1570" s="1899"/>
      <c r="R1570" s="430"/>
      <c r="S1570" s="430"/>
      <c r="T1570" s="430"/>
      <c r="U1570" s="430"/>
      <c r="V1570" s="430"/>
      <c r="W1570" s="90"/>
      <c r="X1570" s="90"/>
      <c r="Y1570" s="90"/>
    </row>
    <row r="1571" spans="3:25" ht="15.75" customHeight="1">
      <c r="C1571" s="90"/>
      <c r="D1571" s="1900"/>
      <c r="E1571" s="1895"/>
      <c r="F1571" s="1896"/>
      <c r="G1571" s="1897"/>
      <c r="H1571" s="90"/>
      <c r="I1571" s="90"/>
      <c r="J1571" s="90"/>
      <c r="K1571" s="90"/>
      <c r="L1571" s="1901"/>
      <c r="M1571" s="643"/>
      <c r="N1571" s="643"/>
      <c r="O1571" s="658"/>
      <c r="P1571" s="658"/>
      <c r="Q1571" s="1899"/>
      <c r="R1571" s="430"/>
      <c r="S1571" s="430"/>
      <c r="T1571" s="430"/>
      <c r="U1571" s="430"/>
      <c r="V1571" s="430"/>
      <c r="W1571" s="90"/>
      <c r="X1571" s="90"/>
      <c r="Y1571" s="90"/>
    </row>
    <row r="1572" spans="3:25" ht="15.75" customHeight="1">
      <c r="C1572" s="90"/>
      <c r="D1572" s="1900"/>
      <c r="E1572" s="1895"/>
      <c r="F1572" s="1896"/>
      <c r="G1572" s="1897"/>
      <c r="H1572" s="90"/>
      <c r="I1572" s="90"/>
      <c r="J1572" s="90"/>
      <c r="K1572" s="90"/>
      <c r="L1572" s="1901"/>
      <c r="M1572" s="643"/>
      <c r="N1572" s="643"/>
      <c r="O1572" s="658"/>
      <c r="P1572" s="658"/>
      <c r="Q1572" s="1899"/>
      <c r="R1572" s="430"/>
      <c r="S1572" s="430"/>
      <c r="T1572" s="430"/>
      <c r="U1572" s="430"/>
      <c r="V1572" s="430"/>
      <c r="W1572" s="90"/>
      <c r="X1572" s="90"/>
      <c r="Y1572" s="90"/>
    </row>
    <row r="1573" spans="3:25" ht="15.75" customHeight="1">
      <c r="C1573" s="90"/>
      <c r="D1573" s="1900"/>
      <c r="E1573" s="1895"/>
      <c r="F1573" s="1896"/>
      <c r="G1573" s="1897"/>
      <c r="H1573" s="90"/>
      <c r="I1573" s="90"/>
      <c r="J1573" s="90"/>
      <c r="K1573" s="90"/>
      <c r="L1573" s="1901"/>
      <c r="M1573" s="643"/>
      <c r="N1573" s="643"/>
      <c r="O1573" s="658"/>
      <c r="P1573" s="658"/>
      <c r="Q1573" s="1899"/>
      <c r="R1573" s="430"/>
      <c r="S1573" s="430"/>
      <c r="T1573" s="430"/>
      <c r="U1573" s="430"/>
      <c r="V1573" s="430"/>
      <c r="W1573" s="90"/>
      <c r="X1573" s="90"/>
      <c r="Y1573" s="90"/>
    </row>
    <row r="1574" spans="3:25" ht="15.75" customHeight="1">
      <c r="C1574" s="90"/>
      <c r="D1574" s="1900"/>
      <c r="E1574" s="1895"/>
      <c r="F1574" s="1896"/>
      <c r="G1574" s="1897"/>
      <c r="H1574" s="90"/>
      <c r="I1574" s="90"/>
      <c r="J1574" s="90"/>
      <c r="K1574" s="90"/>
      <c r="L1574" s="1901"/>
      <c r="M1574" s="643"/>
      <c r="N1574" s="643"/>
      <c r="O1574" s="658"/>
      <c r="P1574" s="658"/>
      <c r="Q1574" s="1899"/>
      <c r="R1574" s="430"/>
      <c r="S1574" s="430"/>
      <c r="T1574" s="430"/>
      <c r="U1574" s="430"/>
      <c r="V1574" s="430"/>
      <c r="W1574" s="90"/>
      <c r="X1574" s="90"/>
      <c r="Y1574" s="90"/>
    </row>
    <row r="1575" spans="3:25" ht="15.75" customHeight="1">
      <c r="C1575" s="90"/>
      <c r="D1575" s="1900"/>
      <c r="E1575" s="1895"/>
      <c r="F1575" s="1896"/>
      <c r="G1575" s="1897"/>
      <c r="H1575" s="90"/>
      <c r="I1575" s="90"/>
      <c r="J1575" s="90"/>
      <c r="K1575" s="90"/>
      <c r="L1575" s="1901"/>
      <c r="M1575" s="643"/>
      <c r="N1575" s="643"/>
      <c r="O1575" s="658"/>
      <c r="P1575" s="658"/>
      <c r="Q1575" s="1899"/>
      <c r="R1575" s="430"/>
      <c r="S1575" s="430"/>
      <c r="T1575" s="430"/>
      <c r="U1575" s="430"/>
      <c r="V1575" s="430"/>
      <c r="W1575" s="90"/>
      <c r="X1575" s="90"/>
      <c r="Y1575" s="90"/>
    </row>
    <row r="1576" spans="3:25" ht="15.75" customHeight="1">
      <c r="C1576" s="90"/>
      <c r="D1576" s="1900"/>
      <c r="E1576" s="1895"/>
      <c r="F1576" s="1896"/>
      <c r="G1576" s="1897"/>
      <c r="H1576" s="90"/>
      <c r="I1576" s="90"/>
      <c r="J1576" s="90"/>
      <c r="K1576" s="90"/>
      <c r="L1576" s="1901"/>
      <c r="M1576" s="643"/>
      <c r="N1576" s="643"/>
      <c r="O1576" s="658"/>
      <c r="P1576" s="658"/>
      <c r="Q1576" s="1899"/>
      <c r="R1576" s="430"/>
      <c r="S1576" s="430"/>
      <c r="T1576" s="430"/>
      <c r="U1576" s="430"/>
      <c r="V1576" s="430"/>
      <c r="W1576" s="90"/>
      <c r="X1576" s="90"/>
      <c r="Y1576" s="90"/>
    </row>
    <row r="1577" spans="3:25" ht="15.75" customHeight="1">
      <c r="C1577" s="90"/>
      <c r="D1577" s="1900"/>
      <c r="E1577" s="1895"/>
      <c r="F1577" s="1896"/>
      <c r="G1577" s="1897"/>
      <c r="H1577" s="90"/>
      <c r="I1577" s="90"/>
      <c r="J1577" s="90"/>
      <c r="K1577" s="90"/>
      <c r="L1577" s="1901"/>
      <c r="M1577" s="643"/>
      <c r="N1577" s="643"/>
      <c r="O1577" s="658"/>
      <c r="P1577" s="658"/>
      <c r="Q1577" s="1899"/>
      <c r="R1577" s="430"/>
      <c r="S1577" s="430"/>
      <c r="T1577" s="430"/>
      <c r="U1577" s="430"/>
      <c r="V1577" s="430"/>
      <c r="W1577" s="90"/>
      <c r="X1577" s="90"/>
      <c r="Y1577" s="90"/>
    </row>
    <row r="1578" spans="3:25" ht="15.75" customHeight="1">
      <c r="C1578" s="90"/>
      <c r="D1578" s="1900"/>
      <c r="E1578" s="1895"/>
      <c r="F1578" s="1896"/>
      <c r="G1578" s="1897"/>
      <c r="H1578" s="90"/>
      <c r="I1578" s="90"/>
      <c r="J1578" s="90"/>
      <c r="K1578" s="90"/>
      <c r="L1578" s="1901"/>
      <c r="M1578" s="643"/>
      <c r="N1578" s="643"/>
      <c r="O1578" s="658"/>
      <c r="P1578" s="658"/>
      <c r="Q1578" s="1899"/>
      <c r="R1578" s="430"/>
      <c r="S1578" s="430"/>
      <c r="T1578" s="430"/>
      <c r="U1578" s="430"/>
      <c r="V1578" s="430"/>
      <c r="W1578" s="90"/>
      <c r="X1578" s="90"/>
      <c r="Y1578" s="90"/>
    </row>
    <row r="1579" spans="3:25" ht="15.75" customHeight="1">
      <c r="C1579" s="90"/>
      <c r="D1579" s="1900"/>
      <c r="E1579" s="1895"/>
      <c r="F1579" s="1896"/>
      <c r="G1579" s="1897"/>
      <c r="H1579" s="90"/>
      <c r="I1579" s="90"/>
      <c r="J1579" s="90"/>
      <c r="K1579" s="90"/>
      <c r="L1579" s="1901"/>
      <c r="M1579" s="643"/>
      <c r="N1579" s="643"/>
      <c r="O1579" s="658"/>
      <c r="P1579" s="658"/>
      <c r="Q1579" s="1899"/>
      <c r="R1579" s="430"/>
      <c r="S1579" s="430"/>
      <c r="T1579" s="430"/>
      <c r="U1579" s="430"/>
      <c r="V1579" s="430"/>
      <c r="W1579" s="90"/>
      <c r="X1579" s="90"/>
      <c r="Y1579" s="90"/>
    </row>
    <row r="1580" spans="3:25" ht="15.75" customHeight="1">
      <c r="C1580" s="90"/>
      <c r="D1580" s="1900"/>
      <c r="E1580" s="1895"/>
      <c r="F1580" s="1896"/>
      <c r="G1580" s="1897"/>
      <c r="H1580" s="90"/>
      <c r="I1580" s="90"/>
      <c r="J1580" s="90"/>
      <c r="K1580" s="90"/>
      <c r="L1580" s="1901"/>
      <c r="M1580" s="643"/>
      <c r="N1580" s="643"/>
      <c r="O1580" s="658"/>
      <c r="P1580" s="658"/>
      <c r="Q1580" s="1899"/>
      <c r="R1580" s="430"/>
      <c r="S1580" s="430"/>
      <c r="T1580" s="430"/>
      <c r="U1580" s="430"/>
      <c r="V1580" s="430"/>
      <c r="W1580" s="90"/>
      <c r="X1580" s="90"/>
      <c r="Y1580" s="90"/>
    </row>
    <row r="1581" spans="3:25" ht="15.75" customHeight="1">
      <c r="C1581" s="90"/>
      <c r="D1581" s="1900"/>
      <c r="E1581" s="1895"/>
      <c r="F1581" s="1896"/>
      <c r="G1581" s="1897"/>
      <c r="H1581" s="90"/>
      <c r="I1581" s="90"/>
      <c r="J1581" s="90"/>
      <c r="K1581" s="90"/>
      <c r="L1581" s="1901"/>
      <c r="M1581" s="643"/>
      <c r="N1581" s="643"/>
      <c r="O1581" s="658"/>
      <c r="P1581" s="658"/>
      <c r="Q1581" s="1899"/>
      <c r="R1581" s="430"/>
      <c r="S1581" s="430"/>
      <c r="T1581" s="430"/>
      <c r="U1581" s="430"/>
      <c r="V1581" s="430"/>
      <c r="W1581" s="90"/>
      <c r="X1581" s="90"/>
      <c r="Y1581" s="90"/>
    </row>
    <row r="1582" spans="3:25" ht="15.75" customHeight="1">
      <c r="C1582" s="90"/>
      <c r="D1582" s="1900"/>
      <c r="E1582" s="1895"/>
      <c r="F1582" s="1896"/>
      <c r="G1582" s="1897"/>
      <c r="H1582" s="90"/>
      <c r="I1582" s="90"/>
      <c r="J1582" s="90"/>
      <c r="K1582" s="90"/>
      <c r="L1582" s="1901"/>
      <c r="M1582" s="643"/>
      <c r="N1582" s="643"/>
      <c r="O1582" s="658"/>
      <c r="P1582" s="658"/>
      <c r="Q1582" s="1899"/>
      <c r="R1582" s="430"/>
      <c r="S1582" s="430"/>
      <c r="T1582" s="430"/>
      <c r="U1582" s="430"/>
      <c r="V1582" s="430"/>
      <c r="W1582" s="90"/>
      <c r="X1582" s="90"/>
      <c r="Y1582" s="90"/>
    </row>
    <row r="1583" spans="3:25" ht="15.75" customHeight="1">
      <c r="C1583" s="90"/>
      <c r="D1583" s="1900"/>
      <c r="E1583" s="1895"/>
      <c r="F1583" s="1896"/>
      <c r="G1583" s="1897"/>
      <c r="H1583" s="90"/>
      <c r="I1583" s="90"/>
      <c r="J1583" s="90"/>
      <c r="K1583" s="90"/>
      <c r="L1583" s="1901"/>
      <c r="M1583" s="643"/>
      <c r="N1583" s="643"/>
      <c r="O1583" s="658"/>
      <c r="P1583" s="658"/>
      <c r="Q1583" s="1899"/>
      <c r="R1583" s="430"/>
      <c r="S1583" s="430"/>
      <c r="T1583" s="430"/>
      <c r="U1583" s="430"/>
      <c r="V1583" s="430"/>
      <c r="W1583" s="90"/>
      <c r="X1583" s="90"/>
      <c r="Y1583" s="90"/>
    </row>
    <row r="1584" spans="3:25" ht="15.75" customHeight="1">
      <c r="C1584" s="90"/>
      <c r="D1584" s="1900"/>
      <c r="E1584" s="1895"/>
      <c r="F1584" s="1896"/>
      <c r="G1584" s="1897"/>
      <c r="H1584" s="90"/>
      <c r="I1584" s="90"/>
      <c r="J1584" s="90"/>
      <c r="K1584" s="90"/>
      <c r="L1584" s="1901"/>
      <c r="M1584" s="643"/>
      <c r="N1584" s="643"/>
      <c r="O1584" s="658"/>
      <c r="P1584" s="658"/>
      <c r="Q1584" s="1899"/>
      <c r="R1584" s="430"/>
      <c r="S1584" s="430"/>
      <c r="T1584" s="430"/>
      <c r="U1584" s="430"/>
      <c r="V1584" s="430"/>
      <c r="W1584" s="90"/>
      <c r="X1584" s="90"/>
      <c r="Y1584" s="90"/>
    </row>
    <row r="1585" spans="3:25" ht="15.75" customHeight="1">
      <c r="C1585" s="90"/>
      <c r="D1585" s="1900"/>
      <c r="E1585" s="1895"/>
      <c r="F1585" s="1896"/>
      <c r="G1585" s="1897"/>
      <c r="H1585" s="90"/>
      <c r="I1585" s="90"/>
      <c r="J1585" s="90"/>
      <c r="K1585" s="90"/>
      <c r="L1585" s="1901"/>
      <c r="M1585" s="643"/>
      <c r="N1585" s="643"/>
      <c r="O1585" s="658"/>
      <c r="P1585" s="658"/>
      <c r="Q1585" s="1899"/>
      <c r="R1585" s="430"/>
      <c r="S1585" s="430"/>
      <c r="T1585" s="430"/>
      <c r="U1585" s="430"/>
      <c r="V1585" s="430"/>
      <c r="W1585" s="90"/>
      <c r="X1585" s="90"/>
      <c r="Y1585" s="90"/>
    </row>
    <row r="1586" spans="3:25" ht="15.75" customHeight="1">
      <c r="C1586" s="90"/>
      <c r="D1586" s="1900"/>
      <c r="E1586" s="1895"/>
      <c r="F1586" s="1896"/>
      <c r="G1586" s="1897"/>
      <c r="H1586" s="90"/>
      <c r="I1586" s="90"/>
      <c r="J1586" s="90"/>
      <c r="K1586" s="90"/>
      <c r="L1586" s="1901"/>
      <c r="M1586" s="643"/>
      <c r="N1586" s="643"/>
      <c r="O1586" s="658"/>
      <c r="P1586" s="658"/>
      <c r="Q1586" s="1899"/>
      <c r="R1586" s="430"/>
      <c r="S1586" s="430"/>
      <c r="T1586" s="430"/>
      <c r="U1586" s="430"/>
      <c r="V1586" s="430"/>
      <c r="W1586" s="90"/>
      <c r="X1586" s="90"/>
      <c r="Y1586" s="90"/>
    </row>
    <row r="1587" spans="3:25" ht="15.75" customHeight="1">
      <c r="C1587" s="90"/>
      <c r="D1587" s="1900"/>
      <c r="E1587" s="1895"/>
      <c r="F1587" s="1896"/>
      <c r="G1587" s="1897"/>
      <c r="H1587" s="90"/>
      <c r="I1587" s="90"/>
      <c r="J1587" s="90"/>
      <c r="K1587" s="90"/>
      <c r="L1587" s="1901"/>
      <c r="M1587" s="643"/>
      <c r="N1587" s="643"/>
      <c r="O1587" s="658"/>
      <c r="P1587" s="658"/>
      <c r="Q1587" s="1899"/>
      <c r="R1587" s="430"/>
      <c r="S1587" s="430"/>
      <c r="T1587" s="430"/>
      <c r="U1587" s="430"/>
      <c r="V1587" s="430"/>
      <c r="W1587" s="90"/>
      <c r="X1587" s="90"/>
      <c r="Y1587" s="90"/>
    </row>
    <row r="1588" spans="3:25" ht="15.75" customHeight="1">
      <c r="C1588" s="90"/>
      <c r="D1588" s="1900"/>
      <c r="E1588" s="1895"/>
      <c r="F1588" s="1896"/>
      <c r="G1588" s="1897"/>
      <c r="H1588" s="90"/>
      <c r="I1588" s="90"/>
      <c r="J1588" s="90"/>
      <c r="K1588" s="90"/>
      <c r="L1588" s="1901"/>
      <c r="M1588" s="643"/>
      <c r="N1588" s="643"/>
      <c r="O1588" s="658"/>
      <c r="P1588" s="658"/>
      <c r="Q1588" s="1899"/>
      <c r="R1588" s="430"/>
      <c r="S1588" s="430"/>
      <c r="T1588" s="430"/>
      <c r="U1588" s="430"/>
      <c r="V1588" s="430"/>
      <c r="W1588" s="90"/>
      <c r="X1588" s="90"/>
      <c r="Y1588" s="90"/>
    </row>
    <row r="1589" spans="3:25" ht="15.75" customHeight="1">
      <c r="C1589" s="90"/>
      <c r="D1589" s="1900"/>
      <c r="E1589" s="1895"/>
      <c r="F1589" s="1896"/>
      <c r="G1589" s="1897"/>
      <c r="H1589" s="90"/>
      <c r="I1589" s="90"/>
      <c r="J1589" s="90"/>
      <c r="K1589" s="90"/>
      <c r="L1589" s="1901"/>
      <c r="M1589" s="643"/>
      <c r="N1589" s="643"/>
      <c r="O1589" s="658"/>
      <c r="P1589" s="658"/>
      <c r="Q1589" s="1899"/>
      <c r="R1589" s="430"/>
      <c r="S1589" s="430"/>
      <c r="T1589" s="430"/>
      <c r="U1589" s="430"/>
      <c r="V1589" s="430"/>
      <c r="W1589" s="90"/>
      <c r="X1589" s="90"/>
      <c r="Y1589" s="90"/>
    </row>
    <row r="1590" spans="3:25" ht="15.75" customHeight="1">
      <c r="C1590" s="90"/>
      <c r="D1590" s="1900"/>
      <c r="E1590" s="1895"/>
      <c r="F1590" s="1896"/>
      <c r="G1590" s="1897"/>
      <c r="H1590" s="90"/>
      <c r="I1590" s="90"/>
      <c r="J1590" s="90"/>
      <c r="K1590" s="90"/>
      <c r="L1590" s="1901"/>
      <c r="M1590" s="643"/>
      <c r="N1590" s="643"/>
      <c r="O1590" s="658"/>
      <c r="P1590" s="658"/>
      <c r="Q1590" s="1899"/>
      <c r="R1590" s="430"/>
      <c r="S1590" s="430"/>
      <c r="T1590" s="430"/>
      <c r="U1590" s="430"/>
      <c r="V1590" s="430"/>
      <c r="W1590" s="90"/>
      <c r="X1590" s="90"/>
      <c r="Y1590" s="90"/>
    </row>
    <row r="1591" spans="3:25" ht="15.75" customHeight="1">
      <c r="C1591" s="90"/>
      <c r="D1591" s="1900"/>
      <c r="E1591" s="1895"/>
      <c r="F1591" s="1896"/>
      <c r="G1591" s="1897"/>
      <c r="H1591" s="90"/>
      <c r="I1591" s="90"/>
      <c r="J1591" s="90"/>
      <c r="K1591" s="90"/>
      <c r="L1591" s="1901"/>
      <c r="M1591" s="643"/>
      <c r="N1591" s="643"/>
      <c r="O1591" s="658"/>
      <c r="P1591" s="658"/>
      <c r="Q1591" s="1899"/>
      <c r="R1591" s="430"/>
      <c r="S1591" s="430"/>
      <c r="T1591" s="430"/>
      <c r="U1591" s="430"/>
      <c r="V1591" s="430"/>
      <c r="W1591" s="90"/>
      <c r="X1591" s="90"/>
      <c r="Y1591" s="90"/>
    </row>
    <row r="1592" spans="3:25" ht="15.75" customHeight="1">
      <c r="C1592" s="90"/>
      <c r="D1592" s="1900"/>
      <c r="E1592" s="1895"/>
      <c r="F1592" s="1896"/>
      <c r="G1592" s="1897"/>
      <c r="H1592" s="90"/>
      <c r="I1592" s="90"/>
      <c r="J1592" s="90"/>
      <c r="K1592" s="90"/>
      <c r="L1592" s="1901"/>
      <c r="M1592" s="643"/>
      <c r="N1592" s="643"/>
      <c r="O1592" s="658"/>
      <c r="P1592" s="658"/>
      <c r="Q1592" s="1899"/>
      <c r="R1592" s="430"/>
      <c r="S1592" s="430"/>
      <c r="T1592" s="430"/>
      <c r="U1592" s="430"/>
      <c r="V1592" s="430"/>
      <c r="W1592" s="90"/>
      <c r="X1592" s="90"/>
      <c r="Y1592" s="90"/>
    </row>
    <row r="1593" spans="3:25" ht="15.75" customHeight="1">
      <c r="C1593" s="90"/>
      <c r="D1593" s="1900"/>
      <c r="E1593" s="1895"/>
      <c r="F1593" s="1896"/>
      <c r="G1593" s="1897"/>
      <c r="H1593" s="90"/>
      <c r="I1593" s="90"/>
      <c r="J1593" s="90"/>
      <c r="K1593" s="90"/>
      <c r="L1593" s="1901"/>
      <c r="M1593" s="643"/>
      <c r="N1593" s="643"/>
      <c r="O1593" s="658"/>
      <c r="P1593" s="658"/>
      <c r="Q1593" s="1899"/>
      <c r="R1593" s="430"/>
      <c r="S1593" s="430"/>
      <c r="T1593" s="430"/>
      <c r="U1593" s="430"/>
      <c r="V1593" s="430"/>
      <c r="W1593" s="90"/>
      <c r="X1593" s="90"/>
      <c r="Y1593" s="90"/>
    </row>
    <row r="1594" spans="3:25" ht="15.75" customHeight="1">
      <c r="C1594" s="90"/>
      <c r="D1594" s="1900"/>
      <c r="E1594" s="1895"/>
      <c r="F1594" s="1896"/>
      <c r="G1594" s="1897"/>
      <c r="H1594" s="90"/>
      <c r="I1594" s="90"/>
      <c r="J1594" s="90"/>
      <c r="K1594" s="90"/>
      <c r="L1594" s="1901"/>
      <c r="M1594" s="643"/>
      <c r="N1594" s="643"/>
      <c r="O1594" s="658"/>
      <c r="P1594" s="658"/>
      <c r="Q1594" s="1899"/>
      <c r="R1594" s="430"/>
      <c r="S1594" s="430"/>
      <c r="T1594" s="430"/>
      <c r="U1594" s="430"/>
      <c r="V1594" s="430"/>
      <c r="W1594" s="90"/>
      <c r="X1594" s="90"/>
      <c r="Y1594" s="90"/>
    </row>
    <row r="1595" spans="3:25" ht="15.75" customHeight="1">
      <c r="C1595" s="90"/>
      <c r="D1595" s="1900"/>
      <c r="E1595" s="1895"/>
      <c r="F1595" s="1896"/>
      <c r="G1595" s="1897"/>
      <c r="H1595" s="90"/>
      <c r="I1595" s="90"/>
      <c r="J1595" s="90"/>
      <c r="K1595" s="90"/>
      <c r="L1595" s="1901"/>
      <c r="M1595" s="643"/>
      <c r="N1595" s="643"/>
      <c r="O1595" s="658"/>
      <c r="P1595" s="658"/>
      <c r="Q1595" s="1899"/>
      <c r="R1595" s="430"/>
      <c r="S1595" s="430"/>
      <c r="T1595" s="430"/>
      <c r="U1595" s="430"/>
      <c r="V1595" s="430"/>
      <c r="W1595" s="90"/>
      <c r="X1595" s="90"/>
      <c r="Y1595" s="90"/>
    </row>
    <row r="1596" spans="3:25" ht="15.75" customHeight="1">
      <c r="C1596" s="90"/>
      <c r="D1596" s="1900"/>
      <c r="E1596" s="1895"/>
      <c r="F1596" s="1896"/>
      <c r="G1596" s="1897"/>
      <c r="H1596" s="90"/>
      <c r="I1596" s="90"/>
      <c r="J1596" s="90"/>
      <c r="K1596" s="90"/>
      <c r="L1596" s="1901"/>
      <c r="M1596" s="643"/>
      <c r="N1596" s="643"/>
      <c r="O1596" s="658"/>
      <c r="P1596" s="658"/>
      <c r="Q1596" s="1899"/>
      <c r="R1596" s="430"/>
      <c r="S1596" s="430"/>
      <c r="T1596" s="430"/>
      <c r="U1596" s="430"/>
      <c r="V1596" s="430"/>
      <c r="W1596" s="90"/>
      <c r="X1596" s="90"/>
      <c r="Y1596" s="90"/>
    </row>
    <row r="1597" spans="3:25" ht="15.75" customHeight="1">
      <c r="C1597" s="90"/>
      <c r="D1597" s="1900"/>
      <c r="E1597" s="1895"/>
      <c r="F1597" s="1896"/>
      <c r="G1597" s="1897"/>
      <c r="H1597" s="90"/>
      <c r="I1597" s="90"/>
      <c r="J1597" s="90"/>
      <c r="K1597" s="90"/>
      <c r="L1597" s="1901"/>
      <c r="M1597" s="643"/>
      <c r="N1597" s="643"/>
      <c r="O1597" s="658"/>
      <c r="P1597" s="658"/>
      <c r="Q1597" s="1899"/>
      <c r="R1597" s="430"/>
      <c r="S1597" s="430"/>
      <c r="T1597" s="430"/>
      <c r="U1597" s="430"/>
      <c r="V1597" s="430"/>
      <c r="W1597" s="90"/>
      <c r="X1597" s="90"/>
      <c r="Y1597" s="90"/>
    </row>
    <row r="1598" spans="3:25" ht="15.75" customHeight="1">
      <c r="C1598" s="90"/>
      <c r="D1598" s="1900"/>
      <c r="E1598" s="1895"/>
      <c r="F1598" s="1896"/>
      <c r="G1598" s="1897"/>
      <c r="H1598" s="90"/>
      <c r="I1598" s="90"/>
      <c r="J1598" s="90"/>
      <c r="K1598" s="90"/>
      <c r="L1598" s="1901"/>
      <c r="M1598" s="643"/>
      <c r="N1598" s="643"/>
      <c r="O1598" s="658"/>
      <c r="P1598" s="658"/>
      <c r="Q1598" s="1899"/>
      <c r="R1598" s="430"/>
      <c r="S1598" s="430"/>
      <c r="T1598" s="430"/>
      <c r="U1598" s="430"/>
      <c r="V1598" s="430"/>
      <c r="W1598" s="90"/>
      <c r="X1598" s="90"/>
      <c r="Y1598" s="90"/>
    </row>
    <row r="1599" spans="3:25" ht="15.75" customHeight="1">
      <c r="C1599" s="90"/>
      <c r="D1599" s="1900"/>
      <c r="E1599" s="1895"/>
      <c r="F1599" s="1896"/>
      <c r="G1599" s="1897"/>
      <c r="H1599" s="90"/>
      <c r="I1599" s="90"/>
      <c r="J1599" s="90"/>
      <c r="K1599" s="90"/>
      <c r="L1599" s="1901"/>
      <c r="M1599" s="643"/>
      <c r="N1599" s="643"/>
      <c r="O1599" s="658"/>
      <c r="P1599" s="658"/>
      <c r="Q1599" s="1899"/>
      <c r="R1599" s="430"/>
      <c r="S1599" s="430"/>
      <c r="T1599" s="430"/>
      <c r="U1599" s="430"/>
      <c r="V1599" s="430"/>
      <c r="W1599" s="90"/>
      <c r="X1599" s="90"/>
      <c r="Y1599" s="90"/>
    </row>
    <row r="1600" spans="3:25" ht="15.75" customHeight="1">
      <c r="C1600" s="90"/>
      <c r="D1600" s="1900"/>
      <c r="E1600" s="1895"/>
      <c r="F1600" s="1896"/>
      <c r="G1600" s="1897"/>
      <c r="H1600" s="90"/>
      <c r="I1600" s="90"/>
      <c r="J1600" s="90"/>
      <c r="K1600" s="90"/>
      <c r="L1600" s="1901"/>
      <c r="M1600" s="643"/>
      <c r="N1600" s="643"/>
      <c r="O1600" s="658"/>
      <c r="P1600" s="658"/>
      <c r="Q1600" s="1899"/>
      <c r="R1600" s="430"/>
      <c r="S1600" s="430"/>
      <c r="T1600" s="430"/>
      <c r="U1600" s="430"/>
      <c r="V1600" s="430"/>
      <c r="W1600" s="90"/>
      <c r="X1600" s="90"/>
      <c r="Y1600" s="90"/>
    </row>
    <row r="1601" spans="3:25" ht="15.75" customHeight="1">
      <c r="C1601" s="90"/>
      <c r="D1601" s="1900"/>
      <c r="E1601" s="1895"/>
      <c r="F1601" s="1896"/>
      <c r="G1601" s="1897"/>
      <c r="H1601" s="90"/>
      <c r="I1601" s="90"/>
      <c r="J1601" s="90"/>
      <c r="K1601" s="90"/>
      <c r="L1601" s="1901"/>
      <c r="M1601" s="643"/>
      <c r="N1601" s="643"/>
      <c r="O1601" s="658"/>
      <c r="P1601" s="658"/>
      <c r="Q1601" s="1899"/>
      <c r="R1601" s="430"/>
      <c r="S1601" s="430"/>
      <c r="T1601" s="430"/>
      <c r="U1601" s="430"/>
      <c r="V1601" s="430"/>
      <c r="W1601" s="90"/>
      <c r="X1601" s="90"/>
      <c r="Y1601" s="90"/>
    </row>
    <row r="1602" spans="3:25" ht="15.75" customHeight="1">
      <c r="C1602" s="90"/>
      <c r="D1602" s="1900"/>
      <c r="E1602" s="1895"/>
      <c r="F1602" s="1896"/>
      <c r="G1602" s="1897"/>
      <c r="H1602" s="90"/>
      <c r="I1602" s="90"/>
      <c r="J1602" s="90"/>
      <c r="K1602" s="90"/>
      <c r="L1602" s="1901"/>
      <c r="M1602" s="643"/>
      <c r="N1602" s="643"/>
      <c r="O1602" s="658"/>
      <c r="P1602" s="658"/>
      <c r="Q1602" s="1899"/>
      <c r="R1602" s="430"/>
      <c r="S1602" s="430"/>
      <c r="T1602" s="430"/>
      <c r="U1602" s="430"/>
      <c r="V1602" s="430"/>
      <c r="W1602" s="90"/>
      <c r="X1602" s="90"/>
      <c r="Y1602" s="90"/>
    </row>
    <row r="1603" spans="3:25" ht="15.75" customHeight="1">
      <c r="C1603" s="90"/>
      <c r="D1603" s="1900"/>
      <c r="E1603" s="1895"/>
      <c r="F1603" s="1896"/>
      <c r="G1603" s="1897"/>
      <c r="H1603" s="90"/>
      <c r="I1603" s="90"/>
      <c r="J1603" s="90"/>
      <c r="K1603" s="90"/>
      <c r="L1603" s="1901"/>
      <c r="M1603" s="643"/>
      <c r="N1603" s="643"/>
      <c r="O1603" s="658"/>
      <c r="P1603" s="658"/>
      <c r="Q1603" s="1899"/>
      <c r="R1603" s="430"/>
      <c r="S1603" s="430"/>
      <c r="T1603" s="430"/>
      <c r="U1603" s="430"/>
      <c r="V1603" s="430"/>
      <c r="W1603" s="90"/>
      <c r="X1603" s="90"/>
      <c r="Y1603" s="90"/>
    </row>
    <row r="1604" spans="3:25" ht="15.75" customHeight="1">
      <c r="C1604" s="90"/>
      <c r="D1604" s="1900"/>
      <c r="E1604" s="1895"/>
      <c r="F1604" s="1896"/>
      <c r="G1604" s="1897"/>
      <c r="H1604" s="90"/>
      <c r="I1604" s="90"/>
      <c r="J1604" s="90"/>
      <c r="K1604" s="90"/>
      <c r="L1604" s="1901"/>
      <c r="M1604" s="643"/>
      <c r="N1604" s="643"/>
      <c r="O1604" s="658"/>
      <c r="P1604" s="658"/>
      <c r="Q1604" s="1899"/>
      <c r="R1604" s="430"/>
      <c r="S1604" s="430"/>
      <c r="T1604" s="430"/>
      <c r="U1604" s="430"/>
      <c r="V1604" s="430"/>
      <c r="W1604" s="90"/>
      <c r="X1604" s="90"/>
      <c r="Y1604" s="90"/>
    </row>
    <row r="1605" spans="3:25" ht="15.75" customHeight="1">
      <c r="C1605" s="90"/>
      <c r="D1605" s="1900"/>
      <c r="E1605" s="1895"/>
      <c r="F1605" s="1896"/>
      <c r="G1605" s="1897"/>
      <c r="H1605" s="90"/>
      <c r="I1605" s="90"/>
      <c r="J1605" s="90"/>
      <c r="K1605" s="90"/>
      <c r="L1605" s="1901"/>
      <c r="M1605" s="643"/>
      <c r="N1605" s="643"/>
      <c r="O1605" s="658"/>
      <c r="P1605" s="658"/>
      <c r="Q1605" s="1899"/>
      <c r="R1605" s="430"/>
      <c r="S1605" s="430"/>
      <c r="T1605" s="430"/>
      <c r="U1605" s="430"/>
      <c r="V1605" s="430"/>
      <c r="W1605" s="90"/>
      <c r="X1605" s="90"/>
      <c r="Y1605" s="90"/>
    </row>
    <row r="1606" spans="3:25" ht="15.75" customHeight="1">
      <c r="C1606" s="90"/>
      <c r="D1606" s="1900"/>
      <c r="E1606" s="1895"/>
      <c r="F1606" s="1896"/>
      <c r="G1606" s="1897"/>
      <c r="H1606" s="90"/>
      <c r="I1606" s="90"/>
      <c r="J1606" s="90"/>
      <c r="K1606" s="90"/>
      <c r="L1606" s="1901"/>
      <c r="M1606" s="643"/>
      <c r="N1606" s="643"/>
      <c r="O1606" s="658"/>
      <c r="P1606" s="658"/>
      <c r="Q1606" s="1899"/>
      <c r="R1606" s="430"/>
      <c r="S1606" s="430"/>
      <c r="T1606" s="430"/>
      <c r="U1606" s="430"/>
      <c r="V1606" s="430"/>
      <c r="W1606" s="90"/>
      <c r="X1606" s="90"/>
      <c r="Y1606" s="90"/>
    </row>
    <row r="1607" spans="3:25" ht="15.75" customHeight="1">
      <c r="C1607" s="90"/>
      <c r="D1607" s="1900"/>
      <c r="E1607" s="1895"/>
      <c r="F1607" s="1896"/>
      <c r="G1607" s="1897"/>
      <c r="H1607" s="90"/>
      <c r="I1607" s="90"/>
      <c r="J1607" s="90"/>
      <c r="K1607" s="90"/>
      <c r="L1607" s="1901"/>
      <c r="M1607" s="643"/>
      <c r="N1607" s="643"/>
      <c r="O1607" s="658"/>
      <c r="P1607" s="658"/>
      <c r="Q1607" s="1899"/>
      <c r="R1607" s="430"/>
      <c r="S1607" s="430"/>
      <c r="T1607" s="430"/>
      <c r="U1607" s="430"/>
      <c r="V1607" s="430"/>
      <c r="W1607" s="90"/>
      <c r="X1607" s="90"/>
      <c r="Y1607" s="90"/>
    </row>
    <row r="1608" spans="3:25" ht="15.75" customHeight="1">
      <c r="C1608" s="90"/>
      <c r="D1608" s="1900"/>
      <c r="E1608" s="1895"/>
      <c r="F1608" s="1896"/>
      <c r="G1608" s="1897"/>
      <c r="H1608" s="90"/>
      <c r="I1608" s="90"/>
      <c r="J1608" s="90"/>
      <c r="K1608" s="90"/>
      <c r="L1608" s="1901"/>
      <c r="M1608" s="643"/>
      <c r="N1608" s="643"/>
      <c r="O1608" s="658"/>
      <c r="P1608" s="658"/>
      <c r="Q1608" s="1899"/>
      <c r="R1608" s="430"/>
      <c r="S1608" s="430"/>
      <c r="T1608" s="430"/>
      <c r="U1608" s="430"/>
      <c r="V1608" s="430"/>
      <c r="W1608" s="90"/>
      <c r="X1608" s="90"/>
      <c r="Y1608" s="90"/>
    </row>
    <row r="1609" spans="3:25" ht="15.75" customHeight="1">
      <c r="C1609" s="90"/>
      <c r="D1609" s="1900"/>
      <c r="E1609" s="1895"/>
      <c r="F1609" s="1896"/>
      <c r="G1609" s="1897"/>
      <c r="H1609" s="90"/>
      <c r="I1609" s="90"/>
      <c r="J1609" s="90"/>
      <c r="K1609" s="90"/>
      <c r="L1609" s="1901"/>
      <c r="M1609" s="643"/>
      <c r="N1609" s="643"/>
      <c r="O1609" s="658"/>
      <c r="P1609" s="658"/>
      <c r="Q1609" s="1899"/>
      <c r="R1609" s="430"/>
      <c r="S1609" s="430"/>
      <c r="T1609" s="430"/>
      <c r="U1609" s="430"/>
      <c r="V1609" s="430"/>
      <c r="W1609" s="90"/>
      <c r="X1609" s="90"/>
      <c r="Y1609" s="90"/>
    </row>
    <row r="1610" spans="3:25" ht="15.75" customHeight="1">
      <c r="C1610" s="90"/>
      <c r="D1610" s="1900"/>
      <c r="E1610" s="1895"/>
      <c r="F1610" s="1896"/>
      <c r="G1610" s="1897"/>
      <c r="H1610" s="90"/>
      <c r="I1610" s="90"/>
      <c r="J1610" s="90"/>
      <c r="K1610" s="90"/>
      <c r="L1610" s="1901"/>
      <c r="M1610" s="643"/>
      <c r="N1610" s="643"/>
      <c r="O1610" s="658"/>
      <c r="P1610" s="658"/>
      <c r="Q1610" s="1899"/>
      <c r="R1610" s="430"/>
      <c r="S1610" s="430"/>
      <c r="T1610" s="430"/>
      <c r="U1610" s="430"/>
      <c r="V1610" s="430"/>
      <c r="W1610" s="90"/>
      <c r="X1610" s="90"/>
      <c r="Y1610" s="90"/>
    </row>
    <row r="1611" spans="3:25" ht="15.75" customHeight="1">
      <c r="C1611" s="90"/>
      <c r="D1611" s="1900"/>
      <c r="E1611" s="1895"/>
      <c r="F1611" s="1896"/>
      <c r="G1611" s="1897"/>
      <c r="H1611" s="90"/>
      <c r="I1611" s="90"/>
      <c r="J1611" s="90"/>
      <c r="K1611" s="90"/>
      <c r="L1611" s="1901"/>
      <c r="M1611" s="643"/>
      <c r="N1611" s="643"/>
      <c r="O1611" s="658"/>
      <c r="P1611" s="658"/>
      <c r="Q1611" s="1899"/>
      <c r="R1611" s="430"/>
      <c r="S1611" s="430"/>
      <c r="T1611" s="430"/>
      <c r="U1611" s="430"/>
      <c r="V1611" s="430"/>
      <c r="W1611" s="90"/>
      <c r="X1611" s="90"/>
      <c r="Y1611" s="90"/>
    </row>
    <row r="1612" spans="3:25" ht="15.75" customHeight="1">
      <c r="C1612" s="90"/>
      <c r="D1612" s="1900"/>
      <c r="E1612" s="1895"/>
      <c r="F1612" s="1896"/>
      <c r="G1612" s="1897"/>
      <c r="H1612" s="90"/>
      <c r="I1612" s="90"/>
      <c r="J1612" s="90"/>
      <c r="K1612" s="90"/>
      <c r="L1612" s="1901"/>
      <c r="M1612" s="643"/>
      <c r="N1612" s="643"/>
      <c r="O1612" s="658"/>
      <c r="P1612" s="658"/>
      <c r="Q1612" s="1899"/>
      <c r="R1612" s="430"/>
      <c r="S1612" s="430"/>
      <c r="T1612" s="430"/>
      <c r="U1612" s="430"/>
      <c r="V1612" s="430"/>
      <c r="W1612" s="90"/>
      <c r="X1612" s="90"/>
      <c r="Y1612" s="90"/>
    </row>
    <row r="1613" spans="3:25" ht="15.75" customHeight="1">
      <c r="C1613" s="90"/>
      <c r="D1613" s="1900"/>
      <c r="E1613" s="1895"/>
      <c r="F1613" s="1896"/>
      <c r="G1613" s="1897"/>
      <c r="H1613" s="90"/>
      <c r="I1613" s="90"/>
      <c r="J1613" s="90"/>
      <c r="K1613" s="90"/>
      <c r="L1613" s="1901"/>
      <c r="M1613" s="643"/>
      <c r="N1613" s="643"/>
      <c r="O1613" s="658"/>
      <c r="P1613" s="658"/>
      <c r="Q1613" s="1899"/>
      <c r="R1613" s="430"/>
      <c r="S1613" s="430"/>
      <c r="T1613" s="430"/>
      <c r="U1613" s="430"/>
      <c r="V1613" s="430"/>
      <c r="W1613" s="90"/>
      <c r="X1613" s="90"/>
      <c r="Y1613" s="90"/>
    </row>
    <row r="1614" spans="3:25" ht="15.75" customHeight="1">
      <c r="C1614" s="90"/>
      <c r="D1614" s="1900"/>
      <c r="E1614" s="1895"/>
      <c r="F1614" s="1896"/>
      <c r="G1614" s="1897"/>
      <c r="H1614" s="90"/>
      <c r="I1614" s="90"/>
      <c r="J1614" s="90"/>
      <c r="K1614" s="90"/>
      <c r="L1614" s="1901"/>
      <c r="M1614" s="643"/>
      <c r="N1614" s="643"/>
      <c r="O1614" s="658"/>
      <c r="P1614" s="658"/>
      <c r="Q1614" s="1899"/>
      <c r="R1614" s="430"/>
      <c r="S1614" s="430"/>
      <c r="T1614" s="430"/>
      <c r="U1614" s="430"/>
      <c r="V1614" s="430"/>
      <c r="W1614" s="90"/>
      <c r="X1614" s="90"/>
      <c r="Y1614" s="90"/>
    </row>
    <row r="1615" spans="3:25" ht="15.75" customHeight="1">
      <c r="C1615" s="90"/>
      <c r="D1615" s="1900"/>
      <c r="E1615" s="1895"/>
      <c r="F1615" s="1896"/>
      <c r="G1615" s="1897"/>
      <c r="H1615" s="90"/>
      <c r="I1615" s="90"/>
      <c r="J1615" s="90"/>
      <c r="K1615" s="90"/>
      <c r="L1615" s="1901"/>
      <c r="M1615" s="643"/>
      <c r="N1615" s="643"/>
      <c r="O1615" s="658"/>
      <c r="P1615" s="658"/>
      <c r="Q1615" s="1899"/>
      <c r="R1615" s="430"/>
      <c r="S1615" s="430"/>
      <c r="T1615" s="430"/>
      <c r="U1615" s="430"/>
      <c r="V1615" s="430"/>
      <c r="W1615" s="90"/>
      <c r="X1615" s="90"/>
      <c r="Y1615" s="90"/>
    </row>
    <row r="1616" spans="3:25" ht="15.75" customHeight="1">
      <c r="C1616" s="90"/>
      <c r="D1616" s="1900"/>
      <c r="E1616" s="1895"/>
      <c r="F1616" s="1896"/>
      <c r="G1616" s="1897"/>
      <c r="H1616" s="90"/>
      <c r="I1616" s="90"/>
      <c r="J1616" s="90"/>
      <c r="K1616" s="90"/>
      <c r="L1616" s="1901"/>
      <c r="M1616" s="643"/>
      <c r="N1616" s="643"/>
      <c r="O1616" s="658"/>
      <c r="P1616" s="658"/>
      <c r="Q1616" s="1899"/>
      <c r="R1616" s="430"/>
      <c r="S1616" s="430"/>
      <c r="T1616" s="430"/>
      <c r="U1616" s="430"/>
      <c r="V1616" s="430"/>
      <c r="W1616" s="90"/>
      <c r="X1616" s="90"/>
      <c r="Y1616" s="90"/>
    </row>
    <row r="1617" spans="3:25" ht="15.75" customHeight="1">
      <c r="C1617" s="90"/>
      <c r="D1617" s="1900"/>
      <c r="E1617" s="1895"/>
      <c r="F1617" s="1896"/>
      <c r="G1617" s="1897"/>
      <c r="H1617" s="90"/>
      <c r="I1617" s="90"/>
      <c r="J1617" s="90"/>
      <c r="K1617" s="90"/>
      <c r="L1617" s="1901"/>
      <c r="M1617" s="643"/>
      <c r="N1617" s="643"/>
      <c r="O1617" s="658"/>
      <c r="P1617" s="658"/>
      <c r="Q1617" s="1899"/>
      <c r="R1617" s="430"/>
      <c r="S1617" s="430"/>
      <c r="T1617" s="430"/>
      <c r="U1617" s="430"/>
      <c r="V1617" s="430"/>
      <c r="W1617" s="90"/>
      <c r="X1617" s="90"/>
      <c r="Y1617" s="90"/>
    </row>
    <row r="1618" spans="3:25" ht="15.75" customHeight="1">
      <c r="C1618" s="90"/>
      <c r="D1618" s="1900"/>
      <c r="E1618" s="1895"/>
      <c r="F1618" s="1896"/>
      <c r="G1618" s="1897"/>
      <c r="H1618" s="90"/>
      <c r="I1618" s="90"/>
      <c r="J1618" s="90"/>
      <c r="K1618" s="90"/>
      <c r="L1618" s="1901"/>
      <c r="M1618" s="643"/>
      <c r="N1618" s="643"/>
      <c r="O1618" s="658"/>
      <c r="P1618" s="658"/>
      <c r="Q1618" s="1899"/>
      <c r="R1618" s="430"/>
      <c r="S1618" s="430"/>
      <c r="T1618" s="430"/>
      <c r="U1618" s="430"/>
      <c r="V1618" s="430"/>
      <c r="W1618" s="90"/>
      <c r="X1618" s="90"/>
      <c r="Y1618" s="90"/>
    </row>
    <row r="1619" spans="3:25" ht="15.75" customHeight="1">
      <c r="C1619" s="90"/>
      <c r="D1619" s="1900"/>
      <c r="E1619" s="1895"/>
      <c r="F1619" s="1896"/>
      <c r="G1619" s="1897"/>
      <c r="H1619" s="90"/>
      <c r="I1619" s="90"/>
      <c r="J1619" s="90"/>
      <c r="K1619" s="90"/>
      <c r="L1619" s="1901"/>
      <c r="M1619" s="643"/>
      <c r="N1619" s="643"/>
      <c r="O1619" s="658"/>
      <c r="P1619" s="658"/>
      <c r="Q1619" s="1899"/>
      <c r="R1619" s="430"/>
      <c r="S1619" s="430"/>
      <c r="T1619" s="430"/>
      <c r="U1619" s="430"/>
      <c r="V1619" s="430"/>
      <c r="W1619" s="90"/>
      <c r="X1619" s="90"/>
      <c r="Y1619" s="90"/>
    </row>
    <row r="1620" spans="3:25" ht="15.75" customHeight="1">
      <c r="C1620" s="90"/>
      <c r="D1620" s="1900"/>
      <c r="E1620" s="1895"/>
      <c r="F1620" s="1896"/>
      <c r="G1620" s="1897"/>
      <c r="H1620" s="90"/>
      <c r="I1620" s="90"/>
      <c r="J1620" s="90"/>
      <c r="K1620" s="90"/>
      <c r="L1620" s="1901"/>
      <c r="M1620" s="643"/>
      <c r="N1620" s="643"/>
      <c r="O1620" s="658"/>
      <c r="P1620" s="658"/>
      <c r="Q1620" s="1899"/>
      <c r="R1620" s="430"/>
      <c r="S1620" s="430"/>
      <c r="T1620" s="430"/>
      <c r="U1620" s="430"/>
      <c r="V1620" s="430"/>
      <c r="W1620" s="90"/>
      <c r="X1620" s="90"/>
      <c r="Y1620" s="90"/>
    </row>
    <row r="1621" spans="3:25" ht="15.75" customHeight="1">
      <c r="C1621" s="90"/>
      <c r="D1621" s="1900"/>
      <c r="E1621" s="1895"/>
      <c r="F1621" s="1896"/>
      <c r="G1621" s="1897"/>
      <c r="H1621" s="90"/>
      <c r="I1621" s="90"/>
      <c r="J1621" s="90"/>
      <c r="K1621" s="90"/>
      <c r="L1621" s="1901"/>
      <c r="M1621" s="643"/>
      <c r="N1621" s="643"/>
      <c r="O1621" s="658"/>
      <c r="P1621" s="658"/>
      <c r="Q1621" s="1899"/>
      <c r="R1621" s="430"/>
      <c r="S1621" s="430"/>
      <c r="T1621" s="430"/>
      <c r="U1621" s="430"/>
      <c r="V1621" s="430"/>
      <c r="W1621" s="90"/>
      <c r="X1621" s="90"/>
      <c r="Y1621" s="90"/>
    </row>
    <row r="1622" spans="3:25" ht="15.75" customHeight="1">
      <c r="C1622" s="90"/>
      <c r="D1622" s="1900"/>
      <c r="E1622" s="1895"/>
      <c r="F1622" s="1896"/>
      <c r="G1622" s="1897"/>
      <c r="H1622" s="90"/>
      <c r="I1622" s="90"/>
      <c r="J1622" s="90"/>
      <c r="K1622" s="90"/>
      <c r="L1622" s="1901"/>
      <c r="M1622" s="643"/>
      <c r="N1622" s="643"/>
      <c r="O1622" s="658"/>
      <c r="P1622" s="658"/>
      <c r="Q1622" s="1899"/>
      <c r="R1622" s="430"/>
      <c r="S1622" s="430"/>
      <c r="T1622" s="430"/>
      <c r="U1622" s="430"/>
      <c r="V1622" s="430"/>
      <c r="W1622" s="90"/>
      <c r="X1622" s="90"/>
      <c r="Y1622" s="90"/>
    </row>
    <row r="1623" spans="3:25" ht="15.75" customHeight="1">
      <c r="C1623" s="90"/>
      <c r="D1623" s="1900"/>
      <c r="E1623" s="1895"/>
      <c r="F1623" s="1896"/>
      <c r="G1623" s="1897"/>
      <c r="H1623" s="90"/>
      <c r="I1623" s="90"/>
      <c r="J1623" s="90"/>
      <c r="K1623" s="90"/>
      <c r="L1623" s="1901"/>
      <c r="M1623" s="643"/>
      <c r="N1623" s="643"/>
      <c r="O1623" s="658"/>
      <c r="P1623" s="658"/>
      <c r="Q1623" s="1899"/>
      <c r="R1623" s="430"/>
      <c r="S1623" s="430"/>
      <c r="T1623" s="430"/>
      <c r="U1623" s="430"/>
      <c r="V1623" s="430"/>
      <c r="W1623" s="90"/>
      <c r="X1623" s="90"/>
      <c r="Y1623" s="90"/>
    </row>
    <row r="1624" spans="3:25" ht="15.75" customHeight="1">
      <c r="C1624" s="90"/>
      <c r="D1624" s="1900"/>
      <c r="E1624" s="1895"/>
      <c r="F1624" s="1896"/>
      <c r="G1624" s="1897"/>
      <c r="H1624" s="90"/>
      <c r="I1624" s="90"/>
      <c r="J1624" s="90"/>
      <c r="K1624" s="90"/>
      <c r="L1624" s="1901"/>
      <c r="M1624" s="643"/>
      <c r="N1624" s="643"/>
      <c r="O1624" s="658"/>
      <c r="P1624" s="658"/>
      <c r="Q1624" s="1899"/>
      <c r="R1624" s="430"/>
      <c r="S1624" s="430"/>
      <c r="T1624" s="430"/>
      <c r="U1624" s="430"/>
      <c r="V1624" s="430"/>
      <c r="W1624" s="90"/>
      <c r="X1624" s="90"/>
      <c r="Y1624" s="90"/>
    </row>
    <row r="1625" spans="3:25" ht="15.75" customHeight="1">
      <c r="C1625" s="90"/>
      <c r="D1625" s="1900"/>
      <c r="E1625" s="1895"/>
      <c r="F1625" s="1896"/>
      <c r="G1625" s="1897"/>
      <c r="H1625" s="90"/>
      <c r="I1625" s="90"/>
      <c r="J1625" s="90"/>
      <c r="K1625" s="90"/>
      <c r="L1625" s="1901"/>
      <c r="M1625" s="643"/>
      <c r="N1625" s="643"/>
      <c r="O1625" s="658"/>
      <c r="P1625" s="658"/>
      <c r="Q1625" s="1899"/>
      <c r="R1625" s="430"/>
      <c r="S1625" s="430"/>
      <c r="T1625" s="430"/>
      <c r="U1625" s="430"/>
      <c r="V1625" s="430"/>
      <c r="W1625" s="90"/>
      <c r="X1625" s="90"/>
      <c r="Y1625" s="90"/>
    </row>
    <row r="1626" spans="3:25" ht="15.75" customHeight="1">
      <c r="C1626" s="90"/>
      <c r="D1626" s="1900"/>
      <c r="E1626" s="1895"/>
      <c r="F1626" s="1896"/>
      <c r="G1626" s="1897"/>
      <c r="H1626" s="90"/>
      <c r="I1626" s="90"/>
      <c r="J1626" s="90"/>
      <c r="K1626" s="90"/>
      <c r="L1626" s="1901"/>
      <c r="M1626" s="643"/>
      <c r="N1626" s="643"/>
      <c r="O1626" s="658"/>
      <c r="P1626" s="658"/>
      <c r="Q1626" s="1899"/>
      <c r="R1626" s="430"/>
      <c r="S1626" s="430"/>
      <c r="T1626" s="430"/>
      <c r="U1626" s="430"/>
      <c r="V1626" s="430"/>
      <c r="W1626" s="90"/>
      <c r="X1626" s="90"/>
      <c r="Y1626" s="90"/>
    </row>
    <row r="1627" spans="3:25" ht="15.75" customHeight="1">
      <c r="C1627" s="90"/>
      <c r="D1627" s="1900"/>
      <c r="E1627" s="1895"/>
      <c r="F1627" s="1896"/>
      <c r="G1627" s="1897"/>
      <c r="H1627" s="90"/>
      <c r="I1627" s="90"/>
      <c r="J1627" s="90"/>
      <c r="K1627" s="90"/>
      <c r="L1627" s="1901"/>
      <c r="M1627" s="643"/>
      <c r="N1627" s="643"/>
      <c r="O1627" s="658"/>
      <c r="P1627" s="658"/>
      <c r="Q1627" s="1899"/>
      <c r="R1627" s="430"/>
      <c r="S1627" s="430"/>
      <c r="T1627" s="430"/>
      <c r="U1627" s="430"/>
      <c r="V1627" s="430"/>
      <c r="W1627" s="90"/>
      <c r="X1627" s="90"/>
      <c r="Y1627" s="90"/>
    </row>
    <row r="1628" spans="3:25" ht="15.75" customHeight="1">
      <c r="C1628" s="90"/>
      <c r="D1628" s="1900"/>
      <c r="E1628" s="1895"/>
      <c r="F1628" s="1896"/>
      <c r="G1628" s="1897"/>
      <c r="H1628" s="90"/>
      <c r="I1628" s="90"/>
      <c r="J1628" s="90"/>
      <c r="K1628" s="90"/>
      <c r="L1628" s="1901"/>
      <c r="M1628" s="643"/>
      <c r="N1628" s="643"/>
      <c r="O1628" s="658"/>
      <c r="P1628" s="658"/>
      <c r="Q1628" s="1899"/>
      <c r="R1628" s="430"/>
      <c r="S1628" s="430"/>
      <c r="T1628" s="430"/>
      <c r="U1628" s="430"/>
      <c r="V1628" s="430"/>
      <c r="W1628" s="90"/>
      <c r="X1628" s="90"/>
      <c r="Y1628" s="90"/>
    </row>
    <row r="1629" spans="3:25" ht="15.75" customHeight="1">
      <c r="C1629" s="90"/>
      <c r="D1629" s="1900"/>
      <c r="E1629" s="1895"/>
      <c r="F1629" s="1896"/>
      <c r="G1629" s="1897"/>
      <c r="H1629" s="90"/>
      <c r="I1629" s="90"/>
      <c r="J1629" s="90"/>
      <c r="K1629" s="90"/>
      <c r="L1629" s="1901"/>
      <c r="M1629" s="643"/>
      <c r="N1629" s="643"/>
      <c r="O1629" s="658"/>
      <c r="P1629" s="658"/>
      <c r="Q1629" s="1899"/>
      <c r="R1629" s="430"/>
      <c r="S1629" s="430"/>
      <c r="T1629" s="430"/>
      <c r="U1629" s="430"/>
      <c r="V1629" s="430"/>
      <c r="W1629" s="90"/>
      <c r="X1629" s="90"/>
      <c r="Y1629" s="90"/>
    </row>
    <row r="1630" spans="3:25" ht="15.75" customHeight="1">
      <c r="C1630" s="90"/>
      <c r="D1630" s="1900"/>
      <c r="E1630" s="1895"/>
      <c r="F1630" s="1896"/>
      <c r="G1630" s="1897"/>
      <c r="H1630" s="90"/>
      <c r="I1630" s="90"/>
      <c r="J1630" s="90"/>
      <c r="K1630" s="90"/>
      <c r="L1630" s="1901"/>
      <c r="M1630" s="643"/>
      <c r="N1630" s="643"/>
      <c r="O1630" s="658"/>
      <c r="P1630" s="658"/>
      <c r="Q1630" s="1899"/>
      <c r="R1630" s="430"/>
      <c r="S1630" s="430"/>
      <c r="T1630" s="430"/>
      <c r="U1630" s="430"/>
      <c r="V1630" s="430"/>
      <c r="W1630" s="90"/>
      <c r="X1630" s="90"/>
      <c r="Y1630" s="90"/>
    </row>
    <row r="1631" spans="3:25" ht="15.75" customHeight="1">
      <c r="C1631" s="90"/>
      <c r="D1631" s="1900"/>
      <c r="E1631" s="1895"/>
      <c r="F1631" s="1896"/>
      <c r="G1631" s="1897"/>
      <c r="H1631" s="90"/>
      <c r="I1631" s="90"/>
      <c r="J1631" s="90"/>
      <c r="K1631" s="90"/>
      <c r="L1631" s="1901"/>
      <c r="M1631" s="643"/>
      <c r="N1631" s="643"/>
      <c r="O1631" s="658"/>
      <c r="P1631" s="658"/>
      <c r="Q1631" s="1899"/>
      <c r="R1631" s="430"/>
      <c r="S1631" s="430"/>
      <c r="T1631" s="430"/>
      <c r="U1631" s="430"/>
      <c r="V1631" s="430"/>
      <c r="W1631" s="90"/>
      <c r="X1631" s="90"/>
      <c r="Y1631" s="90"/>
    </row>
    <row r="1632" spans="3:25" ht="15.75" customHeight="1">
      <c r="C1632" s="90"/>
      <c r="D1632" s="1900"/>
      <c r="E1632" s="1895"/>
      <c r="F1632" s="1896"/>
      <c r="G1632" s="1897"/>
      <c r="H1632" s="90"/>
      <c r="I1632" s="90"/>
      <c r="J1632" s="90"/>
      <c r="K1632" s="90"/>
      <c r="L1632" s="1901"/>
      <c r="M1632" s="643"/>
      <c r="N1632" s="643"/>
      <c r="O1632" s="658"/>
      <c r="P1632" s="658"/>
      <c r="Q1632" s="1899"/>
      <c r="R1632" s="430"/>
      <c r="S1632" s="430"/>
      <c r="T1632" s="430"/>
      <c r="U1632" s="430"/>
      <c r="V1632" s="430"/>
      <c r="W1632" s="90"/>
      <c r="X1632" s="90"/>
      <c r="Y1632" s="90"/>
    </row>
    <row r="1633" spans="3:25" ht="15.75" customHeight="1">
      <c r="C1633" s="90"/>
      <c r="D1633" s="1900"/>
      <c r="E1633" s="1895"/>
      <c r="F1633" s="1896"/>
      <c r="G1633" s="1897"/>
      <c r="H1633" s="90"/>
      <c r="I1633" s="90"/>
      <c r="J1633" s="90"/>
      <c r="K1633" s="90"/>
      <c r="L1633" s="1901"/>
      <c r="M1633" s="643"/>
      <c r="N1633" s="643"/>
      <c r="O1633" s="658"/>
      <c r="P1633" s="658"/>
      <c r="Q1633" s="1899"/>
      <c r="R1633" s="430"/>
      <c r="S1633" s="430"/>
      <c r="T1633" s="430"/>
      <c r="U1633" s="430"/>
      <c r="V1633" s="430"/>
      <c r="W1633" s="90"/>
      <c r="X1633" s="90"/>
      <c r="Y1633" s="90"/>
    </row>
    <row r="1634" spans="3:25" ht="15.75" customHeight="1">
      <c r="C1634" s="90"/>
      <c r="D1634" s="1900"/>
      <c r="E1634" s="1895"/>
      <c r="F1634" s="1896"/>
      <c r="G1634" s="1897"/>
      <c r="H1634" s="90"/>
      <c r="I1634" s="90"/>
      <c r="J1634" s="90"/>
      <c r="K1634" s="90"/>
      <c r="L1634" s="1901"/>
      <c r="M1634" s="643"/>
      <c r="N1634" s="643"/>
      <c r="O1634" s="658"/>
      <c r="P1634" s="658"/>
      <c r="Q1634" s="1899"/>
      <c r="R1634" s="430"/>
      <c r="S1634" s="430"/>
      <c r="T1634" s="430"/>
      <c r="U1634" s="430"/>
      <c r="V1634" s="430"/>
      <c r="W1634" s="90"/>
      <c r="X1634" s="90"/>
      <c r="Y1634" s="90"/>
    </row>
    <row r="1635" spans="3:25" ht="15.75" customHeight="1">
      <c r="C1635" s="90"/>
      <c r="D1635" s="1900"/>
      <c r="E1635" s="1895"/>
      <c r="F1635" s="1896"/>
      <c r="G1635" s="1897"/>
      <c r="H1635" s="90"/>
      <c r="I1635" s="90"/>
      <c r="J1635" s="90"/>
      <c r="K1635" s="90"/>
      <c r="L1635" s="1901"/>
      <c r="M1635" s="643"/>
      <c r="N1635" s="643"/>
      <c r="O1635" s="658"/>
      <c r="P1635" s="658"/>
      <c r="Q1635" s="1899"/>
      <c r="R1635" s="430"/>
      <c r="S1635" s="430"/>
      <c r="T1635" s="430"/>
      <c r="U1635" s="430"/>
      <c r="V1635" s="430"/>
      <c r="W1635" s="90"/>
      <c r="X1635" s="90"/>
      <c r="Y1635" s="90"/>
    </row>
    <row r="1636" spans="3:25" ht="15.75" customHeight="1">
      <c r="C1636" s="90"/>
      <c r="D1636" s="1900"/>
      <c r="E1636" s="1895"/>
      <c r="F1636" s="1896"/>
      <c r="G1636" s="1897"/>
      <c r="H1636" s="90"/>
      <c r="I1636" s="90"/>
      <c r="J1636" s="90"/>
      <c r="K1636" s="90"/>
      <c r="L1636" s="1901"/>
      <c r="M1636" s="643"/>
      <c r="N1636" s="643"/>
      <c r="O1636" s="658"/>
      <c r="P1636" s="658"/>
      <c r="Q1636" s="1899"/>
      <c r="R1636" s="430"/>
      <c r="S1636" s="430"/>
      <c r="T1636" s="430"/>
      <c r="U1636" s="430"/>
      <c r="V1636" s="430"/>
      <c r="W1636" s="90"/>
      <c r="X1636" s="90"/>
      <c r="Y1636" s="90"/>
    </row>
    <row r="1637" spans="3:25" ht="15.75" customHeight="1">
      <c r="C1637" s="90"/>
      <c r="D1637" s="1900"/>
      <c r="E1637" s="1895"/>
      <c r="F1637" s="1896"/>
      <c r="G1637" s="1897"/>
      <c r="H1637" s="90"/>
      <c r="I1637" s="90"/>
      <c r="J1637" s="90"/>
      <c r="K1637" s="90"/>
      <c r="L1637" s="1901"/>
      <c r="M1637" s="643"/>
      <c r="N1637" s="643"/>
      <c r="O1637" s="658"/>
      <c r="P1637" s="658"/>
      <c r="Q1637" s="1899"/>
      <c r="R1637" s="430"/>
      <c r="S1637" s="430"/>
      <c r="T1637" s="430"/>
      <c r="U1637" s="430"/>
      <c r="V1637" s="430"/>
      <c r="W1637" s="90"/>
      <c r="X1637" s="90"/>
      <c r="Y1637" s="90"/>
    </row>
    <row r="1638" spans="3:25" ht="15.75" customHeight="1">
      <c r="C1638" s="90"/>
      <c r="D1638" s="1900"/>
      <c r="E1638" s="1895"/>
      <c r="F1638" s="1896"/>
      <c r="G1638" s="1897"/>
      <c r="H1638" s="90"/>
      <c r="I1638" s="90"/>
      <c r="J1638" s="90"/>
      <c r="K1638" s="90"/>
      <c r="L1638" s="1901"/>
      <c r="M1638" s="643"/>
      <c r="N1638" s="643"/>
      <c r="O1638" s="658"/>
      <c r="P1638" s="658"/>
      <c r="Q1638" s="1899"/>
      <c r="R1638" s="430"/>
      <c r="S1638" s="430"/>
      <c r="T1638" s="430"/>
      <c r="U1638" s="430"/>
      <c r="V1638" s="430"/>
      <c r="W1638" s="90"/>
      <c r="X1638" s="90"/>
      <c r="Y1638" s="90"/>
    </row>
    <row r="1639" spans="3:25" ht="15.75" customHeight="1">
      <c r="C1639" s="90"/>
      <c r="D1639" s="1900"/>
      <c r="E1639" s="1895"/>
      <c r="F1639" s="1896"/>
      <c r="G1639" s="1897"/>
      <c r="H1639" s="90"/>
      <c r="I1639" s="90"/>
      <c r="J1639" s="90"/>
      <c r="K1639" s="90"/>
      <c r="L1639" s="1901"/>
      <c r="M1639" s="643"/>
      <c r="N1639" s="643"/>
      <c r="O1639" s="658"/>
      <c r="P1639" s="658"/>
      <c r="Q1639" s="1899"/>
      <c r="R1639" s="430"/>
      <c r="S1639" s="430"/>
      <c r="T1639" s="430"/>
      <c r="U1639" s="430"/>
      <c r="V1639" s="430"/>
      <c r="W1639" s="90"/>
      <c r="X1639" s="90"/>
      <c r="Y1639" s="90"/>
    </row>
    <row r="1640" spans="3:25" ht="15.75" customHeight="1">
      <c r="C1640" s="90"/>
      <c r="D1640" s="1900"/>
      <c r="E1640" s="1895"/>
      <c r="F1640" s="1896"/>
      <c r="G1640" s="1897"/>
      <c r="H1640" s="90"/>
      <c r="I1640" s="90"/>
      <c r="J1640" s="90"/>
      <c r="K1640" s="90"/>
      <c r="L1640" s="1901"/>
      <c r="M1640" s="643"/>
      <c r="N1640" s="643"/>
      <c r="O1640" s="658"/>
      <c r="P1640" s="658"/>
      <c r="Q1640" s="1899"/>
      <c r="R1640" s="430"/>
      <c r="S1640" s="430"/>
      <c r="T1640" s="430"/>
      <c r="U1640" s="430"/>
      <c r="V1640" s="430"/>
      <c r="W1640" s="90"/>
      <c r="X1640" s="90"/>
      <c r="Y1640" s="90"/>
    </row>
    <row r="1641" spans="3:25" ht="15.75" customHeight="1">
      <c r="C1641" s="90"/>
      <c r="D1641" s="1900"/>
      <c r="E1641" s="1895"/>
      <c r="F1641" s="1896"/>
      <c r="G1641" s="1897"/>
      <c r="H1641" s="90"/>
      <c r="I1641" s="90"/>
      <c r="J1641" s="90"/>
      <c r="K1641" s="90"/>
      <c r="L1641" s="1901"/>
      <c r="M1641" s="643"/>
      <c r="N1641" s="643"/>
      <c r="O1641" s="658"/>
      <c r="P1641" s="658"/>
      <c r="Q1641" s="1899"/>
      <c r="R1641" s="430"/>
      <c r="S1641" s="430"/>
      <c r="T1641" s="430"/>
      <c r="U1641" s="430"/>
      <c r="V1641" s="430"/>
      <c r="W1641" s="90"/>
      <c r="X1641" s="90"/>
      <c r="Y1641" s="90"/>
    </row>
    <row r="1642" spans="3:25" ht="15.75" customHeight="1">
      <c r="C1642" s="90"/>
      <c r="D1642" s="1900"/>
      <c r="E1642" s="1895"/>
      <c r="F1642" s="1896"/>
      <c r="G1642" s="1897"/>
      <c r="H1642" s="90"/>
      <c r="I1642" s="90"/>
      <c r="J1642" s="90"/>
      <c r="K1642" s="90"/>
      <c r="L1642" s="1901"/>
      <c r="M1642" s="643"/>
      <c r="N1642" s="643"/>
      <c r="O1642" s="658"/>
      <c r="P1642" s="658"/>
      <c r="Q1642" s="1899"/>
      <c r="R1642" s="430"/>
      <c r="S1642" s="430"/>
      <c r="T1642" s="430"/>
      <c r="U1642" s="430"/>
      <c r="V1642" s="430"/>
      <c r="W1642" s="90"/>
      <c r="X1642" s="90"/>
      <c r="Y1642" s="90"/>
    </row>
    <row r="1643" spans="3:25" ht="15.75" customHeight="1">
      <c r="C1643" s="90"/>
      <c r="D1643" s="1900"/>
      <c r="E1643" s="1895"/>
      <c r="F1643" s="1896"/>
      <c r="G1643" s="1897"/>
      <c r="H1643" s="90"/>
      <c r="I1643" s="90"/>
      <c r="J1643" s="90"/>
      <c r="K1643" s="90"/>
      <c r="L1643" s="1901"/>
      <c r="M1643" s="643"/>
      <c r="N1643" s="643"/>
      <c r="O1643" s="658"/>
      <c r="P1643" s="658"/>
      <c r="Q1643" s="1899"/>
      <c r="R1643" s="430"/>
      <c r="S1643" s="430"/>
      <c r="T1643" s="430"/>
      <c r="U1643" s="430"/>
      <c r="V1643" s="430"/>
      <c r="W1643" s="90"/>
      <c r="X1643" s="90"/>
      <c r="Y1643" s="90"/>
    </row>
    <row r="1644" spans="3:25" ht="15.75" customHeight="1">
      <c r="C1644" s="90"/>
      <c r="D1644" s="1900"/>
      <c r="E1644" s="1895"/>
      <c r="F1644" s="1896"/>
      <c r="G1644" s="1897"/>
      <c r="H1644" s="90"/>
      <c r="I1644" s="90"/>
      <c r="J1644" s="90"/>
      <c r="K1644" s="90"/>
      <c r="L1644" s="1901"/>
      <c r="M1644" s="643"/>
      <c r="N1644" s="643"/>
      <c r="O1644" s="658"/>
      <c r="P1644" s="658"/>
      <c r="Q1644" s="1899"/>
      <c r="R1644" s="430"/>
      <c r="S1644" s="430"/>
      <c r="T1644" s="430"/>
      <c r="U1644" s="430"/>
      <c r="V1644" s="430"/>
      <c r="W1644" s="90"/>
      <c r="X1644" s="90"/>
      <c r="Y1644" s="90"/>
    </row>
    <row r="1645" spans="3:25" ht="15.75" customHeight="1">
      <c r="C1645" s="90"/>
      <c r="D1645" s="1900"/>
      <c r="E1645" s="1895"/>
      <c r="F1645" s="1896"/>
      <c r="G1645" s="1897"/>
      <c r="H1645" s="90"/>
      <c r="I1645" s="90"/>
      <c r="J1645" s="90"/>
      <c r="K1645" s="90"/>
      <c r="L1645" s="1901"/>
      <c r="M1645" s="643"/>
      <c r="N1645" s="643"/>
      <c r="O1645" s="658"/>
      <c r="P1645" s="658"/>
      <c r="Q1645" s="1899"/>
      <c r="R1645" s="430"/>
      <c r="S1645" s="430"/>
      <c r="T1645" s="430"/>
      <c r="U1645" s="430"/>
      <c r="V1645" s="430"/>
      <c r="W1645" s="90"/>
      <c r="X1645" s="90"/>
      <c r="Y1645" s="90"/>
    </row>
    <row r="1646" spans="3:25" ht="15.75" customHeight="1">
      <c r="C1646" s="90"/>
      <c r="D1646" s="1900"/>
      <c r="E1646" s="1895"/>
      <c r="F1646" s="1896"/>
      <c r="G1646" s="1897"/>
      <c r="H1646" s="90"/>
      <c r="I1646" s="90"/>
      <c r="J1646" s="90"/>
      <c r="K1646" s="90"/>
      <c r="L1646" s="1901"/>
      <c r="M1646" s="643"/>
      <c r="N1646" s="643"/>
      <c r="O1646" s="658"/>
      <c r="P1646" s="658"/>
      <c r="Q1646" s="1899"/>
      <c r="R1646" s="430"/>
      <c r="S1646" s="430"/>
      <c r="T1646" s="430"/>
      <c r="U1646" s="430"/>
      <c r="V1646" s="430"/>
      <c r="W1646" s="90"/>
      <c r="X1646" s="90"/>
      <c r="Y1646" s="90"/>
    </row>
    <row r="1647" spans="3:25" ht="15.75" customHeight="1">
      <c r="C1647" s="90"/>
      <c r="D1647" s="1900"/>
      <c r="E1647" s="1895"/>
      <c r="F1647" s="1896"/>
      <c r="G1647" s="1897"/>
      <c r="H1647" s="90"/>
      <c r="I1647" s="90"/>
      <c r="J1647" s="90"/>
      <c r="K1647" s="90"/>
      <c r="L1647" s="1901"/>
      <c r="M1647" s="643"/>
      <c r="N1647" s="643"/>
      <c r="O1647" s="658"/>
      <c r="P1647" s="658"/>
      <c r="Q1647" s="1899"/>
      <c r="R1647" s="430"/>
      <c r="S1647" s="430"/>
      <c r="T1647" s="430"/>
      <c r="U1647" s="430"/>
      <c r="V1647" s="430"/>
      <c r="W1647" s="90"/>
      <c r="X1647" s="90"/>
      <c r="Y1647" s="90"/>
    </row>
    <row r="1648" spans="3:25" ht="15.75" customHeight="1">
      <c r="C1648" s="90"/>
      <c r="D1648" s="1900"/>
      <c r="E1648" s="1895"/>
      <c r="F1648" s="1896"/>
      <c r="G1648" s="1897"/>
      <c r="H1648" s="90"/>
      <c r="I1648" s="90"/>
      <c r="J1648" s="90"/>
      <c r="K1648" s="90"/>
      <c r="L1648" s="1901"/>
      <c r="M1648" s="643"/>
      <c r="N1648" s="643"/>
      <c r="O1648" s="658"/>
      <c r="P1648" s="658"/>
      <c r="Q1648" s="1899"/>
      <c r="R1648" s="430"/>
      <c r="S1648" s="430"/>
      <c r="T1648" s="430"/>
      <c r="U1648" s="430"/>
      <c r="V1648" s="430"/>
      <c r="W1648" s="90"/>
      <c r="X1648" s="90"/>
      <c r="Y1648" s="90"/>
    </row>
    <row r="1649" spans="3:25" ht="15.75" customHeight="1">
      <c r="C1649" s="90"/>
      <c r="D1649" s="1900"/>
      <c r="E1649" s="1895"/>
      <c r="F1649" s="1896"/>
      <c r="G1649" s="1897"/>
      <c r="H1649" s="90"/>
      <c r="I1649" s="90"/>
      <c r="J1649" s="90"/>
      <c r="K1649" s="90"/>
      <c r="L1649" s="1901"/>
      <c r="M1649" s="643"/>
      <c r="N1649" s="643"/>
      <c r="O1649" s="658"/>
      <c r="P1649" s="658"/>
      <c r="Q1649" s="1899"/>
      <c r="R1649" s="430"/>
      <c r="S1649" s="430"/>
      <c r="T1649" s="430"/>
      <c r="U1649" s="430"/>
      <c r="V1649" s="430"/>
      <c r="W1649" s="90"/>
      <c r="X1649" s="90"/>
      <c r="Y1649" s="90"/>
    </row>
    <row r="1650" spans="3:25" ht="15.75" customHeight="1">
      <c r="C1650" s="90"/>
      <c r="D1650" s="1900"/>
      <c r="E1650" s="1895"/>
      <c r="F1650" s="1896"/>
      <c r="G1650" s="1897"/>
      <c r="H1650" s="90"/>
      <c r="I1650" s="90"/>
      <c r="J1650" s="90"/>
      <c r="K1650" s="90"/>
      <c r="L1650" s="1901"/>
      <c r="M1650" s="643"/>
      <c r="N1650" s="643"/>
      <c r="O1650" s="658"/>
      <c r="P1650" s="658"/>
      <c r="Q1650" s="1899"/>
      <c r="R1650" s="430"/>
      <c r="S1650" s="430"/>
      <c r="T1650" s="430"/>
      <c r="U1650" s="430"/>
      <c r="V1650" s="430"/>
      <c r="W1650" s="90"/>
      <c r="X1650" s="90"/>
      <c r="Y1650" s="90"/>
    </row>
    <row r="1651" spans="3:25" ht="15.75" customHeight="1">
      <c r="C1651" s="90"/>
      <c r="D1651" s="1900"/>
      <c r="E1651" s="1895"/>
      <c r="F1651" s="1896"/>
      <c r="G1651" s="1897"/>
      <c r="H1651" s="90"/>
      <c r="I1651" s="90"/>
      <c r="J1651" s="90"/>
      <c r="K1651" s="90"/>
      <c r="L1651" s="1901"/>
      <c r="M1651" s="643"/>
      <c r="N1651" s="643"/>
      <c r="O1651" s="658"/>
      <c r="P1651" s="658"/>
      <c r="Q1651" s="1899"/>
      <c r="R1651" s="430"/>
      <c r="S1651" s="430"/>
      <c r="T1651" s="430"/>
      <c r="U1651" s="430"/>
      <c r="V1651" s="430"/>
      <c r="W1651" s="90"/>
      <c r="X1651" s="90"/>
      <c r="Y1651" s="90"/>
    </row>
    <row r="1652" spans="3:25" ht="15.75" customHeight="1">
      <c r="C1652" s="90"/>
      <c r="D1652" s="1900"/>
      <c r="E1652" s="1895"/>
      <c r="F1652" s="1896"/>
      <c r="G1652" s="1897"/>
      <c r="H1652" s="90"/>
      <c r="I1652" s="90"/>
      <c r="J1652" s="90"/>
      <c r="K1652" s="90"/>
      <c r="L1652" s="1901"/>
      <c r="M1652" s="643"/>
      <c r="N1652" s="643"/>
      <c r="O1652" s="658"/>
      <c r="P1652" s="658"/>
      <c r="Q1652" s="1899"/>
      <c r="R1652" s="430"/>
      <c r="S1652" s="430"/>
      <c r="T1652" s="430"/>
      <c r="U1652" s="430"/>
      <c r="V1652" s="430"/>
      <c r="W1652" s="90"/>
      <c r="X1652" s="90"/>
      <c r="Y1652" s="90"/>
    </row>
    <row r="1653" spans="3:25" ht="15.75" customHeight="1">
      <c r="C1653" s="90"/>
      <c r="D1653" s="1900"/>
      <c r="E1653" s="1895"/>
      <c r="F1653" s="1896"/>
      <c r="G1653" s="1897"/>
      <c r="H1653" s="90"/>
      <c r="I1653" s="90"/>
      <c r="J1653" s="90"/>
      <c r="K1653" s="90"/>
      <c r="L1653" s="1901"/>
      <c r="M1653" s="643"/>
      <c r="N1653" s="643"/>
      <c r="O1653" s="658"/>
      <c r="P1653" s="658"/>
      <c r="Q1653" s="1899"/>
      <c r="R1653" s="430"/>
      <c r="S1653" s="430"/>
      <c r="T1653" s="430"/>
      <c r="U1653" s="430"/>
      <c r="V1653" s="430"/>
      <c r="W1653" s="90"/>
      <c r="X1653" s="90"/>
      <c r="Y1653" s="90"/>
    </row>
    <row r="1654" spans="3:25" ht="15.75" customHeight="1">
      <c r="C1654" s="90"/>
      <c r="D1654" s="1900"/>
      <c r="E1654" s="1895"/>
      <c r="F1654" s="1896"/>
      <c r="G1654" s="1897"/>
      <c r="H1654" s="90"/>
      <c r="I1654" s="90"/>
      <c r="J1654" s="90"/>
      <c r="K1654" s="90"/>
      <c r="L1654" s="1901"/>
      <c r="M1654" s="643"/>
      <c r="N1654" s="643"/>
      <c r="O1654" s="658"/>
      <c r="P1654" s="658"/>
      <c r="Q1654" s="1899"/>
      <c r="R1654" s="430"/>
      <c r="S1654" s="430"/>
      <c r="T1654" s="430"/>
      <c r="U1654" s="430"/>
      <c r="V1654" s="430"/>
      <c r="W1654" s="90"/>
      <c r="X1654" s="90"/>
      <c r="Y1654" s="90"/>
    </row>
    <row r="1655" spans="3:25" ht="15.75" customHeight="1">
      <c r="C1655" s="90"/>
      <c r="D1655" s="1900"/>
      <c r="E1655" s="1895"/>
      <c r="F1655" s="1896"/>
      <c r="G1655" s="1897"/>
      <c r="H1655" s="90"/>
      <c r="I1655" s="90"/>
      <c r="J1655" s="90"/>
      <c r="K1655" s="90"/>
      <c r="L1655" s="1901"/>
      <c r="M1655" s="643"/>
      <c r="N1655" s="643"/>
      <c r="O1655" s="658"/>
      <c r="P1655" s="658"/>
      <c r="Q1655" s="1899"/>
      <c r="R1655" s="430"/>
      <c r="S1655" s="430"/>
      <c r="T1655" s="430"/>
      <c r="U1655" s="430"/>
      <c r="V1655" s="430"/>
      <c r="W1655" s="90"/>
      <c r="X1655" s="90"/>
      <c r="Y1655" s="90"/>
    </row>
    <row r="1656" spans="3:25" ht="15.75" customHeight="1">
      <c r="C1656" s="90"/>
      <c r="D1656" s="1900"/>
      <c r="E1656" s="1895"/>
      <c r="F1656" s="1896"/>
      <c r="G1656" s="1897"/>
      <c r="H1656" s="90"/>
      <c r="I1656" s="90"/>
      <c r="J1656" s="90"/>
      <c r="K1656" s="90"/>
      <c r="L1656" s="1901"/>
      <c r="M1656" s="643"/>
      <c r="N1656" s="643"/>
      <c r="O1656" s="658"/>
      <c r="P1656" s="658"/>
      <c r="Q1656" s="1899"/>
      <c r="R1656" s="430"/>
      <c r="S1656" s="430"/>
      <c r="T1656" s="430"/>
      <c r="U1656" s="430"/>
      <c r="V1656" s="430"/>
      <c r="W1656" s="90"/>
      <c r="X1656" s="90"/>
      <c r="Y1656" s="90"/>
    </row>
    <row r="1657" spans="3:25" ht="15.75" customHeight="1">
      <c r="C1657" s="90"/>
      <c r="D1657" s="1900"/>
      <c r="E1657" s="1895"/>
      <c r="F1657" s="1896"/>
      <c r="G1657" s="1897"/>
      <c r="H1657" s="90"/>
      <c r="I1657" s="90"/>
      <c r="J1657" s="90"/>
      <c r="K1657" s="90"/>
      <c r="L1657" s="1901"/>
      <c r="M1657" s="643"/>
      <c r="N1657" s="643"/>
      <c r="O1657" s="658"/>
      <c r="P1657" s="658"/>
      <c r="Q1657" s="1899"/>
      <c r="R1657" s="430"/>
      <c r="S1657" s="430"/>
      <c r="T1657" s="430"/>
      <c r="U1657" s="430"/>
      <c r="V1657" s="430"/>
      <c r="W1657" s="90"/>
      <c r="X1657" s="90"/>
      <c r="Y1657" s="90"/>
    </row>
    <row r="1658" spans="3:25" ht="15.75" customHeight="1">
      <c r="C1658" s="90"/>
      <c r="D1658" s="1900"/>
      <c r="E1658" s="1895"/>
      <c r="F1658" s="1896"/>
      <c r="G1658" s="1897"/>
      <c r="H1658" s="90"/>
      <c r="I1658" s="90"/>
      <c r="J1658" s="90"/>
      <c r="K1658" s="90"/>
      <c r="L1658" s="1901"/>
      <c r="M1658" s="643"/>
      <c r="N1658" s="643"/>
      <c r="O1658" s="658"/>
      <c r="P1658" s="658"/>
      <c r="Q1658" s="1899"/>
      <c r="R1658" s="430"/>
      <c r="S1658" s="430"/>
      <c r="T1658" s="430"/>
      <c r="U1658" s="430"/>
      <c r="V1658" s="430"/>
      <c r="W1658" s="90"/>
      <c r="X1658" s="90"/>
      <c r="Y1658" s="90"/>
    </row>
    <row r="1659" spans="3:25" ht="15.75" customHeight="1">
      <c r="C1659" s="90"/>
      <c r="D1659" s="1900"/>
      <c r="E1659" s="1895"/>
      <c r="F1659" s="1896"/>
      <c r="G1659" s="1897"/>
      <c r="H1659" s="90"/>
      <c r="I1659" s="90"/>
      <c r="J1659" s="90"/>
      <c r="K1659" s="90"/>
      <c r="L1659" s="1901"/>
      <c r="M1659" s="643"/>
      <c r="N1659" s="643"/>
      <c r="O1659" s="658"/>
      <c r="P1659" s="658"/>
      <c r="Q1659" s="1899"/>
      <c r="R1659" s="430"/>
      <c r="S1659" s="430"/>
      <c r="T1659" s="430"/>
      <c r="U1659" s="430"/>
      <c r="V1659" s="430"/>
      <c r="W1659" s="90"/>
      <c r="X1659" s="90"/>
      <c r="Y1659" s="90"/>
    </row>
    <row r="1660" spans="3:25" ht="15.75" customHeight="1">
      <c r="C1660" s="90"/>
      <c r="D1660" s="1900"/>
      <c r="E1660" s="1895"/>
      <c r="F1660" s="1896"/>
      <c r="G1660" s="1897"/>
      <c r="H1660" s="90"/>
      <c r="I1660" s="90"/>
      <c r="J1660" s="90"/>
      <c r="K1660" s="90"/>
      <c r="L1660" s="1901"/>
      <c r="M1660" s="643"/>
      <c r="N1660" s="643"/>
      <c r="O1660" s="658"/>
      <c r="P1660" s="658"/>
      <c r="Q1660" s="1899"/>
      <c r="R1660" s="430"/>
      <c r="S1660" s="430"/>
      <c r="T1660" s="430"/>
      <c r="U1660" s="430"/>
      <c r="V1660" s="430"/>
      <c r="W1660" s="90"/>
      <c r="X1660" s="90"/>
      <c r="Y1660" s="90"/>
    </row>
    <row r="1661" spans="3:25" ht="15.75" customHeight="1">
      <c r="C1661" s="90"/>
      <c r="D1661" s="1900"/>
      <c r="E1661" s="1895"/>
      <c r="F1661" s="1896"/>
      <c r="G1661" s="1897"/>
      <c r="H1661" s="90"/>
      <c r="I1661" s="90"/>
      <c r="J1661" s="90"/>
      <c r="K1661" s="90"/>
      <c r="L1661" s="1901"/>
      <c r="M1661" s="643"/>
      <c r="N1661" s="643"/>
      <c r="O1661" s="658"/>
      <c r="P1661" s="658"/>
      <c r="Q1661" s="1899"/>
      <c r="R1661" s="430"/>
      <c r="S1661" s="430"/>
      <c r="T1661" s="430"/>
      <c r="U1661" s="430"/>
      <c r="V1661" s="430"/>
      <c r="W1661" s="90"/>
      <c r="X1661" s="90"/>
      <c r="Y1661" s="90"/>
    </row>
    <row r="1662" spans="3:25" ht="15.75" customHeight="1">
      <c r="C1662" s="90"/>
      <c r="D1662" s="1900"/>
      <c r="E1662" s="1895"/>
      <c r="F1662" s="1896"/>
      <c r="G1662" s="1897"/>
      <c r="H1662" s="90"/>
      <c r="I1662" s="90"/>
      <c r="J1662" s="90"/>
      <c r="K1662" s="90"/>
      <c r="L1662" s="1901"/>
      <c r="M1662" s="643"/>
      <c r="N1662" s="643"/>
      <c r="O1662" s="658"/>
      <c r="P1662" s="658"/>
      <c r="Q1662" s="1899"/>
      <c r="R1662" s="430"/>
      <c r="S1662" s="430"/>
      <c r="T1662" s="430"/>
      <c r="U1662" s="430"/>
      <c r="V1662" s="430"/>
      <c r="W1662" s="90"/>
      <c r="X1662" s="90"/>
      <c r="Y1662" s="90"/>
    </row>
    <row r="1663" spans="3:25" ht="15.75" customHeight="1">
      <c r="C1663" s="90"/>
      <c r="D1663" s="1900"/>
      <c r="E1663" s="1895"/>
      <c r="F1663" s="1896"/>
      <c r="G1663" s="1897"/>
      <c r="H1663" s="90"/>
      <c r="I1663" s="90"/>
      <c r="J1663" s="90"/>
      <c r="K1663" s="90"/>
      <c r="L1663" s="1901"/>
      <c r="M1663" s="643"/>
      <c r="N1663" s="643"/>
      <c r="O1663" s="658"/>
      <c r="P1663" s="658"/>
      <c r="Q1663" s="1899"/>
      <c r="R1663" s="430"/>
      <c r="S1663" s="430"/>
      <c r="T1663" s="430"/>
      <c r="U1663" s="430"/>
      <c r="V1663" s="430"/>
      <c r="W1663" s="90"/>
      <c r="X1663" s="90"/>
      <c r="Y1663" s="90"/>
    </row>
    <row r="1664" spans="3:25" ht="15.75" customHeight="1">
      <c r="C1664" s="90"/>
      <c r="D1664" s="1900"/>
      <c r="E1664" s="1895"/>
      <c r="F1664" s="1896"/>
      <c r="G1664" s="1897"/>
      <c r="H1664" s="90"/>
      <c r="I1664" s="90"/>
      <c r="J1664" s="90"/>
      <c r="K1664" s="90"/>
      <c r="L1664" s="1901"/>
      <c r="M1664" s="643"/>
      <c r="N1664" s="643"/>
      <c r="O1664" s="658"/>
      <c r="P1664" s="658"/>
      <c r="Q1664" s="1899"/>
      <c r="R1664" s="430"/>
      <c r="S1664" s="430"/>
      <c r="T1664" s="430"/>
      <c r="U1664" s="430"/>
      <c r="V1664" s="430"/>
      <c r="W1664" s="90"/>
      <c r="X1664" s="90"/>
      <c r="Y1664" s="90"/>
    </row>
    <row r="1665" spans="3:25" ht="15.75" customHeight="1">
      <c r="C1665" s="90"/>
      <c r="D1665" s="1900"/>
      <c r="E1665" s="1895"/>
      <c r="F1665" s="1896"/>
      <c r="G1665" s="1897"/>
      <c r="H1665" s="90"/>
      <c r="I1665" s="90"/>
      <c r="J1665" s="90"/>
      <c r="K1665" s="90"/>
      <c r="L1665" s="1901"/>
      <c r="M1665" s="643"/>
      <c r="N1665" s="643"/>
      <c r="O1665" s="658"/>
      <c r="P1665" s="658"/>
      <c r="Q1665" s="1899"/>
      <c r="R1665" s="430"/>
      <c r="S1665" s="430"/>
      <c r="T1665" s="430"/>
      <c r="U1665" s="430"/>
      <c r="V1665" s="430"/>
      <c r="W1665" s="90"/>
      <c r="X1665" s="90"/>
      <c r="Y1665" s="90"/>
    </row>
    <row r="1666" spans="3:25" ht="15.75" customHeight="1">
      <c r="C1666" s="90"/>
      <c r="D1666" s="1900"/>
      <c r="E1666" s="1895"/>
      <c r="F1666" s="1896"/>
      <c r="G1666" s="1897"/>
      <c r="H1666" s="90"/>
      <c r="I1666" s="90"/>
      <c r="J1666" s="90"/>
      <c r="K1666" s="90"/>
      <c r="L1666" s="1901"/>
      <c r="M1666" s="643"/>
      <c r="N1666" s="643"/>
      <c r="O1666" s="658"/>
      <c r="P1666" s="658"/>
      <c r="Q1666" s="1899"/>
      <c r="R1666" s="430"/>
      <c r="S1666" s="430"/>
      <c r="T1666" s="430"/>
      <c r="U1666" s="430"/>
      <c r="V1666" s="430"/>
      <c r="W1666" s="90"/>
      <c r="X1666" s="90"/>
      <c r="Y1666" s="90"/>
    </row>
    <row r="1667" spans="3:25" ht="15.75" customHeight="1">
      <c r="C1667" s="90"/>
      <c r="D1667" s="1900"/>
      <c r="E1667" s="1895"/>
      <c r="F1667" s="1896"/>
      <c r="G1667" s="1897"/>
      <c r="H1667" s="90"/>
      <c r="I1667" s="90"/>
      <c r="J1667" s="90"/>
      <c r="K1667" s="90"/>
      <c r="L1667" s="1901"/>
      <c r="M1667" s="643"/>
      <c r="N1667" s="643"/>
      <c r="O1667" s="658"/>
      <c r="P1667" s="658"/>
      <c r="Q1667" s="1899"/>
      <c r="R1667" s="430"/>
      <c r="S1667" s="430"/>
      <c r="T1667" s="430"/>
      <c r="U1667" s="430"/>
      <c r="V1667" s="430"/>
      <c r="W1667" s="90"/>
      <c r="X1667" s="90"/>
      <c r="Y1667" s="90"/>
    </row>
    <row r="1668" spans="3:25" ht="15.75" customHeight="1">
      <c r="C1668" s="90"/>
      <c r="D1668" s="1900"/>
      <c r="E1668" s="1895"/>
      <c r="F1668" s="1896"/>
      <c r="G1668" s="1897"/>
      <c r="H1668" s="90"/>
      <c r="I1668" s="90"/>
      <c r="J1668" s="90"/>
      <c r="K1668" s="90"/>
      <c r="L1668" s="1901"/>
      <c r="M1668" s="643"/>
      <c r="N1668" s="643"/>
      <c r="O1668" s="658"/>
      <c r="P1668" s="658"/>
      <c r="Q1668" s="1899"/>
      <c r="R1668" s="430"/>
      <c r="S1668" s="430"/>
      <c r="T1668" s="430"/>
      <c r="U1668" s="430"/>
      <c r="V1668" s="430"/>
      <c r="W1668" s="90"/>
      <c r="X1668" s="90"/>
      <c r="Y1668" s="90"/>
    </row>
    <row r="1669" spans="3:25" ht="15.75" customHeight="1">
      <c r="C1669" s="90"/>
      <c r="D1669" s="1900"/>
      <c r="E1669" s="1895"/>
      <c r="F1669" s="1896"/>
      <c r="G1669" s="1897"/>
      <c r="H1669" s="90"/>
      <c r="I1669" s="90"/>
      <c r="J1669" s="90"/>
      <c r="K1669" s="90"/>
      <c r="L1669" s="1901"/>
      <c r="M1669" s="643"/>
      <c r="N1669" s="643"/>
      <c r="O1669" s="658"/>
      <c r="P1669" s="658"/>
      <c r="Q1669" s="1899"/>
      <c r="R1669" s="430"/>
      <c r="S1669" s="430"/>
      <c r="T1669" s="430"/>
      <c r="U1669" s="430"/>
      <c r="V1669" s="430"/>
      <c r="W1669" s="90"/>
      <c r="X1669" s="90"/>
      <c r="Y1669" s="90"/>
    </row>
    <row r="1670" spans="3:25" ht="15.75" customHeight="1">
      <c r="C1670" s="90"/>
      <c r="D1670" s="1900"/>
      <c r="E1670" s="1895"/>
      <c r="F1670" s="1896"/>
      <c r="G1670" s="1897"/>
      <c r="H1670" s="90"/>
      <c r="I1670" s="90"/>
      <c r="J1670" s="90"/>
      <c r="K1670" s="90"/>
      <c r="L1670" s="1901"/>
      <c r="M1670" s="643"/>
      <c r="N1670" s="643"/>
      <c r="O1670" s="658"/>
      <c r="P1670" s="658"/>
      <c r="Q1670" s="1899"/>
      <c r="R1670" s="430"/>
      <c r="S1670" s="430"/>
      <c r="T1670" s="430"/>
      <c r="U1670" s="430"/>
      <c r="V1670" s="430"/>
      <c r="W1670" s="90"/>
      <c r="X1670" s="90"/>
      <c r="Y1670" s="90"/>
    </row>
    <row r="1671" spans="3:25" ht="15.75" customHeight="1">
      <c r="C1671" s="90"/>
      <c r="D1671" s="1900"/>
      <c r="E1671" s="1895"/>
      <c r="F1671" s="1896"/>
      <c r="G1671" s="1897"/>
      <c r="H1671" s="90"/>
      <c r="I1671" s="90"/>
      <c r="J1671" s="90"/>
      <c r="K1671" s="90"/>
      <c r="L1671" s="1901"/>
      <c r="M1671" s="643"/>
      <c r="N1671" s="643"/>
      <c r="O1671" s="658"/>
      <c r="P1671" s="658"/>
      <c r="Q1671" s="1899"/>
      <c r="R1671" s="430"/>
      <c r="S1671" s="430"/>
      <c r="T1671" s="430"/>
      <c r="U1671" s="430"/>
      <c r="V1671" s="430"/>
      <c r="W1671" s="90"/>
      <c r="X1671" s="90"/>
      <c r="Y1671" s="90"/>
    </row>
    <row r="1672" spans="3:25" ht="15.75" customHeight="1">
      <c r="C1672" s="90"/>
      <c r="D1672" s="1900"/>
      <c r="E1672" s="1895"/>
      <c r="F1672" s="1896"/>
      <c r="G1672" s="1897"/>
      <c r="H1672" s="90"/>
      <c r="I1672" s="90"/>
      <c r="J1672" s="90"/>
      <c r="K1672" s="90"/>
      <c r="L1672" s="1901"/>
      <c r="M1672" s="643"/>
      <c r="N1672" s="643"/>
      <c r="O1672" s="658"/>
      <c r="P1672" s="658"/>
      <c r="Q1672" s="1899"/>
      <c r="R1672" s="430"/>
      <c r="S1672" s="430"/>
      <c r="T1672" s="430"/>
      <c r="U1672" s="430"/>
      <c r="V1672" s="430"/>
      <c r="W1672" s="90"/>
      <c r="X1672" s="90"/>
      <c r="Y1672" s="90"/>
    </row>
    <row r="1673" spans="3:25" ht="15.75" customHeight="1">
      <c r="C1673" s="90"/>
      <c r="D1673" s="1900"/>
      <c r="E1673" s="1895"/>
      <c r="F1673" s="1896"/>
      <c r="G1673" s="1897"/>
      <c r="H1673" s="90"/>
      <c r="I1673" s="90"/>
      <c r="J1673" s="90"/>
      <c r="K1673" s="90"/>
      <c r="L1673" s="1901"/>
      <c r="M1673" s="643"/>
      <c r="N1673" s="643"/>
      <c r="O1673" s="658"/>
      <c r="P1673" s="658"/>
      <c r="Q1673" s="1899"/>
      <c r="R1673" s="430"/>
      <c r="S1673" s="430"/>
      <c r="T1673" s="430"/>
      <c r="U1673" s="430"/>
      <c r="V1673" s="430"/>
      <c r="W1673" s="90"/>
      <c r="X1673" s="90"/>
      <c r="Y1673" s="90"/>
    </row>
    <row r="1674" spans="3:25" ht="15.75" customHeight="1">
      <c r="C1674" s="90"/>
      <c r="D1674" s="1900"/>
      <c r="E1674" s="1895"/>
      <c r="F1674" s="1896"/>
      <c r="G1674" s="1897"/>
      <c r="H1674" s="90"/>
      <c r="I1674" s="90"/>
      <c r="J1674" s="90"/>
      <c r="K1674" s="90"/>
      <c r="L1674" s="1901"/>
      <c r="M1674" s="643"/>
      <c r="N1674" s="643"/>
      <c r="O1674" s="658"/>
      <c r="P1674" s="658"/>
      <c r="Q1674" s="1899"/>
      <c r="R1674" s="430"/>
      <c r="S1674" s="430"/>
      <c r="T1674" s="430"/>
      <c r="U1674" s="430"/>
      <c r="V1674" s="430"/>
      <c r="W1674" s="90"/>
      <c r="X1674" s="90"/>
      <c r="Y1674" s="90"/>
    </row>
    <row r="1675" spans="3:25" ht="15.75" customHeight="1">
      <c r="C1675" s="90"/>
      <c r="D1675" s="1900"/>
      <c r="E1675" s="1895"/>
      <c r="F1675" s="1896"/>
      <c r="G1675" s="1897"/>
      <c r="H1675" s="90"/>
      <c r="I1675" s="90"/>
      <c r="J1675" s="90"/>
      <c r="K1675" s="90"/>
      <c r="L1675" s="1901"/>
      <c r="M1675" s="643"/>
      <c r="N1675" s="643"/>
      <c r="O1675" s="658"/>
      <c r="P1675" s="658"/>
      <c r="Q1675" s="1899"/>
      <c r="R1675" s="430"/>
      <c r="S1675" s="430"/>
      <c r="T1675" s="430"/>
      <c r="U1675" s="430"/>
      <c r="V1675" s="430"/>
      <c r="W1675" s="90"/>
      <c r="X1675" s="90"/>
      <c r="Y1675" s="90"/>
    </row>
    <row r="1676" spans="3:25" ht="15.75" customHeight="1">
      <c r="C1676" s="90"/>
      <c r="D1676" s="1900"/>
      <c r="E1676" s="1895"/>
      <c r="F1676" s="1896"/>
      <c r="G1676" s="1897"/>
      <c r="H1676" s="90"/>
      <c r="I1676" s="90"/>
      <c r="J1676" s="90"/>
      <c r="K1676" s="90"/>
      <c r="L1676" s="1901"/>
      <c r="M1676" s="643"/>
      <c r="N1676" s="643"/>
      <c r="O1676" s="658"/>
      <c r="P1676" s="658"/>
      <c r="Q1676" s="1899"/>
      <c r="R1676" s="430"/>
      <c r="S1676" s="430"/>
      <c r="T1676" s="430"/>
      <c r="U1676" s="430"/>
      <c r="V1676" s="430"/>
      <c r="W1676" s="90"/>
      <c r="X1676" s="90"/>
      <c r="Y1676" s="90"/>
    </row>
    <row r="1677" spans="3:25" ht="15.75" customHeight="1">
      <c r="C1677" s="90"/>
      <c r="D1677" s="1900"/>
      <c r="E1677" s="1895"/>
      <c r="F1677" s="1896"/>
      <c r="G1677" s="1897"/>
      <c r="H1677" s="90"/>
      <c r="I1677" s="90"/>
      <c r="J1677" s="90"/>
      <c r="K1677" s="90"/>
      <c r="L1677" s="1901"/>
      <c r="M1677" s="643"/>
      <c r="N1677" s="643"/>
      <c r="O1677" s="658"/>
      <c r="P1677" s="658"/>
      <c r="Q1677" s="1899"/>
      <c r="R1677" s="430"/>
      <c r="S1677" s="430"/>
      <c r="T1677" s="430"/>
      <c r="U1677" s="430"/>
      <c r="V1677" s="430"/>
      <c r="W1677" s="90"/>
      <c r="X1677" s="90"/>
      <c r="Y1677" s="90"/>
    </row>
    <row r="1678" spans="3:25" ht="15.75" customHeight="1">
      <c r="C1678" s="90"/>
      <c r="D1678" s="1900"/>
      <c r="E1678" s="1895"/>
      <c r="F1678" s="1896"/>
      <c r="G1678" s="1897"/>
      <c r="H1678" s="90"/>
      <c r="I1678" s="90"/>
      <c r="J1678" s="90"/>
      <c r="K1678" s="90"/>
      <c r="L1678" s="1901"/>
      <c r="M1678" s="643"/>
      <c r="N1678" s="643"/>
      <c r="O1678" s="658"/>
      <c r="P1678" s="658"/>
      <c r="Q1678" s="1899"/>
      <c r="R1678" s="430"/>
      <c r="S1678" s="430"/>
      <c r="T1678" s="430"/>
      <c r="U1678" s="430"/>
      <c r="V1678" s="430"/>
      <c r="W1678" s="90"/>
      <c r="X1678" s="90"/>
      <c r="Y1678" s="90"/>
    </row>
    <row r="1679" spans="3:25" ht="15.75" customHeight="1">
      <c r="C1679" s="90"/>
      <c r="D1679" s="1900"/>
      <c r="E1679" s="1895"/>
      <c r="F1679" s="1896"/>
      <c r="G1679" s="1897"/>
      <c r="H1679" s="90"/>
      <c r="I1679" s="90"/>
      <c r="J1679" s="90"/>
      <c r="K1679" s="90"/>
      <c r="L1679" s="1901"/>
      <c r="M1679" s="643"/>
      <c r="N1679" s="643"/>
      <c r="O1679" s="658"/>
      <c r="P1679" s="658"/>
      <c r="Q1679" s="1899"/>
      <c r="R1679" s="430"/>
      <c r="S1679" s="430"/>
      <c r="T1679" s="430"/>
      <c r="U1679" s="430"/>
      <c r="V1679" s="430"/>
      <c r="W1679" s="90"/>
      <c r="X1679" s="90"/>
      <c r="Y1679" s="90"/>
    </row>
    <row r="1680" spans="3:25" ht="15.75" customHeight="1">
      <c r="C1680" s="90"/>
      <c r="D1680" s="1900"/>
      <c r="E1680" s="1895"/>
      <c r="F1680" s="1896"/>
      <c r="G1680" s="1897"/>
      <c r="H1680" s="90"/>
      <c r="I1680" s="90"/>
      <c r="J1680" s="90"/>
      <c r="K1680" s="90"/>
      <c r="L1680" s="1901"/>
      <c r="M1680" s="643"/>
      <c r="N1680" s="643"/>
      <c r="O1680" s="658"/>
      <c r="P1680" s="658"/>
      <c r="Q1680" s="1899"/>
      <c r="R1680" s="430"/>
      <c r="S1680" s="430"/>
      <c r="T1680" s="430"/>
      <c r="U1680" s="430"/>
      <c r="V1680" s="430"/>
      <c r="W1680" s="90"/>
      <c r="X1680" s="90"/>
      <c r="Y1680" s="90"/>
    </row>
    <row r="1681" spans="3:25" ht="15.75" customHeight="1">
      <c r="C1681" s="90"/>
      <c r="D1681" s="1900"/>
      <c r="E1681" s="1895"/>
      <c r="F1681" s="1896"/>
      <c r="G1681" s="1897"/>
      <c r="H1681" s="90"/>
      <c r="I1681" s="90"/>
      <c r="J1681" s="90"/>
      <c r="K1681" s="90"/>
      <c r="L1681" s="1901"/>
      <c r="M1681" s="643"/>
      <c r="N1681" s="643"/>
      <c r="O1681" s="658"/>
      <c r="P1681" s="658"/>
      <c r="Q1681" s="1899"/>
      <c r="R1681" s="430"/>
      <c r="S1681" s="430"/>
      <c r="T1681" s="430"/>
      <c r="U1681" s="430"/>
      <c r="V1681" s="430"/>
      <c r="W1681" s="90"/>
      <c r="X1681" s="90"/>
      <c r="Y1681" s="90"/>
    </row>
    <row r="1682" spans="3:25" ht="15.75" customHeight="1">
      <c r="C1682" s="90"/>
      <c r="D1682" s="1900"/>
      <c r="E1682" s="1895"/>
      <c r="F1682" s="1896"/>
      <c r="G1682" s="1897"/>
      <c r="H1682" s="90"/>
      <c r="I1682" s="90"/>
      <c r="J1682" s="90"/>
      <c r="K1682" s="90"/>
      <c r="L1682" s="1901"/>
      <c r="M1682" s="643"/>
      <c r="N1682" s="643"/>
      <c r="O1682" s="658"/>
      <c r="P1682" s="658"/>
      <c r="Q1682" s="1899"/>
      <c r="R1682" s="430"/>
      <c r="S1682" s="430"/>
      <c r="T1682" s="430"/>
      <c r="U1682" s="430"/>
      <c r="V1682" s="430"/>
      <c r="W1682" s="90"/>
      <c r="X1682" s="90"/>
      <c r="Y1682" s="90"/>
    </row>
    <row r="1683" spans="3:25" ht="15.75" customHeight="1">
      <c r="C1683" s="90"/>
      <c r="D1683" s="1900"/>
      <c r="E1683" s="1895"/>
      <c r="F1683" s="1896"/>
      <c r="G1683" s="1897"/>
      <c r="H1683" s="90"/>
      <c r="I1683" s="90"/>
      <c r="J1683" s="90"/>
      <c r="K1683" s="90"/>
      <c r="L1683" s="1901"/>
      <c r="M1683" s="643"/>
      <c r="N1683" s="643"/>
      <c r="O1683" s="658"/>
      <c r="P1683" s="658"/>
      <c r="Q1683" s="1899"/>
      <c r="R1683" s="430"/>
      <c r="S1683" s="430"/>
      <c r="T1683" s="430"/>
      <c r="U1683" s="430"/>
      <c r="V1683" s="430"/>
      <c r="W1683" s="90"/>
      <c r="X1683" s="90"/>
      <c r="Y1683" s="90"/>
    </row>
    <row r="1684" spans="3:25" ht="15.75" customHeight="1">
      <c r="C1684" s="90"/>
      <c r="D1684" s="1900"/>
      <c r="E1684" s="1895"/>
      <c r="F1684" s="1896"/>
      <c r="G1684" s="1897"/>
      <c r="H1684" s="90"/>
      <c r="I1684" s="90"/>
      <c r="J1684" s="90"/>
      <c r="K1684" s="90"/>
      <c r="L1684" s="1901"/>
      <c r="M1684" s="643"/>
      <c r="N1684" s="643"/>
      <c r="O1684" s="658"/>
      <c r="P1684" s="658"/>
      <c r="Q1684" s="1899"/>
      <c r="R1684" s="430"/>
      <c r="S1684" s="430"/>
      <c r="T1684" s="430"/>
      <c r="U1684" s="430"/>
      <c r="V1684" s="430"/>
      <c r="W1684" s="90"/>
      <c r="X1684" s="90"/>
      <c r="Y1684" s="90"/>
    </row>
    <row r="1685" spans="3:25" ht="15.75" customHeight="1">
      <c r="C1685" s="90"/>
      <c r="D1685" s="1900"/>
      <c r="E1685" s="1895"/>
      <c r="F1685" s="1896"/>
      <c r="G1685" s="1897"/>
      <c r="H1685" s="90"/>
      <c r="I1685" s="90"/>
      <c r="J1685" s="90"/>
      <c r="K1685" s="90"/>
      <c r="L1685" s="1901"/>
      <c r="M1685" s="643"/>
      <c r="N1685" s="643"/>
      <c r="O1685" s="658"/>
      <c r="P1685" s="658"/>
      <c r="Q1685" s="1899"/>
      <c r="R1685" s="430"/>
      <c r="S1685" s="430"/>
      <c r="T1685" s="430"/>
      <c r="U1685" s="430"/>
      <c r="V1685" s="430"/>
      <c r="W1685" s="90"/>
      <c r="X1685" s="90"/>
      <c r="Y1685" s="90"/>
    </row>
    <row r="1686" spans="3:25" ht="15.75" customHeight="1">
      <c r="C1686" s="90"/>
      <c r="D1686" s="1900"/>
      <c r="E1686" s="1895"/>
      <c r="F1686" s="1896"/>
      <c r="G1686" s="1897"/>
      <c r="H1686" s="90"/>
      <c r="I1686" s="90"/>
      <c r="J1686" s="90"/>
      <c r="K1686" s="90"/>
      <c r="L1686" s="1901"/>
      <c r="M1686" s="643"/>
      <c r="N1686" s="643"/>
      <c r="O1686" s="658"/>
      <c r="P1686" s="658"/>
      <c r="Q1686" s="1899"/>
      <c r="R1686" s="430"/>
      <c r="S1686" s="430"/>
      <c r="T1686" s="430"/>
      <c r="U1686" s="430"/>
      <c r="V1686" s="430"/>
      <c r="W1686" s="90"/>
      <c r="X1686" s="90"/>
      <c r="Y1686" s="90"/>
    </row>
    <row r="1687" spans="3:25" ht="15.75" customHeight="1">
      <c r="C1687" s="90"/>
      <c r="D1687" s="1900"/>
      <c r="E1687" s="1895"/>
      <c r="F1687" s="1896"/>
      <c r="G1687" s="1897"/>
      <c r="H1687" s="90"/>
      <c r="I1687" s="90"/>
      <c r="J1687" s="90"/>
      <c r="K1687" s="90"/>
      <c r="L1687" s="1901"/>
      <c r="M1687" s="643"/>
      <c r="N1687" s="643"/>
      <c r="O1687" s="658"/>
      <c r="P1687" s="658"/>
      <c r="Q1687" s="1899"/>
      <c r="R1687" s="430"/>
      <c r="S1687" s="430"/>
      <c r="T1687" s="430"/>
      <c r="U1687" s="430"/>
      <c r="V1687" s="430"/>
      <c r="W1687" s="90"/>
      <c r="X1687" s="90"/>
      <c r="Y1687" s="90"/>
    </row>
    <row r="1688" spans="3:25" ht="15.75" customHeight="1">
      <c r="C1688" s="90"/>
      <c r="D1688" s="1900"/>
      <c r="E1688" s="1895"/>
      <c r="F1688" s="1896"/>
      <c r="G1688" s="1897"/>
      <c r="H1688" s="90"/>
      <c r="I1688" s="90"/>
      <c r="J1688" s="90"/>
      <c r="K1688" s="90"/>
      <c r="L1688" s="1901"/>
      <c r="M1688" s="643"/>
      <c r="N1688" s="643"/>
      <c r="O1688" s="658"/>
      <c r="P1688" s="658"/>
      <c r="Q1688" s="1899"/>
      <c r="R1688" s="430"/>
      <c r="S1688" s="430"/>
      <c r="T1688" s="430"/>
      <c r="U1688" s="430"/>
      <c r="V1688" s="430"/>
      <c r="W1688" s="90"/>
      <c r="X1688" s="90"/>
      <c r="Y1688" s="90"/>
    </row>
    <row r="1689" spans="3:25" ht="15.75" customHeight="1">
      <c r="C1689" s="90"/>
      <c r="D1689" s="1900"/>
      <c r="E1689" s="1895"/>
      <c r="F1689" s="1896"/>
      <c r="G1689" s="1897"/>
      <c r="H1689" s="90"/>
      <c r="I1689" s="90"/>
      <c r="J1689" s="90"/>
      <c r="K1689" s="90"/>
      <c r="L1689" s="1901"/>
      <c r="M1689" s="643"/>
      <c r="N1689" s="643"/>
      <c r="O1689" s="658"/>
      <c r="P1689" s="658"/>
      <c r="Q1689" s="1899"/>
      <c r="R1689" s="430"/>
      <c r="S1689" s="430"/>
      <c r="T1689" s="430"/>
      <c r="U1689" s="430"/>
      <c r="V1689" s="430"/>
      <c r="W1689" s="90"/>
      <c r="X1689" s="90"/>
      <c r="Y1689" s="90"/>
    </row>
    <row r="1690" spans="3:25" ht="15.75" customHeight="1">
      <c r="C1690" s="90"/>
      <c r="D1690" s="1900"/>
      <c r="E1690" s="1895"/>
      <c r="F1690" s="1896"/>
      <c r="G1690" s="1897"/>
      <c r="H1690" s="90"/>
      <c r="I1690" s="90"/>
      <c r="J1690" s="90"/>
      <c r="K1690" s="90"/>
      <c r="L1690" s="1901"/>
      <c r="M1690" s="643"/>
      <c r="N1690" s="643"/>
      <c r="O1690" s="658"/>
      <c r="P1690" s="658"/>
      <c r="Q1690" s="1899"/>
      <c r="R1690" s="430"/>
      <c r="S1690" s="430"/>
      <c r="T1690" s="430"/>
      <c r="U1690" s="430"/>
      <c r="V1690" s="430"/>
      <c r="W1690" s="90"/>
      <c r="X1690" s="90"/>
      <c r="Y1690" s="90"/>
    </row>
    <row r="1691" spans="3:25" ht="15.75" customHeight="1">
      <c r="C1691" s="90"/>
      <c r="D1691" s="1900"/>
      <c r="E1691" s="1895"/>
      <c r="F1691" s="1896"/>
      <c r="G1691" s="1897"/>
      <c r="H1691" s="90"/>
      <c r="I1691" s="90"/>
      <c r="J1691" s="90"/>
      <c r="K1691" s="90"/>
      <c r="L1691" s="1901"/>
      <c r="M1691" s="643"/>
      <c r="N1691" s="643"/>
      <c r="O1691" s="658"/>
      <c r="P1691" s="658"/>
      <c r="Q1691" s="1899"/>
      <c r="R1691" s="430"/>
      <c r="S1691" s="430"/>
      <c r="T1691" s="430"/>
      <c r="U1691" s="430"/>
      <c r="V1691" s="430"/>
      <c r="W1691" s="90"/>
      <c r="X1691" s="90"/>
      <c r="Y1691" s="90"/>
    </row>
    <row r="1692" spans="3:25" ht="15.75" customHeight="1">
      <c r="C1692" s="90"/>
      <c r="D1692" s="1900"/>
      <c r="E1692" s="1895"/>
      <c r="F1692" s="1896"/>
      <c r="G1692" s="1897"/>
      <c r="H1692" s="90"/>
      <c r="I1692" s="90"/>
      <c r="J1692" s="90"/>
      <c r="K1692" s="90"/>
      <c r="L1692" s="1901"/>
      <c r="M1692" s="643"/>
      <c r="N1692" s="643"/>
      <c r="O1692" s="658"/>
      <c r="P1692" s="658"/>
      <c r="Q1692" s="1899"/>
      <c r="R1692" s="430"/>
      <c r="S1692" s="430"/>
      <c r="T1692" s="430"/>
      <c r="U1692" s="430"/>
      <c r="V1692" s="430"/>
      <c r="W1692" s="90"/>
      <c r="X1692" s="90"/>
      <c r="Y1692" s="90"/>
    </row>
    <row r="1693" spans="3:25" ht="15.75" customHeight="1">
      <c r="C1693" s="90"/>
      <c r="D1693" s="1900"/>
      <c r="E1693" s="1895"/>
      <c r="F1693" s="1896"/>
      <c r="G1693" s="1897"/>
      <c r="H1693" s="90"/>
      <c r="I1693" s="90"/>
      <c r="J1693" s="90"/>
      <c r="K1693" s="90"/>
      <c r="L1693" s="1901"/>
      <c r="M1693" s="643"/>
      <c r="N1693" s="643"/>
      <c r="O1693" s="658"/>
      <c r="P1693" s="658"/>
      <c r="Q1693" s="1899"/>
      <c r="R1693" s="430"/>
      <c r="S1693" s="430"/>
      <c r="T1693" s="430"/>
      <c r="U1693" s="430"/>
      <c r="V1693" s="430"/>
      <c r="W1693" s="90"/>
      <c r="X1693" s="90"/>
      <c r="Y1693" s="90"/>
    </row>
    <row r="1694" spans="3:25" ht="15.75" customHeight="1">
      <c r="C1694" s="90"/>
      <c r="D1694" s="1900"/>
      <c r="E1694" s="1895"/>
      <c r="F1694" s="1896"/>
      <c r="G1694" s="1897"/>
      <c r="H1694" s="90"/>
      <c r="I1694" s="90"/>
      <c r="J1694" s="90"/>
      <c r="K1694" s="90"/>
      <c r="L1694" s="1901"/>
      <c r="M1694" s="643"/>
      <c r="N1694" s="643"/>
      <c r="O1694" s="658"/>
      <c r="P1694" s="658"/>
      <c r="Q1694" s="1899"/>
      <c r="R1694" s="430"/>
      <c r="S1694" s="430"/>
      <c r="T1694" s="430"/>
      <c r="U1694" s="430"/>
      <c r="V1694" s="430"/>
      <c r="W1694" s="90"/>
      <c r="X1694" s="90"/>
      <c r="Y1694" s="90"/>
    </row>
    <row r="1695" spans="3:25" ht="15.75" customHeight="1">
      <c r="C1695" s="90"/>
      <c r="D1695" s="1900"/>
      <c r="E1695" s="1895"/>
      <c r="F1695" s="1896"/>
      <c r="G1695" s="1897"/>
      <c r="H1695" s="90"/>
      <c r="I1695" s="90"/>
      <c r="J1695" s="90"/>
      <c r="K1695" s="90"/>
      <c r="L1695" s="1901"/>
      <c r="M1695" s="643"/>
      <c r="N1695" s="643"/>
      <c r="O1695" s="658"/>
      <c r="P1695" s="658"/>
      <c r="Q1695" s="1899"/>
      <c r="R1695" s="430"/>
      <c r="S1695" s="430"/>
      <c r="T1695" s="430"/>
      <c r="U1695" s="430"/>
      <c r="V1695" s="430"/>
      <c r="W1695" s="90"/>
      <c r="X1695" s="90"/>
      <c r="Y1695" s="90"/>
    </row>
    <row r="1696" spans="3:25" ht="15.75" customHeight="1">
      <c r="C1696" s="90"/>
      <c r="D1696" s="1900"/>
      <c r="E1696" s="1895"/>
      <c r="F1696" s="1896"/>
      <c r="G1696" s="1897"/>
      <c r="H1696" s="90"/>
      <c r="I1696" s="90"/>
      <c r="J1696" s="90"/>
      <c r="K1696" s="90"/>
      <c r="L1696" s="1901"/>
      <c r="M1696" s="643"/>
      <c r="N1696" s="643"/>
      <c r="O1696" s="658"/>
      <c r="P1696" s="658"/>
      <c r="Q1696" s="1899"/>
      <c r="R1696" s="430"/>
      <c r="S1696" s="430"/>
      <c r="T1696" s="430"/>
      <c r="U1696" s="430"/>
      <c r="V1696" s="430"/>
      <c r="W1696" s="90"/>
      <c r="X1696" s="90"/>
      <c r="Y1696" s="90"/>
    </row>
    <row r="1697" spans="3:25" ht="15.75" customHeight="1">
      <c r="C1697" s="90"/>
      <c r="D1697" s="1900"/>
      <c r="E1697" s="1895"/>
      <c r="F1697" s="1896"/>
      <c r="G1697" s="1897"/>
      <c r="H1697" s="90"/>
      <c r="I1697" s="90"/>
      <c r="J1697" s="90"/>
      <c r="K1697" s="90"/>
      <c r="L1697" s="1901"/>
      <c r="M1697" s="643"/>
      <c r="N1697" s="643"/>
      <c r="O1697" s="658"/>
      <c r="P1697" s="658"/>
      <c r="Q1697" s="1899"/>
      <c r="R1697" s="430"/>
      <c r="S1697" s="430"/>
      <c r="T1697" s="430"/>
      <c r="U1697" s="430"/>
      <c r="V1697" s="430"/>
      <c r="W1697" s="90"/>
      <c r="X1697" s="90"/>
      <c r="Y1697" s="90"/>
    </row>
    <row r="1698" spans="3:25" ht="15.75" customHeight="1">
      <c r="C1698" s="90"/>
      <c r="D1698" s="1900"/>
      <c r="E1698" s="1895"/>
      <c r="F1698" s="1896"/>
      <c r="G1698" s="1897"/>
      <c r="H1698" s="90"/>
      <c r="I1698" s="90"/>
      <c r="J1698" s="90"/>
      <c r="K1698" s="90"/>
      <c r="L1698" s="1901"/>
      <c r="M1698" s="643"/>
      <c r="N1698" s="643"/>
      <c r="O1698" s="658"/>
      <c r="P1698" s="658"/>
      <c r="Q1698" s="1899"/>
      <c r="R1698" s="430"/>
      <c r="S1698" s="430"/>
      <c r="T1698" s="430"/>
      <c r="U1698" s="430"/>
      <c r="V1698" s="430"/>
      <c r="W1698" s="90"/>
      <c r="X1698" s="90"/>
      <c r="Y1698" s="90"/>
    </row>
    <row r="1699" spans="3:25" ht="15.75" customHeight="1">
      <c r="C1699" s="90"/>
      <c r="D1699" s="1900"/>
      <c r="E1699" s="1895"/>
      <c r="F1699" s="1896"/>
      <c r="G1699" s="1897"/>
      <c r="H1699" s="90"/>
      <c r="I1699" s="90"/>
      <c r="J1699" s="90"/>
      <c r="K1699" s="90"/>
      <c r="L1699" s="1901"/>
      <c r="M1699" s="643"/>
      <c r="N1699" s="643"/>
      <c r="O1699" s="658"/>
      <c r="P1699" s="658"/>
      <c r="Q1699" s="1899"/>
      <c r="R1699" s="430"/>
      <c r="S1699" s="430"/>
      <c r="T1699" s="430"/>
      <c r="U1699" s="430"/>
      <c r="V1699" s="430"/>
      <c r="W1699" s="90"/>
      <c r="X1699" s="90"/>
      <c r="Y1699" s="90"/>
    </row>
    <row r="1700" spans="3:25" ht="15.75" customHeight="1">
      <c r="C1700" s="90"/>
      <c r="D1700" s="1900"/>
      <c r="E1700" s="1895"/>
      <c r="F1700" s="1896"/>
      <c r="G1700" s="1897"/>
      <c r="H1700" s="90"/>
      <c r="I1700" s="90"/>
      <c r="J1700" s="90"/>
      <c r="K1700" s="90"/>
      <c r="L1700" s="1901"/>
      <c r="M1700" s="643"/>
      <c r="N1700" s="643"/>
      <c r="O1700" s="658"/>
      <c r="P1700" s="658"/>
      <c r="Q1700" s="1899"/>
      <c r="R1700" s="430"/>
      <c r="S1700" s="430"/>
      <c r="T1700" s="430"/>
      <c r="U1700" s="430"/>
      <c r="V1700" s="430"/>
      <c r="W1700" s="90"/>
      <c r="X1700" s="90"/>
      <c r="Y1700" s="90"/>
    </row>
    <row r="1701" spans="3:25" ht="15.75" customHeight="1">
      <c r="C1701" s="90"/>
      <c r="D1701" s="1900"/>
      <c r="E1701" s="1895"/>
      <c r="F1701" s="1896"/>
      <c r="G1701" s="1897"/>
      <c r="H1701" s="90"/>
      <c r="I1701" s="90"/>
      <c r="J1701" s="90"/>
      <c r="K1701" s="90"/>
      <c r="L1701" s="1901"/>
      <c r="M1701" s="643"/>
      <c r="N1701" s="643"/>
      <c r="O1701" s="658"/>
      <c r="P1701" s="658"/>
      <c r="Q1701" s="1899"/>
      <c r="R1701" s="430"/>
      <c r="S1701" s="430"/>
      <c r="T1701" s="430"/>
      <c r="U1701" s="430"/>
      <c r="V1701" s="430"/>
      <c r="W1701" s="90"/>
      <c r="X1701" s="90"/>
      <c r="Y1701" s="90"/>
    </row>
    <row r="1702" spans="3:25" ht="15.75" customHeight="1">
      <c r="C1702" s="90"/>
      <c r="D1702" s="1900"/>
      <c r="E1702" s="1895"/>
      <c r="F1702" s="1896"/>
      <c r="G1702" s="1897"/>
      <c r="H1702" s="90"/>
      <c r="I1702" s="90"/>
      <c r="J1702" s="90"/>
      <c r="K1702" s="90"/>
      <c r="L1702" s="1901"/>
      <c r="M1702" s="643"/>
      <c r="N1702" s="643"/>
      <c r="O1702" s="658"/>
      <c r="P1702" s="658"/>
      <c r="Q1702" s="1899"/>
      <c r="R1702" s="430"/>
      <c r="S1702" s="430"/>
      <c r="T1702" s="430"/>
      <c r="U1702" s="430"/>
      <c r="V1702" s="430"/>
      <c r="W1702" s="90"/>
      <c r="X1702" s="90"/>
      <c r="Y1702" s="90"/>
    </row>
    <row r="1703" spans="3:25" ht="15.75" customHeight="1">
      <c r="C1703" s="90"/>
      <c r="D1703" s="1900"/>
      <c r="E1703" s="1895"/>
      <c r="F1703" s="1896"/>
      <c r="G1703" s="1897"/>
      <c r="H1703" s="90"/>
      <c r="I1703" s="90"/>
      <c r="J1703" s="90"/>
      <c r="K1703" s="90"/>
      <c r="L1703" s="1901"/>
      <c r="M1703" s="643"/>
      <c r="N1703" s="643"/>
      <c r="O1703" s="658"/>
      <c r="P1703" s="658"/>
      <c r="Q1703" s="1899"/>
      <c r="R1703" s="430"/>
      <c r="S1703" s="430"/>
      <c r="T1703" s="430"/>
      <c r="U1703" s="430"/>
      <c r="V1703" s="430"/>
      <c r="W1703" s="90"/>
      <c r="X1703" s="90"/>
      <c r="Y1703" s="90"/>
    </row>
    <row r="1704" spans="3:25" ht="15.75" customHeight="1">
      <c r="C1704" s="90"/>
      <c r="D1704" s="1900"/>
      <c r="E1704" s="1895"/>
      <c r="F1704" s="1896"/>
      <c r="G1704" s="1897"/>
      <c r="H1704" s="90"/>
      <c r="I1704" s="90"/>
      <c r="J1704" s="90"/>
      <c r="K1704" s="90"/>
      <c r="L1704" s="1901"/>
      <c r="M1704" s="643"/>
      <c r="N1704" s="643"/>
      <c r="O1704" s="658"/>
      <c r="P1704" s="658"/>
      <c r="Q1704" s="1899"/>
      <c r="R1704" s="430"/>
      <c r="S1704" s="430"/>
      <c r="T1704" s="430"/>
      <c r="U1704" s="430"/>
      <c r="V1704" s="430"/>
      <c r="W1704" s="90"/>
      <c r="X1704" s="90"/>
      <c r="Y1704" s="90"/>
    </row>
    <row r="1705" spans="3:25" ht="15.75" customHeight="1">
      <c r="C1705" s="90"/>
      <c r="D1705" s="1900"/>
      <c r="E1705" s="1895"/>
      <c r="F1705" s="1896"/>
      <c r="G1705" s="1897"/>
      <c r="H1705" s="90"/>
      <c r="I1705" s="90"/>
      <c r="J1705" s="90"/>
      <c r="K1705" s="90"/>
      <c r="L1705" s="1901"/>
      <c r="M1705" s="643"/>
      <c r="N1705" s="643"/>
      <c r="O1705" s="658"/>
      <c r="P1705" s="658"/>
      <c r="Q1705" s="1899"/>
      <c r="R1705" s="430"/>
      <c r="S1705" s="430"/>
      <c r="T1705" s="430"/>
      <c r="U1705" s="430"/>
      <c r="V1705" s="430"/>
      <c r="W1705" s="90"/>
      <c r="X1705" s="90"/>
      <c r="Y1705" s="90"/>
    </row>
    <row r="1706" spans="3:25" ht="15.75" customHeight="1">
      <c r="C1706" s="90"/>
      <c r="D1706" s="1900"/>
      <c r="E1706" s="1895"/>
      <c r="F1706" s="1896"/>
      <c r="G1706" s="1897"/>
      <c r="H1706" s="90"/>
      <c r="I1706" s="90"/>
      <c r="J1706" s="90"/>
      <c r="K1706" s="90"/>
      <c r="L1706" s="1901"/>
      <c r="M1706" s="643"/>
      <c r="N1706" s="643"/>
      <c r="O1706" s="658"/>
      <c r="P1706" s="658"/>
      <c r="Q1706" s="1899"/>
      <c r="R1706" s="430"/>
      <c r="S1706" s="430"/>
      <c r="T1706" s="430"/>
      <c r="U1706" s="430"/>
      <c r="V1706" s="430"/>
      <c r="W1706" s="90"/>
      <c r="X1706" s="90"/>
      <c r="Y1706" s="90"/>
    </row>
    <row r="1707" spans="3:25" ht="15.75" customHeight="1">
      <c r="C1707" s="90"/>
      <c r="D1707" s="1900"/>
      <c r="E1707" s="1895"/>
      <c r="F1707" s="1896"/>
      <c r="G1707" s="1897"/>
      <c r="H1707" s="90"/>
      <c r="I1707" s="90"/>
      <c r="J1707" s="90"/>
      <c r="K1707" s="90"/>
      <c r="L1707" s="1901"/>
      <c r="M1707" s="643"/>
      <c r="N1707" s="643"/>
      <c r="O1707" s="658"/>
      <c r="P1707" s="658"/>
      <c r="Q1707" s="1899"/>
      <c r="R1707" s="430"/>
      <c r="S1707" s="430"/>
      <c r="T1707" s="430"/>
      <c r="U1707" s="430"/>
      <c r="V1707" s="430"/>
      <c r="W1707" s="90"/>
      <c r="X1707" s="90"/>
      <c r="Y1707" s="90"/>
    </row>
    <row r="1708" spans="3:25" ht="15.75" customHeight="1">
      <c r="C1708" s="90"/>
      <c r="D1708" s="1900"/>
      <c r="E1708" s="1895"/>
      <c r="F1708" s="1896"/>
      <c r="G1708" s="1897"/>
      <c r="H1708" s="90"/>
      <c r="I1708" s="90"/>
      <c r="J1708" s="90"/>
      <c r="K1708" s="90"/>
      <c r="L1708" s="1901"/>
      <c r="M1708" s="643"/>
      <c r="N1708" s="643"/>
      <c r="O1708" s="658"/>
      <c r="P1708" s="658"/>
      <c r="Q1708" s="1899"/>
      <c r="R1708" s="430"/>
      <c r="S1708" s="430"/>
      <c r="T1708" s="430"/>
      <c r="U1708" s="430"/>
      <c r="V1708" s="430"/>
      <c r="W1708" s="90"/>
      <c r="X1708" s="90"/>
      <c r="Y1708" s="90"/>
    </row>
    <row r="1709" spans="3:25" ht="15.75" customHeight="1">
      <c r="C1709" s="90"/>
      <c r="D1709" s="1900"/>
      <c r="E1709" s="1895"/>
      <c r="F1709" s="1896"/>
      <c r="G1709" s="1897"/>
      <c r="H1709" s="90"/>
      <c r="I1709" s="90"/>
      <c r="J1709" s="90"/>
      <c r="K1709" s="90"/>
      <c r="L1709" s="1901"/>
      <c r="M1709" s="643"/>
      <c r="N1709" s="643"/>
      <c r="O1709" s="658"/>
      <c r="P1709" s="658"/>
      <c r="Q1709" s="1899"/>
      <c r="R1709" s="430"/>
      <c r="S1709" s="430"/>
      <c r="T1709" s="430"/>
      <c r="U1709" s="430"/>
      <c r="V1709" s="430"/>
      <c r="W1709" s="90"/>
      <c r="X1709" s="90"/>
      <c r="Y1709" s="90"/>
    </row>
    <row r="1710" spans="3:25" ht="15.75" customHeight="1">
      <c r="C1710" s="90"/>
      <c r="D1710" s="1900"/>
      <c r="E1710" s="1895"/>
      <c r="F1710" s="1896"/>
      <c r="G1710" s="1897"/>
      <c r="H1710" s="90"/>
      <c r="I1710" s="90"/>
      <c r="J1710" s="90"/>
      <c r="K1710" s="90"/>
      <c r="L1710" s="1901"/>
      <c r="M1710" s="643"/>
      <c r="N1710" s="643"/>
      <c r="O1710" s="658"/>
      <c r="P1710" s="658"/>
      <c r="Q1710" s="1899"/>
      <c r="R1710" s="430"/>
      <c r="S1710" s="430"/>
      <c r="T1710" s="430"/>
      <c r="U1710" s="430"/>
      <c r="V1710" s="430"/>
      <c r="W1710" s="90"/>
      <c r="X1710" s="90"/>
      <c r="Y1710" s="90"/>
    </row>
    <row r="1711" spans="3:25" ht="15.75" customHeight="1">
      <c r="C1711" s="90"/>
      <c r="D1711" s="1900"/>
      <c r="E1711" s="1895"/>
      <c r="F1711" s="1896"/>
      <c r="G1711" s="1897"/>
      <c r="H1711" s="90"/>
      <c r="I1711" s="90"/>
      <c r="J1711" s="90"/>
      <c r="K1711" s="90"/>
      <c r="L1711" s="1901"/>
      <c r="M1711" s="643"/>
      <c r="N1711" s="643"/>
      <c r="O1711" s="658"/>
      <c r="P1711" s="658"/>
      <c r="Q1711" s="1899"/>
      <c r="R1711" s="430"/>
      <c r="S1711" s="430"/>
      <c r="T1711" s="430"/>
      <c r="U1711" s="430"/>
      <c r="V1711" s="430"/>
      <c r="W1711" s="90"/>
      <c r="X1711" s="90"/>
      <c r="Y1711" s="90"/>
    </row>
    <row r="1712" spans="3:25" ht="15.75" customHeight="1">
      <c r="C1712" s="90"/>
      <c r="D1712" s="1900"/>
      <c r="E1712" s="1895"/>
      <c r="F1712" s="1896"/>
      <c r="G1712" s="1897"/>
      <c r="H1712" s="90"/>
      <c r="I1712" s="90"/>
      <c r="J1712" s="90"/>
      <c r="K1712" s="90"/>
      <c r="L1712" s="1901"/>
      <c r="M1712" s="643"/>
      <c r="N1712" s="643"/>
      <c r="O1712" s="658"/>
      <c r="P1712" s="658"/>
      <c r="Q1712" s="1899"/>
      <c r="R1712" s="430"/>
      <c r="S1712" s="430"/>
      <c r="T1712" s="430"/>
      <c r="U1712" s="430"/>
      <c r="V1712" s="430"/>
      <c r="W1712" s="90"/>
      <c r="X1712" s="90"/>
      <c r="Y1712" s="90"/>
    </row>
    <row r="1713" spans="3:25" ht="15.75" customHeight="1">
      <c r="C1713" s="90"/>
      <c r="D1713" s="1900"/>
      <c r="E1713" s="1895"/>
      <c r="F1713" s="1896"/>
      <c r="G1713" s="1897"/>
      <c r="H1713" s="90"/>
      <c r="I1713" s="90"/>
      <c r="J1713" s="90"/>
      <c r="K1713" s="90"/>
      <c r="L1713" s="1901"/>
      <c r="M1713" s="643"/>
      <c r="N1713" s="643"/>
      <c r="O1713" s="658"/>
      <c r="P1713" s="658"/>
      <c r="Q1713" s="1899"/>
      <c r="R1713" s="430"/>
      <c r="S1713" s="430"/>
      <c r="T1713" s="430"/>
      <c r="U1713" s="430"/>
      <c r="V1713" s="430"/>
      <c r="W1713" s="90"/>
      <c r="X1713" s="90"/>
      <c r="Y1713" s="90"/>
    </row>
    <row r="1714" spans="3:25" ht="15.75" customHeight="1">
      <c r="C1714" s="90"/>
      <c r="D1714" s="1900"/>
      <c r="E1714" s="1895"/>
      <c r="F1714" s="1896"/>
      <c r="G1714" s="1897"/>
      <c r="H1714" s="90"/>
      <c r="I1714" s="90"/>
      <c r="J1714" s="90"/>
      <c r="K1714" s="90"/>
      <c r="L1714" s="1901"/>
      <c r="M1714" s="643"/>
      <c r="N1714" s="643"/>
      <c r="O1714" s="658"/>
      <c r="P1714" s="658"/>
      <c r="Q1714" s="1899"/>
      <c r="R1714" s="430"/>
      <c r="S1714" s="430"/>
      <c r="T1714" s="430"/>
      <c r="U1714" s="430"/>
      <c r="V1714" s="430"/>
      <c r="W1714" s="90"/>
      <c r="X1714" s="90"/>
      <c r="Y1714" s="90"/>
    </row>
    <row r="1715" spans="3:25" ht="15.75" customHeight="1">
      <c r="C1715" s="90"/>
      <c r="D1715" s="1900"/>
      <c r="E1715" s="1895"/>
      <c r="F1715" s="1896"/>
      <c r="G1715" s="1897"/>
      <c r="H1715" s="90"/>
      <c r="I1715" s="90"/>
      <c r="J1715" s="90"/>
      <c r="K1715" s="90"/>
      <c r="L1715" s="1901"/>
      <c r="M1715" s="643"/>
      <c r="N1715" s="643"/>
      <c r="O1715" s="658"/>
      <c r="P1715" s="658"/>
      <c r="Q1715" s="1899"/>
      <c r="R1715" s="430"/>
      <c r="S1715" s="430"/>
      <c r="T1715" s="430"/>
      <c r="U1715" s="430"/>
      <c r="V1715" s="430"/>
      <c r="W1715" s="90"/>
      <c r="X1715" s="90"/>
      <c r="Y1715" s="90"/>
    </row>
    <row r="1716" spans="3:25" ht="15.75" customHeight="1">
      <c r="C1716" s="90"/>
      <c r="D1716" s="1900"/>
      <c r="E1716" s="1895"/>
      <c r="F1716" s="1896"/>
      <c r="G1716" s="1897"/>
      <c r="H1716" s="90"/>
      <c r="I1716" s="90"/>
      <c r="J1716" s="90"/>
      <c r="K1716" s="90"/>
      <c r="L1716" s="1901"/>
      <c r="M1716" s="643"/>
      <c r="N1716" s="643"/>
      <c r="O1716" s="658"/>
      <c r="P1716" s="658"/>
      <c r="Q1716" s="1899"/>
      <c r="R1716" s="430"/>
      <c r="S1716" s="430"/>
      <c r="T1716" s="430"/>
      <c r="U1716" s="430"/>
      <c r="V1716" s="430"/>
      <c r="W1716" s="90"/>
      <c r="X1716" s="90"/>
      <c r="Y1716" s="90"/>
    </row>
    <row r="1717" spans="3:25" ht="15.75" customHeight="1">
      <c r="C1717" s="90"/>
      <c r="D1717" s="1900"/>
      <c r="E1717" s="1895"/>
      <c r="F1717" s="1896"/>
      <c r="G1717" s="1897"/>
      <c r="H1717" s="90"/>
      <c r="I1717" s="90"/>
      <c r="J1717" s="90"/>
      <c r="K1717" s="90"/>
      <c r="L1717" s="1901"/>
      <c r="M1717" s="643"/>
      <c r="N1717" s="643"/>
      <c r="O1717" s="658"/>
      <c r="P1717" s="658"/>
      <c r="Q1717" s="1899"/>
      <c r="R1717" s="430"/>
      <c r="S1717" s="430"/>
      <c r="T1717" s="430"/>
      <c r="U1717" s="430"/>
      <c r="V1717" s="430"/>
      <c r="W1717" s="90"/>
      <c r="X1717" s="90"/>
      <c r="Y1717" s="90"/>
    </row>
    <row r="1718" spans="3:25" ht="15.75" customHeight="1">
      <c r="C1718" s="90"/>
      <c r="D1718" s="1900"/>
      <c r="E1718" s="1895"/>
      <c r="F1718" s="1896"/>
      <c r="G1718" s="1897"/>
      <c r="H1718" s="90"/>
      <c r="I1718" s="90"/>
      <c r="J1718" s="90"/>
      <c r="K1718" s="90"/>
      <c r="L1718" s="1901"/>
      <c r="M1718" s="643"/>
      <c r="N1718" s="643"/>
      <c r="O1718" s="658"/>
      <c r="P1718" s="658"/>
      <c r="Q1718" s="1899"/>
      <c r="R1718" s="430"/>
      <c r="S1718" s="430"/>
      <c r="T1718" s="430"/>
      <c r="U1718" s="430"/>
      <c r="V1718" s="430"/>
      <c r="W1718" s="90"/>
      <c r="X1718" s="90"/>
      <c r="Y1718" s="90"/>
    </row>
    <row r="1719" spans="3:25" ht="15.75" customHeight="1">
      <c r="C1719" s="90"/>
      <c r="D1719" s="1900"/>
      <c r="E1719" s="1895"/>
      <c r="F1719" s="1896"/>
      <c r="G1719" s="1897"/>
      <c r="H1719" s="90"/>
      <c r="I1719" s="90"/>
      <c r="J1719" s="90"/>
      <c r="K1719" s="90"/>
      <c r="L1719" s="1901"/>
      <c r="M1719" s="643"/>
      <c r="N1719" s="643"/>
      <c r="O1719" s="658"/>
      <c r="P1719" s="658"/>
      <c r="Q1719" s="1899"/>
      <c r="R1719" s="430"/>
      <c r="S1719" s="430"/>
      <c r="T1719" s="430"/>
      <c r="U1719" s="430"/>
      <c r="V1719" s="430"/>
      <c r="W1719" s="90"/>
      <c r="X1719" s="90"/>
      <c r="Y1719" s="90"/>
    </row>
    <row r="1720" spans="3:25" ht="15.75" customHeight="1">
      <c r="C1720" s="90"/>
      <c r="D1720" s="1900"/>
      <c r="E1720" s="1895"/>
      <c r="F1720" s="1896"/>
      <c r="G1720" s="1897"/>
      <c r="H1720" s="90"/>
      <c r="I1720" s="90"/>
      <c r="J1720" s="90"/>
      <c r="K1720" s="90"/>
      <c r="L1720" s="1901"/>
      <c r="M1720" s="643"/>
      <c r="N1720" s="643"/>
      <c r="O1720" s="658"/>
      <c r="P1720" s="658"/>
      <c r="Q1720" s="1899"/>
      <c r="R1720" s="430"/>
      <c r="S1720" s="430"/>
      <c r="T1720" s="430"/>
      <c r="U1720" s="430"/>
      <c r="V1720" s="430"/>
      <c r="W1720" s="90"/>
      <c r="X1720" s="90"/>
      <c r="Y1720" s="90"/>
    </row>
    <row r="1721" spans="3:25" ht="15.75" customHeight="1">
      <c r="C1721" s="90"/>
      <c r="D1721" s="1900"/>
      <c r="E1721" s="1895"/>
      <c r="F1721" s="1896"/>
      <c r="G1721" s="1897"/>
      <c r="H1721" s="90"/>
      <c r="I1721" s="90"/>
      <c r="J1721" s="90"/>
      <c r="K1721" s="90"/>
      <c r="L1721" s="1901"/>
      <c r="M1721" s="643"/>
      <c r="N1721" s="643"/>
      <c r="O1721" s="658"/>
      <c r="P1721" s="658"/>
      <c r="Q1721" s="1899"/>
      <c r="R1721" s="430"/>
      <c r="S1721" s="430"/>
      <c r="T1721" s="430"/>
      <c r="U1721" s="430"/>
      <c r="V1721" s="430"/>
      <c r="W1721" s="90"/>
      <c r="X1721" s="90"/>
      <c r="Y1721" s="90"/>
    </row>
    <row r="1722" spans="3:25" ht="15.75" customHeight="1">
      <c r="C1722" s="90"/>
      <c r="D1722" s="1900"/>
      <c r="E1722" s="1895"/>
      <c r="F1722" s="1896"/>
      <c r="G1722" s="1897"/>
      <c r="H1722" s="90"/>
      <c r="I1722" s="90"/>
      <c r="J1722" s="90"/>
      <c r="K1722" s="90"/>
      <c r="L1722" s="1901"/>
      <c r="M1722" s="643"/>
      <c r="N1722" s="643"/>
      <c r="O1722" s="658"/>
      <c r="P1722" s="658"/>
      <c r="Q1722" s="1899"/>
      <c r="R1722" s="430"/>
      <c r="S1722" s="430"/>
      <c r="T1722" s="430"/>
      <c r="U1722" s="430"/>
      <c r="V1722" s="430"/>
      <c r="W1722" s="90"/>
      <c r="X1722" s="90"/>
      <c r="Y1722" s="90"/>
    </row>
    <row r="1723" spans="3:25" ht="15.75" customHeight="1">
      <c r="C1723" s="90"/>
      <c r="D1723" s="1900"/>
      <c r="E1723" s="1895"/>
      <c r="F1723" s="1896"/>
      <c r="G1723" s="1897"/>
      <c r="H1723" s="90"/>
      <c r="I1723" s="90"/>
      <c r="J1723" s="90"/>
      <c r="K1723" s="90"/>
      <c r="L1723" s="1901"/>
      <c r="M1723" s="643"/>
      <c r="N1723" s="643"/>
      <c r="O1723" s="658"/>
      <c r="P1723" s="658"/>
      <c r="Q1723" s="1899"/>
      <c r="R1723" s="430"/>
      <c r="S1723" s="430"/>
      <c r="T1723" s="430"/>
      <c r="U1723" s="430"/>
      <c r="V1723" s="430"/>
      <c r="W1723" s="90"/>
      <c r="X1723" s="90"/>
      <c r="Y1723" s="90"/>
    </row>
    <row r="1724" spans="3:25" ht="15.75" customHeight="1">
      <c r="C1724" s="90"/>
      <c r="D1724" s="1900"/>
      <c r="E1724" s="1895"/>
      <c r="F1724" s="1896"/>
      <c r="G1724" s="1897"/>
      <c r="H1724" s="90"/>
      <c r="I1724" s="90"/>
      <c r="J1724" s="90"/>
      <c r="K1724" s="90"/>
      <c r="L1724" s="1901"/>
      <c r="M1724" s="643"/>
      <c r="N1724" s="643"/>
      <c r="O1724" s="658"/>
      <c r="P1724" s="658"/>
      <c r="Q1724" s="1899"/>
      <c r="R1724" s="430"/>
      <c r="S1724" s="430"/>
      <c r="T1724" s="430"/>
      <c r="U1724" s="430"/>
      <c r="V1724" s="430"/>
      <c r="W1724" s="90"/>
      <c r="X1724" s="90"/>
      <c r="Y1724" s="90"/>
    </row>
    <row r="1725" spans="3:25" ht="15.75" customHeight="1">
      <c r="C1725" s="90"/>
      <c r="D1725" s="1900"/>
      <c r="E1725" s="1895"/>
      <c r="F1725" s="1896"/>
      <c r="G1725" s="1897"/>
      <c r="H1725" s="90"/>
      <c r="I1725" s="90"/>
      <c r="J1725" s="90"/>
      <c r="K1725" s="90"/>
      <c r="L1725" s="1901"/>
      <c r="M1725" s="643"/>
      <c r="N1725" s="643"/>
      <c r="O1725" s="658"/>
      <c r="P1725" s="658"/>
      <c r="Q1725" s="1899"/>
      <c r="R1725" s="430"/>
      <c r="S1725" s="430"/>
      <c r="T1725" s="430"/>
      <c r="U1725" s="430"/>
      <c r="V1725" s="430"/>
      <c r="W1725" s="90"/>
      <c r="X1725" s="90"/>
      <c r="Y1725" s="90"/>
    </row>
    <row r="1726" spans="3:25" ht="15.75" customHeight="1">
      <c r="C1726" s="90"/>
      <c r="D1726" s="1900"/>
      <c r="E1726" s="1895"/>
      <c r="F1726" s="1896"/>
      <c r="G1726" s="1897"/>
      <c r="H1726" s="90"/>
      <c r="I1726" s="90"/>
      <c r="J1726" s="90"/>
      <c r="K1726" s="90"/>
      <c r="L1726" s="1901"/>
      <c r="M1726" s="643"/>
      <c r="N1726" s="643"/>
      <c r="O1726" s="658"/>
      <c r="P1726" s="658"/>
      <c r="Q1726" s="1899"/>
      <c r="R1726" s="430"/>
      <c r="S1726" s="430"/>
      <c r="T1726" s="430"/>
      <c r="U1726" s="430"/>
      <c r="V1726" s="430"/>
      <c r="W1726" s="90"/>
      <c r="X1726" s="90"/>
      <c r="Y1726" s="90"/>
    </row>
    <row r="1727" spans="3:25" ht="15.75" customHeight="1">
      <c r="C1727" s="90"/>
      <c r="D1727" s="1900"/>
      <c r="E1727" s="1895"/>
      <c r="F1727" s="1896"/>
      <c r="G1727" s="1897"/>
      <c r="H1727" s="90"/>
      <c r="I1727" s="90"/>
      <c r="J1727" s="90"/>
      <c r="K1727" s="90"/>
      <c r="L1727" s="1901"/>
      <c r="M1727" s="643"/>
      <c r="N1727" s="643"/>
      <c r="O1727" s="658"/>
      <c r="P1727" s="658"/>
      <c r="Q1727" s="1899"/>
      <c r="R1727" s="430"/>
      <c r="S1727" s="430"/>
      <c r="T1727" s="430"/>
      <c r="U1727" s="430"/>
      <c r="V1727" s="430"/>
      <c r="W1727" s="90"/>
      <c r="X1727" s="90"/>
      <c r="Y1727" s="90"/>
    </row>
    <row r="1728" spans="3:25" ht="15.75" customHeight="1">
      <c r="C1728" s="90"/>
      <c r="D1728" s="1900"/>
      <c r="E1728" s="1895"/>
      <c r="F1728" s="1896"/>
      <c r="G1728" s="1897"/>
      <c r="H1728" s="90"/>
      <c r="I1728" s="90"/>
      <c r="J1728" s="90"/>
      <c r="K1728" s="90"/>
      <c r="L1728" s="1901"/>
      <c r="M1728" s="643"/>
      <c r="N1728" s="643"/>
      <c r="O1728" s="658"/>
      <c r="P1728" s="658"/>
      <c r="Q1728" s="1899"/>
      <c r="R1728" s="430"/>
      <c r="S1728" s="430"/>
      <c r="T1728" s="430"/>
      <c r="U1728" s="430"/>
      <c r="V1728" s="430"/>
      <c r="W1728" s="90"/>
      <c r="X1728" s="90"/>
      <c r="Y1728" s="90"/>
    </row>
    <row r="1729" spans="3:25" ht="15.75" customHeight="1">
      <c r="C1729" s="90"/>
      <c r="D1729" s="1900"/>
      <c r="E1729" s="1895"/>
      <c r="F1729" s="1896"/>
      <c r="G1729" s="1897"/>
      <c r="H1729" s="90"/>
      <c r="I1729" s="90"/>
      <c r="J1729" s="90"/>
      <c r="K1729" s="90"/>
      <c r="L1729" s="1901"/>
      <c r="M1729" s="643"/>
      <c r="N1729" s="643"/>
      <c r="O1729" s="658"/>
      <c r="P1729" s="658"/>
      <c r="Q1729" s="1899"/>
      <c r="R1729" s="430"/>
      <c r="S1729" s="430"/>
      <c r="T1729" s="430"/>
      <c r="U1729" s="430"/>
      <c r="V1729" s="430"/>
      <c r="W1729" s="90"/>
      <c r="X1729" s="90"/>
      <c r="Y1729" s="90"/>
    </row>
    <row r="1730" spans="3:25" ht="15.75" customHeight="1">
      <c r="C1730" s="90"/>
      <c r="D1730" s="1900"/>
      <c r="E1730" s="1895"/>
      <c r="F1730" s="1896"/>
      <c r="G1730" s="1897"/>
      <c r="H1730" s="90"/>
      <c r="I1730" s="90"/>
      <c r="J1730" s="90"/>
      <c r="K1730" s="90"/>
      <c r="L1730" s="1901"/>
      <c r="M1730" s="643"/>
      <c r="N1730" s="643"/>
      <c r="O1730" s="658"/>
      <c r="P1730" s="658"/>
      <c r="Q1730" s="1899"/>
      <c r="R1730" s="430"/>
      <c r="S1730" s="430"/>
      <c r="T1730" s="430"/>
      <c r="U1730" s="430"/>
      <c r="V1730" s="430"/>
      <c r="W1730" s="90"/>
      <c r="X1730" s="90"/>
      <c r="Y1730" s="90"/>
    </row>
    <row r="1731" spans="3:25" ht="15.75" customHeight="1">
      <c r="C1731" s="90"/>
      <c r="D1731" s="1900"/>
      <c r="E1731" s="1895"/>
      <c r="F1731" s="1896"/>
      <c r="G1731" s="1897"/>
      <c r="H1731" s="90"/>
      <c r="I1731" s="90"/>
      <c r="J1731" s="90"/>
      <c r="K1731" s="90"/>
      <c r="L1731" s="1901"/>
      <c r="M1731" s="643"/>
      <c r="N1731" s="643"/>
      <c r="O1731" s="658"/>
      <c r="P1731" s="658"/>
      <c r="Q1731" s="1899"/>
      <c r="R1731" s="430"/>
      <c r="S1731" s="430"/>
      <c r="T1731" s="430"/>
      <c r="U1731" s="430"/>
      <c r="V1731" s="430"/>
      <c r="W1731" s="90"/>
      <c r="X1731" s="90"/>
      <c r="Y1731" s="90"/>
    </row>
    <row r="1732" spans="3:25" ht="15.75" customHeight="1">
      <c r="C1732" s="90"/>
      <c r="D1732" s="1900"/>
      <c r="E1732" s="1895"/>
      <c r="F1732" s="1896"/>
      <c r="G1732" s="1897"/>
      <c r="H1732" s="90"/>
      <c r="I1732" s="90"/>
      <c r="J1732" s="90"/>
      <c r="K1732" s="90"/>
      <c r="L1732" s="1901"/>
      <c r="M1732" s="643"/>
      <c r="N1732" s="643"/>
      <c r="O1732" s="658"/>
      <c r="P1732" s="658"/>
      <c r="Q1732" s="1899"/>
      <c r="R1732" s="430"/>
      <c r="S1732" s="430"/>
      <c r="T1732" s="430"/>
      <c r="U1732" s="430"/>
      <c r="V1732" s="430"/>
      <c r="W1732" s="90"/>
      <c r="X1732" s="90"/>
      <c r="Y1732" s="90"/>
    </row>
    <row r="1733" spans="3:25" ht="15.75" customHeight="1">
      <c r="C1733" s="90"/>
      <c r="D1733" s="1900"/>
      <c r="E1733" s="1895"/>
      <c r="F1733" s="1896"/>
      <c r="G1733" s="1897"/>
      <c r="H1733" s="90"/>
      <c r="I1733" s="90"/>
      <c r="J1733" s="90"/>
      <c r="K1733" s="90"/>
      <c r="L1733" s="1901"/>
      <c r="M1733" s="643"/>
      <c r="N1733" s="643"/>
      <c r="O1733" s="658"/>
      <c r="P1733" s="658"/>
      <c r="Q1733" s="1899"/>
      <c r="R1733" s="430"/>
      <c r="S1733" s="430"/>
      <c r="T1733" s="430"/>
      <c r="U1733" s="430"/>
      <c r="V1733" s="430"/>
      <c r="W1733" s="90"/>
      <c r="X1733" s="90"/>
      <c r="Y1733" s="90"/>
    </row>
    <row r="1734" spans="3:25" ht="15.75" customHeight="1">
      <c r="C1734" s="90"/>
      <c r="D1734" s="1900"/>
      <c r="E1734" s="1895"/>
      <c r="F1734" s="1896"/>
      <c r="G1734" s="1897"/>
      <c r="H1734" s="90"/>
      <c r="I1734" s="90"/>
      <c r="J1734" s="90"/>
      <c r="K1734" s="90"/>
      <c r="L1734" s="1901"/>
      <c r="M1734" s="643"/>
      <c r="N1734" s="643"/>
      <c r="O1734" s="658"/>
      <c r="P1734" s="658"/>
      <c r="Q1734" s="1899"/>
      <c r="R1734" s="430"/>
      <c r="S1734" s="430"/>
      <c r="T1734" s="430"/>
      <c r="U1734" s="430"/>
      <c r="V1734" s="430"/>
      <c r="W1734" s="90"/>
      <c r="X1734" s="90"/>
      <c r="Y1734" s="90"/>
    </row>
    <row r="1735" spans="3:25" ht="15.75" customHeight="1">
      <c r="C1735" s="90"/>
      <c r="D1735" s="1900"/>
      <c r="E1735" s="1895"/>
      <c r="F1735" s="1896"/>
      <c r="G1735" s="1897"/>
      <c r="H1735" s="90"/>
      <c r="I1735" s="90"/>
      <c r="J1735" s="90"/>
      <c r="K1735" s="90"/>
      <c r="L1735" s="1901"/>
      <c r="M1735" s="643"/>
      <c r="N1735" s="643"/>
      <c r="O1735" s="658"/>
      <c r="P1735" s="658"/>
      <c r="Q1735" s="1899"/>
      <c r="R1735" s="430"/>
      <c r="S1735" s="430"/>
      <c r="T1735" s="430"/>
      <c r="U1735" s="430"/>
      <c r="V1735" s="430"/>
      <c r="W1735" s="90"/>
      <c r="X1735" s="90"/>
      <c r="Y1735" s="90"/>
    </row>
    <row r="1736" spans="3:25" ht="15.75" customHeight="1">
      <c r="C1736" s="90"/>
      <c r="D1736" s="1900"/>
      <c r="E1736" s="1895"/>
      <c r="F1736" s="1896"/>
      <c r="G1736" s="1897"/>
      <c r="H1736" s="90"/>
      <c r="I1736" s="90"/>
      <c r="J1736" s="90"/>
      <c r="K1736" s="90"/>
      <c r="L1736" s="1901"/>
      <c r="M1736" s="643"/>
      <c r="N1736" s="643"/>
      <c r="O1736" s="658"/>
      <c r="P1736" s="658"/>
      <c r="Q1736" s="1899"/>
      <c r="R1736" s="430"/>
      <c r="S1736" s="430"/>
      <c r="T1736" s="430"/>
      <c r="U1736" s="430"/>
      <c r="V1736" s="430"/>
      <c r="W1736" s="90"/>
      <c r="X1736" s="90"/>
      <c r="Y1736" s="90"/>
    </row>
    <row r="1737" spans="3:25" ht="15.75" customHeight="1">
      <c r="C1737" s="90"/>
      <c r="D1737" s="1900"/>
      <c r="E1737" s="1895"/>
      <c r="F1737" s="1896"/>
      <c r="G1737" s="1897"/>
      <c r="H1737" s="90"/>
      <c r="I1737" s="90"/>
      <c r="J1737" s="90"/>
      <c r="K1737" s="90"/>
      <c r="L1737" s="1901"/>
      <c r="M1737" s="643"/>
      <c r="N1737" s="643"/>
      <c r="O1737" s="658"/>
      <c r="P1737" s="658"/>
      <c r="Q1737" s="1899"/>
      <c r="R1737" s="430"/>
      <c r="S1737" s="430"/>
      <c r="T1737" s="430"/>
      <c r="U1737" s="430"/>
      <c r="V1737" s="430"/>
      <c r="W1737" s="90"/>
      <c r="X1737" s="90"/>
      <c r="Y1737" s="90"/>
    </row>
    <row r="1738" spans="3:25" ht="15.75" customHeight="1">
      <c r="C1738" s="90"/>
      <c r="D1738" s="1900"/>
      <c r="E1738" s="1895"/>
      <c r="F1738" s="1896"/>
      <c r="G1738" s="1897"/>
      <c r="H1738" s="90"/>
      <c r="I1738" s="90"/>
      <c r="J1738" s="90"/>
      <c r="K1738" s="90"/>
      <c r="L1738" s="1901"/>
      <c r="M1738" s="643"/>
      <c r="N1738" s="643"/>
      <c r="O1738" s="658"/>
      <c r="P1738" s="658"/>
      <c r="Q1738" s="1899"/>
      <c r="R1738" s="430"/>
      <c r="S1738" s="430"/>
      <c r="T1738" s="430"/>
      <c r="U1738" s="430"/>
      <c r="V1738" s="430"/>
      <c r="W1738" s="90"/>
      <c r="X1738" s="90"/>
      <c r="Y1738" s="90"/>
    </row>
    <row r="1739" spans="3:25" ht="15.75" customHeight="1">
      <c r="C1739" s="90"/>
      <c r="D1739" s="1900"/>
      <c r="E1739" s="1895"/>
      <c r="F1739" s="1896"/>
      <c r="G1739" s="1897"/>
      <c r="H1739" s="90"/>
      <c r="I1739" s="90"/>
      <c r="J1739" s="90"/>
      <c r="K1739" s="90"/>
      <c r="L1739" s="1901"/>
      <c r="M1739" s="643"/>
      <c r="N1739" s="643"/>
      <c r="O1739" s="658"/>
      <c r="P1739" s="658"/>
      <c r="Q1739" s="1899"/>
      <c r="R1739" s="430"/>
      <c r="S1739" s="430"/>
      <c r="T1739" s="430"/>
      <c r="U1739" s="430"/>
      <c r="V1739" s="430"/>
      <c r="W1739" s="90"/>
      <c r="X1739" s="90"/>
      <c r="Y1739" s="90"/>
    </row>
    <row r="1740" spans="3:25" ht="15.75" customHeight="1">
      <c r="C1740" s="90"/>
      <c r="D1740" s="1900"/>
      <c r="E1740" s="1895"/>
      <c r="F1740" s="1896"/>
      <c r="G1740" s="1897"/>
      <c r="H1740" s="90"/>
      <c r="I1740" s="90"/>
      <c r="J1740" s="90"/>
      <c r="K1740" s="90"/>
      <c r="L1740" s="1901"/>
      <c r="M1740" s="643"/>
      <c r="N1740" s="643"/>
      <c r="O1740" s="658"/>
      <c r="P1740" s="658"/>
      <c r="Q1740" s="1899"/>
      <c r="R1740" s="430"/>
      <c r="S1740" s="430"/>
      <c r="T1740" s="430"/>
      <c r="U1740" s="430"/>
      <c r="V1740" s="430"/>
      <c r="W1740" s="90"/>
      <c r="X1740" s="90"/>
      <c r="Y1740" s="90"/>
    </row>
    <row r="1741" spans="3:25" ht="15.75" customHeight="1">
      <c r="C1741" s="90"/>
      <c r="D1741" s="1900"/>
      <c r="E1741" s="1895"/>
      <c r="F1741" s="1896"/>
      <c r="G1741" s="1897"/>
      <c r="H1741" s="90"/>
      <c r="I1741" s="90"/>
      <c r="J1741" s="90"/>
      <c r="K1741" s="90"/>
      <c r="L1741" s="1901"/>
      <c r="M1741" s="643"/>
      <c r="N1741" s="643"/>
      <c r="O1741" s="658"/>
      <c r="P1741" s="658"/>
      <c r="Q1741" s="1899"/>
      <c r="R1741" s="430"/>
      <c r="S1741" s="430"/>
      <c r="T1741" s="430"/>
      <c r="U1741" s="430"/>
      <c r="V1741" s="430"/>
      <c r="W1741" s="90"/>
      <c r="X1741" s="90"/>
      <c r="Y1741" s="90"/>
    </row>
    <row r="1742" spans="3:25" ht="15.75" customHeight="1">
      <c r="C1742" s="90"/>
      <c r="D1742" s="1900"/>
      <c r="E1742" s="1895"/>
      <c r="F1742" s="1896"/>
      <c r="G1742" s="1897"/>
      <c r="H1742" s="90"/>
      <c r="I1742" s="90"/>
      <c r="J1742" s="90"/>
      <c r="K1742" s="90"/>
      <c r="L1742" s="1901"/>
      <c r="M1742" s="643"/>
      <c r="N1742" s="643"/>
      <c r="O1742" s="658"/>
      <c r="P1742" s="658"/>
      <c r="Q1742" s="1899"/>
      <c r="R1742" s="430"/>
      <c r="S1742" s="430"/>
      <c r="T1742" s="430"/>
      <c r="U1742" s="430"/>
      <c r="V1742" s="430"/>
      <c r="W1742" s="90"/>
      <c r="X1742" s="90"/>
      <c r="Y1742" s="90"/>
    </row>
    <row r="1743" spans="3:25" ht="15.75" customHeight="1">
      <c r="C1743" s="90"/>
      <c r="D1743" s="1900"/>
      <c r="E1743" s="1895"/>
      <c r="F1743" s="1896"/>
      <c r="G1743" s="1897"/>
      <c r="H1743" s="90"/>
      <c r="I1743" s="90"/>
      <c r="J1743" s="90"/>
      <c r="K1743" s="90"/>
      <c r="L1743" s="1901"/>
      <c r="M1743" s="643"/>
      <c r="N1743" s="643"/>
      <c r="O1743" s="658"/>
      <c r="P1743" s="658"/>
      <c r="Q1743" s="1899"/>
      <c r="R1743" s="430"/>
      <c r="S1743" s="430"/>
      <c r="T1743" s="430"/>
      <c r="U1743" s="430"/>
      <c r="V1743" s="430"/>
      <c r="W1743" s="90"/>
      <c r="X1743" s="90"/>
      <c r="Y1743" s="90"/>
    </row>
    <row r="1744" spans="3:25" ht="15.75" customHeight="1">
      <c r="C1744" s="90"/>
      <c r="D1744" s="1900"/>
      <c r="E1744" s="1895"/>
      <c r="F1744" s="1896"/>
      <c r="G1744" s="1897"/>
      <c r="H1744" s="90"/>
      <c r="I1744" s="90"/>
      <c r="J1744" s="90"/>
      <c r="K1744" s="90"/>
      <c r="L1744" s="1901"/>
      <c r="M1744" s="643"/>
      <c r="N1744" s="643"/>
      <c r="O1744" s="658"/>
      <c r="P1744" s="658"/>
      <c r="Q1744" s="1899"/>
      <c r="R1744" s="430"/>
      <c r="S1744" s="430"/>
      <c r="T1744" s="430"/>
      <c r="U1744" s="430"/>
      <c r="V1744" s="430"/>
      <c r="W1744" s="90"/>
      <c r="X1744" s="90"/>
      <c r="Y1744" s="90"/>
    </row>
    <row r="1745" spans="3:25" ht="15.75" customHeight="1">
      <c r="C1745" s="90"/>
      <c r="D1745" s="1900"/>
      <c r="E1745" s="1895"/>
      <c r="F1745" s="1896"/>
      <c r="G1745" s="1897"/>
      <c r="H1745" s="90"/>
      <c r="I1745" s="90"/>
      <c r="J1745" s="90"/>
      <c r="K1745" s="90"/>
      <c r="L1745" s="1901"/>
      <c r="M1745" s="643"/>
      <c r="N1745" s="643"/>
      <c r="O1745" s="658"/>
      <c r="P1745" s="658"/>
      <c r="Q1745" s="1899"/>
      <c r="R1745" s="430"/>
      <c r="S1745" s="430"/>
      <c r="T1745" s="430"/>
      <c r="U1745" s="430"/>
      <c r="V1745" s="430"/>
      <c r="W1745" s="90"/>
      <c r="X1745" s="90"/>
      <c r="Y1745" s="90"/>
    </row>
    <row r="1746" spans="3:25" ht="15.75" customHeight="1">
      <c r="C1746" s="90"/>
      <c r="D1746" s="1900"/>
      <c r="E1746" s="1895"/>
      <c r="F1746" s="1896"/>
      <c r="G1746" s="1897"/>
      <c r="H1746" s="90"/>
      <c r="I1746" s="90"/>
      <c r="J1746" s="90"/>
      <c r="K1746" s="90"/>
      <c r="L1746" s="1901"/>
      <c r="M1746" s="643"/>
      <c r="N1746" s="643"/>
      <c r="O1746" s="658"/>
      <c r="P1746" s="658"/>
      <c r="Q1746" s="1899"/>
      <c r="R1746" s="430"/>
      <c r="S1746" s="430"/>
      <c r="T1746" s="430"/>
      <c r="U1746" s="430"/>
      <c r="V1746" s="430"/>
      <c r="W1746" s="90"/>
      <c r="X1746" s="90"/>
      <c r="Y1746" s="90"/>
    </row>
    <row r="1747" spans="3:25" ht="15.75" customHeight="1">
      <c r="C1747" s="90"/>
      <c r="D1747" s="1900"/>
      <c r="E1747" s="1895"/>
      <c r="F1747" s="1896"/>
      <c r="G1747" s="1897"/>
      <c r="H1747" s="90"/>
      <c r="I1747" s="90"/>
      <c r="J1747" s="90"/>
      <c r="K1747" s="90"/>
      <c r="L1747" s="1901"/>
      <c r="M1747" s="643"/>
      <c r="N1747" s="643"/>
      <c r="O1747" s="658"/>
      <c r="P1747" s="658"/>
      <c r="Q1747" s="1899"/>
      <c r="R1747" s="430"/>
      <c r="S1747" s="430"/>
      <c r="T1747" s="430"/>
      <c r="U1747" s="430"/>
      <c r="V1747" s="430"/>
      <c r="W1747" s="90"/>
      <c r="X1747" s="90"/>
      <c r="Y1747" s="90"/>
    </row>
    <row r="1748" spans="3:25" ht="15.75" customHeight="1">
      <c r="C1748" s="90"/>
      <c r="D1748" s="1900"/>
      <c r="E1748" s="1895"/>
      <c r="F1748" s="1896"/>
      <c r="G1748" s="1897"/>
      <c r="H1748" s="90"/>
      <c r="I1748" s="90"/>
      <c r="J1748" s="90"/>
      <c r="K1748" s="90"/>
      <c r="L1748" s="1901"/>
      <c r="M1748" s="643"/>
      <c r="N1748" s="643"/>
      <c r="O1748" s="658"/>
      <c r="P1748" s="658"/>
      <c r="Q1748" s="1899"/>
      <c r="R1748" s="430"/>
      <c r="S1748" s="430"/>
      <c r="T1748" s="430"/>
      <c r="U1748" s="430"/>
      <c r="V1748" s="430"/>
      <c r="W1748" s="90"/>
      <c r="X1748" s="90"/>
      <c r="Y1748" s="90"/>
    </row>
    <row r="1749" spans="3:25" ht="15.75" customHeight="1">
      <c r="C1749" s="90"/>
      <c r="D1749" s="1900"/>
      <c r="E1749" s="1895"/>
      <c r="F1749" s="1896"/>
      <c r="G1749" s="1897"/>
      <c r="H1749" s="90"/>
      <c r="I1749" s="90"/>
      <c r="J1749" s="90"/>
      <c r="K1749" s="90"/>
      <c r="L1749" s="1901"/>
      <c r="M1749" s="643"/>
      <c r="N1749" s="643"/>
      <c r="O1749" s="658"/>
      <c r="P1749" s="658"/>
      <c r="Q1749" s="1899"/>
      <c r="R1749" s="430"/>
      <c r="S1749" s="430"/>
      <c r="T1749" s="430"/>
      <c r="U1749" s="430"/>
      <c r="V1749" s="430"/>
      <c r="W1749" s="90"/>
      <c r="X1749" s="90"/>
      <c r="Y1749" s="90"/>
    </row>
    <row r="1750" spans="3:25" ht="15.75" customHeight="1">
      <c r="C1750" s="90"/>
      <c r="D1750" s="1900"/>
      <c r="E1750" s="1895"/>
      <c r="F1750" s="1896"/>
      <c r="G1750" s="1897"/>
      <c r="H1750" s="90"/>
      <c r="I1750" s="90"/>
      <c r="J1750" s="90"/>
      <c r="K1750" s="90"/>
      <c r="L1750" s="1901"/>
      <c r="M1750" s="643"/>
      <c r="N1750" s="643"/>
      <c r="O1750" s="658"/>
      <c r="P1750" s="658"/>
      <c r="Q1750" s="1899"/>
      <c r="R1750" s="430"/>
      <c r="S1750" s="430"/>
      <c r="T1750" s="430"/>
      <c r="U1750" s="430"/>
      <c r="V1750" s="430"/>
      <c r="W1750" s="90"/>
      <c r="X1750" s="90"/>
      <c r="Y1750" s="90"/>
    </row>
    <row r="1751" spans="3:25" ht="15.75" customHeight="1">
      <c r="C1751" s="90"/>
      <c r="D1751" s="1900"/>
      <c r="E1751" s="1895"/>
      <c r="F1751" s="1896"/>
      <c r="G1751" s="1897"/>
      <c r="H1751" s="90"/>
      <c r="I1751" s="90"/>
      <c r="J1751" s="90"/>
      <c r="K1751" s="90"/>
      <c r="L1751" s="1901"/>
      <c r="M1751" s="643"/>
      <c r="N1751" s="643"/>
      <c r="O1751" s="658"/>
      <c r="P1751" s="658"/>
      <c r="Q1751" s="1899"/>
      <c r="R1751" s="430"/>
      <c r="S1751" s="430"/>
      <c r="T1751" s="430"/>
      <c r="U1751" s="430"/>
      <c r="V1751" s="430"/>
      <c r="W1751" s="90"/>
      <c r="X1751" s="90"/>
      <c r="Y1751" s="90"/>
    </row>
  </sheetData>
  <customSheetViews>
    <customSheetView guid="{E35DC7DC-3457-48C8-A5BC-48210E8789BE}" filter="1" showAutoFilter="1">
      <pageMargins left="0.7" right="0.7" top="0.75" bottom="0.75" header="0.3" footer="0.3"/>
      <autoFilter ref="A1:AF225">
        <filterColumn colId="2">
          <filters>
            <filter val="LPS"/>
          </filters>
        </filterColumn>
      </autoFilter>
    </customSheetView>
  </customSheetViews>
  <conditionalFormatting sqref="O323">
    <cfRule type="expression" dxfId="2212" priority="1">
      <formula>AND(ISNUMBER(O323),TRUNC(O323)&lt;TODAY())</formula>
    </cfRule>
  </conditionalFormatting>
  <conditionalFormatting sqref="Q323">
    <cfRule type="expression" dxfId="2211" priority="2">
      <formula>AND(ISNUMBER(Q323),TRUNC(Q323)&lt;TODAY())</formula>
    </cfRule>
  </conditionalFormatting>
  <conditionalFormatting sqref="P323">
    <cfRule type="expression" dxfId="2210" priority="3">
      <formula>AND(ISNUMBER(P323),TRUNC(P323)&lt;TODAY())</formula>
    </cfRule>
  </conditionalFormatting>
  <conditionalFormatting sqref="V323">
    <cfRule type="notContainsBlanks" dxfId="2209" priority="4">
      <formula>LEN(TRIM(V323))&gt;0</formula>
    </cfRule>
  </conditionalFormatting>
  <conditionalFormatting sqref="F323">
    <cfRule type="containsText" dxfId="2208" priority="5" operator="containsText" text="F">
      <formula>NOT(ISERROR(SEARCH(("F"),(F323))))</formula>
    </cfRule>
  </conditionalFormatting>
  <conditionalFormatting sqref="F91">
    <cfRule type="containsText" dxfId="2207" priority="6" operator="containsText" text="F">
      <formula>NOT(ISERROR(SEARCH(("F"),(F91))))</formula>
    </cfRule>
  </conditionalFormatting>
  <conditionalFormatting sqref="O91">
    <cfRule type="expression" dxfId="2206" priority="7">
      <formula>AND(ISNUMBER(O91),TRUNC(O91)&lt;TODAY())</formula>
    </cfRule>
  </conditionalFormatting>
  <conditionalFormatting sqref="P91">
    <cfRule type="expression" dxfId="2205" priority="8">
      <formula>AND(ISNUMBER(P91),TRUNC(P91)&lt;TODAY())</formula>
    </cfRule>
  </conditionalFormatting>
  <conditionalFormatting sqref="O71">
    <cfRule type="expression" dxfId="2204" priority="9">
      <formula>AND(ISNUMBER(O71),TRUNC(O71)&lt;TODAY())</formula>
    </cfRule>
  </conditionalFormatting>
  <conditionalFormatting sqref="Q71">
    <cfRule type="expression" dxfId="2203" priority="10">
      <formula>AND(ISNUMBER(Q71),TRUNC(Q71)&lt;TODAY())</formula>
    </cfRule>
  </conditionalFormatting>
  <conditionalFormatting sqref="P71">
    <cfRule type="expression" dxfId="2202" priority="11">
      <formula>AND(ISNUMBER(P71),TRUNC(P71)&lt;TODAY())</formula>
    </cfRule>
  </conditionalFormatting>
  <conditionalFormatting sqref="F71">
    <cfRule type="containsText" dxfId="2201" priority="12" operator="containsText" text="F">
      <formula>NOT(ISERROR(SEARCH(("F"),(F71))))</formula>
    </cfRule>
  </conditionalFormatting>
  <conditionalFormatting sqref="O89:Q89">
    <cfRule type="expression" dxfId="2200" priority="13">
      <formula>AND(ISNUMBER(O89),TRUNC(O89)&lt;TODAY())</formula>
    </cfRule>
  </conditionalFormatting>
  <conditionalFormatting sqref="O90:Q90">
    <cfRule type="expression" dxfId="2199" priority="14">
      <formula>AND(ISNUMBER(O90),TRUNC(O90)&lt;TODAY())</formula>
    </cfRule>
  </conditionalFormatting>
  <conditionalFormatting sqref="F70">
    <cfRule type="containsText" dxfId="2198" priority="15" operator="containsText" text="F">
      <formula>NOT(ISERROR(SEARCH(("F"),(F70))))</formula>
    </cfRule>
  </conditionalFormatting>
  <conditionalFormatting sqref="O70:Q70">
    <cfRule type="expression" dxfId="2197" priority="16">
      <formula>AND(ISNUMBER(O70),TRUNC(O70)&lt;TODAY())</formula>
    </cfRule>
  </conditionalFormatting>
  <conditionalFormatting sqref="F69">
    <cfRule type="containsText" dxfId="2196" priority="17" operator="containsText" text="F">
      <formula>NOT(ISERROR(SEARCH(("F"),(F69))))</formula>
    </cfRule>
  </conditionalFormatting>
  <conditionalFormatting sqref="O69:Q69">
    <cfRule type="expression" dxfId="2195" priority="18">
      <formula>AND(ISNUMBER(O69),TRUNC(O69)&lt;TODAY())</formula>
    </cfRule>
  </conditionalFormatting>
  <conditionalFormatting sqref="Q68">
    <cfRule type="expression" dxfId="2194" priority="19">
      <formula>AND(ISNUMBER(Q68),TRUNC(Q68)&lt;TODAY())</formula>
    </cfRule>
  </conditionalFormatting>
  <conditionalFormatting sqref="O68:Q68">
    <cfRule type="expression" dxfId="2193" priority="20">
      <formula>AND(ISNUMBER(O68),TRUNC(O68)&lt;TODAY())</formula>
    </cfRule>
  </conditionalFormatting>
  <conditionalFormatting sqref="F67">
    <cfRule type="containsText" dxfId="2192" priority="21" operator="containsText" text="F">
      <formula>NOT(ISERROR(SEARCH(("F"),(F67))))</formula>
    </cfRule>
  </conditionalFormatting>
  <conditionalFormatting sqref="O67:Q67">
    <cfRule type="expression" dxfId="2191" priority="22">
      <formula>AND(ISNUMBER(O67),TRUNC(O67)&lt;TODAY())</formula>
    </cfRule>
  </conditionalFormatting>
  <conditionalFormatting sqref="F66">
    <cfRule type="containsText" dxfId="2190" priority="23" operator="containsText" text="F">
      <formula>NOT(ISERROR(SEARCH(("F"),(F66))))</formula>
    </cfRule>
  </conditionalFormatting>
  <conditionalFormatting sqref="O66:Q66">
    <cfRule type="expression" dxfId="2189" priority="24">
      <formula>AND(ISNUMBER(O66),TRUNC(O66)&lt;TODAY())</formula>
    </cfRule>
  </conditionalFormatting>
  <conditionalFormatting sqref="V322">
    <cfRule type="notContainsBlanks" dxfId="2188" priority="25">
      <formula>LEN(TRIM(V322))&gt;0</formula>
    </cfRule>
  </conditionalFormatting>
  <conditionalFormatting sqref="F322">
    <cfRule type="containsText" dxfId="2187" priority="26" operator="containsText" text="F">
      <formula>NOT(ISERROR(SEARCH(("F"),(F322))))</formula>
    </cfRule>
  </conditionalFormatting>
  <conditionalFormatting sqref="P322">
    <cfRule type="expression" dxfId="2186" priority="27">
      <formula>AND(ISNUMBER(P322),TRUNC(P322)&lt;TODAY())</formula>
    </cfRule>
  </conditionalFormatting>
  <conditionalFormatting sqref="P322">
    <cfRule type="expression" dxfId="2185" priority="28">
      <formula>AND(ISNUMBER(P322),TRUNC(P322)&lt;TODAY())</formula>
    </cfRule>
  </conditionalFormatting>
  <conditionalFormatting sqref="O322">
    <cfRule type="expression" dxfId="2184" priority="29">
      <formula>AND(ISNUMBER(O322),TRUNC(O322)&lt;TODAY())</formula>
    </cfRule>
  </conditionalFormatting>
  <conditionalFormatting sqref="Q322">
    <cfRule type="expression" dxfId="2183" priority="30">
      <formula>AND(ISNUMBER(Q322),TRUNC(Q322)&lt;TODAY())</formula>
    </cfRule>
  </conditionalFormatting>
  <conditionalFormatting sqref="F321">
    <cfRule type="containsText" dxfId="2182" priority="31" operator="containsText" text="F">
      <formula>NOT(ISERROR(SEARCH(("F"),(F321))))</formula>
    </cfRule>
  </conditionalFormatting>
  <conditionalFormatting sqref="O321">
    <cfRule type="expression" dxfId="2181" priority="32">
      <formula>AND(ISNUMBER(O321),TRUNC(O321)&lt;TODAY())</formula>
    </cfRule>
  </conditionalFormatting>
  <conditionalFormatting sqref="Q321">
    <cfRule type="expression" dxfId="2180" priority="33">
      <formula>AND(ISNUMBER(Q321),TRUNC(Q321)&lt;TODAY())</formula>
    </cfRule>
  </conditionalFormatting>
  <conditionalFormatting sqref="P321">
    <cfRule type="expression" dxfId="2179" priority="34">
      <formula>AND(ISNUMBER(P321),TRUNC(P321)&lt;TODAY())</formula>
    </cfRule>
  </conditionalFormatting>
  <conditionalFormatting sqref="P88">
    <cfRule type="expression" dxfId="2178" priority="35">
      <formula>AND(ISNUMBER(P88),TRUNC(P88)&lt;TODAY())</formula>
    </cfRule>
  </conditionalFormatting>
  <conditionalFormatting sqref="Q88">
    <cfRule type="expression" dxfId="2177" priority="36">
      <formula>AND(ISNUMBER(Q88),TRUNC(Q88)&lt;TODAY())</formula>
    </cfRule>
  </conditionalFormatting>
  <conditionalFormatting sqref="O88">
    <cfRule type="expression" dxfId="2176" priority="37">
      <formula>AND(ISNUMBER(O88),TRUNC(O88)&lt;TODAY())</formula>
    </cfRule>
  </conditionalFormatting>
  <conditionalFormatting sqref="F88">
    <cfRule type="containsText" dxfId="2175" priority="38" operator="containsText" text="F">
      <formula>NOT(ISERROR(SEARCH(("F"),(F88))))</formula>
    </cfRule>
  </conditionalFormatting>
  <conditionalFormatting sqref="O87:Q87">
    <cfRule type="expression" dxfId="2174" priority="39">
      <formula>AND(ISNUMBER(O87),TRUNC(O87)&lt;TODAY())</formula>
    </cfRule>
  </conditionalFormatting>
  <conditionalFormatting sqref="F87">
    <cfRule type="containsText" dxfId="2173" priority="40" operator="containsText" text="F">
      <formula>NOT(ISERROR(SEARCH(("F"),(F87))))</formula>
    </cfRule>
  </conditionalFormatting>
  <conditionalFormatting sqref="F104">
    <cfRule type="containsText" dxfId="2172" priority="41" operator="containsText" text="F">
      <formula>NOT(ISERROR(SEARCH(("F"),(F104))))</formula>
    </cfRule>
  </conditionalFormatting>
  <conditionalFormatting sqref="F105">
    <cfRule type="containsText" dxfId="2171" priority="42" operator="containsText" text="F">
      <formula>NOT(ISERROR(SEARCH(("F"),(F105))))</formula>
    </cfRule>
  </conditionalFormatting>
  <conditionalFormatting sqref="O104:Q105">
    <cfRule type="expression" dxfId="2170" priority="43">
      <formula>AND(ISNUMBER(O104),TRUNC(O104)&lt;TODAY())</formula>
    </cfRule>
  </conditionalFormatting>
  <conditionalFormatting sqref="F103">
    <cfRule type="containsText" dxfId="2169" priority="44" operator="containsText" text="F">
      <formula>NOT(ISERROR(SEARCH(("F"),(F103))))</formula>
    </cfRule>
  </conditionalFormatting>
  <conditionalFormatting sqref="P103">
    <cfRule type="expression" dxfId="2168" priority="45">
      <formula>AND(ISNUMBER(P103),TRUNC(P103)&lt;TODAY())</formula>
    </cfRule>
  </conditionalFormatting>
  <conditionalFormatting sqref="O103">
    <cfRule type="expression" dxfId="2167" priority="46">
      <formula>AND(ISNUMBER(O103),TRUNC(O103)&lt;TODAY())</formula>
    </cfRule>
  </conditionalFormatting>
  <conditionalFormatting sqref="Q103">
    <cfRule type="expression" dxfId="2166" priority="47">
      <formula>AND(ISNUMBER(Q103),TRUNC(Q103)&lt;TODAY())</formula>
    </cfRule>
  </conditionalFormatting>
  <conditionalFormatting sqref="Q165">
    <cfRule type="expression" dxfId="2165" priority="48">
      <formula>AND(ISNUMBER(Q165),TRUNC(Q165)&lt;TODAY())</formula>
    </cfRule>
  </conditionalFormatting>
  <conditionalFormatting sqref="P165">
    <cfRule type="expression" dxfId="2164" priority="49">
      <formula>AND(ISNUMBER(P165),TRUNC(P165)&lt;TODAY())</formula>
    </cfRule>
  </conditionalFormatting>
  <conditionalFormatting sqref="O165">
    <cfRule type="expression" dxfId="2163" priority="50">
      <formula>AND(ISNUMBER(O165),TRUNC(O165)&lt;TODAY())</formula>
    </cfRule>
  </conditionalFormatting>
  <conditionalFormatting sqref="F165">
    <cfRule type="containsText" dxfId="2162" priority="51" operator="containsText" text="F">
      <formula>NOT(ISERROR(SEARCH(("F"),(F165))))</formula>
    </cfRule>
  </conditionalFormatting>
  <conditionalFormatting sqref="O65:Q65">
    <cfRule type="expression" dxfId="2161" priority="52">
      <formula>AND(ISNUMBER(O65),TRUNC(O65)&lt;TODAY())</formula>
    </cfRule>
  </conditionalFormatting>
  <conditionalFormatting sqref="F65">
    <cfRule type="containsText" dxfId="2160" priority="53" operator="containsText" text="F">
      <formula>NOT(ISERROR(SEARCH(("F"),(F65))))</formula>
    </cfRule>
  </conditionalFormatting>
  <conditionalFormatting sqref="F64">
    <cfRule type="containsText" dxfId="2159" priority="54" operator="containsText" text="F">
      <formula>NOT(ISERROR(SEARCH(("F"),(F64))))</formula>
    </cfRule>
  </conditionalFormatting>
  <conditionalFormatting sqref="O64:Q64">
    <cfRule type="expression" dxfId="2158" priority="55">
      <formula>AND(ISNUMBER(O64),TRUNC(O64)&lt;TODAY())</formula>
    </cfRule>
  </conditionalFormatting>
  <conditionalFormatting sqref="O63:Q63">
    <cfRule type="expression" dxfId="2157" priority="56">
      <formula>AND(ISNUMBER(O63),TRUNC(O63)&lt;TODAY())</formula>
    </cfRule>
  </conditionalFormatting>
  <conditionalFormatting sqref="F63">
    <cfRule type="containsText" dxfId="2156" priority="57" operator="containsText" text="F">
      <formula>NOT(ISERROR(SEARCH(("F"),(F63))))</formula>
    </cfRule>
  </conditionalFormatting>
  <conditionalFormatting sqref="O62:Q62">
    <cfRule type="expression" dxfId="2155" priority="58">
      <formula>AND(ISNUMBER(O62),TRUNC(O62)&lt;TODAY())</formula>
    </cfRule>
  </conditionalFormatting>
  <conditionalFormatting sqref="F62">
    <cfRule type="containsText" dxfId="2154" priority="59" operator="containsText" text="F">
      <formula>NOT(ISERROR(SEARCH(("F"),(F62))))</formula>
    </cfRule>
  </conditionalFormatting>
  <conditionalFormatting sqref="O61">
    <cfRule type="expression" dxfId="2153" priority="60">
      <formula>AND(ISNUMBER(O61),TRUNC(O61)&lt;TODAY())</formula>
    </cfRule>
  </conditionalFormatting>
  <conditionalFormatting sqref="P61">
    <cfRule type="expression" dxfId="2152" priority="61">
      <formula>AND(ISNUMBER(P61),TRUNC(P61)&lt;TODAY())</formula>
    </cfRule>
  </conditionalFormatting>
  <conditionalFormatting sqref="Q61">
    <cfRule type="expression" dxfId="2151" priority="62">
      <formula>AND(ISNUMBER(Q61),TRUNC(Q61)&lt;TODAY())</formula>
    </cfRule>
  </conditionalFormatting>
  <conditionalFormatting sqref="Q61">
    <cfRule type="expression" dxfId="2150" priority="63">
      <formula>AND(ISNUMBER(Q61),TRUNC(Q61)&lt;TODAY())</formula>
    </cfRule>
  </conditionalFormatting>
  <conditionalFormatting sqref="F61">
    <cfRule type="containsText" dxfId="2149" priority="64" operator="containsText" text="F">
      <formula>NOT(ISERROR(SEARCH(("F"),(F61))))</formula>
    </cfRule>
  </conditionalFormatting>
  <conditionalFormatting sqref="F60">
    <cfRule type="containsText" dxfId="2148" priority="65" operator="containsText" text="F">
      <formula>NOT(ISERROR(SEARCH(("F"),(F60))))</formula>
    </cfRule>
  </conditionalFormatting>
  <conditionalFormatting sqref="O60:Q60">
    <cfRule type="expression" dxfId="2147" priority="66">
      <formula>AND(ISNUMBER(O60),TRUNC(O60)&lt;TODAY())</formula>
    </cfRule>
  </conditionalFormatting>
  <conditionalFormatting sqref="F59">
    <cfRule type="containsText" dxfId="2146" priority="67" operator="containsText" text="F">
      <formula>NOT(ISERROR(SEARCH(("F"),(F59))))</formula>
    </cfRule>
  </conditionalFormatting>
  <conditionalFormatting sqref="O59:Q59">
    <cfRule type="expression" dxfId="2145" priority="68">
      <formula>AND(ISNUMBER(O59),TRUNC(O59)&lt;TODAY())</formula>
    </cfRule>
  </conditionalFormatting>
  <conditionalFormatting sqref="O58:Q58">
    <cfRule type="expression" dxfId="2144" priority="69">
      <formula>AND(ISNUMBER(O58),TRUNC(O58)&lt;TODAY())</formula>
    </cfRule>
  </conditionalFormatting>
  <conditionalFormatting sqref="F58">
    <cfRule type="containsText" dxfId="2143" priority="70" operator="containsText" text="F">
      <formula>NOT(ISERROR(SEARCH(("F"),(F58))))</formula>
    </cfRule>
  </conditionalFormatting>
  <conditionalFormatting sqref="O57:Q57">
    <cfRule type="expression" dxfId="2142" priority="71">
      <formula>AND(ISNUMBER(O57),TRUNC(O57)&lt;TODAY())</formula>
    </cfRule>
  </conditionalFormatting>
  <conditionalFormatting sqref="F57">
    <cfRule type="containsText" dxfId="2141" priority="72" operator="containsText" text="F">
      <formula>NOT(ISERROR(SEARCH(("F"),(F57))))</formula>
    </cfRule>
  </conditionalFormatting>
  <conditionalFormatting sqref="F56">
    <cfRule type="containsText" dxfId="2140" priority="73" operator="containsText" text="F">
      <formula>NOT(ISERROR(SEARCH(("F"),(F56))))</formula>
    </cfRule>
  </conditionalFormatting>
  <conditionalFormatting sqref="O56:Q56">
    <cfRule type="expression" dxfId="2139" priority="74">
      <formula>AND(ISNUMBER(O56),TRUNC(O56)&lt;TODAY())</formula>
    </cfRule>
  </conditionalFormatting>
  <conditionalFormatting sqref="O55:Q55">
    <cfRule type="expression" dxfId="2138" priority="75">
      <formula>AND(ISNUMBER(O55),TRUNC(O55)&lt;TODAY())</formula>
    </cfRule>
  </conditionalFormatting>
  <conditionalFormatting sqref="F55">
    <cfRule type="containsText" dxfId="2137" priority="76" operator="containsText" text="F">
      <formula>NOT(ISERROR(SEARCH(("F"),(F55))))</formula>
    </cfRule>
  </conditionalFormatting>
  <conditionalFormatting sqref="F54">
    <cfRule type="containsText" dxfId="2136" priority="77" operator="containsText" text="F">
      <formula>NOT(ISERROR(SEARCH(("F"),(F54))))</formula>
    </cfRule>
  </conditionalFormatting>
  <conditionalFormatting sqref="O54:Q54">
    <cfRule type="expression" dxfId="2135" priority="78">
      <formula>AND(ISNUMBER(O54),TRUNC(O54)&lt;TODAY())</formula>
    </cfRule>
  </conditionalFormatting>
  <conditionalFormatting sqref="F53">
    <cfRule type="containsText" dxfId="2134" priority="79" operator="containsText" text="F">
      <formula>NOT(ISERROR(SEARCH(("F"),(F53))))</formula>
    </cfRule>
  </conditionalFormatting>
  <conditionalFormatting sqref="O53:Q53">
    <cfRule type="expression" dxfId="2133" priority="80">
      <formula>AND(ISNUMBER(O53),TRUNC(O53)&lt;TODAY())</formula>
    </cfRule>
  </conditionalFormatting>
  <conditionalFormatting sqref="F102">
    <cfRule type="containsText" dxfId="2132" priority="81" operator="containsText" text="F">
      <formula>NOT(ISERROR(SEARCH(("F"),(F102))))</formula>
    </cfRule>
  </conditionalFormatting>
  <conditionalFormatting sqref="O102:Q102">
    <cfRule type="expression" dxfId="2131" priority="82">
      <formula>AND(ISNUMBER(O102),TRUNC(O102)&lt;TODAY())</formula>
    </cfRule>
  </conditionalFormatting>
  <conditionalFormatting sqref="O52:Q52">
    <cfRule type="expression" dxfId="2130" priority="83">
      <formula>AND(ISNUMBER(O52),TRUNC(O52)&lt;TODAY())</formula>
    </cfRule>
  </conditionalFormatting>
  <conditionalFormatting sqref="F52">
    <cfRule type="containsText" dxfId="2129" priority="84" operator="containsText" text="F">
      <formula>NOT(ISERROR(SEARCH(("F"),(F52))))</formula>
    </cfRule>
  </conditionalFormatting>
  <conditionalFormatting sqref="F51">
    <cfRule type="containsText" dxfId="2128" priority="85" operator="containsText" text="F">
      <formula>NOT(ISERROR(SEARCH(("F"),(F51))))</formula>
    </cfRule>
  </conditionalFormatting>
  <conditionalFormatting sqref="O51:Q51">
    <cfRule type="expression" dxfId="2127" priority="86">
      <formula>AND(ISNUMBER(O51),TRUNC(O51)&lt;TODAY())</formula>
    </cfRule>
  </conditionalFormatting>
  <conditionalFormatting sqref="F50">
    <cfRule type="containsText" dxfId="2126" priority="87" operator="containsText" text="F">
      <formula>NOT(ISERROR(SEARCH(("F"),(F50))))</formula>
    </cfRule>
  </conditionalFormatting>
  <conditionalFormatting sqref="O50:Q50">
    <cfRule type="expression" dxfId="2125" priority="88">
      <formula>AND(ISNUMBER(O50),TRUNC(O50)&lt;TODAY())</formula>
    </cfRule>
  </conditionalFormatting>
  <conditionalFormatting sqref="O48:Q48">
    <cfRule type="expression" dxfId="2124" priority="89">
      <formula>AND(ISNUMBER(O48),TRUNC(O48)&lt;TODAY())</formula>
    </cfRule>
  </conditionalFormatting>
  <conditionalFormatting sqref="F48">
    <cfRule type="containsText" dxfId="2123" priority="90" operator="containsText" text="F">
      <formula>NOT(ISERROR(SEARCH(("F"),(F48))))</formula>
    </cfRule>
  </conditionalFormatting>
  <conditionalFormatting sqref="O49:Q49">
    <cfRule type="expression" dxfId="2122" priority="91">
      <formula>AND(ISNUMBER(O49),TRUNC(O49)&lt;TODAY())</formula>
    </cfRule>
  </conditionalFormatting>
  <conditionalFormatting sqref="F49">
    <cfRule type="containsText" dxfId="2121" priority="92" operator="containsText" text="F">
      <formula>NOT(ISERROR(SEARCH(("F"),(F49))))</formula>
    </cfRule>
  </conditionalFormatting>
  <conditionalFormatting sqref="O318:Q318">
    <cfRule type="expression" dxfId="2120" priority="93">
      <formula>AND(ISNUMBER(O318),TRUNC(O318)&lt;TODAY())</formula>
    </cfRule>
  </conditionalFormatting>
  <conditionalFormatting sqref="F318">
    <cfRule type="containsText" dxfId="2119" priority="94" operator="containsText" text="F">
      <formula>NOT(ISERROR(SEARCH(("F"),(F318))))</formula>
    </cfRule>
  </conditionalFormatting>
  <conditionalFormatting sqref="F317">
    <cfRule type="containsText" dxfId="2118" priority="95" operator="containsText" text="F">
      <formula>NOT(ISERROR(SEARCH(("F"),(F317))))</formula>
    </cfRule>
  </conditionalFormatting>
  <conditionalFormatting sqref="O317:Q317">
    <cfRule type="expression" dxfId="2117" priority="96">
      <formula>AND(ISNUMBER(O317),TRUNC(O317)&lt;TODAY())</formula>
    </cfRule>
  </conditionalFormatting>
  <conditionalFormatting sqref="F316">
    <cfRule type="containsText" dxfId="2116" priority="97" operator="containsText" text="F">
      <formula>NOT(ISERROR(SEARCH(("F"),(F316))))</formula>
    </cfRule>
  </conditionalFormatting>
  <conditionalFormatting sqref="O316:Q316">
    <cfRule type="expression" dxfId="2115" priority="98">
      <formula>AND(ISNUMBER(O316),TRUNC(O316)&lt;TODAY())</formula>
    </cfRule>
  </conditionalFormatting>
  <conditionalFormatting sqref="O101:Q101">
    <cfRule type="expression" dxfId="2114" priority="99">
      <formula>AND(ISNUMBER(O101),TRUNC(O101)&lt;TODAY())</formula>
    </cfRule>
  </conditionalFormatting>
  <conditionalFormatting sqref="F101">
    <cfRule type="containsText" dxfId="2113" priority="100" operator="containsText" text="F">
      <formula>NOT(ISERROR(SEARCH(("F"),(F101))))</formula>
    </cfRule>
  </conditionalFormatting>
  <conditionalFormatting sqref="P100">
    <cfRule type="expression" dxfId="2112" priority="101">
      <formula>AND(ISNUMBER(P100),TRUNC(P100)&lt;TODAY())</formula>
    </cfRule>
  </conditionalFormatting>
  <conditionalFormatting sqref="Q100">
    <cfRule type="expression" dxfId="2111" priority="102">
      <formula>AND(ISNUMBER(Q100),TRUNC(Q100)&lt;TODAY())</formula>
    </cfRule>
  </conditionalFormatting>
  <conditionalFormatting sqref="O100">
    <cfRule type="expression" dxfId="2110" priority="103">
      <formula>AND(ISNUMBER(O100),TRUNC(O100)&lt;TODAY())</formula>
    </cfRule>
  </conditionalFormatting>
  <conditionalFormatting sqref="F100">
    <cfRule type="containsText" dxfId="2109" priority="104" operator="containsText" text="F">
      <formula>NOT(ISERROR(SEARCH(("F"),(F100))))</formula>
    </cfRule>
  </conditionalFormatting>
  <conditionalFormatting sqref="F99">
    <cfRule type="containsText" dxfId="2108" priority="105" operator="containsText" text="F">
      <formula>NOT(ISERROR(SEARCH(("F"),(F99))))</formula>
    </cfRule>
  </conditionalFormatting>
  <conditionalFormatting sqref="O99:Q99">
    <cfRule type="expression" dxfId="2107" priority="106">
      <formula>AND(ISNUMBER(O99),TRUNC(O99)&lt;TODAY())</formula>
    </cfRule>
  </conditionalFormatting>
  <conditionalFormatting sqref="F315">
    <cfRule type="containsText" dxfId="2106" priority="107" operator="containsText" text="F">
      <formula>NOT(ISERROR(SEARCH(("F"),(F315))))</formula>
    </cfRule>
  </conditionalFormatting>
  <conditionalFormatting sqref="O315:Q315">
    <cfRule type="expression" dxfId="2105" priority="108">
      <formula>AND(ISNUMBER(O315),TRUNC(O315)&lt;TODAY())</formula>
    </cfRule>
  </conditionalFormatting>
  <conditionalFormatting sqref="V314">
    <cfRule type="notContainsBlanks" dxfId="2104" priority="109">
      <formula>LEN(TRIM(V314))&gt;0</formula>
    </cfRule>
  </conditionalFormatting>
  <conditionalFormatting sqref="P314">
    <cfRule type="expression" dxfId="2103" priority="110">
      <formula>AND(ISNUMBER(P314),TRUNC(P314)&lt;TODAY())</formula>
    </cfRule>
  </conditionalFormatting>
  <conditionalFormatting sqref="P314">
    <cfRule type="expression" dxfId="2102" priority="111">
      <formula>AND(ISNUMBER(P314),TRUNC(P314)&lt;TODAY())</formula>
    </cfRule>
  </conditionalFormatting>
  <conditionalFormatting sqref="Q314">
    <cfRule type="expression" dxfId="2101" priority="112">
      <formula>AND(ISNUMBER(Q314),TRUNC(Q314)&lt;TODAY())</formula>
    </cfRule>
  </conditionalFormatting>
  <conditionalFormatting sqref="O314">
    <cfRule type="expression" dxfId="2100" priority="113">
      <formula>AND(ISNUMBER(O314),TRUNC(O314)&lt;TODAY())</formula>
    </cfRule>
  </conditionalFormatting>
  <conditionalFormatting sqref="F314">
    <cfRule type="containsText" dxfId="2099" priority="114" operator="containsText" text="F">
      <formula>NOT(ISERROR(SEARCH(("F"),(F314))))</formula>
    </cfRule>
  </conditionalFormatting>
  <conditionalFormatting sqref="P313">
    <cfRule type="expression" dxfId="2098" priority="115">
      <formula>AND(ISNUMBER(P313),TRUNC(P313)&lt;TODAY())</formula>
    </cfRule>
  </conditionalFormatting>
  <conditionalFormatting sqref="Q313">
    <cfRule type="expression" dxfId="2097" priority="116">
      <formula>AND(ISNUMBER(Q313),TRUNC(Q313)&lt;TODAY())</formula>
    </cfRule>
  </conditionalFormatting>
  <conditionalFormatting sqref="O313">
    <cfRule type="expression" dxfId="2096" priority="117">
      <formula>AND(ISNUMBER(O313),TRUNC(O313)&lt;TODAY())</formula>
    </cfRule>
  </conditionalFormatting>
  <conditionalFormatting sqref="F313">
    <cfRule type="containsText" dxfId="2095" priority="118" operator="containsText" text="F">
      <formula>NOT(ISERROR(SEARCH(("F"),(F313))))</formula>
    </cfRule>
  </conditionalFormatting>
  <conditionalFormatting sqref="V313">
    <cfRule type="notContainsBlanks" dxfId="2094" priority="119">
      <formula>LEN(TRIM(V313))&gt;0</formula>
    </cfRule>
  </conditionalFormatting>
  <conditionalFormatting sqref="O47:Q47">
    <cfRule type="expression" dxfId="2093" priority="120">
      <formula>AND(ISNUMBER(O47),TRUNC(O47)&lt;TODAY())</formula>
    </cfRule>
  </conditionalFormatting>
  <conditionalFormatting sqref="Q46">
    <cfRule type="expression" dxfId="2092" priority="121">
      <formula>AND(ISNUMBER(Q46),TRUNC(Q46)&lt;TODAY())</formula>
    </cfRule>
  </conditionalFormatting>
  <conditionalFormatting sqref="Q46">
    <cfRule type="expression" dxfId="2091" priority="122">
      <formula>AND(ISNUMBER(Q46),TRUNC(Q46)&lt;TODAY())</formula>
    </cfRule>
  </conditionalFormatting>
  <conditionalFormatting sqref="P46">
    <cfRule type="expression" dxfId="2090" priority="123">
      <formula>AND(ISNUMBER(P46),TRUNC(P46)&lt;TODAY())</formula>
    </cfRule>
  </conditionalFormatting>
  <conditionalFormatting sqref="F46">
    <cfRule type="containsText" dxfId="2089" priority="124" operator="containsText" text="F">
      <formula>NOT(ISERROR(SEARCH(("F"),(F46))))</formula>
    </cfRule>
  </conditionalFormatting>
  <conditionalFormatting sqref="O46">
    <cfRule type="expression" dxfId="2088" priority="125">
      <formula>AND(ISNUMBER(O46),TRUNC(O46)&lt;TODAY())</formula>
    </cfRule>
  </conditionalFormatting>
  <conditionalFormatting sqref="F45">
    <cfRule type="containsText" dxfId="2087" priority="126" operator="containsText" text="F">
      <formula>NOT(ISERROR(SEARCH(("F"),(F45))))</formula>
    </cfRule>
  </conditionalFormatting>
  <conditionalFormatting sqref="O45:Q45">
    <cfRule type="expression" dxfId="2086" priority="127">
      <formula>AND(ISNUMBER(O45),TRUNC(O45)&lt;TODAY())</formula>
    </cfRule>
  </conditionalFormatting>
  <conditionalFormatting sqref="O44:Q44">
    <cfRule type="expression" dxfId="2085" priority="128">
      <formula>AND(ISNUMBER(O44),TRUNC(O44)&lt;TODAY())</formula>
    </cfRule>
  </conditionalFormatting>
  <conditionalFormatting sqref="F44">
    <cfRule type="containsText" dxfId="2084" priority="129" operator="containsText" text="F">
      <formula>NOT(ISERROR(SEARCH(("F"),(F44))))</formula>
    </cfRule>
  </conditionalFormatting>
  <conditionalFormatting sqref="O43:Q43">
    <cfRule type="expression" dxfId="2083" priority="130">
      <formula>AND(ISNUMBER(O43),TRUNC(O43)&lt;TODAY())</formula>
    </cfRule>
  </conditionalFormatting>
  <conditionalFormatting sqref="F43">
    <cfRule type="containsText" dxfId="2082" priority="131" operator="containsText" text="F">
      <formula>NOT(ISERROR(SEARCH(("F"),(F43))))</formula>
    </cfRule>
  </conditionalFormatting>
  <conditionalFormatting sqref="F42">
    <cfRule type="containsText" dxfId="2081" priority="132" operator="containsText" text="F">
      <formula>NOT(ISERROR(SEARCH(("F"),(F42))))</formula>
    </cfRule>
  </conditionalFormatting>
  <conditionalFormatting sqref="Q42">
    <cfRule type="expression" dxfId="2080" priority="133">
      <formula>AND(ISNUMBER(Q42),TRUNC(Q42)&lt;TODAY())</formula>
    </cfRule>
  </conditionalFormatting>
  <conditionalFormatting sqref="O42:Q42">
    <cfRule type="expression" dxfId="2079" priority="134">
      <formula>AND(ISNUMBER(O42),TRUNC(O42)&lt;TODAY())</formula>
    </cfRule>
  </conditionalFormatting>
  <conditionalFormatting sqref="F41">
    <cfRule type="containsText" dxfId="2078" priority="135" operator="containsText" text="F">
      <formula>NOT(ISERROR(SEARCH(("F"),(F41))))</formula>
    </cfRule>
  </conditionalFormatting>
  <conditionalFormatting sqref="O41:Q41">
    <cfRule type="expression" dxfId="2077" priority="136">
      <formula>AND(ISNUMBER(O41),TRUNC(O41)&lt;TODAY())</formula>
    </cfRule>
  </conditionalFormatting>
  <conditionalFormatting sqref="F40">
    <cfRule type="containsText" dxfId="2076" priority="137" operator="containsText" text="F">
      <formula>NOT(ISERROR(SEARCH(("F"),(F40))))</formula>
    </cfRule>
  </conditionalFormatting>
  <conditionalFormatting sqref="O40:Q40">
    <cfRule type="expression" dxfId="2075" priority="138">
      <formula>AND(ISNUMBER(O40),TRUNC(O40)&lt;TODAY())</formula>
    </cfRule>
  </conditionalFormatting>
  <conditionalFormatting sqref="F39">
    <cfRule type="containsText" dxfId="2074" priority="139" operator="containsText" text="F">
      <formula>NOT(ISERROR(SEARCH(("F"),(F39))))</formula>
    </cfRule>
  </conditionalFormatting>
  <conditionalFormatting sqref="O39:Q39">
    <cfRule type="expression" dxfId="2073" priority="140">
      <formula>AND(ISNUMBER(O39),TRUNC(O39)&lt;TODAY())</formula>
    </cfRule>
  </conditionalFormatting>
  <conditionalFormatting sqref="F38">
    <cfRule type="containsText" dxfId="2072" priority="141" operator="containsText" text="F">
      <formula>NOT(ISERROR(SEARCH(("F"),(F38))))</formula>
    </cfRule>
  </conditionalFormatting>
  <conditionalFormatting sqref="O38:Q38">
    <cfRule type="expression" dxfId="2071" priority="142">
      <formula>AND(ISNUMBER(O38),TRUNC(O38)&lt;TODAY())</formula>
    </cfRule>
  </conditionalFormatting>
  <conditionalFormatting sqref="F37">
    <cfRule type="containsText" dxfId="2070" priority="143" operator="containsText" text="F">
      <formula>NOT(ISERROR(SEARCH(("F"),(F37))))</formula>
    </cfRule>
  </conditionalFormatting>
  <conditionalFormatting sqref="O37:Q37">
    <cfRule type="expression" dxfId="2069" priority="144">
      <formula>AND(ISNUMBER(O37),TRUNC(O37)&lt;TODAY())</formula>
    </cfRule>
  </conditionalFormatting>
  <conditionalFormatting sqref="P98">
    <cfRule type="expression" dxfId="2068" priority="145">
      <formula>AND(ISNUMBER(P98),TRUNC(P98)&lt;TODAY())</formula>
    </cfRule>
  </conditionalFormatting>
  <conditionalFormatting sqref="O98">
    <cfRule type="expression" dxfId="2067" priority="146">
      <formula>AND(ISNUMBER(O98),TRUNC(O98)&lt;TODAY())</formula>
    </cfRule>
  </conditionalFormatting>
  <conditionalFormatting sqref="Q98">
    <cfRule type="expression" dxfId="2066" priority="147">
      <formula>AND(ISNUMBER(Q98),TRUNC(Q98)&lt;TODAY())</formula>
    </cfRule>
  </conditionalFormatting>
  <conditionalFormatting sqref="F312">
    <cfRule type="containsText" dxfId="2065" priority="148" operator="containsText" text="F">
      <formula>NOT(ISERROR(SEARCH(("F"),(F312))))</formula>
    </cfRule>
  </conditionalFormatting>
  <conditionalFormatting sqref="O312:Q312">
    <cfRule type="expression" dxfId="2064" priority="149">
      <formula>AND(ISNUMBER(O312),TRUNC(O312)&lt;TODAY())</formula>
    </cfRule>
  </conditionalFormatting>
  <conditionalFormatting sqref="O311:Q311">
    <cfRule type="expression" dxfId="2063" priority="150">
      <formula>AND(ISNUMBER(O311),TRUNC(O311)&lt;TODAY())</formula>
    </cfRule>
  </conditionalFormatting>
  <conditionalFormatting sqref="F311">
    <cfRule type="containsText" dxfId="2062" priority="151" operator="containsText" text="F">
      <formula>NOT(ISERROR(SEARCH(("F"),(F311))))</formula>
    </cfRule>
  </conditionalFormatting>
  <conditionalFormatting sqref="F310">
    <cfRule type="containsText" dxfId="2061" priority="152" operator="containsText" text="F">
      <formula>NOT(ISERROR(SEARCH(("F"),(F310))))</formula>
    </cfRule>
  </conditionalFormatting>
  <conditionalFormatting sqref="O310:Q310">
    <cfRule type="expression" dxfId="2060" priority="153">
      <formula>AND(ISNUMBER(O310),TRUNC(O310)&lt;TODAY())</formula>
    </cfRule>
  </conditionalFormatting>
  <conditionalFormatting sqref="F309">
    <cfRule type="containsText" dxfId="2059" priority="154" operator="containsText" text="F">
      <formula>NOT(ISERROR(SEARCH(("F"),(F309))))</formula>
    </cfRule>
  </conditionalFormatting>
  <conditionalFormatting sqref="O309:Q309">
    <cfRule type="expression" dxfId="2058" priority="155">
      <formula>AND(ISNUMBER(O309),TRUNC(O309)&lt;TODAY())</formula>
    </cfRule>
  </conditionalFormatting>
  <conditionalFormatting sqref="O308:Q308">
    <cfRule type="expression" dxfId="2057" priority="156">
      <formula>AND(ISNUMBER(O308),TRUNC(O308)&lt;TODAY())</formula>
    </cfRule>
  </conditionalFormatting>
  <conditionalFormatting sqref="F308">
    <cfRule type="containsText" dxfId="2056" priority="157" operator="containsText" text="F">
      <formula>NOT(ISERROR(SEARCH(("F"),(F308))))</formula>
    </cfRule>
  </conditionalFormatting>
  <conditionalFormatting sqref="O307:Q307">
    <cfRule type="expression" dxfId="2055" priority="158">
      <formula>AND(ISNUMBER(O307),TRUNC(O307)&lt;TODAY())</formula>
    </cfRule>
  </conditionalFormatting>
  <conditionalFormatting sqref="F307">
    <cfRule type="containsText" dxfId="2054" priority="159" operator="containsText" text="F">
      <formula>NOT(ISERROR(SEARCH(("F"),(F307))))</formula>
    </cfRule>
  </conditionalFormatting>
  <conditionalFormatting sqref="O86:Q86">
    <cfRule type="expression" dxfId="2053" priority="160">
      <formula>AND(ISNUMBER(O86),TRUNC(O86)&lt;TODAY())</formula>
    </cfRule>
  </conditionalFormatting>
  <conditionalFormatting sqref="O36:Q36">
    <cfRule type="expression" dxfId="2052" priority="161">
      <formula>AND(ISNUMBER(O36),TRUNC(O36)&lt;TODAY())</formula>
    </cfRule>
  </conditionalFormatting>
  <conditionalFormatting sqref="F36">
    <cfRule type="containsText" dxfId="2051" priority="162" operator="containsText" text="F">
      <formula>NOT(ISERROR(SEARCH(("F"),(F36))))</formula>
    </cfRule>
  </conditionalFormatting>
  <conditionalFormatting sqref="O35:Q35">
    <cfRule type="expression" dxfId="2050" priority="163">
      <formula>AND(ISNUMBER(O35),TRUNC(O35)&lt;TODAY())</formula>
    </cfRule>
  </conditionalFormatting>
  <conditionalFormatting sqref="F35">
    <cfRule type="containsText" dxfId="2049" priority="164" operator="containsText" text="F">
      <formula>NOT(ISERROR(SEARCH(("F"),(F35))))</formula>
    </cfRule>
  </conditionalFormatting>
  <conditionalFormatting sqref="O34:Q34">
    <cfRule type="expression" dxfId="2048" priority="165">
      <formula>AND(ISNUMBER(O34),TRUNC(O34)&lt;TODAY())</formula>
    </cfRule>
  </conditionalFormatting>
  <conditionalFormatting sqref="F34">
    <cfRule type="containsText" dxfId="2047" priority="166" operator="containsText" text="F">
      <formula>NOT(ISERROR(SEARCH(("F"),(F34))))</formula>
    </cfRule>
  </conditionalFormatting>
  <conditionalFormatting sqref="F33">
    <cfRule type="containsText" dxfId="2046" priority="167" operator="containsText" text="F">
      <formula>NOT(ISERROR(SEARCH(("F"),(F33))))</formula>
    </cfRule>
  </conditionalFormatting>
  <conditionalFormatting sqref="P33:Q33">
    <cfRule type="expression" dxfId="2045" priority="168">
      <formula>AND(ISNUMBER(P33),TRUNC(P33)&lt;TODAY())</formula>
    </cfRule>
  </conditionalFormatting>
  <conditionalFormatting sqref="O33">
    <cfRule type="expression" dxfId="2044" priority="169">
      <formula>AND(ISNUMBER(O33),TRUNC(O33)&lt;TODAY())</formula>
    </cfRule>
  </conditionalFormatting>
  <conditionalFormatting sqref="Q33">
    <cfRule type="expression" dxfId="2043" priority="170">
      <formula>AND(ISNUMBER(Q33),TRUNC(Q33)&lt;TODAY())</formula>
    </cfRule>
  </conditionalFormatting>
  <conditionalFormatting sqref="P33">
    <cfRule type="expression" dxfId="2042" priority="171">
      <formula>AND(ISNUMBER(P33),TRUNC(P33)&lt;TODAY())</formula>
    </cfRule>
  </conditionalFormatting>
  <conditionalFormatting sqref="P33">
    <cfRule type="expression" dxfId="2041" priority="172">
      <formula>AND(ISNUMBER(P33),TRUNC(P33)&lt;TODAY())</formula>
    </cfRule>
  </conditionalFormatting>
  <conditionalFormatting sqref="V33">
    <cfRule type="notContainsBlanks" dxfId="2040" priority="173">
      <formula>LEN(TRIM(V33))&gt;0</formula>
    </cfRule>
  </conditionalFormatting>
  <conditionalFormatting sqref="F32">
    <cfRule type="containsText" dxfId="2039" priority="174" operator="containsText" text="F">
      <formula>NOT(ISERROR(SEARCH(("F"),(F32))))</formula>
    </cfRule>
  </conditionalFormatting>
  <conditionalFormatting sqref="O32:Q32">
    <cfRule type="expression" dxfId="2038" priority="175">
      <formula>AND(ISNUMBER(O32),TRUNC(O32)&lt;TODAY())</formula>
    </cfRule>
  </conditionalFormatting>
  <conditionalFormatting sqref="F31">
    <cfRule type="containsText" dxfId="2037" priority="176" operator="containsText" text="F">
      <formula>NOT(ISERROR(SEARCH(("F"),(F31))))</formula>
    </cfRule>
  </conditionalFormatting>
  <conditionalFormatting sqref="O31:Q31">
    <cfRule type="expression" dxfId="2036" priority="177">
      <formula>AND(ISNUMBER(O31),TRUNC(O31)&lt;TODAY())</formula>
    </cfRule>
  </conditionalFormatting>
  <conditionalFormatting sqref="O85:Q85">
    <cfRule type="expression" dxfId="2035" priority="178">
      <formula>AND(ISNUMBER(O85),TRUNC(O85)&lt;TODAY())</formula>
    </cfRule>
  </conditionalFormatting>
  <conditionalFormatting sqref="O306:Q306">
    <cfRule type="expression" dxfId="2034" priority="179">
      <formula>AND(ISNUMBER(O306),TRUNC(O306)&lt;TODAY())</formula>
    </cfRule>
  </conditionalFormatting>
  <conditionalFormatting sqref="F306">
    <cfRule type="containsText" dxfId="2033" priority="180" operator="containsText" text="F">
      <formula>NOT(ISERROR(SEARCH(("F"),(F306))))</formula>
    </cfRule>
  </conditionalFormatting>
  <conditionalFormatting sqref="F30">
    <cfRule type="containsText" dxfId="2032" priority="181" operator="containsText" text="F">
      <formula>NOT(ISERROR(SEARCH(("F"),(F30))))</formula>
    </cfRule>
  </conditionalFormatting>
  <conditionalFormatting sqref="O30:Q30">
    <cfRule type="expression" dxfId="2031" priority="182">
      <formula>AND(ISNUMBER(O30),TRUNC(O30)&lt;TODAY())</formula>
    </cfRule>
  </conditionalFormatting>
  <conditionalFormatting sqref="F29">
    <cfRule type="containsText" dxfId="2030" priority="183" operator="containsText" text="F">
      <formula>NOT(ISERROR(SEARCH(("F"),(F29))))</formula>
    </cfRule>
  </conditionalFormatting>
  <conditionalFormatting sqref="O29:Q29">
    <cfRule type="expression" dxfId="2029" priority="184">
      <formula>AND(ISNUMBER(O29),TRUNC(O29)&lt;TODAY())</formula>
    </cfRule>
  </conditionalFormatting>
  <conditionalFormatting sqref="F28">
    <cfRule type="containsText" dxfId="2028" priority="185" operator="containsText" text="F">
      <formula>NOT(ISERROR(SEARCH(("F"),(F28))))</formula>
    </cfRule>
  </conditionalFormatting>
  <conditionalFormatting sqref="O28:Q28">
    <cfRule type="expression" dxfId="2027" priority="186">
      <formula>AND(ISNUMBER(O28),TRUNC(O28)&lt;TODAY())</formula>
    </cfRule>
  </conditionalFormatting>
  <conditionalFormatting sqref="O164">
    <cfRule type="expression" dxfId="2026" priority="187">
      <formula>AND(ISNUMBER(O164),TRUNC(O164)&lt;TODAY())</formula>
    </cfRule>
  </conditionalFormatting>
  <conditionalFormatting sqref="Q164">
    <cfRule type="expression" dxfId="2025" priority="188">
      <formula>AND(ISNUMBER(Q164),TRUNC(Q164)&lt;TODAY())</formula>
    </cfRule>
  </conditionalFormatting>
  <conditionalFormatting sqref="P164">
    <cfRule type="expression" dxfId="2024" priority="189">
      <formula>AND(ISNUMBER(P164),TRUNC(P164)&lt;TODAY())</formula>
    </cfRule>
  </conditionalFormatting>
  <conditionalFormatting sqref="F164">
    <cfRule type="containsText" dxfId="2023" priority="190" operator="containsText" text="F">
      <formula>NOT(ISERROR(SEARCH(("F"),(F164))))</formula>
    </cfRule>
  </conditionalFormatting>
  <conditionalFormatting sqref="O27:Q27">
    <cfRule type="expression" dxfId="2022" priority="191">
      <formula>AND(ISNUMBER(O27),TRUNC(O27)&lt;TODAY())</formula>
    </cfRule>
  </conditionalFormatting>
  <conditionalFormatting sqref="F27">
    <cfRule type="containsText" dxfId="2021" priority="192" operator="containsText" text="F">
      <formula>NOT(ISERROR(SEARCH(("F"),(F27))))</formula>
    </cfRule>
  </conditionalFormatting>
  <conditionalFormatting sqref="O26:Q26">
    <cfRule type="expression" dxfId="2020" priority="193">
      <formula>AND(ISNUMBER(O26),TRUNC(O26)&lt;TODAY())</formula>
    </cfRule>
  </conditionalFormatting>
  <conditionalFormatting sqref="F26">
    <cfRule type="containsText" dxfId="2019" priority="194" operator="containsText" text="F">
      <formula>NOT(ISERROR(SEARCH(("F"),(F26))))</formula>
    </cfRule>
  </conditionalFormatting>
  <conditionalFormatting sqref="F84">
    <cfRule type="containsText" dxfId="2018" priority="195" operator="containsText" text="F">
      <formula>NOT(ISERROR(SEARCH(("F"),(F84))))</formula>
    </cfRule>
  </conditionalFormatting>
  <conditionalFormatting sqref="P84">
    <cfRule type="expression" dxfId="2017" priority="196">
      <formula>AND(ISNUMBER(P84),TRUNC(P84)&lt;TODAY())</formula>
    </cfRule>
  </conditionalFormatting>
  <conditionalFormatting sqref="P84">
    <cfRule type="expression" dxfId="2016" priority="197">
      <formula>AND(ISNUMBER(P84),TRUNC(P84)&lt;TODAY())</formula>
    </cfRule>
  </conditionalFormatting>
  <conditionalFormatting sqref="O84">
    <cfRule type="expression" dxfId="2015" priority="198">
      <formula>AND(ISNUMBER(O84),TRUNC(O84)&lt;TODAY())</formula>
    </cfRule>
  </conditionalFormatting>
  <conditionalFormatting sqref="Q84">
    <cfRule type="expression" dxfId="2014" priority="199">
      <formula>AND(ISNUMBER(Q84),TRUNC(Q84)&lt;TODAY())</formula>
    </cfRule>
  </conditionalFormatting>
  <conditionalFormatting sqref="O25:Q25">
    <cfRule type="expression" dxfId="2013" priority="200">
      <formula>AND(ISNUMBER(O25),TRUNC(O25)&lt;TODAY())</formula>
    </cfRule>
  </conditionalFormatting>
  <conditionalFormatting sqref="F25">
    <cfRule type="containsText" dxfId="2012" priority="201" operator="containsText" text="F">
      <formula>NOT(ISERROR(SEARCH(("F"),(F25))))</formula>
    </cfRule>
  </conditionalFormatting>
  <conditionalFormatting sqref="F305">
    <cfRule type="containsText" dxfId="2011" priority="202" operator="containsText" text="F">
      <formula>NOT(ISERROR(SEARCH(("F"),(F305))))</formula>
    </cfRule>
  </conditionalFormatting>
  <conditionalFormatting sqref="O305:Q305">
    <cfRule type="expression" dxfId="2010" priority="203">
      <formula>AND(ISNUMBER(O305),TRUNC(O305)&lt;TODAY())</formula>
    </cfRule>
  </conditionalFormatting>
  <conditionalFormatting sqref="O304:Q304">
    <cfRule type="expression" dxfId="2009" priority="204">
      <formula>AND(ISNUMBER(O304),TRUNC(O304)&lt;TODAY())</formula>
    </cfRule>
  </conditionalFormatting>
  <conditionalFormatting sqref="F304">
    <cfRule type="containsText" dxfId="2008" priority="205" operator="containsText" text="F">
      <formula>NOT(ISERROR(SEARCH(("F"),(F304))))</formula>
    </cfRule>
  </conditionalFormatting>
  <conditionalFormatting sqref="O303:Q303">
    <cfRule type="expression" dxfId="2007" priority="206">
      <formula>AND(ISNUMBER(O303),TRUNC(O303)&lt;TODAY())</formula>
    </cfRule>
  </conditionalFormatting>
  <conditionalFormatting sqref="F303">
    <cfRule type="containsText" dxfId="2006" priority="207" operator="containsText" text="F">
      <formula>NOT(ISERROR(SEARCH(("F"),(F303))))</formula>
    </cfRule>
  </conditionalFormatting>
  <conditionalFormatting sqref="O302:Q302">
    <cfRule type="expression" dxfId="2005" priority="208">
      <formula>AND(ISNUMBER(O302),TRUNC(O302)&lt;TODAY())</formula>
    </cfRule>
  </conditionalFormatting>
  <conditionalFormatting sqref="F302">
    <cfRule type="containsText" dxfId="2004" priority="209" operator="containsText" text="F">
      <formula>NOT(ISERROR(SEARCH(("F"),(F302))))</formula>
    </cfRule>
  </conditionalFormatting>
  <conditionalFormatting sqref="O301:Q301">
    <cfRule type="expression" dxfId="2003" priority="210">
      <formula>AND(ISNUMBER(O301),TRUNC(O301)&lt;TODAY())</formula>
    </cfRule>
  </conditionalFormatting>
  <conditionalFormatting sqref="F301">
    <cfRule type="containsText" dxfId="2002" priority="211" operator="containsText" text="F">
      <formula>NOT(ISERROR(SEARCH(("F"),(F301))))</formula>
    </cfRule>
  </conditionalFormatting>
  <conditionalFormatting sqref="O300:Q300">
    <cfRule type="expression" dxfId="2001" priority="212">
      <formula>AND(ISNUMBER(O300),TRUNC(O300)&lt;TODAY())</formula>
    </cfRule>
  </conditionalFormatting>
  <conditionalFormatting sqref="F300">
    <cfRule type="containsText" dxfId="2000" priority="213" operator="containsText" text="F">
      <formula>NOT(ISERROR(SEARCH(("F"),(F300))))</formula>
    </cfRule>
  </conditionalFormatting>
  <conditionalFormatting sqref="F299">
    <cfRule type="containsText" dxfId="1999" priority="214" operator="containsText" text="F">
      <formula>NOT(ISERROR(SEARCH(("F"),(F299))))</formula>
    </cfRule>
  </conditionalFormatting>
  <conditionalFormatting sqref="O299:Q299">
    <cfRule type="expression" dxfId="1998" priority="215">
      <formula>AND(ISNUMBER(O299),TRUNC(O299)&lt;TODAY())</formula>
    </cfRule>
  </conditionalFormatting>
  <conditionalFormatting sqref="O298:Q298">
    <cfRule type="expression" dxfId="1997" priority="216">
      <formula>AND(ISNUMBER(O298),TRUNC(O298)&lt;TODAY())</formula>
    </cfRule>
  </conditionalFormatting>
  <conditionalFormatting sqref="F298">
    <cfRule type="containsText" dxfId="1996" priority="217" operator="containsText" text="F">
      <formula>NOT(ISERROR(SEARCH(("F"),(F298))))</formula>
    </cfRule>
  </conditionalFormatting>
  <conditionalFormatting sqref="F297">
    <cfRule type="containsText" dxfId="1995" priority="218" operator="containsText" text="F">
      <formula>NOT(ISERROR(SEARCH(("F"),(F297))))</formula>
    </cfRule>
  </conditionalFormatting>
  <conditionalFormatting sqref="O297:Q297">
    <cfRule type="expression" dxfId="1994" priority="219">
      <formula>AND(ISNUMBER(O297),TRUNC(O297)&lt;TODAY())</formula>
    </cfRule>
  </conditionalFormatting>
  <conditionalFormatting sqref="O296:Q296">
    <cfRule type="expression" dxfId="1993" priority="220">
      <formula>AND(ISNUMBER(O296),TRUNC(O296)&lt;TODAY())</formula>
    </cfRule>
  </conditionalFormatting>
  <conditionalFormatting sqref="F296">
    <cfRule type="containsText" dxfId="1992" priority="221" operator="containsText" text="F">
      <formula>NOT(ISERROR(SEARCH(("F"),(F296))))</formula>
    </cfRule>
  </conditionalFormatting>
  <conditionalFormatting sqref="F295">
    <cfRule type="containsText" dxfId="1991" priority="222" operator="containsText" text="F">
      <formula>NOT(ISERROR(SEARCH(("F"),(F295))))</formula>
    </cfRule>
  </conditionalFormatting>
  <conditionalFormatting sqref="O295:Q295">
    <cfRule type="expression" dxfId="1990" priority="223">
      <formula>AND(ISNUMBER(O295),TRUNC(O295)&lt;TODAY())</formula>
    </cfRule>
  </conditionalFormatting>
  <conditionalFormatting sqref="O294:Q294">
    <cfRule type="expression" dxfId="1989" priority="224">
      <formula>AND(ISNUMBER(O294),TRUNC(O294)&lt;TODAY())</formula>
    </cfRule>
  </conditionalFormatting>
  <conditionalFormatting sqref="F294">
    <cfRule type="containsText" dxfId="1988" priority="225" operator="containsText" text="F">
      <formula>NOT(ISERROR(SEARCH(("F"),(F294))))</formula>
    </cfRule>
  </conditionalFormatting>
  <conditionalFormatting sqref="O293:Q293">
    <cfRule type="expression" dxfId="1987" priority="226">
      <formula>AND(ISNUMBER(O293),TRUNC(O293)&lt;TODAY())</formula>
    </cfRule>
  </conditionalFormatting>
  <conditionalFormatting sqref="F293">
    <cfRule type="containsText" dxfId="1986" priority="227" operator="containsText" text="F">
      <formula>NOT(ISERROR(SEARCH(("F"),(F293))))</formula>
    </cfRule>
  </conditionalFormatting>
  <conditionalFormatting sqref="F292">
    <cfRule type="containsText" dxfId="1985" priority="228" operator="containsText" text="F">
      <formula>NOT(ISERROR(SEARCH(("F"),(F292))))</formula>
    </cfRule>
  </conditionalFormatting>
  <conditionalFormatting sqref="O292:Q292">
    <cfRule type="expression" dxfId="1984" priority="229">
      <formula>AND(ISNUMBER(O292),TRUNC(O292)&lt;TODAY())</formula>
    </cfRule>
  </conditionalFormatting>
  <conditionalFormatting sqref="O291:Q291">
    <cfRule type="expression" dxfId="1983" priority="230">
      <formula>AND(ISNUMBER(O291),TRUNC(O291)&lt;TODAY())</formula>
    </cfRule>
  </conditionalFormatting>
  <conditionalFormatting sqref="F291">
    <cfRule type="containsText" dxfId="1982" priority="231" operator="containsText" text="F">
      <formula>NOT(ISERROR(SEARCH(("F"),(F291))))</formula>
    </cfRule>
  </conditionalFormatting>
  <conditionalFormatting sqref="O8:Q8">
    <cfRule type="expression" dxfId="1981" priority="232">
      <formula>AND(ISNUMBER(O8),TRUNC(O8)&lt;TODAY())</formula>
    </cfRule>
  </conditionalFormatting>
  <conditionalFormatting sqref="F8">
    <cfRule type="containsText" dxfId="1980" priority="233" operator="containsText" text="F">
      <formula>NOT(ISERROR(SEARCH(("F"),(F8))))</formula>
    </cfRule>
  </conditionalFormatting>
  <conditionalFormatting sqref="O288:Q288">
    <cfRule type="expression" dxfId="1979" priority="234">
      <formula>AND(ISNUMBER(O288),TRUNC(O288)&lt;TODAY())</formula>
    </cfRule>
  </conditionalFormatting>
  <conditionalFormatting sqref="F288">
    <cfRule type="containsText" dxfId="1978" priority="235" operator="containsText" text="F">
      <formula>NOT(ISERROR(SEARCH(("F"),(F288))))</formula>
    </cfRule>
  </conditionalFormatting>
  <conditionalFormatting sqref="O287:Q287">
    <cfRule type="expression" dxfId="1977" priority="236">
      <formula>AND(ISNUMBER(O287),TRUNC(O287)&lt;TODAY())</formula>
    </cfRule>
  </conditionalFormatting>
  <conditionalFormatting sqref="F287">
    <cfRule type="containsText" dxfId="1976" priority="237" operator="containsText" text="F">
      <formula>NOT(ISERROR(SEARCH(("F"),(F287))))</formula>
    </cfRule>
  </conditionalFormatting>
  <conditionalFormatting sqref="F286">
    <cfRule type="containsText" dxfId="1975" priority="238" operator="containsText" text="F">
      <formula>NOT(ISERROR(SEARCH(("F"),(F286))))</formula>
    </cfRule>
  </conditionalFormatting>
  <conditionalFormatting sqref="O286:Q286">
    <cfRule type="expression" dxfId="1974" priority="239">
      <formula>AND(ISNUMBER(O286),TRUNC(O286)&lt;TODAY())</formula>
    </cfRule>
  </conditionalFormatting>
  <conditionalFormatting sqref="F285">
    <cfRule type="containsText" dxfId="1973" priority="240" operator="containsText" text="F">
      <formula>NOT(ISERROR(SEARCH(("F"),(F285))))</formula>
    </cfRule>
  </conditionalFormatting>
  <conditionalFormatting sqref="O285:Q285">
    <cfRule type="expression" dxfId="1972" priority="241">
      <formula>AND(ISNUMBER(O285),TRUNC(O285)&lt;TODAY())</formula>
    </cfRule>
  </conditionalFormatting>
  <conditionalFormatting sqref="F22">
    <cfRule type="containsText" dxfId="1971" priority="242" operator="containsText" text="F">
      <formula>NOT(ISERROR(SEARCH(("F"),(F22))))</formula>
    </cfRule>
  </conditionalFormatting>
  <conditionalFormatting sqref="O22:Q22">
    <cfRule type="expression" dxfId="1970" priority="243">
      <formula>AND(ISNUMBER(O22),TRUNC(O22)&lt;TODAY())</formula>
    </cfRule>
  </conditionalFormatting>
  <conditionalFormatting sqref="F21">
    <cfRule type="containsText" dxfId="1969" priority="244" operator="containsText" text="F">
      <formula>NOT(ISERROR(SEARCH(("F"),(F21))))</formula>
    </cfRule>
  </conditionalFormatting>
  <conditionalFormatting sqref="O21:Q21">
    <cfRule type="expression" dxfId="1968" priority="245">
      <formula>AND(ISNUMBER(O21),TRUNC(O21)&lt;TODAY())</formula>
    </cfRule>
  </conditionalFormatting>
  <conditionalFormatting sqref="F20">
    <cfRule type="containsText" dxfId="1967" priority="246" operator="containsText" text="F">
      <formula>NOT(ISERROR(SEARCH(("F"),(F20))))</formula>
    </cfRule>
  </conditionalFormatting>
  <conditionalFormatting sqref="O20:Q20">
    <cfRule type="expression" dxfId="1966" priority="247">
      <formula>AND(ISNUMBER(O20),TRUNC(O20)&lt;TODAY())</formula>
    </cfRule>
  </conditionalFormatting>
  <conditionalFormatting sqref="Q81">
    <cfRule type="expression" dxfId="1965" priority="248">
      <formula>AND(ISNUMBER(Q81),TRUNC(Q81)&lt;TODAY())</formula>
    </cfRule>
  </conditionalFormatting>
  <conditionalFormatting sqref="P81">
    <cfRule type="expression" dxfId="1964" priority="249">
      <formula>AND(ISNUMBER(P81),TRUNC(P81)&lt;TODAY())</formula>
    </cfRule>
  </conditionalFormatting>
  <conditionalFormatting sqref="O81">
    <cfRule type="expression" dxfId="1963" priority="250">
      <formula>AND(ISNUMBER(O81),TRUNC(O81)&lt;TODAY())</formula>
    </cfRule>
  </conditionalFormatting>
  <conditionalFormatting sqref="O82:Q82">
    <cfRule type="expression" dxfId="1962" priority="251">
      <formula>AND(ISNUMBER(O82),TRUNC(O82)&lt;TODAY())</formula>
    </cfRule>
  </conditionalFormatting>
  <conditionalFormatting sqref="P82">
    <cfRule type="expression" dxfId="1961" priority="252">
      <formula>AND(ISNUMBER(P82),TRUNC(P82)&lt;TODAY())</formula>
    </cfRule>
  </conditionalFormatting>
  <conditionalFormatting sqref="F81">
    <cfRule type="containsText" dxfId="1960" priority="253" operator="containsText" text="F">
      <formula>NOT(ISERROR(SEARCH(("F"),(F81))))</formula>
    </cfRule>
  </conditionalFormatting>
  <conditionalFormatting sqref="F82">
    <cfRule type="containsText" dxfId="1959" priority="254" operator="containsText" text="F">
      <formula>NOT(ISERROR(SEARCH(("F"),(F82))))</formula>
    </cfRule>
  </conditionalFormatting>
  <conditionalFormatting sqref="F80">
    <cfRule type="containsText" dxfId="1958" priority="255" operator="containsText" text="F">
      <formula>NOT(ISERROR(SEARCH(("F"),(F80))))</formula>
    </cfRule>
  </conditionalFormatting>
  <conditionalFormatting sqref="O80:Q80">
    <cfRule type="expression" dxfId="1957" priority="256">
      <formula>AND(ISNUMBER(O80),TRUNC(O80)&lt;TODAY())</formula>
    </cfRule>
  </conditionalFormatting>
  <conditionalFormatting sqref="O79:Q79">
    <cfRule type="expression" dxfId="1956" priority="257">
      <formula>AND(ISNUMBER(O79),TRUNC(O79)&lt;TODAY())</formula>
    </cfRule>
  </conditionalFormatting>
  <conditionalFormatting sqref="F284">
    <cfRule type="containsText" dxfId="1955" priority="258" operator="containsText" text="F">
      <formula>NOT(ISERROR(SEARCH(("F"),(F284))))</formula>
    </cfRule>
  </conditionalFormatting>
  <conditionalFormatting sqref="O284:Q284">
    <cfRule type="expression" dxfId="1954" priority="259">
      <formula>AND(ISNUMBER(O284),TRUNC(O284)&lt;TODAY())</formula>
    </cfRule>
  </conditionalFormatting>
  <conditionalFormatting sqref="O283:Q283">
    <cfRule type="expression" dxfId="1953" priority="260">
      <formula>AND(ISNUMBER(O283),TRUNC(O283)&lt;TODAY())</formula>
    </cfRule>
  </conditionalFormatting>
  <conditionalFormatting sqref="F283">
    <cfRule type="containsText" dxfId="1952" priority="261" operator="containsText" text="F">
      <formula>NOT(ISERROR(SEARCH(("F"),(F283))))</formula>
    </cfRule>
  </conditionalFormatting>
  <conditionalFormatting sqref="F281">
    <cfRule type="containsText" dxfId="1951" priority="262" operator="containsText" text="F">
      <formula>NOT(ISERROR(SEARCH(("F"),(F281))))</formula>
    </cfRule>
  </conditionalFormatting>
  <conditionalFormatting sqref="O281:Q281">
    <cfRule type="expression" dxfId="1950" priority="263">
      <formula>AND(ISNUMBER(O281),TRUNC(O281)&lt;TODAY())</formula>
    </cfRule>
  </conditionalFormatting>
  <conditionalFormatting sqref="F280">
    <cfRule type="containsText" dxfId="1949" priority="264" operator="containsText" text="F">
      <formula>NOT(ISERROR(SEARCH(("F"),(F280))))</formula>
    </cfRule>
  </conditionalFormatting>
  <conditionalFormatting sqref="O280:Q280">
    <cfRule type="expression" dxfId="1948" priority="265">
      <formula>AND(ISNUMBER(O280),TRUNC(O280)&lt;TODAY())</formula>
    </cfRule>
  </conditionalFormatting>
  <conditionalFormatting sqref="F279">
    <cfRule type="containsText" dxfId="1947" priority="266" operator="containsText" text="F">
      <formula>NOT(ISERROR(SEARCH(("F"),(F279))))</formula>
    </cfRule>
  </conditionalFormatting>
  <conditionalFormatting sqref="O279:Q279">
    <cfRule type="expression" dxfId="1946" priority="267">
      <formula>AND(ISNUMBER(O279),TRUNC(O279)&lt;TODAY())</formula>
    </cfRule>
  </conditionalFormatting>
  <conditionalFormatting sqref="F278">
    <cfRule type="containsText" dxfId="1945" priority="268" operator="containsText" text="F">
      <formula>NOT(ISERROR(SEARCH(("F"),(F278))))</formula>
    </cfRule>
  </conditionalFormatting>
  <conditionalFormatting sqref="O278:Q278">
    <cfRule type="expression" dxfId="1944" priority="269">
      <formula>AND(ISNUMBER(O278),TRUNC(O278)&lt;TODAY())</formula>
    </cfRule>
  </conditionalFormatting>
  <conditionalFormatting sqref="F277">
    <cfRule type="containsText" dxfId="1943" priority="270" operator="containsText" text="F">
      <formula>NOT(ISERROR(SEARCH(("F"),(F277))))</formula>
    </cfRule>
  </conditionalFormatting>
  <conditionalFormatting sqref="O277:Q277">
    <cfRule type="expression" dxfId="1942" priority="271">
      <formula>AND(ISNUMBER(O277),TRUNC(O277)&lt;TODAY())</formula>
    </cfRule>
  </conditionalFormatting>
  <conditionalFormatting sqref="F276">
    <cfRule type="containsText" dxfId="1941" priority="272" operator="containsText" text="F">
      <formula>NOT(ISERROR(SEARCH(("F"),(F276))))</formula>
    </cfRule>
  </conditionalFormatting>
  <conditionalFormatting sqref="O276:Q276">
    <cfRule type="expression" dxfId="1940" priority="273">
      <formula>AND(ISNUMBER(O276),TRUNC(O276)&lt;TODAY())</formula>
    </cfRule>
  </conditionalFormatting>
  <conditionalFormatting sqref="O275">
    <cfRule type="expression" dxfId="1939" priority="274">
      <formula>AND(ISNUMBER(O275),TRUNC(O275)&lt;TODAY())</formula>
    </cfRule>
  </conditionalFormatting>
  <conditionalFormatting sqref="P275">
    <cfRule type="expression" dxfId="1938" priority="275">
      <formula>AND(ISNUMBER(P275),TRUNC(P275)&lt;TODAY())</formula>
    </cfRule>
  </conditionalFormatting>
  <conditionalFormatting sqref="Q275">
    <cfRule type="expression" dxfId="1937" priority="276">
      <formula>AND(ISNUMBER(Q275),TRUNC(Q275)&lt;TODAY())</formula>
    </cfRule>
  </conditionalFormatting>
  <conditionalFormatting sqref="F275">
    <cfRule type="containsText" dxfId="1936" priority="277" operator="containsText" text="F">
      <formula>NOT(ISERROR(SEARCH(("F"),(F275))))</formula>
    </cfRule>
  </conditionalFormatting>
  <conditionalFormatting sqref="O19:Q19">
    <cfRule type="expression" dxfId="1935" priority="278">
      <formula>AND(ISNUMBER(O19),TRUNC(O19)&lt;TODAY())</formula>
    </cfRule>
  </conditionalFormatting>
  <conditionalFormatting sqref="F19">
    <cfRule type="containsText" dxfId="1934" priority="279" operator="containsText" text="F">
      <formula>NOT(ISERROR(SEARCH(("F"),(F19))))</formula>
    </cfRule>
  </conditionalFormatting>
  <conditionalFormatting sqref="O274:Q274">
    <cfRule type="expression" dxfId="1933" priority="280">
      <formula>AND(ISNUMBER(O274),TRUNC(O274)&lt;TODAY())</formula>
    </cfRule>
  </conditionalFormatting>
  <conditionalFormatting sqref="F274">
    <cfRule type="containsText" dxfId="1932" priority="281" operator="containsText" text="F">
      <formula>NOT(ISERROR(SEARCH(("F"),(F274))))</formula>
    </cfRule>
  </conditionalFormatting>
  <conditionalFormatting sqref="O154">
    <cfRule type="expression" dxfId="1931" priority="282">
      <formula>AND(ISNUMBER(O154),TRUNC(O154)&lt;TODAY())</formula>
    </cfRule>
  </conditionalFormatting>
  <conditionalFormatting sqref="Q154">
    <cfRule type="expression" dxfId="1930" priority="283">
      <formula>AND(ISNUMBER(Q154),TRUNC(Q154)&lt;TODAY())</formula>
    </cfRule>
  </conditionalFormatting>
  <conditionalFormatting sqref="P154">
    <cfRule type="expression" dxfId="1929" priority="284">
      <formula>AND(ISNUMBER(P154),TRUNC(P154)&lt;TODAY())</formula>
    </cfRule>
  </conditionalFormatting>
  <conditionalFormatting sqref="F154">
    <cfRule type="containsText" dxfId="1928" priority="285" operator="containsText" text="F">
      <formula>NOT(ISERROR(SEARCH(("F"),(F154))))</formula>
    </cfRule>
  </conditionalFormatting>
  <conditionalFormatting sqref="F153">
    <cfRule type="containsText" dxfId="1927" priority="286" operator="containsText" text="F">
      <formula>NOT(ISERROR(SEARCH(("F"),(F153))))</formula>
    </cfRule>
  </conditionalFormatting>
  <conditionalFormatting sqref="O153:Q153">
    <cfRule type="expression" dxfId="1926" priority="287">
      <formula>AND(ISNUMBER(O153),TRUNC(O153)&lt;TODAY())</formula>
    </cfRule>
  </conditionalFormatting>
  <conditionalFormatting sqref="O18:Q18">
    <cfRule type="expression" dxfId="1925" priority="288">
      <formula>AND(ISNUMBER(O18),TRUNC(O18)&lt;TODAY())</formula>
    </cfRule>
  </conditionalFormatting>
  <conditionalFormatting sqref="F18">
    <cfRule type="containsText" dxfId="1924" priority="289" operator="containsText" text="F">
      <formula>NOT(ISERROR(SEARCH(("F"),(F18))))</formula>
    </cfRule>
  </conditionalFormatting>
  <conditionalFormatting sqref="O157:Q157">
    <cfRule type="expression" dxfId="1923" priority="290">
      <formula>AND(ISNUMBER(O157),TRUNC(O157)&lt;TODAY())</formula>
    </cfRule>
  </conditionalFormatting>
  <conditionalFormatting sqref="F157">
    <cfRule type="containsText" dxfId="1922" priority="291" operator="containsText" text="F">
      <formula>NOT(ISERROR(SEARCH(("F"),(F157))))</formula>
    </cfRule>
  </conditionalFormatting>
  <conditionalFormatting sqref="F150">
    <cfRule type="containsText" dxfId="1921" priority="292" operator="containsText" text="F">
      <formula>NOT(ISERROR(SEARCH(("F"),(F150))))</formula>
    </cfRule>
  </conditionalFormatting>
  <conditionalFormatting sqref="O150">
    <cfRule type="expression" dxfId="1920" priority="293">
      <formula>AND(ISNUMBER(O150),TRUNC(O150)&lt;TODAY())</formula>
    </cfRule>
  </conditionalFormatting>
  <conditionalFormatting sqref="P150">
    <cfRule type="expression" dxfId="1919" priority="294">
      <formula>AND(ISNUMBER(P150),TRUNC(P150)&lt;TODAY())</formula>
    </cfRule>
  </conditionalFormatting>
  <conditionalFormatting sqref="P150">
    <cfRule type="expression" dxfId="1918" priority="295">
      <formula>AND(ISNUMBER(P150),TRUNC(P150)&lt;TODAY())</formula>
    </cfRule>
  </conditionalFormatting>
  <conditionalFormatting sqref="Q150">
    <cfRule type="expression" dxfId="1917" priority="296">
      <formula>AND(ISNUMBER(Q150),TRUNC(Q150)&lt;TODAY())</formula>
    </cfRule>
  </conditionalFormatting>
  <conditionalFormatting sqref="P159">
    <cfRule type="expression" dxfId="1916" priority="297">
      <formula>AND(ISNUMBER(P159),TRUNC(P159)&lt;TODAY())</formula>
    </cfRule>
  </conditionalFormatting>
  <conditionalFormatting sqref="O159:Q159">
    <cfRule type="expression" dxfId="1915" priority="298">
      <formula>AND(ISNUMBER(O159),TRUNC(O159)&lt;TODAY())</formula>
    </cfRule>
  </conditionalFormatting>
  <conditionalFormatting sqref="F159">
    <cfRule type="containsText" dxfId="1914" priority="299" operator="containsText" text="F">
      <formula>NOT(ISERROR(SEARCH(("F"),(F159))))</formula>
    </cfRule>
  </conditionalFormatting>
  <conditionalFormatting sqref="P192">
    <cfRule type="expression" dxfId="1913" priority="300">
      <formula>AND(ISNUMBER(P192),TRUNC(P192)&lt;TODAY())</formula>
    </cfRule>
  </conditionalFormatting>
  <conditionalFormatting sqref="P192:Q192">
    <cfRule type="expression" dxfId="1912" priority="301">
      <formula>AND(ISNUMBER(P192),TRUNC(P192)&lt;TODAY())</formula>
    </cfRule>
  </conditionalFormatting>
  <conditionalFormatting sqref="O192">
    <cfRule type="expression" dxfId="1911" priority="302">
      <formula>AND(ISNUMBER(O192),TRUNC(O192)&lt;TODAY())</formula>
    </cfRule>
  </conditionalFormatting>
  <conditionalFormatting sqref="F192">
    <cfRule type="containsText" dxfId="1910" priority="303" operator="containsText" text="F">
      <formula>NOT(ISERROR(SEARCH(("F"),(F192))))</formula>
    </cfRule>
  </conditionalFormatting>
  <conditionalFormatting sqref="F191">
    <cfRule type="containsText" dxfId="1909" priority="304" operator="containsText" text="F">
      <formula>NOT(ISERROR(SEARCH(("F"),(F191))))</formula>
    </cfRule>
  </conditionalFormatting>
  <conditionalFormatting sqref="O191:Q191">
    <cfRule type="expression" dxfId="1908" priority="305">
      <formula>AND(ISNUMBER(O191),TRUNC(O191)&lt;TODAY())</formula>
    </cfRule>
  </conditionalFormatting>
  <conditionalFormatting sqref="P207:Q207">
    <cfRule type="expression" dxfId="1907" priority="306">
      <formula>AND(ISNUMBER(P207),TRUNC(P207)&lt;TODAY())</formula>
    </cfRule>
  </conditionalFormatting>
  <conditionalFormatting sqref="P207">
    <cfRule type="expression" dxfId="1906" priority="307">
      <formula>AND(ISNUMBER(P207),TRUNC(P207)&lt;TODAY())</formula>
    </cfRule>
  </conditionalFormatting>
  <conditionalFormatting sqref="O207">
    <cfRule type="expression" dxfId="1905" priority="308">
      <formula>AND(ISNUMBER(O207),TRUNC(O207)&lt;TODAY())</formula>
    </cfRule>
  </conditionalFormatting>
  <conditionalFormatting sqref="V207">
    <cfRule type="notContainsBlanks" dxfId="1904" priority="309">
      <formula>LEN(TRIM(V207))&gt;0</formula>
    </cfRule>
  </conditionalFormatting>
  <conditionalFormatting sqref="F207">
    <cfRule type="containsText" dxfId="1903" priority="310" operator="containsText" text="F">
      <formula>NOT(ISERROR(SEARCH(("F"),(F207))))</formula>
    </cfRule>
  </conditionalFormatting>
  <conditionalFormatting sqref="O206">
    <cfRule type="expression" dxfId="1902" priority="311">
      <formula>AND(ISNUMBER(O206),TRUNC(O206)&lt;TODAY())</formula>
    </cfRule>
  </conditionalFormatting>
  <conditionalFormatting sqref="F206">
    <cfRule type="containsText" dxfId="1901" priority="312" operator="containsText" text="F">
      <formula>NOT(ISERROR(SEARCH(("F"),(F206))))</formula>
    </cfRule>
  </conditionalFormatting>
  <conditionalFormatting sqref="Q206">
    <cfRule type="expression" dxfId="1900" priority="313">
      <formula>AND(ISNUMBER(Q206),TRUNC(Q206)&lt;TODAY())</formula>
    </cfRule>
  </conditionalFormatting>
  <conditionalFormatting sqref="P206">
    <cfRule type="expression" dxfId="1899" priority="314">
      <formula>AND(ISNUMBER(P206),TRUNC(P206)&lt;TODAY())</formula>
    </cfRule>
  </conditionalFormatting>
  <conditionalFormatting sqref="P205:Q205">
    <cfRule type="expression" dxfId="1898" priority="315">
      <formula>AND(ISNUMBER(P205),TRUNC(P205)&lt;TODAY())</formula>
    </cfRule>
  </conditionalFormatting>
  <conditionalFormatting sqref="F205">
    <cfRule type="containsText" dxfId="1897" priority="316" operator="containsText" text="F">
      <formula>NOT(ISERROR(SEARCH(("F"),(F205))))</formula>
    </cfRule>
  </conditionalFormatting>
  <conditionalFormatting sqref="O205">
    <cfRule type="expression" dxfId="1896" priority="317">
      <formula>AND(ISNUMBER(O205),TRUNC(O205)&lt;TODAY())</formula>
    </cfRule>
  </conditionalFormatting>
  <conditionalFormatting sqref="P205">
    <cfRule type="expression" dxfId="1895" priority="318">
      <formula>AND(ISNUMBER(P205),TRUNC(P205)&lt;TODAY())</formula>
    </cfRule>
  </conditionalFormatting>
  <conditionalFormatting sqref="V205">
    <cfRule type="notContainsBlanks" dxfId="1894" priority="319">
      <formula>LEN(TRIM(V205))&gt;0</formula>
    </cfRule>
  </conditionalFormatting>
  <conditionalFormatting sqref="O271:Q271">
    <cfRule type="expression" dxfId="1893" priority="320">
      <formula>AND(ISNUMBER(O271),TRUNC(O271)&lt;TODAY())</formula>
    </cfRule>
  </conditionalFormatting>
  <conditionalFormatting sqref="F271">
    <cfRule type="containsText" dxfId="1892" priority="321" operator="containsText" text="F">
      <formula>NOT(ISERROR(SEARCH(("F"),(F271))))</formula>
    </cfRule>
  </conditionalFormatting>
  <conditionalFormatting sqref="V190">
    <cfRule type="notContainsBlanks" dxfId="1891" priority="322">
      <formula>LEN(TRIM(V190))&gt;0</formula>
    </cfRule>
  </conditionalFormatting>
  <conditionalFormatting sqref="P190">
    <cfRule type="expression" dxfId="1890" priority="323">
      <formula>AND(ISNUMBER(P190),TRUNC(P190)&lt;TODAY())</formula>
    </cfRule>
  </conditionalFormatting>
  <conditionalFormatting sqref="Q190">
    <cfRule type="expression" dxfId="1889" priority="324">
      <formula>AND(ISNUMBER(Q190),TRUNC(Q190)&lt;TODAY())</formula>
    </cfRule>
  </conditionalFormatting>
  <conditionalFormatting sqref="O190">
    <cfRule type="expression" dxfId="1888" priority="325">
      <formula>AND(ISNUMBER(O190),TRUNC(O190)&lt;TODAY())</formula>
    </cfRule>
  </conditionalFormatting>
  <conditionalFormatting sqref="F190">
    <cfRule type="containsText" dxfId="1887" priority="326" operator="containsText" text="F">
      <formula>NOT(ISERROR(SEARCH(("F"),(F190))))</formula>
    </cfRule>
  </conditionalFormatting>
  <conditionalFormatting sqref="V187">
    <cfRule type="notContainsBlanks" dxfId="1886" priority="327">
      <formula>LEN(TRIM(V187))&gt;0</formula>
    </cfRule>
  </conditionalFormatting>
  <conditionalFormatting sqref="O187">
    <cfRule type="expression" dxfId="1885" priority="328">
      <formula>AND(ISNUMBER(O187),TRUNC(O187)&lt;TODAY())</formula>
    </cfRule>
  </conditionalFormatting>
  <conditionalFormatting sqref="Q187">
    <cfRule type="expression" dxfId="1884" priority="329">
      <formula>AND(ISNUMBER(Q187),TRUNC(Q187)&lt;TODAY())</formula>
    </cfRule>
  </conditionalFormatting>
  <conditionalFormatting sqref="Q187">
    <cfRule type="expression" dxfId="1883" priority="330">
      <formula>AND(ISNUMBER(Q187),TRUNC(Q187)&lt;TODAY())</formula>
    </cfRule>
  </conditionalFormatting>
  <conditionalFormatting sqref="P187">
    <cfRule type="expression" dxfId="1882" priority="331">
      <formula>AND(ISNUMBER(P187),TRUNC(P187)&lt;TODAY())</formula>
    </cfRule>
  </conditionalFormatting>
  <conditionalFormatting sqref="F187">
    <cfRule type="containsText" dxfId="1881" priority="332" operator="containsText" text="F">
      <formula>NOT(ISERROR(SEARCH(("F"),(F187))))</formula>
    </cfRule>
  </conditionalFormatting>
  <conditionalFormatting sqref="F129">
    <cfRule type="containsText" dxfId="1880" priority="333" operator="containsText" text="F">
      <formula>NOT(ISERROR(SEARCH(("F"),(F129))))</formula>
    </cfRule>
  </conditionalFormatting>
  <conditionalFormatting sqref="O129:Q129">
    <cfRule type="expression" dxfId="1879" priority="334">
      <formula>AND(ISNUMBER(O129),TRUNC(O129)&lt;TODAY())</formula>
    </cfRule>
  </conditionalFormatting>
  <conditionalFormatting sqref="O196">
    <cfRule type="expression" dxfId="1878" priority="335">
      <formula>AND(ISNUMBER(O196),TRUNC(O196)&lt;TODAY())</formula>
    </cfRule>
  </conditionalFormatting>
  <conditionalFormatting sqref="P196:Q196">
    <cfRule type="expression" dxfId="1877" priority="336">
      <formula>AND(ISNUMBER(P196),TRUNC(P196)&lt;TODAY())</formula>
    </cfRule>
  </conditionalFormatting>
  <conditionalFormatting sqref="P196">
    <cfRule type="expression" dxfId="1876" priority="337">
      <formula>AND(ISNUMBER(P196),TRUNC(P196)&lt;TODAY())</formula>
    </cfRule>
  </conditionalFormatting>
  <conditionalFormatting sqref="F196">
    <cfRule type="containsText" dxfId="1875" priority="338" operator="containsText" text="F">
      <formula>NOT(ISERROR(SEARCH(("F"),(F196))))</formula>
    </cfRule>
  </conditionalFormatting>
  <conditionalFormatting sqref="Q193">
    <cfRule type="expression" dxfId="1874" priority="339">
      <formula>AND(ISNUMBER(Q193),TRUNC(Q193)&lt;TODAY())</formula>
    </cfRule>
  </conditionalFormatting>
  <conditionalFormatting sqref="P193">
    <cfRule type="expression" dxfId="1873" priority="340">
      <formula>AND(ISNUMBER(P193),TRUNC(P193)&lt;TODAY())</formula>
    </cfRule>
  </conditionalFormatting>
  <conditionalFormatting sqref="F193">
    <cfRule type="containsText" dxfId="1872" priority="341" operator="containsText" text="F">
      <formula>NOT(ISERROR(SEARCH(("F"),(F193))))</formula>
    </cfRule>
  </conditionalFormatting>
  <conditionalFormatting sqref="P185:Q185">
    <cfRule type="expression" dxfId="1871" priority="342">
      <formula>AND(ISNUMBER(P185),TRUNC(P185)&lt;TODAY())</formula>
    </cfRule>
  </conditionalFormatting>
  <conditionalFormatting sqref="O185">
    <cfRule type="expression" dxfId="1870" priority="343">
      <formula>AND(ISNUMBER(O185),TRUNC(O185)&lt;TODAY())</formula>
    </cfRule>
  </conditionalFormatting>
  <conditionalFormatting sqref="P185">
    <cfRule type="expression" dxfId="1869" priority="344">
      <formula>AND(ISNUMBER(P185),TRUNC(P185)&lt;TODAY())</formula>
    </cfRule>
  </conditionalFormatting>
  <conditionalFormatting sqref="F185">
    <cfRule type="containsText" dxfId="1868" priority="345" operator="containsText" text="F">
      <formula>NOT(ISERROR(SEARCH(("F"),(F185))))</formula>
    </cfRule>
  </conditionalFormatting>
  <conditionalFormatting sqref="O270:Q270">
    <cfRule type="expression" dxfId="1867" priority="346">
      <formula>AND(ISNUMBER(O270),TRUNC(O270)&lt;TODAY())</formula>
    </cfRule>
  </conditionalFormatting>
  <conditionalFormatting sqref="F270">
    <cfRule type="containsText" dxfId="1866" priority="347" operator="containsText" text="F">
      <formula>NOT(ISERROR(SEARCH(("F"),(F270))))</formula>
    </cfRule>
  </conditionalFormatting>
  <conditionalFormatting sqref="F269">
    <cfRule type="containsText" dxfId="1865" priority="348" operator="containsText" text="F">
      <formula>NOT(ISERROR(SEARCH(("F"),(F269))))</formula>
    </cfRule>
  </conditionalFormatting>
  <conditionalFormatting sqref="O269:Q269">
    <cfRule type="expression" dxfId="1864" priority="349">
      <formula>AND(ISNUMBER(O269),TRUNC(O269)&lt;TODAY())</formula>
    </cfRule>
  </conditionalFormatting>
  <conditionalFormatting sqref="F268">
    <cfRule type="containsText" dxfId="1863" priority="350" operator="containsText" text="F">
      <formula>NOT(ISERROR(SEARCH(("F"),(F268))))</formula>
    </cfRule>
  </conditionalFormatting>
  <conditionalFormatting sqref="O268:Q268">
    <cfRule type="expression" dxfId="1862" priority="351">
      <formula>AND(ISNUMBER(O268),TRUNC(O268)&lt;TODAY())</formula>
    </cfRule>
  </conditionalFormatting>
  <conditionalFormatting sqref="P268">
    <cfRule type="expression" dxfId="1861" priority="352">
      <formula>AND(ISNUMBER(P268),TRUNC(P268)&lt;TODAY())</formula>
    </cfRule>
  </conditionalFormatting>
  <conditionalFormatting sqref="F267">
    <cfRule type="containsText" dxfId="1860" priority="353" operator="containsText" text="F">
      <formula>NOT(ISERROR(SEARCH(("F"),(F267))))</formula>
    </cfRule>
  </conditionalFormatting>
  <conditionalFormatting sqref="O267">
    <cfRule type="expression" dxfId="1859" priority="354">
      <formula>AND(ISNUMBER(O267),TRUNC(O267)&lt;TODAY())</formula>
    </cfRule>
  </conditionalFormatting>
  <conditionalFormatting sqref="P267">
    <cfRule type="expression" dxfId="1858" priority="355">
      <formula>AND(ISNUMBER(P267),TRUNC(P267)&lt;TODAY())</formula>
    </cfRule>
  </conditionalFormatting>
  <conditionalFormatting sqref="Q267">
    <cfRule type="expression" dxfId="1857" priority="356">
      <formula>AND(ISNUMBER(Q267),TRUNC(Q267)&lt;TODAY())</formula>
    </cfRule>
  </conditionalFormatting>
  <conditionalFormatting sqref="O266:Q266">
    <cfRule type="expression" dxfId="1856" priority="357">
      <formula>AND(ISNUMBER(O266),TRUNC(O266)&lt;TODAY())</formula>
    </cfRule>
  </conditionalFormatting>
  <conditionalFormatting sqref="F266">
    <cfRule type="containsText" dxfId="1855" priority="358" operator="containsText" text="F">
      <formula>NOT(ISERROR(SEARCH(("F"),(F266))))</formula>
    </cfRule>
  </conditionalFormatting>
  <conditionalFormatting sqref="F130">
    <cfRule type="containsText" dxfId="1854" priority="359" operator="containsText" text="F">
      <formula>NOT(ISERROR(SEARCH(("F"),(F130))))</formula>
    </cfRule>
  </conditionalFormatting>
  <conditionalFormatting sqref="O130:Q130">
    <cfRule type="expression" dxfId="1853" priority="360">
      <formula>AND(ISNUMBER(O130),TRUNC(O130)&lt;TODAY())</formula>
    </cfRule>
  </conditionalFormatting>
  <conditionalFormatting sqref="F128">
    <cfRule type="containsText" dxfId="1852" priority="361" operator="containsText" text="F">
      <formula>NOT(ISERROR(SEARCH(("F"),(F128))))</formula>
    </cfRule>
  </conditionalFormatting>
  <conditionalFormatting sqref="O128:Q128">
    <cfRule type="expression" dxfId="1851" priority="362">
      <formula>AND(ISNUMBER(O128),TRUNC(O128)&lt;TODAY())</formula>
    </cfRule>
  </conditionalFormatting>
  <conditionalFormatting sqref="F127">
    <cfRule type="containsText" dxfId="1850" priority="363" operator="containsText" text="F">
      <formula>NOT(ISERROR(SEARCH(("F"),(F127))))</formula>
    </cfRule>
  </conditionalFormatting>
  <conditionalFormatting sqref="O127:Q127">
    <cfRule type="expression" dxfId="1849" priority="364">
      <formula>AND(ISNUMBER(O127),TRUNC(O127)&lt;TODAY())</formula>
    </cfRule>
  </conditionalFormatting>
  <conditionalFormatting sqref="F126">
    <cfRule type="containsText" dxfId="1848" priority="365" operator="containsText" text="F">
      <formula>NOT(ISERROR(SEARCH(("F"),(F126))))</formula>
    </cfRule>
  </conditionalFormatting>
  <conditionalFormatting sqref="O126">
    <cfRule type="expression" dxfId="1847" priority="366">
      <formula>AND(ISNUMBER(O126),TRUNC(O126)&lt;TODAY())</formula>
    </cfRule>
  </conditionalFormatting>
  <conditionalFormatting sqref="Q126">
    <cfRule type="expression" dxfId="1846" priority="367">
      <formula>AND(ISNUMBER(Q126),TRUNC(Q126)&lt;TODAY())</formula>
    </cfRule>
  </conditionalFormatting>
  <conditionalFormatting sqref="P126">
    <cfRule type="expression" dxfId="1845" priority="368">
      <formula>AND(ISNUMBER(P126),TRUNC(P126)&lt;TODAY())</formula>
    </cfRule>
  </conditionalFormatting>
  <conditionalFormatting sqref="F125">
    <cfRule type="containsText" dxfId="1844" priority="369" operator="containsText" text="F">
      <formula>NOT(ISERROR(SEARCH(("F"),(F125))))</formula>
    </cfRule>
  </conditionalFormatting>
  <conditionalFormatting sqref="O125:Q125">
    <cfRule type="expression" dxfId="1843" priority="370">
      <formula>AND(ISNUMBER(O125),TRUNC(O125)&lt;TODAY())</formula>
    </cfRule>
  </conditionalFormatting>
  <conditionalFormatting sqref="F124">
    <cfRule type="containsText" dxfId="1842" priority="371" operator="containsText" text="F">
      <formula>NOT(ISERROR(SEARCH(("F"),(F124))))</formula>
    </cfRule>
  </conditionalFormatting>
  <conditionalFormatting sqref="V124">
    <cfRule type="notContainsBlanks" dxfId="1841" priority="372">
      <formula>LEN(TRIM(V124))&gt;0</formula>
    </cfRule>
  </conditionalFormatting>
  <conditionalFormatting sqref="O124">
    <cfRule type="expression" dxfId="1840" priority="373">
      <formula>AND(ISNUMBER(O124),TRUNC(O124)&lt;TODAY())</formula>
    </cfRule>
  </conditionalFormatting>
  <conditionalFormatting sqref="Q124">
    <cfRule type="expression" dxfId="1839" priority="374">
      <formula>AND(ISNUMBER(Q124),TRUNC(Q124)&lt;TODAY())</formula>
    </cfRule>
  </conditionalFormatting>
  <conditionalFormatting sqref="P124">
    <cfRule type="expression" dxfId="1838" priority="375">
      <formula>AND(ISNUMBER(P124),TRUNC(P124)&lt;TODAY())</formula>
    </cfRule>
  </conditionalFormatting>
  <conditionalFormatting sqref="F123">
    <cfRule type="containsText" dxfId="1837" priority="376" operator="containsText" text="F">
      <formula>NOT(ISERROR(SEARCH(("F"),(F123))))</formula>
    </cfRule>
  </conditionalFormatting>
  <conditionalFormatting sqref="O123:Q123">
    <cfRule type="expression" dxfId="1836" priority="377">
      <formula>AND(ISNUMBER(O123),TRUNC(O123)&lt;TODAY())</formula>
    </cfRule>
  </conditionalFormatting>
  <conditionalFormatting sqref="P122">
    <cfRule type="expression" dxfId="1835" priority="378">
      <formula>AND(ISNUMBER(P122),TRUNC(P122)&lt;TODAY())</formula>
    </cfRule>
  </conditionalFormatting>
  <conditionalFormatting sqref="F122">
    <cfRule type="containsText" dxfId="1834" priority="379" operator="containsText" text="F">
      <formula>NOT(ISERROR(SEARCH(("F"),(F122))))</formula>
    </cfRule>
  </conditionalFormatting>
  <conditionalFormatting sqref="O121:Q121">
    <cfRule type="expression" dxfId="1833" priority="380">
      <formula>AND(ISNUMBER(O121),TRUNC(O121)&lt;TODAY())</formula>
    </cfRule>
  </conditionalFormatting>
  <conditionalFormatting sqref="F121">
    <cfRule type="containsText" dxfId="1832" priority="381" operator="containsText" text="F">
      <formula>NOT(ISERROR(SEARCH(("F"),(F121))))</formula>
    </cfRule>
  </conditionalFormatting>
  <conditionalFormatting sqref="F120">
    <cfRule type="containsText" dxfId="1831" priority="382" operator="containsText" text="F">
      <formula>NOT(ISERROR(SEARCH(("F"),(F120))))</formula>
    </cfRule>
  </conditionalFormatting>
  <conditionalFormatting sqref="O120:Q120">
    <cfRule type="expression" dxfId="1830" priority="383">
      <formula>AND(ISNUMBER(O120),TRUNC(O120)&lt;TODAY())</formula>
    </cfRule>
  </conditionalFormatting>
  <conditionalFormatting sqref="F119">
    <cfRule type="containsText" dxfId="1829" priority="384" operator="containsText" text="F">
      <formula>NOT(ISERROR(SEARCH(("F"),(F119))))</formula>
    </cfRule>
  </conditionalFormatting>
  <conditionalFormatting sqref="O119:Q119">
    <cfRule type="expression" dxfId="1828" priority="385">
      <formula>AND(ISNUMBER(O119),TRUNC(O119)&lt;TODAY())</formula>
    </cfRule>
  </conditionalFormatting>
  <conditionalFormatting sqref="O118:Q118">
    <cfRule type="expression" dxfId="1827" priority="386">
      <formula>AND(ISNUMBER(O118),TRUNC(O118)&lt;TODAY())</formula>
    </cfRule>
  </conditionalFormatting>
  <conditionalFormatting sqref="F118">
    <cfRule type="containsText" dxfId="1826" priority="387" operator="containsText" text="F">
      <formula>NOT(ISERROR(SEARCH(("F"),(F118))))</formula>
    </cfRule>
  </conditionalFormatting>
  <conditionalFormatting sqref="F117">
    <cfRule type="containsText" dxfId="1825" priority="388" operator="containsText" text="F">
      <formula>NOT(ISERROR(SEARCH(("F"),(F117))))</formula>
    </cfRule>
  </conditionalFormatting>
  <conditionalFormatting sqref="O117:Q117">
    <cfRule type="expression" dxfId="1824" priority="389">
      <formula>AND(ISNUMBER(O117),TRUNC(O117)&lt;TODAY())</formula>
    </cfRule>
  </conditionalFormatting>
  <conditionalFormatting sqref="F116">
    <cfRule type="containsText" dxfId="1823" priority="390" operator="containsText" text="F">
      <formula>NOT(ISERROR(SEARCH(("F"),(F116))))</formula>
    </cfRule>
  </conditionalFormatting>
  <conditionalFormatting sqref="O116:Q116">
    <cfRule type="expression" dxfId="1822" priority="391">
      <formula>AND(ISNUMBER(O116),TRUNC(O116)&lt;TODAY())</formula>
    </cfRule>
  </conditionalFormatting>
  <conditionalFormatting sqref="O115:Q115">
    <cfRule type="expression" dxfId="1821" priority="392">
      <formula>AND(ISNUMBER(O115),TRUNC(O115)&lt;TODAY())</formula>
    </cfRule>
  </conditionalFormatting>
  <conditionalFormatting sqref="F115">
    <cfRule type="containsText" dxfId="1820" priority="393" operator="containsText" text="F">
      <formula>NOT(ISERROR(SEARCH(("F"),(F115))))</formula>
    </cfRule>
  </conditionalFormatting>
  <conditionalFormatting sqref="F114">
    <cfRule type="containsText" dxfId="1819" priority="394" operator="containsText" text="F">
      <formula>NOT(ISERROR(SEARCH(("F"),(F114))))</formula>
    </cfRule>
  </conditionalFormatting>
  <conditionalFormatting sqref="O114:Q114">
    <cfRule type="expression" dxfId="1818" priority="395">
      <formula>AND(ISNUMBER(O114),TRUNC(O114)&lt;TODAY())</formula>
    </cfRule>
  </conditionalFormatting>
  <conditionalFormatting sqref="O113:Q113">
    <cfRule type="expression" dxfId="1817" priority="396">
      <formula>AND(ISNUMBER(O113),TRUNC(O113)&lt;TODAY())</formula>
    </cfRule>
  </conditionalFormatting>
  <conditionalFormatting sqref="F113">
    <cfRule type="containsText" dxfId="1816" priority="397" operator="containsText" text="F">
      <formula>NOT(ISERROR(SEARCH(("F"),(F113))))</formula>
    </cfRule>
  </conditionalFormatting>
  <conditionalFormatting sqref="O112:Q112">
    <cfRule type="expression" dxfId="1815" priority="398">
      <formula>AND(ISNUMBER(O112),TRUNC(O112)&lt;TODAY())</formula>
    </cfRule>
  </conditionalFormatting>
  <conditionalFormatting sqref="O23:Q23">
    <cfRule type="expression" dxfId="1814" priority="399">
      <formula>AND(ISNUMBER(O23),TRUNC(O23)&lt;TODAY())</formula>
    </cfRule>
  </conditionalFormatting>
  <conditionalFormatting sqref="F112">
    <cfRule type="containsText" dxfId="1813" priority="400" operator="containsText" text="F">
      <formula>NOT(ISERROR(SEARCH(("F"),(F112))))</formula>
    </cfRule>
  </conditionalFormatting>
  <conditionalFormatting sqref="F23">
    <cfRule type="containsText" dxfId="1812" priority="401" operator="containsText" text="F">
      <formula>NOT(ISERROR(SEARCH(("F"),(F23))))</formula>
    </cfRule>
  </conditionalFormatting>
  <conditionalFormatting sqref="P265">
    <cfRule type="expression" dxfId="1811" priority="402">
      <formula>AND(ISNUMBER(P265),TRUNC(P265)&lt;TODAY())</formula>
    </cfRule>
  </conditionalFormatting>
  <conditionalFormatting sqref="F265">
    <cfRule type="containsText" dxfId="1810" priority="403" operator="containsText" text="F">
      <formula>NOT(ISERROR(SEARCH(("F"),(F265))))</formula>
    </cfRule>
  </conditionalFormatting>
  <conditionalFormatting sqref="O265:Q265">
    <cfRule type="expression" dxfId="1809" priority="404">
      <formula>AND(ISNUMBER(O265),TRUNC(O265)&lt;TODAY())</formula>
    </cfRule>
  </conditionalFormatting>
  <conditionalFormatting sqref="F264">
    <cfRule type="containsText" dxfId="1808" priority="405" operator="containsText" text="F">
      <formula>NOT(ISERROR(SEARCH(("F"),(F264))))</formula>
    </cfRule>
  </conditionalFormatting>
  <conditionalFormatting sqref="O264">
    <cfRule type="expression" dxfId="1807" priority="406">
      <formula>AND(ISNUMBER(O264),TRUNC(O264)&lt;TODAY())</formula>
    </cfRule>
  </conditionalFormatting>
  <conditionalFormatting sqref="P264">
    <cfRule type="expression" dxfId="1806" priority="407">
      <formula>P264&lt;44165</formula>
    </cfRule>
  </conditionalFormatting>
  <conditionalFormatting sqref="P264">
    <cfRule type="expression" dxfId="1805" priority="408">
      <formula>AND(ISNUMBER(P264),TRUNC(P264)&lt;TODAY())</formula>
    </cfRule>
  </conditionalFormatting>
  <conditionalFormatting sqref="P264">
    <cfRule type="expression" dxfId="1804" priority="409">
      <formula>AND(ISNUMBER(P264),TRUNC(P264)&lt;TODAY())</formula>
    </cfRule>
  </conditionalFormatting>
  <conditionalFormatting sqref="Q264">
    <cfRule type="expression" dxfId="1803" priority="410">
      <formula>AND(ISNUMBER(Q264),TRUNC(Q264)&lt;TODAY())</formula>
    </cfRule>
  </conditionalFormatting>
  <conditionalFormatting sqref="O263:Q263">
    <cfRule type="expression" dxfId="1802" priority="411">
      <formula>AND(ISNUMBER(O263),TRUNC(O263)&lt;TODAY())</formula>
    </cfRule>
  </conditionalFormatting>
  <conditionalFormatting sqref="F263">
    <cfRule type="containsText" dxfId="1801" priority="412" operator="containsText" text="F">
      <formula>NOT(ISERROR(SEARCH(("F"),(F263))))</formula>
    </cfRule>
  </conditionalFormatting>
  <conditionalFormatting sqref="O262">
    <cfRule type="expression" dxfId="1800" priority="413">
      <formula>AND(ISNUMBER(O262),TRUNC(O262)&lt;TODAY())</formula>
    </cfRule>
  </conditionalFormatting>
  <conditionalFormatting sqref="P262">
    <cfRule type="expression" dxfId="1799" priority="414">
      <formula>AND(ISNUMBER(P262),TRUNC(P262)&lt;TODAY())</formula>
    </cfRule>
  </conditionalFormatting>
  <conditionalFormatting sqref="Q262">
    <cfRule type="expression" dxfId="1798" priority="415">
      <formula>AND(ISNUMBER(Q262),TRUNC(Q262)&lt;TODAY())</formula>
    </cfRule>
  </conditionalFormatting>
  <conditionalFormatting sqref="F262">
    <cfRule type="containsText" dxfId="1797" priority="416" operator="containsText" text="F">
      <formula>NOT(ISERROR(SEARCH(("F"),(F262))))</formula>
    </cfRule>
  </conditionalFormatting>
  <conditionalFormatting sqref="O261:Q261">
    <cfRule type="expression" dxfId="1796" priority="417">
      <formula>AND(ISNUMBER(O261),TRUNC(O261)&lt;TODAY())</formula>
    </cfRule>
  </conditionalFormatting>
  <conditionalFormatting sqref="F261">
    <cfRule type="containsText" dxfId="1795" priority="418" operator="containsText" text="F">
      <formula>NOT(ISERROR(SEARCH(("F"),(F261))))</formula>
    </cfRule>
  </conditionalFormatting>
  <conditionalFormatting sqref="O260:Q260">
    <cfRule type="expression" dxfId="1794" priority="419">
      <formula>AND(ISNUMBER(O260),TRUNC(O260)&lt;TODAY())</formula>
    </cfRule>
  </conditionalFormatting>
  <conditionalFormatting sqref="F260">
    <cfRule type="containsText" dxfId="1793" priority="420" operator="containsText" text="F">
      <formula>NOT(ISERROR(SEARCH(("F"),(F260))))</formula>
    </cfRule>
  </conditionalFormatting>
  <conditionalFormatting sqref="O259:Q259">
    <cfRule type="expression" dxfId="1792" priority="421">
      <formula>AND(ISNUMBER(O259),TRUNC(O259)&lt;TODAY())</formula>
    </cfRule>
  </conditionalFormatting>
  <conditionalFormatting sqref="F259">
    <cfRule type="containsText" dxfId="1791" priority="422" operator="containsText" text="F">
      <formula>NOT(ISERROR(SEARCH(("F"),(F259))))</formula>
    </cfRule>
  </conditionalFormatting>
  <conditionalFormatting sqref="O258:Q258">
    <cfRule type="expression" dxfId="1790" priority="423">
      <formula>AND(ISNUMBER(O258),TRUNC(O258)&lt;TODAY())</formula>
    </cfRule>
  </conditionalFormatting>
  <conditionalFormatting sqref="F258">
    <cfRule type="containsText" dxfId="1789" priority="424" operator="containsText" text="F">
      <formula>NOT(ISERROR(SEARCH(("F"),(F258))))</formula>
    </cfRule>
  </conditionalFormatting>
  <conditionalFormatting sqref="O257:Q257">
    <cfRule type="expression" dxfId="1788" priority="425">
      <formula>AND(ISNUMBER(O257),TRUNC(O257)&lt;TODAY())</formula>
    </cfRule>
  </conditionalFormatting>
  <conditionalFormatting sqref="F257">
    <cfRule type="containsText" dxfId="1787" priority="426" operator="containsText" text="F">
      <formula>NOT(ISERROR(SEARCH(("F"),(F257))))</formula>
    </cfRule>
  </conditionalFormatting>
  <conditionalFormatting sqref="O181:Q181">
    <cfRule type="expression" dxfId="1786" priority="427">
      <formula>AND(ISNUMBER(O181),TRUNC(O181)&lt;TODAY())</formula>
    </cfRule>
  </conditionalFormatting>
  <conditionalFormatting sqref="F181">
    <cfRule type="containsText" dxfId="1785" priority="428" operator="containsText" text="F">
      <formula>NOT(ISERROR(SEARCH(("F"),(F181))))</formula>
    </cfRule>
  </conditionalFormatting>
  <conditionalFormatting sqref="O111:Q111">
    <cfRule type="expression" dxfId="1784" priority="429">
      <formula>AND(ISNUMBER(O111),TRUNC(O111)&lt;TODAY())</formula>
    </cfRule>
  </conditionalFormatting>
  <conditionalFormatting sqref="F111">
    <cfRule type="containsText" dxfId="1783" priority="430" operator="containsText" text="F">
      <formula>NOT(ISERROR(SEARCH(("F"),(F111))))</formula>
    </cfRule>
  </conditionalFormatting>
  <conditionalFormatting sqref="O110:Q110">
    <cfRule type="expression" dxfId="1782" priority="431">
      <formula>AND(ISNUMBER(O110),TRUNC(O110)&lt;TODAY())</formula>
    </cfRule>
  </conditionalFormatting>
  <conditionalFormatting sqref="F110">
    <cfRule type="containsText" dxfId="1781" priority="432" operator="containsText" text="F">
      <formula>NOT(ISERROR(SEARCH(("F"),(F110))))</formula>
    </cfRule>
  </conditionalFormatting>
  <conditionalFormatting sqref="O109:Q109">
    <cfRule type="expression" dxfId="1780" priority="433">
      <formula>AND(ISNUMBER(O109),TRUNC(O109)&lt;TODAY())</formula>
    </cfRule>
  </conditionalFormatting>
  <conditionalFormatting sqref="F109">
    <cfRule type="containsText" dxfId="1779" priority="434" operator="containsText" text="F">
      <formula>NOT(ISERROR(SEARCH(("F"),(F109))))</formula>
    </cfRule>
  </conditionalFormatting>
  <conditionalFormatting sqref="F186">
    <cfRule type="containsText" dxfId="1778" priority="435" operator="containsText" text="F">
      <formula>NOT(ISERROR(SEARCH(("F"),(F186))))</formula>
    </cfRule>
  </conditionalFormatting>
  <conditionalFormatting sqref="O186:Q186">
    <cfRule type="expression" dxfId="1777" priority="436">
      <formula>AND(ISNUMBER(O186),TRUNC(O186)&lt;TODAY())</formula>
    </cfRule>
  </conditionalFormatting>
  <conditionalFormatting sqref="O183:Q183">
    <cfRule type="expression" dxfId="1776" priority="437">
      <formula>AND(ISNUMBER(O183),TRUNC(O183)&lt;TODAY())</formula>
    </cfRule>
  </conditionalFormatting>
  <conditionalFormatting sqref="F183">
    <cfRule type="containsText" dxfId="1775" priority="438" operator="containsText" text="F">
      <formula>NOT(ISERROR(SEARCH(("F"),(F183))))</formula>
    </cfRule>
  </conditionalFormatting>
  <conditionalFormatting sqref="O256:Q256">
    <cfRule type="expression" dxfId="1774" priority="439">
      <formula>AND(ISNUMBER(O256),TRUNC(O256)&lt;TODAY())</formula>
    </cfRule>
  </conditionalFormatting>
  <conditionalFormatting sqref="F256">
    <cfRule type="containsText" dxfId="1773" priority="440" operator="containsText" text="F">
      <formula>NOT(ISERROR(SEARCH(("F"),(F256))))</formula>
    </cfRule>
  </conditionalFormatting>
  <conditionalFormatting sqref="O255:Q255">
    <cfRule type="expression" dxfId="1772" priority="441">
      <formula>AND(ISNUMBER(O255),TRUNC(O255)&lt;TODAY())</formula>
    </cfRule>
  </conditionalFormatting>
  <conditionalFormatting sqref="F255">
    <cfRule type="containsText" dxfId="1771" priority="442" operator="containsText" text="F">
      <formula>NOT(ISERROR(SEARCH(("F"),(F255))))</formula>
    </cfRule>
  </conditionalFormatting>
  <conditionalFormatting sqref="F180">
    <cfRule type="containsText" dxfId="1770" priority="443" operator="containsText" text="F">
      <formula>NOT(ISERROR(SEARCH(("F"),(F180))))</formula>
    </cfRule>
  </conditionalFormatting>
  <conditionalFormatting sqref="P180">
    <cfRule type="expression" dxfId="1769" priority="444">
      <formula>AND(ISNUMBER(P180),TRUNC(P180)&lt;TODAY())</formula>
    </cfRule>
  </conditionalFormatting>
  <conditionalFormatting sqref="O180">
    <cfRule type="expression" dxfId="1768" priority="445">
      <formula>AND(ISNUMBER(O180),TRUNC(O180)&lt;TODAY())</formula>
    </cfRule>
  </conditionalFormatting>
  <conditionalFormatting sqref="P180:Q180">
    <cfRule type="expression" dxfId="1767" priority="446">
      <formula>AND(ISNUMBER(P180),TRUNC(P180)&lt;TODAY())</formula>
    </cfRule>
  </conditionalFormatting>
  <conditionalFormatting sqref="P254">
    <cfRule type="expression" dxfId="1766" priority="447">
      <formula>AND(ISNUMBER(P254),TRUNC(P254)&lt;TODAY())</formula>
    </cfRule>
  </conditionalFormatting>
  <conditionalFormatting sqref="F254">
    <cfRule type="containsText" dxfId="1765" priority="448" operator="containsText" text="F">
      <formula>NOT(ISERROR(SEARCH(("F"),(F254))))</formula>
    </cfRule>
  </conditionalFormatting>
  <conditionalFormatting sqref="O254">
    <cfRule type="expression" dxfId="1764" priority="449">
      <formula>AND(ISNUMBER(O254),TRUNC(O254)&lt;TODAY())</formula>
    </cfRule>
  </conditionalFormatting>
  <conditionalFormatting sqref="Q254">
    <cfRule type="expression" dxfId="1763" priority="450">
      <formula>AND(ISNUMBER(Q254),TRUNC(Q254)&lt;TODAY())</formula>
    </cfRule>
  </conditionalFormatting>
  <conditionalFormatting sqref="Q254">
    <cfRule type="expression" dxfId="1762" priority="451">
      <formula>AND(ISNUMBER(Q254),TRUNC(Q254)&lt;TODAY())</formula>
    </cfRule>
  </conditionalFormatting>
  <conditionalFormatting sqref="V254">
    <cfRule type="notContainsBlanks" dxfId="1761" priority="452">
      <formula>LEN(TRIM(V254))&gt;0</formula>
    </cfRule>
  </conditionalFormatting>
  <conditionalFormatting sqref="Q253">
    <cfRule type="expression" dxfId="1760" priority="453">
      <formula>AND(ISNUMBER(Q253),TRUNC(Q253)&lt;TODAY())</formula>
    </cfRule>
  </conditionalFormatting>
  <conditionalFormatting sqref="O253">
    <cfRule type="expression" dxfId="1759" priority="454">
      <formula>AND(ISNUMBER(O253),TRUNC(O253)&lt;TODAY())</formula>
    </cfRule>
  </conditionalFormatting>
  <conditionalFormatting sqref="P253">
    <cfRule type="expression" dxfId="1758" priority="455">
      <formula>AND(ISNUMBER(P253),TRUNC(P253)&lt;TODAY())</formula>
    </cfRule>
  </conditionalFormatting>
  <conditionalFormatting sqref="F253">
    <cfRule type="containsText" dxfId="1757" priority="456" operator="containsText" text="F">
      <formula>NOT(ISERROR(SEARCH(("F"),(F253))))</formula>
    </cfRule>
  </conditionalFormatting>
  <conditionalFormatting sqref="O252:Q252">
    <cfRule type="expression" dxfId="1756" priority="457">
      <formula>AND(ISNUMBER(O252),TRUNC(O252)&lt;TODAY())</formula>
    </cfRule>
  </conditionalFormatting>
  <conditionalFormatting sqref="F252">
    <cfRule type="containsText" dxfId="1755" priority="458" operator="containsText" text="F">
      <formula>NOT(ISERROR(SEARCH(("F"),(F252))))</formula>
    </cfRule>
  </conditionalFormatting>
  <conditionalFormatting sqref="O251:Q251">
    <cfRule type="expression" dxfId="1754" priority="459">
      <formula>AND(ISNUMBER(O251),TRUNC(O251)&lt;TODAY())</formula>
    </cfRule>
  </conditionalFormatting>
  <conditionalFormatting sqref="F251">
    <cfRule type="containsText" dxfId="1753" priority="460" operator="containsText" text="F">
      <formula>NOT(ISERROR(SEARCH(("F"),(F251))))</formula>
    </cfRule>
  </conditionalFormatting>
  <conditionalFormatting sqref="F250">
    <cfRule type="containsText" dxfId="1752" priority="461" operator="containsText" text="F">
      <formula>NOT(ISERROR(SEARCH(("F"),(F250))))</formula>
    </cfRule>
  </conditionalFormatting>
  <conditionalFormatting sqref="O250">
    <cfRule type="expression" dxfId="1751" priority="462">
      <formula>AND(ISNUMBER(O250),TRUNC(O250)&lt;TODAY())</formula>
    </cfRule>
  </conditionalFormatting>
  <conditionalFormatting sqref="P250">
    <cfRule type="expression" dxfId="1750" priority="463">
      <formula>AND(ISNUMBER(P250),TRUNC(P250)&lt;TODAY())</formula>
    </cfRule>
  </conditionalFormatting>
  <conditionalFormatting sqref="Q250">
    <cfRule type="expression" dxfId="1749" priority="464">
      <formula>AND(ISNUMBER(Q250),TRUNC(Q250)&lt;TODAY())</formula>
    </cfRule>
  </conditionalFormatting>
  <conditionalFormatting sqref="O249:Q249">
    <cfRule type="expression" dxfId="1748" priority="465">
      <formula>AND(ISNUMBER(O249),TRUNC(O249)&lt;TODAY())</formula>
    </cfRule>
  </conditionalFormatting>
  <conditionalFormatting sqref="F249">
    <cfRule type="containsText" dxfId="1747" priority="466" operator="containsText" text="F">
      <formula>NOT(ISERROR(SEARCH(("F"),(F249))))</formula>
    </cfRule>
  </conditionalFormatting>
  <conditionalFormatting sqref="N248:Q248">
    <cfRule type="expression" dxfId="1746" priority="467">
      <formula>AND(ISNUMBER(N248),TRUNC(N248)&lt;TODAY())</formula>
    </cfRule>
  </conditionalFormatting>
  <conditionalFormatting sqref="E248">
    <cfRule type="containsText" dxfId="1745" priority="468" operator="containsText" text="F">
      <formula>NOT(ISERROR(SEARCH(("F"),(E248))))</formula>
    </cfRule>
  </conditionalFormatting>
  <conditionalFormatting sqref="O247:Q247">
    <cfRule type="expression" dxfId="1744" priority="469">
      <formula>AND(ISNUMBER(O247),TRUNC(O247)&lt;TODAY())</formula>
    </cfRule>
  </conditionalFormatting>
  <conditionalFormatting sqref="F247">
    <cfRule type="containsText" dxfId="1743" priority="470" operator="containsText" text="F">
      <formula>NOT(ISERROR(SEARCH(("F"),(F247))))</formula>
    </cfRule>
  </conditionalFormatting>
  <conditionalFormatting sqref="O195:Q195">
    <cfRule type="expression" dxfId="1742" priority="471">
      <formula>AND(ISNUMBER(O195),TRUNC(O195)&lt;TODAY())</formula>
    </cfRule>
  </conditionalFormatting>
  <conditionalFormatting sqref="F195">
    <cfRule type="containsText" dxfId="1741" priority="472" operator="containsText" text="F">
      <formula>NOT(ISERROR(SEARCH(("F"),(F195))))</formula>
    </cfRule>
  </conditionalFormatting>
  <conditionalFormatting sqref="O246:Q246">
    <cfRule type="expression" dxfId="1740" priority="473">
      <formula>AND(ISNUMBER(O246),TRUNC(O246)&lt;TODAY())</formula>
    </cfRule>
  </conditionalFormatting>
  <conditionalFormatting sqref="F246">
    <cfRule type="containsText" dxfId="1739" priority="474" operator="containsText" text="F">
      <formula>NOT(ISERROR(SEARCH(("F"),(F246))))</formula>
    </cfRule>
  </conditionalFormatting>
  <conditionalFormatting sqref="O179">
    <cfRule type="expression" dxfId="1738" priority="475">
      <formula>AND(ISNUMBER(O179),TRUNC(O179)&lt;TODAY())</formula>
    </cfRule>
  </conditionalFormatting>
  <conditionalFormatting sqref="O179 Q179">
    <cfRule type="expression" dxfId="1737" priority="476">
      <formula>AND(ISNUMBER(O179),TRUNC(O179)&lt;TODAY())</formula>
    </cfRule>
  </conditionalFormatting>
  <conditionalFormatting sqref="F179">
    <cfRule type="containsText" dxfId="1736" priority="477" operator="containsText" text="F">
      <formula>NOT(ISERROR(SEARCH(("F"),(F179))))</formula>
    </cfRule>
  </conditionalFormatting>
  <conditionalFormatting sqref="Q179">
    <cfRule type="expression" dxfId="1735" priority="478">
      <formula>AND(ISNUMBER(Q179),TRUNC(Q179)&lt;TODAY())</formula>
    </cfRule>
  </conditionalFormatting>
  <conditionalFormatting sqref="P179">
    <cfRule type="expression" dxfId="1734" priority="479">
      <formula>AND(ISNUMBER(P179),TRUNC(P179)&lt;TODAY())</formula>
    </cfRule>
  </conditionalFormatting>
  <conditionalFormatting sqref="O245:Q245">
    <cfRule type="expression" dxfId="1733" priority="480">
      <formula>AND(ISNUMBER(O245),TRUNC(O245)&lt;TODAY())</formula>
    </cfRule>
  </conditionalFormatting>
  <conditionalFormatting sqref="F245">
    <cfRule type="containsText" dxfId="1732" priority="481" operator="containsText" text="F">
      <formula>NOT(ISERROR(SEARCH(("F"),(F245))))</formula>
    </cfRule>
  </conditionalFormatting>
  <conditionalFormatting sqref="O244:Q244">
    <cfRule type="expression" dxfId="1731" priority="482">
      <formula>AND(ISNUMBER(O244),TRUNC(O244)&lt;TODAY())</formula>
    </cfRule>
  </conditionalFormatting>
  <conditionalFormatting sqref="F244">
    <cfRule type="containsText" dxfId="1730" priority="483" operator="containsText" text="F">
      <formula>NOT(ISERROR(SEARCH(("F"),(F244))))</formula>
    </cfRule>
  </conditionalFormatting>
  <conditionalFormatting sqref="O243:Q243">
    <cfRule type="expression" dxfId="1729" priority="484">
      <formula>AND(ISNUMBER(O243),TRUNC(O243)&lt;TODAY())</formula>
    </cfRule>
  </conditionalFormatting>
  <conditionalFormatting sqref="F243">
    <cfRule type="containsText" dxfId="1728" priority="485" operator="containsText" text="F">
      <formula>NOT(ISERROR(SEARCH(("F"),(F243))))</formula>
    </cfRule>
  </conditionalFormatting>
  <conditionalFormatting sqref="F204">
    <cfRule type="containsText" dxfId="1727" priority="486" operator="containsText" text="F">
      <formula>NOT(ISERROR(SEARCH(("F"),(F204))))</formula>
    </cfRule>
  </conditionalFormatting>
  <conditionalFormatting sqref="O204:Q204">
    <cfRule type="expression" dxfId="1726" priority="487">
      <formula>AND(ISNUMBER(O204),TRUNC(O204)&lt;TODAY())</formula>
    </cfRule>
  </conditionalFormatting>
  <conditionalFormatting sqref="P204">
    <cfRule type="expression" dxfId="1725" priority="488">
      <formula>AND(ISNUMBER(P204),TRUNC(P204)&lt;TODAY())</formula>
    </cfRule>
  </conditionalFormatting>
  <conditionalFormatting sqref="P143">
    <cfRule type="expression" dxfId="1724" priority="489">
      <formula>AND(ISNUMBER(P143),TRUNC(P143)&lt;TODAY())</formula>
    </cfRule>
  </conditionalFormatting>
  <conditionalFormatting sqref="O143">
    <cfRule type="expression" dxfId="1723" priority="490">
      <formula>AND(ISNUMBER(O143),TRUNC(O143)&lt;TODAY())</formula>
    </cfRule>
  </conditionalFormatting>
  <conditionalFormatting sqref="F143">
    <cfRule type="containsText" dxfId="1722" priority="491" operator="containsText" text="F">
      <formula>NOT(ISERROR(SEARCH(("F"),(F143))))</formula>
    </cfRule>
  </conditionalFormatting>
  <conditionalFormatting sqref="P141">
    <cfRule type="expression" dxfId="1721" priority="492">
      <formula>AND(ISNUMBER(P141),TRUNC(P141)&lt;TODAY())</formula>
    </cfRule>
  </conditionalFormatting>
  <conditionalFormatting sqref="Q141">
    <cfRule type="expression" dxfId="1720" priority="493">
      <formula>AND(ISNUMBER(Q141),TRUNC(Q141)&lt;TODAY())</formula>
    </cfRule>
  </conditionalFormatting>
  <conditionalFormatting sqref="Q141">
    <cfRule type="expression" dxfId="1719" priority="494">
      <formula>AND(ISNUMBER(Q141),TRUNC(Q141)&lt;TODAY())</formula>
    </cfRule>
  </conditionalFormatting>
  <conditionalFormatting sqref="O141">
    <cfRule type="expression" dxfId="1718" priority="495">
      <formula>AND(ISNUMBER(O141),TRUNC(O141)&lt;TODAY())</formula>
    </cfRule>
  </conditionalFormatting>
  <conditionalFormatting sqref="F141">
    <cfRule type="containsText" dxfId="1717" priority="496" operator="containsText" text="F">
      <formula>NOT(ISERROR(SEARCH(("F"),(F141))))</formula>
    </cfRule>
  </conditionalFormatting>
  <conditionalFormatting sqref="F78">
    <cfRule type="containsText" dxfId="1716" priority="497" operator="containsText" text="F">
      <formula>NOT(ISERROR(SEARCH(("F"),(F78))))</formula>
    </cfRule>
  </conditionalFormatting>
  <conditionalFormatting sqref="O78:Q78">
    <cfRule type="expression" dxfId="1715" priority="498">
      <formula>AND(ISNUMBER(O78),TRUNC(O78)&lt;TODAY())</formula>
    </cfRule>
  </conditionalFormatting>
  <conditionalFormatting sqref="V203">
    <cfRule type="notContainsBlanks" dxfId="1714" priority="499">
      <formula>LEN(TRIM(V203))&gt;0</formula>
    </cfRule>
  </conditionalFormatting>
  <conditionalFormatting sqref="F203">
    <cfRule type="containsText" dxfId="1713" priority="500" operator="containsText" text="F">
      <formula>NOT(ISERROR(SEARCH(("F"),(F203))))</formula>
    </cfRule>
  </conditionalFormatting>
  <conditionalFormatting sqref="P203:Q203">
    <cfRule type="expression" dxfId="1712" priority="501">
      <formula>AND(ISNUMBER(P203),TRUNC(P203)&lt;TODAY())</formula>
    </cfRule>
  </conditionalFormatting>
  <conditionalFormatting sqref="O203">
    <cfRule type="expression" dxfId="1711" priority="502">
      <formula>AND(ISNUMBER(O203),TRUNC(O203)&lt;TODAY())</formula>
    </cfRule>
  </conditionalFormatting>
  <conditionalFormatting sqref="P203">
    <cfRule type="expression" dxfId="1710" priority="503">
      <formula>AND(ISNUMBER(P203),TRUNC(P203)&lt;TODAY())</formula>
    </cfRule>
  </conditionalFormatting>
  <conditionalFormatting sqref="F202">
    <cfRule type="containsText" dxfId="1709" priority="504" operator="containsText" text="F">
      <formula>NOT(ISERROR(SEARCH(("F"),(F202))))</formula>
    </cfRule>
  </conditionalFormatting>
  <conditionalFormatting sqref="O202:Q202">
    <cfRule type="expression" dxfId="1708" priority="505">
      <formula>AND(ISNUMBER(O202),TRUNC(O202)&lt;TODAY())</formula>
    </cfRule>
  </conditionalFormatting>
  <conditionalFormatting sqref="P137">
    <cfRule type="expression" dxfId="1707" priority="506">
      <formula>AND(ISNUMBER(P137),TRUNC(P137)&lt;TODAY())</formula>
    </cfRule>
  </conditionalFormatting>
  <conditionalFormatting sqref="Q137">
    <cfRule type="expression" dxfId="1706" priority="507">
      <formula>AND(ISNUMBER(Q137),TRUNC(Q137)&lt;TODAY())</formula>
    </cfRule>
  </conditionalFormatting>
  <conditionalFormatting sqref="O137">
    <cfRule type="expression" dxfId="1705" priority="508">
      <formula>AND(ISNUMBER(O137),TRUNC(O137)&lt;TODAY())</formula>
    </cfRule>
  </conditionalFormatting>
  <conditionalFormatting sqref="F137">
    <cfRule type="containsText" dxfId="1704" priority="509" operator="containsText" text="F">
      <formula>NOT(ISERROR(SEARCH(("F"),(F137))))</formula>
    </cfRule>
  </conditionalFormatting>
  <conditionalFormatting sqref="F188">
    <cfRule type="containsText" dxfId="1703" priority="510" operator="containsText" text="F">
      <formula>NOT(ISERROR(SEARCH(("F"),(F188))))</formula>
    </cfRule>
  </conditionalFormatting>
  <conditionalFormatting sqref="O188">
    <cfRule type="expression" dxfId="1702" priority="511">
      <formula>AND(ISNUMBER(O188),TRUNC(O188)&lt;TODAY())</formula>
    </cfRule>
  </conditionalFormatting>
  <conditionalFormatting sqref="Q188">
    <cfRule type="expression" dxfId="1701" priority="512">
      <formula>AND(ISNUMBER(Q188),TRUNC(Q188)&lt;TODAY())</formula>
    </cfRule>
  </conditionalFormatting>
  <conditionalFormatting sqref="P188">
    <cfRule type="expression" dxfId="1700" priority="513">
      <formula>AND(ISNUMBER(P188),TRUNC(P188)&lt;TODAY())</formula>
    </cfRule>
  </conditionalFormatting>
  <conditionalFormatting sqref="Q140">
    <cfRule type="expression" dxfId="1699" priority="514">
      <formula>AND(ISNUMBER(Q140),TRUNC(Q140)&lt;TODAY())</formula>
    </cfRule>
  </conditionalFormatting>
  <conditionalFormatting sqref="F140">
    <cfRule type="containsText" dxfId="1698" priority="515" operator="containsText" text="F">
      <formula>NOT(ISERROR(SEARCH(("F"),(F140))))</formula>
    </cfRule>
  </conditionalFormatting>
  <conditionalFormatting sqref="O140">
    <cfRule type="expression" dxfId="1697" priority="516">
      <formula>AND(ISNUMBER(O140),TRUNC(O140)&lt;TODAY())</formula>
    </cfRule>
  </conditionalFormatting>
  <conditionalFormatting sqref="P140">
    <cfRule type="expression" dxfId="1696" priority="517">
      <formula>AND(ISNUMBER(P140),TRUNC(P140)&lt;TODAY())</formula>
    </cfRule>
  </conditionalFormatting>
  <conditionalFormatting sqref="Q136">
    <cfRule type="expression" dxfId="1695" priority="518">
      <formula>AND(ISNUMBER(Q136),TRUNC(Q136)&lt;TODAY())</formula>
    </cfRule>
  </conditionalFormatting>
  <conditionalFormatting sqref="P136">
    <cfRule type="expression" dxfId="1694" priority="519">
      <formula>AND(ISNUMBER(P136),TRUNC(P136)&lt;TODAY())</formula>
    </cfRule>
  </conditionalFormatting>
  <conditionalFormatting sqref="O136">
    <cfRule type="expression" dxfId="1693" priority="520">
      <formula>AND(ISNUMBER(O136),TRUNC(O136)&lt;TODAY())</formula>
    </cfRule>
  </conditionalFormatting>
  <conditionalFormatting sqref="F136">
    <cfRule type="containsText" dxfId="1692" priority="521" operator="containsText" text="F">
      <formula>NOT(ISERROR(SEARCH(("F"),(F136))))</formula>
    </cfRule>
  </conditionalFormatting>
  <conditionalFormatting sqref="F77">
    <cfRule type="containsText" dxfId="1691" priority="522" operator="containsText" text="F">
      <formula>NOT(ISERROR(SEARCH(("F"),(F77))))</formula>
    </cfRule>
  </conditionalFormatting>
  <conditionalFormatting sqref="O96:Q96">
    <cfRule type="expression" dxfId="1690" priority="523">
      <formula>AND(ISNUMBER(O96),TRUNC(O96)&lt;TODAY())</formula>
    </cfRule>
  </conditionalFormatting>
  <conditionalFormatting sqref="F96">
    <cfRule type="containsText" dxfId="1689" priority="524" operator="containsText" text="F">
      <formula>NOT(ISERROR(SEARCH(("F"),(F96))))</formula>
    </cfRule>
  </conditionalFormatting>
  <conditionalFormatting sqref="F95">
    <cfRule type="containsText" dxfId="1688" priority="525" operator="containsText" text="F">
      <formula>NOT(ISERROR(SEARCH(("F"),(F95))))</formula>
    </cfRule>
  </conditionalFormatting>
  <conditionalFormatting sqref="O95:Q95">
    <cfRule type="expression" dxfId="1687" priority="526">
      <formula>AND(ISNUMBER(O95),TRUNC(O95)&lt;TODAY())</formula>
    </cfRule>
  </conditionalFormatting>
  <conditionalFormatting sqref="O76:Q76">
    <cfRule type="expression" dxfId="1686" priority="527">
      <formula>AND(ISNUMBER(O76),TRUNC(O76)&lt;TODAY())</formula>
    </cfRule>
  </conditionalFormatting>
  <conditionalFormatting sqref="F76">
    <cfRule type="containsText" dxfId="1685" priority="528" operator="containsText" text="F">
      <formula>NOT(ISERROR(SEARCH(("F"),(F76))))</formula>
    </cfRule>
  </conditionalFormatting>
  <conditionalFormatting sqref="Q215">
    <cfRule type="expression" dxfId="1684" priority="529">
      <formula>AND(ISNUMBER(Q215),TRUNC(Q215)&lt;TODAY())</formula>
    </cfRule>
  </conditionalFormatting>
  <conditionalFormatting sqref="P215">
    <cfRule type="expression" dxfId="1683" priority="530">
      <formula>AND(ISNUMBER(P215),TRUNC(P215)&lt;TODAY())</formula>
    </cfRule>
  </conditionalFormatting>
  <conditionalFormatting sqref="O215">
    <cfRule type="expression" dxfId="1682" priority="531">
      <formula>AND(ISNUMBER(O215),TRUNC(O215)&lt;TODAY())</formula>
    </cfRule>
  </conditionalFormatting>
  <conditionalFormatting sqref="F215">
    <cfRule type="containsText" dxfId="1681" priority="532" operator="containsText" text="F">
      <formula>NOT(ISERROR(SEARCH(("F"),(F215))))</formula>
    </cfRule>
  </conditionalFormatting>
  <conditionalFormatting sqref="Q215">
    <cfRule type="expression" dxfId="1680" priority="533">
      <formula>AND(ISNUMBER(Q215),TRUNC(Q215)&lt;TODAY())</formula>
    </cfRule>
  </conditionalFormatting>
  <conditionalFormatting sqref="P214">
    <cfRule type="expression" dxfId="1679" priority="534">
      <formula>AND(ISNUMBER(P214),TRUNC(P214)&lt;TODAY())</formula>
    </cfRule>
  </conditionalFormatting>
  <conditionalFormatting sqref="Q214">
    <cfRule type="expression" dxfId="1678" priority="535">
      <formula>AND(ISNUMBER(Q214),TRUNC(Q214)&lt;TODAY())</formula>
    </cfRule>
  </conditionalFormatting>
  <conditionalFormatting sqref="O214">
    <cfRule type="expression" dxfId="1677" priority="536">
      <formula>AND(ISNUMBER(O214),TRUNC(O214)&lt;TODAY())</formula>
    </cfRule>
  </conditionalFormatting>
  <conditionalFormatting sqref="F214">
    <cfRule type="containsText" dxfId="1676" priority="537" operator="containsText" text="F">
      <formula>NOT(ISERROR(SEARCH(("F"),(F214))))</formula>
    </cfRule>
  </conditionalFormatting>
  <conditionalFormatting sqref="P214">
    <cfRule type="expression" dxfId="1675" priority="538">
      <formula>AND(ISNUMBER(P214),TRUNC(P214)&lt;TODAY())</formula>
    </cfRule>
  </conditionalFormatting>
  <conditionalFormatting sqref="Q213">
    <cfRule type="expression" dxfId="1674" priority="539">
      <formula>AND(ISNUMBER(Q213),TRUNC(Q213)&lt;TODAY())</formula>
    </cfRule>
  </conditionalFormatting>
  <conditionalFormatting sqref="P213">
    <cfRule type="expression" dxfId="1673" priority="540">
      <formula>AND(ISNUMBER(P213),TRUNC(P213)&lt;TODAY())</formula>
    </cfRule>
  </conditionalFormatting>
  <conditionalFormatting sqref="P213">
    <cfRule type="expression" dxfId="1672" priority="541">
      <formula>AND(ISNUMBER(P213),TRUNC(P213)&lt;TODAY())</formula>
    </cfRule>
  </conditionalFormatting>
  <conditionalFormatting sqref="F213">
    <cfRule type="containsText" dxfId="1671" priority="542" operator="containsText" text="F">
      <formula>NOT(ISERROR(SEARCH(("F"),(F213))))</formula>
    </cfRule>
  </conditionalFormatting>
  <conditionalFormatting sqref="O213">
    <cfRule type="expression" dxfId="1670" priority="543">
      <formula>AND(ISNUMBER(O213),TRUNC(O213)&lt;TODAY())</formula>
    </cfRule>
  </conditionalFormatting>
  <conditionalFormatting sqref="P212">
    <cfRule type="expression" dxfId="1669" priority="544">
      <formula>AND(ISNUMBER(P212),TRUNC(P212)&lt;TODAY())</formula>
    </cfRule>
  </conditionalFormatting>
  <conditionalFormatting sqref="Q212">
    <cfRule type="expression" dxfId="1668" priority="545">
      <formula>AND(ISNUMBER(Q212),TRUNC(Q212)&lt;TODAY())</formula>
    </cfRule>
  </conditionalFormatting>
  <conditionalFormatting sqref="O212">
    <cfRule type="expression" dxfId="1667" priority="546">
      <formula>AND(ISNUMBER(O212),TRUNC(O212)&lt;TODAY())</formula>
    </cfRule>
  </conditionalFormatting>
  <conditionalFormatting sqref="P212">
    <cfRule type="expression" dxfId="1666" priority="547">
      <formula>AND(ISNUMBER(P212),TRUNC(P212)&lt;TODAY())</formula>
    </cfRule>
  </conditionalFormatting>
  <conditionalFormatting sqref="F212">
    <cfRule type="containsText" dxfId="1665" priority="548" operator="containsText" text="F">
      <formula>NOT(ISERROR(SEARCH(("F"),(F212))))</formula>
    </cfRule>
  </conditionalFormatting>
  <conditionalFormatting sqref="P240:Q240">
    <cfRule type="expression" dxfId="1664" priority="549">
      <formula>AND(ISNUMBER(P240),TRUNC(P240)&lt;TODAY())</formula>
    </cfRule>
  </conditionalFormatting>
  <conditionalFormatting sqref="F184">
    <cfRule type="containsText" dxfId="1663" priority="550" operator="containsText" text="F">
      <formula>NOT(ISERROR(SEARCH(("F"),(F184))))</formula>
    </cfRule>
  </conditionalFormatting>
  <conditionalFormatting sqref="O184:Q184">
    <cfRule type="expression" dxfId="1662" priority="551">
      <formula>AND(ISNUMBER(O184),TRUNC(O184)&lt;TODAY())</formula>
    </cfRule>
  </conditionalFormatting>
  <conditionalFormatting sqref="O242:Q242">
    <cfRule type="expression" dxfId="1661" priority="552">
      <formula>AND(ISNUMBER(O242),TRUNC(O242)&lt;TODAY())</formula>
    </cfRule>
  </conditionalFormatting>
  <conditionalFormatting sqref="P242">
    <cfRule type="expression" dxfId="1660" priority="553">
      <formula>AND(ISNUMBER(P242),TRUNC(P242)&lt;TODAY())</formula>
    </cfRule>
  </conditionalFormatting>
  <conditionalFormatting sqref="F242">
    <cfRule type="containsText" dxfId="1659" priority="554" operator="containsText" text="F">
      <formula>NOT(ISERROR(SEARCH(("F"),(F242))))</formula>
    </cfRule>
  </conditionalFormatting>
  <conditionalFormatting sqref="F241">
    <cfRule type="containsText" dxfId="1658" priority="555" operator="containsText" text="F">
      <formula>NOT(ISERROR(SEARCH(("F"),(F241))))</formula>
    </cfRule>
  </conditionalFormatting>
  <conditionalFormatting sqref="O241:Q241">
    <cfRule type="expression" dxfId="1657" priority="556">
      <formula>AND(ISNUMBER(O241),TRUNC(O241)&lt;TODAY())</formula>
    </cfRule>
  </conditionalFormatting>
  <conditionalFormatting sqref="O173:Q173">
    <cfRule type="expression" dxfId="1656" priority="557">
      <formula>AND(ISNUMBER(O173),TRUNC(O173)&lt;TODAY())</formula>
    </cfRule>
  </conditionalFormatting>
  <conditionalFormatting sqref="F173">
    <cfRule type="containsText" dxfId="1655" priority="558" operator="containsText" text="F">
      <formula>NOT(ISERROR(SEARCH(("F"),(F173))))</formula>
    </cfRule>
  </conditionalFormatting>
  <conditionalFormatting sqref="O175:Q175">
    <cfRule type="expression" dxfId="1654" priority="559">
      <formula>AND(ISNUMBER(O175),TRUNC(O175)&lt;TODAY())</formula>
    </cfRule>
  </conditionalFormatting>
  <conditionalFormatting sqref="F175">
    <cfRule type="containsText" dxfId="1653" priority="560" operator="containsText" text="F">
      <formula>NOT(ISERROR(SEARCH(("F"),(F175))))</formula>
    </cfRule>
  </conditionalFormatting>
  <conditionalFormatting sqref="F240">
    <cfRule type="containsText" dxfId="1652" priority="561" operator="containsText" text="F">
      <formula>NOT(ISERROR(SEARCH(("F"),(F240))))</formula>
    </cfRule>
  </conditionalFormatting>
  <conditionalFormatting sqref="O240:Q240">
    <cfRule type="expression" dxfId="1651" priority="562">
      <formula>AND(ISNUMBER(O240),TRUNC(O240)&lt;TODAY())</formula>
    </cfRule>
  </conditionalFormatting>
  <conditionalFormatting sqref="O176:Q176">
    <cfRule type="expression" dxfId="1650" priority="563">
      <formula>AND(ISNUMBER(O176),TRUNC(O176)&lt;TODAY())</formula>
    </cfRule>
  </conditionalFormatting>
  <conditionalFormatting sqref="F176">
    <cfRule type="containsText" dxfId="1649" priority="564" operator="containsText" text="F">
      <formula>NOT(ISERROR(SEARCH(("F"),(F176))))</formula>
    </cfRule>
  </conditionalFormatting>
  <conditionalFormatting sqref="F239">
    <cfRule type="containsText" dxfId="1648" priority="565" operator="containsText" text="F">
      <formula>NOT(ISERROR(SEARCH(("F"),(F239))))</formula>
    </cfRule>
  </conditionalFormatting>
  <conditionalFormatting sqref="O239:Q239">
    <cfRule type="expression" dxfId="1647" priority="566">
      <formula>AND(ISNUMBER(O239),TRUNC(O239)&lt;TODAY())</formula>
    </cfRule>
  </conditionalFormatting>
  <conditionalFormatting sqref="F92">
    <cfRule type="containsText" dxfId="1646" priority="567" operator="containsText" text="F">
      <formula>NOT(ISERROR(SEARCH(("F"),(F92))))</formula>
    </cfRule>
  </conditionalFormatting>
  <conditionalFormatting sqref="O92:Q92">
    <cfRule type="expression" dxfId="1645" priority="568">
      <formula>AND(ISNUMBER(O92),TRUNC(O92)&lt;TODAY())</formula>
    </cfRule>
  </conditionalFormatting>
  <conditionalFormatting sqref="F201">
    <cfRule type="containsText" dxfId="1644" priority="569" operator="containsText" text="F">
      <formula>NOT(ISERROR(SEARCH(("F"),(F201))))</formula>
    </cfRule>
  </conditionalFormatting>
  <conditionalFormatting sqref="O201:Q201">
    <cfRule type="expression" dxfId="1643" priority="570">
      <formula>AND(ISNUMBER(O201),TRUNC(O201)&lt;TODAY())</formula>
    </cfRule>
  </conditionalFormatting>
  <conditionalFormatting sqref="F200">
    <cfRule type="containsText" dxfId="1642" priority="571" operator="containsText" text="F">
      <formula>NOT(ISERROR(SEARCH(("F"),(F200))))</formula>
    </cfRule>
  </conditionalFormatting>
  <conditionalFormatting sqref="O200:Q200">
    <cfRule type="expression" dxfId="1641" priority="572">
      <formula>AND(ISNUMBER(O200),TRUNC(O200)&lt;TODAY())</formula>
    </cfRule>
  </conditionalFormatting>
  <conditionalFormatting sqref="F199">
    <cfRule type="containsText" dxfId="1640" priority="573" operator="containsText" text="F">
      <formula>NOT(ISERROR(SEARCH(("F"),(F199))))</formula>
    </cfRule>
  </conditionalFormatting>
  <conditionalFormatting sqref="O199:Q199">
    <cfRule type="expression" dxfId="1639" priority="574">
      <formula>AND(ISNUMBER(O199),TRUNC(O199)&lt;TODAY())</formula>
    </cfRule>
  </conditionalFormatting>
  <conditionalFormatting sqref="F198">
    <cfRule type="containsText" dxfId="1638" priority="575" operator="containsText" text="F">
      <formula>NOT(ISERROR(SEARCH(("F"),(F198))))</formula>
    </cfRule>
  </conditionalFormatting>
  <conditionalFormatting sqref="O198:Q198">
    <cfRule type="expression" dxfId="1637" priority="576">
      <formula>AND(ISNUMBER(O198),TRUNC(O198)&lt;TODAY())</formula>
    </cfRule>
  </conditionalFormatting>
  <conditionalFormatting sqref="F75">
    <cfRule type="containsText" dxfId="1636" priority="577" operator="containsText" text="F">
      <formula>NOT(ISERROR(SEARCH(("F"),(F75))))</formula>
    </cfRule>
  </conditionalFormatting>
  <conditionalFormatting sqref="O75:Q75">
    <cfRule type="expression" dxfId="1635" priority="578">
      <formula>AND(ISNUMBER(O75),TRUNC(O75)&lt;TODAY())</formula>
    </cfRule>
  </conditionalFormatting>
  <conditionalFormatting sqref="P75:Q75">
    <cfRule type="expression" dxfId="1634" priority="579">
      <formula>AND(ISNUMBER(P75),TRUNC(P75)&lt;TODAY())</formula>
    </cfRule>
  </conditionalFormatting>
  <conditionalFormatting sqref="F74">
    <cfRule type="containsText" dxfId="1633" priority="580" operator="containsText" text="F">
      <formula>NOT(ISERROR(SEARCH(("F"),(F74))))</formula>
    </cfRule>
  </conditionalFormatting>
  <conditionalFormatting sqref="O74:Q74">
    <cfRule type="expression" dxfId="1632" priority="581">
      <formula>AND(ISNUMBER(O74),TRUNC(O74)&lt;TODAY())</formula>
    </cfRule>
  </conditionalFormatting>
  <conditionalFormatting sqref="P74:Q74">
    <cfRule type="expression" dxfId="1631" priority="582">
      <formula>AND(ISNUMBER(P74),TRUNC(P74)&lt;TODAY())</formula>
    </cfRule>
  </conditionalFormatting>
  <conditionalFormatting sqref="F73">
    <cfRule type="containsText" dxfId="1630" priority="583" operator="containsText" text="F">
      <formula>NOT(ISERROR(SEARCH(("F"),(F73))))</formula>
    </cfRule>
  </conditionalFormatting>
  <conditionalFormatting sqref="O73:Q73">
    <cfRule type="expression" dxfId="1629" priority="584">
      <formula>AND(ISNUMBER(O73),TRUNC(O73)&lt;TODAY())</formula>
    </cfRule>
  </conditionalFormatting>
  <conditionalFormatting sqref="F238">
    <cfRule type="containsText" dxfId="1628" priority="585" operator="containsText" text="F">
      <formula>NOT(ISERROR(SEARCH(("F"),(F238))))</formula>
    </cfRule>
  </conditionalFormatting>
  <conditionalFormatting sqref="O238:Q238">
    <cfRule type="expression" dxfId="1627" priority="586">
      <formula>AND(ISNUMBER(O238),TRUNC(O238)&lt;TODAY())</formula>
    </cfRule>
  </conditionalFormatting>
  <conditionalFormatting sqref="F237">
    <cfRule type="containsText" dxfId="1626" priority="587" operator="containsText" text="F">
      <formula>NOT(ISERROR(SEARCH(("F"),(F237))))</formula>
    </cfRule>
  </conditionalFormatting>
  <conditionalFormatting sqref="O237:Q237">
    <cfRule type="expression" dxfId="1625" priority="588">
      <formula>AND(ISNUMBER(O237),TRUNC(O237)&lt;TODAY())</formula>
    </cfRule>
  </conditionalFormatting>
  <conditionalFormatting sqref="F177">
    <cfRule type="containsText" dxfId="1624" priority="589" operator="containsText" text="F">
      <formula>NOT(ISERROR(SEARCH(("F"),(F177))))</formula>
    </cfRule>
  </conditionalFormatting>
  <conditionalFormatting sqref="O177:Q177">
    <cfRule type="expression" dxfId="1623" priority="590">
      <formula>AND(ISNUMBER(O177),TRUNC(O177)&lt;TODAY())</formula>
    </cfRule>
  </conditionalFormatting>
  <conditionalFormatting sqref="F236">
    <cfRule type="containsText" dxfId="1622" priority="591" operator="containsText" text="F">
      <formula>NOT(ISERROR(SEARCH(("F"),(F236))))</formula>
    </cfRule>
  </conditionalFormatting>
  <conditionalFormatting sqref="O236:Q236">
    <cfRule type="expression" dxfId="1621" priority="592">
      <formula>AND(ISNUMBER(O236),TRUNC(O236)&lt;TODAY())</formula>
    </cfRule>
  </conditionalFormatting>
  <conditionalFormatting sqref="P194">
    <cfRule type="expression" dxfId="1620" priority="593">
      <formula>AND(ISNUMBER(P194),TRUNC(P194)&lt;TODAY())</formula>
    </cfRule>
  </conditionalFormatting>
  <conditionalFormatting sqref="F235">
    <cfRule type="containsText" dxfId="1619" priority="594" operator="containsText" text="F">
      <formula>NOT(ISERROR(SEARCH(("F"),(F235))))</formula>
    </cfRule>
  </conditionalFormatting>
  <conditionalFormatting sqref="O235:Q235">
    <cfRule type="expression" dxfId="1618" priority="595">
      <formula>AND(ISNUMBER(O235),TRUNC(O235)&lt;TODAY())</formula>
    </cfRule>
  </conditionalFormatting>
  <conditionalFormatting sqref="F234">
    <cfRule type="containsText" dxfId="1617" priority="596" operator="containsText" text="F">
      <formula>NOT(ISERROR(SEARCH(("F"),(F234))))</formula>
    </cfRule>
  </conditionalFormatting>
  <conditionalFormatting sqref="O234:Q234">
    <cfRule type="expression" dxfId="1616" priority="597">
      <formula>AND(ISNUMBER(O234),TRUNC(O234)&lt;TODAY())</formula>
    </cfRule>
  </conditionalFormatting>
  <conditionalFormatting sqref="F233">
    <cfRule type="containsText" dxfId="1615" priority="598" operator="containsText" text="F">
      <formula>NOT(ISERROR(SEARCH(("F"),(F233))))</formula>
    </cfRule>
  </conditionalFormatting>
  <conditionalFormatting sqref="O233:Q233">
    <cfRule type="expression" dxfId="1614" priority="599">
      <formula>AND(ISNUMBER(O233),TRUNC(O233)&lt;TODAY())</formula>
    </cfRule>
  </conditionalFormatting>
  <conditionalFormatting sqref="F232">
    <cfRule type="containsText" dxfId="1613" priority="600" operator="containsText" text="F">
      <formula>NOT(ISERROR(SEARCH(("F"),(F232))))</formula>
    </cfRule>
  </conditionalFormatting>
  <conditionalFormatting sqref="O232:Q232">
    <cfRule type="expression" dxfId="1612" priority="601">
      <formula>AND(ISNUMBER(O232),TRUNC(O232)&lt;TODAY())</formula>
    </cfRule>
  </conditionalFormatting>
  <conditionalFormatting sqref="F12">
    <cfRule type="containsText" dxfId="1611" priority="602" operator="containsText" text="F">
      <formula>NOT(ISERROR(SEARCH(("F"),(F12))))</formula>
    </cfRule>
  </conditionalFormatting>
  <conditionalFormatting sqref="O12:Q12">
    <cfRule type="expression" dxfId="1610" priority="603">
      <formula>AND(ISNUMBER(O12),TRUNC(O12)&lt;TODAY())</formula>
    </cfRule>
  </conditionalFormatting>
  <conditionalFormatting sqref="Q139 Q148">
    <cfRule type="expression" dxfId="1609" priority="604">
      <formula>AND(ISNUMBER(Q139),TRUNC(Q139)&lt;TODAY())</formula>
    </cfRule>
  </conditionalFormatting>
  <conditionalFormatting sqref="O156:Q156">
    <cfRule type="expression" dxfId="1608" priority="605">
      <formula>AND(ISNUMBER(O156),TRUNC(O156)&lt;TODAY())</formula>
    </cfRule>
  </conditionalFormatting>
  <conditionalFormatting sqref="F156">
    <cfRule type="containsText" dxfId="1607" priority="606" operator="containsText" text="F">
      <formula>NOT(ISERROR(SEARCH(("F"),(F156))))</formula>
    </cfRule>
  </conditionalFormatting>
  <conditionalFormatting sqref="O11:Q11">
    <cfRule type="expression" dxfId="1606" priority="607">
      <formula>AND(ISNUMBER(O11),TRUNC(O11)&lt;TODAY())</formula>
    </cfRule>
  </conditionalFormatting>
  <conditionalFormatting sqref="F11">
    <cfRule type="containsText" dxfId="1605" priority="608" operator="containsText" text="F">
      <formula>NOT(ISERROR(SEARCH(("F"),(F11))))</formula>
    </cfRule>
  </conditionalFormatting>
  <conditionalFormatting sqref="O10:Q10">
    <cfRule type="expression" dxfId="1604" priority="609">
      <formula>AND(ISNUMBER(O10),TRUNC(O10)&lt;TODAY())</formula>
    </cfRule>
  </conditionalFormatting>
  <conditionalFormatting sqref="F10">
    <cfRule type="containsText" dxfId="1603" priority="610" operator="containsText" text="F">
      <formula>NOT(ISERROR(SEARCH(("F"),(F10))))</formula>
    </cfRule>
  </conditionalFormatting>
  <conditionalFormatting sqref="O9:Q9">
    <cfRule type="expression" dxfId="1602" priority="611">
      <formula>AND(ISNUMBER(O9),TRUNC(O9)&lt;TODAY())</formula>
    </cfRule>
  </conditionalFormatting>
  <conditionalFormatting sqref="F9">
    <cfRule type="containsText" dxfId="1601" priority="612" operator="containsText" text="F">
      <formula>NOT(ISERROR(SEARCH(("F"),(F9))))</formula>
    </cfRule>
  </conditionalFormatting>
  <conditionalFormatting sqref="O152:Q152">
    <cfRule type="expression" dxfId="1600" priority="613">
      <formula>AND(ISNUMBER(O152),TRUNC(O152)&lt;TODAY())</formula>
    </cfRule>
  </conditionalFormatting>
  <conditionalFormatting sqref="F152">
    <cfRule type="containsText" dxfId="1599" priority="614" operator="containsText" text="F">
      <formula>NOT(ISERROR(SEARCH(("F"),(F152))))</formula>
    </cfRule>
  </conditionalFormatting>
  <conditionalFormatting sqref="F226">
    <cfRule type="containsText" dxfId="1598" priority="615" operator="containsText" text="F">
      <formula>NOT(ISERROR(SEARCH(("F"),(F226))))</formula>
    </cfRule>
  </conditionalFormatting>
  <conditionalFormatting sqref="P5 P158 O226:Q226">
    <cfRule type="expression" dxfId="1597" priority="616">
      <formula>AND(ISNUMBER(P5),TRUNC(P5)&lt;TODAY())</formula>
    </cfRule>
  </conditionalFormatting>
  <conditionalFormatting sqref="F162">
    <cfRule type="containsText" dxfId="1596" priority="617" operator="containsText" text="F">
      <formula>NOT(ISERROR(SEARCH(("F"),(F162))))</formula>
    </cfRule>
  </conditionalFormatting>
  <conditionalFormatting sqref="P162">
    <cfRule type="expression" dxfId="1595" priority="618">
      <formula>AND(ISNUMBER(P162),TRUNC(P162)&lt;TODAY())</formula>
    </cfRule>
  </conditionalFormatting>
  <conditionalFormatting sqref="O162">
    <cfRule type="expression" dxfId="1594" priority="619">
      <formula>AND(ISNUMBER(O162),TRUNC(O162)&lt;TODAY())</formula>
    </cfRule>
  </conditionalFormatting>
  <conditionalFormatting sqref="Q162">
    <cfRule type="expression" dxfId="1593" priority="620">
      <formula>AND(ISNUMBER(Q162),TRUNC(Q162)&lt;TODAY())</formula>
    </cfRule>
  </conditionalFormatting>
  <conditionalFormatting sqref="P7">
    <cfRule type="expression" dxfId="1592" priority="621">
      <formula>AND(ISNUMBER(P7),TRUNC(P7)&lt;TODAY())</formula>
    </cfRule>
  </conditionalFormatting>
  <conditionalFormatting sqref="P7">
    <cfRule type="expression" dxfId="1591" priority="622">
      <formula>AND(ISNUMBER(P7),TRUNC(P7)&lt;TODAY())</formula>
    </cfRule>
  </conditionalFormatting>
  <conditionalFormatting sqref="Q7">
    <cfRule type="expression" dxfId="1590" priority="623">
      <formula>AND(ISNUMBER(Q7),TRUNC(Q7)&lt;TODAY())</formula>
    </cfRule>
  </conditionalFormatting>
  <conditionalFormatting sqref="O7">
    <cfRule type="expression" dxfId="1589" priority="624">
      <formula>AND(ISNUMBER(O7),TRUNC(O7)&lt;TODAY())</formula>
    </cfRule>
  </conditionalFormatting>
  <conditionalFormatting sqref="F7">
    <cfRule type="containsText" dxfId="1588" priority="625" operator="containsText" text="F">
      <formula>NOT(ISERROR(SEARCH(("F"),(F7))))</formula>
    </cfRule>
  </conditionalFormatting>
  <conditionalFormatting sqref="P158">
    <cfRule type="expression" dxfId="1587" priority="626">
      <formula>AND(ISNUMBER(P158),TRUNC(P158)&lt;TODAY())</formula>
    </cfRule>
  </conditionalFormatting>
  <conditionalFormatting sqref="Q158">
    <cfRule type="expression" dxfId="1586" priority="627">
      <formula>AND(ISNUMBER(Q158),TRUNC(Q158)&lt;TODAY())</formula>
    </cfRule>
  </conditionalFormatting>
  <conditionalFormatting sqref="F158">
    <cfRule type="containsText" dxfId="1585" priority="628" operator="containsText" text="F">
      <formula>NOT(ISERROR(SEARCH(("F"),(F158))))</formula>
    </cfRule>
  </conditionalFormatting>
  <conditionalFormatting sqref="O6">
    <cfRule type="expression" dxfId="1584" priority="629">
      <formula>AND(ISNUMBER(O6),TRUNC(O6)&lt;TODAY())</formula>
    </cfRule>
  </conditionalFormatting>
  <conditionalFormatting sqref="Q6">
    <cfRule type="expression" dxfId="1583" priority="630">
      <formula>AND(ISNUMBER(Q6),TRUNC(Q6)&lt;TODAY())</formula>
    </cfRule>
  </conditionalFormatting>
  <conditionalFormatting sqref="P6">
    <cfRule type="expression" dxfId="1582" priority="631">
      <formula>AND(ISNUMBER(P6),TRUNC(P6)&lt;TODAY())</formula>
    </cfRule>
  </conditionalFormatting>
  <conditionalFormatting sqref="F6">
    <cfRule type="containsText" dxfId="1581" priority="632" operator="containsText" text="F">
      <formula>NOT(ISERROR(SEARCH(("F"),(F6))))</formula>
    </cfRule>
  </conditionalFormatting>
  <conditionalFormatting sqref="O231">
    <cfRule type="expression" dxfId="1580" priority="633">
      <formula>AND(ISNUMBER(O231),TRUNC(O231)&lt;TODAY())</formula>
    </cfRule>
  </conditionalFormatting>
  <conditionalFormatting sqref="P231">
    <cfRule type="expression" dxfId="1579" priority="634">
      <formula>AND(ISNUMBER(P231),TRUNC(P231)&lt;TODAY())</formula>
    </cfRule>
  </conditionalFormatting>
  <conditionalFormatting sqref="Q231">
    <cfRule type="expression" dxfId="1578" priority="635">
      <formula>AND(ISNUMBER(Q231),TRUNC(Q231)&lt;TODAY())</formula>
    </cfRule>
  </conditionalFormatting>
  <conditionalFormatting sqref="F231">
    <cfRule type="containsText" dxfId="1577" priority="636" operator="containsText" text="F">
      <formula>NOT(ISERROR(SEARCH(("F"),(F231))))</formula>
    </cfRule>
  </conditionalFormatting>
  <conditionalFormatting sqref="Q230">
    <cfRule type="expression" dxfId="1576" priority="637">
      <formula>AND(ISNUMBER(Q230),TRUNC(Q230)&lt;TODAY())</formula>
    </cfRule>
  </conditionalFormatting>
  <conditionalFormatting sqref="P230">
    <cfRule type="expression" dxfId="1575" priority="638">
      <formula>AND(ISNUMBER(P230),TRUNC(P230)&lt;TODAY())</formula>
    </cfRule>
  </conditionalFormatting>
  <conditionalFormatting sqref="F230">
    <cfRule type="containsText" dxfId="1574" priority="639" operator="containsText" text="F">
      <formula>NOT(ISERROR(SEARCH(("F"),(F230))))</formula>
    </cfRule>
  </conditionalFormatting>
  <conditionalFormatting sqref="O230">
    <cfRule type="expression" dxfId="1573" priority="640">
      <formula>AND(ISNUMBER(O230),TRUNC(O230)&lt;TODAY())</formula>
    </cfRule>
  </conditionalFormatting>
  <conditionalFormatting sqref="O229">
    <cfRule type="expression" dxfId="1572" priority="641">
      <formula>AND(ISNUMBER(O229),TRUNC(O229)&lt;TODAY())</formula>
    </cfRule>
  </conditionalFormatting>
  <conditionalFormatting sqref="Q229">
    <cfRule type="expression" dxfId="1571" priority="642">
      <formula>AND(ISNUMBER(Q229),TRUNC(Q229)&lt;TODAY())</formula>
    </cfRule>
  </conditionalFormatting>
  <conditionalFormatting sqref="P229">
    <cfRule type="expression" dxfId="1570" priority="643">
      <formula>AND(ISNUMBER(P229),TRUNC(P229)&lt;TODAY())</formula>
    </cfRule>
  </conditionalFormatting>
  <conditionalFormatting sqref="F229">
    <cfRule type="containsText" dxfId="1569" priority="644" operator="containsText" text="F">
      <formula>NOT(ISERROR(SEARCH(("F"),(F229))))</formula>
    </cfRule>
  </conditionalFormatting>
  <conditionalFormatting sqref="Q228">
    <cfRule type="expression" dxfId="1568" priority="645">
      <formula>AND(ISNUMBER(Q228),TRUNC(Q228)&lt;TODAY())</formula>
    </cfRule>
  </conditionalFormatting>
  <conditionalFormatting sqref="P228">
    <cfRule type="expression" dxfId="1567" priority="646">
      <formula>AND(ISNUMBER(P228),TRUNC(P228)&lt;TODAY())</formula>
    </cfRule>
  </conditionalFormatting>
  <conditionalFormatting sqref="O228">
    <cfRule type="expression" dxfId="1566" priority="647">
      <formula>AND(ISNUMBER(O228),TRUNC(O228)&lt;TODAY())</formula>
    </cfRule>
  </conditionalFormatting>
  <conditionalFormatting sqref="F228">
    <cfRule type="containsText" dxfId="1565" priority="648" operator="containsText" text="F">
      <formula>NOT(ISERROR(SEARCH(("F"),(F228))))</formula>
    </cfRule>
  </conditionalFormatting>
  <conditionalFormatting sqref="O227">
    <cfRule type="expression" dxfId="1564" priority="649">
      <formula>AND(ISNUMBER(O227),TRUNC(O227)&lt;TODAY())</formula>
    </cfRule>
  </conditionalFormatting>
  <conditionalFormatting sqref="Q227">
    <cfRule type="expression" dxfId="1563" priority="650">
      <formula>AND(ISNUMBER(Q227),TRUNC(Q227)&lt;TODAY())</formula>
    </cfRule>
  </conditionalFormatting>
  <conditionalFormatting sqref="P227">
    <cfRule type="expression" dxfId="1562" priority="651">
      <formula>AND(ISNUMBER(P227),TRUNC(P227)&lt;TODAY())</formula>
    </cfRule>
  </conditionalFormatting>
  <conditionalFormatting sqref="F227">
    <cfRule type="containsText" dxfId="1561" priority="652" operator="containsText" text="F">
      <formula>NOT(ISERROR(SEARCH(("F"),(F227))))</formula>
    </cfRule>
  </conditionalFormatting>
  <conditionalFormatting sqref="F273">
    <cfRule type="containsText" dxfId="1560" priority="653" operator="containsText" text="F">
      <formula>NOT(ISERROR(SEARCH(("F"),(F273))))</formula>
    </cfRule>
  </conditionalFormatting>
  <conditionalFormatting sqref="Q273">
    <cfRule type="expression" dxfId="1559" priority="654">
      <formula>AND(ISNUMBER(Q273),TRUNC(Q273)&lt;TODAY())</formula>
    </cfRule>
  </conditionalFormatting>
  <conditionalFormatting sqref="P273">
    <cfRule type="expression" dxfId="1558" priority="655">
      <formula>AND(ISNUMBER(P273),TRUNC(P273)&lt;TODAY())</formula>
    </cfRule>
  </conditionalFormatting>
  <conditionalFormatting sqref="O273">
    <cfRule type="expression" dxfId="1557" priority="656">
      <formula>AND(ISNUMBER(O273),TRUNC(O273)&lt;TODAY())</formula>
    </cfRule>
  </conditionalFormatting>
  <conditionalFormatting sqref="Q272">
    <cfRule type="expression" dxfId="1556" priority="657">
      <formula>AND(ISNUMBER(Q272),TRUNC(Q272)&lt;TODAY())</formula>
    </cfRule>
  </conditionalFormatting>
  <conditionalFormatting sqref="P272">
    <cfRule type="expression" dxfId="1555" priority="658">
      <formula>AND(ISNUMBER(P272),TRUNC(P272)&lt;TODAY())</formula>
    </cfRule>
  </conditionalFormatting>
  <conditionalFormatting sqref="O272">
    <cfRule type="expression" dxfId="1554" priority="659">
      <formula>AND(ISNUMBER(O272),TRUNC(O272)&lt;TODAY())</formula>
    </cfRule>
  </conditionalFormatting>
  <conditionalFormatting sqref="F272">
    <cfRule type="containsText" dxfId="1553" priority="660" operator="containsText" text="F">
      <formula>NOT(ISERROR(SEARCH(("F"),(F272))))</formula>
    </cfRule>
  </conditionalFormatting>
  <conditionalFormatting sqref="F98">
    <cfRule type="containsText" dxfId="1552" priority="661" operator="containsText" text="F">
      <formula>NOT(ISERROR(SEARCH(("F"),(F98))))</formula>
    </cfRule>
  </conditionalFormatting>
  <conditionalFormatting sqref="P72 P182">
    <cfRule type="expression" dxfId="1551" priority="662">
      <formula>AND(ISNUMBER(P72),TRUNC(P72)&lt;TODAY())</formula>
    </cfRule>
  </conditionalFormatting>
  <conditionalFormatting sqref="O5">
    <cfRule type="expression" dxfId="1550" priority="663">
      <formula>AND(ISNUMBER(O5),TRUNC(O5)&lt;TODAY())</formula>
    </cfRule>
  </conditionalFormatting>
  <conditionalFormatting sqref="Q5">
    <cfRule type="expression" dxfId="1549" priority="664">
      <formula>AND(ISNUMBER(Q5),TRUNC(Q5)&lt;TODAY())</formula>
    </cfRule>
  </conditionalFormatting>
  <conditionalFormatting sqref="P5">
    <cfRule type="expression" dxfId="1548" priority="665">
      <formula>AND(ISNUMBER(P5),TRUNC(P5)&lt;TODAY())</formula>
    </cfRule>
  </conditionalFormatting>
  <conditionalFormatting sqref="P151">
    <cfRule type="expression" dxfId="1547" priority="666">
      <formula>AND(ISNUMBER(P151),TRUNC(P151)&lt;TODAY())</formula>
    </cfRule>
  </conditionalFormatting>
  <conditionalFormatting sqref="O151">
    <cfRule type="expression" dxfId="1546" priority="667">
      <formula>AND(ISNUMBER(O151),TRUNC(O151)&lt;TODAY())</formula>
    </cfRule>
  </conditionalFormatting>
  <conditionalFormatting sqref="Q151">
    <cfRule type="expression" dxfId="1545" priority="668">
      <formula>AND(ISNUMBER(Q151),TRUNC(Q151)&lt;TODAY())</formula>
    </cfRule>
  </conditionalFormatting>
  <conditionalFormatting sqref="P161">
    <cfRule type="expression" dxfId="1544" priority="669">
      <formula>AND(ISNUMBER(P161),TRUNC(P161)&lt;TODAY())</formula>
    </cfRule>
  </conditionalFormatting>
  <conditionalFormatting sqref="Q161">
    <cfRule type="expression" dxfId="1543" priority="670">
      <formula>AND(ISNUMBER(Q161),TRUNC(Q161)&lt;TODAY())</formula>
    </cfRule>
  </conditionalFormatting>
  <conditionalFormatting sqref="O161">
    <cfRule type="expression" dxfId="1542" priority="671">
      <formula>AND(ISNUMBER(O161),TRUNC(O161)&lt;TODAY())</formula>
    </cfRule>
  </conditionalFormatting>
  <conditionalFormatting sqref="P168">
    <cfRule type="expression" dxfId="1541" priority="672">
      <formula>AND(ISNUMBER(P168),TRUNC(P168)&lt;TODAY())</formula>
    </cfRule>
  </conditionalFormatting>
  <conditionalFormatting sqref="Q168">
    <cfRule type="expression" dxfId="1540" priority="673">
      <formula>AND(ISNUMBER(Q168),TRUNC(Q168)&lt;TODAY())</formula>
    </cfRule>
  </conditionalFormatting>
  <conditionalFormatting sqref="O168">
    <cfRule type="expression" dxfId="1539" priority="674">
      <formula>AND(ISNUMBER(O168),TRUNC(O168)&lt;TODAY())</formula>
    </cfRule>
  </conditionalFormatting>
  <conditionalFormatting sqref="Q133 P139 Q145 Q209 P211">
    <cfRule type="expression" dxfId="1538" priority="675">
      <formula>AND(ISNUMBER(Q133),TRUNC(Q133)&lt;TODAY())</formula>
    </cfRule>
  </conditionalFormatting>
  <conditionalFormatting sqref="Q319">
    <cfRule type="expression" dxfId="1537" priority="676">
      <formula>AND(ISNUMBER(Q319),TRUNC(Q319)&lt;TODAY())</formula>
    </cfRule>
  </conditionalFormatting>
  <conditionalFormatting sqref="O319">
    <cfRule type="expression" dxfId="1536" priority="677">
      <formula>AND(ISNUMBER(O319),TRUNC(O319)&lt;TODAY())</formula>
    </cfRule>
  </conditionalFormatting>
  <conditionalFormatting sqref="P319">
    <cfRule type="expression" dxfId="1535" priority="678">
      <formula>AND(ISNUMBER(P319),TRUNC(P319)&lt;TODAY())</formula>
    </cfRule>
  </conditionalFormatting>
  <conditionalFormatting sqref="O4 Q4">
    <cfRule type="expression" dxfId="1534" priority="679">
      <formula>AND(ISNUMBER(O4),TRUNC(O4)&lt;TODAY())</formula>
    </cfRule>
  </conditionalFormatting>
  <conditionalFormatting sqref="P4">
    <cfRule type="expression" dxfId="1533" priority="680">
      <formula>AND(ISNUMBER(P4),TRUNC(P4)&lt;TODAY())</formula>
    </cfRule>
  </conditionalFormatting>
  <conditionalFormatting sqref="Q4">
    <cfRule type="expression" dxfId="1532" priority="681">
      <formula>AND(ISNUMBER(Q4),TRUNC(Q4)&lt;TODAY())</formula>
    </cfRule>
  </conditionalFormatting>
  <conditionalFormatting sqref="O4">
    <cfRule type="expression" dxfId="1531" priority="682">
      <formula>AND(ISNUMBER(O4),TRUNC(O4)&lt;TODAY())</formula>
    </cfRule>
  </conditionalFormatting>
  <conditionalFormatting sqref="Q97">
    <cfRule type="expression" dxfId="1530" priority="683">
      <formula>AND(ISNUMBER(Q97),TRUNC(Q97)&lt;TODAY())</formula>
    </cfRule>
  </conditionalFormatting>
  <conditionalFormatting sqref="O160">
    <cfRule type="expression" dxfId="1529" priority="684">
      <formula>AND(ISNUMBER(O160),TRUNC(O160)&lt;TODAY())</formula>
    </cfRule>
  </conditionalFormatting>
  <conditionalFormatting sqref="Q160">
    <cfRule type="expression" dxfId="1528" priority="685">
      <formula>AND(ISNUMBER(Q160),TRUNC(Q160)&lt;TODAY())</formula>
    </cfRule>
  </conditionalFormatting>
  <conditionalFormatting sqref="P160">
    <cfRule type="expression" dxfId="1527" priority="686">
      <formula>AND(ISNUMBER(P160),TRUNC(P160)&lt;TODAY())</formula>
    </cfRule>
  </conditionalFormatting>
  <conditionalFormatting sqref="O138 P142 P174">
    <cfRule type="expression" dxfId="1526" priority="687">
      <formula>AND(ISNUMBER(O138),TRUNC(O138)&lt;TODAY())</formula>
    </cfRule>
  </conditionalFormatting>
  <conditionalFormatting sqref="Q138">
    <cfRule type="expression" dxfId="1525" priority="688">
      <formula>AND(ISNUMBER(Q138),TRUNC(Q138)&lt;TODAY())</formula>
    </cfRule>
  </conditionalFormatting>
  <conditionalFormatting sqref="P138">
    <cfRule type="expression" dxfId="1524" priority="689">
      <formula>AND(ISNUMBER(P138),TRUNC(P138)&lt;TODAY())</formula>
    </cfRule>
  </conditionalFormatting>
  <conditionalFormatting sqref="Q163">
    <cfRule type="expression" dxfId="1523" priority="690">
      <formula>AND(ISNUMBER(Q163),TRUNC(Q163)&lt;TODAY())</formula>
    </cfRule>
  </conditionalFormatting>
  <conditionalFormatting sqref="P163">
    <cfRule type="expression" dxfId="1522" priority="691">
      <formula>AND(ISNUMBER(P163),TRUNC(P163)&lt;TODAY())</formula>
    </cfRule>
  </conditionalFormatting>
  <conditionalFormatting sqref="O163:P163">
    <cfRule type="expression" dxfId="1521" priority="692">
      <formula>AND(ISNUMBER(O163),TRUNC(O163)&lt;TODAY())</formula>
    </cfRule>
  </conditionalFormatting>
  <conditionalFormatting sqref="O97:P97">
    <cfRule type="expression" dxfId="1520" priority="693">
      <formula>AND(ISNUMBER(O97),TRUNC(O97)&lt;TODAY())</formula>
    </cfRule>
  </conditionalFormatting>
  <conditionalFormatting sqref="P97:Q97">
    <cfRule type="expression" dxfId="1519" priority="694">
      <formula>AND(ISNUMBER(P97),TRUNC(P97)&lt;TODAY())</formula>
    </cfRule>
  </conditionalFormatting>
  <conditionalFormatting sqref="Q97">
    <cfRule type="expression" dxfId="1518" priority="695">
      <formula>AND(ISNUMBER(Q97),TRUNC(Q97)&lt;TODAY())</formula>
    </cfRule>
  </conditionalFormatting>
  <conditionalFormatting sqref="Q108">
    <cfRule type="expression" dxfId="1517" priority="696">
      <formula>AND(ISNUMBER(Q108),TRUNC(Q108)&lt;TODAY())</formula>
    </cfRule>
  </conditionalFormatting>
  <conditionalFormatting sqref="P108">
    <cfRule type="expression" dxfId="1516" priority="697">
      <formula>AND(ISNUMBER(P108),TRUNC(P108)&lt;TODAY())</formula>
    </cfRule>
  </conditionalFormatting>
  <conditionalFormatting sqref="O108">
    <cfRule type="expression" dxfId="1515" priority="698">
      <formula>AND(ISNUMBER(O108),TRUNC(O108)&lt;TODAY())</formula>
    </cfRule>
  </conditionalFormatting>
  <conditionalFormatting sqref="P107">
    <cfRule type="expression" dxfId="1514" priority="699">
      <formula>AND(ISNUMBER(P107),TRUNC(P107)&lt;TODAY())</formula>
    </cfRule>
  </conditionalFormatting>
  <conditionalFormatting sqref="O107">
    <cfRule type="expression" dxfId="1513" priority="700">
      <formula>AND(ISNUMBER(O107),TRUNC(O107)&lt;TODAY())</formula>
    </cfRule>
  </conditionalFormatting>
  <conditionalFormatting sqref="P135 P194 P208">
    <cfRule type="expression" dxfId="1512" priority="701">
      <formula>AND(ISNUMBER(P135),TRUNC(P135)&lt;TODAY())</formula>
    </cfRule>
  </conditionalFormatting>
  <conditionalFormatting sqref="P163">
    <cfRule type="expression" dxfId="1511" priority="702">
      <formula>P163&lt;44165</formula>
    </cfRule>
  </conditionalFormatting>
  <conditionalFormatting sqref="Q223">
    <cfRule type="expression" dxfId="1510" priority="703">
      <formula>AND(ISNUMBER(Q223),TRUNC(Q223)&lt;TODAY())</formula>
    </cfRule>
  </conditionalFormatting>
  <conditionalFormatting sqref="P223">
    <cfRule type="expression" dxfId="1509" priority="704">
      <formula>AND(ISNUMBER(P223),TRUNC(P223)&lt;TODAY())</formula>
    </cfRule>
  </conditionalFormatting>
  <conditionalFormatting sqref="O223">
    <cfRule type="expression" dxfId="1508" priority="705">
      <formula>AND(ISNUMBER(O223),TRUNC(O223)&lt;TODAY())</formula>
    </cfRule>
  </conditionalFormatting>
  <conditionalFormatting sqref="P24">
    <cfRule type="expression" dxfId="1507" priority="706">
      <formula>P24&lt;44165</formula>
    </cfRule>
  </conditionalFormatting>
  <conditionalFormatting sqref="O24 P210 P221:Q221">
    <cfRule type="expression" dxfId="1506" priority="707">
      <formula>AND(ISNUMBER(O24),TRUNC(O24)&lt;TODAY())</formula>
    </cfRule>
  </conditionalFormatting>
  <conditionalFormatting sqref="Q24">
    <cfRule type="expression" dxfId="1505" priority="708">
      <formula>AND(ISNUMBER(Q24),TRUNC(Q24)&lt;TODAY())</formula>
    </cfRule>
  </conditionalFormatting>
  <conditionalFormatting sqref="P148">
    <cfRule type="expression" dxfId="1504" priority="709">
      <formula>P148&lt;44165</formula>
    </cfRule>
  </conditionalFormatting>
  <conditionalFormatting sqref="O148">
    <cfRule type="expression" dxfId="1503" priority="710">
      <formula>AND(ISNUMBER(O148),TRUNC(O148)&lt;TODAY())</formula>
    </cfRule>
  </conditionalFormatting>
  <conditionalFormatting sqref="Q148">
    <cfRule type="expression" dxfId="1502" priority="711">
      <formula>AND(ISNUMBER(Q148),TRUNC(Q148)&lt;TODAY())</formula>
    </cfRule>
  </conditionalFormatting>
  <conditionalFormatting sqref="O222">
    <cfRule type="expression" dxfId="1501" priority="712">
      <formula>AND(ISNUMBER(O222),TRUNC(O222)&lt;TODAY())</formula>
    </cfRule>
  </conditionalFormatting>
  <conditionalFormatting sqref="P222">
    <cfRule type="expression" dxfId="1500" priority="713">
      <formula>AND(ISNUMBER(P222),TRUNC(P222)&lt;TODAY())</formula>
    </cfRule>
  </conditionalFormatting>
  <conditionalFormatting sqref="Q222">
    <cfRule type="expression" dxfId="1499" priority="714">
      <formula>AND(ISNUMBER(Q222),TRUNC(Q222)&lt;TODAY())</formula>
    </cfRule>
  </conditionalFormatting>
  <conditionalFormatting sqref="Q106">
    <cfRule type="expression" dxfId="1498" priority="715">
      <formula>AND(ISNUMBER(Q106),TRUNC(Q106)&lt;TODAY())</formula>
    </cfRule>
  </conditionalFormatting>
  <conditionalFormatting sqref="P1:P3 P13:P17 P72 P93:P94 P106:P107 P131:P135 P139 P142 P144:P147 P155 P166:P172 P174 P178 P182 P189 P194 Q197 P208:P211 P216:P221 P224:P225 P282 P289:P290 P319:P320 P324:P1751">
    <cfRule type="expression" dxfId="1497" priority="716">
      <formula>AND(ISNUMBER(P1),TRUNC(P1)&lt;TODAY())</formula>
    </cfRule>
  </conditionalFormatting>
  <conditionalFormatting sqref="Q1:Q3 P3 Q13:Q17 Q72 P93 Q93:Q94 Q106 Q131:Q135 Q139 Q142 P144 Q144:Q147 R149 Q155 Q163 Q166:Q172 Q174 Q178 Q182 Q194 Q197:R197 Q208:Q211 P216 Q216:Q221 P220:P221 Q224 P225 Q282 Q289:Q290 Q319:Q320 Q324:Q1751">
    <cfRule type="expression" dxfId="1496" priority="717">
      <formula>AND(ISNUMBER(Q1),TRUNC(Q1)&lt;TODAY())</formula>
    </cfRule>
  </conditionalFormatting>
  <conditionalFormatting sqref="O1:O3 O13:O17 O72 O93:O94 O106 O131:O135 O139 O142 O144:O147 P149 O155 O166:O172 O174 O178 O182 O189 O194 P197 O208:O211 O216:O221 O224:O225 O282 O289:O290 O319:O320 O324:O757 O765:O1751">
    <cfRule type="expression" dxfId="1495" priority="718">
      <formula>AND(ISNUMBER(O1),TRUNC(O1)&lt;TODAY())</formula>
    </cfRule>
  </conditionalFormatting>
  <conditionalFormatting sqref="F1:F5 F13:F17 F24 F72 F93:F94 F97 F106:F108 F131:F135 F138:F139 F142 F144:F149 F151 F155 F160:F161 F163 F166:F172 F174 F178 F182 F189 F194 F197 F208:F211 F216:F225 F282 F289:F290 F319:F320 F324:F1751">
    <cfRule type="containsText" dxfId="1494" priority="719" operator="containsText" text="F">
      <formula>NOT(ISERROR(SEARCH(("F"),(F1))))</formula>
    </cfRule>
  </conditionalFormatting>
  <conditionalFormatting sqref="V24 V72 V93:V94 V106:V108 V131:V135 V138:V139 V142 V144:V149 V174 V178 V182 V189 V194 V197 V208:V211 V216:V235">
    <cfRule type="notContainsBlanks" dxfId="1493" priority="720">
      <formula>LEN(TRIM(V24))&gt;0</formula>
    </cfRule>
  </conditionalFormatting>
  <dataValidations count="9">
    <dataValidation type="list" allowBlank="1" sqref="H2:H45 H47:H52 H55:H64 H66:H75 H77:H97 H99:H247 G248:H248 H249:H323">
      <formula1>"A,B,C"</formula1>
    </dataValidation>
    <dataValidation type="list" allowBlank="1" showInputMessage="1" showErrorMessage="1" prompt="Either M or F" sqref="F1:F45 F47:F52 F55:F64 F66:F247 E248 F249:F1751">
      <formula1>"M,F"</formula1>
    </dataValidation>
    <dataValidation type="custom" allowBlank="1" showDropDown="1" showInputMessage="1" showErrorMessage="1" prompt="Enter a valid date" sqref="M1 Q1 M2:Q2 M3 P3:Q3 M4:Q6 M7 P7:Q7 M8:Q8 M9:N9 P9:Q9 M10:Q11 P12:Q13 Q14 M12:M16 P15:Q16 M17:Q20 M21 P21:Q21 M22:O23 Q22:Q23 M24:Q25 P26:Q48 M26:M49 P49 M50:Q50 M51 P51:Q51 M52:Q57 M58 P58:Q58 M59:Q59 M60 O60:Q60 M61:Q65 M66:N66 P66:Q66 M67:Q71 Q72 P73:Q73 M72:M74 Q74 M75:Q76 M77:M78 M79:O79 Q77:Q79 M80:Q81 M82:O82 Q82 M83:Q83 Q84 M84:O85 M86:Q86 O87:Q87 M87:M88 M89:Q90 M91 Q91 M92:Q92 M93:O93 Q93 M94:Q94 M95:O95 M96:M97 M98:O98 M99 Q95:Q99 M100:Q103 M104:O104 M105 Q104:Q105 M106:Q132 M133 Q133 M134:Q134 M135 P135:Q135 M136:Q136 M137:O137 Q137 M138:Q141 M142:M143 Q142:Q143 M144:Q144 M145:O145 Q145 M146:Q146 M147 M148:O148 Q147:Q148 M149:Q154 M155:O155 Q155 M156:Q169 N170:Q170 M171:Q171 M172 O172:Q172 M173:Q173 M174 P174 M175:Q175 Q176 P177:Q177 Q178:Q182 M176:M183 P183:Q183 M184:Q184 M185:O185 Q185 M186 P186:Q186 M187:O187 Q187 M188:Q190 M191:O191 Q191 M192:Q194 M195 P195:Q195 M196:Q196 P197:Q197 Q198 M197:M199 P199:Q199 M200:Q200 M201:O201 Q201:Q202 M202:M204 P203:Q204 M205:Q206 M207:O207 Q207 M208:Q210 Q211:Q213 M211:M214 P214:Q214 M215:O217 M218 Q215:Q218 M219:Q219 M220:O221 M222 Q220:Q222 M223:Q225 Q226 M226:M227 P227:Q227 M228:Q228 M229:O229 M230 Q229:Q230 M231:Q232 Q233 M233:M234 P234:Q234 M235:Q235 M236 Q236 M237:Q237 M238:O238 Q238 M239:P239 M240:O240 Q240 P241:Q242 Q243 P244 M241:M245 P245:Q245 M246:O246 Q246 M247 M248:P248 Q249 M249:M250 P250:Q250 M251:Q252 M253 P253:Q253 M254:Q254 M255 Q255 M256:Q256 M257 Q257 M258:Q258 M259 Q259 M260:Q261 M262:M263 P262:Q263 M264:O264 Q264 M265 P265:Q265 M266:O266 Q266:Q269 M267:M270 P270:Q270 M271:Q271 M272:M274 M275:O276 Q272:Q278 P279:Q279 M277:M280 Q280 M281:Q281 M282 Q282 M283:Q283 M284 P284:Q284 M285:Q285 M286 P286:Q286 M287:Q288 M289:M290 Q289:Q290 M291:Q292 M293:M295 P293:Q295 M296:O296 Q296 M297:Q299 M300 P300:Q300 M301:Q305 M306 Q306 M307:Q311 M312:M316 M317:O318 Q312:Q318 M319:Q320 M321:O321 Q321 P322:Q323 M322:M754 M756:M762 M772:M1751 Q324:Q1751">
      <formula1>OR(NOT(ISERROR(DATEVALUE(M1))), AND(ISNUMBER(M1), LEFT(CELL("format", M1))="D"))</formula1>
    </dataValidation>
    <dataValidation type="list" allowBlank="1" sqref="H76">
      <formula1>"A,B,C"</formula1>
    </dataValidation>
    <dataValidation type="list" allowBlank="1" sqref="G2 G4:G6 G8:G11 G17:G20 G23:G25 G50 G52:G57 G59:G71 G75 G79:G86 G92:G95 G101 G103:G104 G106:G132 G134 G136:G141 G144:G146 G148:G173 G175 G184 G187 G190:G194 G196 G200:G201 G205:G210 G215:G217 G220:G221 G223:G225 G228:G229 G231:G232 G235 G237:G238 G240 F248 G251:G252 G254 G256 G258 G260:G261 G264 G266 G271 G275:G276 G287:G288 G298 G307:G311 G317:G318 G320:G321">
      <formula1>"UR,SC,ST"</formula1>
    </dataValidation>
    <dataValidation type="list" allowBlank="1" sqref="V5 V14 V23:V24 V72:V74 V77 V87 V96 V107 V109 V111:V117 V119:V120 V122 V125:V129 V132:V135 V138:V139 V142:V148 V151:V152 V167 V172">
      <formula1>"YES,NO,DW"</formula1>
    </dataValidation>
    <dataValidation type="list" allowBlank="1" showErrorMessage="1" sqref="G1 G3 G7 G12:G16 G21:G22 G26:G49 G51 G58 G72:G74 G77:G78 G87:G91 G96:G97 G99:G100 G102 G105 G133 G135 G142:G143 G147 G174 G176:G183 G185:G186 G188:G189 G195 G197:G199 G202:G204 G211:G214 G218:G219 G222 G226:G227 G230 G233:G234 G236 G239 G241:G247 G249:G250 G253 G255 G257 G259 G262:G263 G265 G267:G270 G272:G274 G277:G286 G289:G297 G299:G306 G312:G316 G319 G322:G1751">
      <formula1>"UR,SC,ST"</formula1>
    </dataValidation>
    <dataValidation type="list" allowBlank="1" sqref="G76">
      <formula1>"UR,SC,ST"</formula1>
    </dataValidation>
    <dataValidation type="custom" allowBlank="1" showDropDown="1" showErrorMessage="1" sqref="P1 N3:O3 N7:O7 N12:O13 N14:P14 N15:O16 N21:O21 P22:P23 N26:O49 Q49:R49 N51:O51 N58:O58 N60 N72:P72 N73:O73 N74:P74 N77:P78 P79 P82 P84:P85 N87 N88:P88 N91:P91 P93 P95 N96:P97 P98 N99:P99 P104 N105:P105 N133:P133 N135:O135 P137 N142:P143 P145 N147:P147 P148 P155 N174:O174 N176:P176 N177:O177 N178:P182 N183:O183 P185 N186:O186 P187 P191 N195:O195 N197:O197 N198:P198 N199:O199 P201 N202:P202 N203:O204 P207 N211:P213 N214:O214 P215:P217 N218:P218 P220:P221 N222:P222 N226:P226 N227:O227 P229 N230:P230 N233:P233 N234:O234 N236:P236 P238 P240 N241:O242 N243:P243 N244:O245 P246 N247:P247 N249:P249 N250:O250 N253:O253 N255:P255 N257:P257 N259:P259 N262:O263 P264 N265:O265 P266 N267:P269 N270:O270 N272:P274 P275:P276 N277:P278 N279:O279 N280:P280 P282 N284:O284 N286:O286 P289:P290 N293:O295 P296 N300:O300 N306:P306 N312:P316 P317:P318 P321 N322:O323 P324:P1751">
      <formula1>OR(NOT(ISERROR(DATEVALUE(N1))), AND(ISNUMBER(N1), LEFT(CELL("format", N1))="D"))</formula1>
    </dataValidation>
  </dataValidations>
  <hyperlinks>
    <hyperlink ref="S2" r:id="rId1"/>
    <hyperlink ref="T2" r:id="rId2"/>
    <hyperlink ref="R3" r:id="rId3"/>
    <hyperlink ref="T3" r:id="rId4"/>
    <hyperlink ref="R4" r:id="rId5"/>
    <hyperlink ref="S5" r:id="rId6"/>
    <hyperlink ref="T5" r:id="rId7"/>
    <hyperlink ref="R7" r:id="rId8"/>
    <hyperlink ref="R8" r:id="rId9"/>
    <hyperlink ref="R9" r:id="rId10"/>
    <hyperlink ref="S9" r:id="rId11"/>
    <hyperlink ref="R10" r:id="rId12"/>
    <hyperlink ref="S10" r:id="rId13"/>
    <hyperlink ref="R11" r:id="rId14"/>
    <hyperlink ref="R13" r:id="rId15"/>
    <hyperlink ref="T13" r:id="rId16"/>
    <hyperlink ref="R14" r:id="rId17"/>
    <hyperlink ref="T14" r:id="rId18"/>
    <hyperlink ref="R15" r:id="rId19"/>
    <hyperlink ref="R16" r:id="rId20"/>
    <hyperlink ref="S16" r:id="rId21"/>
    <hyperlink ref="R17" r:id="rId22"/>
    <hyperlink ref="S17" r:id="rId23"/>
    <hyperlink ref="R18" r:id="rId24"/>
    <hyperlink ref="S18" r:id="rId25"/>
    <hyperlink ref="R19" r:id="rId26"/>
    <hyperlink ref="S19" r:id="rId27"/>
    <hyperlink ref="R20" r:id="rId28"/>
    <hyperlink ref="S20" r:id="rId29"/>
    <hyperlink ref="R21" r:id="rId30"/>
    <hyperlink ref="S22" r:id="rId31"/>
    <hyperlink ref="T22" r:id="rId32"/>
    <hyperlink ref="R23" r:id="rId33"/>
    <hyperlink ref="T23" r:id="rId34"/>
    <hyperlink ref="R24" r:id="rId35"/>
    <hyperlink ref="R25" r:id="rId36"/>
    <hyperlink ref="R26" r:id="rId37"/>
    <hyperlink ref="R27" r:id="rId38"/>
    <hyperlink ref="R28" r:id="rId39"/>
    <hyperlink ref="R29" r:id="rId40"/>
    <hyperlink ref="R30" r:id="rId41"/>
    <hyperlink ref="R31" r:id="rId42"/>
    <hyperlink ref="R32" r:id="rId43"/>
    <hyperlink ref="R33" r:id="rId44"/>
    <hyperlink ref="R34" r:id="rId45"/>
    <hyperlink ref="R35" r:id="rId46"/>
    <hyperlink ref="R36" r:id="rId47"/>
    <hyperlink ref="R37" r:id="rId48"/>
    <hyperlink ref="R38" r:id="rId49"/>
    <hyperlink ref="R40" r:id="rId50"/>
    <hyperlink ref="R41" r:id="rId51"/>
    <hyperlink ref="R42" r:id="rId52"/>
    <hyperlink ref="R43" r:id="rId53"/>
    <hyperlink ref="R44" r:id="rId54"/>
    <hyperlink ref="R45" r:id="rId55"/>
    <hyperlink ref="R46" r:id="rId56"/>
    <hyperlink ref="R50" r:id="rId57"/>
    <hyperlink ref="R51" r:id="rId58"/>
    <hyperlink ref="R52" r:id="rId59"/>
    <hyperlink ref="R53" r:id="rId60"/>
    <hyperlink ref="R55" r:id="rId61"/>
    <hyperlink ref="R56" r:id="rId62"/>
    <hyperlink ref="R58" r:id="rId63"/>
    <hyperlink ref="R59" r:id="rId64"/>
    <hyperlink ref="R60" r:id="rId65"/>
    <hyperlink ref="R61" r:id="rId66"/>
    <hyperlink ref="R62" r:id="rId67"/>
    <hyperlink ref="R63" r:id="rId68"/>
    <hyperlink ref="R64" r:id="rId69"/>
    <hyperlink ref="R65" r:id="rId70"/>
    <hyperlink ref="R66" r:id="rId71"/>
    <hyperlink ref="R67" r:id="rId72"/>
    <hyperlink ref="R69" r:id="rId73"/>
    <hyperlink ref="R70" r:id="rId74"/>
    <hyperlink ref="R71" r:id="rId75"/>
    <hyperlink ref="T72" r:id="rId76"/>
    <hyperlink ref="U72" r:id="rId77"/>
    <hyperlink ref="T73" r:id="rId78"/>
    <hyperlink ref="U73" r:id="rId79"/>
    <hyperlink ref="T74" r:id="rId80"/>
    <hyperlink ref="U74" r:id="rId81"/>
    <hyperlink ref="T75" r:id="rId82"/>
    <hyperlink ref="U75" r:id="rId83"/>
    <hyperlink ref="T77" r:id="rId84"/>
    <hyperlink ref="T78" r:id="rId85"/>
    <hyperlink ref="U78" r:id="rId86"/>
    <hyperlink ref="T79" r:id="rId87"/>
    <hyperlink ref="U79" r:id="rId88"/>
    <hyperlink ref="T80" r:id="rId89"/>
    <hyperlink ref="U80" r:id="rId90"/>
    <hyperlink ref="T81" r:id="rId91"/>
    <hyperlink ref="U81" r:id="rId92"/>
    <hyperlink ref="T82" r:id="rId93"/>
    <hyperlink ref="U82" r:id="rId94"/>
    <hyperlink ref="T83" r:id="rId95"/>
    <hyperlink ref="U83" r:id="rId96"/>
    <hyperlink ref="T84" r:id="rId97"/>
    <hyperlink ref="U84" r:id="rId98"/>
    <hyperlink ref="T85" r:id="rId99"/>
    <hyperlink ref="U85" r:id="rId100"/>
    <hyperlink ref="T86" r:id="rId101"/>
    <hyperlink ref="U86" r:id="rId102"/>
    <hyperlink ref="R87" r:id="rId103"/>
    <hyperlink ref="T87" r:id="rId104"/>
    <hyperlink ref="T88" r:id="rId105"/>
    <hyperlink ref="AA88" r:id="rId106"/>
    <hyperlink ref="U89" r:id="rId107"/>
    <hyperlink ref="T90" r:id="rId108"/>
    <hyperlink ref="U90" r:id="rId109"/>
    <hyperlink ref="T91" r:id="rId110"/>
    <hyperlink ref="U91" r:id="rId111"/>
    <hyperlink ref="AA91" r:id="rId112"/>
    <hyperlink ref="T92" r:id="rId113"/>
    <hyperlink ref="T93" r:id="rId114"/>
    <hyperlink ref="T94" r:id="rId115"/>
    <hyperlink ref="T95" r:id="rId116"/>
    <hyperlink ref="T96" r:id="rId117"/>
    <hyperlink ref="T97" r:id="rId118"/>
    <hyperlink ref="T98" r:id="rId119"/>
    <hyperlink ref="R99" r:id="rId120"/>
    <hyperlink ref="T99" r:id="rId121"/>
    <hyperlink ref="T100" r:id="rId122"/>
    <hyperlink ref="R101" r:id="rId123"/>
    <hyperlink ref="S101" r:id="rId124"/>
    <hyperlink ref="T101" r:id="rId125"/>
    <hyperlink ref="S102" r:id="rId126"/>
    <hyperlink ref="T102" r:id="rId127"/>
    <hyperlink ref="R103" r:id="rId128"/>
    <hyperlink ref="T103" r:id="rId129"/>
    <hyperlink ref="R104" r:id="rId130"/>
    <hyperlink ref="T104" r:id="rId131"/>
    <hyperlink ref="R105" r:id="rId132"/>
    <hyperlink ref="T105" r:id="rId133"/>
    <hyperlink ref="R106" r:id="rId134"/>
    <hyperlink ref="R107" r:id="rId135"/>
    <hyperlink ref="R108" r:id="rId136"/>
    <hyperlink ref="R109" r:id="rId137"/>
    <hyperlink ref="S109" r:id="rId138"/>
    <hyperlink ref="R110" r:id="rId139"/>
    <hyperlink ref="R111" r:id="rId140"/>
    <hyperlink ref="S111" r:id="rId141"/>
    <hyperlink ref="R112" r:id="rId142"/>
    <hyperlink ref="S112" r:id="rId143"/>
    <hyperlink ref="R113" r:id="rId144"/>
    <hyperlink ref="S113" r:id="rId145"/>
    <hyperlink ref="R114" r:id="rId146"/>
    <hyperlink ref="R115" r:id="rId147"/>
    <hyperlink ref="R116" r:id="rId148"/>
    <hyperlink ref="R117" r:id="rId149"/>
    <hyperlink ref="R118" r:id="rId150"/>
    <hyperlink ref="S118" r:id="rId151"/>
    <hyperlink ref="S119" r:id="rId152"/>
    <hyperlink ref="R120" r:id="rId153"/>
    <hyperlink ref="R121" r:id="rId154"/>
    <hyperlink ref="S121" r:id="rId155"/>
    <hyperlink ref="R122" r:id="rId156"/>
    <hyperlink ref="R123" r:id="rId157"/>
    <hyperlink ref="R124" r:id="rId158"/>
    <hyperlink ref="R125" r:id="rId159"/>
    <hyperlink ref="S125" r:id="rId160"/>
    <hyperlink ref="R126" r:id="rId161"/>
    <hyperlink ref="S126" r:id="rId162"/>
    <hyperlink ref="R127" r:id="rId163"/>
    <hyperlink ref="S127" r:id="rId164"/>
    <hyperlink ref="R128" r:id="rId165"/>
    <hyperlink ref="S128" r:id="rId166"/>
    <hyperlink ref="R129" r:id="rId167"/>
    <hyperlink ref="S129" r:id="rId168"/>
    <hyperlink ref="R130" r:id="rId169"/>
    <hyperlink ref="R131" r:id="rId170"/>
    <hyperlink ref="R132" r:id="rId171"/>
    <hyperlink ref="S132" r:id="rId172"/>
    <hyperlink ref="S133" r:id="rId173"/>
    <hyperlink ref="R134" r:id="rId174"/>
    <hyperlink ref="S134" r:id="rId175"/>
    <hyperlink ref="S135" r:id="rId176"/>
    <hyperlink ref="R136" r:id="rId177"/>
    <hyperlink ref="R137" r:id="rId178"/>
    <hyperlink ref="S137" r:id="rId179"/>
    <hyperlink ref="R138" r:id="rId180"/>
    <hyperlink ref="R139" r:id="rId181"/>
    <hyperlink ref="R140" r:id="rId182"/>
    <hyperlink ref="R141" r:id="rId183"/>
    <hyperlink ref="S142" r:id="rId184"/>
    <hyperlink ref="S143" r:id="rId185"/>
    <hyperlink ref="R144" r:id="rId186"/>
    <hyperlink ref="S144" r:id="rId187"/>
    <hyperlink ref="R145" r:id="rId188"/>
    <hyperlink ref="R146" r:id="rId189"/>
    <hyperlink ref="S146" r:id="rId190"/>
    <hyperlink ref="R147" r:id="rId191"/>
    <hyperlink ref="S147" r:id="rId192"/>
    <hyperlink ref="R148" r:id="rId193"/>
    <hyperlink ref="S148" r:id="rId194"/>
    <hyperlink ref="R149" r:id="rId195"/>
    <hyperlink ref="S149" r:id="rId196"/>
    <hyperlink ref="R150" r:id="rId197"/>
    <hyperlink ref="R151" r:id="rId198"/>
    <hyperlink ref="R152" r:id="rId199"/>
    <hyperlink ref="R153" r:id="rId200"/>
    <hyperlink ref="R154" r:id="rId201"/>
    <hyperlink ref="R155" r:id="rId202"/>
    <hyperlink ref="R156" r:id="rId203"/>
    <hyperlink ref="R157" r:id="rId204"/>
    <hyperlink ref="S157" r:id="rId205"/>
    <hyperlink ref="R158" r:id="rId206"/>
    <hyperlink ref="R159" r:id="rId207"/>
    <hyperlink ref="R160" r:id="rId208"/>
    <hyperlink ref="S160" r:id="rId209"/>
    <hyperlink ref="R161" r:id="rId210"/>
    <hyperlink ref="S161" r:id="rId211"/>
    <hyperlink ref="R162" r:id="rId212"/>
    <hyperlink ref="S162" r:id="rId213"/>
    <hyperlink ref="R163" r:id="rId214"/>
    <hyperlink ref="S163" r:id="rId215"/>
    <hyperlink ref="R164" r:id="rId216"/>
    <hyperlink ref="S164" r:id="rId217"/>
    <hyperlink ref="R166" r:id="rId218"/>
    <hyperlink ref="S166" r:id="rId219"/>
    <hyperlink ref="S167" r:id="rId220"/>
    <hyperlink ref="T167" r:id="rId221"/>
    <hyperlink ref="R168" r:id="rId222"/>
    <hyperlink ref="S168" r:id="rId223"/>
    <hyperlink ref="R169" r:id="rId224"/>
    <hyperlink ref="S169" r:id="rId225"/>
    <hyperlink ref="R170" r:id="rId226"/>
    <hyperlink ref="S170" r:id="rId227"/>
    <hyperlink ref="R171" r:id="rId228"/>
    <hyperlink ref="S171" r:id="rId229"/>
    <hyperlink ref="T171" r:id="rId230"/>
    <hyperlink ref="S172" r:id="rId231"/>
    <hyperlink ref="T172" r:id="rId232"/>
    <hyperlink ref="T173" r:id="rId233"/>
    <hyperlink ref="U173" r:id="rId234"/>
    <hyperlink ref="T174" r:id="rId235"/>
    <hyperlink ref="U174" r:id="rId236"/>
    <hyperlink ref="T175" r:id="rId237"/>
    <hyperlink ref="U175" r:id="rId238"/>
    <hyperlink ref="T176" r:id="rId239"/>
    <hyperlink ref="U176" r:id="rId240"/>
    <hyperlink ref="T177" r:id="rId241"/>
    <hyperlink ref="U177" r:id="rId242"/>
    <hyperlink ref="T178" r:id="rId243"/>
    <hyperlink ref="U178" r:id="rId244"/>
    <hyperlink ref="T179" r:id="rId245"/>
    <hyperlink ref="U179" r:id="rId246"/>
    <hyperlink ref="U180" r:id="rId247"/>
    <hyperlink ref="T181" r:id="rId248"/>
    <hyperlink ref="U181" r:id="rId249"/>
    <hyperlink ref="T182" r:id="rId250"/>
    <hyperlink ref="U182" r:id="rId251"/>
    <hyperlink ref="T183" r:id="rId252"/>
    <hyperlink ref="U183" r:id="rId253"/>
    <hyperlink ref="T184" r:id="rId254"/>
    <hyperlink ref="U184" r:id="rId255"/>
    <hyperlink ref="S185" r:id="rId256"/>
    <hyperlink ref="T185" r:id="rId257"/>
    <hyperlink ref="T186" r:id="rId258"/>
    <hyperlink ref="U186" r:id="rId259"/>
    <hyperlink ref="T187" r:id="rId260"/>
    <hyperlink ref="U187" r:id="rId261"/>
    <hyperlink ref="R188" r:id="rId262"/>
    <hyperlink ref="S188" r:id="rId263"/>
    <hyperlink ref="T188" r:id="rId264"/>
    <hyperlink ref="T189" r:id="rId265"/>
    <hyperlink ref="U189" r:id="rId266"/>
    <hyperlink ref="T190" r:id="rId267"/>
    <hyperlink ref="U190" r:id="rId268"/>
    <hyperlink ref="T191" r:id="rId269"/>
    <hyperlink ref="T192" r:id="rId270"/>
    <hyperlink ref="U192" r:id="rId271"/>
    <hyperlink ref="S193" r:id="rId272"/>
    <hyperlink ref="T193" r:id="rId273"/>
    <hyperlink ref="T194" r:id="rId274"/>
    <hyperlink ref="T195" r:id="rId275"/>
    <hyperlink ref="U195" r:id="rId276"/>
    <hyperlink ref="S196" r:id="rId277"/>
    <hyperlink ref="T196" r:id="rId278"/>
    <hyperlink ref="U196" r:id="rId279"/>
    <hyperlink ref="T197" r:id="rId280"/>
    <hyperlink ref="U197" r:id="rId281"/>
    <hyperlink ref="U198" r:id="rId282"/>
    <hyperlink ref="R199" r:id="rId283"/>
    <hyperlink ref="S199" r:id="rId284"/>
    <hyperlink ref="T199" r:id="rId285"/>
    <hyperlink ref="T200" r:id="rId286"/>
    <hyperlink ref="U200" r:id="rId287"/>
    <hyperlink ref="T201" r:id="rId288"/>
    <hyperlink ref="T202" r:id="rId289"/>
    <hyperlink ref="U202" r:id="rId290"/>
    <hyperlink ref="T203" r:id="rId291"/>
    <hyperlink ref="U203" r:id="rId292"/>
    <hyperlink ref="T204" r:id="rId293"/>
    <hyperlink ref="U204" r:id="rId294"/>
    <hyperlink ref="T205" r:id="rId295"/>
    <hyperlink ref="U205" r:id="rId296"/>
    <hyperlink ref="T206" r:id="rId297"/>
    <hyperlink ref="U206" r:id="rId298"/>
    <hyperlink ref="T207" r:id="rId299"/>
    <hyperlink ref="U207" r:id="rId300"/>
    <hyperlink ref="T208" r:id="rId301"/>
    <hyperlink ref="U208" r:id="rId302"/>
    <hyperlink ref="S209" r:id="rId303"/>
    <hyperlink ref="T209" r:id="rId304"/>
    <hyperlink ref="U209" r:id="rId305"/>
    <hyperlink ref="T210" r:id="rId306"/>
    <hyperlink ref="U210" r:id="rId307"/>
    <hyperlink ref="T211" r:id="rId308"/>
    <hyperlink ref="U211" r:id="rId309"/>
    <hyperlink ref="T212" r:id="rId310"/>
    <hyperlink ref="U212" r:id="rId311"/>
    <hyperlink ref="T213" r:id="rId312"/>
    <hyperlink ref="U213" r:id="rId313"/>
    <hyperlink ref="T214" r:id="rId314"/>
    <hyperlink ref="U214" r:id="rId315"/>
    <hyperlink ref="T215" r:id="rId316"/>
    <hyperlink ref="U215" r:id="rId317"/>
    <hyperlink ref="T216" r:id="rId318"/>
    <hyperlink ref="U216" r:id="rId319"/>
    <hyperlink ref="T217" r:id="rId320"/>
    <hyperlink ref="U217" r:id="rId321"/>
    <hyperlink ref="T218" r:id="rId322"/>
    <hyperlink ref="T219" r:id="rId323"/>
    <hyperlink ref="U219" r:id="rId324"/>
    <hyperlink ref="T220" r:id="rId325"/>
    <hyperlink ref="U220" r:id="rId326"/>
    <hyperlink ref="S221" r:id="rId327"/>
    <hyperlink ref="T221" r:id="rId328"/>
    <hyperlink ref="T222" r:id="rId329"/>
    <hyperlink ref="U222" r:id="rId330"/>
    <hyperlink ref="T223" r:id="rId331"/>
    <hyperlink ref="U223" r:id="rId332"/>
    <hyperlink ref="T224" r:id="rId333"/>
    <hyperlink ref="T225" r:id="rId334"/>
    <hyperlink ref="U225" r:id="rId335"/>
    <hyperlink ref="T226" r:id="rId336"/>
    <hyperlink ref="U226" r:id="rId337"/>
    <hyperlink ref="U227" r:id="rId338"/>
    <hyperlink ref="T228" r:id="rId339"/>
    <hyperlink ref="T229" r:id="rId340"/>
    <hyperlink ref="U229" r:id="rId341"/>
    <hyperlink ref="T230" r:id="rId342"/>
    <hyperlink ref="U230" r:id="rId343"/>
    <hyperlink ref="T231" r:id="rId344"/>
    <hyperlink ref="U231" r:id="rId345"/>
    <hyperlink ref="T232" r:id="rId346"/>
    <hyperlink ref="U232" r:id="rId347"/>
    <hyperlink ref="U233" r:id="rId348"/>
    <hyperlink ref="T234" r:id="rId349"/>
    <hyperlink ref="U234" r:id="rId350"/>
    <hyperlink ref="T235" r:id="rId351"/>
    <hyperlink ref="U235" r:id="rId352"/>
    <hyperlink ref="U236" r:id="rId353"/>
    <hyperlink ref="T237" r:id="rId354"/>
    <hyperlink ref="U237" r:id="rId355"/>
    <hyperlink ref="T238" r:id="rId356"/>
    <hyperlink ref="U238" r:id="rId357"/>
    <hyperlink ref="T239" r:id="rId358"/>
    <hyperlink ref="U239" r:id="rId359"/>
    <hyperlink ref="T240" r:id="rId360"/>
    <hyperlink ref="U240" r:id="rId361"/>
    <hyperlink ref="T241" r:id="rId362"/>
    <hyperlink ref="U241" r:id="rId363"/>
    <hyperlink ref="T242" r:id="rId364"/>
    <hyperlink ref="U242" r:id="rId365"/>
    <hyperlink ref="T243" r:id="rId366"/>
    <hyperlink ref="U243" r:id="rId367"/>
    <hyperlink ref="T244" r:id="rId368"/>
    <hyperlink ref="U244" r:id="rId369"/>
    <hyperlink ref="T245" r:id="rId370"/>
    <hyperlink ref="U245" r:id="rId371"/>
    <hyperlink ref="S246" r:id="rId372"/>
    <hyperlink ref="T246" r:id="rId373"/>
    <hyperlink ref="S247" r:id="rId374"/>
    <hyperlink ref="T247" r:id="rId375"/>
    <hyperlink ref="U247" r:id="rId376"/>
    <hyperlink ref="T248" r:id="rId377"/>
    <hyperlink ref="U248" r:id="rId378"/>
    <hyperlink ref="T249" r:id="rId379"/>
    <hyperlink ref="U249" r:id="rId380"/>
    <hyperlink ref="T250" r:id="rId381"/>
    <hyperlink ref="U250" r:id="rId382"/>
    <hyperlink ref="T251" r:id="rId383"/>
    <hyperlink ref="U251" r:id="rId384"/>
    <hyperlink ref="T252" r:id="rId385"/>
    <hyperlink ref="U252" r:id="rId386"/>
    <hyperlink ref="T253" r:id="rId387"/>
    <hyperlink ref="U253" r:id="rId388"/>
    <hyperlink ref="T254" r:id="rId389"/>
    <hyperlink ref="U254" r:id="rId390"/>
    <hyperlink ref="T255" r:id="rId391"/>
    <hyperlink ref="U255" r:id="rId392"/>
    <hyperlink ref="T256" r:id="rId393"/>
    <hyperlink ref="U256" r:id="rId394"/>
    <hyperlink ref="T257" r:id="rId395"/>
    <hyperlink ref="U257" r:id="rId396"/>
    <hyperlink ref="T258" r:id="rId397"/>
    <hyperlink ref="T259" r:id="rId398"/>
    <hyperlink ref="U259" r:id="rId399"/>
    <hyperlink ref="T260" r:id="rId400"/>
    <hyperlink ref="U260" r:id="rId401"/>
    <hyperlink ref="T261" r:id="rId402"/>
    <hyperlink ref="U261" r:id="rId403"/>
    <hyperlink ref="U262" r:id="rId404"/>
    <hyperlink ref="U263" r:id="rId405"/>
    <hyperlink ref="T264" r:id="rId406"/>
    <hyperlink ref="U264" r:id="rId407"/>
    <hyperlink ref="T265" r:id="rId408"/>
    <hyperlink ref="U265" r:id="rId409"/>
    <hyperlink ref="T266" r:id="rId410"/>
    <hyperlink ref="T267" r:id="rId411"/>
    <hyperlink ref="U267" r:id="rId412"/>
    <hyperlink ref="T268" r:id="rId413"/>
    <hyperlink ref="U268" r:id="rId414"/>
    <hyperlink ref="S269" r:id="rId415"/>
    <hyperlink ref="T269" r:id="rId416"/>
    <hyperlink ref="U269" r:id="rId417"/>
    <hyperlink ref="T270" r:id="rId418"/>
    <hyperlink ref="U270" r:id="rId419"/>
    <hyperlink ref="T271" r:id="rId420"/>
    <hyperlink ref="U271" r:id="rId421"/>
    <hyperlink ref="T272" r:id="rId422"/>
    <hyperlink ref="S273" r:id="rId423"/>
    <hyperlink ref="T273" r:id="rId424"/>
    <hyperlink ref="S274" r:id="rId425"/>
    <hyperlink ref="T274" r:id="rId426"/>
    <hyperlink ref="S275" r:id="rId427"/>
    <hyperlink ref="T275" r:id="rId428"/>
    <hyperlink ref="R276" r:id="rId429"/>
    <hyperlink ref="S276" r:id="rId430"/>
    <hyperlink ref="T276" r:id="rId431"/>
    <hyperlink ref="T277" r:id="rId432"/>
    <hyperlink ref="U277" r:id="rId433"/>
    <hyperlink ref="T278" r:id="rId434"/>
    <hyperlink ref="U278" r:id="rId435"/>
    <hyperlink ref="T279" r:id="rId436"/>
    <hyperlink ref="U279" r:id="rId437"/>
    <hyperlink ref="T280" r:id="rId438"/>
    <hyperlink ref="U280" r:id="rId439"/>
    <hyperlink ref="T281" r:id="rId440"/>
    <hyperlink ref="U281" r:id="rId441"/>
    <hyperlink ref="U282" r:id="rId442"/>
    <hyperlink ref="R283" r:id="rId443"/>
    <hyperlink ref="T283" r:id="rId444"/>
    <hyperlink ref="U283" r:id="rId445"/>
    <hyperlink ref="S284" r:id="rId446"/>
    <hyperlink ref="T284" r:id="rId447"/>
    <hyperlink ref="U284" r:id="rId448"/>
    <hyperlink ref="T285" r:id="rId449"/>
    <hyperlink ref="U285" r:id="rId450"/>
    <hyperlink ref="S286" r:id="rId451"/>
    <hyperlink ref="T286" r:id="rId452"/>
    <hyperlink ref="U286" r:id="rId453"/>
    <hyperlink ref="T287" r:id="rId454"/>
    <hyperlink ref="U287" r:id="rId455"/>
    <hyperlink ref="T288" r:id="rId456"/>
    <hyperlink ref="U288" r:id="rId457"/>
    <hyperlink ref="U289" r:id="rId458"/>
    <hyperlink ref="U290" r:id="rId459"/>
    <hyperlink ref="R291" r:id="rId460"/>
    <hyperlink ref="S291" r:id="rId461"/>
    <hyperlink ref="T291" r:id="rId462"/>
    <hyperlink ref="U291" r:id="rId463"/>
    <hyperlink ref="T292" r:id="rId464"/>
    <hyperlink ref="U292" r:id="rId465"/>
    <hyperlink ref="S293" r:id="rId466"/>
    <hyperlink ref="T293" r:id="rId467"/>
    <hyperlink ref="U293" r:id="rId468"/>
    <hyperlink ref="S294" r:id="rId469"/>
    <hyperlink ref="T294" r:id="rId470"/>
    <hyperlink ref="U294" r:id="rId471"/>
    <hyperlink ref="T295" r:id="rId472"/>
    <hyperlink ref="U295" r:id="rId473"/>
    <hyperlink ref="T296" r:id="rId474"/>
    <hyperlink ref="U296" r:id="rId475"/>
    <hyperlink ref="S297" r:id="rId476"/>
    <hyperlink ref="T297" r:id="rId477"/>
    <hyperlink ref="U297" r:id="rId478"/>
    <hyperlink ref="T298" r:id="rId479"/>
    <hyperlink ref="U298" r:id="rId480"/>
    <hyperlink ref="T299" r:id="rId481"/>
    <hyperlink ref="U299" r:id="rId482"/>
    <hyperlink ref="S300" r:id="rId483"/>
    <hyperlink ref="T300" r:id="rId484"/>
    <hyperlink ref="U300" r:id="rId485"/>
    <hyperlink ref="R301" r:id="rId486"/>
    <hyperlink ref="T301" r:id="rId487"/>
    <hyperlink ref="U301" r:id="rId488"/>
    <hyperlink ref="R302" r:id="rId489"/>
    <hyperlink ref="T302" r:id="rId490"/>
    <hyperlink ref="T303" r:id="rId491"/>
    <hyperlink ref="U303" r:id="rId492"/>
    <hyperlink ref="T304" r:id="rId493"/>
    <hyperlink ref="U304" r:id="rId494"/>
    <hyperlink ref="T305" r:id="rId495"/>
    <hyperlink ref="U305" r:id="rId496"/>
    <hyperlink ref="T306" r:id="rId497"/>
    <hyperlink ref="U306" r:id="rId498"/>
    <hyperlink ref="R307" r:id="rId499"/>
    <hyperlink ref="S307" r:id="rId500"/>
    <hyperlink ref="T307" r:id="rId501"/>
    <hyperlink ref="U307" r:id="rId502"/>
    <hyperlink ref="R308" r:id="rId503"/>
    <hyperlink ref="S308" r:id="rId504"/>
    <hyperlink ref="T308" r:id="rId505"/>
    <hyperlink ref="U308" r:id="rId506"/>
    <hyperlink ref="R309" r:id="rId507"/>
    <hyperlink ref="T309" r:id="rId508"/>
    <hyperlink ref="U309" r:id="rId509"/>
    <hyperlink ref="R310" r:id="rId510"/>
    <hyperlink ref="S310" r:id="rId511"/>
    <hyperlink ref="T310" r:id="rId512"/>
    <hyperlink ref="U310" r:id="rId513"/>
    <hyperlink ref="R311" r:id="rId514"/>
    <hyperlink ref="S311" r:id="rId515"/>
    <hyperlink ref="T311" r:id="rId516"/>
    <hyperlink ref="U311" r:id="rId517"/>
    <hyperlink ref="R312" r:id="rId518"/>
    <hyperlink ref="S312" r:id="rId519"/>
    <hyperlink ref="T312" r:id="rId520"/>
    <hyperlink ref="U312" r:id="rId521"/>
    <hyperlink ref="R313" r:id="rId522"/>
    <hyperlink ref="S313" r:id="rId523"/>
    <hyperlink ref="T313" r:id="rId524"/>
    <hyperlink ref="U313" r:id="rId525"/>
    <hyperlink ref="R314" r:id="rId526"/>
    <hyperlink ref="S314" r:id="rId527"/>
    <hyperlink ref="T314" r:id="rId528"/>
    <hyperlink ref="U314" r:id="rId529"/>
    <hyperlink ref="R315" r:id="rId530"/>
    <hyperlink ref="S315" r:id="rId531"/>
    <hyperlink ref="T315" r:id="rId532"/>
    <hyperlink ref="U315" r:id="rId533"/>
    <hyperlink ref="R316" r:id="rId534"/>
    <hyperlink ref="S316" r:id="rId535"/>
    <hyperlink ref="T316" r:id="rId536"/>
    <hyperlink ref="U316" r:id="rId537"/>
    <hyperlink ref="R317" r:id="rId538"/>
    <hyperlink ref="S317" r:id="rId539"/>
    <hyperlink ref="T317" r:id="rId540"/>
    <hyperlink ref="U317" r:id="rId541"/>
    <hyperlink ref="R318" r:id="rId542"/>
    <hyperlink ref="S318" r:id="rId543"/>
    <hyperlink ref="T318" r:id="rId544"/>
    <hyperlink ref="U318" r:id="rId545"/>
    <hyperlink ref="T319" r:id="rId546"/>
    <hyperlink ref="U319" r:id="rId547"/>
    <hyperlink ref="T320" r:id="rId548"/>
    <hyperlink ref="U320" r:id="rId549"/>
    <hyperlink ref="R321" r:id="rId550"/>
    <hyperlink ref="S321" r:id="rId551"/>
    <hyperlink ref="T321" r:id="rId552"/>
    <hyperlink ref="U321" r:id="rId553"/>
    <hyperlink ref="R322" r:id="rId554"/>
    <hyperlink ref="S322" r:id="rId555"/>
    <hyperlink ref="T322" r:id="rId556"/>
    <hyperlink ref="T323" r:id="rId557"/>
    <hyperlink ref="U323" r:id="rId558"/>
  </hyperlinks>
  <pageMargins left="0.7" right="0.7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977"/>
  <sheetViews>
    <sheetView workbookViewId="0">
      <pane xSplit="4" ySplit="1" topLeftCell="K130" activePane="bottomRight" state="frozen"/>
      <selection pane="topRight" activeCell="E1" sqref="E1"/>
      <selection pane="bottomLeft" activeCell="A2" sqref="A2"/>
      <selection pane="bottomRight" sqref="A1:W163"/>
    </sheetView>
  </sheetViews>
  <sheetFormatPr defaultColWidth="14.42578125" defaultRowHeight="15" customHeight="1"/>
  <cols>
    <col min="1" max="1" width="6.28515625" customWidth="1"/>
    <col min="2" max="2" width="27.140625" customWidth="1"/>
    <col min="3" max="3" width="14.5703125" customWidth="1"/>
    <col min="4" max="4" width="17.7109375" customWidth="1"/>
    <col min="5" max="5" width="11.5703125" customWidth="1"/>
    <col min="6" max="6" width="10.5703125" customWidth="1"/>
    <col min="7" max="7" width="11.5703125" customWidth="1"/>
    <col min="8" max="8" width="11.7109375" customWidth="1"/>
    <col min="9" max="9" width="13.42578125" customWidth="1"/>
    <col min="10" max="10" width="17.5703125" customWidth="1"/>
    <col min="11" max="11" width="14.42578125" customWidth="1"/>
    <col min="12" max="12" width="25.5703125" customWidth="1"/>
    <col min="13" max="13" width="12.140625" customWidth="1"/>
    <col min="14" max="14" width="14.85546875" customWidth="1"/>
    <col min="15" max="15" width="11.7109375" customWidth="1"/>
    <col min="16" max="16" width="14" customWidth="1"/>
    <col min="17" max="17" width="20" customWidth="1"/>
    <col min="18" max="18" width="10.42578125" customWidth="1"/>
    <col min="19" max="19" width="8.28515625" customWidth="1"/>
    <col min="20" max="20" width="10.28515625" customWidth="1"/>
    <col min="21" max="21" width="10.7109375" customWidth="1"/>
    <col min="22" max="39" width="8.7109375" customWidth="1"/>
  </cols>
  <sheetData>
    <row r="1" spans="1:39" ht="15.75">
      <c r="A1" s="1754" t="s">
        <v>40</v>
      </c>
      <c r="B1" s="1902" t="s">
        <v>430</v>
      </c>
      <c r="C1" s="1902" t="s">
        <v>431</v>
      </c>
      <c r="D1" s="1903" t="s">
        <v>432</v>
      </c>
      <c r="E1" s="467" t="s">
        <v>433</v>
      </c>
      <c r="F1" s="1904" t="s">
        <v>2759</v>
      </c>
      <c r="G1" s="1754" t="s">
        <v>15</v>
      </c>
      <c r="H1" s="1754" t="s">
        <v>2760</v>
      </c>
      <c r="I1" s="1902" t="s">
        <v>1005</v>
      </c>
      <c r="J1" s="1905" t="s">
        <v>1006</v>
      </c>
      <c r="K1" s="1902" t="s">
        <v>678</v>
      </c>
      <c r="L1" s="1754" t="s">
        <v>23</v>
      </c>
      <c r="M1" s="1906" t="s">
        <v>435</v>
      </c>
      <c r="N1" s="1906" t="s">
        <v>130</v>
      </c>
      <c r="O1" s="1906" t="s">
        <v>1007</v>
      </c>
      <c r="P1" s="1906" t="s">
        <v>1008</v>
      </c>
      <c r="Q1" s="1906" t="s">
        <v>1009</v>
      </c>
      <c r="R1" s="1907" t="s">
        <v>5626</v>
      </c>
      <c r="S1" s="1907" t="s">
        <v>5627</v>
      </c>
      <c r="T1" s="1907" t="s">
        <v>2764</v>
      </c>
      <c r="U1" s="1907" t="s">
        <v>5628</v>
      </c>
      <c r="V1" s="1905" t="s">
        <v>5629</v>
      </c>
      <c r="W1" s="1908"/>
      <c r="X1" s="1908"/>
      <c r="Y1" s="1908"/>
      <c r="Z1" s="1908"/>
      <c r="AA1" s="1908"/>
      <c r="AB1" s="1908"/>
      <c r="AC1" s="1908"/>
      <c r="AD1" s="1908"/>
      <c r="AE1" s="1908"/>
      <c r="AF1" s="1908"/>
      <c r="AG1" s="1908"/>
      <c r="AH1" s="1908"/>
      <c r="AI1" s="1908"/>
      <c r="AJ1" s="1908"/>
      <c r="AK1" s="1908"/>
      <c r="AL1" s="1908"/>
      <c r="AM1" s="1908"/>
    </row>
    <row r="2" spans="1:39">
      <c r="A2" s="936">
        <v>3</v>
      </c>
      <c r="B2" s="688" t="s">
        <v>5630</v>
      </c>
      <c r="C2" s="275" t="s">
        <v>31</v>
      </c>
      <c r="D2" s="562" t="s">
        <v>5631</v>
      </c>
      <c r="E2" s="303" t="s">
        <v>5632</v>
      </c>
      <c r="F2" s="274" t="s">
        <v>759</v>
      </c>
      <c r="G2" s="303" t="s">
        <v>76</v>
      </c>
      <c r="H2" s="274" t="s">
        <v>266</v>
      </c>
      <c r="I2" s="275">
        <v>9002071098</v>
      </c>
      <c r="J2" s="284">
        <v>9002071098</v>
      </c>
      <c r="K2" s="275" t="s">
        <v>261</v>
      </c>
      <c r="L2" s="125" t="s">
        <v>67</v>
      </c>
      <c r="M2" s="289">
        <v>33025</v>
      </c>
      <c r="N2" s="602">
        <f>IF(ISBLANK(M2),"", DATE(YEAR(M2)+60,MONTH(M2),DAY(EOMONTH(M2,0))))</f>
        <v>54969</v>
      </c>
      <c r="O2" s="272">
        <v>45838</v>
      </c>
      <c r="P2" s="278">
        <v>45662</v>
      </c>
      <c r="Q2" s="302">
        <v>45622</v>
      </c>
      <c r="R2" s="294"/>
      <c r="S2" s="295"/>
      <c r="T2" s="296" t="s">
        <v>5633</v>
      </c>
      <c r="U2" s="296" t="s">
        <v>5633</v>
      </c>
      <c r="V2" s="297">
        <f t="shared" ref="V2:V8" si="0">LEN(TEXT(D2,0))</f>
        <v>11</v>
      </c>
      <c r="W2" s="208">
        <f t="shared" ref="W2:W38" ca="1" si="1">INT((TODAY()-M2)/365)</f>
        <v>35</v>
      </c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</row>
    <row r="3" spans="1:39">
      <c r="A3" s="936">
        <v>4</v>
      </c>
      <c r="B3" s="293" t="s">
        <v>5634</v>
      </c>
      <c r="C3" s="275" t="s">
        <v>31</v>
      </c>
      <c r="D3" s="562" t="s">
        <v>5635</v>
      </c>
      <c r="E3" s="303" t="s">
        <v>5636</v>
      </c>
      <c r="F3" s="274" t="s">
        <v>759</v>
      </c>
      <c r="G3" s="303" t="s">
        <v>76</v>
      </c>
      <c r="H3" s="274" t="s">
        <v>279</v>
      </c>
      <c r="I3" s="275">
        <v>9002071024</v>
      </c>
      <c r="J3" s="1909">
        <v>9002071024</v>
      </c>
      <c r="K3" s="275" t="s">
        <v>261</v>
      </c>
      <c r="L3" s="125" t="s">
        <v>67</v>
      </c>
      <c r="M3" s="289">
        <v>33252</v>
      </c>
      <c r="N3" s="289">
        <v>55184</v>
      </c>
      <c r="O3" s="272">
        <v>45837</v>
      </c>
      <c r="P3" s="279">
        <v>45720</v>
      </c>
      <c r="Q3" s="272">
        <v>45674</v>
      </c>
      <c r="R3" s="294"/>
      <c r="S3" s="295"/>
      <c r="T3" s="296" t="s">
        <v>5637</v>
      </c>
      <c r="U3" s="296" t="s">
        <v>5638</v>
      </c>
      <c r="V3" s="297">
        <f t="shared" si="0"/>
        <v>11</v>
      </c>
      <c r="W3" s="208">
        <f t="shared" ca="1" si="1"/>
        <v>35</v>
      </c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</row>
    <row r="4" spans="1:39">
      <c r="A4" s="936">
        <v>5</v>
      </c>
      <c r="B4" s="293" t="s">
        <v>5639</v>
      </c>
      <c r="C4" s="275" t="s">
        <v>31</v>
      </c>
      <c r="D4" s="562" t="s">
        <v>5640</v>
      </c>
      <c r="E4" s="18" t="s">
        <v>5641</v>
      </c>
      <c r="F4" s="274" t="s">
        <v>759</v>
      </c>
      <c r="G4" s="303" t="s">
        <v>76</v>
      </c>
      <c r="H4" s="274" t="s">
        <v>279</v>
      </c>
      <c r="I4" s="275">
        <v>9002079751</v>
      </c>
      <c r="J4" s="275">
        <v>9002079751</v>
      </c>
      <c r="K4" s="275" t="s">
        <v>261</v>
      </c>
      <c r="L4" s="274" t="s">
        <v>44</v>
      </c>
      <c r="M4" s="1910">
        <v>33974</v>
      </c>
      <c r="N4" s="289">
        <v>55915</v>
      </c>
      <c r="O4" s="272">
        <v>45767</v>
      </c>
      <c r="P4" s="272">
        <v>45591</v>
      </c>
      <c r="Q4" s="300">
        <v>45591</v>
      </c>
      <c r="R4" s="492"/>
      <c r="S4" s="295"/>
      <c r="T4" s="296" t="s">
        <v>5642</v>
      </c>
      <c r="U4" s="296" t="s">
        <v>5643</v>
      </c>
      <c r="V4" s="297">
        <f t="shared" si="0"/>
        <v>11</v>
      </c>
      <c r="W4" s="208">
        <f t="shared" ca="1" si="1"/>
        <v>33</v>
      </c>
      <c r="X4" s="298"/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298"/>
      <c r="AL4" s="298"/>
      <c r="AM4" s="298"/>
    </row>
    <row r="5" spans="1:39">
      <c r="A5" s="936">
        <v>6</v>
      </c>
      <c r="B5" s="688" t="s">
        <v>5644</v>
      </c>
      <c r="C5" s="275" t="s">
        <v>31</v>
      </c>
      <c r="D5" s="562" t="s">
        <v>5645</v>
      </c>
      <c r="E5" s="274" t="s">
        <v>5646</v>
      </c>
      <c r="F5" s="274" t="s">
        <v>759</v>
      </c>
      <c r="G5" s="274" t="s">
        <v>78</v>
      </c>
      <c r="H5" s="274" t="s">
        <v>279</v>
      </c>
      <c r="I5" s="275">
        <v>9002071807</v>
      </c>
      <c r="J5" s="284">
        <v>9002071807</v>
      </c>
      <c r="K5" s="275" t="s">
        <v>261</v>
      </c>
      <c r="L5" s="274" t="s">
        <v>67</v>
      </c>
      <c r="M5" s="289">
        <v>28993</v>
      </c>
      <c r="N5" s="289">
        <v>50921</v>
      </c>
      <c r="O5" s="272">
        <v>45689</v>
      </c>
      <c r="P5" s="315">
        <v>45222</v>
      </c>
      <c r="Q5" s="272">
        <v>45145</v>
      </c>
      <c r="R5" s="79"/>
      <c r="S5" s="295"/>
      <c r="T5" s="603" t="s">
        <v>5647</v>
      </c>
      <c r="U5" s="603" t="s">
        <v>5647</v>
      </c>
      <c r="V5" s="297">
        <f t="shared" si="0"/>
        <v>11</v>
      </c>
      <c r="W5" s="208">
        <f t="shared" ca="1" si="1"/>
        <v>46</v>
      </c>
      <c r="X5" s="298"/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8"/>
      <c r="AM5" s="298"/>
    </row>
    <row r="6" spans="1:39">
      <c r="A6" s="936">
        <v>7</v>
      </c>
      <c r="B6" s="293" t="s">
        <v>5648</v>
      </c>
      <c r="C6" s="275" t="s">
        <v>31</v>
      </c>
      <c r="D6" s="562" t="s">
        <v>5649</v>
      </c>
      <c r="E6" s="303" t="s">
        <v>5650</v>
      </c>
      <c r="F6" s="274" t="s">
        <v>759</v>
      </c>
      <c r="G6" s="303" t="s">
        <v>76</v>
      </c>
      <c r="H6" s="274" t="s">
        <v>279</v>
      </c>
      <c r="I6" s="275">
        <v>9002079605</v>
      </c>
      <c r="J6" s="284">
        <v>8910282413</v>
      </c>
      <c r="K6" s="275" t="s">
        <v>261</v>
      </c>
      <c r="L6" s="125" t="s">
        <v>69</v>
      </c>
      <c r="M6" s="289">
        <v>32826</v>
      </c>
      <c r="N6" s="289">
        <v>54757</v>
      </c>
      <c r="O6" s="272">
        <v>45266</v>
      </c>
      <c r="P6" s="279">
        <v>45527</v>
      </c>
      <c r="Q6" s="915">
        <v>45453</v>
      </c>
      <c r="R6" s="294"/>
      <c r="S6" s="295"/>
      <c r="T6" s="296" t="s">
        <v>5651</v>
      </c>
      <c r="U6" s="296" t="s">
        <v>5651</v>
      </c>
      <c r="V6" s="297">
        <f t="shared" si="0"/>
        <v>11</v>
      </c>
      <c r="W6" s="208">
        <f t="shared" ca="1" si="1"/>
        <v>36</v>
      </c>
      <c r="X6" s="298"/>
      <c r="Y6" s="298"/>
      <c r="Z6" s="298"/>
      <c r="AA6" s="298"/>
      <c r="AB6" s="298"/>
      <c r="AC6" s="298"/>
      <c r="AD6" s="298"/>
      <c r="AE6" s="298"/>
      <c r="AF6" s="298"/>
      <c r="AG6" s="298"/>
      <c r="AH6" s="298"/>
      <c r="AI6" s="298"/>
      <c r="AJ6" s="298"/>
      <c r="AK6" s="298"/>
      <c r="AL6" s="298"/>
      <c r="AM6" s="298"/>
    </row>
    <row r="7" spans="1:39">
      <c r="A7" s="936">
        <v>8</v>
      </c>
      <c r="B7" s="293" t="s">
        <v>5652</v>
      </c>
      <c r="C7" s="275" t="s">
        <v>31</v>
      </c>
      <c r="D7" s="562" t="s">
        <v>5653</v>
      </c>
      <c r="E7" s="421" t="s">
        <v>5654</v>
      </c>
      <c r="F7" s="274" t="s">
        <v>759</v>
      </c>
      <c r="G7" s="303" t="s">
        <v>76</v>
      </c>
      <c r="H7" s="274" t="s">
        <v>266</v>
      </c>
      <c r="I7" s="284">
        <v>8420320008</v>
      </c>
      <c r="J7" s="284">
        <v>8420320008</v>
      </c>
      <c r="K7" s="275" t="s">
        <v>261</v>
      </c>
      <c r="L7" s="125" t="s">
        <v>67</v>
      </c>
      <c r="M7" s="289">
        <v>31396</v>
      </c>
      <c r="N7" s="289">
        <v>53327</v>
      </c>
      <c r="O7" s="272">
        <v>46109</v>
      </c>
      <c r="P7" s="278">
        <v>45115</v>
      </c>
      <c r="Q7" s="272">
        <v>45145</v>
      </c>
      <c r="R7" s="294"/>
      <c r="S7" s="295"/>
      <c r="T7" s="296" t="s">
        <v>5655</v>
      </c>
      <c r="U7" s="955" t="s">
        <v>5656</v>
      </c>
      <c r="V7" s="297">
        <f t="shared" si="0"/>
        <v>11</v>
      </c>
      <c r="W7" s="208">
        <f t="shared" ca="1" si="1"/>
        <v>40</v>
      </c>
      <c r="X7" s="298"/>
      <c r="Y7" s="563"/>
      <c r="AA7" s="384"/>
      <c r="AB7" s="384"/>
      <c r="AC7" s="384"/>
      <c r="AD7" s="384"/>
      <c r="AE7" s="384"/>
      <c r="AH7" s="298"/>
      <c r="AI7" s="298"/>
      <c r="AJ7" s="298"/>
      <c r="AK7" s="298"/>
      <c r="AL7" s="298"/>
      <c r="AM7" s="298"/>
    </row>
    <row r="8" spans="1:39">
      <c r="A8" s="936">
        <v>9</v>
      </c>
      <c r="B8" s="293" t="s">
        <v>5657</v>
      </c>
      <c r="C8" s="275" t="s">
        <v>31</v>
      </c>
      <c r="D8" s="562" t="s">
        <v>5658</v>
      </c>
      <c r="E8" s="303" t="s">
        <v>5659</v>
      </c>
      <c r="F8" s="274" t="s">
        <v>759</v>
      </c>
      <c r="G8" s="303" t="s">
        <v>76</v>
      </c>
      <c r="H8" s="274" t="s">
        <v>279</v>
      </c>
      <c r="I8" s="275">
        <v>9002071376</v>
      </c>
      <c r="J8" s="275">
        <v>9002071376</v>
      </c>
      <c r="K8" s="275" t="s">
        <v>261</v>
      </c>
      <c r="L8" s="656" t="s">
        <v>256</v>
      </c>
      <c r="M8" s="289">
        <v>32166</v>
      </c>
      <c r="N8" s="289">
        <v>54088</v>
      </c>
      <c r="O8" s="272">
        <v>45832</v>
      </c>
      <c r="P8" s="272">
        <v>45748</v>
      </c>
      <c r="Q8" s="302">
        <v>45649</v>
      </c>
      <c r="R8" s="294"/>
      <c r="S8" s="295"/>
      <c r="T8" s="296" t="s">
        <v>5660</v>
      </c>
      <c r="U8" s="296" t="s">
        <v>5660</v>
      </c>
      <c r="V8" s="297">
        <f t="shared" si="0"/>
        <v>11</v>
      </c>
      <c r="W8" s="208">
        <f t="shared" ca="1" si="1"/>
        <v>38</v>
      </c>
      <c r="X8" s="298"/>
      <c r="Y8" s="298"/>
      <c r="Z8" s="298"/>
      <c r="AA8" s="298"/>
      <c r="AB8" s="298"/>
      <c r="AC8" s="298"/>
      <c r="AD8" s="298"/>
      <c r="AE8" s="298"/>
      <c r="AF8" s="298"/>
      <c r="AG8" s="298"/>
      <c r="AH8" s="298"/>
      <c r="AI8" s="298"/>
      <c r="AJ8" s="298"/>
      <c r="AK8" s="298"/>
      <c r="AL8" s="298"/>
      <c r="AM8" s="298"/>
    </row>
    <row r="9" spans="1:39">
      <c r="A9" s="936">
        <v>10</v>
      </c>
      <c r="B9" s="351" t="s">
        <v>5661</v>
      </c>
      <c r="C9" s="18" t="s">
        <v>31</v>
      </c>
      <c r="D9" s="1642" t="s">
        <v>5662</v>
      </c>
      <c r="E9" s="274" t="s">
        <v>5663</v>
      </c>
      <c r="F9" s="274" t="s">
        <v>759</v>
      </c>
      <c r="G9" s="274" t="s">
        <v>76</v>
      </c>
      <c r="H9" s="274" t="s">
        <v>266</v>
      </c>
      <c r="I9" s="284">
        <v>9002071840</v>
      </c>
      <c r="J9" s="284">
        <v>9002071840</v>
      </c>
      <c r="K9" s="275" t="s">
        <v>261</v>
      </c>
      <c r="L9" s="125" t="s">
        <v>67</v>
      </c>
      <c r="M9" s="272">
        <v>31883</v>
      </c>
      <c r="N9" s="272">
        <v>53812</v>
      </c>
      <c r="O9" s="320">
        <v>45916</v>
      </c>
      <c r="P9" s="278">
        <v>45559</v>
      </c>
      <c r="Q9" s="279">
        <v>45527</v>
      </c>
      <c r="R9" s="321" t="s">
        <v>5664</v>
      </c>
      <c r="S9" s="281" t="s">
        <v>5665</v>
      </c>
      <c r="T9" s="321" t="s">
        <v>5666</v>
      </c>
      <c r="U9" s="281" t="s">
        <v>5667</v>
      </c>
      <c r="V9" s="280">
        <f>LEN(D9)</f>
        <v>11</v>
      </c>
      <c r="W9" s="208">
        <f t="shared" ca="1" si="1"/>
        <v>38</v>
      </c>
      <c r="Y9" s="298"/>
      <c r="Z9" s="298"/>
      <c r="AA9" s="298"/>
      <c r="AB9" s="298"/>
      <c r="AC9" s="298"/>
      <c r="AD9" s="298"/>
      <c r="AE9" s="298"/>
      <c r="AF9" s="298"/>
      <c r="AG9" s="298"/>
      <c r="AH9" s="298"/>
      <c r="AI9" s="298"/>
      <c r="AJ9" s="298"/>
      <c r="AK9" s="298"/>
      <c r="AL9" s="298"/>
      <c r="AM9" s="298"/>
    </row>
    <row r="10" spans="1:39" ht="15.75" customHeight="1">
      <c r="A10" s="936">
        <v>11</v>
      </c>
      <c r="B10" s="293" t="s">
        <v>5668</v>
      </c>
      <c r="C10" s="275" t="s">
        <v>31</v>
      </c>
      <c r="D10" s="562" t="s">
        <v>5669</v>
      </c>
      <c r="E10" s="303" t="s">
        <v>5670</v>
      </c>
      <c r="F10" s="274" t="s">
        <v>759</v>
      </c>
      <c r="G10" s="303" t="s">
        <v>76</v>
      </c>
      <c r="H10" s="274" t="s">
        <v>266</v>
      </c>
      <c r="I10" s="275">
        <v>9002079042</v>
      </c>
      <c r="J10" s="275">
        <v>9002079042</v>
      </c>
      <c r="K10" s="275" t="s">
        <v>261</v>
      </c>
      <c r="L10" s="125" t="s">
        <v>67</v>
      </c>
      <c r="M10" s="289">
        <v>28746</v>
      </c>
      <c r="N10" s="289">
        <v>50678</v>
      </c>
      <c r="O10" s="302">
        <v>45695</v>
      </c>
      <c r="P10" s="272">
        <v>45705</v>
      </c>
      <c r="Q10" s="302">
        <v>45339</v>
      </c>
      <c r="R10" s="294"/>
      <c r="S10" s="295"/>
      <c r="T10" s="296" t="s">
        <v>5671</v>
      </c>
      <c r="U10" s="296" t="s">
        <v>5672</v>
      </c>
      <c r="V10" s="297">
        <f>LEN(TEXT(D10,0))</f>
        <v>11</v>
      </c>
      <c r="W10" s="208">
        <f t="shared" ca="1" si="1"/>
        <v>47</v>
      </c>
      <c r="X10" s="298"/>
      <c r="Y10" s="298"/>
      <c r="Z10" s="298"/>
      <c r="AA10" s="298"/>
      <c r="AB10" s="298"/>
      <c r="AC10" s="298"/>
      <c r="AD10" s="298"/>
      <c r="AE10" s="298"/>
      <c r="AF10" s="298"/>
      <c r="AG10" s="298"/>
    </row>
    <row r="11" spans="1:39" ht="15.75" customHeight="1">
      <c r="A11" s="936">
        <v>12</v>
      </c>
      <c r="B11" s="286" t="s">
        <v>5673</v>
      </c>
      <c r="C11" s="39" t="s">
        <v>31</v>
      </c>
      <c r="D11" s="1911" t="s">
        <v>5674</v>
      </c>
      <c r="E11" s="366" t="s">
        <v>5675</v>
      </c>
      <c r="F11" s="274" t="s">
        <v>759</v>
      </c>
      <c r="G11" s="39" t="s">
        <v>76</v>
      </c>
      <c r="H11" s="274" t="s">
        <v>279</v>
      </c>
      <c r="I11" s="432">
        <v>9002079046</v>
      </c>
      <c r="J11" s="1586"/>
      <c r="K11" s="275" t="s">
        <v>261</v>
      </c>
      <c r="L11" s="445" t="s">
        <v>56</v>
      </c>
      <c r="M11" s="418">
        <v>28308</v>
      </c>
      <c r="N11" s="418">
        <v>50252</v>
      </c>
      <c r="O11" s="418">
        <v>45359</v>
      </c>
      <c r="P11" s="418">
        <v>45891</v>
      </c>
      <c r="Q11" s="272">
        <v>45537</v>
      </c>
      <c r="R11" s="294"/>
      <c r="S11" s="888"/>
      <c r="T11" s="296" t="s">
        <v>2550</v>
      </c>
      <c r="U11" s="296" t="s">
        <v>2550</v>
      </c>
      <c r="V11" s="297"/>
      <c r="W11" s="208">
        <f t="shared" ca="1" si="1"/>
        <v>48</v>
      </c>
      <c r="X11" s="298"/>
      <c r="Y11" s="298"/>
      <c r="Z11" s="298"/>
      <c r="AA11" s="298"/>
      <c r="AB11" s="298"/>
      <c r="AC11" s="298"/>
      <c r="AD11" s="298"/>
      <c r="AE11" s="298"/>
      <c r="AF11" s="298"/>
      <c r="AG11" s="298"/>
      <c r="AH11" s="298"/>
      <c r="AI11" s="298"/>
      <c r="AJ11" s="298"/>
      <c r="AK11" s="298"/>
      <c r="AL11" s="298"/>
      <c r="AM11" s="298"/>
    </row>
    <row r="12" spans="1:39" ht="15.75" customHeight="1">
      <c r="A12" s="936">
        <v>13</v>
      </c>
      <c r="B12" s="351" t="s">
        <v>5676</v>
      </c>
      <c r="C12" s="307" t="s">
        <v>31</v>
      </c>
      <c r="D12" s="1819" t="s">
        <v>5677</v>
      </c>
      <c r="E12" s="18" t="s">
        <v>5678</v>
      </c>
      <c r="F12" s="274" t="s">
        <v>759</v>
      </c>
      <c r="G12" s="274" t="s">
        <v>76</v>
      </c>
      <c r="H12" s="274" t="s">
        <v>266</v>
      </c>
      <c r="I12" s="275">
        <v>9002071350</v>
      </c>
      <c r="J12" s="275"/>
      <c r="K12" s="275" t="s">
        <v>261</v>
      </c>
      <c r="L12" s="656" t="s">
        <v>44</v>
      </c>
      <c r="M12" s="272">
        <v>25490</v>
      </c>
      <c r="N12" s="272">
        <v>47422</v>
      </c>
      <c r="O12" s="277">
        <v>45579</v>
      </c>
      <c r="P12" s="272">
        <v>45257</v>
      </c>
      <c r="Q12" s="272">
        <v>45242</v>
      </c>
      <c r="R12" s="280"/>
      <c r="S12" s="280"/>
      <c r="T12" s="281" t="s">
        <v>5679</v>
      </c>
      <c r="U12" s="281" t="s">
        <v>5680</v>
      </c>
      <c r="V12" s="79">
        <f t="shared" ref="V12:V13" si="2">LEN(D12)</f>
        <v>11</v>
      </c>
      <c r="W12" s="208">
        <f t="shared" ca="1" si="1"/>
        <v>56</v>
      </c>
      <c r="Y12" s="298"/>
      <c r="Z12" s="298"/>
      <c r="AA12" s="298"/>
      <c r="AB12" s="298"/>
      <c r="AC12" s="298"/>
      <c r="AD12" s="298"/>
      <c r="AE12" s="298"/>
      <c r="AF12" s="298"/>
      <c r="AG12" s="298"/>
      <c r="AH12" s="298"/>
      <c r="AI12" s="298"/>
      <c r="AJ12" s="298"/>
      <c r="AK12" s="298"/>
      <c r="AL12" s="298"/>
      <c r="AM12" s="298"/>
    </row>
    <row r="13" spans="1:39" ht="15.75" customHeight="1">
      <c r="A13" s="936">
        <v>14</v>
      </c>
      <c r="B13" s="351" t="s">
        <v>5681</v>
      </c>
      <c r="C13" s="307" t="s">
        <v>31</v>
      </c>
      <c r="D13" s="1642" t="s">
        <v>5682</v>
      </c>
      <c r="E13" s="18" t="s">
        <v>5683</v>
      </c>
      <c r="F13" s="274" t="s">
        <v>759</v>
      </c>
      <c r="G13" s="274" t="s">
        <v>77</v>
      </c>
      <c r="H13" s="274" t="s">
        <v>266</v>
      </c>
      <c r="I13" s="275">
        <v>8013389917</v>
      </c>
      <c r="J13" s="275"/>
      <c r="K13" s="275" t="s">
        <v>261</v>
      </c>
      <c r="L13" s="274" t="s">
        <v>64</v>
      </c>
      <c r="M13" s="272">
        <v>30507</v>
      </c>
      <c r="N13" s="272">
        <v>52443</v>
      </c>
      <c r="O13" s="320">
        <v>45931</v>
      </c>
      <c r="P13" s="278">
        <v>45391</v>
      </c>
      <c r="Q13" s="279">
        <v>45373</v>
      </c>
      <c r="R13" s="338" t="s">
        <v>5684</v>
      </c>
      <c r="S13" s="280"/>
      <c r="T13" s="281" t="s">
        <v>5685</v>
      </c>
      <c r="U13" s="281" t="s">
        <v>5686</v>
      </c>
      <c r="V13" s="79">
        <f t="shared" si="2"/>
        <v>11</v>
      </c>
      <c r="W13" s="208">
        <f t="shared" ca="1" si="1"/>
        <v>42</v>
      </c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  <c r="AI13" s="298"/>
      <c r="AJ13" s="298"/>
      <c r="AK13" s="298"/>
      <c r="AL13" s="298"/>
      <c r="AM13" s="298"/>
    </row>
    <row r="14" spans="1:39" ht="15.75" customHeight="1">
      <c r="A14" s="936">
        <v>15</v>
      </c>
      <c r="B14" s="688" t="s">
        <v>5687</v>
      </c>
      <c r="C14" s="275" t="s">
        <v>31</v>
      </c>
      <c r="D14" s="562" t="s">
        <v>5688</v>
      </c>
      <c r="E14" s="274" t="s">
        <v>5689</v>
      </c>
      <c r="F14" s="274" t="s">
        <v>759</v>
      </c>
      <c r="G14" s="274" t="s">
        <v>77</v>
      </c>
      <c r="H14" s="274" t="s">
        <v>266</v>
      </c>
      <c r="I14" s="275">
        <v>9002071822</v>
      </c>
      <c r="J14" s="275">
        <v>9002071822</v>
      </c>
      <c r="K14" s="275" t="s">
        <v>261</v>
      </c>
      <c r="L14" s="274" t="s">
        <v>55</v>
      </c>
      <c r="M14" s="272">
        <v>24842</v>
      </c>
      <c r="N14" s="289">
        <v>46783</v>
      </c>
      <c r="O14" s="272">
        <v>45963</v>
      </c>
      <c r="P14" s="272">
        <v>46137</v>
      </c>
      <c r="Q14" s="272">
        <v>45845</v>
      </c>
      <c r="R14" s="294"/>
      <c r="S14" s="295"/>
      <c r="T14" s="296" t="s">
        <v>5690</v>
      </c>
      <c r="U14" s="296" t="s">
        <v>5690</v>
      </c>
      <c r="V14" s="297">
        <f>LEN(TEXT(D14,0))</f>
        <v>11</v>
      </c>
      <c r="W14" s="208">
        <f t="shared" ca="1" si="1"/>
        <v>58</v>
      </c>
      <c r="X14" s="298"/>
      <c r="Y14" s="298"/>
      <c r="Z14" s="298"/>
      <c r="AA14" s="298"/>
      <c r="AB14" s="298"/>
      <c r="AC14" s="298"/>
      <c r="AD14" s="298"/>
      <c r="AE14" s="298"/>
      <c r="AF14" s="298"/>
      <c r="AG14" s="298"/>
      <c r="AH14" s="298"/>
      <c r="AI14" s="298"/>
      <c r="AJ14" s="298"/>
      <c r="AK14" s="298"/>
      <c r="AL14" s="298"/>
      <c r="AM14" s="298"/>
    </row>
    <row r="15" spans="1:39" ht="15.75" customHeight="1">
      <c r="A15" s="936">
        <v>16</v>
      </c>
      <c r="B15" s="351" t="s">
        <v>5691</v>
      </c>
      <c r="C15" s="307" t="s">
        <v>31</v>
      </c>
      <c r="D15" s="1642" t="s">
        <v>5692</v>
      </c>
      <c r="E15" s="18" t="s">
        <v>5693</v>
      </c>
      <c r="F15" s="274" t="s">
        <v>759</v>
      </c>
      <c r="G15" s="274" t="s">
        <v>76</v>
      </c>
      <c r="H15" s="274" t="s">
        <v>266</v>
      </c>
      <c r="I15" s="275">
        <v>8420320079</v>
      </c>
      <c r="J15" s="650"/>
      <c r="K15" s="275" t="s">
        <v>261</v>
      </c>
      <c r="L15" s="274" t="s">
        <v>55</v>
      </c>
      <c r="M15" s="272">
        <v>31625</v>
      </c>
      <c r="N15" s="272">
        <v>53570</v>
      </c>
      <c r="O15" s="320">
        <v>45923</v>
      </c>
      <c r="P15" s="315">
        <v>45283</v>
      </c>
      <c r="Q15" s="279">
        <v>45242</v>
      </c>
      <c r="R15" s="294"/>
      <c r="S15" s="294"/>
      <c r="T15" s="429" t="s">
        <v>5694</v>
      </c>
      <c r="U15" s="429" t="s">
        <v>5695</v>
      </c>
      <c r="V15" s="206">
        <f>LEN(D15)</f>
        <v>11</v>
      </c>
      <c r="W15" s="208">
        <f t="shared" ca="1" si="1"/>
        <v>39</v>
      </c>
      <c r="Y15" s="90"/>
      <c r="AB15" s="311">
        <f ca="1">INT((TODAY()-M15)/365)</f>
        <v>39</v>
      </c>
      <c r="AC15" s="311"/>
      <c r="AD15" s="311"/>
      <c r="AE15" s="311"/>
      <c r="AF15" s="311"/>
      <c r="AG15" s="311"/>
      <c r="AH15" s="311"/>
      <c r="AI15" s="311"/>
      <c r="AJ15" s="311"/>
      <c r="AK15" s="311"/>
      <c r="AL15" s="311"/>
      <c r="AM15" s="311"/>
    </row>
    <row r="16" spans="1:39" ht="15.75" customHeight="1">
      <c r="A16" s="936">
        <v>17</v>
      </c>
      <c r="B16" s="293" t="s">
        <v>5696</v>
      </c>
      <c r="C16" s="275" t="s">
        <v>31</v>
      </c>
      <c r="D16" s="1466" t="s">
        <v>5697</v>
      </c>
      <c r="E16" s="274" t="s">
        <v>5698</v>
      </c>
      <c r="F16" s="274" t="s">
        <v>759</v>
      </c>
      <c r="G16" s="274" t="s">
        <v>77</v>
      </c>
      <c r="H16" s="274" t="s">
        <v>279</v>
      </c>
      <c r="I16" s="275">
        <v>9002079053</v>
      </c>
      <c r="J16" s="275"/>
      <c r="K16" s="275" t="s">
        <v>261</v>
      </c>
      <c r="L16" s="274" t="s">
        <v>44</v>
      </c>
      <c r="M16" s="289">
        <v>28449</v>
      </c>
      <c r="N16" s="289">
        <v>50374</v>
      </c>
      <c r="O16" s="272">
        <v>45618</v>
      </c>
      <c r="P16" s="272">
        <v>45330</v>
      </c>
      <c r="Q16" s="915">
        <v>45453</v>
      </c>
      <c r="R16" s="280"/>
      <c r="S16" s="295"/>
      <c r="T16" s="296" t="s">
        <v>5699</v>
      </c>
      <c r="U16" s="296" t="s">
        <v>5699</v>
      </c>
      <c r="V16" s="297">
        <f t="shared" ref="V16:V18" si="3">LEN(TEXT(D16,0))</f>
        <v>11</v>
      </c>
      <c r="W16" s="208">
        <f t="shared" ca="1" si="1"/>
        <v>48</v>
      </c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  <c r="AH16" s="298"/>
      <c r="AI16" s="298"/>
      <c r="AJ16" s="298"/>
      <c r="AK16" s="298"/>
      <c r="AL16" s="298"/>
      <c r="AM16" s="298"/>
    </row>
    <row r="17" spans="1:39" ht="15.75" customHeight="1">
      <c r="A17" s="936">
        <v>18</v>
      </c>
      <c r="B17" s="293" t="s">
        <v>5700</v>
      </c>
      <c r="C17" s="275" t="s">
        <v>31</v>
      </c>
      <c r="D17" s="562" t="s">
        <v>5701</v>
      </c>
      <c r="E17" s="686" t="s">
        <v>5702</v>
      </c>
      <c r="F17" s="274" t="s">
        <v>759</v>
      </c>
      <c r="G17" s="274" t="s">
        <v>78</v>
      </c>
      <c r="H17" s="274" t="s">
        <v>279</v>
      </c>
      <c r="I17" s="275">
        <v>9002079064</v>
      </c>
      <c r="J17" s="275">
        <v>9002079064</v>
      </c>
      <c r="K17" s="275" t="s">
        <v>261</v>
      </c>
      <c r="L17" s="274" t="s">
        <v>256</v>
      </c>
      <c r="M17" s="272">
        <v>27273</v>
      </c>
      <c r="N17" s="289">
        <v>49187</v>
      </c>
      <c r="O17" s="272">
        <v>45417</v>
      </c>
      <c r="P17" s="272">
        <v>45777</v>
      </c>
      <c r="Q17" s="272">
        <v>45563</v>
      </c>
      <c r="R17" s="294"/>
      <c r="S17" s="295"/>
      <c r="T17" s="296" t="s">
        <v>5703</v>
      </c>
      <c r="U17" s="296" t="s">
        <v>5703</v>
      </c>
      <c r="V17" s="297">
        <f t="shared" si="3"/>
        <v>11</v>
      </c>
      <c r="W17" s="208">
        <f t="shared" ca="1" si="1"/>
        <v>51</v>
      </c>
      <c r="X17" s="298"/>
      <c r="Y17" s="298"/>
      <c r="Z17" s="298"/>
      <c r="AA17" s="298"/>
      <c r="AB17" s="298"/>
      <c r="AC17" s="298"/>
      <c r="AD17" s="298"/>
      <c r="AE17" s="298"/>
      <c r="AF17" s="298"/>
      <c r="AG17" s="298"/>
      <c r="AH17" s="298"/>
      <c r="AI17" s="298"/>
      <c r="AJ17" s="298"/>
      <c r="AK17" s="298"/>
      <c r="AL17" s="298"/>
      <c r="AM17" s="298"/>
    </row>
    <row r="18" spans="1:39" ht="15.75" customHeight="1">
      <c r="A18" s="936">
        <v>19</v>
      </c>
      <c r="B18" s="293" t="s">
        <v>5704</v>
      </c>
      <c r="C18" s="275" t="s">
        <v>31</v>
      </c>
      <c r="D18" s="562" t="s">
        <v>5705</v>
      </c>
      <c r="E18" s="303" t="s">
        <v>5706</v>
      </c>
      <c r="F18" s="274" t="s">
        <v>759</v>
      </c>
      <c r="G18" s="303" t="s">
        <v>76</v>
      </c>
      <c r="H18" s="274" t="s">
        <v>279</v>
      </c>
      <c r="I18" s="275">
        <v>8420320016</v>
      </c>
      <c r="J18" s="275">
        <v>8420320016</v>
      </c>
      <c r="K18" s="275" t="s">
        <v>261</v>
      </c>
      <c r="L18" s="274" t="s">
        <v>664</v>
      </c>
      <c r="M18" s="289">
        <v>31865</v>
      </c>
      <c r="N18" s="289">
        <v>53782</v>
      </c>
      <c r="O18" s="272">
        <v>46124</v>
      </c>
      <c r="P18" s="278">
        <v>45115</v>
      </c>
      <c r="Q18" s="272">
        <v>45145</v>
      </c>
      <c r="R18" s="79"/>
      <c r="S18" s="79"/>
      <c r="T18" s="603" t="s">
        <v>5707</v>
      </c>
      <c r="U18" s="603" t="s">
        <v>5707</v>
      </c>
      <c r="V18" s="297">
        <f t="shared" si="3"/>
        <v>11</v>
      </c>
      <c r="W18" s="208">
        <f t="shared" ca="1" si="1"/>
        <v>38</v>
      </c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  <c r="AH18" s="298"/>
      <c r="AI18" s="298"/>
      <c r="AJ18" s="298"/>
      <c r="AK18" s="298"/>
      <c r="AL18" s="298"/>
      <c r="AM18" s="298"/>
    </row>
    <row r="19" spans="1:39" ht="15.75" customHeight="1">
      <c r="A19" s="936">
        <v>20</v>
      </c>
      <c r="B19" s="351" t="s">
        <v>5708</v>
      </c>
      <c r="C19" s="275" t="s">
        <v>31</v>
      </c>
      <c r="D19" s="1820" t="s">
        <v>5709</v>
      </c>
      <c r="E19" s="491" t="s">
        <v>5710</v>
      </c>
      <c r="F19" s="274" t="s">
        <v>759</v>
      </c>
      <c r="G19" s="274" t="s">
        <v>76</v>
      </c>
      <c r="H19" s="274" t="s">
        <v>266</v>
      </c>
      <c r="I19" s="275">
        <v>9002071042</v>
      </c>
      <c r="J19" s="275"/>
      <c r="K19" s="275" t="s">
        <v>261</v>
      </c>
      <c r="L19" s="125" t="s">
        <v>69</v>
      </c>
      <c r="M19" s="272">
        <v>32529</v>
      </c>
      <c r="N19" s="272">
        <v>54454</v>
      </c>
      <c r="O19" s="277">
        <v>45909</v>
      </c>
      <c r="P19" s="272">
        <v>45280</v>
      </c>
      <c r="Q19" s="272">
        <v>45258</v>
      </c>
      <c r="R19" s="280"/>
      <c r="S19" s="280"/>
      <c r="T19" s="281" t="s">
        <v>5711</v>
      </c>
      <c r="U19" s="281" t="s">
        <v>5712</v>
      </c>
      <c r="V19" s="280">
        <f t="shared" ref="V19:V20" si="4">LEN(D19)</f>
        <v>11</v>
      </c>
      <c r="W19" s="208">
        <f t="shared" ca="1" si="1"/>
        <v>37</v>
      </c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</row>
    <row r="20" spans="1:39" ht="15.75" customHeight="1">
      <c r="A20" s="936">
        <v>21</v>
      </c>
      <c r="B20" s="351" t="s">
        <v>5713</v>
      </c>
      <c r="C20" s="275" t="s">
        <v>31</v>
      </c>
      <c r="D20" s="1820" t="s">
        <v>5714</v>
      </c>
      <c r="E20" s="491" t="s">
        <v>5715</v>
      </c>
      <c r="F20" s="274" t="s">
        <v>759</v>
      </c>
      <c r="G20" s="274" t="s">
        <v>76</v>
      </c>
      <c r="H20" s="274" t="s">
        <v>266</v>
      </c>
      <c r="I20" s="275">
        <v>9002079011</v>
      </c>
      <c r="J20" s="284">
        <v>9007064322</v>
      </c>
      <c r="K20" s="275" t="s">
        <v>261</v>
      </c>
      <c r="L20" s="274" t="s">
        <v>44</v>
      </c>
      <c r="M20" s="272">
        <v>32551</v>
      </c>
      <c r="N20" s="272">
        <v>54482</v>
      </c>
      <c r="O20" s="320">
        <v>45936</v>
      </c>
      <c r="P20" s="272">
        <v>45305</v>
      </c>
      <c r="Q20" s="302">
        <v>45284</v>
      </c>
      <c r="R20" s="280"/>
      <c r="S20" s="280"/>
      <c r="T20" s="281" t="s">
        <v>5716</v>
      </c>
      <c r="U20" s="280"/>
      <c r="V20" s="280">
        <f t="shared" si="4"/>
        <v>11</v>
      </c>
      <c r="W20" s="208">
        <f t="shared" ca="1" si="1"/>
        <v>37</v>
      </c>
      <c r="Y20" s="298"/>
      <c r="Z20" s="298"/>
      <c r="AA20" s="298"/>
      <c r="AB20" s="298"/>
      <c r="AC20" s="298"/>
      <c r="AD20" s="298"/>
      <c r="AE20" s="298"/>
      <c r="AF20" s="298"/>
      <c r="AG20" s="298"/>
    </row>
    <row r="21" spans="1:39" ht="15.75" customHeight="1">
      <c r="A21" s="936">
        <v>22</v>
      </c>
      <c r="B21" s="293" t="s">
        <v>5717</v>
      </c>
      <c r="C21" s="275" t="s">
        <v>31</v>
      </c>
      <c r="D21" s="562" t="s">
        <v>5718</v>
      </c>
      <c r="E21" s="274" t="s">
        <v>5719</v>
      </c>
      <c r="F21" s="274" t="s">
        <v>759</v>
      </c>
      <c r="G21" s="274" t="s">
        <v>76</v>
      </c>
      <c r="H21" s="274" t="s">
        <v>279</v>
      </c>
      <c r="I21" s="275">
        <v>9002071176</v>
      </c>
      <c r="J21" s="275"/>
      <c r="K21" s="275" t="s">
        <v>261</v>
      </c>
      <c r="L21" s="274" t="s">
        <v>44</v>
      </c>
      <c r="M21" s="289">
        <v>31798</v>
      </c>
      <c r="N21" s="289">
        <v>53723</v>
      </c>
      <c r="O21" s="272">
        <v>45832</v>
      </c>
      <c r="P21" s="278">
        <v>45662</v>
      </c>
      <c r="Q21" s="302">
        <v>45622</v>
      </c>
      <c r="R21" s="79"/>
      <c r="S21" s="295"/>
      <c r="T21" s="295"/>
      <c r="U21" s="603" t="s">
        <v>5720</v>
      </c>
      <c r="V21" s="297">
        <f t="shared" ref="V21:V22" si="5">LEN(TEXT(D21,0))</f>
        <v>11</v>
      </c>
      <c r="W21" s="208">
        <f t="shared" ca="1" si="1"/>
        <v>39</v>
      </c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  <c r="AH21" s="298"/>
      <c r="AI21" s="298"/>
      <c r="AJ21" s="298"/>
      <c r="AK21" s="298"/>
      <c r="AL21" s="298"/>
      <c r="AM21" s="298"/>
    </row>
    <row r="22" spans="1:39" ht="15.75" customHeight="1">
      <c r="A22" s="936">
        <v>23</v>
      </c>
      <c r="B22" s="293" t="s">
        <v>5721</v>
      </c>
      <c r="C22" s="275" t="s">
        <v>31</v>
      </c>
      <c r="D22" s="562" t="s">
        <v>5722</v>
      </c>
      <c r="E22" s="303" t="s">
        <v>5723</v>
      </c>
      <c r="F22" s="274" t="s">
        <v>759</v>
      </c>
      <c r="G22" s="303" t="s">
        <v>76</v>
      </c>
      <c r="H22" s="274" t="s">
        <v>279</v>
      </c>
      <c r="I22" s="275">
        <v>8770034460</v>
      </c>
      <c r="J22" s="284">
        <v>8170034460</v>
      </c>
      <c r="K22" s="275" t="s">
        <v>261</v>
      </c>
      <c r="L22" s="275" t="s">
        <v>44</v>
      </c>
      <c r="M22" s="289">
        <v>31741</v>
      </c>
      <c r="N22" s="289">
        <v>53661</v>
      </c>
      <c r="O22" s="272">
        <v>45850</v>
      </c>
      <c r="P22" s="279">
        <v>45720</v>
      </c>
      <c r="Q22" s="272">
        <v>45674</v>
      </c>
      <c r="R22" s="294"/>
      <c r="S22" s="295"/>
      <c r="T22" s="296" t="s">
        <v>5724</v>
      </c>
      <c r="U22" s="296" t="s">
        <v>5725</v>
      </c>
      <c r="V22" s="297">
        <f t="shared" si="5"/>
        <v>11</v>
      </c>
      <c r="W22" s="208">
        <f t="shared" ca="1" si="1"/>
        <v>39</v>
      </c>
      <c r="X22" s="298"/>
      <c r="AH22" s="298"/>
      <c r="AI22" s="298"/>
      <c r="AJ22" s="298"/>
      <c r="AK22" s="298"/>
      <c r="AL22" s="298"/>
      <c r="AM22" s="298"/>
    </row>
    <row r="23" spans="1:39" ht="15.75" customHeight="1">
      <c r="A23" s="936">
        <v>24</v>
      </c>
      <c r="B23" s="351" t="s">
        <v>5726</v>
      </c>
      <c r="C23" s="18" t="s">
        <v>31</v>
      </c>
      <c r="D23" s="1642" t="s">
        <v>5727</v>
      </c>
      <c r="E23" s="686" t="s">
        <v>5728</v>
      </c>
      <c r="F23" s="274" t="s">
        <v>759</v>
      </c>
      <c r="G23" s="274" t="s">
        <v>76</v>
      </c>
      <c r="H23" s="274" t="s">
        <v>266</v>
      </c>
      <c r="I23" s="275">
        <v>9002071797</v>
      </c>
      <c r="J23" s="275"/>
      <c r="K23" s="275" t="s">
        <v>261</v>
      </c>
      <c r="L23" s="439" t="s">
        <v>56</v>
      </c>
      <c r="M23" s="272">
        <v>31816</v>
      </c>
      <c r="N23" s="272">
        <v>53751</v>
      </c>
      <c r="O23" s="277">
        <v>45917</v>
      </c>
      <c r="P23" s="278">
        <v>45559</v>
      </c>
      <c r="Q23" s="279">
        <v>45527</v>
      </c>
      <c r="R23" s="280"/>
      <c r="S23" s="280"/>
      <c r="T23" s="281" t="s">
        <v>5729</v>
      </c>
      <c r="U23" s="281" t="s">
        <v>5730</v>
      </c>
      <c r="V23" s="280">
        <f>LEN(D23)</f>
        <v>11</v>
      </c>
      <c r="W23" s="208">
        <f t="shared" ca="1" si="1"/>
        <v>39</v>
      </c>
      <c r="Y23" s="298"/>
      <c r="Z23" s="298"/>
      <c r="AA23" s="298"/>
      <c r="AB23" s="298"/>
      <c r="AC23" s="298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</row>
    <row r="24" spans="1:39" ht="15.75" customHeight="1">
      <c r="A24" s="936">
        <v>25</v>
      </c>
      <c r="B24" s="293" t="s">
        <v>5731</v>
      </c>
      <c r="C24" s="275" t="s">
        <v>31</v>
      </c>
      <c r="D24" s="562" t="s">
        <v>5732</v>
      </c>
      <c r="E24" s="421" t="s">
        <v>5733</v>
      </c>
      <c r="F24" s="274" t="s">
        <v>759</v>
      </c>
      <c r="G24" s="303" t="s">
        <v>76</v>
      </c>
      <c r="H24" s="274" t="s">
        <v>279</v>
      </c>
      <c r="I24" s="275">
        <v>9002071842</v>
      </c>
      <c r="J24" s="275"/>
      <c r="K24" s="275" t="s">
        <v>261</v>
      </c>
      <c r="L24" s="303" t="s">
        <v>664</v>
      </c>
      <c r="M24" s="289">
        <v>25005</v>
      </c>
      <c r="N24" s="289">
        <v>46934</v>
      </c>
      <c r="O24" s="272">
        <v>45462</v>
      </c>
      <c r="P24" s="279">
        <v>45527</v>
      </c>
      <c r="Q24" s="302">
        <v>45369</v>
      </c>
      <c r="R24" s="294"/>
      <c r="S24" s="295"/>
      <c r="T24" s="296" t="s">
        <v>5734</v>
      </c>
      <c r="U24" s="296" t="s">
        <v>5734</v>
      </c>
      <c r="V24" s="297">
        <f t="shared" ref="V24:V30" si="6">LEN(TEXT(D24,0))</f>
        <v>11</v>
      </c>
      <c r="W24" s="208">
        <f t="shared" ca="1" si="1"/>
        <v>57</v>
      </c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</row>
    <row r="25" spans="1:39" ht="15.75" customHeight="1">
      <c r="A25" s="936">
        <v>26</v>
      </c>
      <c r="B25" s="1161" t="s">
        <v>5735</v>
      </c>
      <c r="C25" s="539" t="s">
        <v>31</v>
      </c>
      <c r="D25" s="562" t="s">
        <v>5736</v>
      </c>
      <c r="E25" s="940" t="s">
        <v>5737</v>
      </c>
      <c r="F25" s="274" t="s">
        <v>759</v>
      </c>
      <c r="G25" s="274" t="s">
        <v>78</v>
      </c>
      <c r="H25" s="274" t="s">
        <v>279</v>
      </c>
      <c r="I25" s="275">
        <v>9002071844</v>
      </c>
      <c r="J25" s="284">
        <v>9002071844</v>
      </c>
      <c r="K25" s="275" t="s">
        <v>261</v>
      </c>
      <c r="L25" s="274" t="s">
        <v>64</v>
      </c>
      <c r="M25" s="289">
        <v>27169</v>
      </c>
      <c r="N25" s="289">
        <v>49095</v>
      </c>
      <c r="O25" s="272">
        <v>45646</v>
      </c>
      <c r="P25" s="315">
        <v>45222</v>
      </c>
      <c r="Q25" s="272">
        <v>45145</v>
      </c>
      <c r="R25" s="294"/>
      <c r="S25" s="295"/>
      <c r="T25" s="296" t="s">
        <v>5738</v>
      </c>
      <c r="U25" s="296" t="s">
        <v>5739</v>
      </c>
      <c r="V25" s="297">
        <f t="shared" si="6"/>
        <v>11</v>
      </c>
      <c r="W25" s="208">
        <f t="shared" ca="1" si="1"/>
        <v>51</v>
      </c>
      <c r="X25" s="297"/>
      <c r="Y25" s="382"/>
      <c r="Z25" s="382"/>
      <c r="AA25" s="382"/>
      <c r="AB25" s="311"/>
      <c r="AC25" s="311"/>
      <c r="AD25" s="311"/>
      <c r="AE25" s="311"/>
      <c r="AF25" s="311"/>
      <c r="AG25" s="311"/>
    </row>
    <row r="26" spans="1:39" ht="15.75" customHeight="1">
      <c r="A26" s="936">
        <v>27</v>
      </c>
      <c r="B26" s="1161" t="s">
        <v>5740</v>
      </c>
      <c r="C26" s="275" t="s">
        <v>31</v>
      </c>
      <c r="D26" s="562" t="s">
        <v>5741</v>
      </c>
      <c r="E26" s="686" t="s">
        <v>5742</v>
      </c>
      <c r="F26" s="274" t="s">
        <v>759</v>
      </c>
      <c r="G26" s="274" t="s">
        <v>77</v>
      </c>
      <c r="H26" s="274" t="s">
        <v>279</v>
      </c>
      <c r="I26" s="275">
        <v>9002071170</v>
      </c>
      <c r="J26" s="275">
        <v>9002071170</v>
      </c>
      <c r="K26" s="275" t="s">
        <v>261</v>
      </c>
      <c r="L26" s="274" t="s">
        <v>664</v>
      </c>
      <c r="M26" s="289">
        <v>24244</v>
      </c>
      <c r="N26" s="289">
        <v>46173</v>
      </c>
      <c r="O26" s="272">
        <v>45107</v>
      </c>
      <c r="P26" s="278">
        <v>45115</v>
      </c>
      <c r="Q26" s="302">
        <v>45177</v>
      </c>
      <c r="R26" s="294"/>
      <c r="S26" s="295"/>
      <c r="T26" s="296" t="s">
        <v>5743</v>
      </c>
      <c r="U26" s="296" t="s">
        <v>5743</v>
      </c>
      <c r="V26" s="297">
        <f t="shared" si="6"/>
        <v>11</v>
      </c>
      <c r="W26" s="208">
        <f t="shared" ca="1" si="1"/>
        <v>59</v>
      </c>
      <c r="X26" s="298"/>
      <c r="Y26" s="311"/>
      <c r="Z26" s="311"/>
      <c r="AA26" s="311"/>
      <c r="AB26" s="311"/>
      <c r="AC26" s="311"/>
      <c r="AD26" s="311"/>
      <c r="AE26" s="311"/>
      <c r="AH26" s="298"/>
      <c r="AI26" s="298"/>
      <c r="AJ26" s="298"/>
      <c r="AK26" s="298"/>
      <c r="AL26" s="298"/>
      <c r="AM26" s="298"/>
    </row>
    <row r="27" spans="1:39" ht="15.75" customHeight="1">
      <c r="A27" s="936">
        <v>28</v>
      </c>
      <c r="B27" s="293" t="s">
        <v>5744</v>
      </c>
      <c r="C27" s="275" t="s">
        <v>31</v>
      </c>
      <c r="D27" s="562" t="s">
        <v>5745</v>
      </c>
      <c r="E27" s="274" t="s">
        <v>5746</v>
      </c>
      <c r="F27" s="274" t="s">
        <v>759</v>
      </c>
      <c r="G27" s="274" t="s">
        <v>77</v>
      </c>
      <c r="H27" s="274" t="s">
        <v>279</v>
      </c>
      <c r="I27" s="275">
        <v>9002079075</v>
      </c>
      <c r="J27" s="275"/>
      <c r="K27" s="275" t="s">
        <v>261</v>
      </c>
      <c r="L27" s="274" t="s">
        <v>256</v>
      </c>
      <c r="M27" s="289">
        <v>27395</v>
      </c>
      <c r="N27" s="289">
        <v>49309</v>
      </c>
      <c r="O27" s="272">
        <v>45505</v>
      </c>
      <c r="P27" s="272">
        <v>46192</v>
      </c>
      <c r="Q27" s="272">
        <v>46017</v>
      </c>
      <c r="R27" s="79"/>
      <c r="S27" s="295"/>
      <c r="T27" s="603" t="s">
        <v>5747</v>
      </c>
      <c r="U27" s="603" t="s">
        <v>5748</v>
      </c>
      <c r="V27" s="297">
        <f t="shared" si="6"/>
        <v>11</v>
      </c>
      <c r="W27" s="208">
        <f t="shared" ca="1" si="1"/>
        <v>51</v>
      </c>
      <c r="X27" s="298"/>
      <c r="Y27" s="298"/>
      <c r="Z27" s="298"/>
      <c r="AA27" s="298"/>
      <c r="AB27" s="298"/>
      <c r="AC27" s="298"/>
      <c r="AD27" s="298"/>
      <c r="AE27" s="298"/>
      <c r="AF27" s="298"/>
      <c r="AG27" s="298"/>
      <c r="AH27" s="298"/>
      <c r="AI27" s="298"/>
      <c r="AJ27" s="298"/>
      <c r="AK27" s="298"/>
      <c r="AL27" s="298"/>
      <c r="AM27" s="298"/>
    </row>
    <row r="28" spans="1:39" ht="15.75" customHeight="1">
      <c r="A28" s="936">
        <v>29</v>
      </c>
      <c r="B28" s="293" t="s">
        <v>5749</v>
      </c>
      <c r="C28" s="275" t="s">
        <v>31</v>
      </c>
      <c r="D28" s="562" t="s">
        <v>5750</v>
      </c>
      <c r="E28" s="303" t="s">
        <v>5751</v>
      </c>
      <c r="F28" s="274" t="s">
        <v>759</v>
      </c>
      <c r="G28" s="303" t="s">
        <v>76</v>
      </c>
      <c r="H28" s="274" t="s">
        <v>279</v>
      </c>
      <c r="I28" s="275">
        <v>9002079076</v>
      </c>
      <c r="J28" s="284">
        <v>9002079076</v>
      </c>
      <c r="K28" s="275" t="s">
        <v>261</v>
      </c>
      <c r="L28" s="1217" t="s">
        <v>256</v>
      </c>
      <c r="M28" s="272">
        <v>29130</v>
      </c>
      <c r="N28" s="289">
        <v>51074</v>
      </c>
      <c r="O28" s="272">
        <v>45567</v>
      </c>
      <c r="P28" s="279">
        <v>45527</v>
      </c>
      <c r="Q28" s="302">
        <v>45481</v>
      </c>
      <c r="R28" s="294"/>
      <c r="S28" s="295"/>
      <c r="T28" s="296" t="s">
        <v>5752</v>
      </c>
      <c r="U28" s="296" t="s">
        <v>5752</v>
      </c>
      <c r="V28" s="297">
        <f t="shared" si="6"/>
        <v>11</v>
      </c>
      <c r="W28" s="208">
        <f t="shared" ca="1" si="1"/>
        <v>46</v>
      </c>
      <c r="X28" s="298"/>
      <c r="Y28" s="298"/>
      <c r="Z28" s="298"/>
      <c r="AA28" s="298"/>
      <c r="AB28" s="298"/>
      <c r="AC28" s="298"/>
      <c r="AD28" s="298"/>
      <c r="AE28" s="298"/>
      <c r="AF28" s="298"/>
      <c r="AG28" s="298"/>
      <c r="AH28" s="298"/>
      <c r="AI28" s="298"/>
      <c r="AJ28" s="298"/>
      <c r="AK28" s="298"/>
      <c r="AL28" s="298"/>
      <c r="AM28" s="298"/>
    </row>
    <row r="29" spans="1:39" ht="15.75" customHeight="1">
      <c r="A29" s="936">
        <v>30</v>
      </c>
      <c r="B29" s="293" t="s">
        <v>5753</v>
      </c>
      <c r="C29" s="275" t="s">
        <v>31</v>
      </c>
      <c r="D29" s="1912" t="s">
        <v>5754</v>
      </c>
      <c r="E29" s="686" t="s">
        <v>5755</v>
      </c>
      <c r="F29" s="274" t="s">
        <v>759</v>
      </c>
      <c r="G29" s="274" t="s">
        <v>78</v>
      </c>
      <c r="H29" s="274" t="s">
        <v>279</v>
      </c>
      <c r="I29" s="275">
        <v>9002071851</v>
      </c>
      <c r="J29" s="275">
        <v>9002071851</v>
      </c>
      <c r="K29" s="275" t="s">
        <v>261</v>
      </c>
      <c r="L29" s="274" t="s">
        <v>64</v>
      </c>
      <c r="M29" s="289">
        <v>28686</v>
      </c>
      <c r="N29" s="289">
        <v>50617</v>
      </c>
      <c r="O29" s="289">
        <v>45139</v>
      </c>
      <c r="P29" s="315">
        <v>45222</v>
      </c>
      <c r="Q29" s="272">
        <v>45145</v>
      </c>
      <c r="R29" s="79"/>
      <c r="S29" s="295"/>
      <c r="T29" s="296" t="s">
        <v>5756</v>
      </c>
      <c r="U29" s="955" t="s">
        <v>5756</v>
      </c>
      <c r="V29" s="297">
        <f t="shared" si="6"/>
        <v>11</v>
      </c>
      <c r="W29" s="208">
        <f t="shared" ca="1" si="1"/>
        <v>47</v>
      </c>
      <c r="X29" s="960" t="s">
        <v>5757</v>
      </c>
      <c r="Y29" s="298"/>
      <c r="Z29" s="298"/>
      <c r="AA29" s="298"/>
      <c r="AB29" s="298"/>
      <c r="AC29" s="298"/>
      <c r="AD29" s="298"/>
      <c r="AE29" s="298"/>
      <c r="AF29" s="298"/>
      <c r="AG29" s="298"/>
      <c r="AH29" s="298"/>
      <c r="AI29" s="298"/>
      <c r="AJ29" s="298"/>
      <c r="AK29" s="298"/>
      <c r="AL29" s="298"/>
      <c r="AM29" s="298"/>
    </row>
    <row r="30" spans="1:39" ht="15.75" customHeight="1">
      <c r="A30" s="936">
        <v>32</v>
      </c>
      <c r="B30" s="301" t="s">
        <v>5758</v>
      </c>
      <c r="C30" s="275" t="s">
        <v>31</v>
      </c>
      <c r="D30" s="562" t="s">
        <v>5759</v>
      </c>
      <c r="E30" s="303" t="s">
        <v>5760</v>
      </c>
      <c r="F30" s="274" t="s">
        <v>759</v>
      </c>
      <c r="G30" s="303" t="s">
        <v>76</v>
      </c>
      <c r="H30" s="274" t="s">
        <v>266</v>
      </c>
      <c r="I30" s="275">
        <v>9002079081</v>
      </c>
      <c r="J30" s="274"/>
      <c r="K30" s="275" t="s">
        <v>261</v>
      </c>
      <c r="L30" s="274" t="s">
        <v>55</v>
      </c>
      <c r="M30" s="289">
        <v>29704</v>
      </c>
      <c r="N30" s="289">
        <v>51621</v>
      </c>
      <c r="O30" s="272">
        <v>46140</v>
      </c>
      <c r="P30" s="302">
        <v>45695</v>
      </c>
      <c r="Q30" s="302">
        <v>45705</v>
      </c>
      <c r="R30" s="280"/>
      <c r="S30" s="295"/>
      <c r="T30" s="296" t="s">
        <v>5761</v>
      </c>
      <c r="U30" s="296" t="s">
        <v>5762</v>
      </c>
      <c r="V30" s="297">
        <f t="shared" si="6"/>
        <v>11</v>
      </c>
      <c r="W30" s="208">
        <f t="shared" ca="1" si="1"/>
        <v>44</v>
      </c>
      <c r="X30" s="298"/>
      <c r="Y30" s="298"/>
      <c r="Z30" s="298"/>
      <c r="AA30" s="298"/>
      <c r="AB30" s="298"/>
      <c r="AC30" s="298"/>
      <c r="AD30" s="298"/>
      <c r="AE30" s="298"/>
      <c r="AF30" s="298"/>
      <c r="AG30" s="298"/>
      <c r="AH30" s="298"/>
      <c r="AI30" s="298"/>
      <c r="AJ30" s="298"/>
      <c r="AK30" s="298"/>
      <c r="AL30" s="298"/>
      <c r="AM30" s="298"/>
    </row>
    <row r="31" spans="1:39" ht="15.75" customHeight="1">
      <c r="A31" s="936">
        <v>33</v>
      </c>
      <c r="B31" s="351" t="s">
        <v>5763</v>
      </c>
      <c r="C31" s="307" t="s">
        <v>31</v>
      </c>
      <c r="D31" s="1642" t="s">
        <v>5764</v>
      </c>
      <c r="E31" s="18" t="s">
        <v>5765</v>
      </c>
      <c r="F31" s="274" t="s">
        <v>759</v>
      </c>
      <c r="G31" s="274" t="s">
        <v>76</v>
      </c>
      <c r="H31" s="274" t="s">
        <v>266</v>
      </c>
      <c r="I31" s="275">
        <v>8420320041</v>
      </c>
      <c r="J31" s="275"/>
      <c r="K31" s="275" t="s">
        <v>261</v>
      </c>
      <c r="L31" s="274" t="s">
        <v>256</v>
      </c>
      <c r="M31" s="272">
        <v>33287</v>
      </c>
      <c r="N31" s="272">
        <v>55212</v>
      </c>
      <c r="O31" s="277">
        <v>45887</v>
      </c>
      <c r="P31" s="315">
        <v>45283</v>
      </c>
      <c r="Q31" s="279">
        <v>45242</v>
      </c>
      <c r="R31" s="338"/>
      <c r="S31" s="280"/>
      <c r="T31" s="281" t="s">
        <v>5766</v>
      </c>
      <c r="U31" s="281" t="s">
        <v>5767</v>
      </c>
      <c r="V31" s="79">
        <f>LEN(D31)</f>
        <v>11</v>
      </c>
      <c r="W31" s="208">
        <f t="shared" ca="1" si="1"/>
        <v>35</v>
      </c>
      <c r="Y31" s="298"/>
      <c r="Z31" s="298"/>
      <c r="AA31" s="298"/>
      <c r="AB31" s="298"/>
      <c r="AC31" s="298"/>
      <c r="AD31" s="298"/>
      <c r="AE31" s="298"/>
      <c r="AF31" s="298"/>
      <c r="AG31" s="298"/>
      <c r="AH31" s="298"/>
      <c r="AI31" s="298"/>
      <c r="AJ31" s="298"/>
      <c r="AK31" s="298"/>
      <c r="AL31" s="298"/>
      <c r="AM31" s="298"/>
    </row>
    <row r="32" spans="1:39" ht="15.75" customHeight="1">
      <c r="A32" s="936">
        <v>34</v>
      </c>
      <c r="B32" s="293" t="s">
        <v>5768</v>
      </c>
      <c r="C32" s="275" t="s">
        <v>31</v>
      </c>
      <c r="D32" s="1912" t="s">
        <v>5769</v>
      </c>
      <c r="E32" s="274" t="s">
        <v>5770</v>
      </c>
      <c r="F32" s="274" t="s">
        <v>759</v>
      </c>
      <c r="G32" s="274" t="s">
        <v>77</v>
      </c>
      <c r="H32" s="274" t="s">
        <v>279</v>
      </c>
      <c r="I32" s="275">
        <v>9002079083</v>
      </c>
      <c r="J32" s="601">
        <v>8229961147</v>
      </c>
      <c r="K32" s="275" t="s">
        <v>261</v>
      </c>
      <c r="L32" s="1913" t="s">
        <v>44</v>
      </c>
      <c r="M32" s="289">
        <v>28512</v>
      </c>
      <c r="N32" s="289">
        <v>50436</v>
      </c>
      <c r="O32" s="272">
        <v>45543</v>
      </c>
      <c r="P32" s="279">
        <v>45212</v>
      </c>
      <c r="Q32" s="279">
        <v>45108</v>
      </c>
      <c r="R32" s="79"/>
      <c r="S32" s="295"/>
      <c r="T32" s="296" t="s">
        <v>5771</v>
      </c>
      <c r="U32" s="296" t="s">
        <v>5772</v>
      </c>
      <c r="V32" s="297">
        <f>LEN(TEXT(D32,0))</f>
        <v>11</v>
      </c>
      <c r="W32" s="208">
        <f t="shared" ca="1" si="1"/>
        <v>48</v>
      </c>
      <c r="X32" s="298"/>
      <c r="Y32" s="298"/>
      <c r="Z32" s="298"/>
      <c r="AA32" s="298"/>
      <c r="AB32" s="298"/>
      <c r="AC32" s="298"/>
      <c r="AD32" s="298"/>
      <c r="AE32" s="298"/>
      <c r="AF32" s="298"/>
      <c r="AG32" s="298"/>
    </row>
    <row r="33" spans="1:39" ht="15.75" customHeight="1">
      <c r="A33" s="936">
        <v>35</v>
      </c>
      <c r="B33" s="351" t="s">
        <v>5773</v>
      </c>
      <c r="C33" s="307" t="s">
        <v>31</v>
      </c>
      <c r="D33" s="1642" t="s">
        <v>5774</v>
      </c>
      <c r="E33" s="18" t="s">
        <v>5775</v>
      </c>
      <c r="F33" s="274" t="s">
        <v>759</v>
      </c>
      <c r="G33" s="274" t="s">
        <v>76</v>
      </c>
      <c r="H33" s="274" t="s">
        <v>266</v>
      </c>
      <c r="I33" s="275">
        <v>9002071841</v>
      </c>
      <c r="J33" s="275"/>
      <c r="K33" s="275" t="s">
        <v>261</v>
      </c>
      <c r="L33" s="274" t="s">
        <v>44</v>
      </c>
      <c r="M33" s="272">
        <v>33282</v>
      </c>
      <c r="N33" s="272">
        <v>55212</v>
      </c>
      <c r="O33" s="277">
        <v>45892</v>
      </c>
      <c r="P33" s="272">
        <v>45257</v>
      </c>
      <c r="Q33" s="272">
        <v>45242</v>
      </c>
      <c r="R33" s="280"/>
      <c r="S33" s="280"/>
      <c r="T33" s="281" t="s">
        <v>5776</v>
      </c>
      <c r="U33" s="281" t="s">
        <v>5777</v>
      </c>
      <c r="V33" s="79">
        <f t="shared" ref="V33:V35" si="7">LEN(D33)</f>
        <v>11</v>
      </c>
      <c r="W33" s="208">
        <f t="shared" ca="1" si="1"/>
        <v>35</v>
      </c>
      <c r="Y33" s="298"/>
      <c r="Z33" s="298"/>
      <c r="AA33" s="298"/>
      <c r="AB33" s="298"/>
      <c r="AC33" s="298"/>
      <c r="AD33" s="298"/>
      <c r="AE33" s="298"/>
      <c r="AF33" s="298"/>
      <c r="AG33" s="298"/>
      <c r="AH33" s="298"/>
      <c r="AI33" s="298"/>
      <c r="AJ33" s="298"/>
      <c r="AK33" s="298"/>
      <c r="AL33" s="298"/>
      <c r="AM33" s="298"/>
    </row>
    <row r="34" spans="1:39" ht="15.75" customHeight="1">
      <c r="A34" s="936">
        <v>36</v>
      </c>
      <c r="B34" s="351" t="s">
        <v>5778</v>
      </c>
      <c r="C34" s="275" t="s">
        <v>31</v>
      </c>
      <c r="D34" s="1914" t="s">
        <v>5779</v>
      </c>
      <c r="E34" s="491" t="s">
        <v>5780</v>
      </c>
      <c r="F34" s="274" t="s">
        <v>759</v>
      </c>
      <c r="G34" s="274" t="s">
        <v>76</v>
      </c>
      <c r="H34" s="274" t="s">
        <v>266</v>
      </c>
      <c r="I34" s="275">
        <v>9002071398</v>
      </c>
      <c r="J34" s="1835">
        <v>7586019661</v>
      </c>
      <c r="K34" s="275" t="s">
        <v>261</v>
      </c>
      <c r="L34" s="274" t="s">
        <v>64</v>
      </c>
      <c r="M34" s="272">
        <v>32921</v>
      </c>
      <c r="N34" s="272">
        <v>54847</v>
      </c>
      <c r="O34" s="320">
        <v>45936</v>
      </c>
      <c r="P34" s="272">
        <v>45305</v>
      </c>
      <c r="Q34" s="302">
        <v>45284</v>
      </c>
      <c r="R34" s="280"/>
      <c r="S34" s="280"/>
      <c r="T34" s="281" t="s">
        <v>5781</v>
      </c>
      <c r="U34" s="281" t="s">
        <v>5782</v>
      </c>
      <c r="V34" s="280">
        <f t="shared" si="7"/>
        <v>11</v>
      </c>
      <c r="W34" s="208">
        <f t="shared" ca="1" si="1"/>
        <v>36</v>
      </c>
      <c r="Y34" s="298"/>
      <c r="Z34" s="298"/>
      <c r="AA34" s="298"/>
      <c r="AB34" s="298"/>
      <c r="AC34" s="298"/>
      <c r="AD34" s="298"/>
      <c r="AE34" s="298"/>
      <c r="AF34" s="298"/>
      <c r="AG34" s="298"/>
      <c r="AH34" s="298"/>
      <c r="AI34" s="298"/>
      <c r="AJ34" s="298"/>
      <c r="AK34" s="298"/>
      <c r="AL34" s="298"/>
      <c r="AM34" s="298"/>
    </row>
    <row r="35" spans="1:39" ht="15.75" customHeight="1">
      <c r="A35" s="936">
        <v>37</v>
      </c>
      <c r="B35" s="351" t="s">
        <v>5783</v>
      </c>
      <c r="C35" s="275" t="s">
        <v>31</v>
      </c>
      <c r="D35" s="1820" t="s">
        <v>5784</v>
      </c>
      <c r="E35" s="491" t="s">
        <v>5785</v>
      </c>
      <c r="F35" s="274" t="s">
        <v>759</v>
      </c>
      <c r="G35" s="274" t="s">
        <v>76</v>
      </c>
      <c r="H35" s="274" t="s">
        <v>266</v>
      </c>
      <c r="I35" s="275">
        <v>8170034587</v>
      </c>
      <c r="J35" s="275"/>
      <c r="K35" s="275" t="s">
        <v>261</v>
      </c>
      <c r="L35" s="439" t="s">
        <v>56</v>
      </c>
      <c r="M35" s="272">
        <v>31234</v>
      </c>
      <c r="N35" s="272">
        <v>53174</v>
      </c>
      <c r="O35" s="320">
        <v>45936</v>
      </c>
      <c r="P35" s="272">
        <v>45305</v>
      </c>
      <c r="Q35" s="302">
        <v>45284</v>
      </c>
      <c r="R35" s="280"/>
      <c r="S35" s="280"/>
      <c r="T35" s="281" t="s">
        <v>5786</v>
      </c>
      <c r="U35" s="280"/>
      <c r="V35" s="280">
        <f t="shared" si="7"/>
        <v>11</v>
      </c>
      <c r="W35" s="208">
        <f t="shared" ca="1" si="1"/>
        <v>40</v>
      </c>
      <c r="Y35" s="298"/>
      <c r="Z35" s="298"/>
      <c r="AA35" s="298"/>
      <c r="AB35" s="298"/>
      <c r="AC35" s="298"/>
      <c r="AD35" s="298"/>
      <c r="AE35" s="298"/>
      <c r="AF35" s="298"/>
      <c r="AG35" s="298"/>
      <c r="AH35" s="298"/>
      <c r="AI35" s="298"/>
      <c r="AJ35" s="298"/>
      <c r="AK35" s="298"/>
      <c r="AL35" s="298"/>
      <c r="AM35" s="298"/>
    </row>
    <row r="36" spans="1:39" ht="15.75" customHeight="1">
      <c r="A36" s="936">
        <v>38</v>
      </c>
      <c r="B36" s="293" t="s">
        <v>5787</v>
      </c>
      <c r="C36" s="275" t="s">
        <v>31</v>
      </c>
      <c r="D36" s="562" t="s">
        <v>5788</v>
      </c>
      <c r="E36" s="303" t="s">
        <v>5789</v>
      </c>
      <c r="F36" s="274" t="s">
        <v>759</v>
      </c>
      <c r="G36" s="303" t="s">
        <v>76</v>
      </c>
      <c r="H36" s="274" t="s">
        <v>279</v>
      </c>
      <c r="I36" s="275">
        <v>9002079019</v>
      </c>
      <c r="J36" s="275">
        <v>9002079019</v>
      </c>
      <c r="K36" s="275" t="s">
        <v>261</v>
      </c>
      <c r="L36" s="274" t="s">
        <v>299</v>
      </c>
      <c r="M36" s="289">
        <v>26265</v>
      </c>
      <c r="N36" s="289">
        <v>48182</v>
      </c>
      <c r="O36" s="272">
        <v>45641</v>
      </c>
      <c r="P36" s="289">
        <v>45232</v>
      </c>
      <c r="Q36" s="272">
        <v>45989</v>
      </c>
      <c r="R36" s="294"/>
      <c r="S36" s="295"/>
      <c r="T36" s="603" t="s">
        <v>5790</v>
      </c>
      <c r="U36" s="603" t="s">
        <v>5791</v>
      </c>
      <c r="V36" s="297">
        <f t="shared" ref="V36:V38" si="8">LEN(TEXT(D36,0))</f>
        <v>11</v>
      </c>
      <c r="W36" s="208">
        <f t="shared" ca="1" si="1"/>
        <v>54</v>
      </c>
      <c r="X36" s="298"/>
      <c r="Y36" s="298"/>
      <c r="Z36" s="298"/>
      <c r="AA36" s="298"/>
      <c r="AB36" s="298"/>
      <c r="AC36" s="298"/>
      <c r="AD36" s="298"/>
      <c r="AE36" s="298"/>
      <c r="AF36" s="298"/>
      <c r="AG36" s="298"/>
    </row>
    <row r="37" spans="1:39" ht="15.75" customHeight="1">
      <c r="A37" s="936">
        <v>40</v>
      </c>
      <c r="B37" s="293" t="s">
        <v>5792</v>
      </c>
      <c r="C37" s="275" t="s">
        <v>31</v>
      </c>
      <c r="D37" s="562" t="s">
        <v>5793</v>
      </c>
      <c r="E37" s="303" t="s">
        <v>5794</v>
      </c>
      <c r="F37" s="274" t="s">
        <v>759</v>
      </c>
      <c r="G37" s="303" t="s">
        <v>76</v>
      </c>
      <c r="H37" s="274" t="s">
        <v>266</v>
      </c>
      <c r="I37" s="275">
        <v>9002079098</v>
      </c>
      <c r="J37" s="275"/>
      <c r="K37" s="275" t="s">
        <v>261</v>
      </c>
      <c r="L37" s="274" t="s">
        <v>256</v>
      </c>
      <c r="M37" s="289">
        <v>30287</v>
      </c>
      <c r="N37" s="289">
        <v>51925</v>
      </c>
      <c r="O37" s="272">
        <v>46071</v>
      </c>
      <c r="P37" s="279">
        <v>45720</v>
      </c>
      <c r="Q37" s="272">
        <v>45731</v>
      </c>
      <c r="R37" s="294"/>
      <c r="S37" s="295"/>
      <c r="T37" s="296" t="s">
        <v>5795</v>
      </c>
      <c r="U37" s="296" t="s">
        <v>5796</v>
      </c>
      <c r="V37" s="297">
        <f t="shared" si="8"/>
        <v>11</v>
      </c>
      <c r="W37" s="208">
        <f t="shared" ca="1" si="1"/>
        <v>43</v>
      </c>
      <c r="X37" s="298"/>
      <c r="AH37" s="298"/>
      <c r="AI37" s="298"/>
      <c r="AJ37" s="298"/>
      <c r="AK37" s="298"/>
      <c r="AL37" s="298"/>
      <c r="AM37" s="298"/>
    </row>
    <row r="38" spans="1:39" ht="15.75" customHeight="1">
      <c r="A38" s="936">
        <v>41</v>
      </c>
      <c r="B38" s="293" t="s">
        <v>5797</v>
      </c>
      <c r="C38" s="275" t="s">
        <v>31</v>
      </c>
      <c r="D38" s="562" t="s">
        <v>5798</v>
      </c>
      <c r="E38" s="274" t="s">
        <v>5799</v>
      </c>
      <c r="F38" s="274" t="s">
        <v>759</v>
      </c>
      <c r="G38" s="274" t="s">
        <v>77</v>
      </c>
      <c r="H38" s="274" t="s">
        <v>279</v>
      </c>
      <c r="I38" s="275">
        <v>9002079028</v>
      </c>
      <c r="J38" s="275">
        <v>9002079028</v>
      </c>
      <c r="K38" s="275" t="s">
        <v>261</v>
      </c>
      <c r="L38" s="18" t="s">
        <v>55</v>
      </c>
      <c r="M38" s="289">
        <v>31716</v>
      </c>
      <c r="N38" s="289">
        <v>53631</v>
      </c>
      <c r="O38" s="272">
        <v>45888</v>
      </c>
      <c r="P38" s="279">
        <v>45720</v>
      </c>
      <c r="Q38" s="302">
        <v>45705</v>
      </c>
      <c r="R38" s="294"/>
      <c r="S38" s="295"/>
      <c r="T38" s="295"/>
      <c r="U38" s="296" t="s">
        <v>5800</v>
      </c>
      <c r="V38" s="297">
        <f t="shared" si="8"/>
        <v>11</v>
      </c>
      <c r="W38" s="208">
        <f t="shared" ca="1" si="1"/>
        <v>39</v>
      </c>
      <c r="X38" s="298"/>
      <c r="Y38" s="298"/>
      <c r="Z38" s="298"/>
      <c r="AA38" s="298"/>
      <c r="AB38" s="298"/>
      <c r="AC38" s="298"/>
      <c r="AD38" s="298"/>
      <c r="AE38" s="298"/>
      <c r="AF38" s="298"/>
      <c r="AG38" s="298"/>
      <c r="AH38" s="298"/>
      <c r="AI38" s="298"/>
      <c r="AJ38" s="298"/>
      <c r="AK38" s="298"/>
      <c r="AL38" s="298"/>
      <c r="AM38" s="298"/>
    </row>
    <row r="39" spans="1:39" ht="15.75" customHeight="1">
      <c r="A39" s="936">
        <v>43</v>
      </c>
      <c r="B39" s="351" t="s">
        <v>5801</v>
      </c>
      <c r="C39" s="275" t="s">
        <v>31</v>
      </c>
      <c r="D39" s="1448" t="s">
        <v>5802</v>
      </c>
      <c r="E39" s="274" t="s">
        <v>5803</v>
      </c>
      <c r="F39" s="18" t="s">
        <v>759</v>
      </c>
      <c r="G39" s="274" t="s">
        <v>76</v>
      </c>
      <c r="H39" s="274" t="s">
        <v>266</v>
      </c>
      <c r="I39" s="275">
        <v>9002071780</v>
      </c>
      <c r="J39" s="306">
        <v>8274812140</v>
      </c>
      <c r="K39" s="275" t="s">
        <v>261</v>
      </c>
      <c r="L39" s="274" t="s">
        <v>44</v>
      </c>
      <c r="M39" s="272">
        <v>28856</v>
      </c>
      <c r="N39" s="272">
        <v>50770</v>
      </c>
      <c r="O39" s="272">
        <v>45292</v>
      </c>
      <c r="P39" s="278">
        <v>45475</v>
      </c>
      <c r="Q39" s="302">
        <v>45369</v>
      </c>
      <c r="R39" s="998"/>
      <c r="S39" s="485"/>
      <c r="T39" s="486" t="s">
        <v>5804</v>
      </c>
      <c r="U39" s="486" t="s">
        <v>5805</v>
      </c>
      <c r="V39" s="382">
        <f>LEN(D39)</f>
        <v>11</v>
      </c>
      <c r="W39" s="311"/>
      <c r="X39" s="208">
        <f ca="1">INT((TODAY()-M39)/365)</f>
        <v>47</v>
      </c>
      <c r="Y39" s="298"/>
      <c r="Z39" s="298"/>
      <c r="AA39" s="298"/>
      <c r="AB39" s="298"/>
      <c r="AC39" s="298"/>
      <c r="AD39" s="298"/>
      <c r="AE39" s="298"/>
      <c r="AF39" s="298"/>
      <c r="AG39" s="298"/>
      <c r="AH39" s="298"/>
      <c r="AI39" s="298"/>
      <c r="AJ39" s="298"/>
      <c r="AK39" s="298"/>
      <c r="AL39" s="298"/>
      <c r="AM39" s="298"/>
    </row>
    <row r="40" spans="1:39" ht="15.75" customHeight="1">
      <c r="A40" s="936">
        <v>44</v>
      </c>
      <c r="B40" s="293" t="s">
        <v>5806</v>
      </c>
      <c r="C40" s="275" t="s">
        <v>31</v>
      </c>
      <c r="D40" s="562" t="s">
        <v>5807</v>
      </c>
      <c r="E40" s="303" t="s">
        <v>5808</v>
      </c>
      <c r="F40" s="274" t="s">
        <v>759</v>
      </c>
      <c r="G40" s="303" t="s">
        <v>76</v>
      </c>
      <c r="H40" s="274" t="s">
        <v>279</v>
      </c>
      <c r="I40" s="275">
        <v>9002079748</v>
      </c>
      <c r="J40" s="275"/>
      <c r="K40" s="275" t="s">
        <v>261</v>
      </c>
      <c r="L40" s="125" t="s">
        <v>67</v>
      </c>
      <c r="M40" s="289">
        <v>31467</v>
      </c>
      <c r="N40" s="289">
        <v>53386</v>
      </c>
      <c r="O40" s="272">
        <v>45850</v>
      </c>
      <c r="P40" s="279">
        <v>45720</v>
      </c>
      <c r="Q40" s="302">
        <v>45705</v>
      </c>
      <c r="R40" s="294"/>
      <c r="S40" s="295"/>
      <c r="T40" s="296" t="s">
        <v>5809</v>
      </c>
      <c r="U40" s="296" t="s">
        <v>5810</v>
      </c>
      <c r="V40" s="297">
        <f>LEN(TEXT(D40,0))</f>
        <v>11</v>
      </c>
      <c r="W40" s="208">
        <f t="shared" ref="W40:W69" ca="1" si="9">INT((TODAY()-M40)/365)</f>
        <v>40</v>
      </c>
      <c r="X40" s="298"/>
      <c r="Y40" s="298"/>
      <c r="Z40" s="298"/>
      <c r="AA40" s="298"/>
      <c r="AB40" s="298"/>
      <c r="AC40" s="298"/>
      <c r="AD40" s="298"/>
      <c r="AE40" s="298"/>
      <c r="AF40" s="298"/>
      <c r="AG40" s="298"/>
      <c r="AH40" s="298"/>
      <c r="AI40" s="298"/>
      <c r="AJ40" s="298"/>
      <c r="AK40" s="298"/>
      <c r="AL40" s="298"/>
      <c r="AM40" s="298"/>
    </row>
    <row r="41" spans="1:39" ht="15.75" customHeight="1">
      <c r="A41" s="936">
        <v>45</v>
      </c>
      <c r="B41" s="293" t="s">
        <v>5811</v>
      </c>
      <c r="C41" s="307" t="s">
        <v>31</v>
      </c>
      <c r="D41" s="1448" t="s">
        <v>5812</v>
      </c>
      <c r="E41" s="18" t="s">
        <v>5813</v>
      </c>
      <c r="F41" s="274" t="s">
        <v>759</v>
      </c>
      <c r="G41" s="274" t="s">
        <v>76</v>
      </c>
      <c r="H41" s="274" t="s">
        <v>266</v>
      </c>
      <c r="I41" s="275">
        <v>8918810841</v>
      </c>
      <c r="J41" s="284">
        <v>9007574828</v>
      </c>
      <c r="K41" s="275" t="s">
        <v>261</v>
      </c>
      <c r="L41" s="284" t="s">
        <v>67</v>
      </c>
      <c r="M41" s="272">
        <v>30318</v>
      </c>
      <c r="N41" s="272">
        <v>52262</v>
      </c>
      <c r="O41" s="272">
        <v>45910</v>
      </c>
      <c r="P41" s="272">
        <v>45257</v>
      </c>
      <c r="Q41" s="272">
        <v>45242</v>
      </c>
      <c r="R41" s="1134"/>
      <c r="S41" s="485"/>
      <c r="T41" s="486" t="s">
        <v>5814</v>
      </c>
      <c r="U41" s="486" t="s">
        <v>5815</v>
      </c>
      <c r="V41" s="382">
        <f>LEN(D41)</f>
        <v>11</v>
      </c>
      <c r="W41" s="208">
        <f t="shared" ca="1" si="9"/>
        <v>43</v>
      </c>
      <c r="X41" s="311"/>
      <c r="Y41" s="298"/>
      <c r="Z41" s="298"/>
      <c r="AA41" s="298"/>
      <c r="AB41" s="298"/>
      <c r="AC41" s="298"/>
      <c r="AD41" s="298"/>
      <c r="AE41" s="298"/>
      <c r="AF41" s="298"/>
      <c r="AG41" s="298"/>
      <c r="AH41" s="298"/>
      <c r="AI41" s="298"/>
      <c r="AJ41" s="298"/>
      <c r="AK41" s="298"/>
      <c r="AL41" s="298"/>
      <c r="AM41" s="298"/>
    </row>
    <row r="42" spans="1:39" ht="15.75" customHeight="1">
      <c r="A42" s="936">
        <v>46</v>
      </c>
      <c r="B42" s="293" t="s">
        <v>5816</v>
      </c>
      <c r="C42" s="275" t="s">
        <v>31</v>
      </c>
      <c r="D42" s="1466" t="s">
        <v>5817</v>
      </c>
      <c r="E42" s="303" t="s">
        <v>5818</v>
      </c>
      <c r="F42" s="274" t="s">
        <v>759</v>
      </c>
      <c r="G42" s="303" t="s">
        <v>76</v>
      </c>
      <c r="H42" s="274" t="s">
        <v>266</v>
      </c>
      <c r="I42" s="275">
        <v>9002071393</v>
      </c>
      <c r="J42" s="275"/>
      <c r="K42" s="275" t="s">
        <v>261</v>
      </c>
      <c r="L42" s="274" t="s">
        <v>64</v>
      </c>
      <c r="M42" s="272">
        <v>29955</v>
      </c>
      <c r="N42" s="289">
        <v>51897</v>
      </c>
      <c r="O42" s="289">
        <v>45272</v>
      </c>
      <c r="P42" s="279">
        <v>45527</v>
      </c>
      <c r="Q42" s="915">
        <v>45453</v>
      </c>
      <c r="R42" s="294"/>
      <c r="S42" s="295"/>
      <c r="T42" s="296" t="s">
        <v>5819</v>
      </c>
      <c r="U42" s="296" t="s">
        <v>5820</v>
      </c>
      <c r="V42" s="297">
        <f>LEN(TEXT(D42,0))</f>
        <v>11</v>
      </c>
      <c r="W42" s="208">
        <f t="shared" ca="1" si="9"/>
        <v>44</v>
      </c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  <c r="AH42" s="298"/>
      <c r="AI42" s="298"/>
      <c r="AJ42" s="298"/>
      <c r="AK42" s="298"/>
      <c r="AL42" s="298"/>
      <c r="AM42" s="298"/>
    </row>
    <row r="43" spans="1:39" ht="15.75" customHeight="1">
      <c r="A43" s="936">
        <v>47</v>
      </c>
      <c r="B43" s="351" t="s">
        <v>5821</v>
      </c>
      <c r="C43" s="18" t="s">
        <v>31</v>
      </c>
      <c r="D43" s="1642" t="s">
        <v>5822</v>
      </c>
      <c r="E43" s="274" t="s">
        <v>5823</v>
      </c>
      <c r="F43" s="900" t="s">
        <v>759</v>
      </c>
      <c r="G43" s="274" t="s">
        <v>76</v>
      </c>
      <c r="H43" s="274" t="s">
        <v>266</v>
      </c>
      <c r="I43" s="275">
        <v>9002071063</v>
      </c>
      <c r="J43" s="284">
        <v>9875501898</v>
      </c>
      <c r="K43" s="275" t="s">
        <v>261</v>
      </c>
      <c r="L43" s="18" t="s">
        <v>55</v>
      </c>
      <c r="M43" s="272">
        <v>30607</v>
      </c>
      <c r="N43" s="272">
        <v>52535</v>
      </c>
      <c r="O43" s="277">
        <v>45838</v>
      </c>
      <c r="P43" s="278">
        <v>45559</v>
      </c>
      <c r="Q43" s="279">
        <v>45527</v>
      </c>
      <c r="R43" s="280"/>
      <c r="S43" s="280"/>
      <c r="T43" s="281" t="s">
        <v>5824</v>
      </c>
      <c r="U43" s="281" t="s">
        <v>5825</v>
      </c>
      <c r="V43" s="280">
        <f>LEN(D43)</f>
        <v>11</v>
      </c>
      <c r="W43" s="208">
        <f t="shared" ca="1" si="9"/>
        <v>42</v>
      </c>
      <c r="Y43" s="298"/>
      <c r="Z43" s="298"/>
      <c r="AA43" s="298"/>
      <c r="AB43" s="298"/>
      <c r="AC43" s="298"/>
      <c r="AD43" s="298"/>
      <c r="AE43" s="298"/>
      <c r="AF43" s="298"/>
      <c r="AG43" s="298"/>
      <c r="AH43" s="298"/>
      <c r="AI43" s="298"/>
      <c r="AJ43" s="298"/>
      <c r="AK43" s="298"/>
      <c r="AL43" s="298"/>
      <c r="AM43" s="298"/>
    </row>
    <row r="44" spans="1:39" ht="15.75" customHeight="1">
      <c r="A44" s="936">
        <v>48</v>
      </c>
      <c r="B44" s="293" t="s">
        <v>5826</v>
      </c>
      <c r="C44" s="275" t="s">
        <v>31</v>
      </c>
      <c r="D44" s="562" t="s">
        <v>5827</v>
      </c>
      <c r="E44" s="303" t="s">
        <v>5828</v>
      </c>
      <c r="F44" s="274" t="s">
        <v>759</v>
      </c>
      <c r="G44" s="303" t="s">
        <v>76</v>
      </c>
      <c r="H44" s="274" t="s">
        <v>266</v>
      </c>
      <c r="I44" s="275">
        <v>9002079608</v>
      </c>
      <c r="J44" s="275"/>
      <c r="K44" s="275" t="s">
        <v>261</v>
      </c>
      <c r="L44" s="537" t="s">
        <v>48</v>
      </c>
      <c r="M44" s="272">
        <v>29956</v>
      </c>
      <c r="N44" s="289">
        <v>51897</v>
      </c>
      <c r="O44" s="272">
        <v>46103</v>
      </c>
      <c r="P44" s="272">
        <v>45336</v>
      </c>
      <c r="Q44" s="300">
        <v>45591</v>
      </c>
      <c r="R44" s="294"/>
      <c r="S44" s="295"/>
      <c r="T44" s="296" t="s">
        <v>5829</v>
      </c>
      <c r="U44" s="296" t="s">
        <v>5830</v>
      </c>
      <c r="V44" s="297">
        <f>LEN(TEXT(D44,0))</f>
        <v>11</v>
      </c>
      <c r="W44" s="208">
        <f t="shared" ca="1" si="9"/>
        <v>44</v>
      </c>
      <c r="X44" s="298"/>
      <c r="Y44" s="298"/>
      <c r="Z44" s="298"/>
      <c r="AA44" s="298"/>
      <c r="AB44" s="298"/>
      <c r="AC44" s="298"/>
      <c r="AD44" s="298"/>
      <c r="AE44" s="298"/>
      <c r="AF44" s="298"/>
      <c r="AG44" s="298"/>
      <c r="AH44" s="298"/>
      <c r="AI44" s="298"/>
      <c r="AJ44" s="298"/>
      <c r="AK44" s="298"/>
      <c r="AL44" s="298"/>
      <c r="AM44" s="298"/>
    </row>
    <row r="45" spans="1:39" ht="15.75" customHeight="1">
      <c r="A45" s="936">
        <v>49</v>
      </c>
      <c r="B45" s="301" t="s">
        <v>5831</v>
      </c>
      <c r="C45" s="39" t="s">
        <v>31</v>
      </c>
      <c r="D45" s="1642" t="s">
        <v>5832</v>
      </c>
      <c r="E45" s="18" t="s">
        <v>5833</v>
      </c>
      <c r="F45" s="274" t="s">
        <v>759</v>
      </c>
      <c r="G45" s="274" t="s">
        <v>76</v>
      </c>
      <c r="H45" s="274" t="s">
        <v>266</v>
      </c>
      <c r="I45" s="275">
        <v>9002071618</v>
      </c>
      <c r="J45" s="284">
        <v>6290775080</v>
      </c>
      <c r="K45" s="275" t="s">
        <v>261</v>
      </c>
      <c r="L45" s="274" t="s">
        <v>44</v>
      </c>
      <c r="M45" s="272">
        <v>29194</v>
      </c>
      <c r="N45" s="272">
        <v>51135</v>
      </c>
      <c r="O45" s="277">
        <v>45631</v>
      </c>
      <c r="P45" s="272">
        <v>45257</v>
      </c>
      <c r="Q45" s="272">
        <v>45242</v>
      </c>
      <c r="R45" s="294"/>
      <c r="S45" s="280"/>
      <c r="T45" s="281" t="s">
        <v>5834</v>
      </c>
      <c r="U45" s="281" t="s">
        <v>5835</v>
      </c>
      <c r="V45" s="79">
        <f>LEN(D45)</f>
        <v>11</v>
      </c>
      <c r="W45" s="208">
        <f t="shared" ca="1" si="9"/>
        <v>46</v>
      </c>
      <c r="Y45" s="298"/>
      <c r="Z45" s="298"/>
      <c r="AA45" s="298"/>
      <c r="AB45" s="298"/>
      <c r="AC45" s="298"/>
      <c r="AD45" s="298"/>
      <c r="AE45" s="298"/>
      <c r="AF45" s="298"/>
      <c r="AG45" s="298"/>
      <c r="AH45" s="298"/>
      <c r="AI45" s="298"/>
      <c r="AJ45" s="298"/>
      <c r="AK45" s="298"/>
      <c r="AL45" s="298"/>
      <c r="AM45" s="298"/>
    </row>
    <row r="46" spans="1:39" ht="15.75" customHeight="1">
      <c r="A46" s="936">
        <v>50</v>
      </c>
      <c r="B46" s="293" t="s">
        <v>5836</v>
      </c>
      <c r="C46" s="275" t="s">
        <v>31</v>
      </c>
      <c r="D46" s="1466" t="s">
        <v>5837</v>
      </c>
      <c r="E46" s="686" t="s">
        <v>5838</v>
      </c>
      <c r="F46" s="274" t="s">
        <v>759</v>
      </c>
      <c r="G46" s="274" t="s">
        <v>77</v>
      </c>
      <c r="H46" s="274" t="s">
        <v>266</v>
      </c>
      <c r="I46" s="275">
        <v>9002071247</v>
      </c>
      <c r="J46" s="284">
        <v>7908511956</v>
      </c>
      <c r="K46" s="275" t="s">
        <v>261</v>
      </c>
      <c r="L46" s="274" t="s">
        <v>62</v>
      </c>
      <c r="M46" s="289">
        <v>28333</v>
      </c>
      <c r="N46" s="289">
        <v>50252</v>
      </c>
      <c r="O46" s="272">
        <v>45326</v>
      </c>
      <c r="P46" s="272">
        <v>45748</v>
      </c>
      <c r="Q46" s="302">
        <v>45705</v>
      </c>
      <c r="R46" s="294"/>
      <c r="S46" s="295"/>
      <c r="T46" s="296" t="s">
        <v>5839</v>
      </c>
      <c r="U46" s="296" t="s">
        <v>5840</v>
      </c>
      <c r="V46" s="297">
        <f>LEN(TEXT(D46,0))</f>
        <v>11</v>
      </c>
      <c r="W46" s="208">
        <f t="shared" ca="1" si="9"/>
        <v>48</v>
      </c>
      <c r="X46" s="298"/>
      <c r="Y46" s="298"/>
      <c r="Z46" s="298"/>
      <c r="AA46" s="298"/>
      <c r="AB46" s="298"/>
      <c r="AC46" s="298"/>
      <c r="AD46" s="298"/>
      <c r="AE46" s="298"/>
      <c r="AF46" s="298"/>
      <c r="AG46" s="298"/>
      <c r="AH46" s="298"/>
      <c r="AI46" s="298"/>
      <c r="AJ46" s="298"/>
      <c r="AK46" s="298"/>
      <c r="AL46" s="298"/>
      <c r="AM46" s="298"/>
    </row>
    <row r="47" spans="1:39" ht="15.75" customHeight="1">
      <c r="A47" s="936">
        <v>51</v>
      </c>
      <c r="B47" s="293" t="s">
        <v>5841</v>
      </c>
      <c r="C47" s="275" t="s">
        <v>31</v>
      </c>
      <c r="D47" s="1448" t="s">
        <v>5842</v>
      </c>
      <c r="E47" s="18" t="s">
        <v>5843</v>
      </c>
      <c r="F47" s="274" t="s">
        <v>759</v>
      </c>
      <c r="G47" s="274" t="s">
        <v>76</v>
      </c>
      <c r="H47" s="274" t="s">
        <v>266</v>
      </c>
      <c r="I47" s="275">
        <v>8926709485</v>
      </c>
      <c r="J47" s="275"/>
      <c r="K47" s="275" t="s">
        <v>261</v>
      </c>
      <c r="L47" s="656" t="s">
        <v>44</v>
      </c>
      <c r="M47" s="272">
        <v>30165</v>
      </c>
      <c r="N47" s="272">
        <v>52109</v>
      </c>
      <c r="O47" s="272">
        <v>45886</v>
      </c>
      <c r="P47" s="272">
        <v>45257</v>
      </c>
      <c r="Q47" s="272">
        <v>45242</v>
      </c>
      <c r="R47" s="294"/>
      <c r="S47" s="485"/>
      <c r="T47" s="486" t="s">
        <v>5844</v>
      </c>
      <c r="U47" s="486" t="s">
        <v>5553</v>
      </c>
      <c r="V47" s="382">
        <f>LEN(D47)</f>
        <v>11</v>
      </c>
      <c r="W47" s="208">
        <f t="shared" ca="1" si="9"/>
        <v>43</v>
      </c>
      <c r="X47" s="311"/>
      <c r="AH47" s="298"/>
      <c r="AI47" s="298"/>
      <c r="AJ47" s="298"/>
      <c r="AK47" s="298"/>
      <c r="AL47" s="298"/>
      <c r="AM47" s="298"/>
    </row>
    <row r="48" spans="1:39" ht="15.75" customHeight="1">
      <c r="A48" s="936">
        <v>52</v>
      </c>
      <c r="B48" s="293" t="s">
        <v>5845</v>
      </c>
      <c r="C48" s="275" t="s">
        <v>31</v>
      </c>
      <c r="D48" s="562" t="s">
        <v>5846</v>
      </c>
      <c r="E48" s="303" t="s">
        <v>5847</v>
      </c>
      <c r="F48" s="274" t="s">
        <v>759</v>
      </c>
      <c r="G48" s="303" t="s">
        <v>76</v>
      </c>
      <c r="H48" s="274" t="s">
        <v>279</v>
      </c>
      <c r="I48" s="275">
        <v>8420320040</v>
      </c>
      <c r="J48" s="284">
        <v>8420320040</v>
      </c>
      <c r="K48" s="275" t="s">
        <v>261</v>
      </c>
      <c r="L48" s="274" t="s">
        <v>256</v>
      </c>
      <c r="M48" s="289">
        <v>30330</v>
      </c>
      <c r="N48" s="289">
        <v>52262</v>
      </c>
      <c r="O48" s="272">
        <v>46130</v>
      </c>
      <c r="P48" s="278">
        <v>45115</v>
      </c>
      <c r="Q48" s="272">
        <v>45145</v>
      </c>
      <c r="R48" s="294"/>
      <c r="S48" s="295"/>
      <c r="T48" s="295"/>
      <c r="U48" s="603" t="s">
        <v>5848</v>
      </c>
      <c r="V48" s="297">
        <f t="shared" ref="V48:V50" si="10">LEN(TEXT(D48,0))</f>
        <v>11</v>
      </c>
      <c r="W48" s="208">
        <f t="shared" ca="1" si="9"/>
        <v>43</v>
      </c>
      <c r="X48" s="298"/>
      <c r="Y48" s="298"/>
      <c r="Z48" s="298"/>
      <c r="AA48" s="298"/>
      <c r="AB48" s="298"/>
      <c r="AC48" s="298"/>
      <c r="AD48" s="298"/>
      <c r="AE48" s="298"/>
      <c r="AF48" s="298"/>
      <c r="AG48" s="298"/>
      <c r="AH48" s="298"/>
      <c r="AI48" s="298"/>
      <c r="AJ48" s="298"/>
      <c r="AK48" s="298"/>
      <c r="AL48" s="298"/>
      <c r="AM48" s="298"/>
    </row>
    <row r="49" spans="1:39">
      <c r="A49" s="936">
        <v>53</v>
      </c>
      <c r="B49" s="293" t="s">
        <v>5849</v>
      </c>
      <c r="C49" s="275" t="s">
        <v>31</v>
      </c>
      <c r="D49" s="1466" t="s">
        <v>5850</v>
      </c>
      <c r="E49" s="421" t="s">
        <v>5851</v>
      </c>
      <c r="F49" s="274" t="s">
        <v>759</v>
      </c>
      <c r="G49" s="303" t="s">
        <v>76</v>
      </c>
      <c r="H49" s="274" t="s">
        <v>266</v>
      </c>
      <c r="I49" s="650">
        <v>9002079747</v>
      </c>
      <c r="J49" s="624">
        <v>9007745753</v>
      </c>
      <c r="K49" s="275" t="s">
        <v>261</v>
      </c>
      <c r="L49" s="274" t="s">
        <v>256</v>
      </c>
      <c r="M49" s="424">
        <v>31139</v>
      </c>
      <c r="N49" s="481">
        <v>53082</v>
      </c>
      <c r="O49" s="481">
        <v>45368</v>
      </c>
      <c r="P49" s="272">
        <v>45748</v>
      </c>
      <c r="Q49" s="1915">
        <v>45591</v>
      </c>
      <c r="R49" s="294"/>
      <c r="S49" s="295"/>
      <c r="T49" s="494" t="s">
        <v>5852</v>
      </c>
      <c r="U49" s="494" t="s">
        <v>5853</v>
      </c>
      <c r="V49" s="298">
        <f t="shared" si="10"/>
        <v>11</v>
      </c>
      <c r="W49" s="208">
        <f t="shared" ca="1" si="9"/>
        <v>40</v>
      </c>
      <c r="X49" s="298"/>
      <c r="Y49" s="298"/>
      <c r="Z49" s="298"/>
      <c r="AA49" s="298"/>
      <c r="AB49" s="298"/>
      <c r="AC49" s="298"/>
      <c r="AD49" s="298"/>
      <c r="AE49" s="298"/>
      <c r="AF49" s="298"/>
      <c r="AG49" s="298"/>
      <c r="AH49" s="298"/>
      <c r="AI49" s="298"/>
      <c r="AJ49" s="298"/>
      <c r="AK49" s="298"/>
      <c r="AL49" s="298"/>
      <c r="AM49" s="298"/>
    </row>
    <row r="50" spans="1:39" ht="15.75" customHeight="1">
      <c r="A50" s="936">
        <v>54</v>
      </c>
      <c r="B50" s="293" t="s">
        <v>5854</v>
      </c>
      <c r="C50" s="275" t="s">
        <v>31</v>
      </c>
      <c r="D50" s="562" t="s">
        <v>5855</v>
      </c>
      <c r="E50" s="274" t="s">
        <v>5856</v>
      </c>
      <c r="F50" s="274" t="s">
        <v>759</v>
      </c>
      <c r="G50" s="274" t="s">
        <v>78</v>
      </c>
      <c r="H50" s="274" t="s">
        <v>279</v>
      </c>
      <c r="I50" s="275">
        <v>9002071877</v>
      </c>
      <c r="J50" s="275">
        <v>9002071877</v>
      </c>
      <c r="K50" s="275" t="s">
        <v>261</v>
      </c>
      <c r="L50" s="274" t="s">
        <v>44</v>
      </c>
      <c r="M50" s="289">
        <v>28383</v>
      </c>
      <c r="N50" s="289">
        <v>50313</v>
      </c>
      <c r="O50" s="272">
        <v>45557</v>
      </c>
      <c r="P50" s="272">
        <v>45043</v>
      </c>
      <c r="Q50" s="272">
        <v>46073</v>
      </c>
      <c r="R50" s="294"/>
      <c r="S50" s="295"/>
      <c r="T50" s="296" t="s">
        <v>5857</v>
      </c>
      <c r="U50" s="296" t="s">
        <v>5857</v>
      </c>
      <c r="V50" s="297">
        <f t="shared" si="10"/>
        <v>11</v>
      </c>
      <c r="W50" s="208">
        <f t="shared" ca="1" si="9"/>
        <v>48</v>
      </c>
      <c r="X50" s="298"/>
      <c r="Y50" s="298"/>
      <c r="Z50" s="298"/>
      <c r="AA50" s="298"/>
      <c r="AB50" s="298"/>
      <c r="AC50" s="298"/>
      <c r="AD50" s="298"/>
      <c r="AE50" s="298"/>
      <c r="AF50" s="298"/>
      <c r="AG50" s="298"/>
      <c r="AH50" s="298"/>
      <c r="AI50" s="298"/>
      <c r="AJ50" s="298"/>
      <c r="AK50" s="298"/>
      <c r="AL50" s="298"/>
      <c r="AM50" s="298"/>
    </row>
    <row r="51" spans="1:39" ht="15.75" customHeight="1">
      <c r="A51" s="936">
        <v>55</v>
      </c>
      <c r="B51" s="351" t="s">
        <v>5858</v>
      </c>
      <c r="C51" s="307" t="s">
        <v>31</v>
      </c>
      <c r="D51" s="1642" t="s">
        <v>5859</v>
      </c>
      <c r="E51" s="137" t="s">
        <v>5860</v>
      </c>
      <c r="F51" s="274" t="s">
        <v>759</v>
      </c>
      <c r="G51" s="274" t="s">
        <v>76</v>
      </c>
      <c r="H51" s="274" t="s">
        <v>266</v>
      </c>
      <c r="I51" s="275">
        <v>9002071051</v>
      </c>
      <c r="J51" s="284">
        <v>9002071051</v>
      </c>
      <c r="K51" s="275" t="s">
        <v>261</v>
      </c>
      <c r="L51" s="274" t="s">
        <v>417</v>
      </c>
      <c r="M51" s="272">
        <v>32234</v>
      </c>
      <c r="N51" s="272">
        <v>54148</v>
      </c>
      <c r="O51" s="277">
        <v>45893</v>
      </c>
      <c r="P51" s="272">
        <v>45257</v>
      </c>
      <c r="Q51" s="272">
        <v>45242</v>
      </c>
      <c r="R51" s="294"/>
      <c r="S51" s="280"/>
      <c r="T51" s="281" t="s">
        <v>5861</v>
      </c>
      <c r="U51" s="281" t="s">
        <v>5862</v>
      </c>
      <c r="V51" s="79">
        <f>LEN(D51)</f>
        <v>11</v>
      </c>
      <c r="W51" s="208">
        <f t="shared" ca="1" si="9"/>
        <v>37</v>
      </c>
      <c r="Y51" s="311"/>
      <c r="Z51" s="311"/>
      <c r="AA51" s="311"/>
      <c r="AB51" s="311"/>
      <c r="AC51" s="311"/>
      <c r="AD51" s="311"/>
      <c r="AE51" s="311"/>
      <c r="AF51" s="311"/>
      <c r="AG51" s="311"/>
      <c r="AH51" s="298"/>
      <c r="AI51" s="298"/>
      <c r="AJ51" s="298"/>
      <c r="AK51" s="298"/>
      <c r="AL51" s="298"/>
      <c r="AM51" s="298"/>
    </row>
    <row r="52" spans="1:39" ht="15.75" customHeight="1">
      <c r="A52" s="936">
        <v>56</v>
      </c>
      <c r="B52" s="293" t="s">
        <v>5863</v>
      </c>
      <c r="C52" s="275" t="s">
        <v>31</v>
      </c>
      <c r="D52" s="562" t="s">
        <v>5864</v>
      </c>
      <c r="E52" s="18" t="s">
        <v>5865</v>
      </c>
      <c r="F52" s="274" t="s">
        <v>759</v>
      </c>
      <c r="G52" s="303" t="s">
        <v>76</v>
      </c>
      <c r="H52" s="274" t="s">
        <v>279</v>
      </c>
      <c r="I52" s="275">
        <v>9002071854</v>
      </c>
      <c r="J52" s="275"/>
      <c r="K52" s="275" t="s">
        <v>261</v>
      </c>
      <c r="L52" s="18" t="s">
        <v>55</v>
      </c>
      <c r="M52" s="289">
        <v>30252</v>
      </c>
      <c r="N52" s="289">
        <v>52169</v>
      </c>
      <c r="O52" s="272">
        <v>45846</v>
      </c>
      <c r="P52" s="272">
        <v>45748</v>
      </c>
      <c r="Q52" s="302">
        <v>45705</v>
      </c>
      <c r="R52" s="280"/>
      <c r="S52" s="295"/>
      <c r="T52" s="296" t="s">
        <v>5866</v>
      </c>
      <c r="U52" s="296" t="s">
        <v>5867</v>
      </c>
      <c r="V52" s="297">
        <f t="shared" ref="V52:V55" si="11">LEN(TEXT(D52,0))</f>
        <v>11</v>
      </c>
      <c r="W52" s="208">
        <f t="shared" ca="1" si="9"/>
        <v>43</v>
      </c>
      <c r="X52" s="298"/>
      <c r="Y52" s="298"/>
      <c r="Z52" s="298"/>
      <c r="AA52" s="298"/>
      <c r="AB52" s="298"/>
      <c r="AC52" s="298"/>
      <c r="AD52" s="298"/>
      <c r="AE52" s="298"/>
      <c r="AF52" s="298"/>
      <c r="AG52" s="298"/>
      <c r="AH52" s="298"/>
      <c r="AI52" s="298"/>
      <c r="AJ52" s="298"/>
      <c r="AK52" s="298"/>
      <c r="AL52" s="298"/>
      <c r="AM52" s="298"/>
    </row>
    <row r="53" spans="1:39" ht="15.75" customHeight="1">
      <c r="A53" s="936">
        <v>57</v>
      </c>
      <c r="B53" s="293" t="s">
        <v>5868</v>
      </c>
      <c r="C53" s="275" t="s">
        <v>31</v>
      </c>
      <c r="D53" s="562" t="s">
        <v>5869</v>
      </c>
      <c r="E53" s="303" t="s">
        <v>5870</v>
      </c>
      <c r="F53" s="274" t="s">
        <v>759</v>
      </c>
      <c r="G53" s="303" t="s">
        <v>76</v>
      </c>
      <c r="H53" s="274" t="s">
        <v>266</v>
      </c>
      <c r="I53" s="275">
        <v>9002079752</v>
      </c>
      <c r="J53" s="275">
        <v>9002079752</v>
      </c>
      <c r="K53" s="275" t="s">
        <v>261</v>
      </c>
      <c r="L53" s="125" t="s">
        <v>69</v>
      </c>
      <c r="M53" s="272">
        <v>29772</v>
      </c>
      <c r="N53" s="289">
        <v>51713</v>
      </c>
      <c r="O53" s="272">
        <v>46062</v>
      </c>
      <c r="P53" s="272">
        <v>45551</v>
      </c>
      <c r="Q53" s="272">
        <v>45537</v>
      </c>
      <c r="R53" s="280"/>
      <c r="S53" s="295"/>
      <c r="T53" s="1852" t="s">
        <v>5871</v>
      </c>
      <c r="U53" s="1852" t="s">
        <v>5871</v>
      </c>
      <c r="V53" s="297">
        <f t="shared" si="11"/>
        <v>11</v>
      </c>
      <c r="W53" s="208">
        <f t="shared" ca="1" si="9"/>
        <v>44</v>
      </c>
      <c r="X53" s="298"/>
      <c r="Y53" s="298"/>
      <c r="Z53" s="298"/>
      <c r="AA53" s="298"/>
      <c r="AB53" s="298"/>
      <c r="AC53" s="298"/>
      <c r="AD53" s="298"/>
      <c r="AE53" s="298"/>
      <c r="AF53" s="298"/>
      <c r="AG53" s="298"/>
      <c r="AH53" s="298"/>
      <c r="AI53" s="298"/>
      <c r="AJ53" s="298"/>
      <c r="AK53" s="298"/>
      <c r="AL53" s="298"/>
      <c r="AM53" s="298"/>
    </row>
    <row r="54" spans="1:39" ht="15.75" customHeight="1">
      <c r="A54" s="936">
        <v>58</v>
      </c>
      <c r="B54" s="293" t="s">
        <v>5872</v>
      </c>
      <c r="C54" s="275" t="s">
        <v>31</v>
      </c>
      <c r="D54" s="562" t="s">
        <v>5873</v>
      </c>
      <c r="E54" s="421" t="s">
        <v>5874</v>
      </c>
      <c r="F54" s="274" t="s">
        <v>759</v>
      </c>
      <c r="G54" s="303" t="s">
        <v>76</v>
      </c>
      <c r="H54" s="274" t="s">
        <v>266</v>
      </c>
      <c r="I54" s="275">
        <v>8420320034</v>
      </c>
      <c r="J54" s="275">
        <v>8420320034</v>
      </c>
      <c r="K54" s="275" t="s">
        <v>261</v>
      </c>
      <c r="L54" s="274" t="s">
        <v>44</v>
      </c>
      <c r="M54" s="289">
        <v>31797</v>
      </c>
      <c r="N54" s="289">
        <v>53723</v>
      </c>
      <c r="O54" s="272">
        <v>45832</v>
      </c>
      <c r="P54" s="272">
        <v>45748</v>
      </c>
      <c r="Q54" s="302">
        <v>45649</v>
      </c>
      <c r="R54" s="280"/>
      <c r="S54" s="295"/>
      <c r="T54" s="295"/>
      <c r="U54" s="955" t="s">
        <v>5875</v>
      </c>
      <c r="V54" s="297">
        <f t="shared" si="11"/>
        <v>11</v>
      </c>
      <c r="W54" s="208">
        <f t="shared" ca="1" si="9"/>
        <v>39</v>
      </c>
      <c r="X54" s="298"/>
      <c r="Y54" s="298"/>
      <c r="Z54" s="298"/>
      <c r="AA54" s="298"/>
      <c r="AB54" s="298"/>
      <c r="AC54" s="298"/>
      <c r="AD54" s="298"/>
      <c r="AE54" s="298"/>
      <c r="AF54" s="298"/>
      <c r="AG54" s="298"/>
    </row>
    <row r="55" spans="1:39" ht="15.75" customHeight="1">
      <c r="A55" s="936">
        <v>59</v>
      </c>
      <c r="B55" s="293" t="s">
        <v>5876</v>
      </c>
      <c r="C55" s="275" t="s">
        <v>31</v>
      </c>
      <c r="D55" s="562" t="s">
        <v>5877</v>
      </c>
      <c r="E55" s="284" t="s">
        <v>5878</v>
      </c>
      <c r="F55" s="274" t="s">
        <v>759</v>
      </c>
      <c r="G55" s="284" t="s">
        <v>78</v>
      </c>
      <c r="H55" s="274" t="s">
        <v>279</v>
      </c>
      <c r="I55" s="284">
        <v>9002079757</v>
      </c>
      <c r="J55" s="284">
        <v>9002079757</v>
      </c>
      <c r="K55" s="275" t="s">
        <v>261</v>
      </c>
      <c r="L55" s="18" t="s">
        <v>64</v>
      </c>
      <c r="M55" s="272">
        <v>28499</v>
      </c>
      <c r="N55" s="289">
        <v>50436</v>
      </c>
      <c r="O55" s="272">
        <v>45445</v>
      </c>
      <c r="P55" s="302">
        <v>45695</v>
      </c>
      <c r="Q55" s="272">
        <v>45537</v>
      </c>
      <c r="R55" s="280"/>
      <c r="S55" s="295"/>
      <c r="T55" s="603" t="s">
        <v>5879</v>
      </c>
      <c r="U55" s="603" t="s">
        <v>5879</v>
      </c>
      <c r="V55" s="297">
        <f t="shared" si="11"/>
        <v>11</v>
      </c>
      <c r="W55" s="208">
        <f t="shared" ca="1" si="9"/>
        <v>48</v>
      </c>
      <c r="X55" s="298"/>
      <c r="Y55" s="298"/>
      <c r="Z55" s="298"/>
      <c r="AA55" s="298"/>
      <c r="AB55" s="298"/>
      <c r="AC55" s="298"/>
      <c r="AD55" s="298"/>
      <c r="AE55" s="298"/>
      <c r="AF55" s="298"/>
      <c r="AG55" s="298"/>
      <c r="AH55" s="298"/>
      <c r="AI55" s="298"/>
      <c r="AJ55" s="298"/>
      <c r="AK55" s="298"/>
      <c r="AL55" s="298"/>
      <c r="AM55" s="298"/>
    </row>
    <row r="56" spans="1:39" ht="15.75" customHeight="1">
      <c r="A56" s="936">
        <v>60</v>
      </c>
      <c r="B56" s="351" t="s">
        <v>5880</v>
      </c>
      <c r="C56" s="275" t="s">
        <v>31</v>
      </c>
      <c r="D56" s="1914" t="s">
        <v>5881</v>
      </c>
      <c r="E56" s="1916" t="s">
        <v>5882</v>
      </c>
      <c r="F56" s="900" t="s">
        <v>759</v>
      </c>
      <c r="G56" s="274" t="s">
        <v>76</v>
      </c>
      <c r="H56" s="274" t="s">
        <v>266</v>
      </c>
      <c r="I56" s="275">
        <v>9681324290</v>
      </c>
      <c r="J56" s="1917">
        <v>8336828267</v>
      </c>
      <c r="K56" s="275" t="s">
        <v>261</v>
      </c>
      <c r="L56" s="18" t="s">
        <v>55</v>
      </c>
      <c r="M56" s="272">
        <v>33343</v>
      </c>
      <c r="N56" s="272">
        <v>55273</v>
      </c>
      <c r="O56" s="277">
        <v>46396</v>
      </c>
      <c r="P56" s="272">
        <v>45280</v>
      </c>
      <c r="Q56" s="272">
        <v>45258</v>
      </c>
      <c r="R56" s="280"/>
      <c r="S56" s="280"/>
      <c r="T56" s="321" t="s">
        <v>5883</v>
      </c>
      <c r="U56" s="281" t="s">
        <v>5884</v>
      </c>
      <c r="V56" s="280">
        <f>LEN(D56)</f>
        <v>11</v>
      </c>
      <c r="W56" s="208">
        <f t="shared" ca="1" si="9"/>
        <v>34</v>
      </c>
      <c r="Y56" s="298"/>
      <c r="Z56" s="298"/>
      <c r="AA56" s="298"/>
      <c r="AB56" s="298"/>
      <c r="AC56" s="298"/>
      <c r="AD56" s="298"/>
      <c r="AE56" s="298"/>
      <c r="AF56" s="298"/>
      <c r="AG56" s="298"/>
    </row>
    <row r="57" spans="1:39" ht="15.75" customHeight="1">
      <c r="A57" s="936">
        <v>61</v>
      </c>
      <c r="B57" s="293" t="s">
        <v>5885</v>
      </c>
      <c r="C57" s="275" t="s">
        <v>31</v>
      </c>
      <c r="D57" s="1466" t="s">
        <v>5886</v>
      </c>
      <c r="E57" s="274" t="s">
        <v>5887</v>
      </c>
      <c r="F57" s="274" t="s">
        <v>759</v>
      </c>
      <c r="G57" s="274" t="s">
        <v>78</v>
      </c>
      <c r="H57" s="274" t="s">
        <v>279</v>
      </c>
      <c r="I57" s="275">
        <v>9002071887</v>
      </c>
      <c r="J57" s="275">
        <v>9002071887</v>
      </c>
      <c r="K57" s="275" t="s">
        <v>261</v>
      </c>
      <c r="L57" s="274" t="s">
        <v>256</v>
      </c>
      <c r="M57" s="289">
        <v>28477</v>
      </c>
      <c r="N57" s="289">
        <v>50405</v>
      </c>
      <c r="O57" s="272">
        <v>45646</v>
      </c>
      <c r="P57" s="272">
        <v>45043</v>
      </c>
      <c r="Q57" s="272">
        <v>46073</v>
      </c>
      <c r="R57" s="79"/>
      <c r="S57" s="79"/>
      <c r="T57" s="296" t="s">
        <v>5888</v>
      </c>
      <c r="U57" s="603" t="s">
        <v>5889</v>
      </c>
      <c r="V57" s="297">
        <f t="shared" ref="V57:V60" si="12">LEN(TEXT(D57,0))</f>
        <v>11</v>
      </c>
      <c r="W57" s="208">
        <f t="shared" ca="1" si="9"/>
        <v>48</v>
      </c>
      <c r="X57" s="298"/>
      <c r="Y57" s="298"/>
      <c r="Z57" s="298"/>
      <c r="AA57" s="298"/>
      <c r="AB57" s="298"/>
      <c r="AC57" s="298"/>
      <c r="AD57" s="298"/>
      <c r="AE57" s="298"/>
      <c r="AF57" s="298"/>
      <c r="AG57" s="298"/>
    </row>
    <row r="58" spans="1:39" ht="15.75" customHeight="1">
      <c r="A58" s="936">
        <v>62</v>
      </c>
      <c r="B58" s="293" t="s">
        <v>5890</v>
      </c>
      <c r="C58" s="275" t="s">
        <v>31</v>
      </c>
      <c r="D58" s="562" t="s">
        <v>5891</v>
      </c>
      <c r="E58" s="303" t="s">
        <v>5892</v>
      </c>
      <c r="F58" s="274" t="s">
        <v>759</v>
      </c>
      <c r="G58" s="303" t="s">
        <v>76</v>
      </c>
      <c r="H58" s="274" t="s">
        <v>266</v>
      </c>
      <c r="I58" s="275">
        <v>9002079027</v>
      </c>
      <c r="J58" s="275"/>
      <c r="K58" s="275" t="s">
        <v>261</v>
      </c>
      <c r="L58" s="274" t="s">
        <v>64</v>
      </c>
      <c r="M58" s="289">
        <v>24252</v>
      </c>
      <c r="N58" s="289">
        <v>46173</v>
      </c>
      <c r="O58" s="272">
        <v>45230</v>
      </c>
      <c r="P58" s="279">
        <v>45835</v>
      </c>
      <c r="Q58" s="272">
        <v>45847</v>
      </c>
      <c r="R58" s="79"/>
      <c r="S58" s="79"/>
      <c r="T58" s="296" t="s">
        <v>5893</v>
      </c>
      <c r="U58" s="296" t="s">
        <v>5894</v>
      </c>
      <c r="V58" s="297">
        <f t="shared" si="12"/>
        <v>11</v>
      </c>
      <c r="W58" s="208">
        <f t="shared" ca="1" si="9"/>
        <v>59</v>
      </c>
      <c r="X58" s="298"/>
      <c r="Y58" s="298"/>
      <c r="Z58" s="298"/>
      <c r="AA58" s="298"/>
      <c r="AB58" s="298"/>
      <c r="AC58" s="298"/>
      <c r="AD58" s="298"/>
      <c r="AE58" s="298"/>
      <c r="AF58" s="298"/>
      <c r="AG58" s="298"/>
      <c r="AH58" s="298"/>
      <c r="AI58" s="298"/>
      <c r="AJ58" s="298"/>
      <c r="AK58" s="298"/>
      <c r="AL58" s="298"/>
      <c r="AM58" s="298"/>
    </row>
    <row r="59" spans="1:39" ht="15.75" customHeight="1">
      <c r="A59" s="936">
        <v>63</v>
      </c>
      <c r="B59" s="293" t="s">
        <v>5895</v>
      </c>
      <c r="C59" s="275" t="s">
        <v>31</v>
      </c>
      <c r="D59" s="562" t="s">
        <v>5896</v>
      </c>
      <c r="E59" s="1152" t="s">
        <v>5897</v>
      </c>
      <c r="F59" s="274" t="s">
        <v>759</v>
      </c>
      <c r="G59" s="303" t="s">
        <v>76</v>
      </c>
      <c r="H59" s="274" t="s">
        <v>279</v>
      </c>
      <c r="I59" s="284">
        <v>9002071601</v>
      </c>
      <c r="J59" s="284">
        <v>9002071601</v>
      </c>
      <c r="K59" s="275" t="s">
        <v>261</v>
      </c>
      <c r="L59" s="18" t="s">
        <v>55</v>
      </c>
      <c r="M59" s="272">
        <v>24209</v>
      </c>
      <c r="N59" s="289">
        <v>46142</v>
      </c>
      <c r="O59" s="272">
        <v>45399</v>
      </c>
      <c r="P59" s="272">
        <v>45863</v>
      </c>
      <c r="Q59" s="272">
        <v>45847</v>
      </c>
      <c r="R59" s="79"/>
      <c r="S59" s="295"/>
      <c r="T59" s="603" t="s">
        <v>5898</v>
      </c>
      <c r="U59" s="603" t="s">
        <v>5898</v>
      </c>
      <c r="V59" s="297">
        <f t="shared" si="12"/>
        <v>11</v>
      </c>
      <c r="W59" s="208">
        <f t="shared" ca="1" si="9"/>
        <v>59</v>
      </c>
      <c r="X59" s="298"/>
      <c r="Y59" s="311"/>
      <c r="Z59" s="311"/>
      <c r="AA59" s="311"/>
      <c r="AB59" s="311"/>
      <c r="AC59" s="311"/>
      <c r="AD59" s="311"/>
      <c r="AE59" s="311"/>
      <c r="AH59" s="298"/>
      <c r="AI59" s="298"/>
      <c r="AJ59" s="298"/>
      <c r="AK59" s="298"/>
      <c r="AL59" s="298"/>
      <c r="AM59" s="298"/>
    </row>
    <row r="60" spans="1:39">
      <c r="A60" s="936">
        <v>64</v>
      </c>
      <c r="B60" s="293" t="s">
        <v>5899</v>
      </c>
      <c r="C60" s="275" t="s">
        <v>31</v>
      </c>
      <c r="D60" s="562" t="s">
        <v>5900</v>
      </c>
      <c r="E60" s="274" t="s">
        <v>5901</v>
      </c>
      <c r="F60" s="274" t="s">
        <v>759</v>
      </c>
      <c r="G60" s="274" t="s">
        <v>77</v>
      </c>
      <c r="H60" s="274" t="s">
        <v>279</v>
      </c>
      <c r="I60" s="275">
        <v>9002079306</v>
      </c>
      <c r="J60" s="284">
        <v>9002079306</v>
      </c>
      <c r="K60" s="275" t="s">
        <v>261</v>
      </c>
      <c r="L60" s="274" t="s">
        <v>299</v>
      </c>
      <c r="M60" s="272">
        <v>26513</v>
      </c>
      <c r="N60" s="289">
        <v>48457</v>
      </c>
      <c r="O60" s="272">
        <v>45141</v>
      </c>
      <c r="P60" s="915">
        <v>45453</v>
      </c>
      <c r="Q60" s="272">
        <v>45453</v>
      </c>
      <c r="R60" s="280"/>
      <c r="S60" s="295"/>
      <c r="T60" s="603" t="s">
        <v>5902</v>
      </c>
      <c r="U60" s="603" t="s">
        <v>5902</v>
      </c>
      <c r="V60" s="297">
        <f t="shared" si="12"/>
        <v>11</v>
      </c>
      <c r="W60" s="208">
        <f t="shared" ca="1" si="9"/>
        <v>53</v>
      </c>
      <c r="X60" s="298"/>
      <c r="Y60" s="298"/>
      <c r="Z60" s="298"/>
      <c r="AA60" s="298"/>
      <c r="AB60" s="298"/>
      <c r="AC60" s="298"/>
      <c r="AD60" s="298"/>
      <c r="AE60" s="298"/>
      <c r="AF60" s="298"/>
      <c r="AG60" s="298"/>
    </row>
    <row r="61" spans="1:39" ht="15.75" customHeight="1">
      <c r="A61" s="936">
        <v>65</v>
      </c>
      <c r="B61" s="351" t="s">
        <v>5903</v>
      </c>
      <c r="C61" s="307" t="s">
        <v>31</v>
      </c>
      <c r="D61" s="1448" t="s">
        <v>5904</v>
      </c>
      <c r="E61" s="18" t="s">
        <v>5905</v>
      </c>
      <c r="F61" s="274" t="s">
        <v>759</v>
      </c>
      <c r="G61" s="274" t="s">
        <v>77</v>
      </c>
      <c r="H61" s="274" t="s">
        <v>266</v>
      </c>
      <c r="I61" s="275">
        <v>9002079696</v>
      </c>
      <c r="J61" s="275"/>
      <c r="K61" s="275" t="s">
        <v>261</v>
      </c>
      <c r="L61" s="445" t="s">
        <v>56</v>
      </c>
      <c r="M61" s="272">
        <v>30073</v>
      </c>
      <c r="N61" s="272">
        <v>52017</v>
      </c>
      <c r="O61" s="272">
        <v>45886</v>
      </c>
      <c r="P61" s="315">
        <v>45283</v>
      </c>
      <c r="Q61" s="279">
        <v>45242</v>
      </c>
      <c r="R61" s="294"/>
      <c r="S61" s="295"/>
      <c r="T61" s="486" t="s">
        <v>5906</v>
      </c>
      <c r="U61" s="486" t="s">
        <v>5907</v>
      </c>
      <c r="V61" s="382">
        <f>LEN(D61)</f>
        <v>11</v>
      </c>
      <c r="W61" s="208">
        <f t="shared" ca="1" si="9"/>
        <v>43</v>
      </c>
      <c r="X61" s="311"/>
      <c r="Y61" s="298"/>
      <c r="Z61" s="298"/>
      <c r="AA61" s="298"/>
      <c r="AB61" s="298"/>
      <c r="AC61" s="298"/>
      <c r="AD61" s="298"/>
      <c r="AE61" s="298"/>
      <c r="AF61" s="298"/>
      <c r="AG61" s="298"/>
    </row>
    <row r="62" spans="1:39" ht="15.75" customHeight="1">
      <c r="A62" s="936">
        <v>66</v>
      </c>
      <c r="B62" s="293" t="s">
        <v>5908</v>
      </c>
      <c r="C62" s="275" t="s">
        <v>31</v>
      </c>
      <c r="D62" s="562" t="s">
        <v>5909</v>
      </c>
      <c r="E62" s="303" t="s">
        <v>5910</v>
      </c>
      <c r="F62" s="274" t="s">
        <v>759</v>
      </c>
      <c r="G62" s="303" t="s">
        <v>76</v>
      </c>
      <c r="H62" s="274" t="s">
        <v>266</v>
      </c>
      <c r="I62" s="284">
        <v>8420320047</v>
      </c>
      <c r="J62" s="284">
        <v>8420320047</v>
      </c>
      <c r="K62" s="275" t="s">
        <v>261</v>
      </c>
      <c r="L62" s="398" t="s">
        <v>299</v>
      </c>
      <c r="M62" s="289">
        <v>32157</v>
      </c>
      <c r="N62" s="289">
        <v>54088</v>
      </c>
      <c r="O62" s="272">
        <v>46047</v>
      </c>
      <c r="P62" s="278">
        <v>45115</v>
      </c>
      <c r="Q62" s="272">
        <v>45145</v>
      </c>
      <c r="R62" s="79"/>
      <c r="S62" s="79"/>
      <c r="T62" s="296" t="s">
        <v>5911</v>
      </c>
      <c r="U62" s="296" t="s">
        <v>5912</v>
      </c>
      <c r="V62" s="297">
        <f t="shared" ref="V62:V69" si="13">LEN(TEXT(D62,0))</f>
        <v>11</v>
      </c>
      <c r="W62" s="208">
        <f t="shared" ca="1" si="9"/>
        <v>38</v>
      </c>
      <c r="X62" s="298"/>
      <c r="Y62" s="298"/>
      <c r="Z62" s="298"/>
      <c r="AA62" s="298"/>
      <c r="AB62" s="298"/>
      <c r="AC62" s="298"/>
      <c r="AD62" s="298"/>
      <c r="AE62" s="298"/>
      <c r="AF62" s="298"/>
      <c r="AG62" s="298"/>
      <c r="AH62" s="298"/>
      <c r="AI62" s="298"/>
      <c r="AJ62" s="298"/>
      <c r="AK62" s="298"/>
      <c r="AL62" s="298"/>
      <c r="AM62" s="298"/>
    </row>
    <row r="63" spans="1:39" ht="15.75" customHeight="1">
      <c r="A63" s="936">
        <v>67</v>
      </c>
      <c r="B63" s="293" t="s">
        <v>5913</v>
      </c>
      <c r="C63" s="275" t="s">
        <v>31</v>
      </c>
      <c r="D63" s="562" t="s">
        <v>5914</v>
      </c>
      <c r="E63" s="303" t="s">
        <v>5915</v>
      </c>
      <c r="F63" s="274" t="s">
        <v>759</v>
      </c>
      <c r="G63" s="303" t="s">
        <v>76</v>
      </c>
      <c r="H63" s="274" t="s">
        <v>266</v>
      </c>
      <c r="I63" s="275">
        <v>9002071897</v>
      </c>
      <c r="J63" s="275"/>
      <c r="K63" s="275" t="s">
        <v>261</v>
      </c>
      <c r="L63" s="445" t="s">
        <v>56</v>
      </c>
      <c r="M63" s="272">
        <v>24815</v>
      </c>
      <c r="N63" s="272">
        <v>46752</v>
      </c>
      <c r="O63" s="272">
        <v>45272</v>
      </c>
      <c r="P63" s="279">
        <v>45527</v>
      </c>
      <c r="Q63" s="302">
        <v>45397</v>
      </c>
      <c r="R63" s="79"/>
      <c r="S63" s="79"/>
      <c r="T63" s="494" t="s">
        <v>5916</v>
      </c>
      <c r="U63" s="494" t="s">
        <v>5917</v>
      </c>
      <c r="V63" s="298">
        <f t="shared" si="13"/>
        <v>11</v>
      </c>
      <c r="W63" s="208">
        <f t="shared" ca="1" si="9"/>
        <v>58</v>
      </c>
      <c r="X63" s="298"/>
      <c r="Y63" s="298"/>
      <c r="Z63" s="298"/>
      <c r="AA63" s="298"/>
      <c r="AB63" s="298"/>
      <c r="AC63" s="298"/>
      <c r="AD63" s="298"/>
      <c r="AE63" s="298"/>
      <c r="AF63" s="298"/>
      <c r="AG63" s="298"/>
      <c r="AH63" s="298"/>
      <c r="AI63" s="298"/>
      <c r="AJ63" s="298"/>
      <c r="AK63" s="298"/>
      <c r="AL63" s="298"/>
      <c r="AM63" s="298"/>
    </row>
    <row r="64" spans="1:39" ht="15.75" customHeight="1">
      <c r="A64" s="936">
        <v>68</v>
      </c>
      <c r="B64" s="293" t="s">
        <v>5918</v>
      </c>
      <c r="C64" s="275" t="s">
        <v>31</v>
      </c>
      <c r="D64" s="562" t="s">
        <v>5919</v>
      </c>
      <c r="E64" s="421" t="s">
        <v>5920</v>
      </c>
      <c r="F64" s="274" t="s">
        <v>759</v>
      </c>
      <c r="G64" s="303" t="s">
        <v>76</v>
      </c>
      <c r="H64" s="274" t="s">
        <v>279</v>
      </c>
      <c r="I64" s="275">
        <v>9002071371</v>
      </c>
      <c r="J64" s="275"/>
      <c r="K64" s="275" t="s">
        <v>261</v>
      </c>
      <c r="L64" s="18" t="s">
        <v>55</v>
      </c>
      <c r="M64" s="272">
        <v>31787</v>
      </c>
      <c r="N64" s="289">
        <v>53723</v>
      </c>
      <c r="O64" s="289">
        <v>45211</v>
      </c>
      <c r="P64" s="279">
        <v>45527</v>
      </c>
      <c r="Q64" s="915">
        <v>45453</v>
      </c>
      <c r="R64" s="79"/>
      <c r="S64" s="79"/>
      <c r="T64" s="296" t="s">
        <v>5921</v>
      </c>
      <c r="U64" s="296" t="s">
        <v>5921</v>
      </c>
      <c r="V64" s="297">
        <f t="shared" si="13"/>
        <v>11</v>
      </c>
      <c r="W64" s="208">
        <f t="shared" ca="1" si="9"/>
        <v>39</v>
      </c>
      <c r="X64" s="298"/>
      <c r="Y64" s="311"/>
      <c r="Z64" s="311"/>
      <c r="AA64" s="311"/>
      <c r="AB64" s="311"/>
      <c r="AC64" s="311"/>
      <c r="AD64" s="311"/>
      <c r="AE64" s="311"/>
      <c r="AF64" s="311"/>
      <c r="AG64" s="311"/>
      <c r="AH64" s="298"/>
      <c r="AI64" s="298"/>
      <c r="AJ64" s="298"/>
      <c r="AK64" s="298"/>
      <c r="AL64" s="298"/>
      <c r="AM64" s="298"/>
    </row>
    <row r="65" spans="1:39" ht="15.75" customHeight="1">
      <c r="A65" s="936">
        <v>69</v>
      </c>
      <c r="B65" s="293" t="s">
        <v>5922</v>
      </c>
      <c r="C65" s="275" t="s">
        <v>31</v>
      </c>
      <c r="D65" s="562" t="s">
        <v>5923</v>
      </c>
      <c r="E65" s="303" t="s">
        <v>5924</v>
      </c>
      <c r="F65" s="274" t="s">
        <v>759</v>
      </c>
      <c r="G65" s="303" t="s">
        <v>76</v>
      </c>
      <c r="H65" s="274" t="s">
        <v>266</v>
      </c>
      <c r="I65" s="275">
        <v>9002071064</v>
      </c>
      <c r="J65" s="275"/>
      <c r="K65" s="275" t="s">
        <v>261</v>
      </c>
      <c r="L65" s="274" t="s">
        <v>62</v>
      </c>
      <c r="M65" s="289">
        <v>31047</v>
      </c>
      <c r="N65" s="289">
        <v>52962</v>
      </c>
      <c r="O65" s="272">
        <v>45266</v>
      </c>
      <c r="P65" s="279">
        <v>45527</v>
      </c>
      <c r="Q65" s="915">
        <v>45453</v>
      </c>
      <c r="R65" s="79"/>
      <c r="S65" s="295"/>
      <c r="T65" s="296" t="s">
        <v>5925</v>
      </c>
      <c r="U65" s="296" t="s">
        <v>5926</v>
      </c>
      <c r="V65" s="297">
        <f t="shared" si="13"/>
        <v>11</v>
      </c>
      <c r="W65" s="208">
        <f t="shared" ca="1" si="9"/>
        <v>41</v>
      </c>
      <c r="X65" s="298"/>
      <c r="Y65" s="298"/>
      <c r="Z65" s="298"/>
      <c r="AA65" s="298"/>
      <c r="AB65" s="298"/>
      <c r="AC65" s="298"/>
      <c r="AD65" s="298"/>
      <c r="AE65" s="298"/>
      <c r="AF65" s="298"/>
      <c r="AG65" s="298"/>
      <c r="AH65" s="298"/>
      <c r="AI65" s="298"/>
      <c r="AJ65" s="298"/>
      <c r="AK65" s="298"/>
      <c r="AL65" s="298"/>
      <c r="AM65" s="298"/>
    </row>
    <row r="66" spans="1:39" ht="15.75" customHeight="1">
      <c r="A66" s="936">
        <v>70</v>
      </c>
      <c r="B66" s="293" t="s">
        <v>5927</v>
      </c>
      <c r="C66" s="275" t="s">
        <v>31</v>
      </c>
      <c r="D66" s="1466" t="s">
        <v>5928</v>
      </c>
      <c r="E66" s="274" t="s">
        <v>5929</v>
      </c>
      <c r="F66" s="686" t="s">
        <v>759</v>
      </c>
      <c r="G66" s="274" t="s">
        <v>77</v>
      </c>
      <c r="H66" s="274" t="s">
        <v>266</v>
      </c>
      <c r="I66" s="275">
        <v>9002071026</v>
      </c>
      <c r="J66" s="275">
        <v>9002071026</v>
      </c>
      <c r="K66" s="275" t="s">
        <v>261</v>
      </c>
      <c r="L66" s="274" t="s">
        <v>664</v>
      </c>
      <c r="M66" s="289">
        <v>27154</v>
      </c>
      <c r="N66" s="289">
        <v>49095</v>
      </c>
      <c r="O66" s="272">
        <v>45583</v>
      </c>
      <c r="P66" s="279">
        <v>45212</v>
      </c>
      <c r="Q66" s="302">
        <v>45177</v>
      </c>
      <c r="R66" s="294"/>
      <c r="S66" s="295"/>
      <c r="T66" s="494" t="s">
        <v>5930</v>
      </c>
      <c r="U66" s="494" t="s">
        <v>5931</v>
      </c>
      <c r="V66" s="298">
        <f t="shared" si="13"/>
        <v>11</v>
      </c>
      <c r="W66" s="208">
        <f t="shared" ca="1" si="9"/>
        <v>51</v>
      </c>
      <c r="X66" s="298"/>
    </row>
    <row r="67" spans="1:39" ht="15.75" customHeight="1">
      <c r="A67" s="936">
        <v>71</v>
      </c>
      <c r="B67" s="293" t="s">
        <v>5932</v>
      </c>
      <c r="C67" s="275" t="s">
        <v>31</v>
      </c>
      <c r="D67" s="562" t="s">
        <v>5933</v>
      </c>
      <c r="E67" s="274" t="s">
        <v>5934</v>
      </c>
      <c r="F67" s="274" t="s">
        <v>759</v>
      </c>
      <c r="G67" s="274" t="s">
        <v>77</v>
      </c>
      <c r="H67" s="274" t="s">
        <v>279</v>
      </c>
      <c r="I67" s="275">
        <v>9002079788</v>
      </c>
      <c r="J67" s="275">
        <v>9002079788</v>
      </c>
      <c r="K67" s="275" t="s">
        <v>261</v>
      </c>
      <c r="L67" s="284" t="s">
        <v>299</v>
      </c>
      <c r="M67" s="289">
        <v>26665</v>
      </c>
      <c r="N67" s="289">
        <v>48579</v>
      </c>
      <c r="O67" s="272">
        <v>45301</v>
      </c>
      <c r="P67" s="279">
        <v>45212</v>
      </c>
      <c r="Q67" s="279">
        <v>45108</v>
      </c>
      <c r="R67" s="294"/>
      <c r="S67" s="295"/>
      <c r="T67" s="296" t="s">
        <v>5935</v>
      </c>
      <c r="U67" s="296" t="s">
        <v>5936</v>
      </c>
      <c r="V67" s="297">
        <f t="shared" si="13"/>
        <v>11</v>
      </c>
      <c r="W67" s="208">
        <f t="shared" ca="1" si="9"/>
        <v>53</v>
      </c>
      <c r="X67" s="298"/>
    </row>
    <row r="68" spans="1:39" ht="15.75" customHeight="1">
      <c r="A68" s="936">
        <v>72</v>
      </c>
      <c r="B68" s="293" t="s">
        <v>5937</v>
      </c>
      <c r="C68" s="275" t="s">
        <v>31</v>
      </c>
      <c r="D68" s="1466" t="s">
        <v>5938</v>
      </c>
      <c r="E68" s="303" t="s">
        <v>5939</v>
      </c>
      <c r="F68" s="274" t="s">
        <v>759</v>
      </c>
      <c r="G68" s="303" t="s">
        <v>76</v>
      </c>
      <c r="H68" s="274" t="s">
        <v>279</v>
      </c>
      <c r="I68" s="275">
        <v>9002079003</v>
      </c>
      <c r="J68" s="284">
        <v>9002079003</v>
      </c>
      <c r="K68" s="275" t="s">
        <v>261</v>
      </c>
      <c r="L68" s="284" t="s">
        <v>256</v>
      </c>
      <c r="M68" s="272">
        <v>29621</v>
      </c>
      <c r="N68" s="289">
        <v>51560</v>
      </c>
      <c r="O68" s="272">
        <v>46008</v>
      </c>
      <c r="P68" s="272">
        <v>45501</v>
      </c>
      <c r="Q68" s="302">
        <v>45481</v>
      </c>
      <c r="R68" s="79"/>
      <c r="S68" s="295"/>
      <c r="T68" s="603" t="s">
        <v>5940</v>
      </c>
      <c r="U68" s="603" t="s">
        <v>5940</v>
      </c>
      <c r="V68" s="297">
        <f t="shared" si="13"/>
        <v>11</v>
      </c>
      <c r="W68" s="208">
        <f t="shared" ca="1" si="9"/>
        <v>45</v>
      </c>
      <c r="X68" s="298"/>
    </row>
    <row r="69" spans="1:39" ht="15.75" customHeight="1">
      <c r="A69" s="936">
        <v>73</v>
      </c>
      <c r="B69" s="293" t="s">
        <v>5941</v>
      </c>
      <c r="C69" s="275" t="s">
        <v>31</v>
      </c>
      <c r="D69" s="562" t="s">
        <v>5942</v>
      </c>
      <c r="E69" s="274" t="s">
        <v>5943</v>
      </c>
      <c r="F69" s="686" t="s">
        <v>759</v>
      </c>
      <c r="G69" s="274" t="s">
        <v>77</v>
      </c>
      <c r="H69" s="274" t="s">
        <v>279</v>
      </c>
      <c r="I69" s="275">
        <v>9002079792</v>
      </c>
      <c r="J69" s="284">
        <v>9002079792</v>
      </c>
      <c r="K69" s="275" t="s">
        <v>261</v>
      </c>
      <c r="L69" s="18" t="s">
        <v>55</v>
      </c>
      <c r="M69" s="289">
        <v>26505</v>
      </c>
      <c r="N69" s="289">
        <v>48426</v>
      </c>
      <c r="O69" s="272">
        <v>45120</v>
      </c>
      <c r="P69" s="272">
        <v>45807</v>
      </c>
      <c r="Q69" s="424">
        <v>45786</v>
      </c>
      <c r="R69" s="294"/>
      <c r="S69" s="295"/>
      <c r="T69" s="494" t="s">
        <v>5944</v>
      </c>
      <c r="U69" s="494" t="s">
        <v>5944</v>
      </c>
      <c r="V69" s="298">
        <f t="shared" si="13"/>
        <v>11</v>
      </c>
      <c r="W69" s="208">
        <f t="shared" ca="1" si="9"/>
        <v>53</v>
      </c>
      <c r="X69" s="298"/>
    </row>
    <row r="70" spans="1:39" ht="15.75" customHeight="1">
      <c r="A70" s="936">
        <v>74</v>
      </c>
      <c r="B70" s="293" t="s">
        <v>5945</v>
      </c>
      <c r="C70" s="275" t="s">
        <v>31</v>
      </c>
      <c r="D70" s="1448" t="s">
        <v>5946</v>
      </c>
      <c r="E70" s="274" t="s">
        <v>5947</v>
      </c>
      <c r="F70" s="18" t="s">
        <v>759</v>
      </c>
      <c r="G70" s="274" t="s">
        <v>76</v>
      </c>
      <c r="H70" s="274" t="s">
        <v>266</v>
      </c>
      <c r="I70" s="275">
        <v>9002079616</v>
      </c>
      <c r="J70" s="963"/>
      <c r="K70" s="275" t="s">
        <v>261</v>
      </c>
      <c r="L70" s="274" t="s">
        <v>56</v>
      </c>
      <c r="M70" s="272">
        <v>29999</v>
      </c>
      <c r="N70" s="272">
        <v>51925</v>
      </c>
      <c r="O70" s="272">
        <v>46061</v>
      </c>
      <c r="P70" s="272">
        <v>45305</v>
      </c>
      <c r="Q70" s="302">
        <v>45284</v>
      </c>
      <c r="R70" s="1134"/>
      <c r="S70" s="485"/>
      <c r="T70" s="310" t="s">
        <v>5948</v>
      </c>
      <c r="U70" s="309"/>
      <c r="V70" s="311">
        <f>LEN(D70)</f>
        <v>11</v>
      </c>
      <c r="W70" s="311"/>
      <c r="X70" s="208">
        <f ca="1">INT((TODAY()-M70)/365)</f>
        <v>44</v>
      </c>
      <c r="Y70" s="311"/>
      <c r="Z70" s="311"/>
      <c r="AA70" s="311"/>
      <c r="AB70" s="311"/>
      <c r="AC70" s="311"/>
      <c r="AD70" s="311"/>
      <c r="AE70" s="311"/>
      <c r="AF70" s="311"/>
      <c r="AG70" s="311"/>
      <c r="AH70" s="311"/>
      <c r="AI70" s="311"/>
      <c r="AJ70" s="311"/>
      <c r="AK70" s="311"/>
      <c r="AL70" s="311"/>
      <c r="AM70" s="311"/>
    </row>
    <row r="71" spans="1:39" ht="15.75" customHeight="1">
      <c r="A71" s="936">
        <v>75</v>
      </c>
      <c r="B71" s="293" t="s">
        <v>5949</v>
      </c>
      <c r="C71" s="275" t="s">
        <v>31</v>
      </c>
      <c r="D71" s="1912" t="s">
        <v>5950</v>
      </c>
      <c r="E71" s="303" t="s">
        <v>5951</v>
      </c>
      <c r="F71" s="686" t="s">
        <v>759</v>
      </c>
      <c r="G71" s="303" t="s">
        <v>76</v>
      </c>
      <c r="H71" s="274" t="s">
        <v>279</v>
      </c>
      <c r="I71" s="275">
        <v>8420320054</v>
      </c>
      <c r="J71" s="275">
        <v>8420320054</v>
      </c>
      <c r="K71" s="275" t="s">
        <v>261</v>
      </c>
      <c r="L71" s="398" t="s">
        <v>256</v>
      </c>
      <c r="M71" s="289">
        <v>32878</v>
      </c>
      <c r="N71" s="289">
        <v>54819</v>
      </c>
      <c r="O71" s="272">
        <v>46062</v>
      </c>
      <c r="P71" s="278">
        <v>45115</v>
      </c>
      <c r="Q71" s="272">
        <v>45145</v>
      </c>
      <c r="R71" s="79"/>
      <c r="S71" s="295"/>
      <c r="T71" s="296" t="s">
        <v>5952</v>
      </c>
      <c r="U71" s="603" t="s">
        <v>5953</v>
      </c>
      <c r="V71" s="297">
        <f>LEN(TEXT(D71,0))</f>
        <v>11</v>
      </c>
      <c r="W71" s="208">
        <f t="shared" ref="W71:W83" ca="1" si="14">INT((TODAY()-M71)/365)</f>
        <v>36</v>
      </c>
      <c r="X71" s="298"/>
    </row>
    <row r="72" spans="1:39" ht="15.75" customHeight="1">
      <c r="A72" s="936">
        <v>76</v>
      </c>
      <c r="B72" s="351" t="s">
        <v>5954</v>
      </c>
      <c r="C72" s="275" t="s">
        <v>31</v>
      </c>
      <c r="D72" s="1820" t="s">
        <v>5955</v>
      </c>
      <c r="E72" s="491" t="s">
        <v>5956</v>
      </c>
      <c r="F72" s="686" t="s">
        <v>759</v>
      </c>
      <c r="G72" s="274" t="s">
        <v>78</v>
      </c>
      <c r="H72" s="274" t="s">
        <v>266</v>
      </c>
      <c r="I72" s="275">
        <v>9002071358</v>
      </c>
      <c r="J72" s="284">
        <v>9002435743</v>
      </c>
      <c r="K72" s="275" t="s">
        <v>261</v>
      </c>
      <c r="L72" s="274" t="s">
        <v>44</v>
      </c>
      <c r="M72" s="272">
        <v>31599</v>
      </c>
      <c r="N72" s="272">
        <v>53539</v>
      </c>
      <c r="O72" s="277">
        <v>46250</v>
      </c>
      <c r="P72" s="272">
        <v>45776</v>
      </c>
      <c r="Q72" s="272">
        <v>45766</v>
      </c>
      <c r="R72" s="280"/>
      <c r="S72" s="280"/>
      <c r="T72" s="281" t="s">
        <v>5957</v>
      </c>
      <c r="U72" s="281" t="s">
        <v>5958</v>
      </c>
      <c r="V72" s="280">
        <f t="shared" ref="V72:V82" si="15">LEN(D72)</f>
        <v>11</v>
      </c>
      <c r="W72" s="208">
        <f t="shared" ca="1" si="14"/>
        <v>39</v>
      </c>
    </row>
    <row r="73" spans="1:39" ht="15.75" customHeight="1">
      <c r="A73" s="936">
        <v>77</v>
      </c>
      <c r="B73" s="351" t="s">
        <v>5959</v>
      </c>
      <c r="C73" s="275" t="s">
        <v>31</v>
      </c>
      <c r="D73" s="1820" t="s">
        <v>5960</v>
      </c>
      <c r="E73" s="491" t="s">
        <v>5961</v>
      </c>
      <c r="F73" s="18" t="s">
        <v>3258</v>
      </c>
      <c r="G73" s="274" t="s">
        <v>76</v>
      </c>
      <c r="H73" s="274" t="s">
        <v>266</v>
      </c>
      <c r="I73" s="275">
        <v>9002079687</v>
      </c>
      <c r="J73" s="275"/>
      <c r="K73" s="275" t="s">
        <v>261</v>
      </c>
      <c r="L73" s="284" t="s">
        <v>64</v>
      </c>
      <c r="M73" s="272">
        <v>31855</v>
      </c>
      <c r="N73" s="272">
        <v>53782</v>
      </c>
      <c r="O73" s="277">
        <v>45838</v>
      </c>
      <c r="P73" s="272">
        <v>45776</v>
      </c>
      <c r="Q73" s="272">
        <v>45766</v>
      </c>
      <c r="R73" s="281" t="s">
        <v>782</v>
      </c>
      <c r="S73" s="281" t="s">
        <v>782</v>
      </c>
      <c r="T73" s="281" t="s">
        <v>5962</v>
      </c>
      <c r="U73" s="281" t="s">
        <v>5963</v>
      </c>
      <c r="V73" s="280">
        <f t="shared" si="15"/>
        <v>11</v>
      </c>
      <c r="W73" s="208">
        <f t="shared" ca="1" si="14"/>
        <v>39</v>
      </c>
    </row>
    <row r="74" spans="1:39" ht="15.75" customHeight="1">
      <c r="A74" s="936">
        <v>78</v>
      </c>
      <c r="B74" s="351" t="s">
        <v>5964</v>
      </c>
      <c r="C74" s="275" t="s">
        <v>31</v>
      </c>
      <c r="D74" s="1820" t="s">
        <v>5965</v>
      </c>
      <c r="E74" s="491" t="s">
        <v>5966</v>
      </c>
      <c r="F74" s="274" t="s">
        <v>3258</v>
      </c>
      <c r="G74" s="274" t="s">
        <v>76</v>
      </c>
      <c r="H74" s="274" t="s">
        <v>266</v>
      </c>
      <c r="I74" s="275">
        <v>9002079768</v>
      </c>
      <c r="J74" s="275"/>
      <c r="K74" s="275" t="s">
        <v>261</v>
      </c>
      <c r="L74" s="274" t="s">
        <v>69</v>
      </c>
      <c r="M74" s="272">
        <v>31358</v>
      </c>
      <c r="N74" s="272">
        <v>53296</v>
      </c>
      <c r="O74" s="320">
        <v>45836</v>
      </c>
      <c r="P74" s="272">
        <v>45776</v>
      </c>
      <c r="Q74" s="272">
        <v>45766</v>
      </c>
      <c r="R74" s="281" t="s">
        <v>5967</v>
      </c>
      <c r="S74" s="280"/>
      <c r="T74" s="281" t="s">
        <v>5968</v>
      </c>
      <c r="U74" s="281" t="s">
        <v>5969</v>
      </c>
      <c r="V74" s="280">
        <f t="shared" si="15"/>
        <v>11</v>
      </c>
      <c r="W74" s="208">
        <f t="shared" ca="1" si="14"/>
        <v>40</v>
      </c>
    </row>
    <row r="75" spans="1:39" ht="15.75" customHeight="1">
      <c r="A75" s="936">
        <v>80</v>
      </c>
      <c r="B75" s="351" t="s">
        <v>5970</v>
      </c>
      <c r="C75" s="275" t="s">
        <v>31</v>
      </c>
      <c r="D75" s="1820" t="s">
        <v>5971</v>
      </c>
      <c r="E75" s="491" t="s">
        <v>5972</v>
      </c>
      <c r="F75" s="274" t="s">
        <v>759</v>
      </c>
      <c r="G75" s="274" t="s">
        <v>76</v>
      </c>
      <c r="H75" s="274" t="s">
        <v>266</v>
      </c>
      <c r="I75" s="275">
        <v>9002071056</v>
      </c>
      <c r="J75" s="275"/>
      <c r="K75" s="275" t="s">
        <v>261</v>
      </c>
      <c r="L75" s="274" t="s">
        <v>299</v>
      </c>
      <c r="M75" s="272">
        <v>32697</v>
      </c>
      <c r="N75" s="272">
        <v>54635</v>
      </c>
      <c r="O75" s="320">
        <v>46013</v>
      </c>
      <c r="P75" s="315">
        <v>45794</v>
      </c>
      <c r="Q75" s="272">
        <v>45842</v>
      </c>
      <c r="R75" s="280"/>
      <c r="S75" s="281" t="s">
        <v>5973</v>
      </c>
      <c r="T75" s="281" t="s">
        <v>5974</v>
      </c>
      <c r="U75" s="280"/>
      <c r="V75" s="280">
        <f t="shared" si="15"/>
        <v>11</v>
      </c>
      <c r="W75" s="208">
        <f t="shared" ca="1" si="14"/>
        <v>36</v>
      </c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</row>
    <row r="76" spans="1:39" ht="15.75" customHeight="1">
      <c r="A76" s="936">
        <v>81</v>
      </c>
      <c r="B76" s="399" t="s">
        <v>5975</v>
      </c>
      <c r="C76" s="275" t="s">
        <v>31</v>
      </c>
      <c r="D76" s="1918" t="s">
        <v>5976</v>
      </c>
      <c r="E76" s="491" t="s">
        <v>5977</v>
      </c>
      <c r="F76" s="900" t="s">
        <v>759</v>
      </c>
      <c r="G76" s="274" t="s">
        <v>76</v>
      </c>
      <c r="H76" s="274" t="s">
        <v>266</v>
      </c>
      <c r="I76" s="275">
        <v>9002071340</v>
      </c>
      <c r="J76" s="284">
        <v>8116771615</v>
      </c>
      <c r="K76" s="275" t="s">
        <v>261</v>
      </c>
      <c r="L76" s="274" t="s">
        <v>64</v>
      </c>
      <c r="M76" s="272">
        <v>31199</v>
      </c>
      <c r="N76" s="272">
        <v>53113</v>
      </c>
      <c r="O76" s="277">
        <v>45872</v>
      </c>
      <c r="P76" s="315">
        <v>45825</v>
      </c>
      <c r="Q76" s="272">
        <v>45842</v>
      </c>
      <c r="R76" s="280"/>
      <c r="S76" s="280"/>
      <c r="T76" s="281" t="s">
        <v>5978</v>
      </c>
      <c r="U76" s="281" t="s">
        <v>5979</v>
      </c>
      <c r="V76" s="280">
        <f t="shared" si="15"/>
        <v>11</v>
      </c>
      <c r="W76" s="208">
        <f t="shared" ca="1" si="14"/>
        <v>40</v>
      </c>
    </row>
    <row r="77" spans="1:39" ht="15.75" customHeight="1">
      <c r="A77" s="936">
        <v>82</v>
      </c>
      <c r="B77" s="399" t="s">
        <v>5980</v>
      </c>
      <c r="C77" s="275" t="s">
        <v>31</v>
      </c>
      <c r="D77" s="1919" t="s">
        <v>5981</v>
      </c>
      <c r="E77" s="491" t="s">
        <v>5982</v>
      </c>
      <c r="F77" s="900" t="s">
        <v>759</v>
      </c>
      <c r="G77" s="274" t="s">
        <v>76</v>
      </c>
      <c r="H77" s="274" t="s">
        <v>266</v>
      </c>
      <c r="I77" s="275">
        <v>9733567718</v>
      </c>
      <c r="J77" s="275"/>
      <c r="K77" s="275" t="s">
        <v>261</v>
      </c>
      <c r="L77" s="274" t="s">
        <v>62</v>
      </c>
      <c r="M77" s="272">
        <v>31274</v>
      </c>
      <c r="N77" s="272">
        <v>53205</v>
      </c>
      <c r="O77" s="320">
        <v>46075</v>
      </c>
      <c r="P77" s="315">
        <v>45825</v>
      </c>
      <c r="Q77" s="272">
        <v>45842</v>
      </c>
      <c r="R77" s="338"/>
      <c r="S77" s="280"/>
      <c r="T77" s="281" t="s">
        <v>5983</v>
      </c>
      <c r="U77" s="281" t="s">
        <v>5984</v>
      </c>
      <c r="V77" s="280">
        <f t="shared" si="15"/>
        <v>11</v>
      </c>
      <c r="W77" s="208">
        <f t="shared" ca="1" si="14"/>
        <v>40</v>
      </c>
    </row>
    <row r="78" spans="1:39" ht="15.75" customHeight="1">
      <c r="A78" s="936">
        <v>83</v>
      </c>
      <c r="B78" s="399" t="s">
        <v>5985</v>
      </c>
      <c r="C78" s="275" t="s">
        <v>31</v>
      </c>
      <c r="D78" s="1918" t="s">
        <v>5986</v>
      </c>
      <c r="E78" s="491" t="s">
        <v>5987</v>
      </c>
      <c r="F78" s="274" t="s">
        <v>759</v>
      </c>
      <c r="G78" s="274" t="s">
        <v>76</v>
      </c>
      <c r="H78" s="274" t="s">
        <v>266</v>
      </c>
      <c r="I78" s="275">
        <v>8250849796</v>
      </c>
      <c r="J78" s="275"/>
      <c r="K78" s="275" t="s">
        <v>261</v>
      </c>
      <c r="L78" s="274" t="s">
        <v>256</v>
      </c>
      <c r="M78" s="272">
        <v>30002</v>
      </c>
      <c r="N78" s="272">
        <v>51925</v>
      </c>
      <c r="O78" s="320">
        <v>46063</v>
      </c>
      <c r="P78" s="315">
        <v>45825</v>
      </c>
      <c r="Q78" s="272">
        <v>45842</v>
      </c>
      <c r="R78" s="338"/>
      <c r="S78" s="280"/>
      <c r="T78" s="281" t="s">
        <v>5988</v>
      </c>
      <c r="U78" s="281" t="s">
        <v>5989</v>
      </c>
      <c r="V78" s="280">
        <f t="shared" si="15"/>
        <v>11</v>
      </c>
      <c r="W78" s="208">
        <f t="shared" ca="1" si="14"/>
        <v>44</v>
      </c>
    </row>
    <row r="79" spans="1:39" ht="15.75" customHeight="1">
      <c r="A79" s="936">
        <v>84</v>
      </c>
      <c r="B79" s="351" t="s">
        <v>5990</v>
      </c>
      <c r="C79" s="275" t="s">
        <v>31</v>
      </c>
      <c r="D79" s="1918" t="s">
        <v>5991</v>
      </c>
      <c r="E79" s="1916" t="s">
        <v>5992</v>
      </c>
      <c r="F79" s="274" t="s">
        <v>759</v>
      </c>
      <c r="G79" s="274" t="s">
        <v>76</v>
      </c>
      <c r="H79" s="274" t="s">
        <v>266</v>
      </c>
      <c r="I79" s="275">
        <v>8910360433</v>
      </c>
      <c r="J79" s="275">
        <v>8910360433</v>
      </c>
      <c r="K79" s="275" t="s">
        <v>261</v>
      </c>
      <c r="L79" s="274" t="s">
        <v>44</v>
      </c>
      <c r="M79" s="272">
        <v>32523</v>
      </c>
      <c r="N79" s="272">
        <v>54454</v>
      </c>
      <c r="O79" s="320">
        <v>46062</v>
      </c>
      <c r="P79" s="272">
        <v>45268</v>
      </c>
      <c r="Q79" s="272">
        <v>45842</v>
      </c>
      <c r="R79" s="281" t="s">
        <v>5993</v>
      </c>
      <c r="S79" s="281" t="s">
        <v>5994</v>
      </c>
      <c r="T79" s="281" t="s">
        <v>5995</v>
      </c>
      <c r="U79" s="281" t="s">
        <v>5996</v>
      </c>
      <c r="V79" s="280">
        <f t="shared" si="15"/>
        <v>11</v>
      </c>
      <c r="W79" s="208">
        <f t="shared" ca="1" si="14"/>
        <v>37</v>
      </c>
    </row>
    <row r="80" spans="1:39" ht="15.75" customHeight="1">
      <c r="A80" s="936">
        <v>85</v>
      </c>
      <c r="B80" s="351" t="s">
        <v>5997</v>
      </c>
      <c r="C80" s="275" t="s">
        <v>31</v>
      </c>
      <c r="D80" s="1820" t="s">
        <v>5998</v>
      </c>
      <c r="E80" s="491" t="s">
        <v>5999</v>
      </c>
      <c r="F80" s="686" t="s">
        <v>759</v>
      </c>
      <c r="G80" s="274" t="s">
        <v>76</v>
      </c>
      <c r="H80" s="274" t="s">
        <v>266</v>
      </c>
      <c r="I80" s="275">
        <v>7004595561</v>
      </c>
      <c r="J80" s="275"/>
      <c r="K80" s="275" t="s">
        <v>261</v>
      </c>
      <c r="L80" s="398" t="s">
        <v>256</v>
      </c>
      <c r="M80" s="272">
        <v>32540</v>
      </c>
      <c r="N80" s="272">
        <v>54454</v>
      </c>
      <c r="O80" s="320">
        <v>46074</v>
      </c>
      <c r="P80" s="315">
        <v>45825</v>
      </c>
      <c r="Q80" s="272">
        <v>45842</v>
      </c>
      <c r="R80" s="280"/>
      <c r="S80" s="280"/>
      <c r="T80" s="281" t="s">
        <v>6000</v>
      </c>
      <c r="U80" s="281" t="s">
        <v>6001</v>
      </c>
      <c r="V80" s="280">
        <f t="shared" si="15"/>
        <v>11</v>
      </c>
      <c r="W80" s="208">
        <f t="shared" ca="1" si="14"/>
        <v>37</v>
      </c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</row>
    <row r="81" spans="1:39" ht="15.75" customHeight="1">
      <c r="A81" s="936">
        <v>86</v>
      </c>
      <c r="B81" s="399" t="s">
        <v>6002</v>
      </c>
      <c r="C81" s="275" t="s">
        <v>31</v>
      </c>
      <c r="D81" s="1918" t="s">
        <v>6003</v>
      </c>
      <c r="E81" s="491" t="s">
        <v>6004</v>
      </c>
      <c r="F81" s="900" t="s">
        <v>759</v>
      </c>
      <c r="G81" s="274" t="s">
        <v>76</v>
      </c>
      <c r="H81" s="274" t="s">
        <v>266</v>
      </c>
      <c r="I81" s="275">
        <v>6289726674</v>
      </c>
      <c r="J81" s="284">
        <v>7450833403</v>
      </c>
      <c r="K81" s="275" t="s">
        <v>261</v>
      </c>
      <c r="L81" s="656" t="s">
        <v>256</v>
      </c>
      <c r="M81" s="272">
        <v>31361</v>
      </c>
      <c r="N81" s="272">
        <v>53296</v>
      </c>
      <c r="O81" s="320">
        <v>46067</v>
      </c>
      <c r="P81" s="272">
        <v>45268</v>
      </c>
      <c r="Q81" s="272">
        <v>45842</v>
      </c>
      <c r="R81" s="280"/>
      <c r="S81" s="280"/>
      <c r="T81" s="281" t="s">
        <v>6005</v>
      </c>
      <c r="U81" s="281" t="s">
        <v>6006</v>
      </c>
      <c r="V81" s="280">
        <f t="shared" si="15"/>
        <v>11</v>
      </c>
      <c r="W81" s="208">
        <f t="shared" ca="1" si="14"/>
        <v>40</v>
      </c>
    </row>
    <row r="82" spans="1:39">
      <c r="A82" s="936">
        <v>87</v>
      </c>
      <c r="B82" s="351" t="s">
        <v>6007</v>
      </c>
      <c r="C82" s="1301" t="s">
        <v>31</v>
      </c>
      <c r="D82" s="1820" t="s">
        <v>6008</v>
      </c>
      <c r="E82" s="491" t="s">
        <v>6009</v>
      </c>
      <c r="F82" s="274" t="s">
        <v>759</v>
      </c>
      <c r="G82" s="274" t="s">
        <v>76</v>
      </c>
      <c r="H82" s="274" t="s">
        <v>266</v>
      </c>
      <c r="I82" s="275">
        <v>6291682607</v>
      </c>
      <c r="J82" s="3"/>
      <c r="K82" s="275" t="s">
        <v>261</v>
      </c>
      <c r="L82" s="274" t="s">
        <v>55</v>
      </c>
      <c r="M82" s="272">
        <v>31588</v>
      </c>
      <c r="N82" s="272">
        <v>53508</v>
      </c>
      <c r="O82" s="320">
        <v>46060</v>
      </c>
      <c r="P82" s="279">
        <v>45337</v>
      </c>
      <c r="Q82" s="302">
        <v>45284</v>
      </c>
      <c r="R82" s="280"/>
      <c r="S82" s="280"/>
      <c r="T82" s="281" t="s">
        <v>6010</v>
      </c>
      <c r="U82" s="281" t="s">
        <v>6011</v>
      </c>
      <c r="V82" s="280">
        <f t="shared" si="15"/>
        <v>11</v>
      </c>
      <c r="W82" s="208">
        <f t="shared" ca="1" si="14"/>
        <v>39</v>
      </c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</row>
    <row r="83" spans="1:39" ht="15.75" customHeight="1">
      <c r="A83" s="936">
        <v>88</v>
      </c>
      <c r="B83" s="351" t="s">
        <v>6012</v>
      </c>
      <c r="C83" s="1301" t="s">
        <v>31</v>
      </c>
      <c r="D83" s="564" t="s">
        <v>6013</v>
      </c>
      <c r="E83" s="1916" t="s">
        <v>6014</v>
      </c>
      <c r="F83" s="900" t="s">
        <v>759</v>
      </c>
      <c r="G83" s="303" t="s">
        <v>76</v>
      </c>
      <c r="H83" s="274" t="s">
        <v>266</v>
      </c>
      <c r="I83" s="284">
        <v>9002079067</v>
      </c>
      <c r="J83" s="284">
        <v>9002079067</v>
      </c>
      <c r="K83" s="275" t="s">
        <v>261</v>
      </c>
      <c r="L83" s="656" t="s">
        <v>256</v>
      </c>
      <c r="M83" s="289">
        <v>32786</v>
      </c>
      <c r="N83" s="289">
        <v>54727</v>
      </c>
      <c r="O83" s="1267">
        <v>45199</v>
      </c>
      <c r="P83" s="272">
        <v>45131</v>
      </c>
      <c r="Q83" s="272">
        <v>45127</v>
      </c>
      <c r="R83" s="393"/>
      <c r="S83" s="394" t="s">
        <v>6015</v>
      </c>
      <c r="T83" s="393"/>
      <c r="U83" s="393"/>
      <c r="V83" s="393">
        <f>LEN(TEXT(D83,0))</f>
        <v>11</v>
      </c>
      <c r="W83" s="208">
        <f t="shared" ca="1" si="14"/>
        <v>36</v>
      </c>
      <c r="X83" s="384"/>
      <c r="Y83" s="384"/>
      <c r="Z83" s="384"/>
      <c r="AA83" s="384"/>
      <c r="AB83" s="384"/>
      <c r="AC83" s="384"/>
      <c r="AD83" s="384"/>
      <c r="AE83" s="384"/>
      <c r="AF83" s="384"/>
      <c r="AG83" s="384"/>
      <c r="AH83" s="384"/>
      <c r="AI83" s="384"/>
      <c r="AJ83" s="384"/>
      <c r="AK83" s="384"/>
      <c r="AL83" s="384"/>
      <c r="AM83" s="384"/>
    </row>
    <row r="84" spans="1:39" ht="15.75" customHeight="1">
      <c r="A84" s="936">
        <v>89</v>
      </c>
      <c r="B84" s="293" t="s">
        <v>6016</v>
      </c>
      <c r="C84" s="1301" t="s">
        <v>31</v>
      </c>
      <c r="D84" s="1448" t="s">
        <v>6017</v>
      </c>
      <c r="E84" s="303" t="s">
        <v>6018</v>
      </c>
      <c r="F84" s="18" t="s">
        <v>759</v>
      </c>
      <c r="G84" s="303" t="s">
        <v>76</v>
      </c>
      <c r="H84" s="274" t="s">
        <v>266</v>
      </c>
      <c r="I84" s="275">
        <v>9002071764</v>
      </c>
      <c r="J84" s="284">
        <v>9002071764</v>
      </c>
      <c r="K84" s="275" t="s">
        <v>261</v>
      </c>
      <c r="L84" s="1362" t="s">
        <v>64</v>
      </c>
      <c r="M84" s="272">
        <v>26679</v>
      </c>
      <c r="N84" s="272">
        <v>48610</v>
      </c>
      <c r="O84" s="272">
        <v>45308</v>
      </c>
      <c r="P84" s="279">
        <v>45131</v>
      </c>
      <c r="Q84" s="1920">
        <v>45127</v>
      </c>
      <c r="R84" s="862"/>
      <c r="S84" s="429" t="s">
        <v>6019</v>
      </c>
      <c r="T84" s="310" t="s">
        <v>6020</v>
      </c>
      <c r="U84" s="1892" t="s">
        <v>6021</v>
      </c>
      <c r="V84" s="311">
        <f t="shared" ref="V84:V85" si="16">LEN(D84)</f>
        <v>11</v>
      </c>
      <c r="W84" s="311"/>
      <c r="X84" s="208">
        <f ca="1">INT((TODAY()-M84)/365)</f>
        <v>53</v>
      </c>
      <c r="Y84" s="311"/>
      <c r="Z84" s="311"/>
      <c r="AA84" s="311"/>
      <c r="AB84" s="311"/>
      <c r="AC84" s="311"/>
      <c r="AD84" s="311"/>
      <c r="AE84" s="311"/>
      <c r="AF84" s="311"/>
      <c r="AG84" s="311"/>
      <c r="AH84" s="311"/>
      <c r="AI84" s="311"/>
      <c r="AJ84" s="311"/>
      <c r="AK84" s="311"/>
      <c r="AL84" s="311"/>
      <c r="AM84" s="311"/>
    </row>
    <row r="85" spans="1:39" ht="15.75" customHeight="1">
      <c r="A85" s="936">
        <v>90</v>
      </c>
      <c r="B85" s="1461" t="s">
        <v>930</v>
      </c>
      <c r="C85" s="1301" t="s">
        <v>31</v>
      </c>
      <c r="D85" s="1458" t="s">
        <v>6022</v>
      </c>
      <c r="E85" s="1828" t="s">
        <v>6023</v>
      </c>
      <c r="F85" s="900" t="s">
        <v>759</v>
      </c>
      <c r="G85" s="875" t="s">
        <v>78</v>
      </c>
      <c r="H85" s="274" t="s">
        <v>266</v>
      </c>
      <c r="I85" s="307">
        <v>6202243771</v>
      </c>
      <c r="J85" s="307"/>
      <c r="K85" s="275" t="s">
        <v>261</v>
      </c>
      <c r="L85" s="125" t="s">
        <v>67</v>
      </c>
      <c r="M85" s="315">
        <v>32493</v>
      </c>
      <c r="N85" s="315">
        <v>54423</v>
      </c>
      <c r="O85" s="315">
        <v>45908</v>
      </c>
      <c r="P85" s="279">
        <v>45337</v>
      </c>
      <c r="Q85" s="272">
        <v>45258</v>
      </c>
      <c r="R85" s="280"/>
      <c r="S85" s="318" t="s">
        <v>1538</v>
      </c>
      <c r="T85" s="318" t="s">
        <v>6024</v>
      </c>
      <c r="U85" s="317"/>
      <c r="V85" s="285">
        <f t="shared" si="16"/>
        <v>11</v>
      </c>
      <c r="W85" s="208">
        <f t="shared" ref="W85:W86" ca="1" si="17">INT((TODAY()-M85)/365)</f>
        <v>37</v>
      </c>
      <c r="X85" s="90"/>
    </row>
    <row r="86" spans="1:39" ht="15.75" customHeight="1">
      <c r="A86" s="936">
        <v>91</v>
      </c>
      <c r="B86" s="1097" t="s">
        <v>6025</v>
      </c>
      <c r="C86" s="1301" t="s">
        <v>31</v>
      </c>
      <c r="D86" s="564" t="s">
        <v>6026</v>
      </c>
      <c r="E86" s="491" t="s">
        <v>6027</v>
      </c>
      <c r="F86" s="900" t="s">
        <v>759</v>
      </c>
      <c r="G86" s="303" t="s">
        <v>76</v>
      </c>
      <c r="H86" s="274" t="s">
        <v>266</v>
      </c>
      <c r="I86" s="275">
        <v>9733940998</v>
      </c>
      <c r="J86" s="275"/>
      <c r="K86" s="275" t="s">
        <v>261</v>
      </c>
      <c r="L86" s="656" t="s">
        <v>256</v>
      </c>
      <c r="M86" s="289">
        <v>30469</v>
      </c>
      <c r="N86" s="289">
        <v>52290</v>
      </c>
      <c r="O86" s="272">
        <v>46074</v>
      </c>
      <c r="P86" s="272">
        <v>45305</v>
      </c>
      <c r="Q86" s="272">
        <v>45258</v>
      </c>
      <c r="R86" s="294"/>
      <c r="S86" s="295"/>
      <c r="T86" s="296" t="s">
        <v>6028</v>
      </c>
      <c r="U86" s="295"/>
      <c r="V86" s="295">
        <f>LEN(TEXT(D86,0))</f>
        <v>11</v>
      </c>
      <c r="W86" s="208">
        <f t="shared" ca="1" si="17"/>
        <v>42</v>
      </c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  <c r="AH86" s="298"/>
      <c r="AI86" s="298"/>
      <c r="AJ86" s="298"/>
      <c r="AK86" s="298"/>
      <c r="AL86" s="298"/>
      <c r="AM86" s="298"/>
    </row>
    <row r="87" spans="1:39" ht="15.75" customHeight="1">
      <c r="A87" s="936">
        <v>92</v>
      </c>
      <c r="B87" s="293" t="s">
        <v>6029</v>
      </c>
      <c r="C87" s="1301" t="s">
        <v>31</v>
      </c>
      <c r="D87" s="562" t="s">
        <v>6030</v>
      </c>
      <c r="E87" s="303" t="s">
        <v>6031</v>
      </c>
      <c r="F87" s="18" t="s">
        <v>759</v>
      </c>
      <c r="G87" s="303" t="s">
        <v>76</v>
      </c>
      <c r="H87" s="274" t="s">
        <v>266</v>
      </c>
      <c r="I87" s="275">
        <v>7001475155</v>
      </c>
      <c r="J87" s="284">
        <v>9734219295</v>
      </c>
      <c r="K87" s="275" t="s">
        <v>261</v>
      </c>
      <c r="L87" s="502" t="s">
        <v>56</v>
      </c>
      <c r="M87" s="272">
        <v>32559</v>
      </c>
      <c r="N87" s="272">
        <v>54482</v>
      </c>
      <c r="O87" s="272">
        <v>46082</v>
      </c>
      <c r="P87" s="279">
        <v>45337</v>
      </c>
      <c r="Q87" s="387">
        <v>45284</v>
      </c>
      <c r="R87" s="377" t="s">
        <v>6032</v>
      </c>
      <c r="S87" s="310" t="s">
        <v>782</v>
      </c>
      <c r="T87" s="310" t="s">
        <v>6033</v>
      </c>
      <c r="U87" s="309"/>
      <c r="V87" s="311">
        <f>LEN(D87)</f>
        <v>11</v>
      </c>
      <c r="W87" s="311"/>
      <c r="X87" s="208">
        <f ca="1">INT((TODAY()-M87)/365)</f>
        <v>37</v>
      </c>
      <c r="Y87" s="311"/>
      <c r="Z87" s="311"/>
      <c r="AA87" s="311"/>
      <c r="AB87" s="311"/>
      <c r="AC87" s="311"/>
      <c r="AD87" s="311"/>
      <c r="AE87" s="311"/>
      <c r="AF87" s="311"/>
      <c r="AG87" s="311"/>
      <c r="AH87" s="311"/>
      <c r="AI87" s="311"/>
      <c r="AJ87" s="311"/>
      <c r="AK87" s="311"/>
      <c r="AL87" s="311"/>
      <c r="AM87" s="311"/>
    </row>
    <row r="88" spans="1:39" ht="15.75" customHeight="1">
      <c r="A88" s="936">
        <v>93</v>
      </c>
      <c r="B88" s="293" t="s">
        <v>6034</v>
      </c>
      <c r="C88" s="1301" t="s">
        <v>31</v>
      </c>
      <c r="D88" s="1921" t="s">
        <v>6035</v>
      </c>
      <c r="E88" s="1564" t="s">
        <v>6036</v>
      </c>
      <c r="F88" s="274" t="s">
        <v>759</v>
      </c>
      <c r="G88" s="274" t="s">
        <v>77</v>
      </c>
      <c r="H88" s="274" t="s">
        <v>266</v>
      </c>
      <c r="I88" s="275">
        <v>7044121986</v>
      </c>
      <c r="J88" s="284">
        <v>7044121986</v>
      </c>
      <c r="K88" s="275" t="s">
        <v>261</v>
      </c>
      <c r="L88" s="274" t="s">
        <v>44</v>
      </c>
      <c r="M88" s="289">
        <v>28941</v>
      </c>
      <c r="N88" s="289">
        <v>50860</v>
      </c>
      <c r="O88" s="289">
        <v>45567</v>
      </c>
      <c r="P88" s="272">
        <v>45305</v>
      </c>
      <c r="Q88" s="272">
        <v>45258</v>
      </c>
      <c r="R88" s="294"/>
      <c r="S88" s="296" t="s">
        <v>6037</v>
      </c>
      <c r="T88" s="296" t="s">
        <v>6038</v>
      </c>
      <c r="U88" s="296" t="s">
        <v>6039</v>
      </c>
      <c r="V88" s="295">
        <f t="shared" ref="V88:V89" si="18">LEN(TEXT(D88,0))</f>
        <v>11</v>
      </c>
      <c r="W88" s="208">
        <f t="shared" ref="W88:W89" ca="1" si="19">INT((TODAY()-M88)/365)</f>
        <v>47</v>
      </c>
      <c r="X88" s="297"/>
      <c r="Y88" s="297"/>
      <c r="Z88" s="297"/>
      <c r="AA88" s="297"/>
      <c r="AB88" s="297"/>
      <c r="AC88" s="297"/>
      <c r="AD88" s="297"/>
      <c r="AE88" s="297"/>
      <c r="AF88" s="297"/>
      <c r="AG88" s="297"/>
      <c r="AH88" s="297"/>
      <c r="AI88" s="298"/>
      <c r="AJ88" s="298"/>
      <c r="AK88" s="298"/>
      <c r="AL88" s="298"/>
      <c r="AM88" s="298"/>
    </row>
    <row r="89" spans="1:39" ht="15.75" customHeight="1">
      <c r="A89" s="936">
        <v>94</v>
      </c>
      <c r="B89" s="301" t="s">
        <v>6040</v>
      </c>
      <c r="C89" s="284" t="s">
        <v>31</v>
      </c>
      <c r="D89" s="1822" t="s">
        <v>6041</v>
      </c>
      <c r="E89" s="565" t="s">
        <v>6042</v>
      </c>
      <c r="F89" s="274" t="s">
        <v>759</v>
      </c>
      <c r="G89" s="284" t="s">
        <v>77</v>
      </c>
      <c r="H89" s="274" t="s">
        <v>266</v>
      </c>
      <c r="I89" s="391">
        <v>9831942490</v>
      </c>
      <c r="J89" s="3"/>
      <c r="K89" s="275" t="s">
        <v>261</v>
      </c>
      <c r="L89" s="274" t="s">
        <v>64</v>
      </c>
      <c r="M89" s="289">
        <v>29464</v>
      </c>
      <c r="N89" s="289">
        <v>51379</v>
      </c>
      <c r="O89" s="1267">
        <v>45277</v>
      </c>
      <c r="P89" s="279">
        <v>45337</v>
      </c>
      <c r="Q89" s="302">
        <v>45316</v>
      </c>
      <c r="R89" s="393"/>
      <c r="S89" s="393"/>
      <c r="T89" s="394" t="s">
        <v>6043</v>
      </c>
      <c r="U89" s="393"/>
      <c r="V89" s="393">
        <f t="shared" si="18"/>
        <v>11</v>
      </c>
      <c r="W89" s="208">
        <f t="shared" ca="1" si="19"/>
        <v>45</v>
      </c>
      <c r="X89" s="383"/>
      <c r="Y89" s="395"/>
      <c r="Z89" s="79"/>
      <c r="AA89" s="383"/>
      <c r="AB89" s="282">
        <f t="shared" ref="AB89:AB91" ca="1" si="20">INT((TODAY()-M89)/365)</f>
        <v>45</v>
      </c>
      <c r="AC89" s="383"/>
      <c r="AD89" s="383"/>
      <c r="AE89" s="383"/>
      <c r="AF89" s="383"/>
      <c r="AG89" s="383"/>
      <c r="AH89" s="383"/>
      <c r="AI89" s="384"/>
      <c r="AJ89" s="384"/>
      <c r="AK89" s="384"/>
      <c r="AL89" s="384"/>
      <c r="AM89" s="384"/>
    </row>
    <row r="90" spans="1:39" ht="15.75" customHeight="1">
      <c r="A90" s="936">
        <v>95</v>
      </c>
      <c r="B90" s="1145" t="s">
        <v>6044</v>
      </c>
      <c r="C90" s="303" t="s">
        <v>31</v>
      </c>
      <c r="D90" s="1458" t="s">
        <v>6045</v>
      </c>
      <c r="E90" s="1826" t="s">
        <v>6046</v>
      </c>
      <c r="F90" s="18" t="s">
        <v>3258</v>
      </c>
      <c r="G90" s="875" t="s">
        <v>76</v>
      </c>
      <c r="H90" s="274" t="s">
        <v>266</v>
      </c>
      <c r="I90" s="703">
        <v>9874473522</v>
      </c>
      <c r="J90" s="703">
        <v>9874473522</v>
      </c>
      <c r="K90" s="275" t="s">
        <v>261</v>
      </c>
      <c r="L90" s="398" t="s">
        <v>56</v>
      </c>
      <c r="M90" s="278">
        <v>31534</v>
      </c>
      <c r="N90" s="315">
        <v>53478</v>
      </c>
      <c r="O90" s="315">
        <v>45977</v>
      </c>
      <c r="P90" s="279">
        <v>45397</v>
      </c>
      <c r="Q90" s="302">
        <v>45369</v>
      </c>
      <c r="R90" s="280"/>
      <c r="S90" s="318" t="s">
        <v>1538</v>
      </c>
      <c r="T90" s="318" t="s">
        <v>6047</v>
      </c>
      <c r="U90" s="317"/>
      <c r="V90" s="285">
        <f t="shared" ref="V90:V92" si="21">LEN(D90)</f>
        <v>11</v>
      </c>
      <c r="W90" s="90"/>
      <c r="X90" s="208">
        <f ca="1">INT((TODAY()-M90)/365)</f>
        <v>39</v>
      </c>
      <c r="Y90" s="199"/>
      <c r="Z90" s="199"/>
      <c r="AA90" s="199"/>
      <c r="AB90" s="311">
        <f t="shared" ca="1" si="20"/>
        <v>39</v>
      </c>
    </row>
    <row r="91" spans="1:39" ht="15.75" customHeight="1">
      <c r="A91" s="936">
        <v>96</v>
      </c>
      <c r="B91" s="1461" t="s">
        <v>6048</v>
      </c>
      <c r="C91" s="303" t="s">
        <v>31</v>
      </c>
      <c r="D91" s="1458" t="s">
        <v>6049</v>
      </c>
      <c r="E91" s="1828" t="s">
        <v>6050</v>
      </c>
      <c r="F91" s="1007" t="s">
        <v>3258</v>
      </c>
      <c r="G91" s="875" t="s">
        <v>76</v>
      </c>
      <c r="H91" s="274" t="s">
        <v>266</v>
      </c>
      <c r="I91" s="307">
        <v>9831694708</v>
      </c>
      <c r="J91" s="307">
        <v>9831694708</v>
      </c>
      <c r="K91" s="275" t="s">
        <v>261</v>
      </c>
      <c r="L91" s="303" t="s">
        <v>299</v>
      </c>
      <c r="M91" s="278">
        <v>33444</v>
      </c>
      <c r="N91" s="315">
        <v>55365</v>
      </c>
      <c r="O91" s="278">
        <v>46089</v>
      </c>
      <c r="P91" s="278">
        <v>45499</v>
      </c>
      <c r="Q91" s="316">
        <v>45412</v>
      </c>
      <c r="R91" s="280"/>
      <c r="S91" s="318" t="s">
        <v>6051</v>
      </c>
      <c r="T91" s="318" t="s">
        <v>6052</v>
      </c>
      <c r="U91" s="280"/>
      <c r="V91" s="285">
        <f t="shared" si="21"/>
        <v>11</v>
      </c>
      <c r="W91" s="208">
        <f ca="1">INT((TODAY()-M91)/365)</f>
        <v>34</v>
      </c>
      <c r="X91" s="90"/>
      <c r="Y91" s="298"/>
      <c r="Z91" s="298"/>
      <c r="AA91" s="298"/>
      <c r="AB91" s="311">
        <f t="shared" ca="1" si="20"/>
        <v>34</v>
      </c>
      <c r="AC91" s="384"/>
      <c r="AD91" s="384"/>
      <c r="AE91" s="384"/>
      <c r="AF91" s="384"/>
      <c r="AG91" s="384"/>
      <c r="AH91" s="384"/>
      <c r="AI91" s="384"/>
      <c r="AJ91" s="384"/>
      <c r="AK91" s="384"/>
      <c r="AL91" s="384"/>
      <c r="AM91" s="384"/>
    </row>
    <row r="92" spans="1:39" ht="15.75" customHeight="1">
      <c r="A92" s="936">
        <v>97</v>
      </c>
      <c r="B92" s="293" t="s">
        <v>6053</v>
      </c>
      <c r="C92" s="303" t="s">
        <v>31</v>
      </c>
      <c r="D92" s="562" t="s">
        <v>6054</v>
      </c>
      <c r="E92" s="303" t="s">
        <v>6055</v>
      </c>
      <c r="F92" s="274" t="s">
        <v>759</v>
      </c>
      <c r="G92" s="303" t="s">
        <v>76</v>
      </c>
      <c r="H92" s="274" t="s">
        <v>266</v>
      </c>
      <c r="I92" s="275">
        <v>8820237983</v>
      </c>
      <c r="J92" s="284">
        <v>8820237983</v>
      </c>
      <c r="K92" s="275" t="s">
        <v>261</v>
      </c>
      <c r="L92" s="274" t="s">
        <v>256</v>
      </c>
      <c r="M92" s="272">
        <v>30114</v>
      </c>
      <c r="N92" s="272">
        <v>52047</v>
      </c>
      <c r="O92" s="272">
        <v>46007</v>
      </c>
      <c r="P92" s="678">
        <v>45499</v>
      </c>
      <c r="Q92" s="419">
        <v>45385</v>
      </c>
      <c r="R92" s="862"/>
      <c r="S92" s="309"/>
      <c r="T92" s="310" t="s">
        <v>6056</v>
      </c>
      <c r="U92" s="310" t="s">
        <v>6057</v>
      </c>
      <c r="V92" s="309">
        <f t="shared" si="21"/>
        <v>11</v>
      </c>
      <c r="W92" s="311"/>
      <c r="X92" s="208">
        <f ca="1">INT((TODAY()-M92)/365)</f>
        <v>43</v>
      </c>
      <c r="Y92" s="90"/>
    </row>
    <row r="93" spans="1:39" ht="15.75" customHeight="1">
      <c r="A93" s="936">
        <v>98</v>
      </c>
      <c r="B93" s="293" t="s">
        <v>6058</v>
      </c>
      <c r="C93" s="274" t="s">
        <v>31</v>
      </c>
      <c r="D93" s="564" t="s">
        <v>6059</v>
      </c>
      <c r="E93" s="1845" t="s">
        <v>6060</v>
      </c>
      <c r="F93" s="274" t="s">
        <v>759</v>
      </c>
      <c r="G93" s="284" t="s">
        <v>76</v>
      </c>
      <c r="H93" s="274" t="s">
        <v>266</v>
      </c>
      <c r="I93" s="275">
        <v>7003053290</v>
      </c>
      <c r="J93" s="275">
        <v>7003053290</v>
      </c>
      <c r="K93" s="275" t="s">
        <v>261</v>
      </c>
      <c r="L93" s="274" t="s">
        <v>43</v>
      </c>
      <c r="M93" s="289">
        <v>32526</v>
      </c>
      <c r="N93" s="289">
        <v>54454</v>
      </c>
      <c r="O93" s="272">
        <v>46091</v>
      </c>
      <c r="P93" s="272">
        <v>45375</v>
      </c>
      <c r="Q93" s="302">
        <v>45316</v>
      </c>
      <c r="R93" s="294"/>
      <c r="S93" s="295"/>
      <c r="T93" s="296" t="s">
        <v>6061</v>
      </c>
      <c r="U93" s="296" t="s">
        <v>6062</v>
      </c>
      <c r="V93" s="295">
        <f>LEN(TEXT(D93,0))</f>
        <v>11</v>
      </c>
      <c r="W93" s="208">
        <f t="shared" ref="W93:W95" ca="1" si="22">INT((TODAY()-M93)/365)</f>
        <v>37</v>
      </c>
      <c r="X93" s="298"/>
      <c r="Y93" s="298"/>
      <c r="Z93" s="298"/>
      <c r="AA93" s="298"/>
      <c r="AB93" s="208">
        <f t="shared" ref="AB93:AB94" ca="1" si="23">INT((TODAY()-M93)/365)</f>
        <v>37</v>
      </c>
    </row>
    <row r="94" spans="1:39" ht="15.75" customHeight="1">
      <c r="A94" s="936">
        <v>99</v>
      </c>
      <c r="B94" s="276" t="s">
        <v>6063</v>
      </c>
      <c r="C94" s="303" t="s">
        <v>31</v>
      </c>
      <c r="D94" s="1523" t="s">
        <v>6064</v>
      </c>
      <c r="E94" s="1826" t="s">
        <v>6065</v>
      </c>
      <c r="F94" s="274" t="s">
        <v>759</v>
      </c>
      <c r="G94" s="875" t="s">
        <v>77</v>
      </c>
      <c r="H94" s="274" t="s">
        <v>266</v>
      </c>
      <c r="I94" s="307">
        <v>8910402876</v>
      </c>
      <c r="J94" s="703">
        <v>8910402876</v>
      </c>
      <c r="K94" s="275" t="s">
        <v>261</v>
      </c>
      <c r="L94" s="303" t="s">
        <v>299</v>
      </c>
      <c r="M94" s="921">
        <v>29221</v>
      </c>
      <c r="N94" s="315">
        <v>51166</v>
      </c>
      <c r="O94" s="278">
        <v>45658</v>
      </c>
      <c r="P94" s="315">
        <v>45074</v>
      </c>
      <c r="Q94" s="302">
        <v>45232</v>
      </c>
      <c r="R94" s="285"/>
      <c r="S94" s="317"/>
      <c r="T94" s="318" t="s">
        <v>6066</v>
      </c>
      <c r="U94" s="318" t="s">
        <v>6067</v>
      </c>
      <c r="V94" s="285">
        <f>LEN(D94)</f>
        <v>11</v>
      </c>
      <c r="W94" s="208">
        <f t="shared" ca="1" si="22"/>
        <v>46</v>
      </c>
      <c r="X94" s="90"/>
      <c r="Y94" s="90"/>
      <c r="AB94" s="311">
        <f t="shared" ca="1" si="23"/>
        <v>46</v>
      </c>
      <c r="AC94" s="311"/>
      <c r="AD94" s="311"/>
      <c r="AE94" s="311"/>
      <c r="AF94" s="311"/>
      <c r="AG94" s="311"/>
      <c r="AH94" s="311"/>
      <c r="AI94" s="311"/>
      <c r="AJ94" s="311"/>
      <c r="AK94" s="311"/>
      <c r="AL94" s="311"/>
      <c r="AM94" s="311"/>
    </row>
    <row r="95" spans="1:39" ht="15.75" customHeight="1">
      <c r="A95" s="936">
        <v>100</v>
      </c>
      <c r="B95" s="351" t="s">
        <v>6068</v>
      </c>
      <c r="C95" s="274" t="s">
        <v>31</v>
      </c>
      <c r="D95" s="1822" t="s">
        <v>6069</v>
      </c>
      <c r="E95" s="491" t="s">
        <v>6070</v>
      </c>
      <c r="F95" s="18" t="s">
        <v>759</v>
      </c>
      <c r="G95" s="303" t="s">
        <v>76</v>
      </c>
      <c r="H95" s="284" t="s">
        <v>266</v>
      </c>
      <c r="I95" s="284">
        <v>9002071229</v>
      </c>
      <c r="J95" s="284">
        <v>9002071229</v>
      </c>
      <c r="K95" s="275" t="s">
        <v>261</v>
      </c>
      <c r="L95" s="398" t="s">
        <v>56</v>
      </c>
      <c r="M95" s="289">
        <v>28276</v>
      </c>
      <c r="N95" s="289">
        <v>50191</v>
      </c>
      <c r="O95" s="400">
        <v>45437</v>
      </c>
      <c r="P95" s="279">
        <v>45397</v>
      </c>
      <c r="Q95" s="302">
        <v>45369</v>
      </c>
      <c r="R95" s="482"/>
      <c r="S95" s="1016" t="s">
        <v>6071</v>
      </c>
      <c r="T95" s="339" t="s">
        <v>6072</v>
      </c>
      <c r="U95" s="1016" t="s">
        <v>6073</v>
      </c>
      <c r="V95" s="384">
        <f>LEN(TEXT(D95,0))</f>
        <v>11</v>
      </c>
      <c r="W95" s="208">
        <f t="shared" ca="1" si="22"/>
        <v>48</v>
      </c>
    </row>
    <row r="96" spans="1:39" ht="15.75" customHeight="1">
      <c r="A96" s="936">
        <v>101</v>
      </c>
      <c r="B96" s="840" t="s">
        <v>6074</v>
      </c>
      <c r="C96" s="1876" t="s">
        <v>31</v>
      </c>
      <c r="D96" s="1922" t="s">
        <v>6075</v>
      </c>
      <c r="E96" s="421" t="s">
        <v>6076</v>
      </c>
      <c r="F96" s="18" t="s">
        <v>759</v>
      </c>
      <c r="G96" s="303" t="s">
        <v>76</v>
      </c>
      <c r="H96" s="274" t="s">
        <v>266</v>
      </c>
      <c r="I96" s="1923">
        <v>7584053371</v>
      </c>
      <c r="J96" s="601"/>
      <c r="K96" s="275" t="s">
        <v>261</v>
      </c>
      <c r="L96" s="303" t="s">
        <v>256</v>
      </c>
      <c r="M96" s="272">
        <v>32564</v>
      </c>
      <c r="N96" s="272">
        <v>54482</v>
      </c>
      <c r="O96" s="272">
        <v>46090</v>
      </c>
      <c r="P96" s="279">
        <v>45375</v>
      </c>
      <c r="Q96" s="302">
        <v>45316</v>
      </c>
      <c r="R96" s="998"/>
      <c r="S96" s="1160"/>
      <c r="T96" s="318" t="s">
        <v>2141</v>
      </c>
      <c r="U96" s="280"/>
      <c r="V96" s="485">
        <f>LEN(D96)</f>
        <v>11</v>
      </c>
      <c r="W96" s="311"/>
      <c r="X96" s="208">
        <f ca="1">INT((TODAY()-M96)/365)</f>
        <v>37</v>
      </c>
      <c r="Y96" s="311"/>
      <c r="Z96" s="311"/>
      <c r="AA96" s="311"/>
      <c r="AB96" s="311"/>
      <c r="AC96" s="311"/>
      <c r="AD96" s="311"/>
      <c r="AE96" s="311"/>
      <c r="AF96" s="311"/>
      <c r="AG96" s="311"/>
      <c r="AH96" s="298"/>
      <c r="AI96" s="298"/>
      <c r="AJ96" s="298"/>
      <c r="AK96" s="298"/>
      <c r="AL96" s="298"/>
      <c r="AM96" s="298"/>
    </row>
    <row r="97" spans="1:39" ht="15.75" customHeight="1">
      <c r="A97" s="936">
        <v>102</v>
      </c>
      <c r="B97" s="293" t="s">
        <v>6077</v>
      </c>
      <c r="C97" s="1876" t="s">
        <v>31</v>
      </c>
      <c r="D97" s="1448" t="s">
        <v>6078</v>
      </c>
      <c r="E97" s="540" t="s">
        <v>6079</v>
      </c>
      <c r="F97" s="900" t="s">
        <v>759</v>
      </c>
      <c r="G97" s="303" t="s">
        <v>76</v>
      </c>
      <c r="H97" s="274" t="s">
        <v>266</v>
      </c>
      <c r="I97" s="275">
        <v>8789205736</v>
      </c>
      <c r="J97" s="275"/>
      <c r="K97" s="275" t="s">
        <v>261</v>
      </c>
      <c r="L97" s="656" t="s">
        <v>256</v>
      </c>
      <c r="M97" s="272">
        <v>31749</v>
      </c>
      <c r="N97" s="272">
        <v>53692</v>
      </c>
      <c r="O97" s="272">
        <v>46146</v>
      </c>
      <c r="P97" s="278">
        <v>45499</v>
      </c>
      <c r="Q97" s="419">
        <v>45356</v>
      </c>
      <c r="R97" s="485"/>
      <c r="S97" s="485"/>
      <c r="T97" s="486" t="s">
        <v>6080</v>
      </c>
      <c r="U97" s="485"/>
      <c r="V97" s="485">
        <f>LEN(TEXT(D97,0))</f>
        <v>11</v>
      </c>
      <c r="W97" s="282">
        <f ca="1">INT((TODAY()-M97)/365)</f>
        <v>39</v>
      </c>
      <c r="X97" s="382"/>
      <c r="Y97" s="395"/>
      <c r="Z97" s="79"/>
      <c r="AA97" s="383"/>
      <c r="AB97" s="311">
        <f ca="1">INT((TODAY()-M97)/365)</f>
        <v>39</v>
      </c>
      <c r="AC97" s="384"/>
      <c r="AD97" s="384"/>
      <c r="AE97" s="384"/>
      <c r="AF97" s="384"/>
      <c r="AG97" s="384"/>
      <c r="AH97" s="384"/>
      <c r="AI97" s="384"/>
      <c r="AJ97" s="384"/>
      <c r="AK97" s="384"/>
      <c r="AL97" s="384"/>
      <c r="AM97" s="384"/>
    </row>
    <row r="98" spans="1:39" ht="15.75" customHeight="1">
      <c r="A98" s="936">
        <v>103</v>
      </c>
      <c r="B98" s="293" t="s">
        <v>6081</v>
      </c>
      <c r="C98" s="405" t="s">
        <v>31</v>
      </c>
      <c r="D98" s="1839" t="s">
        <v>6082</v>
      </c>
      <c r="E98" s="303" t="s">
        <v>6083</v>
      </c>
      <c r="F98" s="18" t="s">
        <v>759</v>
      </c>
      <c r="G98" s="274" t="s">
        <v>76</v>
      </c>
      <c r="H98" s="274" t="s">
        <v>266</v>
      </c>
      <c r="I98" s="275">
        <v>9002071296</v>
      </c>
      <c r="J98" s="690"/>
      <c r="K98" s="275" t="s">
        <v>261</v>
      </c>
      <c r="L98" s="274" t="s">
        <v>664</v>
      </c>
      <c r="M98" s="272">
        <v>30379</v>
      </c>
      <c r="N98" s="272">
        <v>52321</v>
      </c>
      <c r="O98" s="272">
        <v>45930</v>
      </c>
      <c r="P98" s="272">
        <v>45776</v>
      </c>
      <c r="Q98" s="272">
        <v>45766</v>
      </c>
      <c r="R98" s="308"/>
      <c r="S98" s="309"/>
      <c r="T98" s="310" t="s">
        <v>6084</v>
      </c>
      <c r="U98" s="310" t="s">
        <v>6085</v>
      </c>
      <c r="V98" s="311">
        <f t="shared" ref="V98:V103" si="24">LEN(D98)</f>
        <v>11</v>
      </c>
      <c r="W98" s="311"/>
      <c r="X98" s="208">
        <f ca="1">INT((TODAY()-M98)/365)</f>
        <v>43</v>
      </c>
      <c r="Y98" s="311"/>
      <c r="Z98" s="311"/>
      <c r="AA98" s="311"/>
      <c r="AB98" s="311"/>
      <c r="AC98" s="311"/>
      <c r="AD98" s="311"/>
      <c r="AE98" s="311"/>
      <c r="AF98" s="311"/>
      <c r="AG98" s="311"/>
      <c r="AH98" s="311"/>
      <c r="AI98" s="311"/>
      <c r="AJ98" s="311"/>
      <c r="AK98" s="311"/>
      <c r="AL98" s="311"/>
      <c r="AM98" s="311"/>
    </row>
    <row r="99" spans="1:39" ht="15.75" customHeight="1">
      <c r="A99" s="936">
        <v>104</v>
      </c>
      <c r="B99" s="1008" t="s">
        <v>6086</v>
      </c>
      <c r="C99" s="405" t="s">
        <v>31</v>
      </c>
      <c r="D99" s="1458" t="s">
        <v>6087</v>
      </c>
      <c r="E99" s="1828" t="s">
        <v>6088</v>
      </c>
      <c r="F99" s="274" t="s">
        <v>759</v>
      </c>
      <c r="G99" s="875" t="s">
        <v>77</v>
      </c>
      <c r="H99" s="274" t="s">
        <v>266</v>
      </c>
      <c r="I99" s="307">
        <v>8240579219</v>
      </c>
      <c r="J99" s="703">
        <v>8017544078</v>
      </c>
      <c r="K99" s="275" t="s">
        <v>261</v>
      </c>
      <c r="L99" s="398" t="s">
        <v>62</v>
      </c>
      <c r="M99" s="278">
        <v>29769</v>
      </c>
      <c r="N99" s="315">
        <v>51713</v>
      </c>
      <c r="O99" s="278">
        <v>46152</v>
      </c>
      <c r="P99" s="278">
        <v>45499</v>
      </c>
      <c r="Q99" s="419">
        <v>45385</v>
      </c>
      <c r="R99" s="285"/>
      <c r="S99" s="285"/>
      <c r="T99" s="318" t="s">
        <v>6089</v>
      </c>
      <c r="U99" s="281" t="s">
        <v>6090</v>
      </c>
      <c r="V99" s="285">
        <f t="shared" si="24"/>
        <v>11</v>
      </c>
      <c r="W99" s="208">
        <f t="shared" ref="W99:W101" ca="1" si="25">INT((TODAY()-M99)/365)</f>
        <v>44</v>
      </c>
      <c r="X99" s="90"/>
      <c r="Y99" s="563"/>
      <c r="AA99" s="384"/>
      <c r="AB99" s="208">
        <f ca="1">INT((TODAY()-M99)/365)</f>
        <v>44</v>
      </c>
      <c r="AD99" s="384"/>
      <c r="AE99" s="384"/>
      <c r="AF99" s="384"/>
      <c r="AG99" s="311"/>
      <c r="AH99" s="311"/>
      <c r="AI99" s="311"/>
      <c r="AJ99" s="311"/>
      <c r="AK99" s="311"/>
      <c r="AL99" s="311"/>
      <c r="AM99" s="311"/>
    </row>
    <row r="100" spans="1:39" ht="15.75" customHeight="1">
      <c r="A100" s="936">
        <v>105</v>
      </c>
      <c r="B100" s="293" t="s">
        <v>6091</v>
      </c>
      <c r="C100" s="303" t="s">
        <v>31</v>
      </c>
      <c r="D100" s="562" t="s">
        <v>6092</v>
      </c>
      <c r="E100" s="1916" t="s">
        <v>6093</v>
      </c>
      <c r="F100" s="900" t="s">
        <v>759</v>
      </c>
      <c r="G100" s="274" t="s">
        <v>77</v>
      </c>
      <c r="H100" s="274" t="s">
        <v>266</v>
      </c>
      <c r="I100" s="275">
        <v>8116652177</v>
      </c>
      <c r="J100" s="275"/>
      <c r="K100" s="275" t="s">
        <v>261</v>
      </c>
      <c r="L100" s="398" t="s">
        <v>62</v>
      </c>
      <c r="M100" s="272">
        <v>31080</v>
      </c>
      <c r="N100" s="272">
        <v>53021</v>
      </c>
      <c r="O100" s="272">
        <v>46147</v>
      </c>
      <c r="P100" s="278">
        <v>45499</v>
      </c>
      <c r="Q100" s="419">
        <v>45356</v>
      </c>
      <c r="R100" s="1134"/>
      <c r="S100" s="485"/>
      <c r="T100" s="486" t="s">
        <v>6094</v>
      </c>
      <c r="U100" s="485"/>
      <c r="V100" s="485">
        <f t="shared" si="24"/>
        <v>11</v>
      </c>
      <c r="W100" s="208">
        <f t="shared" ca="1" si="25"/>
        <v>41</v>
      </c>
      <c r="X100" s="311"/>
      <c r="Y100" s="563"/>
      <c r="AA100" s="384"/>
      <c r="AB100" s="384"/>
      <c r="AC100" s="384"/>
      <c r="AD100" s="384"/>
      <c r="AE100" s="384"/>
      <c r="AF100" s="384"/>
      <c r="AG100" s="384"/>
      <c r="AH100" s="384"/>
      <c r="AI100" s="384"/>
      <c r="AJ100" s="384"/>
      <c r="AK100" s="384"/>
      <c r="AL100" s="384"/>
      <c r="AM100" s="384"/>
    </row>
    <row r="101" spans="1:39" ht="15.75" customHeight="1">
      <c r="A101" s="936">
        <v>106</v>
      </c>
      <c r="B101" s="276" t="s">
        <v>6095</v>
      </c>
      <c r="C101" s="303" t="s">
        <v>31</v>
      </c>
      <c r="D101" s="1458" t="s">
        <v>6096</v>
      </c>
      <c r="E101" s="1828" t="s">
        <v>6097</v>
      </c>
      <c r="F101" s="900" t="s">
        <v>759</v>
      </c>
      <c r="G101" s="875" t="s">
        <v>77</v>
      </c>
      <c r="H101" s="274" t="s">
        <v>266</v>
      </c>
      <c r="I101" s="307">
        <v>8443059505</v>
      </c>
      <c r="J101" s="703">
        <v>7003140567</v>
      </c>
      <c r="K101" s="275" t="s">
        <v>261</v>
      </c>
      <c r="L101" s="125" t="s">
        <v>67</v>
      </c>
      <c r="M101" s="315">
        <v>30310</v>
      </c>
      <c r="N101" s="315">
        <v>52231</v>
      </c>
      <c r="O101" s="315">
        <v>46155</v>
      </c>
      <c r="P101" s="278">
        <v>45499</v>
      </c>
      <c r="Q101" s="419">
        <v>45385</v>
      </c>
      <c r="R101" s="425"/>
      <c r="S101" s="441"/>
      <c r="T101" s="339" t="s">
        <v>6098</v>
      </c>
      <c r="U101" s="425"/>
      <c r="V101" s="425">
        <f t="shared" si="24"/>
        <v>11</v>
      </c>
      <c r="W101" s="208">
        <f t="shared" ca="1" si="25"/>
        <v>43</v>
      </c>
      <c r="X101" s="90"/>
      <c r="Y101" s="311"/>
      <c r="Z101" s="311"/>
      <c r="AA101" s="311"/>
      <c r="AB101" s="311"/>
      <c r="AC101" s="311"/>
      <c r="AD101" s="311"/>
      <c r="AE101" s="311"/>
      <c r="AF101" s="311"/>
      <c r="AG101" s="311"/>
      <c r="AH101" s="311"/>
      <c r="AI101" s="311"/>
      <c r="AJ101" s="311"/>
      <c r="AK101" s="311"/>
      <c r="AL101" s="311"/>
      <c r="AM101" s="311"/>
    </row>
    <row r="102" spans="1:39" ht="15.75" customHeight="1">
      <c r="A102" s="936">
        <v>107</v>
      </c>
      <c r="B102" s="293" t="s">
        <v>6099</v>
      </c>
      <c r="C102" s="274" t="s">
        <v>31</v>
      </c>
      <c r="D102" s="1448" t="s">
        <v>6100</v>
      </c>
      <c r="E102" s="491" t="s">
        <v>6101</v>
      </c>
      <c r="F102" s="18" t="s">
        <v>759</v>
      </c>
      <c r="G102" s="303" t="s">
        <v>76</v>
      </c>
      <c r="H102" s="274" t="s">
        <v>266</v>
      </c>
      <c r="I102" s="275">
        <v>9002071348</v>
      </c>
      <c r="J102" s="275"/>
      <c r="K102" s="275" t="s">
        <v>261</v>
      </c>
      <c r="L102" s="274" t="s">
        <v>256</v>
      </c>
      <c r="M102" s="272">
        <v>31559</v>
      </c>
      <c r="N102" s="272">
        <v>53478</v>
      </c>
      <c r="O102" s="272">
        <v>45900</v>
      </c>
      <c r="P102" s="279">
        <v>45531</v>
      </c>
      <c r="Q102" s="302">
        <v>45506</v>
      </c>
      <c r="R102" s="308"/>
      <c r="S102" s="310" t="s">
        <v>6102</v>
      </c>
      <c r="T102" s="310" t="s">
        <v>6103</v>
      </c>
      <c r="U102" s="309"/>
      <c r="V102" s="311">
        <f t="shared" si="24"/>
        <v>11</v>
      </c>
      <c r="W102" s="311"/>
      <c r="X102" s="208">
        <f ca="1">INT((TODAY()-M102)/365)</f>
        <v>39</v>
      </c>
      <c r="AC102" s="311"/>
      <c r="AD102" s="311"/>
      <c r="AE102" s="311"/>
      <c r="AF102" s="311"/>
      <c r="AG102" s="311"/>
      <c r="AH102" s="311"/>
      <c r="AI102" s="311"/>
      <c r="AJ102" s="311"/>
      <c r="AK102" s="311"/>
      <c r="AL102" s="311"/>
      <c r="AM102" s="311"/>
    </row>
    <row r="103" spans="1:39" ht="18.75">
      <c r="A103" s="936">
        <v>108</v>
      </c>
      <c r="B103" s="276" t="s">
        <v>6104</v>
      </c>
      <c r="C103" s="275" t="s">
        <v>31</v>
      </c>
      <c r="D103" s="1458" t="s">
        <v>6105</v>
      </c>
      <c r="E103" s="1828" t="s">
        <v>6106</v>
      </c>
      <c r="F103" s="274" t="s">
        <v>759</v>
      </c>
      <c r="G103" s="875" t="s">
        <v>76</v>
      </c>
      <c r="H103" s="274" t="s">
        <v>266</v>
      </c>
      <c r="I103" s="307">
        <v>9064512724</v>
      </c>
      <c r="J103" s="307"/>
      <c r="K103" s="275" t="s">
        <v>261</v>
      </c>
      <c r="L103" s="274" t="s">
        <v>67</v>
      </c>
      <c r="M103" s="315">
        <v>30808</v>
      </c>
      <c r="N103" s="315">
        <v>52748</v>
      </c>
      <c r="O103" s="278">
        <v>46151</v>
      </c>
      <c r="P103" s="278">
        <v>45499</v>
      </c>
      <c r="Q103" s="419">
        <v>45385</v>
      </c>
      <c r="R103" s="285"/>
      <c r="S103" s="318" t="s">
        <v>6107</v>
      </c>
      <c r="T103" s="318" t="s">
        <v>6108</v>
      </c>
      <c r="U103" s="285"/>
      <c r="V103" s="285">
        <f t="shared" si="24"/>
        <v>11</v>
      </c>
      <c r="W103" s="208">
        <f t="shared" ref="W103:W106" ca="1" si="26">INT((TODAY()-M103)/365)</f>
        <v>41</v>
      </c>
      <c r="X103" s="90"/>
      <c r="Y103" s="311"/>
      <c r="Z103" s="311"/>
      <c r="AA103" s="311"/>
      <c r="AB103" s="311"/>
      <c r="AC103" s="311"/>
      <c r="AD103" s="311"/>
      <c r="AE103" s="311"/>
      <c r="AF103" s="311"/>
      <c r="AG103" s="311"/>
      <c r="AH103" s="311"/>
      <c r="AI103" s="311"/>
      <c r="AJ103" s="311"/>
      <c r="AK103" s="311"/>
      <c r="AL103" s="311"/>
      <c r="AM103" s="311"/>
    </row>
    <row r="104" spans="1:39" ht="15.75" customHeight="1">
      <c r="A104" s="936">
        <v>109</v>
      </c>
      <c r="B104" s="293" t="s">
        <v>6109</v>
      </c>
      <c r="C104" s="275" t="s">
        <v>31</v>
      </c>
      <c r="D104" s="564" t="s">
        <v>6110</v>
      </c>
      <c r="E104" s="565" t="s">
        <v>6111</v>
      </c>
      <c r="F104" s="274" t="s">
        <v>759</v>
      </c>
      <c r="G104" s="284" t="s">
        <v>76</v>
      </c>
      <c r="H104" s="284" t="s">
        <v>266</v>
      </c>
      <c r="I104" s="275">
        <v>8697217027</v>
      </c>
      <c r="J104" s="690"/>
      <c r="K104" s="275" t="s">
        <v>261</v>
      </c>
      <c r="L104" s="274" t="s">
        <v>256</v>
      </c>
      <c r="M104" s="272">
        <v>31057</v>
      </c>
      <c r="N104" s="289">
        <v>52993</v>
      </c>
      <c r="O104" s="272">
        <v>46153</v>
      </c>
      <c r="P104" s="272">
        <v>45628</v>
      </c>
      <c r="Q104" s="272">
        <v>45493</v>
      </c>
      <c r="R104" s="492"/>
      <c r="S104" s="493"/>
      <c r="T104" s="1924" t="s">
        <v>6112</v>
      </c>
      <c r="U104" s="874" t="s">
        <v>1269</v>
      </c>
      <c r="V104" s="298">
        <f t="shared" ref="V104:V106" si="27">LEN(TEXT(D104,0))</f>
        <v>11</v>
      </c>
      <c r="W104" s="208">
        <f t="shared" ca="1" si="26"/>
        <v>41</v>
      </c>
      <c r="X104" s="298"/>
      <c r="Y104" s="90"/>
      <c r="AB104" s="311">
        <f ca="1">INT((TODAY()-M104)/365)</f>
        <v>41</v>
      </c>
    </row>
    <row r="105" spans="1:39" ht="15.75" customHeight="1">
      <c r="A105" s="936">
        <v>110</v>
      </c>
      <c r="B105" s="351" t="s">
        <v>6113</v>
      </c>
      <c r="C105" s="275" t="s">
        <v>31</v>
      </c>
      <c r="D105" s="564" t="s">
        <v>6114</v>
      </c>
      <c r="E105" s="491" t="s">
        <v>6115</v>
      </c>
      <c r="F105" s="274" t="s">
        <v>759</v>
      </c>
      <c r="G105" s="303" t="s">
        <v>76</v>
      </c>
      <c r="H105" s="284" t="s">
        <v>266</v>
      </c>
      <c r="I105" s="391">
        <v>9831646058</v>
      </c>
      <c r="J105" s="284">
        <v>9088707648</v>
      </c>
      <c r="K105" s="275" t="s">
        <v>261</v>
      </c>
      <c r="L105" s="274" t="s">
        <v>64</v>
      </c>
      <c r="M105" s="289">
        <v>32608</v>
      </c>
      <c r="N105" s="289">
        <v>54543</v>
      </c>
      <c r="O105" s="400">
        <v>46148</v>
      </c>
      <c r="P105" s="272">
        <v>45628</v>
      </c>
      <c r="Q105" s="272">
        <v>45387</v>
      </c>
      <c r="R105" s="393"/>
      <c r="S105" s="393"/>
      <c r="T105" s="394" t="s">
        <v>6116</v>
      </c>
      <c r="U105" s="394" t="s">
        <v>6117</v>
      </c>
      <c r="V105" s="383">
        <f t="shared" si="27"/>
        <v>11</v>
      </c>
      <c r="W105" s="208">
        <f t="shared" ca="1" si="26"/>
        <v>36</v>
      </c>
      <c r="Y105" s="298"/>
      <c r="Z105" s="298"/>
      <c r="AA105" s="298"/>
      <c r="AB105" s="298"/>
      <c r="AC105" s="298"/>
      <c r="AD105" s="298"/>
      <c r="AE105" s="298"/>
      <c r="AF105" s="298"/>
      <c r="AG105" s="298"/>
      <c r="AH105" s="311"/>
      <c r="AI105" s="311"/>
      <c r="AJ105" s="311"/>
      <c r="AK105" s="311"/>
      <c r="AL105" s="311"/>
      <c r="AM105" s="311"/>
    </row>
    <row r="106" spans="1:39" ht="15.75" customHeight="1">
      <c r="A106" s="936">
        <v>111</v>
      </c>
      <c r="B106" s="293" t="s">
        <v>6118</v>
      </c>
      <c r="C106" s="275" t="s">
        <v>31</v>
      </c>
      <c r="D106" s="562" t="s">
        <v>6119</v>
      </c>
      <c r="E106" s="491" t="s">
        <v>6120</v>
      </c>
      <c r="F106" s="284" t="s">
        <v>759</v>
      </c>
      <c r="G106" s="274" t="s">
        <v>77</v>
      </c>
      <c r="H106" s="284" t="s">
        <v>266</v>
      </c>
      <c r="I106" s="275">
        <v>9804205045</v>
      </c>
      <c r="J106" s="690">
        <v>9804205045</v>
      </c>
      <c r="K106" s="275" t="s">
        <v>261</v>
      </c>
      <c r="L106" s="284" t="s">
        <v>664</v>
      </c>
      <c r="M106" s="272">
        <v>32420</v>
      </c>
      <c r="N106" s="272">
        <v>54362</v>
      </c>
      <c r="O106" s="272">
        <v>46194</v>
      </c>
      <c r="P106" s="279">
        <v>45522</v>
      </c>
      <c r="Q106" s="316">
        <v>45412</v>
      </c>
      <c r="R106" s="485"/>
      <c r="S106" s="485"/>
      <c r="T106" s="486" t="s">
        <v>6121</v>
      </c>
      <c r="U106" s="486" t="s">
        <v>6122</v>
      </c>
      <c r="V106" s="485">
        <f t="shared" si="27"/>
        <v>11</v>
      </c>
      <c r="W106" s="208">
        <f t="shared" ca="1" si="26"/>
        <v>37</v>
      </c>
      <c r="X106" s="311"/>
      <c r="Y106" s="199"/>
      <c r="Z106" s="199"/>
      <c r="AA106" s="199"/>
      <c r="AB106" s="311">
        <f ca="1">INT((TODAY()-M106)/365)</f>
        <v>37</v>
      </c>
    </row>
    <row r="107" spans="1:39" ht="15.75" customHeight="1">
      <c r="A107" s="936">
        <v>113</v>
      </c>
      <c r="B107" s="1461" t="s">
        <v>6123</v>
      </c>
      <c r="C107" s="275" t="s">
        <v>31</v>
      </c>
      <c r="D107" s="1458" t="s">
        <v>6124</v>
      </c>
      <c r="E107" s="1828" t="s">
        <v>6125</v>
      </c>
      <c r="F107" s="946" t="s">
        <v>759</v>
      </c>
      <c r="G107" s="875" t="s">
        <v>77</v>
      </c>
      <c r="H107" s="303" t="s">
        <v>266</v>
      </c>
      <c r="I107" s="703">
        <v>7044289869</v>
      </c>
      <c r="J107" s="703">
        <v>7044289869</v>
      </c>
      <c r="K107" s="275" t="s">
        <v>261</v>
      </c>
      <c r="L107" s="303" t="s">
        <v>56</v>
      </c>
      <c r="M107" s="278">
        <v>32145</v>
      </c>
      <c r="N107" s="315">
        <v>54088</v>
      </c>
      <c r="O107" s="278">
        <v>46120</v>
      </c>
      <c r="P107" s="272">
        <v>45628</v>
      </c>
      <c r="Q107" s="316">
        <v>45524</v>
      </c>
      <c r="R107" s="285"/>
      <c r="S107" s="285"/>
      <c r="T107" s="281" t="s">
        <v>6126</v>
      </c>
      <c r="U107" s="281" t="s">
        <v>6127</v>
      </c>
      <c r="V107" s="285">
        <f>LEN(D107)</f>
        <v>11</v>
      </c>
      <c r="W107" s="90"/>
      <c r="X107" s="90"/>
      <c r="Y107" s="311"/>
      <c r="Z107" s="311"/>
      <c r="AA107" s="311"/>
      <c r="AB107" s="311"/>
      <c r="AC107" s="311"/>
      <c r="AD107" s="311"/>
    </row>
    <row r="108" spans="1:39" ht="15.75" customHeight="1">
      <c r="A108" s="936">
        <v>115</v>
      </c>
      <c r="B108" s="293" t="s">
        <v>6128</v>
      </c>
      <c r="C108" s="275" t="s">
        <v>31</v>
      </c>
      <c r="D108" s="564" t="s">
        <v>6129</v>
      </c>
      <c r="E108" s="491" t="s">
        <v>6130</v>
      </c>
      <c r="F108" s="274" t="s">
        <v>759</v>
      </c>
      <c r="G108" s="274" t="s">
        <v>77</v>
      </c>
      <c r="H108" s="274" t="s">
        <v>266</v>
      </c>
      <c r="I108" s="274">
        <v>9002071878</v>
      </c>
      <c r="J108" s="284">
        <v>7044511910</v>
      </c>
      <c r="K108" s="275" t="s">
        <v>261</v>
      </c>
      <c r="L108" s="274" t="s">
        <v>64</v>
      </c>
      <c r="M108" s="272">
        <v>32550</v>
      </c>
      <c r="N108" s="289">
        <v>54482</v>
      </c>
      <c r="O108" s="272">
        <v>46173</v>
      </c>
      <c r="P108" s="272">
        <v>45541</v>
      </c>
      <c r="Q108" s="272">
        <v>45552</v>
      </c>
      <c r="R108" s="603" t="s">
        <v>6131</v>
      </c>
      <c r="S108" s="79"/>
      <c r="T108" s="296" t="s">
        <v>6132</v>
      </c>
      <c r="U108" s="296" t="s">
        <v>6133</v>
      </c>
      <c r="V108" s="297">
        <f>LEN(TEXT(D108,0))</f>
        <v>11</v>
      </c>
      <c r="W108" s="282">
        <f t="shared" ref="W108:W109" ca="1" si="28">INT((TODAY()-M108)/365)</f>
        <v>37</v>
      </c>
      <c r="X108" s="298"/>
      <c r="Y108" s="395"/>
      <c r="Z108" s="79"/>
      <c r="AA108" s="383"/>
      <c r="AB108" s="311">
        <f ca="1">INT((TODAY()-M108)/365)</f>
        <v>37</v>
      </c>
    </row>
    <row r="109" spans="1:39" ht="15.75" customHeight="1">
      <c r="A109" s="936">
        <v>116</v>
      </c>
      <c r="B109" s="293" t="s">
        <v>6134</v>
      </c>
      <c r="C109" s="275" t="s">
        <v>31</v>
      </c>
      <c r="D109" s="562" t="s">
        <v>6135</v>
      </c>
      <c r="E109" s="491" t="s">
        <v>6136</v>
      </c>
      <c r="F109" s="900" t="s">
        <v>759</v>
      </c>
      <c r="G109" s="274" t="s">
        <v>77</v>
      </c>
      <c r="H109" s="274" t="s">
        <v>279</v>
      </c>
      <c r="I109" s="1925">
        <v>9002071737</v>
      </c>
      <c r="J109" s="284">
        <v>9749023442</v>
      </c>
      <c r="K109" s="275" t="s">
        <v>261</v>
      </c>
      <c r="L109" s="502" t="s">
        <v>417</v>
      </c>
      <c r="M109" s="272">
        <v>31476</v>
      </c>
      <c r="N109" s="272">
        <v>53417</v>
      </c>
      <c r="O109" s="279">
        <v>46141</v>
      </c>
      <c r="P109" s="278">
        <v>45499</v>
      </c>
      <c r="Q109" s="419">
        <v>45385</v>
      </c>
      <c r="R109" s="308"/>
      <c r="S109" s="309"/>
      <c r="T109" s="310" t="s">
        <v>6137</v>
      </c>
      <c r="U109" s="309"/>
      <c r="V109" s="309">
        <f t="shared" ref="V109:V110" si="29">LEN(D109)</f>
        <v>11</v>
      </c>
      <c r="W109" s="208">
        <f t="shared" ca="1" si="28"/>
        <v>40</v>
      </c>
      <c r="X109" s="1647"/>
      <c r="Y109" s="311"/>
      <c r="Z109" s="311"/>
      <c r="AA109" s="311"/>
      <c r="AB109" s="311"/>
      <c r="AC109" s="311"/>
      <c r="AD109" s="311"/>
      <c r="AE109" s="311"/>
      <c r="AF109" s="311"/>
      <c r="AG109" s="311"/>
      <c r="AH109" s="311"/>
      <c r="AI109" s="311"/>
      <c r="AJ109" s="311"/>
      <c r="AK109" s="311"/>
      <c r="AL109" s="311"/>
      <c r="AM109" s="311"/>
    </row>
    <row r="110" spans="1:39" ht="15.75" customHeight="1">
      <c r="A110" s="936">
        <v>117</v>
      </c>
      <c r="B110" s="293" t="s">
        <v>6138</v>
      </c>
      <c r="C110" s="275" t="s">
        <v>31</v>
      </c>
      <c r="D110" s="562" t="s">
        <v>6139</v>
      </c>
      <c r="E110" s="565" t="s">
        <v>6140</v>
      </c>
      <c r="F110" s="18" t="s">
        <v>759</v>
      </c>
      <c r="G110" s="284" t="s">
        <v>77</v>
      </c>
      <c r="H110" s="274" t="s">
        <v>266</v>
      </c>
      <c r="I110" s="284">
        <v>9733967408</v>
      </c>
      <c r="J110" s="284">
        <v>9733967408</v>
      </c>
      <c r="K110" s="275" t="s">
        <v>261</v>
      </c>
      <c r="L110" s="125" t="s">
        <v>69</v>
      </c>
      <c r="M110" s="272">
        <v>29605</v>
      </c>
      <c r="N110" s="272">
        <v>51532</v>
      </c>
      <c r="O110" s="272">
        <v>46041</v>
      </c>
      <c r="P110" s="272">
        <v>45628</v>
      </c>
      <c r="Q110" s="419">
        <v>45385</v>
      </c>
      <c r="R110" s="998"/>
      <c r="S110" s="1160" t="s">
        <v>6141</v>
      </c>
      <c r="T110" s="486" t="s">
        <v>6142</v>
      </c>
      <c r="U110" s="485"/>
      <c r="V110" s="382">
        <f t="shared" si="29"/>
        <v>11</v>
      </c>
      <c r="W110" s="382"/>
      <c r="X110" s="1220">
        <f ca="1">INT((TODAY()-M110)/365)</f>
        <v>45</v>
      </c>
      <c r="Y110" s="382"/>
      <c r="Z110" s="382"/>
      <c r="AA110" s="382"/>
      <c r="AB110" s="311"/>
      <c r="AC110" s="311"/>
      <c r="AD110" s="311"/>
      <c r="AE110" s="311"/>
      <c r="AF110" s="311"/>
      <c r="AG110" s="311"/>
      <c r="AH110" s="311"/>
      <c r="AI110" s="311"/>
      <c r="AJ110" s="311"/>
      <c r="AK110" s="311"/>
      <c r="AL110" s="311"/>
      <c r="AM110" s="311"/>
    </row>
    <row r="111" spans="1:39" ht="15.75" customHeight="1">
      <c r="A111" s="936">
        <v>118</v>
      </c>
      <c r="B111" s="293" t="s">
        <v>6143</v>
      </c>
      <c r="C111" s="275" t="s">
        <v>31</v>
      </c>
      <c r="D111" s="564" t="s">
        <v>6144</v>
      </c>
      <c r="E111" s="1564" t="s">
        <v>6145</v>
      </c>
      <c r="F111" s="274" t="s">
        <v>759</v>
      </c>
      <c r="G111" s="274" t="s">
        <v>77</v>
      </c>
      <c r="H111" s="274" t="s">
        <v>266</v>
      </c>
      <c r="I111" s="391">
        <v>7980000950</v>
      </c>
      <c r="J111" s="690"/>
      <c r="K111" s="275" t="s">
        <v>261</v>
      </c>
      <c r="L111" s="275" t="s">
        <v>43</v>
      </c>
      <c r="M111" s="272">
        <v>28286</v>
      </c>
      <c r="N111" s="289">
        <v>50221</v>
      </c>
      <c r="O111" s="272">
        <v>45456</v>
      </c>
      <c r="P111" s="302">
        <v>45695</v>
      </c>
      <c r="Q111" s="272">
        <v>45552</v>
      </c>
      <c r="R111" s="294"/>
      <c r="S111" s="295"/>
      <c r="T111" s="296" t="s">
        <v>6146</v>
      </c>
      <c r="U111" s="296" t="s">
        <v>6147</v>
      </c>
      <c r="V111" s="297">
        <f>LEN(TEXT(D111,0))</f>
        <v>11</v>
      </c>
      <c r="W111" s="282">
        <f t="shared" ref="W111:W113" ca="1" si="30">INT((TODAY()-M111)/365)</f>
        <v>48</v>
      </c>
      <c r="X111" s="297"/>
      <c r="Y111" s="3"/>
      <c r="Z111" s="79"/>
      <c r="AA111" s="79"/>
      <c r="AB111" s="311">
        <f ca="1">INT((TODAY()-M111)/365)</f>
        <v>48</v>
      </c>
      <c r="AC111" s="311"/>
      <c r="AD111" s="311"/>
      <c r="AE111" s="311"/>
      <c r="AF111" s="311"/>
      <c r="AG111" s="311"/>
      <c r="AH111" s="311"/>
      <c r="AI111" s="311"/>
      <c r="AJ111" s="311"/>
      <c r="AK111" s="311"/>
      <c r="AL111" s="311"/>
      <c r="AM111" s="311"/>
    </row>
    <row r="112" spans="1:39" ht="15.75" customHeight="1">
      <c r="A112" s="936">
        <v>119</v>
      </c>
      <c r="B112" s="276" t="s">
        <v>6148</v>
      </c>
      <c r="C112" s="275" t="s">
        <v>31</v>
      </c>
      <c r="D112" s="1458" t="s">
        <v>6149</v>
      </c>
      <c r="E112" s="1828" t="s">
        <v>6150</v>
      </c>
      <c r="F112" s="685" t="s">
        <v>759</v>
      </c>
      <c r="G112" s="875" t="s">
        <v>76</v>
      </c>
      <c r="H112" s="274" t="s">
        <v>266</v>
      </c>
      <c r="I112" s="1644">
        <v>9002071156</v>
      </c>
      <c r="J112" s="307">
        <v>8001225645</v>
      </c>
      <c r="K112" s="275" t="s">
        <v>261</v>
      </c>
      <c r="L112" s="303" t="s">
        <v>351</v>
      </c>
      <c r="M112" s="315">
        <v>31190</v>
      </c>
      <c r="N112" s="315">
        <v>53113</v>
      </c>
      <c r="O112" s="315">
        <v>46172</v>
      </c>
      <c r="P112" s="300">
        <v>45598</v>
      </c>
      <c r="Q112" s="272">
        <v>45552</v>
      </c>
      <c r="R112" s="318" t="s">
        <v>4256</v>
      </c>
      <c r="S112" s="285"/>
      <c r="T112" s="318" t="s">
        <v>6151</v>
      </c>
      <c r="U112" s="318" t="s">
        <v>6152</v>
      </c>
      <c r="V112" s="285">
        <f t="shared" ref="V112:V114" si="31">LEN(D112)</f>
        <v>11</v>
      </c>
      <c r="W112" s="388">
        <f t="shared" ca="1" si="30"/>
        <v>40</v>
      </c>
      <c r="X112" s="90"/>
      <c r="Y112" s="311"/>
      <c r="Z112" s="311"/>
      <c r="AA112" s="311"/>
      <c r="AB112" s="311"/>
      <c r="AC112" s="311"/>
      <c r="AD112" s="311"/>
      <c r="AE112" s="311"/>
      <c r="AF112" s="311"/>
      <c r="AG112" s="311"/>
      <c r="AH112" s="311"/>
      <c r="AI112" s="311"/>
      <c r="AJ112" s="311"/>
      <c r="AK112" s="311"/>
      <c r="AL112" s="311"/>
      <c r="AM112" s="311"/>
    </row>
    <row r="113" spans="1:39" ht="15.75" customHeight="1">
      <c r="A113" s="936">
        <v>120</v>
      </c>
      <c r="B113" s="276" t="s">
        <v>6153</v>
      </c>
      <c r="C113" s="275" t="s">
        <v>31</v>
      </c>
      <c r="D113" s="1458" t="s">
        <v>6154</v>
      </c>
      <c r="E113" s="1828" t="s">
        <v>6155</v>
      </c>
      <c r="F113" s="624" t="s">
        <v>759</v>
      </c>
      <c r="G113" s="875" t="s">
        <v>77</v>
      </c>
      <c r="H113" s="274" t="s">
        <v>266</v>
      </c>
      <c r="I113" s="1643">
        <v>9002071151</v>
      </c>
      <c r="J113" s="307">
        <v>9007574828</v>
      </c>
      <c r="K113" s="275" t="s">
        <v>261</v>
      </c>
      <c r="L113" s="18" t="s">
        <v>64</v>
      </c>
      <c r="M113" s="921">
        <v>32541</v>
      </c>
      <c r="N113" s="315">
        <v>54482</v>
      </c>
      <c r="O113" s="315">
        <v>46173</v>
      </c>
      <c r="P113" s="300">
        <v>45598</v>
      </c>
      <c r="Q113" s="272">
        <v>45552</v>
      </c>
      <c r="R113" s="285"/>
      <c r="S113" s="285"/>
      <c r="T113" s="318" t="s">
        <v>6156</v>
      </c>
      <c r="U113" s="318" t="s">
        <v>6157</v>
      </c>
      <c r="V113" s="425">
        <f t="shared" si="31"/>
        <v>11</v>
      </c>
      <c r="W113" s="1189">
        <f t="shared" ca="1" si="30"/>
        <v>37</v>
      </c>
      <c r="X113" s="382"/>
      <c r="Y113" s="382"/>
      <c r="Z113" s="382"/>
      <c r="AA113" s="311"/>
      <c r="AB113" s="311"/>
      <c r="AC113" s="311"/>
      <c r="AD113" s="311"/>
      <c r="AE113" s="311"/>
      <c r="AF113" s="311"/>
      <c r="AG113" s="311"/>
      <c r="AH113" s="311"/>
      <c r="AI113" s="311"/>
      <c r="AJ113" s="311"/>
      <c r="AK113" s="311"/>
      <c r="AL113" s="311"/>
      <c r="AM113" s="311"/>
    </row>
    <row r="114" spans="1:39" ht="15.75" customHeight="1">
      <c r="A114" s="936">
        <v>121</v>
      </c>
      <c r="B114" s="305" t="s">
        <v>6158</v>
      </c>
      <c r="C114" s="275" t="s">
        <v>31</v>
      </c>
      <c r="D114" s="1458" t="s">
        <v>6159</v>
      </c>
      <c r="E114" s="970" t="s">
        <v>6160</v>
      </c>
      <c r="F114" s="958" t="s">
        <v>759</v>
      </c>
      <c r="G114" s="875" t="s">
        <v>76</v>
      </c>
      <c r="H114" s="274" t="s">
        <v>266</v>
      </c>
      <c r="I114" s="461">
        <v>9002071128</v>
      </c>
      <c r="J114" s="703">
        <v>8444918716</v>
      </c>
      <c r="K114" s="275" t="s">
        <v>261</v>
      </c>
      <c r="L114" s="303" t="s">
        <v>664</v>
      </c>
      <c r="M114" s="315">
        <v>31693</v>
      </c>
      <c r="N114" s="315">
        <v>53631</v>
      </c>
      <c r="O114" s="315">
        <v>46186</v>
      </c>
      <c r="P114" s="302">
        <v>45695</v>
      </c>
      <c r="Q114" s="316">
        <v>45675</v>
      </c>
      <c r="R114" s="285"/>
      <c r="S114" s="285"/>
      <c r="T114" s="318" t="s">
        <v>6161</v>
      </c>
      <c r="U114" s="318" t="s">
        <v>6162</v>
      </c>
      <c r="V114" s="285">
        <f t="shared" si="31"/>
        <v>11</v>
      </c>
      <c r="W114" s="3"/>
      <c r="X114" s="3"/>
      <c r="Y114" s="79"/>
      <c r="Z114" s="79"/>
      <c r="AA114" s="311">
        <f ca="1">INT((TODAY()-M114)/365)</f>
        <v>39</v>
      </c>
    </row>
    <row r="115" spans="1:39" ht="15.75" customHeight="1">
      <c r="A115" s="936">
        <v>122</v>
      </c>
      <c r="B115" s="293" t="s">
        <v>6163</v>
      </c>
      <c r="C115" s="275" t="s">
        <v>31</v>
      </c>
      <c r="D115" s="562" t="s">
        <v>6164</v>
      </c>
      <c r="E115" s="18" t="s">
        <v>6165</v>
      </c>
      <c r="F115" s="274" t="s">
        <v>759</v>
      </c>
      <c r="G115" s="303" t="s">
        <v>76</v>
      </c>
      <c r="H115" s="274" t="s">
        <v>279</v>
      </c>
      <c r="I115" s="275">
        <v>9002071356</v>
      </c>
      <c r="J115" s="275">
        <v>9002071356</v>
      </c>
      <c r="K115" s="275" t="s">
        <v>261</v>
      </c>
      <c r="L115" s="18" t="s">
        <v>61</v>
      </c>
      <c r="M115" s="272">
        <v>31052</v>
      </c>
      <c r="N115" s="289">
        <v>52993</v>
      </c>
      <c r="O115" s="272">
        <v>45840</v>
      </c>
      <c r="P115" s="278">
        <v>45662</v>
      </c>
      <c r="Q115" s="302">
        <v>45622</v>
      </c>
      <c r="R115" s="294"/>
      <c r="S115" s="295"/>
      <c r="T115" s="603" t="s">
        <v>604</v>
      </c>
      <c r="U115" s="1363" t="s">
        <v>6166</v>
      </c>
      <c r="V115" s="297">
        <f t="shared" ref="V115:V117" si="32">LEN(TEXT(D115,0))</f>
        <v>11</v>
      </c>
      <c r="W115" s="208">
        <f ca="1">INT((TODAY()-M115)/365)</f>
        <v>41</v>
      </c>
      <c r="X115" s="298"/>
      <c r="Y115" s="298"/>
      <c r="Z115" s="298"/>
      <c r="AA115" s="298"/>
      <c r="AB115" s="298"/>
      <c r="AC115" s="298"/>
      <c r="AD115" s="298"/>
      <c r="AE115" s="298"/>
      <c r="AF115" s="298"/>
      <c r="AG115" s="298"/>
      <c r="AH115" s="298"/>
      <c r="AI115" s="298"/>
      <c r="AJ115" s="298"/>
      <c r="AK115" s="298"/>
      <c r="AL115" s="298"/>
      <c r="AM115" s="298"/>
    </row>
    <row r="116" spans="1:39" ht="15.75" customHeight="1">
      <c r="A116" s="936">
        <v>124</v>
      </c>
      <c r="B116" s="293" t="s">
        <v>6167</v>
      </c>
      <c r="C116" s="275" t="s">
        <v>31</v>
      </c>
      <c r="D116" s="564" t="s">
        <v>6168</v>
      </c>
      <c r="E116" s="1007" t="s">
        <v>6169</v>
      </c>
      <c r="F116" s="686" t="s">
        <v>759</v>
      </c>
      <c r="G116" s="284" t="s">
        <v>76</v>
      </c>
      <c r="H116" s="303" t="s">
        <v>266</v>
      </c>
      <c r="I116" s="1643">
        <v>9002071159</v>
      </c>
      <c r="J116" s="1124"/>
      <c r="K116" s="275" t="s">
        <v>261</v>
      </c>
      <c r="L116" s="125" t="s">
        <v>67</v>
      </c>
      <c r="M116" s="272">
        <v>31629</v>
      </c>
      <c r="N116" s="289">
        <v>53570</v>
      </c>
      <c r="O116" s="272">
        <v>46069</v>
      </c>
      <c r="P116" s="272">
        <v>45696</v>
      </c>
      <c r="Q116" s="272">
        <v>45674</v>
      </c>
      <c r="R116" s="294"/>
      <c r="S116" s="295"/>
      <c r="T116" s="296" t="s">
        <v>6170</v>
      </c>
      <c r="U116" s="296" t="s">
        <v>6171</v>
      </c>
      <c r="V116" s="297">
        <f t="shared" si="32"/>
        <v>11</v>
      </c>
      <c r="W116" s="298"/>
      <c r="X116" s="297"/>
      <c r="Y116" s="395"/>
      <c r="Z116" s="79"/>
      <c r="AA116" s="383"/>
      <c r="AB116" s="311">
        <f ca="1">INT((TODAY()-M116)/365)</f>
        <v>39</v>
      </c>
    </row>
    <row r="117" spans="1:39" ht="15.75">
      <c r="A117" s="936">
        <v>125</v>
      </c>
      <c r="B117" s="293" t="s">
        <v>6172</v>
      </c>
      <c r="C117" s="275" t="s">
        <v>31</v>
      </c>
      <c r="D117" s="1926" t="s">
        <v>6173</v>
      </c>
      <c r="E117" s="674" t="s">
        <v>6174</v>
      </c>
      <c r="F117" s="946" t="s">
        <v>759</v>
      </c>
      <c r="G117" s="303" t="s">
        <v>76</v>
      </c>
      <c r="H117" s="284" t="s">
        <v>266</v>
      </c>
      <c r="I117" s="1644">
        <v>8420320026</v>
      </c>
      <c r="J117" s="601">
        <v>9708204989</v>
      </c>
      <c r="K117" s="275" t="s">
        <v>261</v>
      </c>
      <c r="L117" s="125" t="s">
        <v>67</v>
      </c>
      <c r="M117" s="289">
        <v>32075</v>
      </c>
      <c r="N117" s="289">
        <v>53996</v>
      </c>
      <c r="O117" s="289">
        <v>45336</v>
      </c>
      <c r="P117" s="272">
        <v>45541</v>
      </c>
      <c r="Q117" s="316">
        <v>45524</v>
      </c>
      <c r="R117" s="603" t="s">
        <v>6175</v>
      </c>
      <c r="S117" s="296" t="s">
        <v>6175</v>
      </c>
      <c r="T117" s="296" t="s">
        <v>6176</v>
      </c>
      <c r="U117" s="296" t="s">
        <v>6177</v>
      </c>
      <c r="V117" s="297">
        <f t="shared" si="32"/>
        <v>11</v>
      </c>
      <c r="W117" s="297"/>
      <c r="X117" s="297"/>
      <c r="Y117" s="3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</row>
    <row r="118" spans="1:39" ht="15.75" customHeight="1">
      <c r="A118" s="936">
        <v>126</v>
      </c>
      <c r="B118" s="276" t="s">
        <v>6178</v>
      </c>
      <c r="C118" s="275" t="s">
        <v>31</v>
      </c>
      <c r="D118" s="1458" t="s">
        <v>6179</v>
      </c>
      <c r="E118" s="970" t="s">
        <v>6180</v>
      </c>
      <c r="F118" s="685" t="s">
        <v>3258</v>
      </c>
      <c r="G118" s="875" t="s">
        <v>77</v>
      </c>
      <c r="H118" s="303" t="s">
        <v>266</v>
      </c>
      <c r="I118" s="1891">
        <v>9002071090</v>
      </c>
      <c r="J118" s="703">
        <v>9681122341</v>
      </c>
      <c r="K118" s="275" t="s">
        <v>261</v>
      </c>
      <c r="L118" s="398" t="s">
        <v>43</v>
      </c>
      <c r="M118" s="315">
        <v>31804</v>
      </c>
      <c r="N118" s="315">
        <v>53723</v>
      </c>
      <c r="O118" s="315">
        <v>46207</v>
      </c>
      <c r="P118" s="302">
        <v>45695</v>
      </c>
      <c r="Q118" s="316">
        <v>45674</v>
      </c>
      <c r="R118" s="280"/>
      <c r="S118" s="318" t="s">
        <v>1538</v>
      </c>
      <c r="T118" s="318" t="s">
        <v>6181</v>
      </c>
      <c r="U118" s="318" t="s">
        <v>6182</v>
      </c>
      <c r="V118" s="285">
        <f>LEN(D118)</f>
        <v>11</v>
      </c>
      <c r="W118" s="90"/>
      <c r="X118" s="90"/>
      <c r="Y118" s="298"/>
      <c r="Z118" s="298"/>
      <c r="AA118" s="298"/>
      <c r="AB118" s="298"/>
      <c r="AC118" s="298"/>
      <c r="AD118" s="298"/>
      <c r="AE118" s="298"/>
      <c r="AF118" s="298"/>
      <c r="AG118" s="298"/>
      <c r="AH118" s="298"/>
      <c r="AI118" s="298"/>
      <c r="AJ118" s="298"/>
      <c r="AK118" s="298"/>
      <c r="AL118" s="298"/>
      <c r="AM118" s="298"/>
    </row>
    <row r="119" spans="1:39" ht="15.75" customHeight="1">
      <c r="A119" s="936">
        <v>127</v>
      </c>
      <c r="B119" s="293" t="s">
        <v>6183</v>
      </c>
      <c r="C119" s="275" t="s">
        <v>31</v>
      </c>
      <c r="D119" s="564" t="s">
        <v>6184</v>
      </c>
      <c r="E119" s="1065" t="s">
        <v>6185</v>
      </c>
      <c r="F119" s="685" t="s">
        <v>759</v>
      </c>
      <c r="G119" s="284" t="s">
        <v>76</v>
      </c>
      <c r="H119" s="274" t="s">
        <v>266</v>
      </c>
      <c r="I119" s="461">
        <v>9002071096</v>
      </c>
      <c r="J119" s="690"/>
      <c r="K119" s="275" t="s">
        <v>261</v>
      </c>
      <c r="L119" s="1362" t="s">
        <v>664</v>
      </c>
      <c r="M119" s="289">
        <v>32249</v>
      </c>
      <c r="N119" s="289">
        <v>54178</v>
      </c>
      <c r="O119" s="272">
        <v>46201</v>
      </c>
      <c r="P119" s="302">
        <v>45695</v>
      </c>
      <c r="Q119" s="272">
        <v>45674</v>
      </c>
      <c r="R119" s="294"/>
      <c r="S119" s="295"/>
      <c r="T119" s="296" t="s">
        <v>6186</v>
      </c>
      <c r="U119" s="296" t="s">
        <v>6187</v>
      </c>
      <c r="V119" s="297">
        <f>LEN(TEXT(D119,0))</f>
        <v>11</v>
      </c>
      <c r="W119" s="297"/>
      <c r="X119" s="297"/>
      <c r="Y119" s="395"/>
      <c r="Z119" s="79"/>
      <c r="AA119" s="383"/>
      <c r="AB119" s="208">
        <f ca="1">INT((TODAY()-M119)/365)</f>
        <v>37</v>
      </c>
      <c r="AC119" s="384"/>
      <c r="AD119" s="384"/>
      <c r="AE119" s="384"/>
      <c r="AF119" s="384"/>
      <c r="AG119" s="384"/>
      <c r="AH119" s="384"/>
      <c r="AI119" s="384"/>
      <c r="AJ119" s="384"/>
      <c r="AK119" s="384"/>
      <c r="AL119" s="384"/>
      <c r="AM119" s="384"/>
    </row>
    <row r="120" spans="1:39" ht="15.75" customHeight="1">
      <c r="A120" s="936">
        <v>128</v>
      </c>
      <c r="B120" s="293" t="s">
        <v>6188</v>
      </c>
      <c r="C120" s="275" t="s">
        <v>31</v>
      </c>
      <c r="D120" s="1067" t="s">
        <v>6189</v>
      </c>
      <c r="E120" s="303" t="s">
        <v>6190</v>
      </c>
      <c r="F120" s="18" t="s">
        <v>759</v>
      </c>
      <c r="G120" s="303" t="s">
        <v>76</v>
      </c>
      <c r="H120" s="274" t="s">
        <v>266</v>
      </c>
      <c r="I120" s="275">
        <v>9333328800</v>
      </c>
      <c r="J120" s="284">
        <v>9333328800</v>
      </c>
      <c r="K120" s="275" t="s">
        <v>261</v>
      </c>
      <c r="L120" s="274" t="s">
        <v>417</v>
      </c>
      <c r="M120" s="272">
        <v>31882</v>
      </c>
      <c r="N120" s="272">
        <v>53812</v>
      </c>
      <c r="O120" s="272">
        <v>46208</v>
      </c>
      <c r="P120" s="424">
        <v>45628</v>
      </c>
      <c r="Q120" s="302">
        <v>45649</v>
      </c>
      <c r="R120" s="842"/>
      <c r="S120" s="309"/>
      <c r="T120" s="310" t="s">
        <v>6191</v>
      </c>
      <c r="U120" s="310" t="s">
        <v>6192</v>
      </c>
      <c r="V120" s="311">
        <f>LEN(D120)</f>
        <v>11</v>
      </c>
      <c r="W120" s="311"/>
      <c r="X120" s="1220">
        <f ca="1">INT((TODAY()-M120)/365)</f>
        <v>38</v>
      </c>
      <c r="Y120" s="311"/>
      <c r="Z120" s="311"/>
      <c r="AA120" s="311"/>
      <c r="AB120" s="311"/>
      <c r="AC120" s="311"/>
      <c r="AD120" s="311"/>
      <c r="AE120" s="311"/>
      <c r="AF120" s="311"/>
      <c r="AG120" s="311"/>
      <c r="AH120" s="311"/>
      <c r="AI120" s="311"/>
      <c r="AJ120" s="311"/>
      <c r="AK120" s="311"/>
      <c r="AL120" s="311"/>
      <c r="AM120" s="311"/>
    </row>
    <row r="121" spans="1:39" ht="15.75">
      <c r="A121" s="936">
        <v>129</v>
      </c>
      <c r="B121" s="1097" t="s">
        <v>6193</v>
      </c>
      <c r="C121" s="275" t="s">
        <v>31</v>
      </c>
      <c r="D121" s="564" t="s">
        <v>6194</v>
      </c>
      <c r="E121" s="582" t="s">
        <v>6195</v>
      </c>
      <c r="F121" s="274" t="s">
        <v>759</v>
      </c>
      <c r="G121" s="284" t="s">
        <v>77</v>
      </c>
      <c r="H121" s="274" t="s">
        <v>266</v>
      </c>
      <c r="I121" s="1644">
        <v>9002071790</v>
      </c>
      <c r="J121" s="284">
        <v>9143938920</v>
      </c>
      <c r="K121" s="275" t="s">
        <v>261</v>
      </c>
      <c r="L121" s="18" t="s">
        <v>61</v>
      </c>
      <c r="M121" s="289">
        <v>33144</v>
      </c>
      <c r="N121" s="289">
        <v>55061</v>
      </c>
      <c r="O121" s="272">
        <v>46202</v>
      </c>
      <c r="P121" s="272">
        <v>45628</v>
      </c>
      <c r="Q121" s="302">
        <v>45649</v>
      </c>
      <c r="R121" s="294"/>
      <c r="S121" s="295"/>
      <c r="T121" s="296" t="s">
        <v>6196</v>
      </c>
      <c r="U121" s="296" t="s">
        <v>6197</v>
      </c>
      <c r="V121" s="295">
        <f>LEN(TEXT(D121,0))</f>
        <v>11</v>
      </c>
      <c r="W121" s="388">
        <f ca="1">INT((TODAY()-M121)/365)</f>
        <v>35</v>
      </c>
      <c r="X121" s="311"/>
    </row>
    <row r="122" spans="1:39" ht="15.75" customHeight="1">
      <c r="A122" s="936">
        <v>130</v>
      </c>
      <c r="B122" s="276" t="s">
        <v>6198</v>
      </c>
      <c r="C122" s="275" t="s">
        <v>31</v>
      </c>
      <c r="D122" s="1458" t="s">
        <v>6199</v>
      </c>
      <c r="E122" s="970" t="s">
        <v>6200</v>
      </c>
      <c r="F122" s="685" t="s">
        <v>3258</v>
      </c>
      <c r="G122" s="875" t="s">
        <v>77</v>
      </c>
      <c r="H122" s="303" t="s">
        <v>266</v>
      </c>
      <c r="I122" s="1643">
        <v>9002071019</v>
      </c>
      <c r="J122" s="307"/>
      <c r="K122" s="275" t="s">
        <v>261</v>
      </c>
      <c r="L122" s="274" t="s">
        <v>44</v>
      </c>
      <c r="M122" s="315">
        <v>31385</v>
      </c>
      <c r="N122" s="315">
        <v>53327</v>
      </c>
      <c r="O122" s="315">
        <v>46419</v>
      </c>
      <c r="P122" s="302">
        <v>45695</v>
      </c>
      <c r="Q122" s="316">
        <v>45674</v>
      </c>
      <c r="R122" s="285"/>
      <c r="S122" s="285"/>
      <c r="T122" s="318" t="s">
        <v>6201</v>
      </c>
      <c r="U122" s="318" t="s">
        <v>6202</v>
      </c>
      <c r="V122" s="285">
        <f t="shared" ref="V122:V125" si="33">LEN(D122)</f>
        <v>11</v>
      </c>
      <c r="W122" s="90"/>
      <c r="X122" s="90"/>
      <c r="Y122" s="311"/>
      <c r="Z122" s="311"/>
      <c r="AA122" s="311"/>
      <c r="AB122" s="311"/>
      <c r="AC122" s="311"/>
      <c r="AD122" s="311"/>
      <c r="AE122" s="311"/>
      <c r="AF122" s="311"/>
      <c r="AG122" s="311"/>
      <c r="AH122" s="311"/>
      <c r="AI122" s="311"/>
      <c r="AJ122" s="311"/>
      <c r="AK122" s="311"/>
      <c r="AL122" s="311"/>
      <c r="AM122" s="311"/>
    </row>
    <row r="123" spans="1:39" ht="15.75" customHeight="1">
      <c r="A123" s="936">
        <v>131</v>
      </c>
      <c r="B123" s="365" t="s">
        <v>6203</v>
      </c>
      <c r="C123" s="275" t="s">
        <v>31</v>
      </c>
      <c r="D123" s="1888" t="s">
        <v>6204</v>
      </c>
      <c r="E123" s="18" t="s">
        <v>6205</v>
      </c>
      <c r="F123" s="946" t="s">
        <v>759</v>
      </c>
      <c r="G123" s="366" t="s">
        <v>76</v>
      </c>
      <c r="H123" s="274" t="s">
        <v>266</v>
      </c>
      <c r="I123" s="1643">
        <v>9163382090</v>
      </c>
      <c r="J123" s="381">
        <v>9088185192</v>
      </c>
      <c r="K123" s="275" t="s">
        <v>261</v>
      </c>
      <c r="L123" s="18" t="s">
        <v>56</v>
      </c>
      <c r="M123" s="368">
        <v>31654</v>
      </c>
      <c r="N123" s="368">
        <v>53570</v>
      </c>
      <c r="O123" s="371">
        <v>46175</v>
      </c>
      <c r="P123" s="368">
        <v>45156</v>
      </c>
      <c r="Q123" s="380">
        <v>45106</v>
      </c>
      <c r="R123" s="372" t="s">
        <v>6206</v>
      </c>
      <c r="S123" s="373" t="s">
        <v>6207</v>
      </c>
      <c r="T123" s="374" t="s">
        <v>6208</v>
      </c>
      <c r="U123" s="281" t="s">
        <v>6209</v>
      </c>
      <c r="V123" s="375">
        <f t="shared" si="33"/>
        <v>11</v>
      </c>
      <c r="W123" s="199"/>
      <c r="X123" s="199"/>
      <c r="Y123" s="90"/>
      <c r="AB123" s="311">
        <f t="shared" ref="AB123:AB124" ca="1" si="34">INT((TODAY()-M123)/365)</f>
        <v>39</v>
      </c>
    </row>
    <row r="124" spans="1:39" ht="15.75" customHeight="1">
      <c r="A124" s="936">
        <v>132</v>
      </c>
      <c r="B124" s="378" t="s">
        <v>6210</v>
      </c>
      <c r="C124" s="275" t="s">
        <v>31</v>
      </c>
      <c r="D124" s="1888" t="s">
        <v>6211</v>
      </c>
      <c r="E124" s="1889" t="s">
        <v>6212</v>
      </c>
      <c r="F124" s="946" t="s">
        <v>759</v>
      </c>
      <c r="G124" s="366" t="s">
        <v>76</v>
      </c>
      <c r="H124" s="274" t="s">
        <v>266</v>
      </c>
      <c r="I124" s="1643">
        <v>9002071012</v>
      </c>
      <c r="J124" s="369">
        <v>7044135546</v>
      </c>
      <c r="K124" s="275" t="s">
        <v>261</v>
      </c>
      <c r="L124" s="125" t="s">
        <v>67</v>
      </c>
      <c r="M124" s="368">
        <v>29952</v>
      </c>
      <c r="N124" s="368">
        <v>51897</v>
      </c>
      <c r="O124" s="371">
        <v>46204</v>
      </c>
      <c r="P124" s="368">
        <v>45131</v>
      </c>
      <c r="Q124" s="380">
        <v>45127</v>
      </c>
      <c r="R124" s="372" t="s">
        <v>6213</v>
      </c>
      <c r="S124" s="334"/>
      <c r="T124" s="374" t="s">
        <v>6214</v>
      </c>
      <c r="U124" s="373" t="s">
        <v>6209</v>
      </c>
      <c r="V124" s="375">
        <f t="shared" si="33"/>
        <v>11</v>
      </c>
      <c r="W124" s="199"/>
      <c r="X124" s="199"/>
      <c r="Y124" s="90"/>
      <c r="AB124" s="311">
        <f t="shared" ca="1" si="34"/>
        <v>44</v>
      </c>
    </row>
    <row r="125" spans="1:39" ht="15.75" customHeight="1">
      <c r="A125" s="936">
        <v>133</v>
      </c>
      <c r="B125" s="1882" t="s">
        <v>6215</v>
      </c>
      <c r="C125" s="275" t="s">
        <v>31</v>
      </c>
      <c r="D125" s="677">
        <v>50205618198</v>
      </c>
      <c r="E125" s="674" t="s">
        <v>6216</v>
      </c>
      <c r="F125" s="18" t="s">
        <v>759</v>
      </c>
      <c r="G125" s="337" t="s">
        <v>77</v>
      </c>
      <c r="H125" s="274" t="s">
        <v>266</v>
      </c>
      <c r="I125" s="536">
        <v>9002071179</v>
      </c>
      <c r="J125" s="703">
        <v>9434462919</v>
      </c>
      <c r="K125" s="275" t="s">
        <v>261</v>
      </c>
      <c r="L125" s="274" t="s">
        <v>256</v>
      </c>
      <c r="M125" s="315">
        <v>31243</v>
      </c>
      <c r="N125" s="315">
        <v>53174</v>
      </c>
      <c r="O125" s="315">
        <v>46203</v>
      </c>
      <c r="P125" s="315">
        <v>45156</v>
      </c>
      <c r="Q125" s="302">
        <v>45106</v>
      </c>
      <c r="R125" s="339" t="s">
        <v>6217</v>
      </c>
      <c r="S125" s="339" t="s">
        <v>6218</v>
      </c>
      <c r="T125" s="339" t="s">
        <v>6219</v>
      </c>
      <c r="U125" s="339" t="s">
        <v>6209</v>
      </c>
      <c r="V125" s="425">
        <f t="shared" si="33"/>
        <v>11</v>
      </c>
      <c r="W125" s="90"/>
      <c r="X125" s="1220">
        <f ca="1">INT((TODAY()-M125)/365)</f>
        <v>40</v>
      </c>
      <c r="Y125" s="90"/>
    </row>
    <row r="126" spans="1:39">
      <c r="A126" s="1051">
        <v>23</v>
      </c>
      <c r="B126" s="399" t="s">
        <v>6220</v>
      </c>
      <c r="C126" s="275" t="s">
        <v>31</v>
      </c>
      <c r="D126" s="1642" t="s">
        <v>6221</v>
      </c>
      <c r="E126" s="18" t="s">
        <v>6222</v>
      </c>
      <c r="F126" s="946" t="s">
        <v>759</v>
      </c>
      <c r="G126" s="306" t="s">
        <v>77</v>
      </c>
      <c r="H126" s="303" t="s">
        <v>266</v>
      </c>
      <c r="I126" s="1643">
        <v>9002071182</v>
      </c>
      <c r="J126" s="391"/>
      <c r="K126" s="275" t="s">
        <v>261</v>
      </c>
      <c r="L126" s="284" t="s">
        <v>62</v>
      </c>
      <c r="M126" s="289">
        <v>32845</v>
      </c>
      <c r="N126" s="289">
        <v>54788</v>
      </c>
      <c r="O126" s="400">
        <v>46247</v>
      </c>
      <c r="P126" s="315">
        <v>45321</v>
      </c>
      <c r="Q126" s="302">
        <v>45276</v>
      </c>
      <c r="R126" s="394" t="s">
        <v>6223</v>
      </c>
      <c r="S126" s="394" t="s">
        <v>6224</v>
      </c>
      <c r="T126" s="394" t="s">
        <v>6225</v>
      </c>
      <c r="U126" s="281" t="s">
        <v>6226</v>
      </c>
      <c r="V126" s="1189">
        <f ca="1">INT((TODAY()-M126)/365)</f>
        <v>36</v>
      </c>
      <c r="W126" s="79"/>
      <c r="X126" s="563"/>
      <c r="Y126" s="563"/>
      <c r="AA126" s="384"/>
      <c r="AB126" s="384"/>
      <c r="AC126" s="384"/>
      <c r="AD126" s="384"/>
      <c r="AE126" s="384"/>
      <c r="AF126" s="384"/>
      <c r="AG126" s="384"/>
      <c r="AH126" s="384"/>
      <c r="AI126" s="384"/>
      <c r="AJ126" s="384"/>
      <c r="AK126" s="384"/>
      <c r="AL126" s="384"/>
      <c r="AM126" s="384"/>
    </row>
    <row r="127" spans="1:39" ht="15.75" customHeight="1">
      <c r="A127" s="1051">
        <v>37</v>
      </c>
      <c r="B127" s="301" t="s">
        <v>6227</v>
      </c>
      <c r="C127" s="275" t="s">
        <v>31</v>
      </c>
      <c r="D127" s="1642" t="s">
        <v>6228</v>
      </c>
      <c r="E127" s="18" t="s">
        <v>6229</v>
      </c>
      <c r="F127" s="274" t="s">
        <v>759</v>
      </c>
      <c r="G127" s="284" t="s">
        <v>77</v>
      </c>
      <c r="H127" s="303" t="s">
        <v>1567</v>
      </c>
      <c r="I127" s="391">
        <v>7797521711</v>
      </c>
      <c r="J127" s="391"/>
      <c r="K127" s="275" t="s">
        <v>261</v>
      </c>
      <c r="L127" s="274" t="s">
        <v>664</v>
      </c>
      <c r="M127" s="289">
        <v>31081</v>
      </c>
      <c r="N127" s="289">
        <v>53021</v>
      </c>
      <c r="O127" s="400">
        <v>46235</v>
      </c>
      <c r="P127" s="315">
        <v>45321</v>
      </c>
      <c r="Q127" s="302">
        <v>45276</v>
      </c>
      <c r="R127" s="394" t="s">
        <v>6230</v>
      </c>
      <c r="S127" s="393"/>
      <c r="T127" s="394" t="s">
        <v>6231</v>
      </c>
      <c r="U127" s="393"/>
      <c r="V127" s="383">
        <f>LEN(TEXT(D127,0))</f>
        <v>11</v>
      </c>
      <c r="W127" s="395"/>
      <c r="Y127" s="90"/>
      <c r="AB127" s="311">
        <f ca="1">INT((TODAY()-M127)/365)</f>
        <v>41</v>
      </c>
    </row>
    <row r="128" spans="1:39" ht="15.75" customHeight="1">
      <c r="A128" s="961">
        <v>68</v>
      </c>
      <c r="B128" s="1882" t="s">
        <v>6232</v>
      </c>
      <c r="C128" s="275" t="s">
        <v>31</v>
      </c>
      <c r="D128" s="677">
        <v>50205618587</v>
      </c>
      <c r="E128" s="674" t="s">
        <v>6233</v>
      </c>
      <c r="F128" s="18" t="s">
        <v>759</v>
      </c>
      <c r="G128" s="337" t="s">
        <v>77</v>
      </c>
      <c r="H128" s="274" t="s">
        <v>266</v>
      </c>
      <c r="I128" s="558">
        <v>9002071670</v>
      </c>
      <c r="J128" s="307"/>
      <c r="K128" s="275" t="s">
        <v>261</v>
      </c>
      <c r="L128" s="274" t="s">
        <v>61</v>
      </c>
      <c r="M128" s="315">
        <v>31254</v>
      </c>
      <c r="N128" s="315">
        <v>53174</v>
      </c>
      <c r="O128" s="315">
        <v>46250</v>
      </c>
      <c r="P128" s="315">
        <v>45321</v>
      </c>
      <c r="Q128" s="302">
        <v>45276</v>
      </c>
      <c r="R128" s="318" t="s">
        <v>6234</v>
      </c>
      <c r="S128" s="318" t="s">
        <v>6235</v>
      </c>
      <c r="T128" s="318" t="s">
        <v>6236</v>
      </c>
      <c r="U128" s="318" t="s">
        <v>6237</v>
      </c>
      <c r="V128" s="285">
        <f t="shared" ref="V128:V129" si="35">LEN(D128)</f>
        <v>11</v>
      </c>
      <c r="W128" s="3"/>
      <c r="X128" s="48">
        <f ca="1">INT((TODAY()-M128)/365)</f>
        <v>40</v>
      </c>
      <c r="Y128" s="3"/>
      <c r="Z128" s="79"/>
      <c r="AA128" s="79"/>
    </row>
    <row r="129" spans="1:39" ht="18.75">
      <c r="A129" s="1051">
        <v>16</v>
      </c>
      <c r="B129" s="1927" t="s">
        <v>6238</v>
      </c>
      <c r="C129" s="275" t="s">
        <v>31</v>
      </c>
      <c r="D129" s="1642" t="s">
        <v>6239</v>
      </c>
      <c r="E129" s="18" t="s">
        <v>6240</v>
      </c>
      <c r="F129" s="284" t="s">
        <v>759</v>
      </c>
      <c r="G129" s="337" t="s">
        <v>77</v>
      </c>
      <c r="H129" s="274" t="s">
        <v>266</v>
      </c>
      <c r="I129" s="1643">
        <v>9002071607</v>
      </c>
      <c r="J129" s="690"/>
      <c r="K129" s="275" t="s">
        <v>261</v>
      </c>
      <c r="L129" s="303" t="s">
        <v>64</v>
      </c>
      <c r="M129" s="315">
        <v>32062</v>
      </c>
      <c r="N129" s="315">
        <v>53996</v>
      </c>
      <c r="O129" s="315">
        <v>46189</v>
      </c>
      <c r="P129" s="315">
        <v>45321</v>
      </c>
      <c r="Q129" s="302">
        <v>45276</v>
      </c>
      <c r="R129" s="318" t="s">
        <v>6241</v>
      </c>
      <c r="S129" s="285"/>
      <c r="T129" s="318" t="s">
        <v>6242</v>
      </c>
      <c r="U129" s="318" t="s">
        <v>6243</v>
      </c>
      <c r="V129" s="285">
        <f t="shared" si="35"/>
        <v>11</v>
      </c>
      <c r="W129" s="1189">
        <f t="shared" ref="W129:W131" ca="1" si="36">INT((TODAY()-M129)/365)</f>
        <v>38</v>
      </c>
      <c r="X129" s="311"/>
      <c r="Y129" s="311"/>
      <c r="Z129" s="311"/>
      <c r="AA129" s="311"/>
      <c r="AB129" s="311"/>
      <c r="AC129" s="311"/>
      <c r="AD129" s="311"/>
      <c r="AE129" s="311"/>
      <c r="AF129" s="311"/>
      <c r="AG129" s="311"/>
      <c r="AH129" s="311"/>
      <c r="AI129" s="311"/>
      <c r="AJ129" s="311"/>
      <c r="AK129" s="311"/>
      <c r="AL129" s="311"/>
      <c r="AM129" s="311"/>
    </row>
    <row r="130" spans="1:39" ht="15.75" customHeight="1">
      <c r="A130" s="1155">
        <v>10</v>
      </c>
      <c r="B130" s="293" t="s">
        <v>6244</v>
      </c>
      <c r="C130" s="275" t="s">
        <v>31</v>
      </c>
      <c r="D130" s="564" t="s">
        <v>6245</v>
      </c>
      <c r="E130" s="491" t="s">
        <v>6246</v>
      </c>
      <c r="F130" s="274" t="s">
        <v>759</v>
      </c>
      <c r="G130" s="303" t="s">
        <v>76</v>
      </c>
      <c r="H130" s="274" t="s">
        <v>279</v>
      </c>
      <c r="I130" s="274">
        <v>9002071752</v>
      </c>
      <c r="J130" s="284">
        <v>9883250592</v>
      </c>
      <c r="K130" s="275" t="s">
        <v>261</v>
      </c>
      <c r="L130" s="274" t="s">
        <v>67</v>
      </c>
      <c r="M130" s="289">
        <v>31822</v>
      </c>
      <c r="N130" s="289">
        <v>53751</v>
      </c>
      <c r="O130" s="272">
        <v>46092</v>
      </c>
      <c r="P130" s="272">
        <v>45375</v>
      </c>
      <c r="Q130" s="302">
        <v>45316</v>
      </c>
      <c r="R130" s="294"/>
      <c r="S130" s="296" t="s">
        <v>6247</v>
      </c>
      <c r="T130" s="296" t="s">
        <v>6248</v>
      </c>
      <c r="U130" s="296" t="s">
        <v>6249</v>
      </c>
      <c r="V130" s="295">
        <f t="shared" ref="V130:V133" si="37">LEN(TEXT(D130,0))</f>
        <v>11</v>
      </c>
      <c r="W130" s="282">
        <f t="shared" ca="1" si="36"/>
        <v>39</v>
      </c>
      <c r="X130" s="297"/>
      <c r="Y130" s="3"/>
      <c r="AB130" s="208">
        <f t="shared" ref="AB130:AB132" ca="1" si="38">INT((TODAY()-M130)/365)</f>
        <v>39</v>
      </c>
      <c r="AC130" s="384"/>
      <c r="AD130" s="384"/>
      <c r="AE130" s="384"/>
      <c r="AF130" s="384"/>
      <c r="AG130" s="384"/>
      <c r="AH130" s="384"/>
      <c r="AI130" s="384"/>
      <c r="AJ130" s="384"/>
      <c r="AK130" s="384"/>
      <c r="AL130" s="384"/>
      <c r="AM130" s="384"/>
    </row>
    <row r="131" spans="1:39" ht="15.75" customHeight="1">
      <c r="A131" s="1155">
        <v>11</v>
      </c>
      <c r="B131" s="293" t="s">
        <v>6250</v>
      </c>
      <c r="C131" s="275" t="s">
        <v>31</v>
      </c>
      <c r="D131" s="564" t="s">
        <v>6251</v>
      </c>
      <c r="E131" s="491" t="s">
        <v>6252</v>
      </c>
      <c r="F131" s="274" t="s">
        <v>759</v>
      </c>
      <c r="G131" s="274" t="s">
        <v>77</v>
      </c>
      <c r="H131" s="274" t="s">
        <v>279</v>
      </c>
      <c r="I131" s="1825">
        <v>9002071087</v>
      </c>
      <c r="J131" s="284">
        <v>7980509963</v>
      </c>
      <c r="K131" s="275" t="s">
        <v>261</v>
      </c>
      <c r="L131" s="274" t="s">
        <v>54</v>
      </c>
      <c r="M131" s="289">
        <v>31126</v>
      </c>
      <c r="N131" s="289">
        <v>53052</v>
      </c>
      <c r="O131" s="272">
        <v>46160</v>
      </c>
      <c r="P131" s="278">
        <v>45499</v>
      </c>
      <c r="Q131" s="302">
        <v>45369</v>
      </c>
      <c r="R131" s="294"/>
      <c r="S131" s="296" t="s">
        <v>6253</v>
      </c>
      <c r="T131" s="296" t="s">
        <v>6254</v>
      </c>
      <c r="U131" s="296" t="s">
        <v>6255</v>
      </c>
      <c r="V131" s="295">
        <f t="shared" si="37"/>
        <v>11</v>
      </c>
      <c r="W131" s="282">
        <f t="shared" ca="1" si="36"/>
        <v>41</v>
      </c>
      <c r="X131" s="297"/>
      <c r="Y131" s="297"/>
      <c r="Z131" s="297"/>
      <c r="AA131" s="297"/>
      <c r="AB131" s="311">
        <f t="shared" ca="1" si="38"/>
        <v>41</v>
      </c>
    </row>
    <row r="132" spans="1:39" ht="15.75" customHeight="1">
      <c r="A132" s="1051">
        <v>53</v>
      </c>
      <c r="B132" s="351" t="s">
        <v>6256</v>
      </c>
      <c r="C132" s="275" t="s">
        <v>31</v>
      </c>
      <c r="D132" s="1928" t="s">
        <v>6257</v>
      </c>
      <c r="E132" s="18" t="s">
        <v>6258</v>
      </c>
      <c r="F132" s="958" t="s">
        <v>759</v>
      </c>
      <c r="G132" s="284" t="s">
        <v>76</v>
      </c>
      <c r="H132" s="303" t="s">
        <v>266</v>
      </c>
      <c r="I132" s="391">
        <v>8100641958</v>
      </c>
      <c r="J132" s="391"/>
      <c r="K132" s="275" t="s">
        <v>261</v>
      </c>
      <c r="L132" s="125" t="s">
        <v>67</v>
      </c>
      <c r="M132" s="289">
        <v>32549</v>
      </c>
      <c r="N132" s="289">
        <v>54482</v>
      </c>
      <c r="O132" s="392">
        <v>45838</v>
      </c>
      <c r="P132" s="272">
        <v>45363</v>
      </c>
      <c r="Q132" s="272">
        <v>45307</v>
      </c>
      <c r="R132" s="394" t="s">
        <v>6259</v>
      </c>
      <c r="S132" s="394" t="s">
        <v>6260</v>
      </c>
      <c r="T132" s="394" t="s">
        <v>6261</v>
      </c>
      <c r="U132" s="394" t="s">
        <v>6262</v>
      </c>
      <c r="V132" s="383">
        <f t="shared" si="37"/>
        <v>11</v>
      </c>
      <c r="W132" s="395"/>
      <c r="X132" s="3"/>
      <c r="Y132" s="395"/>
      <c r="Z132" s="79"/>
      <c r="AA132" s="383"/>
      <c r="AB132" s="208">
        <f t="shared" ca="1" si="38"/>
        <v>37</v>
      </c>
      <c r="AC132" s="384"/>
      <c r="AD132" s="384"/>
      <c r="AE132" s="384"/>
      <c r="AF132" s="384"/>
      <c r="AG132" s="384"/>
      <c r="AH132" s="384"/>
      <c r="AI132" s="384"/>
      <c r="AJ132" s="384"/>
      <c r="AK132" s="384"/>
      <c r="AL132" s="384"/>
      <c r="AM132" s="384"/>
    </row>
    <row r="133" spans="1:39" ht="15.75" customHeight="1">
      <c r="A133" s="1051">
        <v>45</v>
      </c>
      <c r="B133" s="351" t="s">
        <v>6263</v>
      </c>
      <c r="C133" s="275" t="s">
        <v>31</v>
      </c>
      <c r="D133" s="1642" t="s">
        <v>6264</v>
      </c>
      <c r="E133" s="18" t="s">
        <v>6265</v>
      </c>
      <c r="F133" s="685" t="s">
        <v>759</v>
      </c>
      <c r="G133" s="284" t="s">
        <v>77</v>
      </c>
      <c r="H133" s="303" t="s">
        <v>266</v>
      </c>
      <c r="I133" s="1643">
        <v>9002071091</v>
      </c>
      <c r="J133" s="887">
        <v>7001371395</v>
      </c>
      <c r="K133" s="275" t="s">
        <v>261</v>
      </c>
      <c r="L133" s="274" t="s">
        <v>664</v>
      </c>
      <c r="M133" s="289">
        <v>30256</v>
      </c>
      <c r="N133" s="289">
        <v>52170</v>
      </c>
      <c r="O133" s="392">
        <v>46187</v>
      </c>
      <c r="P133" s="302">
        <v>45695</v>
      </c>
      <c r="Q133" s="272">
        <v>45552</v>
      </c>
      <c r="R133" s="394" t="s">
        <v>6266</v>
      </c>
      <c r="S133" s="394" t="s">
        <v>6267</v>
      </c>
      <c r="T133" s="394" t="s">
        <v>6268</v>
      </c>
      <c r="U133" s="394" t="s">
        <v>6269</v>
      </c>
      <c r="V133" s="383">
        <f t="shared" si="37"/>
        <v>11</v>
      </c>
      <c r="W133" s="395"/>
      <c r="X133" s="208">
        <f t="shared" ref="X133:X134" ca="1" si="39">INT((TODAY()-M133)/365)</f>
        <v>43</v>
      </c>
      <c r="Y133" s="90"/>
    </row>
    <row r="134" spans="1:39" ht="15.75" customHeight="1">
      <c r="A134" s="1051">
        <v>40</v>
      </c>
      <c r="B134" s="1461" t="s">
        <v>6270</v>
      </c>
      <c r="C134" s="275" t="s">
        <v>31</v>
      </c>
      <c r="D134" s="675">
        <v>50200154180</v>
      </c>
      <c r="E134" s="674" t="s">
        <v>6271</v>
      </c>
      <c r="F134" s="1631" t="s">
        <v>759</v>
      </c>
      <c r="G134" s="337" t="s">
        <v>77</v>
      </c>
      <c r="H134" s="303" t="s">
        <v>1567</v>
      </c>
      <c r="I134" s="536">
        <v>9002071074</v>
      </c>
      <c r="J134" s="307"/>
      <c r="K134" s="275" t="s">
        <v>261</v>
      </c>
      <c r="L134" s="274" t="s">
        <v>351</v>
      </c>
      <c r="M134" s="315">
        <v>32738</v>
      </c>
      <c r="N134" s="315">
        <v>54666</v>
      </c>
      <c r="O134" s="315">
        <v>45854</v>
      </c>
      <c r="P134" s="272">
        <v>45485</v>
      </c>
      <c r="Q134" s="316">
        <v>45468</v>
      </c>
      <c r="R134" s="318" t="s">
        <v>6272</v>
      </c>
      <c r="S134" s="318" t="s">
        <v>6273</v>
      </c>
      <c r="T134" s="318" t="s">
        <v>6274</v>
      </c>
      <c r="U134" s="318" t="s">
        <v>6275</v>
      </c>
      <c r="V134" s="285">
        <f>LEN(D134)</f>
        <v>11</v>
      </c>
      <c r="W134" s="90"/>
      <c r="X134" s="1220">
        <f t="shared" ca="1" si="39"/>
        <v>36</v>
      </c>
      <c r="Y134" s="298"/>
      <c r="Z134" s="298"/>
      <c r="AA134" s="298"/>
      <c r="AB134" s="298"/>
      <c r="AC134" s="298"/>
      <c r="AD134" s="298"/>
      <c r="AE134" s="298"/>
      <c r="AF134" s="298"/>
      <c r="AG134" s="298"/>
      <c r="AH134" s="298"/>
      <c r="AI134" s="298"/>
      <c r="AJ134" s="298"/>
      <c r="AK134" s="298"/>
      <c r="AL134" s="298"/>
      <c r="AM134" s="298"/>
    </row>
    <row r="135" spans="1:39" ht="15.75" customHeight="1">
      <c r="A135" s="1929">
        <v>1</v>
      </c>
      <c r="B135" s="293" t="s">
        <v>6276</v>
      </c>
      <c r="C135" s="275" t="s">
        <v>21</v>
      </c>
      <c r="D135" s="562" t="s">
        <v>6277</v>
      </c>
      <c r="E135" s="284" t="s">
        <v>6278</v>
      </c>
      <c r="F135" s="274" t="s">
        <v>759</v>
      </c>
      <c r="G135" s="284" t="s">
        <v>76</v>
      </c>
      <c r="H135" s="275"/>
      <c r="I135" s="284">
        <v>9002071805</v>
      </c>
      <c r="J135" s="284">
        <v>9002071805</v>
      </c>
      <c r="K135" s="275" t="s">
        <v>261</v>
      </c>
      <c r="L135" s="18" t="s">
        <v>65</v>
      </c>
      <c r="M135" s="272">
        <v>24475</v>
      </c>
      <c r="N135" s="289">
        <v>46418</v>
      </c>
      <c r="O135" s="272">
        <v>45297</v>
      </c>
      <c r="P135" s="272">
        <v>45541</v>
      </c>
      <c r="Q135" s="302">
        <v>45188</v>
      </c>
      <c r="S135" s="377" t="s">
        <v>6279</v>
      </c>
      <c r="T135" s="493"/>
      <c r="U135" s="493"/>
      <c r="V135" s="298">
        <f t="shared" ref="V135:V148" si="40">LEN(TEXT(D135,0))</f>
        <v>11</v>
      </c>
      <c r="W135" s="208">
        <f t="shared" ref="W135:W148" ca="1" si="41">INT((TODAY()-M135)/365)</f>
        <v>59</v>
      </c>
      <c r="X135" s="298"/>
      <c r="Y135" s="90"/>
    </row>
    <row r="136" spans="1:39" ht="15.75" customHeight="1">
      <c r="A136" s="1930">
        <v>2</v>
      </c>
      <c r="B136" s="293" t="s">
        <v>6280</v>
      </c>
      <c r="C136" s="275" t="s">
        <v>21</v>
      </c>
      <c r="D136" s="562" t="s">
        <v>6281</v>
      </c>
      <c r="E136" s="274" t="s">
        <v>6282</v>
      </c>
      <c r="F136" s="274" t="s">
        <v>759</v>
      </c>
      <c r="G136" s="274" t="s">
        <v>78</v>
      </c>
      <c r="H136" s="275"/>
      <c r="I136" s="275">
        <v>8240637937</v>
      </c>
      <c r="J136" s="275">
        <v>8240637937</v>
      </c>
      <c r="K136" s="275" t="s">
        <v>261</v>
      </c>
      <c r="L136" s="274" t="s">
        <v>65</v>
      </c>
      <c r="M136" s="289">
        <v>31987</v>
      </c>
      <c r="N136" s="289">
        <v>53904</v>
      </c>
      <c r="O136" s="272">
        <v>46232</v>
      </c>
      <c r="P136" s="272">
        <v>45791</v>
      </c>
      <c r="Q136" s="289" t="s">
        <v>6283</v>
      </c>
      <c r="R136" s="294"/>
      <c r="S136" s="296" t="s">
        <v>6284</v>
      </c>
      <c r="T136" s="295"/>
      <c r="U136" s="295"/>
      <c r="V136" s="297">
        <f t="shared" si="40"/>
        <v>11</v>
      </c>
      <c r="W136" s="208">
        <f t="shared" ca="1" si="41"/>
        <v>38</v>
      </c>
      <c r="X136" s="298"/>
      <c r="Y136" s="298"/>
      <c r="Z136" s="298"/>
      <c r="AA136" s="298"/>
      <c r="AB136" s="298"/>
      <c r="AC136" s="298"/>
      <c r="AD136" s="298"/>
      <c r="AE136" s="298"/>
      <c r="AF136" s="298"/>
      <c r="AG136" s="298"/>
      <c r="AH136" s="311"/>
      <c r="AI136" s="311"/>
      <c r="AJ136" s="311"/>
      <c r="AK136" s="311"/>
      <c r="AL136" s="311"/>
      <c r="AM136" s="311"/>
    </row>
    <row r="137" spans="1:39" ht="15.75" customHeight="1">
      <c r="A137" s="1929">
        <v>3</v>
      </c>
      <c r="B137" s="293" t="s">
        <v>6285</v>
      </c>
      <c r="C137" s="275" t="s">
        <v>21</v>
      </c>
      <c r="D137" s="1466" t="s">
        <v>6286</v>
      </c>
      <c r="E137" s="686" t="s">
        <v>6287</v>
      </c>
      <c r="F137" s="274" t="s">
        <v>759</v>
      </c>
      <c r="G137" s="274" t="s">
        <v>77</v>
      </c>
      <c r="H137" s="275"/>
      <c r="I137" s="275">
        <v>8420320013</v>
      </c>
      <c r="J137" s="284">
        <v>8420320013</v>
      </c>
      <c r="K137" s="275" t="s">
        <v>261</v>
      </c>
      <c r="L137" s="274" t="s">
        <v>65</v>
      </c>
      <c r="M137" s="289">
        <v>27030</v>
      </c>
      <c r="N137" s="289">
        <v>48944</v>
      </c>
      <c r="O137" s="272">
        <v>45130</v>
      </c>
      <c r="P137" s="272">
        <v>45849</v>
      </c>
      <c r="Q137" s="272">
        <v>45886</v>
      </c>
      <c r="R137" s="998"/>
      <c r="S137" s="1858" t="s">
        <v>6288</v>
      </c>
      <c r="T137" s="295"/>
      <c r="U137" s="295"/>
      <c r="V137" s="297">
        <f t="shared" si="40"/>
        <v>11</v>
      </c>
      <c r="W137" s="208">
        <f t="shared" ca="1" si="41"/>
        <v>52</v>
      </c>
      <c r="X137" s="298"/>
      <c r="Y137" s="298"/>
      <c r="Z137" s="298"/>
      <c r="AA137" s="298"/>
      <c r="AB137" s="298"/>
      <c r="AC137" s="298"/>
      <c r="AD137" s="298"/>
      <c r="AE137" s="298"/>
      <c r="AF137" s="298"/>
      <c r="AG137" s="298"/>
      <c r="AH137" s="298"/>
      <c r="AI137" s="298"/>
      <c r="AJ137" s="298"/>
      <c r="AK137" s="298"/>
      <c r="AL137" s="298"/>
      <c r="AM137" s="298"/>
    </row>
    <row r="138" spans="1:39" ht="15.75" customHeight="1">
      <c r="A138" s="1930">
        <v>4</v>
      </c>
      <c r="B138" s="293" t="s">
        <v>6289</v>
      </c>
      <c r="C138" s="275" t="s">
        <v>21</v>
      </c>
      <c r="D138" s="562" t="s">
        <v>6290</v>
      </c>
      <c r="E138" s="366" t="s">
        <v>6291</v>
      </c>
      <c r="F138" s="274" t="s">
        <v>759</v>
      </c>
      <c r="G138" s="274" t="s">
        <v>77</v>
      </c>
      <c r="H138" s="275"/>
      <c r="I138" s="274">
        <v>6289990692</v>
      </c>
      <c r="J138" s="274">
        <v>6289990692</v>
      </c>
      <c r="K138" s="275" t="s">
        <v>261</v>
      </c>
      <c r="L138" s="274" t="s">
        <v>65</v>
      </c>
      <c r="M138" s="289">
        <v>28382</v>
      </c>
      <c r="N138" s="289">
        <v>50313</v>
      </c>
      <c r="O138" s="272">
        <v>45482</v>
      </c>
      <c r="P138" s="279">
        <v>45738</v>
      </c>
      <c r="Q138" s="316">
        <v>45412</v>
      </c>
      <c r="R138" s="294"/>
      <c r="S138" s="296" t="s">
        <v>6292</v>
      </c>
      <c r="T138" s="295"/>
      <c r="U138" s="295"/>
      <c r="V138" s="297">
        <f t="shared" si="40"/>
        <v>11</v>
      </c>
      <c r="W138" s="208">
        <f t="shared" ca="1" si="41"/>
        <v>48</v>
      </c>
      <c r="X138" s="298"/>
      <c r="Y138" s="298"/>
      <c r="Z138" s="298"/>
      <c r="AA138" s="298"/>
      <c r="AB138" s="298"/>
      <c r="AC138" s="298"/>
      <c r="AD138" s="298"/>
      <c r="AE138" s="298"/>
      <c r="AF138" s="298"/>
      <c r="AG138" s="298"/>
      <c r="AH138" s="298"/>
      <c r="AI138" s="298"/>
      <c r="AJ138" s="298"/>
      <c r="AK138" s="298"/>
      <c r="AL138" s="298"/>
      <c r="AM138" s="298"/>
    </row>
    <row r="139" spans="1:39" ht="15.75" customHeight="1">
      <c r="A139" s="1929">
        <v>5</v>
      </c>
      <c r="B139" s="293" t="s">
        <v>6293</v>
      </c>
      <c r="C139" s="275" t="s">
        <v>21</v>
      </c>
      <c r="D139" s="1466" t="s">
        <v>6294</v>
      </c>
      <c r="E139" s="284" t="s">
        <v>6295</v>
      </c>
      <c r="F139" s="274" t="s">
        <v>759</v>
      </c>
      <c r="G139" s="284" t="s">
        <v>76</v>
      </c>
      <c r="H139" s="275"/>
      <c r="I139" s="284">
        <v>8420320035</v>
      </c>
      <c r="J139" s="284">
        <v>8420320035</v>
      </c>
      <c r="K139" s="275" t="s">
        <v>261</v>
      </c>
      <c r="L139" s="274" t="s">
        <v>65</v>
      </c>
      <c r="M139" s="289">
        <v>28880</v>
      </c>
      <c r="N139" s="289">
        <v>50801</v>
      </c>
      <c r="O139" s="272">
        <v>45386</v>
      </c>
      <c r="P139" s="279">
        <v>45204</v>
      </c>
      <c r="Q139" s="289" t="s">
        <v>1904</v>
      </c>
      <c r="R139" s="294"/>
      <c r="S139" s="296" t="s">
        <v>6296</v>
      </c>
      <c r="T139" s="888" t="s">
        <v>1269</v>
      </c>
      <c r="U139" s="295"/>
      <c r="V139" s="297">
        <f t="shared" si="40"/>
        <v>11</v>
      </c>
      <c r="W139" s="208">
        <f t="shared" ca="1" si="41"/>
        <v>47</v>
      </c>
      <c r="X139" s="298"/>
      <c r="Y139" s="298"/>
      <c r="Z139" s="298"/>
      <c r="AA139" s="298"/>
      <c r="AB139" s="298"/>
      <c r="AC139" s="298"/>
      <c r="AD139" s="298"/>
      <c r="AE139" s="298"/>
      <c r="AF139" s="298"/>
      <c r="AG139" s="298"/>
      <c r="AH139" s="298"/>
      <c r="AI139" s="298"/>
      <c r="AJ139" s="298"/>
      <c r="AK139" s="298"/>
      <c r="AL139" s="298"/>
      <c r="AM139" s="298"/>
    </row>
    <row r="140" spans="1:39" ht="15.75" customHeight="1">
      <c r="A140" s="1930">
        <v>6</v>
      </c>
      <c r="B140" s="293" t="s">
        <v>6297</v>
      </c>
      <c r="C140" s="275" t="s">
        <v>21</v>
      </c>
      <c r="D140" s="1912" t="s">
        <v>6298</v>
      </c>
      <c r="E140" s="303" t="s">
        <v>6299</v>
      </c>
      <c r="F140" s="274" t="s">
        <v>759</v>
      </c>
      <c r="G140" s="303" t="s">
        <v>76</v>
      </c>
      <c r="H140" s="275"/>
      <c r="I140" s="275">
        <v>9002079600</v>
      </c>
      <c r="J140" s="275">
        <v>9002079600</v>
      </c>
      <c r="K140" s="275" t="s">
        <v>261</v>
      </c>
      <c r="L140" s="274" t="s">
        <v>65</v>
      </c>
      <c r="M140" s="289">
        <v>27357</v>
      </c>
      <c r="N140" s="289">
        <v>49278</v>
      </c>
      <c r="O140" s="272">
        <v>45711</v>
      </c>
      <c r="P140" s="272">
        <v>45907</v>
      </c>
      <c r="Q140" s="272">
        <v>45950</v>
      </c>
      <c r="R140" s="294"/>
      <c r="S140" s="394" t="s">
        <v>6300</v>
      </c>
      <c r="T140" s="295"/>
      <c r="U140" s="295"/>
      <c r="V140" s="297">
        <f t="shared" si="40"/>
        <v>11</v>
      </c>
      <c r="W140" s="208">
        <f t="shared" ca="1" si="41"/>
        <v>51</v>
      </c>
      <c r="X140" s="298"/>
      <c r="Y140" s="298"/>
      <c r="Z140" s="298"/>
      <c r="AA140" s="298"/>
      <c r="AB140" s="298"/>
      <c r="AC140" s="298"/>
      <c r="AD140" s="298"/>
      <c r="AE140" s="298"/>
      <c r="AF140" s="298"/>
      <c r="AG140" s="298"/>
      <c r="AH140" s="298"/>
      <c r="AI140" s="298"/>
      <c r="AJ140" s="298"/>
      <c r="AK140" s="298"/>
      <c r="AL140" s="298"/>
      <c r="AM140" s="298"/>
    </row>
    <row r="141" spans="1:39" ht="15.75" customHeight="1">
      <c r="A141" s="1929">
        <v>7</v>
      </c>
      <c r="B141" s="293" t="s">
        <v>6301</v>
      </c>
      <c r="C141" s="275" t="s">
        <v>21</v>
      </c>
      <c r="D141" s="562" t="s">
        <v>6302</v>
      </c>
      <c r="E141" s="303" t="s">
        <v>6303</v>
      </c>
      <c r="F141" s="274" t="s">
        <v>759</v>
      </c>
      <c r="G141" s="303" t="s">
        <v>76</v>
      </c>
      <c r="H141" s="275"/>
      <c r="I141" s="275">
        <v>9002079023</v>
      </c>
      <c r="J141" s="284">
        <v>9002079023</v>
      </c>
      <c r="K141" s="275" t="s">
        <v>261</v>
      </c>
      <c r="L141" s="274" t="s">
        <v>65</v>
      </c>
      <c r="M141" s="272">
        <v>28676</v>
      </c>
      <c r="N141" s="289">
        <v>50617</v>
      </c>
      <c r="O141" s="272">
        <v>45127</v>
      </c>
      <c r="P141" s="272">
        <v>45541</v>
      </c>
      <c r="Q141" s="316">
        <v>45468</v>
      </c>
      <c r="R141" s="79"/>
      <c r="S141" s="603" t="s">
        <v>6304</v>
      </c>
      <c r="T141" s="295"/>
      <c r="U141" s="295"/>
      <c r="V141" s="297">
        <f t="shared" si="40"/>
        <v>11</v>
      </c>
      <c r="W141" s="208">
        <f t="shared" ca="1" si="41"/>
        <v>47</v>
      </c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  <c r="AH141" s="298"/>
      <c r="AI141" s="298"/>
      <c r="AJ141" s="298"/>
      <c r="AK141" s="298"/>
      <c r="AL141" s="298"/>
      <c r="AM141" s="298"/>
    </row>
    <row r="142" spans="1:39" ht="15.75" customHeight="1">
      <c r="A142" s="1930">
        <v>8</v>
      </c>
      <c r="B142" s="293" t="s">
        <v>6305</v>
      </c>
      <c r="C142" s="275" t="s">
        <v>21</v>
      </c>
      <c r="D142" s="562" t="s">
        <v>6306</v>
      </c>
      <c r="E142" s="303" t="s">
        <v>6307</v>
      </c>
      <c r="F142" s="274" t="s">
        <v>759</v>
      </c>
      <c r="G142" s="303" t="s">
        <v>76</v>
      </c>
      <c r="H142" s="275"/>
      <c r="I142" s="275">
        <v>9002071045</v>
      </c>
      <c r="J142" s="275">
        <v>9002071045</v>
      </c>
      <c r="K142" s="275" t="s">
        <v>261</v>
      </c>
      <c r="L142" s="274" t="s">
        <v>65</v>
      </c>
      <c r="M142" s="289">
        <v>26619</v>
      </c>
      <c r="N142" s="289">
        <v>48548</v>
      </c>
      <c r="O142" s="272">
        <v>45157</v>
      </c>
      <c r="P142" s="1837">
        <v>45598</v>
      </c>
      <c r="Q142" s="316">
        <v>45496</v>
      </c>
      <c r="R142" s="79"/>
      <c r="S142" s="603" t="s">
        <v>6308</v>
      </c>
      <c r="T142" s="295"/>
      <c r="U142" s="295"/>
      <c r="V142" s="297">
        <f t="shared" si="40"/>
        <v>11</v>
      </c>
      <c r="W142" s="208">
        <f t="shared" ca="1" si="41"/>
        <v>53</v>
      </c>
      <c r="X142" s="298"/>
      <c r="Y142" s="298"/>
      <c r="Z142" s="298"/>
      <c r="AA142" s="298"/>
      <c r="AB142" s="298"/>
      <c r="AC142" s="298"/>
      <c r="AD142" s="298"/>
      <c r="AE142" s="298"/>
      <c r="AF142" s="298"/>
      <c r="AG142" s="298"/>
      <c r="AH142" s="298"/>
      <c r="AI142" s="298"/>
      <c r="AJ142" s="298"/>
      <c r="AK142" s="298"/>
      <c r="AL142" s="298"/>
      <c r="AM142" s="298"/>
    </row>
    <row r="143" spans="1:39" ht="15.75" customHeight="1">
      <c r="A143" s="1929">
        <v>9</v>
      </c>
      <c r="B143" s="293" t="s">
        <v>6309</v>
      </c>
      <c r="C143" s="275" t="s">
        <v>21</v>
      </c>
      <c r="D143" s="562" t="s">
        <v>6310</v>
      </c>
      <c r="E143" s="303" t="s">
        <v>6311</v>
      </c>
      <c r="F143" s="274" t="s">
        <v>759</v>
      </c>
      <c r="G143" s="303" t="s">
        <v>76</v>
      </c>
      <c r="H143" s="274"/>
      <c r="I143" s="275">
        <v>9002079607</v>
      </c>
      <c r="J143" s="284">
        <v>9002079607</v>
      </c>
      <c r="K143" s="275" t="s">
        <v>261</v>
      </c>
      <c r="L143" s="274" t="s">
        <v>65</v>
      </c>
      <c r="M143" s="289">
        <v>28509</v>
      </c>
      <c r="N143" s="289">
        <v>50436</v>
      </c>
      <c r="O143" s="272">
        <v>45447</v>
      </c>
      <c r="P143" s="279">
        <v>45204</v>
      </c>
      <c r="Q143" s="302">
        <v>45125</v>
      </c>
      <c r="R143" s="294"/>
      <c r="S143" s="296" t="s">
        <v>6312</v>
      </c>
      <c r="T143" s="295"/>
      <c r="U143" s="295"/>
      <c r="V143" s="297">
        <f t="shared" si="40"/>
        <v>11</v>
      </c>
      <c r="W143" s="208">
        <f t="shared" ca="1" si="41"/>
        <v>48</v>
      </c>
      <c r="X143" s="298"/>
      <c r="Y143" s="298"/>
      <c r="Z143" s="298"/>
      <c r="AA143" s="298"/>
      <c r="AB143" s="298"/>
      <c r="AC143" s="298"/>
      <c r="AD143" s="298"/>
      <c r="AE143" s="298"/>
      <c r="AF143" s="298"/>
      <c r="AG143" s="298"/>
      <c r="AH143" s="298"/>
      <c r="AI143" s="298"/>
      <c r="AJ143" s="298"/>
      <c r="AK143" s="298"/>
      <c r="AL143" s="298"/>
      <c r="AM143" s="298"/>
    </row>
    <row r="144" spans="1:39" ht="15.75" customHeight="1">
      <c r="A144" s="1930">
        <v>10</v>
      </c>
      <c r="B144" s="293" t="s">
        <v>6313</v>
      </c>
      <c r="C144" s="275" t="s">
        <v>21</v>
      </c>
      <c r="D144" s="1912" t="s">
        <v>6314</v>
      </c>
      <c r="E144" s="303" t="s">
        <v>6315</v>
      </c>
      <c r="F144" s="274" t="s">
        <v>759</v>
      </c>
      <c r="G144" s="303" t="s">
        <v>76</v>
      </c>
      <c r="H144" s="275"/>
      <c r="I144" s="275">
        <v>9002079723</v>
      </c>
      <c r="J144" s="601">
        <v>9831506167</v>
      </c>
      <c r="K144" s="275" t="s">
        <v>261</v>
      </c>
      <c r="L144" s="274" t="s">
        <v>65</v>
      </c>
      <c r="M144" s="272">
        <v>30875</v>
      </c>
      <c r="N144" s="289">
        <v>52809</v>
      </c>
      <c r="O144" s="272">
        <v>45852</v>
      </c>
      <c r="P144" s="272">
        <v>45340</v>
      </c>
      <c r="Q144" s="302">
        <v>45188</v>
      </c>
      <c r="R144" s="294"/>
      <c r="S144" s="296" t="s">
        <v>6316</v>
      </c>
      <c r="T144" s="295"/>
      <c r="U144" s="295"/>
      <c r="V144" s="297">
        <f t="shared" si="40"/>
        <v>11</v>
      </c>
      <c r="W144" s="208">
        <f t="shared" ca="1" si="41"/>
        <v>41</v>
      </c>
      <c r="X144" s="298"/>
      <c r="Y144" s="298"/>
      <c r="Z144" s="298"/>
      <c r="AA144" s="298"/>
      <c r="AB144" s="298"/>
      <c r="AC144" s="298"/>
      <c r="AD144" s="298"/>
      <c r="AE144" s="298"/>
      <c r="AF144" s="298"/>
      <c r="AG144" s="298"/>
      <c r="AH144" s="298"/>
      <c r="AI144" s="298"/>
      <c r="AJ144" s="298"/>
      <c r="AK144" s="298"/>
      <c r="AL144" s="298"/>
      <c r="AM144" s="298"/>
    </row>
    <row r="145" spans="1:39" ht="15.75" customHeight="1">
      <c r="A145" s="1929">
        <v>11</v>
      </c>
      <c r="B145" s="293" t="s">
        <v>6317</v>
      </c>
      <c r="C145" s="275" t="s">
        <v>21</v>
      </c>
      <c r="D145" s="562" t="s">
        <v>6318</v>
      </c>
      <c r="E145" s="624" t="s">
        <v>6319</v>
      </c>
      <c r="F145" s="274" t="s">
        <v>759</v>
      </c>
      <c r="G145" s="284" t="s">
        <v>76</v>
      </c>
      <c r="H145" s="275"/>
      <c r="I145" s="284">
        <v>9002079614</v>
      </c>
      <c r="J145" s="284">
        <v>9002079614</v>
      </c>
      <c r="K145" s="275" t="s">
        <v>261</v>
      </c>
      <c r="L145" s="274" t="s">
        <v>65</v>
      </c>
      <c r="M145" s="272">
        <v>27701</v>
      </c>
      <c r="N145" s="289">
        <v>49643</v>
      </c>
      <c r="O145" s="272"/>
      <c r="P145" s="289"/>
      <c r="Q145" s="289"/>
      <c r="R145" s="294"/>
      <c r="S145" s="295"/>
      <c r="T145" s="295"/>
      <c r="U145" s="295"/>
      <c r="V145" s="297">
        <f t="shared" si="40"/>
        <v>11</v>
      </c>
      <c r="W145" s="208">
        <f t="shared" ca="1" si="41"/>
        <v>50</v>
      </c>
      <c r="X145" s="298"/>
      <c r="Y145" s="298"/>
      <c r="Z145" s="298"/>
      <c r="AA145" s="298"/>
      <c r="AB145" s="298"/>
      <c r="AC145" s="298"/>
      <c r="AD145" s="298"/>
      <c r="AE145" s="298"/>
      <c r="AF145" s="298"/>
      <c r="AG145" s="298"/>
    </row>
    <row r="146" spans="1:39" ht="15.75" customHeight="1">
      <c r="A146" s="1930">
        <v>12</v>
      </c>
      <c r="B146" s="293" t="s">
        <v>6320</v>
      </c>
      <c r="C146" s="275" t="s">
        <v>21</v>
      </c>
      <c r="D146" s="562" t="s">
        <v>6321</v>
      </c>
      <c r="E146" s="274" t="s">
        <v>6322</v>
      </c>
      <c r="F146" s="274" t="s">
        <v>759</v>
      </c>
      <c r="G146" s="274" t="s">
        <v>77</v>
      </c>
      <c r="H146" s="275"/>
      <c r="I146" s="275">
        <v>9002079303</v>
      </c>
      <c r="J146" s="275"/>
      <c r="K146" s="275" t="s">
        <v>261</v>
      </c>
      <c r="L146" s="274" t="s">
        <v>65</v>
      </c>
      <c r="M146" s="272">
        <v>25483</v>
      </c>
      <c r="N146" s="289">
        <v>47422</v>
      </c>
      <c r="O146" s="272">
        <v>45564</v>
      </c>
      <c r="P146" s="278">
        <v>45562</v>
      </c>
      <c r="Q146" s="419">
        <v>45385</v>
      </c>
      <c r="R146" s="294"/>
      <c r="S146" s="296" t="s">
        <v>6323</v>
      </c>
      <c r="T146" s="295"/>
      <c r="U146" s="295"/>
      <c r="V146" s="297">
        <f t="shared" si="40"/>
        <v>11</v>
      </c>
      <c r="W146" s="208">
        <f t="shared" ca="1" si="41"/>
        <v>56</v>
      </c>
      <c r="X146" s="298"/>
      <c r="Y146" s="298"/>
      <c r="Z146" s="298"/>
      <c r="AA146" s="298"/>
      <c r="AB146" s="298"/>
      <c r="AC146" s="298"/>
      <c r="AD146" s="298"/>
      <c r="AE146" s="298"/>
      <c r="AF146" s="298"/>
      <c r="AG146" s="298"/>
    </row>
    <row r="147" spans="1:39">
      <c r="A147" s="1929">
        <v>13</v>
      </c>
      <c r="B147" s="293" t="s">
        <v>6324</v>
      </c>
      <c r="C147" s="275" t="s">
        <v>21</v>
      </c>
      <c r="D147" s="562" t="s">
        <v>6325</v>
      </c>
      <c r="E147" s="274" t="s">
        <v>6326</v>
      </c>
      <c r="F147" s="274" t="s">
        <v>759</v>
      </c>
      <c r="G147" s="274" t="s">
        <v>77</v>
      </c>
      <c r="H147" s="275"/>
      <c r="I147" s="275">
        <v>9002079780</v>
      </c>
      <c r="J147" s="275"/>
      <c r="K147" s="275" t="s">
        <v>261</v>
      </c>
      <c r="L147" s="274" t="s">
        <v>65</v>
      </c>
      <c r="M147" s="272">
        <v>29102</v>
      </c>
      <c r="N147" s="289">
        <v>51043</v>
      </c>
      <c r="O147" s="272">
        <v>45539</v>
      </c>
      <c r="P147" s="278">
        <v>45562</v>
      </c>
      <c r="Q147" s="316">
        <v>45496</v>
      </c>
      <c r="R147" s="294"/>
      <c r="S147" s="296" t="s">
        <v>6327</v>
      </c>
      <c r="T147" s="295"/>
      <c r="U147" s="295"/>
      <c r="V147" s="297">
        <f t="shared" si="40"/>
        <v>11</v>
      </c>
      <c r="W147" s="208">
        <f t="shared" ca="1" si="41"/>
        <v>46</v>
      </c>
      <c r="X147" s="298"/>
    </row>
    <row r="148" spans="1:39" ht="15.75" customHeight="1">
      <c r="A148" s="1930">
        <v>14</v>
      </c>
      <c r="B148" s="293" t="s">
        <v>6328</v>
      </c>
      <c r="C148" s="275" t="s">
        <v>21</v>
      </c>
      <c r="D148" s="562" t="s">
        <v>6329</v>
      </c>
      <c r="E148" s="274" t="s">
        <v>6330</v>
      </c>
      <c r="F148" s="686" t="s">
        <v>759</v>
      </c>
      <c r="G148" s="274" t="s">
        <v>77</v>
      </c>
      <c r="H148" s="275"/>
      <c r="I148" s="275">
        <v>9002079793</v>
      </c>
      <c r="J148" s="275">
        <v>9002079793</v>
      </c>
      <c r="K148" s="275" t="s">
        <v>261</v>
      </c>
      <c r="L148" s="274" t="s">
        <v>65</v>
      </c>
      <c r="M148" s="289">
        <v>28397</v>
      </c>
      <c r="N148" s="289">
        <v>50313</v>
      </c>
      <c r="O148" s="272">
        <v>45400</v>
      </c>
      <c r="P148" s="278">
        <v>45562</v>
      </c>
      <c r="Q148" s="316">
        <v>45468</v>
      </c>
      <c r="R148" s="294"/>
      <c r="S148" s="603" t="s">
        <v>6331</v>
      </c>
      <c r="T148" s="295"/>
      <c r="U148" s="295"/>
      <c r="V148" s="297">
        <f t="shared" si="40"/>
        <v>11</v>
      </c>
      <c r="W148" s="208">
        <f t="shared" ca="1" si="41"/>
        <v>48</v>
      </c>
      <c r="X148" s="298"/>
    </row>
    <row r="149" spans="1:39">
      <c r="A149" s="1929">
        <v>19</v>
      </c>
      <c r="B149" s="301" t="s">
        <v>6332</v>
      </c>
      <c r="C149" s="274" t="s">
        <v>20</v>
      </c>
      <c r="D149" s="1931" t="s">
        <v>6333</v>
      </c>
      <c r="E149" s="303" t="s">
        <v>6334</v>
      </c>
      <c r="F149" s="1024" t="s">
        <v>759</v>
      </c>
      <c r="G149" s="274" t="s">
        <v>77</v>
      </c>
      <c r="H149" s="275"/>
      <c r="I149" s="275">
        <v>6289209629</v>
      </c>
      <c r="J149" s="275"/>
      <c r="K149" s="275" t="s">
        <v>261</v>
      </c>
      <c r="L149" s="274" t="s">
        <v>59</v>
      </c>
      <c r="M149" s="272">
        <v>27567</v>
      </c>
      <c r="N149" s="272">
        <v>49490</v>
      </c>
      <c r="O149" s="277">
        <v>45617</v>
      </c>
      <c r="P149" s="272">
        <v>45517</v>
      </c>
      <c r="Q149" s="272">
        <v>45552</v>
      </c>
      <c r="R149" s="281" t="s">
        <v>6335</v>
      </c>
      <c r="S149" s="281" t="s">
        <v>6336</v>
      </c>
      <c r="T149" s="280"/>
      <c r="U149" s="280"/>
      <c r="V149" s="285"/>
      <c r="Y149" s="90"/>
      <c r="AB149" s="208">
        <f t="shared" ref="AB149:AB151" ca="1" si="42">INT((TODAY()-M149)/365)</f>
        <v>50</v>
      </c>
    </row>
    <row r="150" spans="1:39" ht="15.75" customHeight="1">
      <c r="A150" s="1930">
        <v>20</v>
      </c>
      <c r="B150" s="351" t="s">
        <v>6337</v>
      </c>
      <c r="C150" s="274" t="s">
        <v>20</v>
      </c>
      <c r="D150" s="636" t="s">
        <v>6338</v>
      </c>
      <c r="E150" s="274" t="s">
        <v>6339</v>
      </c>
      <c r="F150" s="686" t="s">
        <v>759</v>
      </c>
      <c r="G150" s="274" t="s">
        <v>76</v>
      </c>
      <c r="H150" s="275"/>
      <c r="I150" s="275">
        <v>8170913254</v>
      </c>
      <c r="J150" s="275">
        <v>8170913254</v>
      </c>
      <c r="K150" s="275" t="s">
        <v>261</v>
      </c>
      <c r="L150" s="274" t="s">
        <v>54</v>
      </c>
      <c r="M150" s="272">
        <v>33270</v>
      </c>
      <c r="N150" s="272">
        <v>55184</v>
      </c>
      <c r="O150" s="320">
        <v>46244</v>
      </c>
      <c r="P150" s="315">
        <v>45222</v>
      </c>
      <c r="Q150" s="302">
        <v>45111</v>
      </c>
      <c r="R150" s="281" t="s">
        <v>6340</v>
      </c>
      <c r="S150" s="281" t="s">
        <v>6341</v>
      </c>
      <c r="T150" s="280"/>
      <c r="U150" s="280"/>
      <c r="V150" s="382">
        <f>LEN(D150)</f>
        <v>11</v>
      </c>
      <c r="AB150" s="311">
        <f t="shared" ca="1" si="42"/>
        <v>35</v>
      </c>
    </row>
    <row r="151" spans="1:39" ht="15.75" customHeight="1">
      <c r="A151" s="1929">
        <v>21</v>
      </c>
      <c r="B151" s="1932" t="s">
        <v>6342</v>
      </c>
      <c r="C151" s="1933" t="s">
        <v>21</v>
      </c>
      <c r="D151" s="1934" t="s">
        <v>6343</v>
      </c>
      <c r="E151" s="1935" t="s">
        <v>6344</v>
      </c>
      <c r="F151" s="274" t="s">
        <v>759</v>
      </c>
      <c r="G151" s="1766" t="s">
        <v>76</v>
      </c>
      <c r="H151" s="1762"/>
      <c r="I151" s="1762">
        <v>9002071016</v>
      </c>
      <c r="J151" s="1936"/>
      <c r="K151" s="275" t="s">
        <v>261</v>
      </c>
      <c r="L151" s="274" t="s">
        <v>65</v>
      </c>
      <c r="M151" s="1767">
        <v>32640</v>
      </c>
      <c r="N151" s="1937">
        <v>54574</v>
      </c>
      <c r="O151" s="1937"/>
      <c r="P151" s="1938"/>
      <c r="Q151" s="1939"/>
      <c r="R151" s="1940" t="s">
        <v>6345</v>
      </c>
      <c r="S151" s="1941"/>
      <c r="T151" s="1941"/>
      <c r="U151" s="1941"/>
      <c r="V151" s="1650">
        <f>LEN(TEXT(D151,0))</f>
        <v>11</v>
      </c>
      <c r="W151" s="1942"/>
      <c r="X151" s="1942"/>
      <c r="AB151" s="208">
        <f t="shared" ca="1" si="42"/>
        <v>36</v>
      </c>
      <c r="AC151" s="311"/>
      <c r="AD151" s="311"/>
      <c r="AE151" s="311"/>
      <c r="AF151" s="311"/>
      <c r="AG151" s="311"/>
      <c r="AH151" s="311"/>
      <c r="AI151" s="311"/>
      <c r="AJ151" s="311"/>
      <c r="AK151" s="311"/>
      <c r="AL151" s="311"/>
      <c r="AM151" s="311"/>
    </row>
    <row r="152" spans="1:39" ht="15.75" customHeight="1">
      <c r="A152" s="1930">
        <v>22</v>
      </c>
      <c r="B152" s="351" t="s">
        <v>6346</v>
      </c>
      <c r="C152" s="274" t="s">
        <v>20</v>
      </c>
      <c r="D152" s="1587" t="s">
        <v>6347</v>
      </c>
      <c r="E152" s="303" t="s">
        <v>6348</v>
      </c>
      <c r="F152" s="943" t="s">
        <v>759</v>
      </c>
      <c r="G152" s="274" t="s">
        <v>77</v>
      </c>
      <c r="H152" s="275"/>
      <c r="I152" s="275">
        <v>6290093440</v>
      </c>
      <c r="J152" s="275">
        <v>6290093440</v>
      </c>
      <c r="K152" s="275" t="s">
        <v>261</v>
      </c>
      <c r="L152" s="274" t="s">
        <v>56</v>
      </c>
      <c r="M152" s="272">
        <v>30332</v>
      </c>
      <c r="N152" s="272">
        <v>52262</v>
      </c>
      <c r="O152" s="320">
        <v>45327</v>
      </c>
      <c r="P152" s="418">
        <v>45348</v>
      </c>
      <c r="Q152" s="419">
        <v>45385</v>
      </c>
      <c r="R152" s="281" t="s">
        <v>6349</v>
      </c>
      <c r="S152" s="281" t="s">
        <v>6350</v>
      </c>
      <c r="T152" s="280"/>
      <c r="U152" s="280"/>
      <c r="V152" s="285"/>
      <c r="W152" s="208">
        <f t="shared" ref="W152:W156" ca="1" si="43">INT((TODAY()-M152)/365)</f>
        <v>43</v>
      </c>
    </row>
    <row r="153" spans="1:39" ht="15.75" customHeight="1">
      <c r="A153" s="1929">
        <v>23</v>
      </c>
      <c r="B153" s="351" t="s">
        <v>6351</v>
      </c>
      <c r="C153" s="18" t="s">
        <v>21</v>
      </c>
      <c r="D153" s="1781" t="s">
        <v>6352</v>
      </c>
      <c r="E153" s="303" t="s">
        <v>6353</v>
      </c>
      <c r="F153" s="674" t="s">
        <v>3258</v>
      </c>
      <c r="G153" s="274" t="s">
        <v>76</v>
      </c>
      <c r="H153" s="275"/>
      <c r="I153" s="275">
        <v>7003059892</v>
      </c>
      <c r="J153" s="284">
        <v>7003059892</v>
      </c>
      <c r="K153" s="275" t="s">
        <v>261</v>
      </c>
      <c r="L153" s="439" t="s">
        <v>65</v>
      </c>
      <c r="M153" s="272">
        <v>31899</v>
      </c>
      <c r="N153" s="272">
        <v>53843</v>
      </c>
      <c r="O153" s="320">
        <v>45958</v>
      </c>
      <c r="P153" s="315">
        <v>45187</v>
      </c>
      <c r="Q153" s="419">
        <v>46087</v>
      </c>
      <c r="R153" s="281" t="s">
        <v>6354</v>
      </c>
      <c r="S153" s="281" t="s">
        <v>6355</v>
      </c>
      <c r="T153" s="280"/>
      <c r="U153" s="280"/>
      <c r="V153" s="285"/>
      <c r="W153" s="208">
        <f t="shared" ca="1" si="43"/>
        <v>38</v>
      </c>
      <c r="AC153" s="311"/>
      <c r="AD153" s="311"/>
      <c r="AE153" s="311"/>
      <c r="AF153" s="311"/>
      <c r="AG153" s="311"/>
      <c r="AH153" s="311"/>
      <c r="AI153" s="311"/>
      <c r="AJ153" s="311"/>
      <c r="AK153" s="311"/>
      <c r="AL153" s="311"/>
      <c r="AM153" s="311"/>
    </row>
    <row r="154" spans="1:39" ht="15.75" customHeight="1">
      <c r="A154" s="1930">
        <v>24</v>
      </c>
      <c r="B154" s="351" t="s">
        <v>6356</v>
      </c>
      <c r="C154" s="18" t="s">
        <v>21</v>
      </c>
      <c r="D154" s="1587" t="s">
        <v>6357</v>
      </c>
      <c r="E154" s="1004" t="s">
        <v>6358</v>
      </c>
      <c r="F154" s="943" t="s">
        <v>759</v>
      </c>
      <c r="G154" s="274" t="s">
        <v>76</v>
      </c>
      <c r="H154" s="275"/>
      <c r="I154" s="275">
        <v>7003101716</v>
      </c>
      <c r="J154" s="275"/>
      <c r="K154" s="275" t="s">
        <v>261</v>
      </c>
      <c r="L154" s="439" t="s">
        <v>65</v>
      </c>
      <c r="M154" s="272">
        <v>32007</v>
      </c>
      <c r="N154" s="272">
        <v>53935</v>
      </c>
      <c r="O154" s="320">
        <v>45978</v>
      </c>
      <c r="P154" s="315">
        <v>45222</v>
      </c>
      <c r="Q154" s="419">
        <v>46087</v>
      </c>
      <c r="R154" s="281" t="s">
        <v>6359</v>
      </c>
      <c r="S154" s="280"/>
      <c r="T154" s="280"/>
      <c r="U154" s="280"/>
      <c r="V154" s="285"/>
      <c r="W154" s="282">
        <f t="shared" ca="1" si="43"/>
        <v>38</v>
      </c>
      <c r="X154" s="79"/>
      <c r="Y154" s="79"/>
      <c r="Z154" s="79"/>
      <c r="AA154" s="79"/>
    </row>
    <row r="155" spans="1:39" ht="15.75" customHeight="1">
      <c r="A155" s="1929">
        <v>25</v>
      </c>
      <c r="B155" s="351" t="s">
        <v>6360</v>
      </c>
      <c r="C155" s="18" t="s">
        <v>21</v>
      </c>
      <c r="D155" s="1781" t="s">
        <v>6361</v>
      </c>
      <c r="E155" s="703" t="s">
        <v>6362</v>
      </c>
      <c r="F155" s="970" t="s">
        <v>3258</v>
      </c>
      <c r="G155" s="284" t="s">
        <v>76</v>
      </c>
      <c r="H155" s="275"/>
      <c r="I155" s="624">
        <v>9477430636</v>
      </c>
      <c r="J155" s="284">
        <v>9477430636</v>
      </c>
      <c r="K155" s="275" t="s">
        <v>261</v>
      </c>
      <c r="L155" s="439" t="s">
        <v>65</v>
      </c>
      <c r="M155" s="272">
        <v>33126</v>
      </c>
      <c r="N155" s="424">
        <v>55061</v>
      </c>
      <c r="O155" s="320">
        <v>46519</v>
      </c>
      <c r="P155" s="272">
        <v>46146</v>
      </c>
      <c r="Q155" s="419">
        <v>46087</v>
      </c>
      <c r="R155" s="281" t="s">
        <v>4729</v>
      </c>
      <c r="S155" s="281" t="s">
        <v>6363</v>
      </c>
      <c r="T155" s="280"/>
      <c r="U155" s="280"/>
      <c r="V155" s="280">
        <f t="shared" ref="V155:V157" si="44">LEN(D155)</f>
        <v>11</v>
      </c>
      <c r="W155" s="208">
        <f t="shared" ca="1" si="43"/>
        <v>35</v>
      </c>
      <c r="X155" s="79"/>
      <c r="Y155" s="395"/>
      <c r="Z155" s="79"/>
      <c r="AA155" s="383"/>
      <c r="AB155" s="282"/>
      <c r="AC155" s="383"/>
      <c r="AD155" s="383"/>
      <c r="AE155" s="383"/>
      <c r="AF155" s="383"/>
      <c r="AG155" s="383"/>
      <c r="AH155" s="383"/>
      <c r="AI155" s="384"/>
      <c r="AJ155" s="384"/>
      <c r="AK155" s="384"/>
      <c r="AL155" s="384"/>
      <c r="AM155" s="384"/>
    </row>
    <row r="156" spans="1:39" ht="15.75" customHeight="1">
      <c r="A156" s="1930">
        <v>26</v>
      </c>
      <c r="B156" s="351" t="s">
        <v>6364</v>
      </c>
      <c r="C156" s="18" t="s">
        <v>21</v>
      </c>
      <c r="D156" s="1781" t="s">
        <v>6365</v>
      </c>
      <c r="E156" s="540" t="s">
        <v>6366</v>
      </c>
      <c r="F156" s="674" t="s">
        <v>759</v>
      </c>
      <c r="G156" s="274" t="s">
        <v>76</v>
      </c>
      <c r="H156" s="275"/>
      <c r="I156" s="275">
        <v>9903721048</v>
      </c>
      <c r="J156" s="275"/>
      <c r="K156" s="275" t="s">
        <v>261</v>
      </c>
      <c r="L156" s="274" t="s">
        <v>65</v>
      </c>
      <c r="M156" s="272">
        <v>33564</v>
      </c>
      <c r="N156" s="272">
        <v>55487</v>
      </c>
      <c r="O156" s="320">
        <v>46536</v>
      </c>
      <c r="P156" s="272">
        <v>46074</v>
      </c>
      <c r="Q156" s="419">
        <v>45978</v>
      </c>
      <c r="R156" s="281" t="s">
        <v>6367</v>
      </c>
      <c r="S156" s="280"/>
      <c r="T156" s="280"/>
      <c r="U156" s="280"/>
      <c r="V156" s="280">
        <f t="shared" si="44"/>
        <v>11</v>
      </c>
      <c r="W156" s="282">
        <f t="shared" ca="1" si="43"/>
        <v>34</v>
      </c>
      <c r="X156" s="79"/>
      <c r="Y156" s="79"/>
      <c r="Z156" s="79"/>
      <c r="AA156" s="79"/>
    </row>
    <row r="157" spans="1:39" ht="15.75" customHeight="1">
      <c r="A157" s="1929">
        <v>27</v>
      </c>
      <c r="B157" s="351" t="s">
        <v>6368</v>
      </c>
      <c r="C157" s="274" t="s">
        <v>20</v>
      </c>
      <c r="D157" s="1781" t="s">
        <v>6369</v>
      </c>
      <c r="E157" s="686" t="s">
        <v>6370</v>
      </c>
      <c r="F157" s="18" t="s">
        <v>759</v>
      </c>
      <c r="G157" s="274" t="s">
        <v>77</v>
      </c>
      <c r="H157" s="275"/>
      <c r="I157" s="275">
        <v>8100671515</v>
      </c>
      <c r="J157" s="284">
        <v>8296943329</v>
      </c>
      <c r="K157" s="275" t="s">
        <v>261</v>
      </c>
      <c r="L157" s="656" t="s">
        <v>56</v>
      </c>
      <c r="M157" s="272">
        <v>34841</v>
      </c>
      <c r="N157" s="272">
        <v>56765</v>
      </c>
      <c r="O157" s="320">
        <v>46524</v>
      </c>
      <c r="P157" s="272">
        <v>46040</v>
      </c>
      <c r="Q157" s="419">
        <v>46004</v>
      </c>
      <c r="R157" s="281" t="s">
        <v>6371</v>
      </c>
      <c r="S157" s="280"/>
      <c r="T157" s="280"/>
      <c r="U157" s="280"/>
      <c r="V157" s="79">
        <f t="shared" si="44"/>
        <v>11</v>
      </c>
      <c r="W157" s="79"/>
      <c r="X157" s="282">
        <f ca="1">INT((TODAY()-M157)/365)</f>
        <v>30</v>
      </c>
      <c r="Y157" s="382"/>
      <c r="Z157" s="382"/>
      <c r="AA157" s="382"/>
      <c r="AB157" s="311"/>
      <c r="AC157" s="311"/>
      <c r="AD157" s="311"/>
      <c r="AE157" s="311"/>
      <c r="AF157" s="311"/>
      <c r="AG157" s="311"/>
      <c r="AH157" s="311"/>
      <c r="AI157" s="311"/>
      <c r="AJ157" s="311"/>
      <c r="AK157" s="311"/>
      <c r="AL157" s="311"/>
      <c r="AM157" s="311"/>
    </row>
    <row r="158" spans="1:39" ht="15.75" customHeight="1">
      <c r="A158" s="1930">
        <v>28</v>
      </c>
      <c r="B158" s="301" t="s">
        <v>6372</v>
      </c>
      <c r="C158" s="274" t="s">
        <v>21</v>
      </c>
      <c r="D158" s="1781" t="s">
        <v>6373</v>
      </c>
      <c r="E158" s="303" t="s">
        <v>6374</v>
      </c>
      <c r="F158" s="674" t="s">
        <v>759</v>
      </c>
      <c r="G158" s="274" t="s">
        <v>76</v>
      </c>
      <c r="H158" s="275"/>
      <c r="I158" s="275">
        <v>8478929721</v>
      </c>
      <c r="J158" s="275"/>
      <c r="K158" s="275" t="s">
        <v>261</v>
      </c>
      <c r="L158" s="274" t="s">
        <v>65</v>
      </c>
      <c r="M158" s="272">
        <v>34970</v>
      </c>
      <c r="N158" s="272">
        <v>56887</v>
      </c>
      <c r="O158" s="320">
        <v>46517</v>
      </c>
      <c r="P158" s="272">
        <v>45996</v>
      </c>
      <c r="Q158" s="419">
        <v>45886</v>
      </c>
      <c r="R158" s="429" t="s">
        <v>6375</v>
      </c>
      <c r="S158" s="853"/>
      <c r="T158" s="429" t="s">
        <v>6376</v>
      </c>
      <c r="U158" s="430"/>
      <c r="V158" s="425"/>
      <c r="W158" s="208">
        <f ca="1">INT((TODAY()-M158)/365)</f>
        <v>30</v>
      </c>
    </row>
    <row r="159" spans="1:39" ht="15.75" customHeight="1">
      <c r="A159" s="1929">
        <v>29</v>
      </c>
      <c r="B159" s="276" t="s">
        <v>6377</v>
      </c>
      <c r="C159" s="405" t="s">
        <v>21</v>
      </c>
      <c r="D159" s="1460" t="s">
        <v>6378</v>
      </c>
      <c r="E159" s="1132" t="s">
        <v>6379</v>
      </c>
      <c r="F159" s="685" t="s">
        <v>759</v>
      </c>
      <c r="G159" s="875" t="s">
        <v>77</v>
      </c>
      <c r="H159" s="307"/>
      <c r="I159" s="307">
        <v>9681150458</v>
      </c>
      <c r="J159" s="703">
        <v>9681150458</v>
      </c>
      <c r="K159" s="275" t="s">
        <v>261</v>
      </c>
      <c r="L159" s="274" t="s">
        <v>65</v>
      </c>
      <c r="M159" s="278">
        <v>30263</v>
      </c>
      <c r="N159" s="315">
        <v>52200</v>
      </c>
      <c r="O159" s="315">
        <v>45185</v>
      </c>
      <c r="P159" s="315"/>
      <c r="Q159" s="302">
        <v>45188</v>
      </c>
      <c r="R159" s="285"/>
      <c r="S159" s="318" t="s">
        <v>6380</v>
      </c>
      <c r="T159" s="285"/>
      <c r="U159" s="285"/>
      <c r="V159" s="285"/>
      <c r="W159" s="3"/>
      <c r="X159" s="3"/>
      <c r="Y159" s="3"/>
      <c r="Z159" s="79"/>
      <c r="AA159" s="79"/>
      <c r="AB159" s="311">
        <f ca="1">INT((TODAY()-M159)/365)</f>
        <v>43</v>
      </c>
    </row>
    <row r="160" spans="1:39" ht="15" customHeight="1">
      <c r="A160" s="1930">
        <v>30</v>
      </c>
      <c r="B160" s="688" t="s">
        <v>6381</v>
      </c>
      <c r="C160" s="274" t="s">
        <v>20</v>
      </c>
      <c r="D160" s="1781" t="s">
        <v>6382</v>
      </c>
      <c r="E160" s="540" t="s">
        <v>6383</v>
      </c>
      <c r="F160" s="674" t="s">
        <v>759</v>
      </c>
      <c r="G160" s="274" t="s">
        <v>77</v>
      </c>
      <c r="H160" s="275"/>
      <c r="I160" s="275">
        <v>9748746263</v>
      </c>
      <c r="J160" s="275">
        <v>9748746263</v>
      </c>
      <c r="K160" s="275" t="s">
        <v>261</v>
      </c>
      <c r="L160" s="274" t="s">
        <v>65</v>
      </c>
      <c r="M160" s="272">
        <v>33096</v>
      </c>
      <c r="N160" s="272">
        <v>55031</v>
      </c>
      <c r="O160" s="320">
        <v>45147</v>
      </c>
      <c r="P160" s="272">
        <v>45875</v>
      </c>
      <c r="Q160" s="419">
        <v>45980</v>
      </c>
      <c r="R160" s="281" t="s">
        <v>6384</v>
      </c>
      <c r="S160" s="281" t="s">
        <v>6385</v>
      </c>
      <c r="T160" s="280"/>
      <c r="U160" s="280"/>
      <c r="V160" s="280">
        <f t="shared" ref="V160:V161" si="45">LEN(D160)</f>
        <v>11</v>
      </c>
      <c r="W160" s="282">
        <f t="shared" ref="W160:W162" ca="1" si="46">INT((TODAY()-M160)/365)</f>
        <v>35</v>
      </c>
      <c r="X160" s="79"/>
      <c r="Y160" s="79"/>
      <c r="Z160" s="79"/>
      <c r="AA160" s="79"/>
    </row>
    <row r="161" spans="1:39" ht="15.75" customHeight="1">
      <c r="A161" s="1929">
        <v>31</v>
      </c>
      <c r="B161" s="542" t="s">
        <v>6386</v>
      </c>
      <c r="C161" s="405" t="s">
        <v>21</v>
      </c>
      <c r="D161" s="1943" t="s">
        <v>6387</v>
      </c>
      <c r="E161" s="1843" t="s">
        <v>6388</v>
      </c>
      <c r="F161" s="1269" t="s">
        <v>759</v>
      </c>
      <c r="G161" s="484" t="s">
        <v>77</v>
      </c>
      <c r="H161" s="496"/>
      <c r="I161" s="496">
        <v>7044945856</v>
      </c>
      <c r="J161" s="520">
        <v>7044945856</v>
      </c>
      <c r="K161" s="275" t="s">
        <v>261</v>
      </c>
      <c r="L161" s="274" t="s">
        <v>65</v>
      </c>
      <c r="M161" s="498">
        <v>33156</v>
      </c>
      <c r="N161" s="498">
        <v>55092</v>
      </c>
      <c r="O161" s="1944">
        <v>45112</v>
      </c>
      <c r="P161" s="498">
        <v>46150</v>
      </c>
      <c r="Q161" s="1945">
        <v>45980</v>
      </c>
      <c r="R161" s="1946" t="s">
        <v>4749</v>
      </c>
      <c r="S161" s="1287"/>
      <c r="T161" s="1287"/>
      <c r="U161" s="1287"/>
      <c r="V161" s="1287">
        <f t="shared" si="45"/>
        <v>11</v>
      </c>
      <c r="W161" s="208">
        <f t="shared" ca="1" si="46"/>
        <v>35</v>
      </c>
      <c r="X161" s="522"/>
      <c r="Y161" s="552"/>
      <c r="Z161" s="522"/>
      <c r="AA161" s="551"/>
      <c r="AB161" s="282"/>
      <c r="AC161" s="551"/>
      <c r="AD161" s="551"/>
      <c r="AE161" s="551"/>
      <c r="AF161" s="551"/>
      <c r="AG161" s="551"/>
      <c r="AH161" s="551"/>
      <c r="AI161" s="1283"/>
      <c r="AJ161" s="1283"/>
      <c r="AK161" s="1283"/>
      <c r="AL161" s="1283"/>
      <c r="AM161" s="1283"/>
    </row>
    <row r="162" spans="1:39" ht="15.75" customHeight="1">
      <c r="A162" s="944">
        <v>65</v>
      </c>
      <c r="B162" s="426" t="s">
        <v>6389</v>
      </c>
      <c r="C162" s="1121" t="s">
        <v>21</v>
      </c>
      <c r="D162" s="427" t="s">
        <v>6390</v>
      </c>
      <c r="E162" s="1062" t="s">
        <v>6391</v>
      </c>
      <c r="F162" s="674" t="s">
        <v>759</v>
      </c>
      <c r="G162" s="18" t="s">
        <v>76</v>
      </c>
      <c r="H162" s="275"/>
      <c r="I162" s="475">
        <v>919123928400</v>
      </c>
      <c r="J162" s="3"/>
      <c r="K162" s="275" t="s">
        <v>261</v>
      </c>
      <c r="L162" s="537" t="s">
        <v>48</v>
      </c>
      <c r="M162" s="418">
        <v>33576</v>
      </c>
      <c r="N162" s="418">
        <v>55518</v>
      </c>
      <c r="O162" s="428">
        <v>46159</v>
      </c>
      <c r="P162" s="272">
        <v>45566</v>
      </c>
      <c r="Q162" s="418">
        <v>45605</v>
      </c>
      <c r="R162" s="281" t="s">
        <v>6392</v>
      </c>
      <c r="S162" s="281" t="s">
        <v>6393</v>
      </c>
      <c r="T162" s="280"/>
      <c r="U162" s="280"/>
      <c r="V162" s="280"/>
      <c r="W162" s="282">
        <f t="shared" ca="1" si="46"/>
        <v>34</v>
      </c>
      <c r="X162" s="79"/>
      <c r="AA162" s="79"/>
    </row>
    <row r="163" spans="1:39" ht="15.75" customHeight="1">
      <c r="A163" s="944">
        <v>23</v>
      </c>
      <c r="B163" s="426" t="s">
        <v>6394</v>
      </c>
      <c r="C163" s="18" t="s">
        <v>21</v>
      </c>
      <c r="D163" s="427" t="s">
        <v>6395</v>
      </c>
      <c r="E163" s="1062" t="s">
        <v>6396</v>
      </c>
      <c r="F163" s="674" t="s">
        <v>759</v>
      </c>
      <c r="G163" s="18" t="s">
        <v>77</v>
      </c>
      <c r="H163" s="275"/>
      <c r="I163" s="475">
        <v>919836893003</v>
      </c>
      <c r="J163" s="3"/>
      <c r="K163" s="275" t="s">
        <v>261</v>
      </c>
      <c r="L163" s="274" t="s">
        <v>43</v>
      </c>
      <c r="M163" s="418">
        <v>34174</v>
      </c>
      <c r="N163" s="418">
        <v>56096</v>
      </c>
      <c r="O163" s="428">
        <v>46159</v>
      </c>
      <c r="P163" s="272">
        <v>45566</v>
      </c>
      <c r="Q163" s="418">
        <v>45605</v>
      </c>
      <c r="R163" s="281" t="s">
        <v>6397</v>
      </c>
      <c r="S163" s="281" t="s">
        <v>6398</v>
      </c>
      <c r="T163" s="280"/>
      <c r="U163" s="280"/>
      <c r="V163" s="280"/>
      <c r="W163" s="282"/>
      <c r="Y163" s="90"/>
      <c r="AB163" s="311"/>
    </row>
    <row r="164" spans="1:39" ht="15.75" customHeight="1">
      <c r="A164" s="298"/>
      <c r="B164" s="298"/>
      <c r="C164" s="1901"/>
      <c r="D164" s="1947"/>
      <c r="E164" s="1901"/>
      <c r="F164" s="137"/>
      <c r="G164" s="1901"/>
      <c r="H164" s="1901"/>
      <c r="I164" s="1901"/>
      <c r="J164" s="1647"/>
      <c r="K164" s="1901"/>
      <c r="L164" s="1901"/>
      <c r="M164" s="298"/>
      <c r="P164" s="836"/>
      <c r="Q164" s="836"/>
      <c r="R164" s="492"/>
      <c r="S164" s="493"/>
      <c r="T164" s="493"/>
      <c r="U164" s="493"/>
      <c r="V164" s="298"/>
      <c r="W164" s="298"/>
      <c r="X164" s="298"/>
      <c r="Y164" s="298"/>
      <c r="Z164" s="298"/>
      <c r="AA164" s="298"/>
      <c r="AB164" s="298"/>
      <c r="AC164" s="298"/>
      <c r="AD164" s="298"/>
      <c r="AE164" s="298"/>
      <c r="AF164" s="298"/>
      <c r="AG164" s="298"/>
      <c r="AH164" s="298"/>
      <c r="AI164" s="298"/>
      <c r="AJ164" s="298"/>
      <c r="AK164" s="298"/>
      <c r="AL164" s="298"/>
      <c r="AM164" s="298"/>
    </row>
    <row r="165" spans="1:39" ht="15.75" customHeight="1">
      <c r="A165" s="298"/>
      <c r="B165" s="298"/>
      <c r="C165" s="1901"/>
      <c r="D165" s="1947"/>
      <c r="E165" s="1901"/>
      <c r="F165" s="943"/>
      <c r="G165" s="1901"/>
      <c r="H165" s="1901"/>
      <c r="I165" s="1901"/>
      <c r="J165" s="1647"/>
      <c r="K165" s="1901"/>
      <c r="L165" s="1901"/>
      <c r="M165" s="836"/>
      <c r="P165" s="836"/>
      <c r="Q165" s="836"/>
      <c r="R165" s="492"/>
      <c r="S165" s="493"/>
      <c r="T165" s="493"/>
      <c r="U165" s="493"/>
      <c r="V165" s="298"/>
      <c r="W165" s="298"/>
      <c r="X165" s="298"/>
      <c r="Y165" s="298"/>
      <c r="Z165" s="298"/>
      <c r="AA165" s="298"/>
      <c r="AB165" s="298"/>
      <c r="AC165" s="298"/>
      <c r="AD165" s="298"/>
      <c r="AE165" s="298"/>
      <c r="AF165" s="298"/>
      <c r="AG165" s="298"/>
      <c r="AH165" s="298"/>
      <c r="AI165" s="298"/>
      <c r="AJ165" s="298"/>
      <c r="AK165" s="298"/>
      <c r="AL165" s="298"/>
      <c r="AM165" s="298"/>
    </row>
    <row r="166" spans="1:39" ht="15.75" customHeight="1">
      <c r="A166" s="298"/>
      <c r="B166" s="298"/>
      <c r="C166" s="1901"/>
      <c r="D166" s="1947"/>
      <c r="E166" s="1901"/>
      <c r="F166" s="943"/>
      <c r="G166" s="1901"/>
      <c r="H166" s="1901"/>
      <c r="I166" s="1901"/>
      <c r="J166" s="1647"/>
      <c r="K166" s="1901"/>
      <c r="L166" s="1901"/>
      <c r="M166" s="836"/>
      <c r="P166" s="836"/>
      <c r="Q166" s="836"/>
      <c r="R166" s="492"/>
      <c r="S166" s="493"/>
      <c r="T166" s="493"/>
      <c r="U166" s="493"/>
      <c r="V166" s="298"/>
      <c r="W166" s="298"/>
      <c r="X166" s="298"/>
      <c r="Y166" s="298"/>
      <c r="Z166" s="298"/>
      <c r="AA166" s="298"/>
      <c r="AB166" s="298"/>
      <c r="AC166" s="298"/>
      <c r="AD166" s="298"/>
      <c r="AE166" s="298"/>
      <c r="AF166" s="298"/>
      <c r="AG166" s="298"/>
      <c r="AH166" s="298"/>
      <c r="AI166" s="298"/>
      <c r="AJ166" s="298"/>
      <c r="AK166" s="298"/>
      <c r="AL166" s="298"/>
      <c r="AM166" s="298"/>
    </row>
    <row r="167" spans="1:39" ht="15.75" customHeight="1">
      <c r="A167" s="298"/>
      <c r="B167" s="298"/>
      <c r="C167" s="1901"/>
      <c r="D167" s="1947"/>
      <c r="E167" s="1901"/>
      <c r="F167" s="943"/>
      <c r="G167" s="1901"/>
      <c r="H167" s="1901"/>
      <c r="I167" s="1901"/>
      <c r="J167" s="1647"/>
      <c r="K167" s="1901"/>
      <c r="L167" s="1901"/>
      <c r="M167" s="836"/>
      <c r="N167" s="836"/>
      <c r="O167" s="836"/>
      <c r="P167" s="836"/>
      <c r="Q167" s="836"/>
      <c r="R167" s="492"/>
      <c r="S167" s="493"/>
      <c r="T167" s="493"/>
      <c r="U167" s="493"/>
      <c r="V167" s="298"/>
      <c r="W167" s="298"/>
      <c r="X167" s="298"/>
      <c r="Y167" s="298"/>
      <c r="Z167" s="298"/>
      <c r="AA167" s="298"/>
      <c r="AB167" s="298"/>
      <c r="AC167" s="298"/>
      <c r="AD167" s="298"/>
      <c r="AE167" s="298"/>
      <c r="AF167" s="298"/>
      <c r="AG167" s="298"/>
      <c r="AH167" s="298"/>
      <c r="AI167" s="298"/>
      <c r="AJ167" s="298"/>
      <c r="AK167" s="298"/>
      <c r="AL167" s="298"/>
      <c r="AM167" s="298"/>
    </row>
    <row r="168" spans="1:39" ht="15.75" customHeight="1">
      <c r="A168" s="298"/>
      <c r="B168" s="298"/>
      <c r="C168" s="1901"/>
      <c r="D168" s="1947"/>
      <c r="E168" s="1901"/>
      <c r="F168" s="137"/>
      <c r="G168" s="1901"/>
      <c r="H168" s="1901"/>
      <c r="I168" s="1901"/>
      <c r="J168" s="1647"/>
      <c r="K168" s="1901"/>
      <c r="L168" s="1901"/>
      <c r="M168" s="836"/>
      <c r="N168" s="836"/>
      <c r="O168" s="836"/>
      <c r="P168" s="836"/>
      <c r="Q168" s="836"/>
      <c r="R168" s="492"/>
      <c r="S168" s="493"/>
      <c r="T168" s="493"/>
      <c r="U168" s="493"/>
      <c r="V168" s="298"/>
      <c r="W168" s="298"/>
      <c r="X168" s="298"/>
      <c r="Y168" s="298"/>
      <c r="Z168" s="298"/>
      <c r="AA168" s="298"/>
      <c r="AB168" s="298"/>
      <c r="AC168" s="298"/>
      <c r="AD168" s="298"/>
      <c r="AE168" s="298"/>
      <c r="AF168" s="298"/>
      <c r="AG168" s="298"/>
      <c r="AH168" s="298"/>
      <c r="AI168" s="298"/>
      <c r="AJ168" s="298"/>
      <c r="AK168" s="298"/>
      <c r="AL168" s="298"/>
      <c r="AM168" s="298"/>
    </row>
    <row r="169" spans="1:39" ht="15.75" customHeight="1">
      <c r="A169" s="298"/>
      <c r="B169" s="298"/>
      <c r="C169" s="1901"/>
      <c r="D169" s="1947"/>
      <c r="E169" s="1901"/>
      <c r="F169" s="943"/>
      <c r="G169" s="1901"/>
      <c r="H169" s="1901"/>
      <c r="I169" s="1901"/>
      <c r="J169" s="1647"/>
      <c r="K169" s="1901"/>
      <c r="L169" s="1901"/>
      <c r="M169" s="836"/>
      <c r="N169" s="836"/>
      <c r="O169" s="836"/>
      <c r="P169" s="836"/>
      <c r="Q169" s="836"/>
      <c r="R169" s="492"/>
      <c r="S169" s="493"/>
      <c r="T169" s="493"/>
      <c r="U169" s="493"/>
      <c r="V169" s="298"/>
      <c r="W169" s="298"/>
      <c r="X169" s="298"/>
      <c r="Y169" s="298"/>
      <c r="Z169" s="298"/>
      <c r="AA169" s="298"/>
      <c r="AB169" s="298"/>
      <c r="AC169" s="298"/>
      <c r="AD169" s="298"/>
      <c r="AE169" s="298"/>
      <c r="AF169" s="298"/>
      <c r="AG169" s="298"/>
      <c r="AH169" s="298"/>
      <c r="AI169" s="298"/>
      <c r="AJ169" s="298"/>
      <c r="AK169" s="298"/>
      <c r="AL169" s="298"/>
      <c r="AM169" s="298"/>
    </row>
    <row r="170" spans="1:39" ht="15.75" customHeight="1">
      <c r="A170" s="298"/>
      <c r="B170" s="298"/>
      <c r="C170" s="1901"/>
      <c r="D170" s="1947"/>
      <c r="E170" s="1901"/>
      <c r="F170" s="943"/>
      <c r="G170" s="1901"/>
      <c r="H170" s="1901"/>
      <c r="I170" s="1901"/>
      <c r="J170" s="1647"/>
      <c r="K170" s="1901"/>
      <c r="L170" s="1901"/>
      <c r="M170" s="836"/>
      <c r="N170" s="836"/>
      <c r="O170" s="836"/>
      <c r="P170" s="836"/>
      <c r="Q170" s="836"/>
      <c r="R170" s="492"/>
      <c r="S170" s="493"/>
      <c r="T170" s="493"/>
      <c r="U170" s="493"/>
      <c r="V170" s="298"/>
      <c r="W170" s="298"/>
      <c r="X170" s="298"/>
      <c r="Y170" s="298"/>
      <c r="Z170" s="298"/>
      <c r="AA170" s="298"/>
      <c r="AB170" s="298"/>
      <c r="AC170" s="298"/>
      <c r="AD170" s="298"/>
      <c r="AE170" s="298"/>
      <c r="AF170" s="298"/>
      <c r="AG170" s="298"/>
      <c r="AH170" s="298"/>
      <c r="AI170" s="298"/>
      <c r="AJ170" s="298"/>
      <c r="AK170" s="298"/>
      <c r="AL170" s="298"/>
      <c r="AM170" s="298"/>
    </row>
    <row r="171" spans="1:39" ht="15.75" customHeight="1">
      <c r="A171" s="298"/>
      <c r="B171" s="298"/>
      <c r="C171" s="1901"/>
      <c r="D171" s="1947"/>
      <c r="E171" s="1901"/>
      <c r="F171" s="943"/>
      <c r="G171" s="1901"/>
      <c r="H171" s="1901"/>
      <c r="I171" s="1901"/>
      <c r="J171" s="1647"/>
      <c r="K171" s="1901"/>
      <c r="L171" s="1901"/>
      <c r="M171" s="836"/>
      <c r="N171" s="836"/>
      <c r="O171" s="836"/>
      <c r="P171" s="836"/>
      <c r="Q171" s="836"/>
      <c r="R171" s="492"/>
      <c r="S171" s="493"/>
      <c r="T171" s="493"/>
      <c r="U171" s="493"/>
      <c r="V171" s="298"/>
      <c r="W171" s="298"/>
      <c r="X171" s="298"/>
      <c r="Y171" s="298"/>
      <c r="Z171" s="298"/>
      <c r="AA171" s="298"/>
      <c r="AB171" s="298"/>
      <c r="AC171" s="298"/>
      <c r="AD171" s="298"/>
      <c r="AE171" s="298"/>
      <c r="AF171" s="298"/>
      <c r="AG171" s="298"/>
      <c r="AH171" s="298"/>
      <c r="AI171" s="298"/>
      <c r="AJ171" s="298"/>
      <c r="AK171" s="298"/>
      <c r="AL171" s="298"/>
      <c r="AM171" s="298"/>
    </row>
    <row r="172" spans="1:39" ht="15.75" customHeight="1">
      <c r="A172" s="298"/>
      <c r="B172" s="298"/>
      <c r="C172" s="1901"/>
      <c r="D172" s="1947"/>
      <c r="E172" s="1901"/>
      <c r="F172" s="1948"/>
      <c r="G172" s="1901"/>
      <c r="H172" s="1901"/>
      <c r="I172" s="1901"/>
      <c r="J172" s="1647"/>
      <c r="K172" s="1901"/>
      <c r="L172" s="1901"/>
      <c r="M172" s="836"/>
      <c r="N172" s="836"/>
      <c r="O172" s="836"/>
      <c r="P172" s="836"/>
      <c r="Q172" s="836"/>
      <c r="R172" s="492"/>
      <c r="S172" s="493"/>
      <c r="T172" s="493"/>
      <c r="U172" s="493"/>
      <c r="V172" s="298"/>
      <c r="W172" s="298"/>
      <c r="X172" s="298"/>
      <c r="Y172" s="298"/>
      <c r="Z172" s="298"/>
      <c r="AA172" s="298"/>
      <c r="AB172" s="298"/>
      <c r="AC172" s="298"/>
      <c r="AD172" s="298"/>
      <c r="AE172" s="298"/>
      <c r="AF172" s="298"/>
      <c r="AG172" s="298"/>
      <c r="AH172" s="298"/>
      <c r="AI172" s="298"/>
      <c r="AJ172" s="298"/>
      <c r="AK172" s="298"/>
      <c r="AL172" s="298"/>
      <c r="AM172" s="298"/>
    </row>
    <row r="173" spans="1:39" ht="15.75" customHeight="1">
      <c r="A173" s="298"/>
      <c r="B173" s="298"/>
      <c r="C173" s="1901"/>
      <c r="D173" s="1947"/>
      <c r="E173" s="1901"/>
      <c r="F173" s="943"/>
      <c r="G173" s="1901"/>
      <c r="H173" s="1901"/>
      <c r="I173" s="1901"/>
      <c r="J173" s="1647"/>
      <c r="K173" s="1901"/>
      <c r="L173" s="1901"/>
      <c r="M173" s="836"/>
      <c r="N173" s="836"/>
      <c r="O173" s="836"/>
      <c r="P173" s="836"/>
      <c r="Q173" s="836"/>
      <c r="R173" s="492"/>
      <c r="S173" s="493"/>
      <c r="T173" s="493"/>
      <c r="U173" s="493"/>
      <c r="V173" s="298"/>
      <c r="W173" s="298"/>
      <c r="X173" s="298"/>
      <c r="Y173" s="298"/>
      <c r="Z173" s="298"/>
      <c r="AA173" s="298"/>
      <c r="AB173" s="298"/>
      <c r="AC173" s="298"/>
      <c r="AD173" s="298"/>
      <c r="AE173" s="298"/>
      <c r="AF173" s="298"/>
      <c r="AG173" s="298"/>
      <c r="AH173" s="298"/>
      <c r="AI173" s="298"/>
      <c r="AJ173" s="298"/>
      <c r="AK173" s="298"/>
      <c r="AL173" s="298"/>
      <c r="AM173" s="298"/>
    </row>
    <row r="174" spans="1:39" ht="15.75" customHeight="1">
      <c r="A174" s="298"/>
      <c r="B174" s="298"/>
      <c r="C174" s="1901"/>
      <c r="D174" s="1947"/>
      <c r="E174" s="1901"/>
      <c r="F174" s="943"/>
      <c r="G174" s="1901"/>
      <c r="H174" s="1901"/>
      <c r="I174" s="1901"/>
      <c r="J174" s="1647"/>
      <c r="K174" s="1901"/>
      <c r="L174" s="1901"/>
      <c r="M174" s="836"/>
      <c r="N174" s="836"/>
      <c r="O174" s="836"/>
      <c r="P174" s="836"/>
      <c r="Q174" s="836"/>
      <c r="R174" s="492"/>
      <c r="S174" s="493"/>
      <c r="T174" s="493"/>
      <c r="U174" s="493"/>
      <c r="V174" s="298"/>
      <c r="W174" s="298"/>
      <c r="X174" s="298"/>
      <c r="Y174" s="298"/>
      <c r="Z174" s="298"/>
      <c r="AA174" s="298"/>
      <c r="AB174" s="298"/>
      <c r="AC174" s="298"/>
      <c r="AD174" s="298"/>
      <c r="AE174" s="298"/>
      <c r="AF174" s="298"/>
      <c r="AG174" s="298"/>
      <c r="AH174" s="298"/>
      <c r="AI174" s="298"/>
      <c r="AJ174" s="298"/>
      <c r="AK174" s="298"/>
      <c r="AL174" s="298"/>
      <c r="AM174" s="298"/>
    </row>
    <row r="175" spans="1:39" ht="15.75" customHeight="1">
      <c r="A175" s="298"/>
      <c r="B175" s="298"/>
      <c r="C175" s="1901"/>
      <c r="D175" s="1947"/>
      <c r="E175" s="1901"/>
      <c r="F175" s="943"/>
      <c r="G175" s="1901"/>
      <c r="H175" s="1901"/>
      <c r="I175" s="1901"/>
      <c r="J175" s="1647"/>
      <c r="K175" s="1901"/>
      <c r="L175" s="1901"/>
      <c r="M175" s="836"/>
      <c r="N175" s="836"/>
      <c r="O175" s="836"/>
      <c r="P175" s="836"/>
      <c r="Q175" s="836"/>
      <c r="R175" s="492"/>
      <c r="S175" s="493"/>
      <c r="T175" s="493"/>
      <c r="U175" s="493"/>
      <c r="V175" s="298"/>
      <c r="W175" s="298"/>
      <c r="X175" s="298"/>
      <c r="Y175" s="298"/>
      <c r="Z175" s="298"/>
      <c r="AA175" s="298"/>
      <c r="AB175" s="298"/>
      <c r="AC175" s="298"/>
      <c r="AD175" s="298"/>
      <c r="AE175" s="298"/>
      <c r="AF175" s="298"/>
      <c r="AG175" s="298"/>
      <c r="AH175" s="298"/>
      <c r="AI175" s="298"/>
      <c r="AJ175" s="298"/>
      <c r="AK175" s="298"/>
      <c r="AL175" s="298"/>
      <c r="AM175" s="298"/>
    </row>
    <row r="176" spans="1:39" ht="15.75" customHeight="1">
      <c r="A176" s="298"/>
      <c r="B176" s="298"/>
      <c r="C176" s="1901"/>
      <c r="D176" s="1947"/>
      <c r="E176" s="1901"/>
      <c r="F176" s="943"/>
      <c r="G176" s="1901"/>
      <c r="H176" s="1901"/>
      <c r="I176" s="1901"/>
      <c r="J176" s="1647"/>
      <c r="K176" s="1901"/>
      <c r="L176" s="1901"/>
      <c r="M176" s="836"/>
      <c r="N176" s="836"/>
      <c r="O176" s="836"/>
      <c r="P176" s="836"/>
      <c r="Q176" s="836"/>
      <c r="R176" s="492"/>
      <c r="S176" s="493"/>
      <c r="T176" s="493"/>
      <c r="U176" s="493"/>
      <c r="V176" s="298"/>
      <c r="W176" s="298"/>
      <c r="X176" s="298"/>
      <c r="Y176" s="298"/>
      <c r="Z176" s="298"/>
      <c r="AA176" s="298"/>
      <c r="AB176" s="298"/>
      <c r="AC176" s="298"/>
      <c r="AD176" s="298"/>
      <c r="AE176" s="298"/>
      <c r="AF176" s="298"/>
      <c r="AG176" s="298"/>
      <c r="AH176" s="298"/>
      <c r="AI176" s="298"/>
      <c r="AJ176" s="298"/>
      <c r="AK176" s="298"/>
      <c r="AL176" s="298"/>
      <c r="AM176" s="298"/>
    </row>
    <row r="177" spans="1:39" ht="15.75" customHeight="1">
      <c r="A177" s="298"/>
      <c r="B177" s="298"/>
      <c r="C177" s="1901"/>
      <c r="D177" s="1947"/>
      <c r="E177" s="1901"/>
      <c r="F177" s="943"/>
      <c r="G177" s="1901"/>
      <c r="H177" s="1901"/>
      <c r="I177" s="1901"/>
      <c r="J177" s="1647"/>
      <c r="K177" s="1901"/>
      <c r="L177" s="1901"/>
      <c r="M177" s="836"/>
      <c r="N177" s="836"/>
      <c r="O177" s="836"/>
      <c r="P177" s="836"/>
      <c r="Q177" s="836"/>
      <c r="R177" s="492"/>
      <c r="S177" s="493"/>
      <c r="T177" s="493"/>
      <c r="U177" s="493"/>
      <c r="V177" s="298"/>
      <c r="W177" s="298"/>
      <c r="X177" s="298"/>
      <c r="Y177" s="298"/>
      <c r="Z177" s="298"/>
      <c r="AA177" s="298"/>
      <c r="AB177" s="298"/>
      <c r="AC177" s="298"/>
      <c r="AD177" s="298"/>
      <c r="AE177" s="298"/>
      <c r="AF177" s="298"/>
      <c r="AG177" s="298"/>
      <c r="AH177" s="298"/>
      <c r="AI177" s="298"/>
      <c r="AJ177" s="298"/>
      <c r="AK177" s="298"/>
      <c r="AL177" s="298"/>
      <c r="AM177" s="298"/>
    </row>
    <row r="178" spans="1:39" ht="15.75" customHeight="1">
      <c r="A178" s="298"/>
      <c r="B178" s="298"/>
      <c r="C178" s="1901"/>
      <c r="D178" s="1947"/>
      <c r="E178" s="1901"/>
      <c r="F178" s="943"/>
      <c r="G178" s="1901"/>
      <c r="H178" s="1901"/>
      <c r="I178" s="1901"/>
      <c r="J178" s="1647"/>
      <c r="K178" s="1901"/>
      <c r="L178" s="1901"/>
      <c r="M178" s="836"/>
      <c r="N178" s="836"/>
      <c r="O178" s="836"/>
      <c r="P178" s="836"/>
      <c r="Q178" s="836"/>
      <c r="R178" s="492"/>
      <c r="S178" s="493"/>
      <c r="T178" s="493"/>
      <c r="U178" s="493"/>
      <c r="V178" s="298"/>
      <c r="W178" s="298"/>
      <c r="X178" s="298"/>
      <c r="Y178" s="298"/>
      <c r="Z178" s="298"/>
      <c r="AA178" s="298"/>
      <c r="AB178" s="298"/>
      <c r="AC178" s="298"/>
      <c r="AD178" s="298"/>
      <c r="AE178" s="298"/>
      <c r="AF178" s="298"/>
      <c r="AG178" s="298"/>
      <c r="AH178" s="298"/>
      <c r="AI178" s="298"/>
      <c r="AJ178" s="298"/>
      <c r="AK178" s="298"/>
      <c r="AL178" s="298"/>
      <c r="AM178" s="298"/>
    </row>
    <row r="179" spans="1:39" ht="15.75" customHeight="1">
      <c r="A179" s="298"/>
      <c r="B179" s="298"/>
      <c r="C179" s="1901"/>
      <c r="D179" s="1947"/>
      <c r="E179" s="1901"/>
      <c r="F179" s="943"/>
      <c r="G179" s="1901"/>
      <c r="H179" s="1901"/>
      <c r="I179" s="1901"/>
      <c r="J179" s="1647"/>
      <c r="K179" s="1901"/>
      <c r="L179" s="1901"/>
      <c r="M179" s="836"/>
      <c r="N179" s="836"/>
      <c r="O179" s="836"/>
      <c r="P179" s="836"/>
      <c r="Q179" s="836"/>
      <c r="R179" s="492"/>
      <c r="S179" s="493"/>
      <c r="T179" s="493"/>
      <c r="U179" s="493"/>
      <c r="V179" s="298"/>
      <c r="W179" s="298"/>
      <c r="X179" s="298"/>
      <c r="Y179" s="298"/>
      <c r="Z179" s="298"/>
      <c r="AA179" s="298"/>
      <c r="AB179" s="298"/>
      <c r="AC179" s="298"/>
      <c r="AD179" s="298"/>
      <c r="AE179" s="298"/>
      <c r="AF179" s="298"/>
      <c r="AG179" s="298"/>
      <c r="AH179" s="298"/>
      <c r="AI179" s="298"/>
      <c r="AJ179" s="298"/>
      <c r="AK179" s="298"/>
      <c r="AL179" s="298"/>
      <c r="AM179" s="298"/>
    </row>
    <row r="180" spans="1:39" ht="15.75" customHeight="1">
      <c r="A180" s="298"/>
      <c r="B180" s="298"/>
      <c r="C180" s="1901"/>
      <c r="D180" s="1947"/>
      <c r="E180" s="1901"/>
      <c r="F180" s="943"/>
      <c r="G180" s="1901"/>
      <c r="H180" s="1901"/>
      <c r="I180" s="1901"/>
      <c r="J180" s="1647"/>
      <c r="K180" s="1901"/>
      <c r="L180" s="1901"/>
      <c r="M180" s="836"/>
      <c r="N180" s="836"/>
      <c r="O180" s="836"/>
      <c r="P180" s="836"/>
      <c r="Q180" s="836"/>
      <c r="R180" s="492"/>
      <c r="S180" s="493"/>
      <c r="T180" s="493"/>
      <c r="U180" s="493"/>
      <c r="V180" s="298"/>
      <c r="W180" s="298"/>
      <c r="X180" s="298"/>
      <c r="Y180" s="298"/>
      <c r="Z180" s="298"/>
      <c r="AA180" s="298"/>
      <c r="AB180" s="298"/>
      <c r="AC180" s="298"/>
      <c r="AD180" s="298"/>
      <c r="AE180" s="298"/>
      <c r="AF180" s="298"/>
      <c r="AG180" s="298"/>
      <c r="AH180" s="298"/>
      <c r="AI180" s="298"/>
      <c r="AJ180" s="298"/>
      <c r="AK180" s="298"/>
      <c r="AL180" s="298"/>
      <c r="AM180" s="298"/>
    </row>
    <row r="181" spans="1:39" ht="15.75" customHeight="1">
      <c r="A181" s="298"/>
      <c r="B181" s="298"/>
      <c r="C181" s="1901"/>
      <c r="D181" s="1947"/>
      <c r="E181" s="1901"/>
      <c r="F181" s="943"/>
      <c r="G181" s="1901"/>
      <c r="H181" s="1901"/>
      <c r="I181" s="1901"/>
      <c r="J181" s="1647"/>
      <c r="K181" s="1901"/>
      <c r="L181" s="1901"/>
      <c r="M181" s="836"/>
      <c r="N181" s="836"/>
      <c r="O181" s="836"/>
      <c r="P181" s="836"/>
      <c r="Q181" s="836"/>
      <c r="R181" s="492"/>
      <c r="S181" s="493"/>
      <c r="T181" s="493"/>
      <c r="U181" s="493"/>
      <c r="V181" s="298"/>
      <c r="W181" s="298"/>
      <c r="X181" s="298"/>
      <c r="Y181" s="298"/>
      <c r="Z181" s="298"/>
      <c r="AA181" s="298"/>
      <c r="AB181" s="298"/>
      <c r="AC181" s="298"/>
      <c r="AD181" s="298"/>
      <c r="AE181" s="298"/>
      <c r="AF181" s="298"/>
      <c r="AG181" s="298"/>
      <c r="AH181" s="298"/>
      <c r="AI181" s="298"/>
      <c r="AJ181" s="298"/>
      <c r="AK181" s="298"/>
      <c r="AL181" s="298"/>
      <c r="AM181" s="298"/>
    </row>
    <row r="182" spans="1:39" ht="15.75" customHeight="1">
      <c r="A182" s="298"/>
      <c r="B182" s="298"/>
      <c r="C182" s="1901"/>
      <c r="D182" s="1947"/>
      <c r="E182" s="1901"/>
      <c r="F182" s="943"/>
      <c r="G182" s="1901"/>
      <c r="H182" s="1901"/>
      <c r="I182" s="1901"/>
      <c r="J182" s="1647"/>
      <c r="K182" s="1901"/>
      <c r="L182" s="1901"/>
      <c r="M182" s="836"/>
      <c r="N182" s="836"/>
      <c r="O182" s="836"/>
      <c r="P182" s="836"/>
      <c r="Q182" s="836"/>
      <c r="R182" s="492"/>
      <c r="S182" s="493"/>
      <c r="T182" s="493"/>
      <c r="U182" s="493"/>
      <c r="V182" s="298"/>
      <c r="W182" s="298"/>
      <c r="X182" s="298"/>
      <c r="Y182" s="298"/>
      <c r="Z182" s="298"/>
      <c r="AA182" s="298"/>
      <c r="AB182" s="298"/>
      <c r="AC182" s="298"/>
      <c r="AD182" s="298"/>
      <c r="AE182" s="298"/>
      <c r="AF182" s="298"/>
      <c r="AG182" s="298"/>
      <c r="AH182" s="298"/>
      <c r="AI182" s="298"/>
      <c r="AJ182" s="298"/>
      <c r="AK182" s="298"/>
      <c r="AL182" s="298"/>
      <c r="AM182" s="298"/>
    </row>
    <row r="183" spans="1:39" ht="15.75" customHeight="1">
      <c r="A183" s="298"/>
      <c r="B183" s="298"/>
      <c r="C183" s="1901"/>
      <c r="D183" s="1947"/>
      <c r="E183" s="1901"/>
      <c r="F183" s="1949"/>
      <c r="G183" s="1901"/>
      <c r="H183" s="1901"/>
      <c r="I183" s="1901"/>
      <c r="J183" s="1647"/>
      <c r="K183" s="1901"/>
      <c r="L183" s="1901"/>
      <c r="M183" s="836"/>
      <c r="N183" s="836"/>
      <c r="O183" s="836"/>
      <c r="P183" s="836"/>
      <c r="Q183" s="836"/>
      <c r="R183" s="492"/>
      <c r="S183" s="493"/>
      <c r="T183" s="493"/>
      <c r="U183" s="493"/>
      <c r="V183" s="298"/>
      <c r="W183" s="298"/>
      <c r="X183" s="298"/>
      <c r="Y183" s="298"/>
      <c r="Z183" s="298"/>
      <c r="AA183" s="298"/>
      <c r="AB183" s="298"/>
      <c r="AC183" s="298"/>
      <c r="AD183" s="298"/>
      <c r="AE183" s="298"/>
      <c r="AF183" s="298"/>
      <c r="AG183" s="298"/>
      <c r="AH183" s="298"/>
      <c r="AI183" s="298"/>
      <c r="AJ183" s="298"/>
      <c r="AK183" s="298"/>
      <c r="AL183" s="298"/>
      <c r="AM183" s="298"/>
    </row>
    <row r="184" spans="1:39" ht="15.75" customHeight="1">
      <c r="A184" s="298"/>
      <c r="B184" s="298"/>
      <c r="C184" s="1901"/>
      <c r="D184" s="1947"/>
      <c r="E184" s="1901"/>
      <c r="F184" s="943"/>
      <c r="G184" s="1901"/>
      <c r="H184" s="1901"/>
      <c r="I184" s="1901"/>
      <c r="J184" s="1647"/>
      <c r="K184" s="1901"/>
      <c r="L184" s="1901"/>
      <c r="M184" s="836"/>
      <c r="N184" s="836"/>
      <c r="O184" s="836"/>
      <c r="P184" s="836"/>
      <c r="Q184" s="836"/>
      <c r="R184" s="492"/>
      <c r="S184" s="493"/>
      <c r="T184" s="493"/>
      <c r="U184" s="493"/>
      <c r="V184" s="298"/>
      <c r="W184" s="298"/>
      <c r="X184" s="298"/>
      <c r="Y184" s="298"/>
      <c r="Z184" s="298"/>
      <c r="AA184" s="298"/>
      <c r="AB184" s="298"/>
      <c r="AC184" s="298"/>
      <c r="AD184" s="298"/>
      <c r="AE184" s="298"/>
      <c r="AF184" s="298"/>
      <c r="AG184" s="298"/>
      <c r="AH184" s="298"/>
      <c r="AI184" s="298"/>
      <c r="AJ184" s="298"/>
      <c r="AK184" s="298"/>
      <c r="AL184" s="298"/>
      <c r="AM184" s="298"/>
    </row>
    <row r="185" spans="1:39" ht="15.75" customHeight="1">
      <c r="A185" s="298"/>
      <c r="B185" s="298"/>
      <c r="C185" s="1901"/>
      <c r="D185" s="1947"/>
      <c r="E185" s="1901"/>
      <c r="F185" s="686"/>
      <c r="G185" s="1901"/>
      <c r="H185" s="1901"/>
      <c r="I185" s="1901"/>
      <c r="J185" s="1647"/>
      <c r="K185" s="1901"/>
      <c r="L185" s="1901"/>
      <c r="M185" s="836"/>
      <c r="N185" s="836"/>
      <c r="O185" s="836"/>
      <c r="P185" s="836"/>
      <c r="Q185" s="836"/>
      <c r="R185" s="492"/>
      <c r="S185" s="493"/>
      <c r="T185" s="493"/>
      <c r="U185" s="493"/>
      <c r="V185" s="298"/>
      <c r="W185" s="298"/>
      <c r="X185" s="298"/>
      <c r="Y185" s="298"/>
      <c r="Z185" s="298"/>
      <c r="AA185" s="298"/>
      <c r="AB185" s="298"/>
      <c r="AC185" s="298"/>
      <c r="AD185" s="298"/>
      <c r="AE185" s="298"/>
      <c r="AF185" s="298"/>
      <c r="AG185" s="298"/>
      <c r="AH185" s="298"/>
      <c r="AI185" s="298"/>
      <c r="AJ185" s="298"/>
      <c r="AK185" s="298"/>
      <c r="AL185" s="298"/>
      <c r="AM185" s="298"/>
    </row>
    <row r="186" spans="1:39" ht="15.75" customHeight="1">
      <c r="A186" s="298"/>
      <c r="B186" s="298"/>
      <c r="C186" s="1901"/>
      <c r="D186" s="1947"/>
      <c r="E186" s="1901"/>
      <c r="F186" s="1949"/>
      <c r="G186" s="1901"/>
      <c r="H186" s="1901"/>
      <c r="I186" s="1901"/>
      <c r="J186" s="1647"/>
      <c r="K186" s="1901"/>
      <c r="L186" s="1901"/>
      <c r="M186" s="836"/>
      <c r="N186" s="836"/>
      <c r="O186" s="836"/>
      <c r="P186" s="836"/>
      <c r="Q186" s="836"/>
      <c r="R186" s="492"/>
      <c r="S186" s="493"/>
      <c r="T186" s="493"/>
      <c r="U186" s="493"/>
      <c r="V186" s="298"/>
      <c r="W186" s="298"/>
      <c r="X186" s="298"/>
      <c r="Y186" s="298"/>
      <c r="Z186" s="298"/>
      <c r="AA186" s="298"/>
      <c r="AB186" s="298"/>
      <c r="AC186" s="298"/>
      <c r="AD186" s="298"/>
      <c r="AE186" s="298"/>
      <c r="AF186" s="298"/>
      <c r="AG186" s="298"/>
      <c r="AH186" s="298"/>
      <c r="AI186" s="298"/>
      <c r="AJ186" s="298"/>
      <c r="AK186" s="298"/>
      <c r="AL186" s="298"/>
      <c r="AM186" s="298"/>
    </row>
    <row r="187" spans="1:39" ht="15.75" customHeight="1">
      <c r="A187" s="298"/>
      <c r="B187" s="298"/>
      <c r="C187" s="1901"/>
      <c r="D187" s="1947"/>
      <c r="E187" s="1901"/>
      <c r="F187" s="943"/>
      <c r="G187" s="1901"/>
      <c r="H187" s="1901"/>
      <c r="I187" s="1901"/>
      <c r="J187" s="1647"/>
      <c r="K187" s="1901"/>
      <c r="L187" s="1901"/>
      <c r="M187" s="836"/>
      <c r="N187" s="836"/>
      <c r="O187" s="836"/>
      <c r="P187" s="836"/>
      <c r="Q187" s="836"/>
      <c r="R187" s="492"/>
      <c r="S187" s="493"/>
      <c r="T187" s="493"/>
      <c r="U187" s="493"/>
      <c r="V187" s="298"/>
      <c r="W187" s="298"/>
      <c r="X187" s="298"/>
      <c r="Y187" s="298"/>
      <c r="Z187" s="298"/>
      <c r="AA187" s="298"/>
      <c r="AB187" s="298"/>
      <c r="AC187" s="298"/>
      <c r="AD187" s="298"/>
      <c r="AE187" s="298"/>
      <c r="AF187" s="298"/>
      <c r="AG187" s="298"/>
      <c r="AH187" s="298"/>
      <c r="AI187" s="298"/>
      <c r="AJ187" s="298"/>
      <c r="AK187" s="298"/>
      <c r="AL187" s="298"/>
      <c r="AM187" s="298"/>
    </row>
    <row r="188" spans="1:39" ht="15.75" customHeight="1">
      <c r="A188" s="298"/>
      <c r="B188" s="298"/>
      <c r="C188" s="1901"/>
      <c r="D188" s="1947"/>
      <c r="E188" s="1901"/>
      <c r="F188" s="943"/>
      <c r="G188" s="1901"/>
      <c r="H188" s="1901"/>
      <c r="I188" s="1901"/>
      <c r="J188" s="1647"/>
      <c r="K188" s="1901"/>
      <c r="L188" s="1901"/>
      <c r="M188" s="836"/>
      <c r="N188" s="836"/>
      <c r="O188" s="836"/>
      <c r="P188" s="836"/>
      <c r="Q188" s="836"/>
      <c r="R188" s="492"/>
      <c r="S188" s="493"/>
      <c r="T188" s="493"/>
      <c r="U188" s="493"/>
      <c r="V188" s="298"/>
      <c r="W188" s="298"/>
      <c r="X188" s="298"/>
      <c r="Y188" s="298"/>
      <c r="Z188" s="298"/>
      <c r="AA188" s="298"/>
      <c r="AB188" s="298"/>
      <c r="AC188" s="298"/>
      <c r="AD188" s="298"/>
      <c r="AE188" s="298"/>
      <c r="AF188" s="298"/>
      <c r="AG188" s="298"/>
      <c r="AH188" s="298"/>
      <c r="AI188" s="298"/>
      <c r="AJ188" s="298"/>
      <c r="AK188" s="298"/>
      <c r="AL188" s="298"/>
      <c r="AM188" s="298"/>
    </row>
    <row r="189" spans="1:39" ht="15.75" customHeight="1">
      <c r="A189" s="298"/>
      <c r="B189" s="298"/>
      <c r="C189" s="1901"/>
      <c r="D189" s="1947"/>
      <c r="E189" s="1901"/>
      <c r="F189" s="943"/>
      <c r="G189" s="1901"/>
      <c r="H189" s="1901"/>
      <c r="I189" s="1901"/>
      <c r="J189" s="1647"/>
      <c r="K189" s="1901"/>
      <c r="L189" s="1901"/>
      <c r="M189" s="836"/>
      <c r="N189" s="836"/>
      <c r="O189" s="836"/>
      <c r="P189" s="836"/>
      <c r="Q189" s="836"/>
      <c r="R189" s="492"/>
      <c r="S189" s="493"/>
      <c r="T189" s="493"/>
      <c r="U189" s="493"/>
      <c r="V189" s="298"/>
      <c r="W189" s="298"/>
      <c r="X189" s="298"/>
      <c r="Y189" s="298"/>
      <c r="Z189" s="298"/>
      <c r="AA189" s="298"/>
      <c r="AB189" s="298"/>
      <c r="AC189" s="298"/>
      <c r="AD189" s="298"/>
      <c r="AE189" s="298"/>
      <c r="AF189" s="298"/>
      <c r="AG189" s="298"/>
      <c r="AH189" s="298"/>
      <c r="AI189" s="298"/>
      <c r="AJ189" s="298"/>
      <c r="AK189" s="298"/>
      <c r="AL189" s="298"/>
      <c r="AM189" s="298"/>
    </row>
    <row r="190" spans="1:39" ht="15.75" customHeight="1">
      <c r="A190" s="298"/>
      <c r="B190" s="298"/>
      <c r="C190" s="1901"/>
      <c r="D190" s="1947"/>
      <c r="E190" s="1901"/>
      <c r="F190" s="943"/>
      <c r="G190" s="1901"/>
      <c r="H190" s="1901"/>
      <c r="I190" s="1901"/>
      <c r="J190" s="1647"/>
      <c r="K190" s="1901"/>
      <c r="L190" s="1901"/>
      <c r="M190" s="836"/>
      <c r="N190" s="836"/>
      <c r="O190" s="836"/>
      <c r="P190" s="836"/>
      <c r="Q190" s="836"/>
      <c r="R190" s="492"/>
      <c r="S190" s="493"/>
      <c r="T190" s="493"/>
      <c r="U190" s="493"/>
      <c r="V190" s="298"/>
      <c r="W190" s="298"/>
      <c r="X190" s="298"/>
      <c r="Y190" s="298"/>
      <c r="Z190" s="298"/>
      <c r="AA190" s="298"/>
      <c r="AB190" s="298"/>
      <c r="AC190" s="298"/>
      <c r="AD190" s="298"/>
      <c r="AE190" s="298"/>
      <c r="AF190" s="298"/>
      <c r="AG190" s="298"/>
      <c r="AH190" s="298"/>
      <c r="AI190" s="298"/>
      <c r="AJ190" s="298"/>
      <c r="AK190" s="298"/>
      <c r="AL190" s="298"/>
      <c r="AM190" s="298"/>
    </row>
    <row r="191" spans="1:39" ht="15.75" customHeight="1">
      <c r="A191" s="298"/>
      <c r="B191" s="298"/>
      <c r="C191" s="1901"/>
      <c r="D191" s="1947"/>
      <c r="E191" s="1901"/>
      <c r="F191" s="943"/>
      <c r="G191" s="1901"/>
      <c r="H191" s="1901"/>
      <c r="I191" s="1901"/>
      <c r="J191" s="1647"/>
      <c r="K191" s="1901"/>
      <c r="L191" s="1901"/>
      <c r="M191" s="836"/>
      <c r="N191" s="836"/>
      <c r="O191" s="836"/>
      <c r="P191" s="836"/>
      <c r="Q191" s="836"/>
      <c r="R191" s="492"/>
      <c r="S191" s="493"/>
      <c r="T191" s="493"/>
      <c r="U191" s="493"/>
      <c r="V191" s="298"/>
      <c r="W191" s="298"/>
      <c r="X191" s="298"/>
      <c r="Y191" s="298"/>
      <c r="Z191" s="298"/>
      <c r="AA191" s="298"/>
      <c r="AB191" s="298"/>
      <c r="AC191" s="298"/>
      <c r="AD191" s="298"/>
      <c r="AE191" s="298"/>
      <c r="AF191" s="298"/>
      <c r="AG191" s="298"/>
      <c r="AH191" s="298"/>
      <c r="AI191" s="298"/>
      <c r="AJ191" s="298"/>
      <c r="AK191" s="298"/>
      <c r="AL191" s="298"/>
      <c r="AM191" s="298"/>
    </row>
    <row r="192" spans="1:39" ht="15.75" customHeight="1">
      <c r="A192" s="298"/>
      <c r="B192" s="298"/>
      <c r="C192" s="1901"/>
      <c r="D192" s="1947"/>
      <c r="E192" s="1901"/>
      <c r="F192" s="943"/>
      <c r="G192" s="1901"/>
      <c r="H192" s="1901"/>
      <c r="I192" s="1901"/>
      <c r="J192" s="1647"/>
      <c r="K192" s="1901"/>
      <c r="L192" s="1901"/>
      <c r="M192" s="836"/>
      <c r="N192" s="836"/>
      <c r="O192" s="836"/>
      <c r="P192" s="836"/>
      <c r="Q192" s="836"/>
      <c r="R192" s="492"/>
      <c r="S192" s="493"/>
      <c r="T192" s="493"/>
      <c r="U192" s="493"/>
      <c r="V192" s="298"/>
      <c r="W192" s="298"/>
      <c r="X192" s="298"/>
      <c r="Y192" s="298"/>
      <c r="Z192" s="298"/>
      <c r="AA192" s="298"/>
      <c r="AB192" s="298"/>
      <c r="AC192" s="298"/>
      <c r="AD192" s="298"/>
      <c r="AE192" s="298"/>
      <c r="AF192" s="298"/>
      <c r="AG192" s="298"/>
      <c r="AH192" s="298"/>
      <c r="AI192" s="298"/>
      <c r="AJ192" s="298"/>
      <c r="AK192" s="298"/>
      <c r="AL192" s="298"/>
      <c r="AM192" s="298"/>
    </row>
    <row r="193" spans="1:39" ht="15.75" customHeight="1">
      <c r="A193" s="298"/>
      <c r="B193" s="298"/>
      <c r="C193" s="1901"/>
      <c r="D193" s="1947"/>
      <c r="E193" s="1901"/>
      <c r="F193" s="965"/>
      <c r="G193" s="1901"/>
      <c r="H193" s="1901"/>
      <c r="I193" s="1901"/>
      <c r="J193" s="1647"/>
      <c r="K193" s="1901"/>
      <c r="L193" s="1901"/>
      <c r="M193" s="836"/>
      <c r="N193" s="836"/>
      <c r="O193" s="836"/>
      <c r="P193" s="836"/>
      <c r="Q193" s="836"/>
      <c r="R193" s="492"/>
      <c r="S193" s="493"/>
      <c r="T193" s="493"/>
      <c r="U193" s="493"/>
      <c r="V193" s="298"/>
      <c r="W193" s="298"/>
      <c r="X193" s="298"/>
      <c r="Y193" s="298"/>
      <c r="Z193" s="298"/>
      <c r="AA193" s="298"/>
      <c r="AB193" s="298"/>
      <c r="AC193" s="298"/>
      <c r="AD193" s="298"/>
      <c r="AE193" s="298"/>
      <c r="AF193" s="298"/>
      <c r="AG193" s="298"/>
      <c r="AH193" s="298"/>
      <c r="AI193" s="298"/>
      <c r="AJ193" s="298"/>
      <c r="AK193" s="298"/>
      <c r="AL193" s="298"/>
      <c r="AM193" s="298"/>
    </row>
    <row r="194" spans="1:39" ht="15.75" customHeight="1">
      <c r="A194" s="298"/>
      <c r="B194" s="298"/>
      <c r="C194" s="1901"/>
      <c r="D194" s="1947"/>
      <c r="E194" s="1901"/>
      <c r="F194" s="943"/>
      <c r="G194" s="1901"/>
      <c r="H194" s="1901"/>
      <c r="I194" s="1901"/>
      <c r="J194" s="1647"/>
      <c r="K194" s="1901"/>
      <c r="L194" s="1901"/>
      <c r="M194" s="836"/>
      <c r="N194" s="836"/>
      <c r="O194" s="836"/>
      <c r="P194" s="836"/>
      <c r="Q194" s="836"/>
      <c r="R194" s="492"/>
      <c r="S194" s="493"/>
      <c r="T194" s="493"/>
      <c r="U194" s="493"/>
      <c r="V194" s="298"/>
      <c r="W194" s="298"/>
      <c r="X194" s="298"/>
      <c r="Y194" s="298"/>
      <c r="Z194" s="298"/>
      <c r="AA194" s="298"/>
      <c r="AB194" s="298"/>
      <c r="AC194" s="298"/>
      <c r="AD194" s="298"/>
      <c r="AE194" s="298"/>
      <c r="AF194" s="298"/>
      <c r="AG194" s="298"/>
      <c r="AH194" s="298"/>
      <c r="AI194" s="298"/>
      <c r="AJ194" s="298"/>
      <c r="AK194" s="298"/>
      <c r="AL194" s="298"/>
      <c r="AM194" s="298"/>
    </row>
    <row r="195" spans="1:39" ht="15.75" customHeight="1">
      <c r="A195" s="298"/>
      <c r="B195" s="298"/>
      <c r="C195" s="1901"/>
      <c r="D195" s="1947"/>
      <c r="E195" s="1901"/>
      <c r="F195" s="943"/>
      <c r="G195" s="1901"/>
      <c r="H195" s="1901"/>
      <c r="I195" s="1901"/>
      <c r="J195" s="1647"/>
      <c r="K195" s="1901"/>
      <c r="L195" s="1901"/>
      <c r="M195" s="836"/>
      <c r="N195" s="836"/>
      <c r="O195" s="836"/>
      <c r="P195" s="836"/>
      <c r="Q195" s="836"/>
      <c r="R195" s="492"/>
      <c r="S195" s="493"/>
      <c r="T195" s="493"/>
      <c r="U195" s="493"/>
      <c r="V195" s="298"/>
      <c r="W195" s="298"/>
      <c r="X195" s="298"/>
      <c r="Y195" s="298"/>
      <c r="Z195" s="298"/>
      <c r="AA195" s="298"/>
      <c r="AB195" s="298"/>
      <c r="AC195" s="298"/>
      <c r="AD195" s="298"/>
      <c r="AE195" s="298"/>
      <c r="AF195" s="298"/>
      <c r="AG195" s="298"/>
      <c r="AH195" s="298"/>
      <c r="AI195" s="298"/>
      <c r="AJ195" s="298"/>
      <c r="AK195" s="298"/>
      <c r="AL195" s="298"/>
      <c r="AM195" s="298"/>
    </row>
    <row r="196" spans="1:39" ht="15.75" customHeight="1">
      <c r="A196" s="298"/>
      <c r="B196" s="298"/>
      <c r="C196" s="1901"/>
      <c r="D196" s="1947"/>
      <c r="E196" s="1901"/>
      <c r="F196" s="943"/>
      <c r="G196" s="1901"/>
      <c r="H196" s="1901"/>
      <c r="I196" s="1901"/>
      <c r="J196" s="1647"/>
      <c r="K196" s="1901"/>
      <c r="L196" s="1901"/>
      <c r="M196" s="836"/>
      <c r="N196" s="836"/>
      <c r="O196" s="836"/>
      <c r="P196" s="836"/>
      <c r="Q196" s="836"/>
      <c r="R196" s="492"/>
      <c r="S196" s="493"/>
      <c r="T196" s="493"/>
      <c r="U196" s="493"/>
      <c r="V196" s="298"/>
      <c r="W196" s="298"/>
      <c r="X196" s="298"/>
      <c r="Y196" s="298"/>
      <c r="Z196" s="298"/>
      <c r="AA196" s="298"/>
      <c r="AB196" s="298"/>
      <c r="AC196" s="298"/>
      <c r="AD196" s="298"/>
      <c r="AE196" s="298"/>
      <c r="AF196" s="298"/>
      <c r="AG196" s="298"/>
      <c r="AH196" s="298"/>
      <c r="AI196" s="298"/>
      <c r="AJ196" s="298"/>
      <c r="AK196" s="298"/>
      <c r="AL196" s="298"/>
      <c r="AM196" s="298"/>
    </row>
    <row r="197" spans="1:39" ht="15.75" customHeight="1">
      <c r="A197" s="298"/>
      <c r="B197" s="298"/>
      <c r="C197" s="1901"/>
      <c r="D197" s="1947"/>
      <c r="E197" s="1901"/>
      <c r="F197" s="943"/>
      <c r="G197" s="1901"/>
      <c r="H197" s="1901"/>
      <c r="I197" s="1901"/>
      <c r="J197" s="1647"/>
      <c r="K197" s="1901"/>
      <c r="L197" s="1901"/>
      <c r="M197" s="836"/>
      <c r="N197" s="836"/>
      <c r="O197" s="836"/>
      <c r="P197" s="836"/>
      <c r="Q197" s="836"/>
      <c r="R197" s="492"/>
      <c r="S197" s="493"/>
      <c r="T197" s="493"/>
      <c r="U197" s="493"/>
      <c r="V197" s="298"/>
      <c r="W197" s="298"/>
      <c r="X197" s="298"/>
      <c r="Y197" s="298"/>
      <c r="Z197" s="298"/>
      <c r="AA197" s="298"/>
      <c r="AB197" s="298"/>
      <c r="AC197" s="298"/>
      <c r="AD197" s="298"/>
      <c r="AE197" s="298"/>
      <c r="AF197" s="298"/>
      <c r="AG197" s="298"/>
      <c r="AH197" s="298"/>
      <c r="AI197" s="298"/>
      <c r="AJ197" s="298"/>
      <c r="AK197" s="298"/>
      <c r="AL197" s="298"/>
      <c r="AM197" s="298"/>
    </row>
    <row r="198" spans="1:39" ht="15.75" customHeight="1">
      <c r="A198" s="298"/>
      <c r="B198" s="298"/>
      <c r="C198" s="1901"/>
      <c r="D198" s="1947"/>
      <c r="E198" s="1901"/>
      <c r="F198" s="943"/>
      <c r="G198" s="1901"/>
      <c r="H198" s="1901"/>
      <c r="I198" s="1901"/>
      <c r="J198" s="1647"/>
      <c r="K198" s="1901"/>
      <c r="L198" s="1901"/>
      <c r="M198" s="836"/>
      <c r="N198" s="836"/>
      <c r="O198" s="836"/>
      <c r="P198" s="836"/>
      <c r="Q198" s="836"/>
      <c r="R198" s="492"/>
      <c r="S198" s="493"/>
      <c r="T198" s="493"/>
      <c r="U198" s="493"/>
      <c r="V198" s="298"/>
      <c r="W198" s="298"/>
      <c r="X198" s="298"/>
      <c r="Y198" s="298"/>
      <c r="Z198" s="298"/>
      <c r="AA198" s="298"/>
      <c r="AB198" s="298"/>
      <c r="AC198" s="298"/>
      <c r="AD198" s="298"/>
      <c r="AE198" s="298"/>
      <c r="AF198" s="298"/>
      <c r="AG198" s="298"/>
      <c r="AH198" s="298"/>
      <c r="AI198" s="298"/>
      <c r="AJ198" s="298"/>
      <c r="AK198" s="298"/>
      <c r="AL198" s="298"/>
      <c r="AM198" s="298"/>
    </row>
    <row r="199" spans="1:39" ht="15.75" customHeight="1">
      <c r="A199" s="298"/>
      <c r="B199" s="298"/>
      <c r="C199" s="1901"/>
      <c r="D199" s="1947"/>
      <c r="E199" s="1901"/>
      <c r="F199" s="943"/>
      <c r="G199" s="1901"/>
      <c r="H199" s="1901"/>
      <c r="I199" s="1901"/>
      <c r="J199" s="1647"/>
      <c r="K199" s="1901"/>
      <c r="L199" s="1901"/>
      <c r="M199" s="836"/>
      <c r="N199" s="836"/>
      <c r="O199" s="836"/>
      <c r="P199" s="836"/>
      <c r="Q199" s="836"/>
      <c r="R199" s="492"/>
      <c r="S199" s="493"/>
      <c r="T199" s="493"/>
      <c r="U199" s="493"/>
      <c r="V199" s="298"/>
      <c r="W199" s="298"/>
      <c r="X199" s="298"/>
      <c r="Y199" s="298"/>
      <c r="Z199" s="298"/>
      <c r="AA199" s="298"/>
      <c r="AB199" s="298"/>
      <c r="AC199" s="298"/>
      <c r="AD199" s="298"/>
      <c r="AE199" s="298"/>
      <c r="AF199" s="298"/>
      <c r="AG199" s="298"/>
      <c r="AH199" s="298"/>
      <c r="AI199" s="298"/>
      <c r="AJ199" s="298"/>
      <c r="AK199" s="298"/>
      <c r="AL199" s="298"/>
      <c r="AM199" s="298"/>
    </row>
    <row r="200" spans="1:39" ht="15.75" customHeight="1">
      <c r="A200" s="298"/>
      <c r="B200" s="298"/>
      <c r="C200" s="1901"/>
      <c r="D200" s="1947"/>
      <c r="E200" s="1901"/>
      <c r="F200" s="943"/>
      <c r="G200" s="1901"/>
      <c r="H200" s="1901"/>
      <c r="I200" s="1901"/>
      <c r="J200" s="1647"/>
      <c r="K200" s="1901"/>
      <c r="L200" s="1901"/>
      <c r="M200" s="836"/>
      <c r="N200" s="836"/>
      <c r="O200" s="836"/>
      <c r="P200" s="836"/>
      <c r="Q200" s="836"/>
      <c r="R200" s="492"/>
      <c r="S200" s="493"/>
      <c r="T200" s="493"/>
      <c r="U200" s="493"/>
      <c r="V200" s="298"/>
      <c r="W200" s="298"/>
      <c r="X200" s="298"/>
      <c r="Y200" s="298"/>
      <c r="Z200" s="298"/>
      <c r="AA200" s="298"/>
      <c r="AB200" s="298"/>
      <c r="AC200" s="298"/>
      <c r="AD200" s="298"/>
      <c r="AE200" s="298"/>
      <c r="AF200" s="298"/>
      <c r="AG200" s="298"/>
      <c r="AH200" s="298"/>
      <c r="AI200" s="298"/>
      <c r="AJ200" s="298"/>
      <c r="AK200" s="298"/>
      <c r="AL200" s="298"/>
      <c r="AM200" s="298"/>
    </row>
    <row r="201" spans="1:39" ht="15.75" customHeight="1">
      <c r="A201" s="298"/>
      <c r="B201" s="298"/>
      <c r="C201" s="1901"/>
      <c r="D201" s="1947"/>
      <c r="E201" s="1901"/>
      <c r="F201" s="943"/>
      <c r="G201" s="1901"/>
      <c r="H201" s="1901"/>
      <c r="I201" s="1901"/>
      <c r="J201" s="1647"/>
      <c r="K201" s="1901"/>
      <c r="L201" s="1901"/>
      <c r="M201" s="836"/>
      <c r="N201" s="836"/>
      <c r="O201" s="836"/>
      <c r="P201" s="836"/>
      <c r="Q201" s="836"/>
      <c r="R201" s="492"/>
      <c r="S201" s="493"/>
      <c r="T201" s="493"/>
      <c r="U201" s="493"/>
      <c r="V201" s="298"/>
      <c r="W201" s="298"/>
      <c r="X201" s="298"/>
      <c r="Y201" s="298"/>
      <c r="Z201" s="298"/>
      <c r="AA201" s="298"/>
      <c r="AB201" s="298"/>
      <c r="AC201" s="298"/>
      <c r="AD201" s="298"/>
      <c r="AE201" s="298"/>
      <c r="AF201" s="298"/>
      <c r="AG201" s="298"/>
      <c r="AH201" s="298"/>
      <c r="AI201" s="298"/>
      <c r="AJ201" s="298"/>
      <c r="AK201" s="298"/>
      <c r="AL201" s="298"/>
      <c r="AM201" s="298"/>
    </row>
    <row r="202" spans="1:39" ht="15.75" customHeight="1">
      <c r="A202" s="298"/>
      <c r="B202" s="298"/>
      <c r="C202" s="1901"/>
      <c r="D202" s="1947"/>
      <c r="E202" s="1901"/>
      <c r="F202" s="943"/>
      <c r="G202" s="1901"/>
      <c r="H202" s="1901"/>
      <c r="I202" s="1901"/>
      <c r="J202" s="1647"/>
      <c r="K202" s="1901"/>
      <c r="L202" s="1901"/>
      <c r="M202" s="836"/>
      <c r="N202" s="836"/>
      <c r="O202" s="836"/>
      <c r="P202" s="836"/>
      <c r="Q202" s="836"/>
      <c r="R202" s="492"/>
      <c r="S202" s="493"/>
      <c r="T202" s="493"/>
      <c r="U202" s="493"/>
      <c r="V202" s="298"/>
      <c r="W202" s="298"/>
      <c r="X202" s="298"/>
      <c r="Y202" s="298"/>
      <c r="Z202" s="298"/>
      <c r="AA202" s="298"/>
      <c r="AB202" s="298"/>
      <c r="AC202" s="298"/>
      <c r="AD202" s="298"/>
      <c r="AE202" s="298"/>
      <c r="AF202" s="298"/>
      <c r="AG202" s="298"/>
      <c r="AH202" s="298"/>
      <c r="AI202" s="298"/>
      <c r="AJ202" s="298"/>
      <c r="AK202" s="298"/>
      <c r="AL202" s="298"/>
      <c r="AM202" s="298"/>
    </row>
    <row r="203" spans="1:39" ht="15.75" customHeight="1">
      <c r="A203" s="298"/>
      <c r="B203" s="298"/>
      <c r="C203" s="1901"/>
      <c r="D203" s="1947"/>
      <c r="E203" s="1901"/>
      <c r="F203" s="943"/>
      <c r="G203" s="1901"/>
      <c r="H203" s="1901"/>
      <c r="I203" s="1901"/>
      <c r="J203" s="1647"/>
      <c r="K203" s="1901"/>
      <c r="L203" s="1901"/>
      <c r="M203" s="836"/>
      <c r="N203" s="836"/>
      <c r="O203" s="836"/>
      <c r="P203" s="836"/>
      <c r="Q203" s="836"/>
      <c r="R203" s="492"/>
      <c r="S203" s="493"/>
      <c r="T203" s="493"/>
      <c r="U203" s="493"/>
      <c r="V203" s="298"/>
      <c r="W203" s="298"/>
      <c r="X203" s="298"/>
      <c r="Y203" s="298"/>
      <c r="Z203" s="298"/>
      <c r="AA203" s="298"/>
      <c r="AB203" s="298"/>
      <c r="AC203" s="298"/>
      <c r="AD203" s="298"/>
      <c r="AE203" s="298"/>
      <c r="AF203" s="298"/>
      <c r="AG203" s="298"/>
      <c r="AH203" s="298"/>
      <c r="AI203" s="298"/>
      <c r="AJ203" s="298"/>
      <c r="AK203" s="298"/>
      <c r="AL203" s="298"/>
      <c r="AM203" s="298"/>
    </row>
    <row r="204" spans="1:39" ht="15.75" customHeight="1">
      <c r="A204" s="298"/>
      <c r="B204" s="298"/>
      <c r="C204" s="1901"/>
      <c r="D204" s="1947"/>
      <c r="E204" s="1901"/>
      <c r="F204" s="943"/>
      <c r="G204" s="1901"/>
      <c r="H204" s="1901"/>
      <c r="I204" s="1901"/>
      <c r="J204" s="1647"/>
      <c r="K204" s="1901"/>
      <c r="L204" s="1901"/>
      <c r="M204" s="836"/>
      <c r="N204" s="836"/>
      <c r="O204" s="836"/>
      <c r="P204" s="836"/>
      <c r="Q204" s="836"/>
      <c r="R204" s="492"/>
      <c r="S204" s="493"/>
      <c r="T204" s="493"/>
      <c r="U204" s="493"/>
      <c r="V204" s="298"/>
      <c r="W204" s="298"/>
      <c r="X204" s="298"/>
      <c r="Y204" s="298"/>
      <c r="Z204" s="298"/>
      <c r="AA204" s="298"/>
      <c r="AB204" s="298"/>
      <c r="AC204" s="298"/>
      <c r="AD204" s="298"/>
      <c r="AE204" s="298"/>
      <c r="AF204" s="298"/>
      <c r="AG204" s="298"/>
      <c r="AH204" s="298"/>
      <c r="AI204" s="298"/>
      <c r="AJ204" s="298"/>
      <c r="AK204" s="298"/>
      <c r="AL204" s="298"/>
      <c r="AM204" s="298"/>
    </row>
    <row r="205" spans="1:39" ht="15.75" customHeight="1">
      <c r="A205" s="298"/>
      <c r="B205" s="298"/>
      <c r="C205" s="1901"/>
      <c r="D205" s="1947"/>
      <c r="E205" s="1901"/>
      <c r="F205" s="1950"/>
      <c r="G205" s="1901"/>
      <c r="H205" s="1901"/>
      <c r="I205" s="1901"/>
      <c r="J205" s="1647"/>
      <c r="K205" s="1901"/>
      <c r="L205" s="1901"/>
      <c r="M205" s="836"/>
      <c r="N205" s="836"/>
      <c r="O205" s="836"/>
      <c r="P205" s="836"/>
      <c r="Q205" s="836"/>
      <c r="R205" s="492"/>
      <c r="S205" s="493"/>
      <c r="T205" s="493"/>
      <c r="U205" s="493"/>
      <c r="V205" s="298"/>
      <c r="W205" s="298"/>
      <c r="X205" s="298"/>
      <c r="Y205" s="298"/>
      <c r="Z205" s="298"/>
      <c r="AA205" s="298"/>
      <c r="AB205" s="298"/>
      <c r="AC205" s="298"/>
      <c r="AD205" s="298"/>
      <c r="AE205" s="298"/>
      <c r="AF205" s="298"/>
      <c r="AG205" s="298"/>
      <c r="AH205" s="298"/>
      <c r="AI205" s="298"/>
      <c r="AJ205" s="298"/>
      <c r="AK205" s="298"/>
      <c r="AL205" s="298"/>
      <c r="AM205" s="298"/>
    </row>
    <row r="206" spans="1:39" ht="15.75" customHeight="1">
      <c r="A206" s="298"/>
      <c r="B206" s="298"/>
      <c r="C206" s="1901"/>
      <c r="D206" s="1947"/>
      <c r="E206" s="1901"/>
      <c r="F206" s="1951"/>
      <c r="G206" s="1901"/>
      <c r="H206" s="1901"/>
      <c r="I206" s="1901"/>
      <c r="J206" s="1647"/>
      <c r="K206" s="1901"/>
      <c r="L206" s="1901"/>
      <c r="M206" s="836"/>
      <c r="N206" s="836"/>
      <c r="O206" s="836"/>
      <c r="P206" s="836"/>
      <c r="Q206" s="836"/>
      <c r="R206" s="492"/>
      <c r="S206" s="493"/>
      <c r="T206" s="493"/>
      <c r="U206" s="493"/>
      <c r="V206" s="298"/>
      <c r="W206" s="298"/>
      <c r="X206" s="298"/>
      <c r="Y206" s="298"/>
      <c r="Z206" s="298"/>
      <c r="AA206" s="298"/>
      <c r="AB206" s="298"/>
      <c r="AC206" s="298"/>
      <c r="AD206" s="298"/>
      <c r="AE206" s="298"/>
      <c r="AF206" s="298"/>
      <c r="AG206" s="298"/>
      <c r="AH206" s="298"/>
      <c r="AI206" s="298"/>
      <c r="AJ206" s="298"/>
      <c r="AK206" s="298"/>
      <c r="AL206" s="298"/>
      <c r="AM206" s="298"/>
    </row>
    <row r="207" spans="1:39" ht="15.75" customHeight="1">
      <c r="A207" s="298"/>
      <c r="B207" s="298"/>
      <c r="C207" s="1901"/>
      <c r="D207" s="1947"/>
      <c r="E207" s="1901"/>
      <c r="F207" s="943"/>
      <c r="G207" s="1901"/>
      <c r="H207" s="1901"/>
      <c r="I207" s="1901"/>
      <c r="J207" s="1647"/>
      <c r="K207" s="1901"/>
      <c r="L207" s="1901"/>
      <c r="M207" s="836"/>
      <c r="N207" s="836"/>
      <c r="O207" s="836"/>
      <c r="P207" s="836"/>
      <c r="Q207" s="836"/>
      <c r="R207" s="492"/>
      <c r="S207" s="493"/>
      <c r="T207" s="493"/>
      <c r="U207" s="493"/>
      <c r="V207" s="298"/>
      <c r="W207" s="298"/>
      <c r="X207" s="298"/>
      <c r="Y207" s="298"/>
      <c r="Z207" s="298"/>
      <c r="AA207" s="298"/>
      <c r="AB207" s="298"/>
      <c r="AC207" s="298"/>
      <c r="AD207" s="298"/>
      <c r="AE207" s="298"/>
      <c r="AF207" s="298"/>
      <c r="AG207" s="298"/>
      <c r="AH207" s="298"/>
      <c r="AI207" s="298"/>
      <c r="AJ207" s="298"/>
      <c r="AK207" s="298"/>
      <c r="AL207" s="298"/>
      <c r="AM207" s="298"/>
    </row>
    <row r="208" spans="1:39" ht="15.75" customHeight="1">
      <c r="A208" s="298"/>
      <c r="B208" s="298"/>
      <c r="C208" s="1901"/>
      <c r="D208" s="1947"/>
      <c r="E208" s="1901"/>
      <c r="F208" s="1950"/>
      <c r="G208" s="1901"/>
      <c r="H208" s="1901"/>
      <c r="I208" s="1901"/>
      <c r="J208" s="1647"/>
      <c r="K208" s="1901"/>
      <c r="L208" s="1901"/>
      <c r="M208" s="836"/>
      <c r="N208" s="836"/>
      <c r="O208" s="836"/>
      <c r="P208" s="836"/>
      <c r="Q208" s="836"/>
      <c r="R208" s="492"/>
      <c r="S208" s="493"/>
      <c r="T208" s="493"/>
      <c r="U208" s="493"/>
      <c r="V208" s="298"/>
      <c r="W208" s="298"/>
      <c r="X208" s="298"/>
      <c r="Y208" s="298"/>
      <c r="Z208" s="298"/>
      <c r="AA208" s="298"/>
      <c r="AB208" s="298"/>
      <c r="AC208" s="298"/>
      <c r="AD208" s="298"/>
      <c r="AE208" s="298"/>
      <c r="AF208" s="298"/>
      <c r="AG208" s="298"/>
      <c r="AH208" s="298"/>
      <c r="AI208" s="298"/>
      <c r="AJ208" s="298"/>
      <c r="AK208" s="298"/>
      <c r="AL208" s="298"/>
      <c r="AM208" s="298"/>
    </row>
    <row r="209" spans="1:39" ht="15.75" customHeight="1">
      <c r="A209" s="298"/>
      <c r="B209" s="298"/>
      <c r="C209" s="1901"/>
      <c r="D209" s="1947"/>
      <c r="E209" s="1901"/>
      <c r="F209" s="943"/>
      <c r="G209" s="1901"/>
      <c r="H209" s="1901"/>
      <c r="I209" s="1901"/>
      <c r="J209" s="1647"/>
      <c r="K209" s="1901"/>
      <c r="L209" s="1901"/>
      <c r="M209" s="836"/>
      <c r="N209" s="836"/>
      <c r="O209" s="836"/>
      <c r="P209" s="836"/>
      <c r="Q209" s="836"/>
      <c r="R209" s="492"/>
      <c r="S209" s="493"/>
      <c r="T209" s="493"/>
      <c r="U209" s="493"/>
      <c r="V209" s="298"/>
      <c r="W209" s="298"/>
      <c r="X209" s="298"/>
      <c r="Y209" s="298"/>
      <c r="Z209" s="298"/>
      <c r="AA209" s="298"/>
      <c r="AB209" s="298"/>
      <c r="AC209" s="298"/>
      <c r="AD209" s="298"/>
      <c r="AE209" s="298"/>
      <c r="AF209" s="298"/>
      <c r="AG209" s="298"/>
      <c r="AH209" s="298"/>
      <c r="AI209" s="298"/>
      <c r="AJ209" s="298"/>
      <c r="AK209" s="298"/>
      <c r="AL209" s="298"/>
      <c r="AM209" s="298"/>
    </row>
    <row r="210" spans="1:39" ht="15.75" customHeight="1">
      <c r="A210" s="298"/>
      <c r="B210" s="298"/>
      <c r="C210" s="1901"/>
      <c r="D210" s="1947"/>
      <c r="E210" s="1901"/>
      <c r="F210" s="943"/>
      <c r="G210" s="1901"/>
      <c r="H210" s="1901"/>
      <c r="I210" s="1901"/>
      <c r="J210" s="1647"/>
      <c r="K210" s="1901"/>
      <c r="L210" s="1901"/>
      <c r="M210" s="836"/>
      <c r="N210" s="836"/>
      <c r="O210" s="836"/>
      <c r="P210" s="836"/>
      <c r="Q210" s="836"/>
      <c r="R210" s="492"/>
      <c r="S210" s="493"/>
      <c r="T210" s="493"/>
      <c r="U210" s="493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298"/>
      <c r="AG210" s="298"/>
      <c r="AH210" s="298"/>
      <c r="AI210" s="298"/>
      <c r="AJ210" s="298"/>
      <c r="AK210" s="298"/>
      <c r="AL210" s="298"/>
      <c r="AM210" s="298"/>
    </row>
    <row r="211" spans="1:39" ht="15.75" customHeight="1">
      <c r="A211" s="298"/>
      <c r="B211" s="298"/>
      <c r="C211" s="1901"/>
      <c r="D211" s="1947"/>
      <c r="E211" s="1901"/>
      <c r="F211" s="943"/>
      <c r="G211" s="1901"/>
      <c r="H211" s="1901"/>
      <c r="I211" s="1901"/>
      <c r="J211" s="1647"/>
      <c r="K211" s="1901"/>
      <c r="L211" s="1901"/>
      <c r="M211" s="836"/>
      <c r="N211" s="836"/>
      <c r="O211" s="836"/>
      <c r="P211" s="836"/>
      <c r="Q211" s="836"/>
      <c r="R211" s="492"/>
      <c r="S211" s="493"/>
      <c r="T211" s="493"/>
      <c r="U211" s="493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298"/>
      <c r="AG211" s="298"/>
      <c r="AH211" s="298"/>
      <c r="AI211" s="298"/>
      <c r="AJ211" s="298"/>
      <c r="AK211" s="298"/>
      <c r="AL211" s="298"/>
      <c r="AM211" s="298"/>
    </row>
    <row r="212" spans="1:39" ht="15.75" customHeight="1">
      <c r="A212" s="298"/>
      <c r="B212" s="298"/>
      <c r="C212" s="1901"/>
      <c r="D212" s="1947"/>
      <c r="E212" s="1901"/>
      <c r="F212" s="943"/>
      <c r="G212" s="1901"/>
      <c r="H212" s="1901"/>
      <c r="I212" s="1901"/>
      <c r="J212" s="1647"/>
      <c r="K212" s="1901"/>
      <c r="L212" s="1901"/>
      <c r="M212" s="836"/>
      <c r="N212" s="836"/>
      <c r="O212" s="836"/>
      <c r="P212" s="836"/>
      <c r="Q212" s="836"/>
      <c r="R212" s="492"/>
      <c r="S212" s="493"/>
      <c r="T212" s="493"/>
      <c r="U212" s="493"/>
      <c r="V212" s="298"/>
      <c r="W212" s="298"/>
      <c r="X212" s="298"/>
      <c r="Y212" s="298"/>
      <c r="Z212" s="298"/>
      <c r="AA212" s="298"/>
      <c r="AB212" s="298"/>
      <c r="AC212" s="298"/>
      <c r="AD212" s="298"/>
      <c r="AE212" s="298"/>
      <c r="AF212" s="298"/>
      <c r="AG212" s="298"/>
      <c r="AH212" s="298"/>
      <c r="AI212" s="298"/>
      <c r="AJ212" s="298"/>
      <c r="AK212" s="298"/>
      <c r="AL212" s="298"/>
      <c r="AM212" s="298"/>
    </row>
    <row r="213" spans="1:39" ht="15.75" customHeight="1">
      <c r="A213" s="298"/>
      <c r="B213" s="298"/>
      <c r="C213" s="1901"/>
      <c r="D213" s="1947"/>
      <c r="E213" s="1901"/>
      <c r="F213" s="943"/>
      <c r="G213" s="1901"/>
      <c r="H213" s="1901"/>
      <c r="I213" s="1901"/>
      <c r="J213" s="1647"/>
      <c r="K213" s="1901"/>
      <c r="L213" s="1901"/>
      <c r="M213" s="836"/>
      <c r="N213" s="836"/>
      <c r="O213" s="836"/>
      <c r="P213" s="836"/>
      <c r="Q213" s="836"/>
      <c r="R213" s="492"/>
      <c r="S213" s="493"/>
      <c r="T213" s="493"/>
      <c r="U213" s="493"/>
      <c r="V213" s="298"/>
      <c r="W213" s="298"/>
      <c r="X213" s="298"/>
      <c r="Y213" s="298"/>
      <c r="Z213" s="298"/>
      <c r="AA213" s="298"/>
      <c r="AB213" s="298"/>
      <c r="AC213" s="298"/>
      <c r="AD213" s="298"/>
      <c r="AE213" s="298"/>
      <c r="AF213" s="298"/>
      <c r="AG213" s="298"/>
      <c r="AH213" s="298"/>
      <c r="AI213" s="298"/>
      <c r="AJ213" s="298"/>
      <c r="AK213" s="298"/>
      <c r="AL213" s="298"/>
      <c r="AM213" s="298"/>
    </row>
    <row r="214" spans="1:39" ht="15.75" customHeight="1">
      <c r="A214" s="298"/>
      <c r="B214" s="298"/>
      <c r="C214" s="1901"/>
      <c r="D214" s="1947"/>
      <c r="E214" s="1901"/>
      <c r="F214" s="943"/>
      <c r="G214" s="1901"/>
      <c r="H214" s="1901"/>
      <c r="I214" s="1901"/>
      <c r="J214" s="1647"/>
      <c r="K214" s="1901"/>
      <c r="L214" s="1901"/>
      <c r="M214" s="836"/>
      <c r="N214" s="836"/>
      <c r="O214" s="836"/>
      <c r="P214" s="836"/>
      <c r="Q214" s="836"/>
      <c r="R214" s="492"/>
      <c r="S214" s="493"/>
      <c r="T214" s="493"/>
      <c r="U214" s="493"/>
      <c r="V214" s="298"/>
      <c r="W214" s="298"/>
      <c r="X214" s="298"/>
      <c r="Y214" s="298"/>
      <c r="Z214" s="298"/>
      <c r="AA214" s="298"/>
      <c r="AB214" s="298"/>
      <c r="AC214" s="298"/>
      <c r="AD214" s="298"/>
      <c r="AE214" s="298"/>
      <c r="AF214" s="298"/>
      <c r="AG214" s="298"/>
      <c r="AH214" s="298"/>
      <c r="AI214" s="298"/>
      <c r="AJ214" s="298"/>
      <c r="AK214" s="298"/>
      <c r="AL214" s="298"/>
      <c r="AM214" s="298"/>
    </row>
    <row r="215" spans="1:39" ht="15.75" customHeight="1">
      <c r="A215" s="298"/>
      <c r="B215" s="298"/>
      <c r="C215" s="1901"/>
      <c r="D215" s="1947"/>
      <c r="E215" s="1901"/>
      <c r="F215" s="943"/>
      <c r="G215" s="1901"/>
      <c r="H215" s="1901"/>
      <c r="I215" s="1901"/>
      <c r="J215" s="1647"/>
      <c r="K215" s="1901"/>
      <c r="L215" s="1901"/>
      <c r="M215" s="836"/>
      <c r="N215" s="836"/>
      <c r="O215" s="836"/>
      <c r="P215" s="836"/>
      <c r="Q215" s="836"/>
      <c r="R215" s="492"/>
      <c r="S215" s="493"/>
      <c r="T215" s="493"/>
      <c r="U215" s="493"/>
      <c r="V215" s="298"/>
      <c r="W215" s="298"/>
      <c r="X215" s="298"/>
      <c r="Y215" s="298"/>
      <c r="Z215" s="298"/>
      <c r="AA215" s="298"/>
      <c r="AB215" s="298"/>
      <c r="AC215" s="298"/>
      <c r="AD215" s="298"/>
      <c r="AE215" s="298"/>
      <c r="AF215" s="298"/>
      <c r="AG215" s="298"/>
      <c r="AH215" s="298"/>
      <c r="AI215" s="298"/>
      <c r="AJ215" s="298"/>
      <c r="AK215" s="298"/>
      <c r="AL215" s="298"/>
      <c r="AM215" s="298"/>
    </row>
    <row r="216" spans="1:39" ht="15.75" customHeight="1">
      <c r="A216" s="298"/>
      <c r="B216" s="298"/>
      <c r="C216" s="1901"/>
      <c r="D216" s="1947"/>
      <c r="E216" s="1901"/>
      <c r="F216" s="943"/>
      <c r="G216" s="1901"/>
      <c r="H216" s="1901"/>
      <c r="I216" s="1901"/>
      <c r="J216" s="1647"/>
      <c r="K216" s="1901"/>
      <c r="L216" s="1901"/>
      <c r="M216" s="836"/>
      <c r="N216" s="836"/>
      <c r="O216" s="836"/>
      <c r="P216" s="836"/>
      <c r="Q216" s="836"/>
      <c r="R216" s="492"/>
      <c r="S216" s="493"/>
      <c r="T216" s="493"/>
      <c r="U216" s="493"/>
      <c r="V216" s="298"/>
      <c r="W216" s="298"/>
      <c r="X216" s="298"/>
      <c r="Y216" s="298"/>
      <c r="Z216" s="298"/>
      <c r="AA216" s="298"/>
      <c r="AB216" s="298"/>
      <c r="AC216" s="298"/>
      <c r="AD216" s="298"/>
      <c r="AE216" s="298"/>
      <c r="AF216" s="298"/>
      <c r="AG216" s="298"/>
      <c r="AH216" s="298"/>
      <c r="AI216" s="298"/>
      <c r="AJ216" s="298"/>
      <c r="AK216" s="298"/>
      <c r="AL216" s="298"/>
      <c r="AM216" s="298"/>
    </row>
    <row r="217" spans="1:39" ht="15.75" customHeight="1">
      <c r="A217" s="298"/>
      <c r="B217" s="298"/>
      <c r="C217" s="1901"/>
      <c r="D217" s="1947"/>
      <c r="E217" s="1901"/>
      <c r="F217" s="943"/>
      <c r="G217" s="1901"/>
      <c r="H217" s="1901"/>
      <c r="I217" s="1901"/>
      <c r="J217" s="1647"/>
      <c r="K217" s="1901"/>
      <c r="L217" s="1901"/>
      <c r="M217" s="836"/>
      <c r="N217" s="836"/>
      <c r="O217" s="836"/>
      <c r="P217" s="836"/>
      <c r="Q217" s="836"/>
      <c r="R217" s="492"/>
      <c r="S217" s="493"/>
      <c r="T217" s="493"/>
      <c r="U217" s="493"/>
      <c r="V217" s="298"/>
      <c r="W217" s="298"/>
      <c r="X217" s="298"/>
      <c r="Y217" s="298"/>
      <c r="Z217" s="298"/>
      <c r="AA217" s="298"/>
      <c r="AB217" s="298"/>
      <c r="AC217" s="298"/>
      <c r="AD217" s="298"/>
      <c r="AE217" s="298"/>
      <c r="AF217" s="298"/>
      <c r="AG217" s="298"/>
      <c r="AH217" s="298"/>
      <c r="AI217" s="298"/>
      <c r="AJ217" s="298"/>
      <c r="AK217" s="298"/>
      <c r="AL217" s="298"/>
      <c r="AM217" s="298"/>
    </row>
    <row r="218" spans="1:39" ht="15.75" customHeight="1">
      <c r="A218" s="298"/>
      <c r="B218" s="298"/>
      <c r="C218" s="1901"/>
      <c r="D218" s="1947"/>
      <c r="E218" s="1901"/>
      <c r="F218" s="137"/>
      <c r="G218" s="1901"/>
      <c r="H218" s="1901"/>
      <c r="I218" s="1901"/>
      <c r="J218" s="1647"/>
      <c r="K218" s="1901"/>
      <c r="L218" s="1901"/>
      <c r="M218" s="836"/>
      <c r="N218" s="836"/>
      <c r="O218" s="836"/>
      <c r="P218" s="836"/>
      <c r="Q218" s="836"/>
      <c r="R218" s="492"/>
      <c r="S218" s="493"/>
      <c r="T218" s="493"/>
      <c r="U218" s="493"/>
      <c r="V218" s="298"/>
      <c r="W218" s="298"/>
      <c r="X218" s="298"/>
      <c r="Y218" s="298"/>
      <c r="Z218" s="298"/>
      <c r="AA218" s="298"/>
      <c r="AB218" s="298"/>
      <c r="AC218" s="298"/>
      <c r="AD218" s="298"/>
      <c r="AE218" s="298"/>
      <c r="AF218" s="298"/>
      <c r="AG218" s="298"/>
      <c r="AH218" s="298"/>
      <c r="AI218" s="298"/>
      <c r="AJ218" s="298"/>
      <c r="AK218" s="298"/>
      <c r="AL218" s="298"/>
      <c r="AM218" s="298"/>
    </row>
    <row r="219" spans="1:39" ht="15.75" customHeight="1">
      <c r="A219" s="298"/>
      <c r="B219" s="298"/>
      <c r="C219" s="1901"/>
      <c r="D219" s="1947"/>
      <c r="E219" s="1901"/>
      <c r="F219" s="943"/>
      <c r="G219" s="1901"/>
      <c r="H219" s="1901"/>
      <c r="I219" s="1901"/>
      <c r="J219" s="1647"/>
      <c r="K219" s="1901"/>
      <c r="L219" s="1901"/>
      <c r="M219" s="836"/>
      <c r="N219" s="836"/>
      <c r="O219" s="836"/>
      <c r="P219" s="836"/>
      <c r="Q219" s="836"/>
      <c r="R219" s="492"/>
      <c r="S219" s="493"/>
      <c r="T219" s="493"/>
      <c r="U219" s="493"/>
      <c r="V219" s="298"/>
      <c r="W219" s="298"/>
      <c r="X219" s="298"/>
      <c r="Y219" s="298"/>
      <c r="Z219" s="298"/>
      <c r="AA219" s="298"/>
      <c r="AB219" s="298"/>
      <c r="AC219" s="298"/>
      <c r="AD219" s="298"/>
      <c r="AE219" s="298"/>
      <c r="AF219" s="298"/>
      <c r="AG219" s="298"/>
      <c r="AH219" s="298"/>
      <c r="AI219" s="298"/>
      <c r="AJ219" s="298"/>
      <c r="AK219" s="298"/>
      <c r="AL219" s="298"/>
      <c r="AM219" s="298"/>
    </row>
    <row r="220" spans="1:39" ht="15.75" customHeight="1">
      <c r="A220" s="298"/>
      <c r="B220" s="298"/>
      <c r="C220" s="1901"/>
      <c r="D220" s="1947"/>
      <c r="E220" s="1901"/>
      <c r="F220" s="943"/>
      <c r="G220" s="1901"/>
      <c r="H220" s="1901"/>
      <c r="I220" s="1901"/>
      <c r="J220" s="1647"/>
      <c r="K220" s="1901"/>
      <c r="L220" s="1901"/>
      <c r="M220" s="836"/>
      <c r="N220" s="836"/>
      <c r="O220" s="836"/>
      <c r="P220" s="836"/>
      <c r="Q220" s="836"/>
      <c r="R220" s="492"/>
      <c r="S220" s="493"/>
      <c r="T220" s="493"/>
      <c r="U220" s="493"/>
      <c r="V220" s="298"/>
      <c r="W220" s="298"/>
      <c r="X220" s="298"/>
      <c r="Y220" s="298"/>
      <c r="Z220" s="298"/>
      <c r="AA220" s="298"/>
      <c r="AB220" s="298"/>
      <c r="AC220" s="298"/>
      <c r="AD220" s="298"/>
      <c r="AE220" s="298"/>
      <c r="AF220" s="298"/>
      <c r="AG220" s="298"/>
      <c r="AH220" s="298"/>
      <c r="AI220" s="298"/>
      <c r="AJ220" s="298"/>
      <c r="AK220" s="298"/>
      <c r="AL220" s="298"/>
      <c r="AM220" s="298"/>
    </row>
    <row r="221" spans="1:39" ht="15.75" customHeight="1">
      <c r="A221" s="298"/>
      <c r="B221" s="298"/>
      <c r="C221" s="1901"/>
      <c r="D221" s="1947"/>
      <c r="E221" s="1901"/>
      <c r="F221" s="137"/>
      <c r="G221" s="1901"/>
      <c r="H221" s="1901"/>
      <c r="I221" s="1901"/>
      <c r="J221" s="1647"/>
      <c r="K221" s="1901"/>
      <c r="L221" s="1901"/>
      <c r="M221" s="836"/>
      <c r="N221" s="836"/>
      <c r="O221" s="836"/>
      <c r="P221" s="836"/>
      <c r="Q221" s="836"/>
      <c r="R221" s="492"/>
      <c r="S221" s="493"/>
      <c r="T221" s="493"/>
      <c r="U221" s="493"/>
      <c r="V221" s="298"/>
      <c r="W221" s="298"/>
      <c r="X221" s="298"/>
      <c r="Y221" s="298"/>
      <c r="Z221" s="298"/>
      <c r="AA221" s="298"/>
      <c r="AB221" s="298"/>
      <c r="AC221" s="298"/>
      <c r="AD221" s="298"/>
      <c r="AE221" s="298"/>
      <c r="AF221" s="298"/>
      <c r="AG221" s="298"/>
      <c r="AH221" s="298"/>
      <c r="AI221" s="298"/>
      <c r="AJ221" s="298"/>
      <c r="AK221" s="298"/>
      <c r="AL221" s="298"/>
      <c r="AM221" s="298"/>
    </row>
    <row r="222" spans="1:39" ht="15.75" customHeight="1">
      <c r="A222" s="298"/>
      <c r="B222" s="298"/>
      <c r="C222" s="1901"/>
      <c r="D222" s="1947"/>
      <c r="E222" s="1901"/>
      <c r="F222" s="1948"/>
      <c r="G222" s="1901"/>
      <c r="H222" s="1901"/>
      <c r="I222" s="1901"/>
      <c r="J222" s="1647"/>
      <c r="K222" s="1901"/>
      <c r="L222" s="1901"/>
      <c r="M222" s="836"/>
      <c r="N222" s="836"/>
      <c r="O222" s="836"/>
      <c r="P222" s="836"/>
      <c r="Q222" s="836"/>
      <c r="R222" s="492"/>
      <c r="S222" s="493"/>
      <c r="T222" s="493"/>
      <c r="U222" s="493"/>
      <c r="V222" s="298"/>
      <c r="W222" s="298"/>
      <c r="X222" s="298"/>
      <c r="Y222" s="298"/>
      <c r="Z222" s="298"/>
      <c r="AA222" s="298"/>
      <c r="AB222" s="298"/>
      <c r="AC222" s="298"/>
      <c r="AD222" s="298"/>
      <c r="AE222" s="298"/>
      <c r="AF222" s="298"/>
      <c r="AG222" s="298"/>
      <c r="AH222" s="298"/>
      <c r="AI222" s="298"/>
      <c r="AJ222" s="298"/>
      <c r="AK222" s="298"/>
      <c r="AL222" s="298"/>
      <c r="AM222" s="298"/>
    </row>
    <row r="223" spans="1:39" ht="15.75" customHeight="1">
      <c r="A223" s="298"/>
      <c r="B223" s="298"/>
      <c r="C223" s="1901"/>
      <c r="D223" s="1947"/>
      <c r="E223" s="1901"/>
      <c r="F223" s="943"/>
      <c r="G223" s="1901"/>
      <c r="H223" s="1901"/>
      <c r="I223" s="1901"/>
      <c r="J223" s="1647"/>
      <c r="K223" s="1901"/>
      <c r="L223" s="1901"/>
      <c r="M223" s="836"/>
      <c r="N223" s="836"/>
      <c r="O223" s="836"/>
      <c r="P223" s="836"/>
      <c r="Q223" s="836"/>
      <c r="R223" s="492"/>
      <c r="S223" s="493"/>
      <c r="T223" s="493"/>
      <c r="U223" s="493"/>
      <c r="V223" s="298"/>
      <c r="W223" s="298"/>
      <c r="X223" s="298"/>
      <c r="Y223" s="298"/>
      <c r="Z223" s="298"/>
      <c r="AA223" s="298"/>
      <c r="AB223" s="298"/>
      <c r="AC223" s="298"/>
      <c r="AD223" s="298"/>
      <c r="AE223" s="298"/>
      <c r="AF223" s="298"/>
      <c r="AG223" s="298"/>
      <c r="AH223" s="298"/>
      <c r="AI223" s="298"/>
      <c r="AJ223" s="298"/>
      <c r="AK223" s="298"/>
      <c r="AL223" s="298"/>
      <c r="AM223" s="298"/>
    </row>
    <row r="224" spans="1:39" ht="15.75" customHeight="1">
      <c r="A224" s="298"/>
      <c r="B224" s="298"/>
      <c r="C224" s="1901"/>
      <c r="D224" s="1947"/>
      <c r="E224" s="1901"/>
      <c r="F224" s="943"/>
      <c r="G224" s="1901"/>
      <c r="H224" s="1901"/>
      <c r="I224" s="1901"/>
      <c r="J224" s="1647"/>
      <c r="K224" s="1901"/>
      <c r="L224" s="1901"/>
      <c r="M224" s="836"/>
      <c r="N224" s="836"/>
      <c r="O224" s="836"/>
      <c r="P224" s="836"/>
      <c r="Q224" s="836"/>
      <c r="R224" s="492"/>
      <c r="S224" s="493"/>
      <c r="T224" s="493"/>
      <c r="U224" s="493"/>
      <c r="V224" s="298"/>
      <c r="W224" s="298"/>
      <c r="X224" s="298"/>
      <c r="Y224" s="298"/>
      <c r="Z224" s="298"/>
      <c r="AA224" s="298"/>
      <c r="AB224" s="298"/>
      <c r="AC224" s="298"/>
      <c r="AD224" s="298"/>
      <c r="AE224" s="298"/>
      <c r="AF224" s="298"/>
      <c r="AG224" s="298"/>
      <c r="AH224" s="298"/>
      <c r="AI224" s="298"/>
      <c r="AJ224" s="298"/>
      <c r="AK224" s="298"/>
      <c r="AL224" s="298"/>
      <c r="AM224" s="298"/>
    </row>
    <row r="225" spans="1:39" ht="15.75" customHeight="1">
      <c r="A225" s="298"/>
      <c r="B225" s="298"/>
      <c r="C225" s="1901"/>
      <c r="D225" s="1947"/>
      <c r="E225" s="1901"/>
      <c r="F225" s="943"/>
      <c r="G225" s="1901"/>
      <c r="H225" s="1901"/>
      <c r="I225" s="1901"/>
      <c r="J225" s="1647"/>
      <c r="K225" s="1901"/>
      <c r="L225" s="1901"/>
      <c r="M225" s="836"/>
      <c r="N225" s="836"/>
      <c r="O225" s="836"/>
      <c r="P225" s="836"/>
      <c r="Q225" s="836"/>
      <c r="R225" s="492"/>
      <c r="S225" s="493"/>
      <c r="T225" s="493"/>
      <c r="U225" s="493"/>
      <c r="V225" s="298"/>
      <c r="W225" s="298"/>
      <c r="X225" s="298"/>
      <c r="Y225" s="298"/>
      <c r="Z225" s="298"/>
      <c r="AA225" s="298"/>
      <c r="AB225" s="298"/>
      <c r="AC225" s="298"/>
      <c r="AD225" s="298"/>
      <c r="AE225" s="298"/>
      <c r="AF225" s="298"/>
      <c r="AG225" s="298"/>
      <c r="AH225" s="298"/>
      <c r="AI225" s="298"/>
      <c r="AJ225" s="298"/>
      <c r="AK225" s="298"/>
      <c r="AL225" s="298"/>
      <c r="AM225" s="298"/>
    </row>
    <row r="226" spans="1:39" ht="15.75" customHeight="1">
      <c r="A226" s="298"/>
      <c r="B226" s="298"/>
      <c r="C226" s="1901"/>
      <c r="D226" s="1947"/>
      <c r="E226" s="1901"/>
      <c r="F226" s="137"/>
      <c r="G226" s="1901"/>
      <c r="H226" s="1901"/>
      <c r="I226" s="1901"/>
      <c r="J226" s="1647"/>
      <c r="K226" s="1901"/>
      <c r="L226" s="1901"/>
      <c r="M226" s="836"/>
      <c r="N226" s="836"/>
      <c r="O226" s="836"/>
      <c r="P226" s="836"/>
      <c r="Q226" s="836"/>
      <c r="R226" s="492"/>
      <c r="S226" s="493"/>
      <c r="T226" s="493"/>
      <c r="U226" s="493"/>
      <c r="V226" s="298"/>
      <c r="W226" s="298"/>
      <c r="X226" s="298"/>
      <c r="Y226" s="298"/>
      <c r="Z226" s="298"/>
      <c r="AA226" s="298"/>
      <c r="AB226" s="298"/>
      <c r="AC226" s="298"/>
      <c r="AD226" s="298"/>
      <c r="AE226" s="298"/>
      <c r="AF226" s="298"/>
      <c r="AG226" s="298"/>
      <c r="AH226" s="298"/>
      <c r="AI226" s="298"/>
      <c r="AJ226" s="298"/>
      <c r="AK226" s="298"/>
      <c r="AL226" s="298"/>
      <c r="AM226" s="298"/>
    </row>
    <row r="227" spans="1:39" ht="15.75" customHeight="1">
      <c r="A227" s="298"/>
      <c r="B227" s="298"/>
      <c r="C227" s="1901"/>
      <c r="D227" s="1947"/>
      <c r="E227" s="1901"/>
      <c r="F227" s="943"/>
      <c r="G227" s="1901"/>
      <c r="H227" s="1901"/>
      <c r="I227" s="1901"/>
      <c r="J227" s="1647"/>
      <c r="K227" s="1901"/>
      <c r="L227" s="1901"/>
      <c r="M227" s="836"/>
      <c r="N227" s="836"/>
      <c r="O227" s="836"/>
      <c r="P227" s="836"/>
      <c r="Q227" s="836"/>
      <c r="R227" s="492"/>
      <c r="S227" s="493"/>
      <c r="T227" s="493"/>
      <c r="U227" s="493"/>
      <c r="V227" s="298"/>
      <c r="W227" s="298"/>
      <c r="X227" s="298"/>
      <c r="Y227" s="298"/>
      <c r="Z227" s="298"/>
      <c r="AA227" s="298"/>
      <c r="AB227" s="298"/>
      <c r="AC227" s="298"/>
      <c r="AD227" s="298"/>
      <c r="AE227" s="298"/>
      <c r="AF227" s="298"/>
      <c r="AG227" s="298"/>
      <c r="AH227" s="298"/>
      <c r="AI227" s="298"/>
      <c r="AJ227" s="298"/>
      <c r="AK227" s="298"/>
      <c r="AL227" s="298"/>
      <c r="AM227" s="298"/>
    </row>
    <row r="228" spans="1:39" ht="15.75" customHeight="1">
      <c r="A228" s="298"/>
      <c r="B228" s="298"/>
      <c r="C228" s="1901"/>
      <c r="D228" s="1947"/>
      <c r="E228" s="1901"/>
      <c r="F228" s="943"/>
      <c r="G228" s="1901"/>
      <c r="H228" s="1901"/>
      <c r="I228" s="1901"/>
      <c r="J228" s="1647"/>
      <c r="K228" s="1901"/>
      <c r="L228" s="1901"/>
      <c r="M228" s="836"/>
      <c r="N228" s="836"/>
      <c r="O228" s="836"/>
      <c r="P228" s="836"/>
      <c r="Q228" s="836"/>
      <c r="R228" s="492"/>
      <c r="S228" s="493"/>
      <c r="T228" s="493"/>
      <c r="U228" s="493"/>
      <c r="V228" s="298"/>
      <c r="W228" s="298"/>
      <c r="X228" s="298"/>
      <c r="Y228" s="298"/>
      <c r="Z228" s="298"/>
      <c r="AA228" s="298"/>
      <c r="AB228" s="298"/>
      <c r="AC228" s="298"/>
      <c r="AD228" s="298"/>
      <c r="AE228" s="298"/>
      <c r="AF228" s="298"/>
      <c r="AG228" s="298"/>
      <c r="AH228" s="298"/>
      <c r="AI228" s="298"/>
      <c r="AJ228" s="298"/>
      <c r="AK228" s="298"/>
      <c r="AL228" s="298"/>
      <c r="AM228" s="298"/>
    </row>
    <row r="229" spans="1:39" ht="15.75" customHeight="1">
      <c r="A229" s="298"/>
      <c r="B229" s="298"/>
      <c r="C229" s="1901"/>
      <c r="D229" s="1947"/>
      <c r="E229" s="1901"/>
      <c r="F229" s="943"/>
      <c r="G229" s="1901"/>
      <c r="H229" s="1901"/>
      <c r="I229" s="1901"/>
      <c r="J229" s="1647"/>
      <c r="K229" s="1901"/>
      <c r="L229" s="1901"/>
      <c r="M229" s="836"/>
      <c r="N229" s="836"/>
      <c r="O229" s="836"/>
      <c r="P229" s="836"/>
      <c r="Q229" s="836"/>
      <c r="R229" s="492"/>
      <c r="S229" s="493"/>
      <c r="T229" s="493"/>
      <c r="U229" s="493"/>
      <c r="V229" s="298"/>
      <c r="W229" s="298"/>
      <c r="X229" s="298"/>
      <c r="Y229" s="298"/>
      <c r="Z229" s="298"/>
      <c r="AA229" s="298"/>
      <c r="AB229" s="298"/>
      <c r="AC229" s="298"/>
      <c r="AD229" s="298"/>
      <c r="AE229" s="298"/>
      <c r="AF229" s="298"/>
      <c r="AG229" s="298"/>
      <c r="AH229" s="298"/>
      <c r="AI229" s="298"/>
      <c r="AJ229" s="298"/>
      <c r="AK229" s="298"/>
      <c r="AL229" s="298"/>
      <c r="AM229" s="298"/>
    </row>
    <row r="230" spans="1:39" ht="15.75" customHeight="1">
      <c r="A230" s="298"/>
      <c r="B230" s="298"/>
      <c r="C230" s="1901"/>
      <c r="D230" s="1947"/>
      <c r="E230" s="1901"/>
      <c r="F230" s="943"/>
      <c r="G230" s="1901"/>
      <c r="H230" s="1901"/>
      <c r="I230" s="1901"/>
      <c r="J230" s="1647"/>
      <c r="K230" s="1901"/>
      <c r="L230" s="1901"/>
      <c r="M230" s="836"/>
      <c r="N230" s="836"/>
      <c r="O230" s="836"/>
      <c r="P230" s="836"/>
      <c r="Q230" s="836"/>
      <c r="R230" s="492"/>
      <c r="S230" s="493"/>
      <c r="T230" s="493"/>
      <c r="U230" s="493"/>
      <c r="V230" s="298"/>
      <c r="W230" s="298"/>
      <c r="X230" s="298"/>
      <c r="Y230" s="298"/>
      <c r="Z230" s="298"/>
      <c r="AA230" s="298"/>
      <c r="AB230" s="298"/>
      <c r="AC230" s="298"/>
      <c r="AD230" s="298"/>
      <c r="AE230" s="298"/>
      <c r="AF230" s="298"/>
      <c r="AG230" s="298"/>
      <c r="AH230" s="298"/>
      <c r="AI230" s="298"/>
      <c r="AJ230" s="298"/>
      <c r="AK230" s="298"/>
      <c r="AL230" s="298"/>
      <c r="AM230" s="298"/>
    </row>
    <row r="231" spans="1:39" ht="15.75" customHeight="1">
      <c r="A231" s="298"/>
      <c r="B231" s="298"/>
      <c r="C231" s="1901"/>
      <c r="D231" s="1947"/>
      <c r="E231" s="1901"/>
      <c r="F231" s="943"/>
      <c r="G231" s="1901"/>
      <c r="H231" s="1901"/>
      <c r="I231" s="1901"/>
      <c r="J231" s="1647"/>
      <c r="K231" s="1901"/>
      <c r="L231" s="1901"/>
      <c r="M231" s="836"/>
      <c r="N231" s="836"/>
      <c r="O231" s="836"/>
      <c r="P231" s="836"/>
      <c r="Q231" s="836"/>
      <c r="R231" s="492"/>
      <c r="S231" s="493"/>
      <c r="T231" s="493"/>
      <c r="U231" s="493"/>
      <c r="V231" s="298"/>
      <c r="W231" s="298"/>
      <c r="X231" s="298"/>
      <c r="Y231" s="298"/>
      <c r="Z231" s="298"/>
      <c r="AA231" s="298"/>
      <c r="AB231" s="298"/>
      <c r="AC231" s="298"/>
      <c r="AD231" s="298"/>
      <c r="AE231" s="298"/>
      <c r="AF231" s="298"/>
      <c r="AG231" s="298"/>
      <c r="AH231" s="298"/>
      <c r="AI231" s="298"/>
      <c r="AJ231" s="298"/>
      <c r="AK231" s="298"/>
      <c r="AL231" s="298"/>
      <c r="AM231" s="298"/>
    </row>
    <row r="232" spans="1:39" ht="15.75" customHeight="1">
      <c r="A232" s="298"/>
      <c r="B232" s="298"/>
      <c r="C232" s="1901"/>
      <c r="D232" s="1947"/>
      <c r="E232" s="1901"/>
      <c r="F232" s="1949"/>
      <c r="G232" s="1901"/>
      <c r="H232" s="1901"/>
      <c r="I232" s="1901"/>
      <c r="J232" s="1647"/>
      <c r="K232" s="1901"/>
      <c r="L232" s="1901"/>
      <c r="M232" s="836"/>
      <c r="N232" s="836"/>
      <c r="O232" s="836"/>
      <c r="P232" s="836"/>
      <c r="Q232" s="836"/>
      <c r="R232" s="492"/>
      <c r="S232" s="493"/>
      <c r="T232" s="493"/>
      <c r="U232" s="493"/>
      <c r="V232" s="298"/>
      <c r="W232" s="298"/>
      <c r="X232" s="298"/>
      <c r="Y232" s="298"/>
      <c r="Z232" s="298"/>
      <c r="AA232" s="298"/>
      <c r="AB232" s="298"/>
      <c r="AC232" s="298"/>
      <c r="AD232" s="298"/>
      <c r="AE232" s="298"/>
      <c r="AF232" s="298"/>
      <c r="AG232" s="298"/>
      <c r="AH232" s="298"/>
      <c r="AI232" s="298"/>
      <c r="AJ232" s="298"/>
      <c r="AK232" s="298"/>
      <c r="AL232" s="298"/>
      <c r="AM232" s="298"/>
    </row>
    <row r="233" spans="1:39" ht="15.75" customHeight="1">
      <c r="A233" s="298"/>
      <c r="B233" s="298"/>
      <c r="C233" s="1901"/>
      <c r="D233" s="1947"/>
      <c r="E233" s="1901"/>
      <c r="F233" s="943"/>
      <c r="G233" s="1901"/>
      <c r="H233" s="1901"/>
      <c r="I233" s="1901"/>
      <c r="J233" s="1647"/>
      <c r="K233" s="1901"/>
      <c r="L233" s="1901"/>
      <c r="M233" s="836"/>
      <c r="N233" s="836"/>
      <c r="O233" s="836"/>
      <c r="P233" s="836"/>
      <c r="Q233" s="836"/>
      <c r="R233" s="492"/>
      <c r="S233" s="493"/>
      <c r="T233" s="493"/>
      <c r="U233" s="493"/>
      <c r="V233" s="298"/>
      <c r="W233" s="298"/>
      <c r="X233" s="298"/>
      <c r="Y233" s="298"/>
      <c r="Z233" s="298"/>
      <c r="AA233" s="298"/>
      <c r="AB233" s="298"/>
      <c r="AC233" s="298"/>
      <c r="AD233" s="298"/>
      <c r="AE233" s="298"/>
      <c r="AF233" s="298"/>
      <c r="AG233" s="298"/>
      <c r="AH233" s="298"/>
      <c r="AI233" s="298"/>
      <c r="AJ233" s="298"/>
      <c r="AK233" s="298"/>
      <c r="AL233" s="298"/>
      <c r="AM233" s="298"/>
    </row>
    <row r="234" spans="1:39" ht="15.75" customHeight="1">
      <c r="A234" s="298"/>
      <c r="B234" s="298"/>
      <c r="C234" s="1901"/>
      <c r="D234" s="1947"/>
      <c r="E234" s="1901"/>
      <c r="F234" s="943"/>
      <c r="G234" s="1901"/>
      <c r="H234" s="1901"/>
      <c r="I234" s="1901"/>
      <c r="J234" s="1647"/>
      <c r="K234" s="1901"/>
      <c r="L234" s="1901"/>
      <c r="M234" s="836"/>
      <c r="N234" s="836"/>
      <c r="O234" s="836"/>
      <c r="P234" s="836"/>
      <c r="Q234" s="836"/>
      <c r="R234" s="492"/>
      <c r="S234" s="493"/>
      <c r="T234" s="493"/>
      <c r="U234" s="493"/>
      <c r="V234" s="298"/>
      <c r="W234" s="298"/>
      <c r="X234" s="298"/>
      <c r="Y234" s="298"/>
      <c r="Z234" s="298"/>
      <c r="AA234" s="298"/>
      <c r="AB234" s="298"/>
      <c r="AC234" s="298"/>
      <c r="AD234" s="298"/>
      <c r="AE234" s="298"/>
      <c r="AF234" s="298"/>
      <c r="AG234" s="298"/>
      <c r="AH234" s="298"/>
      <c r="AI234" s="298"/>
      <c r="AJ234" s="298"/>
      <c r="AK234" s="298"/>
      <c r="AL234" s="298"/>
      <c r="AM234" s="298"/>
    </row>
    <row r="235" spans="1:39" ht="15.75" customHeight="1">
      <c r="A235" s="298"/>
      <c r="B235" s="298"/>
      <c r="C235" s="1901"/>
      <c r="D235" s="1947"/>
      <c r="E235" s="1901"/>
      <c r="F235" s="943"/>
      <c r="G235" s="1901"/>
      <c r="H235" s="1901"/>
      <c r="I235" s="1901"/>
      <c r="J235" s="1647"/>
      <c r="K235" s="1901"/>
      <c r="L235" s="1901"/>
      <c r="M235" s="836"/>
      <c r="N235" s="836"/>
      <c r="O235" s="836"/>
      <c r="P235" s="836"/>
      <c r="Q235" s="836"/>
      <c r="R235" s="492"/>
      <c r="S235" s="493"/>
      <c r="T235" s="493"/>
      <c r="U235" s="493"/>
      <c r="V235" s="298"/>
      <c r="W235" s="298"/>
      <c r="X235" s="298"/>
      <c r="Y235" s="298"/>
      <c r="Z235" s="298"/>
      <c r="AA235" s="298"/>
      <c r="AB235" s="298"/>
      <c r="AC235" s="298"/>
      <c r="AD235" s="298"/>
      <c r="AE235" s="298"/>
      <c r="AF235" s="298"/>
      <c r="AG235" s="298"/>
      <c r="AH235" s="298"/>
      <c r="AI235" s="298"/>
      <c r="AJ235" s="298"/>
      <c r="AK235" s="298"/>
      <c r="AL235" s="298"/>
      <c r="AM235" s="298"/>
    </row>
    <row r="236" spans="1:39" ht="15.75" customHeight="1">
      <c r="A236" s="298"/>
      <c r="B236" s="298"/>
      <c r="C236" s="1901"/>
      <c r="D236" s="1947"/>
      <c r="E236" s="1901"/>
      <c r="F236" s="943"/>
      <c r="G236" s="1901"/>
      <c r="H236" s="1901"/>
      <c r="I236" s="1901"/>
      <c r="J236" s="1647"/>
      <c r="K236" s="1901"/>
      <c r="L236" s="1901"/>
      <c r="M236" s="836"/>
      <c r="N236" s="836"/>
      <c r="O236" s="836"/>
      <c r="P236" s="836"/>
      <c r="Q236" s="836"/>
      <c r="R236" s="492"/>
      <c r="S236" s="493"/>
      <c r="T236" s="493"/>
      <c r="U236" s="493"/>
      <c r="V236" s="298"/>
      <c r="W236" s="298"/>
      <c r="X236" s="298"/>
      <c r="Y236" s="298"/>
      <c r="Z236" s="298"/>
      <c r="AA236" s="298"/>
      <c r="AB236" s="298"/>
      <c r="AC236" s="298"/>
      <c r="AD236" s="298"/>
      <c r="AE236" s="298"/>
      <c r="AF236" s="298"/>
      <c r="AG236" s="298"/>
      <c r="AH236" s="298"/>
      <c r="AI236" s="298"/>
      <c r="AJ236" s="298"/>
      <c r="AK236" s="298"/>
      <c r="AL236" s="298"/>
      <c r="AM236" s="298"/>
    </row>
    <row r="237" spans="1:39" ht="15.75" customHeight="1">
      <c r="A237" s="298"/>
      <c r="B237" s="298"/>
      <c r="C237" s="1901"/>
      <c r="D237" s="1947"/>
      <c r="E237" s="1901"/>
      <c r="F237" s="943"/>
      <c r="G237" s="1901"/>
      <c r="H237" s="1901"/>
      <c r="I237" s="1901"/>
      <c r="J237" s="1647"/>
      <c r="K237" s="1901"/>
      <c r="L237" s="1901"/>
      <c r="M237" s="836"/>
      <c r="N237" s="836"/>
      <c r="O237" s="836"/>
      <c r="P237" s="836"/>
      <c r="Q237" s="836"/>
      <c r="R237" s="492"/>
      <c r="S237" s="493"/>
      <c r="T237" s="493"/>
      <c r="U237" s="493"/>
      <c r="V237" s="298"/>
      <c r="W237" s="298"/>
      <c r="X237" s="298"/>
      <c r="Y237" s="298"/>
      <c r="Z237" s="298"/>
      <c r="AA237" s="298"/>
      <c r="AB237" s="298"/>
      <c r="AC237" s="298"/>
      <c r="AD237" s="298"/>
      <c r="AE237" s="298"/>
      <c r="AF237" s="298"/>
      <c r="AG237" s="298"/>
      <c r="AH237" s="298"/>
      <c r="AI237" s="298"/>
      <c r="AJ237" s="298"/>
      <c r="AK237" s="298"/>
      <c r="AL237" s="298"/>
      <c r="AM237" s="298"/>
    </row>
    <row r="238" spans="1:39" ht="15.75" customHeight="1">
      <c r="A238" s="298"/>
      <c r="B238" s="298"/>
      <c r="C238" s="1901"/>
      <c r="D238" s="1947"/>
      <c r="E238" s="1901"/>
      <c r="F238" s="943"/>
      <c r="G238" s="1901"/>
      <c r="H238" s="1901"/>
      <c r="I238" s="1901"/>
      <c r="J238" s="1647"/>
      <c r="K238" s="1901"/>
      <c r="L238" s="1901"/>
      <c r="M238" s="836"/>
      <c r="N238" s="836"/>
      <c r="O238" s="836"/>
      <c r="P238" s="836"/>
      <c r="Q238" s="836"/>
      <c r="R238" s="492"/>
      <c r="S238" s="493"/>
      <c r="T238" s="493"/>
      <c r="U238" s="493"/>
      <c r="V238" s="298"/>
      <c r="W238" s="298"/>
      <c r="X238" s="298"/>
      <c r="Y238" s="298"/>
      <c r="Z238" s="298"/>
      <c r="AA238" s="298"/>
      <c r="AB238" s="298"/>
      <c r="AC238" s="298"/>
      <c r="AD238" s="298"/>
      <c r="AE238" s="298"/>
      <c r="AF238" s="298"/>
      <c r="AG238" s="298"/>
      <c r="AH238" s="298"/>
      <c r="AI238" s="298"/>
      <c r="AJ238" s="298"/>
      <c r="AK238" s="298"/>
      <c r="AL238" s="298"/>
      <c r="AM238" s="298"/>
    </row>
    <row r="239" spans="1:39" ht="15.75" customHeight="1">
      <c r="A239" s="298"/>
      <c r="B239" s="298"/>
      <c r="C239" s="1901"/>
      <c r="D239" s="1947"/>
      <c r="E239" s="1901"/>
      <c r="F239" s="1952"/>
      <c r="G239" s="1901"/>
      <c r="H239" s="1901"/>
      <c r="I239" s="1901"/>
      <c r="J239" s="1647"/>
      <c r="K239" s="1901"/>
      <c r="L239" s="1901"/>
      <c r="M239" s="836"/>
      <c r="N239" s="836"/>
      <c r="O239" s="836"/>
      <c r="P239" s="836"/>
      <c r="Q239" s="836"/>
      <c r="R239" s="492"/>
      <c r="S239" s="493"/>
      <c r="T239" s="493"/>
      <c r="U239" s="493"/>
      <c r="V239" s="298"/>
      <c r="W239" s="298"/>
      <c r="X239" s="298"/>
      <c r="Y239" s="298"/>
      <c r="Z239" s="298"/>
      <c r="AA239" s="298"/>
      <c r="AB239" s="298"/>
      <c r="AC239" s="298"/>
      <c r="AD239" s="298"/>
      <c r="AE239" s="298"/>
      <c r="AF239" s="298"/>
      <c r="AG239" s="298"/>
      <c r="AH239" s="298"/>
      <c r="AI239" s="298"/>
      <c r="AJ239" s="298"/>
      <c r="AK239" s="298"/>
      <c r="AL239" s="298"/>
      <c r="AM239" s="298"/>
    </row>
    <row r="240" spans="1:39" ht="15.75" customHeight="1">
      <c r="A240" s="298"/>
      <c r="B240" s="298"/>
      <c r="C240" s="1901"/>
      <c r="D240" s="1947"/>
      <c r="E240" s="1901"/>
      <c r="F240" s="943"/>
      <c r="G240" s="1901"/>
      <c r="H240" s="1901"/>
      <c r="I240" s="1901"/>
      <c r="J240" s="1647"/>
      <c r="K240" s="1901"/>
      <c r="L240" s="1901"/>
      <c r="M240" s="836"/>
      <c r="N240" s="836"/>
      <c r="O240" s="836"/>
      <c r="P240" s="836"/>
      <c r="Q240" s="836"/>
      <c r="R240" s="492"/>
      <c r="S240" s="493"/>
      <c r="T240" s="493"/>
      <c r="U240" s="493"/>
      <c r="V240" s="298"/>
      <c r="W240" s="298"/>
      <c r="X240" s="298"/>
      <c r="Y240" s="298"/>
      <c r="Z240" s="298"/>
      <c r="AA240" s="298"/>
      <c r="AB240" s="298"/>
      <c r="AC240" s="298"/>
      <c r="AD240" s="298"/>
      <c r="AE240" s="298"/>
      <c r="AF240" s="298"/>
      <c r="AG240" s="298"/>
      <c r="AH240" s="298"/>
      <c r="AI240" s="298"/>
      <c r="AJ240" s="298"/>
      <c r="AK240" s="298"/>
      <c r="AL240" s="298"/>
      <c r="AM240" s="298"/>
    </row>
    <row r="241" spans="1:39" ht="15.75" customHeight="1">
      <c r="A241" s="298"/>
      <c r="B241" s="298"/>
      <c r="C241" s="1901"/>
      <c r="D241" s="1947"/>
      <c r="E241" s="1901"/>
      <c r="F241" s="943"/>
      <c r="G241" s="1901"/>
      <c r="H241" s="1901"/>
      <c r="I241" s="1901"/>
      <c r="J241" s="1647"/>
      <c r="K241" s="1901"/>
      <c r="L241" s="1901"/>
      <c r="M241" s="836"/>
      <c r="N241" s="836"/>
      <c r="O241" s="836"/>
      <c r="P241" s="836"/>
      <c r="Q241" s="836"/>
      <c r="R241" s="492"/>
      <c r="S241" s="493"/>
      <c r="T241" s="493"/>
      <c r="U241" s="493"/>
      <c r="V241" s="298"/>
      <c r="W241" s="298"/>
      <c r="X241" s="298"/>
      <c r="Y241" s="298"/>
      <c r="Z241" s="298"/>
      <c r="AA241" s="298"/>
      <c r="AB241" s="298"/>
      <c r="AC241" s="298"/>
      <c r="AD241" s="298"/>
      <c r="AE241" s="298"/>
      <c r="AF241" s="298"/>
      <c r="AG241" s="298"/>
      <c r="AH241" s="298"/>
      <c r="AI241" s="298"/>
      <c r="AJ241" s="298"/>
      <c r="AK241" s="298"/>
      <c r="AL241" s="298"/>
      <c r="AM241" s="298"/>
    </row>
    <row r="242" spans="1:39" ht="15.75" customHeight="1">
      <c r="A242" s="298"/>
      <c r="B242" s="298"/>
      <c r="C242" s="1901"/>
      <c r="D242" s="1947"/>
      <c r="E242" s="1901"/>
      <c r="F242" s="943"/>
      <c r="G242" s="1901"/>
      <c r="H242" s="1901"/>
      <c r="I242" s="1901"/>
      <c r="J242" s="1647"/>
      <c r="K242" s="1901"/>
      <c r="L242" s="1901"/>
      <c r="M242" s="836"/>
      <c r="N242" s="836"/>
      <c r="O242" s="836"/>
      <c r="P242" s="836"/>
      <c r="Q242" s="836"/>
      <c r="R242" s="492"/>
      <c r="S242" s="493"/>
      <c r="T242" s="493"/>
      <c r="U242" s="493"/>
      <c r="V242" s="298"/>
      <c r="W242" s="298"/>
      <c r="X242" s="298"/>
      <c r="Y242" s="298"/>
      <c r="Z242" s="298"/>
      <c r="AA242" s="298"/>
      <c r="AB242" s="298"/>
      <c r="AC242" s="298"/>
      <c r="AD242" s="298"/>
      <c r="AE242" s="298"/>
      <c r="AF242" s="298"/>
      <c r="AG242" s="298"/>
      <c r="AH242" s="298"/>
      <c r="AI242" s="298"/>
      <c r="AJ242" s="298"/>
      <c r="AK242" s="298"/>
      <c r="AL242" s="298"/>
      <c r="AM242" s="298"/>
    </row>
    <row r="243" spans="1:39" ht="15.75" customHeight="1">
      <c r="A243" s="298"/>
      <c r="B243" s="298"/>
      <c r="C243" s="1901"/>
      <c r="D243" s="1947"/>
      <c r="E243" s="1901"/>
      <c r="F243" s="943"/>
      <c r="G243" s="1901"/>
      <c r="H243" s="1901"/>
      <c r="I243" s="1901"/>
      <c r="J243" s="1647"/>
      <c r="K243" s="1901"/>
      <c r="L243" s="1901"/>
      <c r="M243" s="836"/>
      <c r="N243" s="836"/>
      <c r="O243" s="836"/>
      <c r="P243" s="836"/>
      <c r="Q243" s="836"/>
      <c r="R243" s="492"/>
      <c r="S243" s="493"/>
      <c r="T243" s="493"/>
      <c r="U243" s="493"/>
      <c r="V243" s="298"/>
      <c r="W243" s="298"/>
      <c r="X243" s="298"/>
      <c r="Y243" s="298"/>
      <c r="Z243" s="298"/>
      <c r="AA243" s="298"/>
      <c r="AB243" s="298"/>
      <c r="AC243" s="298"/>
      <c r="AD243" s="298"/>
      <c r="AE243" s="298"/>
      <c r="AF243" s="298"/>
      <c r="AG243" s="298"/>
      <c r="AH243" s="298"/>
      <c r="AI243" s="298"/>
      <c r="AJ243" s="298"/>
      <c r="AK243" s="298"/>
      <c r="AL243" s="298"/>
      <c r="AM243" s="298"/>
    </row>
    <row r="244" spans="1:39" ht="15.75" customHeight="1">
      <c r="A244" s="298"/>
      <c r="B244" s="298"/>
      <c r="C244" s="1901"/>
      <c r="D244" s="1947"/>
      <c r="E244" s="1901"/>
      <c r="F244" s="943"/>
      <c r="G244" s="1901"/>
      <c r="H244" s="1901"/>
      <c r="I244" s="1901"/>
      <c r="J244" s="1647"/>
      <c r="K244" s="1901"/>
      <c r="L244" s="1901"/>
      <c r="M244" s="836"/>
      <c r="N244" s="836"/>
      <c r="O244" s="836"/>
      <c r="P244" s="836"/>
      <c r="Q244" s="836"/>
      <c r="R244" s="492"/>
      <c r="S244" s="493"/>
      <c r="T244" s="493"/>
      <c r="U244" s="493"/>
      <c r="V244" s="298"/>
      <c r="W244" s="298"/>
      <c r="X244" s="298"/>
      <c r="Y244" s="298"/>
      <c r="Z244" s="298"/>
      <c r="AA244" s="298"/>
      <c r="AB244" s="298"/>
      <c r="AC244" s="298"/>
      <c r="AD244" s="298"/>
      <c r="AE244" s="298"/>
      <c r="AF244" s="298"/>
      <c r="AG244" s="298"/>
      <c r="AH244" s="298"/>
      <c r="AI244" s="298"/>
      <c r="AJ244" s="298"/>
      <c r="AK244" s="298"/>
      <c r="AL244" s="298"/>
      <c r="AM244" s="298"/>
    </row>
    <row r="245" spans="1:39" ht="15.75" customHeight="1">
      <c r="A245" s="298"/>
      <c r="B245" s="298"/>
      <c r="C245" s="1901"/>
      <c r="D245" s="1947"/>
      <c r="E245" s="1901"/>
      <c r="F245" s="943"/>
      <c r="G245" s="1901"/>
      <c r="H245" s="1901"/>
      <c r="I245" s="1901"/>
      <c r="J245" s="1647"/>
      <c r="K245" s="1901"/>
      <c r="L245" s="1901"/>
      <c r="M245" s="836"/>
      <c r="N245" s="836"/>
      <c r="O245" s="836"/>
      <c r="P245" s="836"/>
      <c r="Q245" s="836"/>
      <c r="R245" s="492"/>
      <c r="S245" s="493"/>
      <c r="T245" s="493"/>
      <c r="U245" s="493"/>
      <c r="V245" s="298"/>
      <c r="W245" s="298"/>
      <c r="X245" s="298"/>
      <c r="Y245" s="298"/>
      <c r="Z245" s="298"/>
      <c r="AA245" s="298"/>
      <c r="AB245" s="298"/>
      <c r="AC245" s="298"/>
      <c r="AD245" s="298"/>
      <c r="AE245" s="298"/>
      <c r="AF245" s="298"/>
      <c r="AG245" s="298"/>
      <c r="AH245" s="298"/>
      <c r="AI245" s="298"/>
      <c r="AJ245" s="298"/>
      <c r="AK245" s="298"/>
      <c r="AL245" s="298"/>
      <c r="AM245" s="298"/>
    </row>
    <row r="246" spans="1:39" ht="15.75" customHeight="1">
      <c r="A246" s="298"/>
      <c r="B246" s="298"/>
      <c r="C246" s="1901"/>
      <c r="D246" s="1947"/>
      <c r="E246" s="1901"/>
      <c r="F246" s="943"/>
      <c r="G246" s="1901"/>
      <c r="H246" s="1901"/>
      <c r="I246" s="1901"/>
      <c r="J246" s="1647"/>
      <c r="K246" s="1901"/>
      <c r="L246" s="1901"/>
      <c r="M246" s="836"/>
      <c r="N246" s="836"/>
      <c r="O246" s="836"/>
      <c r="P246" s="836"/>
      <c r="Q246" s="836"/>
      <c r="R246" s="492"/>
      <c r="S246" s="493"/>
      <c r="T246" s="493"/>
      <c r="U246" s="493"/>
      <c r="V246" s="298"/>
      <c r="W246" s="298"/>
      <c r="X246" s="298"/>
      <c r="Y246" s="298"/>
      <c r="Z246" s="298"/>
      <c r="AA246" s="298"/>
      <c r="AB246" s="298"/>
      <c r="AC246" s="298"/>
      <c r="AD246" s="298"/>
      <c r="AE246" s="298"/>
      <c r="AF246" s="298"/>
      <c r="AG246" s="298"/>
      <c r="AH246" s="298"/>
      <c r="AI246" s="298"/>
      <c r="AJ246" s="298"/>
      <c r="AK246" s="298"/>
      <c r="AL246" s="298"/>
      <c r="AM246" s="298"/>
    </row>
    <row r="247" spans="1:39" ht="15.75" customHeight="1">
      <c r="A247" s="298"/>
      <c r="B247" s="298"/>
      <c r="C247" s="1901"/>
      <c r="D247" s="1947"/>
      <c r="E247" s="1901"/>
      <c r="F247" s="943"/>
      <c r="G247" s="1901"/>
      <c r="H247" s="1901"/>
      <c r="I247" s="1901"/>
      <c r="J247" s="1647"/>
      <c r="K247" s="1901"/>
      <c r="L247" s="1901"/>
      <c r="M247" s="836"/>
      <c r="N247" s="836"/>
      <c r="O247" s="836"/>
      <c r="P247" s="836"/>
      <c r="Q247" s="836"/>
      <c r="R247" s="492"/>
      <c r="S247" s="493"/>
      <c r="T247" s="493"/>
      <c r="U247" s="493"/>
      <c r="V247" s="298"/>
      <c r="W247" s="298"/>
      <c r="X247" s="298"/>
      <c r="Y247" s="298"/>
      <c r="Z247" s="298"/>
      <c r="AA247" s="298"/>
      <c r="AB247" s="298"/>
      <c r="AC247" s="298"/>
      <c r="AD247" s="298"/>
      <c r="AE247" s="298"/>
      <c r="AF247" s="298"/>
      <c r="AG247" s="298"/>
      <c r="AH247" s="298"/>
      <c r="AI247" s="298"/>
      <c r="AJ247" s="298"/>
      <c r="AK247" s="298"/>
      <c r="AL247" s="298"/>
      <c r="AM247" s="298"/>
    </row>
    <row r="248" spans="1:39" ht="15.75" customHeight="1">
      <c r="A248" s="298"/>
      <c r="B248" s="298"/>
      <c r="C248" s="1901"/>
      <c r="D248" s="1947"/>
      <c r="E248" s="1901"/>
      <c r="F248" s="943"/>
      <c r="G248" s="1901"/>
      <c r="H248" s="1901"/>
      <c r="I248" s="1901"/>
      <c r="J248" s="1647"/>
      <c r="K248" s="1901"/>
      <c r="L248" s="1901"/>
      <c r="M248" s="836"/>
      <c r="N248" s="836"/>
      <c r="O248" s="836"/>
      <c r="P248" s="836"/>
      <c r="Q248" s="836"/>
      <c r="R248" s="492"/>
      <c r="S248" s="493"/>
      <c r="T248" s="493"/>
      <c r="U248" s="493"/>
      <c r="V248" s="298"/>
      <c r="W248" s="298"/>
      <c r="X248" s="298"/>
      <c r="Y248" s="298"/>
      <c r="Z248" s="298"/>
      <c r="AA248" s="298"/>
      <c r="AB248" s="298"/>
      <c r="AC248" s="298"/>
      <c r="AD248" s="298"/>
      <c r="AE248" s="298"/>
      <c r="AF248" s="298"/>
      <c r="AG248" s="298"/>
      <c r="AH248" s="298"/>
      <c r="AI248" s="298"/>
      <c r="AJ248" s="298"/>
      <c r="AK248" s="298"/>
      <c r="AL248" s="298"/>
      <c r="AM248" s="298"/>
    </row>
    <row r="249" spans="1:39" ht="15.75" customHeight="1">
      <c r="A249" s="298"/>
      <c r="B249" s="298"/>
      <c r="C249" s="1901"/>
      <c r="D249" s="1947"/>
      <c r="E249" s="1901"/>
      <c r="F249" s="943"/>
      <c r="G249" s="1901"/>
      <c r="H249" s="1901"/>
      <c r="I249" s="1901"/>
      <c r="J249" s="1647"/>
      <c r="K249" s="1901"/>
      <c r="L249" s="1901"/>
      <c r="M249" s="836"/>
      <c r="N249" s="836"/>
      <c r="O249" s="836"/>
      <c r="P249" s="836"/>
      <c r="Q249" s="836"/>
      <c r="R249" s="492"/>
      <c r="S249" s="493"/>
      <c r="T249" s="493"/>
      <c r="U249" s="493"/>
      <c r="V249" s="298"/>
      <c r="W249" s="298"/>
      <c r="X249" s="298"/>
      <c r="Y249" s="298"/>
      <c r="Z249" s="298"/>
      <c r="AA249" s="298"/>
      <c r="AB249" s="298"/>
      <c r="AC249" s="298"/>
      <c r="AD249" s="298"/>
      <c r="AE249" s="298"/>
      <c r="AF249" s="298"/>
      <c r="AG249" s="298"/>
      <c r="AH249" s="298"/>
      <c r="AI249" s="298"/>
      <c r="AJ249" s="298"/>
      <c r="AK249" s="298"/>
      <c r="AL249" s="298"/>
      <c r="AM249" s="298"/>
    </row>
    <row r="250" spans="1:39" ht="15.75" customHeight="1">
      <c r="A250" s="298"/>
      <c r="B250" s="298"/>
      <c r="C250" s="1901"/>
      <c r="D250" s="1947"/>
      <c r="E250" s="1901"/>
      <c r="F250" s="943"/>
      <c r="G250" s="1901"/>
      <c r="H250" s="1901"/>
      <c r="I250" s="1901"/>
      <c r="J250" s="1647"/>
      <c r="K250" s="1901"/>
      <c r="L250" s="1901"/>
      <c r="M250" s="836"/>
      <c r="N250" s="836"/>
      <c r="O250" s="836"/>
      <c r="P250" s="836"/>
      <c r="Q250" s="836"/>
      <c r="R250" s="492"/>
      <c r="S250" s="493"/>
      <c r="T250" s="493"/>
      <c r="U250" s="493"/>
      <c r="V250" s="298"/>
      <c r="W250" s="298"/>
      <c r="X250" s="298"/>
      <c r="Y250" s="298"/>
      <c r="Z250" s="298"/>
      <c r="AA250" s="298"/>
      <c r="AB250" s="298"/>
      <c r="AC250" s="298"/>
      <c r="AD250" s="298"/>
      <c r="AE250" s="298"/>
      <c r="AF250" s="298"/>
      <c r="AG250" s="298"/>
      <c r="AH250" s="298"/>
      <c r="AI250" s="298"/>
      <c r="AJ250" s="298"/>
      <c r="AK250" s="298"/>
      <c r="AL250" s="298"/>
      <c r="AM250" s="298"/>
    </row>
    <row r="251" spans="1:39" ht="15.75" customHeight="1">
      <c r="A251" s="298"/>
      <c r="B251" s="298"/>
      <c r="C251" s="1901"/>
      <c r="D251" s="1947"/>
      <c r="E251" s="1901"/>
      <c r="F251" s="943"/>
      <c r="G251" s="1901"/>
      <c r="H251" s="1901"/>
      <c r="I251" s="1901"/>
      <c r="J251" s="1647"/>
      <c r="K251" s="1901"/>
      <c r="L251" s="1901"/>
      <c r="M251" s="836"/>
      <c r="N251" s="836"/>
      <c r="O251" s="836"/>
      <c r="P251" s="836"/>
      <c r="Q251" s="836"/>
      <c r="R251" s="492"/>
      <c r="S251" s="493"/>
      <c r="T251" s="493"/>
      <c r="U251" s="493"/>
      <c r="V251" s="298"/>
      <c r="W251" s="298"/>
      <c r="X251" s="298"/>
      <c r="Y251" s="298"/>
      <c r="Z251" s="298"/>
      <c r="AA251" s="298"/>
      <c r="AB251" s="298"/>
      <c r="AC251" s="298"/>
      <c r="AD251" s="298"/>
      <c r="AE251" s="298"/>
      <c r="AF251" s="298"/>
      <c r="AG251" s="298"/>
      <c r="AH251" s="298"/>
      <c r="AI251" s="298"/>
      <c r="AJ251" s="298"/>
      <c r="AK251" s="298"/>
      <c r="AL251" s="298"/>
      <c r="AM251" s="298"/>
    </row>
    <row r="252" spans="1:39" ht="15.75" customHeight="1">
      <c r="A252" s="298"/>
      <c r="B252" s="298"/>
      <c r="C252" s="1901"/>
      <c r="D252" s="1947"/>
      <c r="E252" s="1901"/>
      <c r="F252" s="943"/>
      <c r="G252" s="1901"/>
      <c r="H252" s="1901"/>
      <c r="I252" s="1901"/>
      <c r="J252" s="1647"/>
      <c r="K252" s="1901"/>
      <c r="L252" s="1901"/>
      <c r="M252" s="836"/>
      <c r="N252" s="836"/>
      <c r="O252" s="836"/>
      <c r="P252" s="836"/>
      <c r="Q252" s="836"/>
      <c r="R252" s="492"/>
      <c r="S252" s="493"/>
      <c r="T252" s="493"/>
      <c r="U252" s="493"/>
      <c r="V252" s="298"/>
      <c r="W252" s="298"/>
      <c r="X252" s="298"/>
      <c r="Y252" s="298"/>
      <c r="Z252" s="298"/>
      <c r="AA252" s="298"/>
      <c r="AB252" s="298"/>
      <c r="AC252" s="298"/>
      <c r="AD252" s="298"/>
      <c r="AE252" s="298"/>
      <c r="AF252" s="298"/>
      <c r="AG252" s="298"/>
      <c r="AH252" s="298"/>
      <c r="AI252" s="298"/>
      <c r="AJ252" s="298"/>
      <c r="AK252" s="298"/>
      <c r="AL252" s="298"/>
      <c r="AM252" s="298"/>
    </row>
    <row r="253" spans="1:39" ht="15.75" customHeight="1">
      <c r="A253" s="298"/>
      <c r="B253" s="298"/>
      <c r="C253" s="1901"/>
      <c r="D253" s="1947"/>
      <c r="E253" s="1901"/>
      <c r="F253" s="943"/>
      <c r="G253" s="1901"/>
      <c r="H253" s="1901"/>
      <c r="I253" s="1901"/>
      <c r="J253" s="1647"/>
      <c r="K253" s="1901"/>
      <c r="L253" s="1901"/>
      <c r="M253" s="836"/>
      <c r="N253" s="836"/>
      <c r="O253" s="836"/>
      <c r="P253" s="836"/>
      <c r="Q253" s="836"/>
      <c r="R253" s="492"/>
      <c r="S253" s="493"/>
      <c r="T253" s="493"/>
      <c r="U253" s="493"/>
      <c r="V253" s="298"/>
      <c r="W253" s="298"/>
      <c r="X253" s="298"/>
      <c r="Y253" s="298"/>
      <c r="Z253" s="298"/>
      <c r="AA253" s="298"/>
      <c r="AB253" s="298"/>
      <c r="AC253" s="298"/>
      <c r="AD253" s="298"/>
      <c r="AE253" s="298"/>
      <c r="AF253" s="298"/>
      <c r="AG253" s="298"/>
      <c r="AH253" s="298"/>
      <c r="AI253" s="298"/>
      <c r="AJ253" s="298"/>
      <c r="AK253" s="298"/>
      <c r="AL253" s="298"/>
      <c r="AM253" s="298"/>
    </row>
    <row r="254" spans="1:39" ht="15.75" customHeight="1">
      <c r="A254" s="298"/>
      <c r="B254" s="298"/>
      <c r="C254" s="1901"/>
      <c r="D254" s="1947"/>
      <c r="E254" s="1901"/>
      <c r="F254" s="1948"/>
      <c r="G254" s="1901"/>
      <c r="H254" s="1901"/>
      <c r="I254" s="1901"/>
      <c r="J254" s="1647"/>
      <c r="K254" s="1901"/>
      <c r="L254" s="1901"/>
      <c r="M254" s="836"/>
      <c r="N254" s="836"/>
      <c r="O254" s="836"/>
      <c r="P254" s="836"/>
      <c r="Q254" s="836"/>
      <c r="R254" s="492"/>
      <c r="S254" s="493"/>
      <c r="T254" s="493"/>
      <c r="U254" s="493"/>
      <c r="V254" s="298"/>
      <c r="W254" s="298"/>
      <c r="X254" s="298"/>
      <c r="Y254" s="298"/>
      <c r="Z254" s="298"/>
      <c r="AA254" s="298"/>
      <c r="AB254" s="298"/>
      <c r="AC254" s="298"/>
      <c r="AD254" s="298"/>
      <c r="AE254" s="298"/>
      <c r="AF254" s="298"/>
      <c r="AG254" s="298"/>
      <c r="AH254" s="298"/>
      <c r="AI254" s="298"/>
      <c r="AJ254" s="298"/>
      <c r="AK254" s="298"/>
      <c r="AL254" s="298"/>
      <c r="AM254" s="298"/>
    </row>
    <row r="255" spans="1:39" ht="15.75" customHeight="1">
      <c r="A255" s="298"/>
      <c r="B255" s="298"/>
      <c r="C255" s="1901"/>
      <c r="D255" s="1947"/>
      <c r="E255" s="1901"/>
      <c r="F255" s="943"/>
      <c r="G255" s="1901"/>
      <c r="H255" s="1901"/>
      <c r="I255" s="1901"/>
      <c r="J255" s="1647"/>
      <c r="K255" s="1901"/>
      <c r="L255" s="1901"/>
      <c r="M255" s="836"/>
      <c r="N255" s="836"/>
      <c r="O255" s="836"/>
      <c r="P255" s="836"/>
      <c r="Q255" s="836"/>
      <c r="R255" s="492"/>
      <c r="S255" s="493"/>
      <c r="T255" s="493"/>
      <c r="U255" s="493"/>
      <c r="V255" s="298"/>
      <c r="W255" s="298"/>
      <c r="X255" s="298"/>
      <c r="Y255" s="298"/>
      <c r="Z255" s="298"/>
      <c r="AA255" s="298"/>
      <c r="AB255" s="298"/>
      <c r="AC255" s="298"/>
      <c r="AD255" s="298"/>
      <c r="AE255" s="298"/>
      <c r="AF255" s="298"/>
      <c r="AG255" s="298"/>
      <c r="AH255" s="298"/>
      <c r="AI255" s="298"/>
      <c r="AJ255" s="298"/>
      <c r="AK255" s="298"/>
      <c r="AL255" s="298"/>
      <c r="AM255" s="298"/>
    </row>
    <row r="256" spans="1:39" ht="15.75" customHeight="1">
      <c r="A256" s="298"/>
      <c r="B256" s="298"/>
      <c r="C256" s="1901"/>
      <c r="D256" s="1947"/>
      <c r="E256" s="1901"/>
      <c r="F256" s="137"/>
      <c r="G256" s="1901"/>
      <c r="H256" s="1901"/>
      <c r="I256" s="1901"/>
      <c r="J256" s="1647"/>
      <c r="K256" s="1901"/>
      <c r="L256" s="1901"/>
      <c r="M256" s="836"/>
      <c r="N256" s="836"/>
      <c r="O256" s="836"/>
      <c r="P256" s="836"/>
      <c r="Q256" s="836"/>
      <c r="R256" s="492"/>
      <c r="S256" s="493"/>
      <c r="T256" s="493"/>
      <c r="U256" s="493"/>
      <c r="V256" s="298"/>
      <c r="W256" s="298"/>
      <c r="X256" s="298"/>
      <c r="Y256" s="298"/>
      <c r="Z256" s="298"/>
      <c r="AA256" s="298"/>
      <c r="AB256" s="298"/>
      <c r="AC256" s="298"/>
      <c r="AD256" s="298"/>
      <c r="AE256" s="298"/>
      <c r="AF256" s="298"/>
      <c r="AG256" s="298"/>
      <c r="AH256" s="298"/>
      <c r="AI256" s="298"/>
      <c r="AJ256" s="298"/>
      <c r="AK256" s="298"/>
      <c r="AL256" s="298"/>
      <c r="AM256" s="298"/>
    </row>
    <row r="257" spans="1:39" ht="15.75" customHeight="1">
      <c r="A257" s="298"/>
      <c r="B257" s="298"/>
      <c r="C257" s="1901"/>
      <c r="D257" s="1947"/>
      <c r="E257" s="1901"/>
      <c r="F257" s="975"/>
      <c r="G257" s="1901"/>
      <c r="H257" s="1901"/>
      <c r="I257" s="1901"/>
      <c r="J257" s="1647"/>
      <c r="K257" s="1901"/>
      <c r="L257" s="1901"/>
      <c r="M257" s="836"/>
      <c r="N257" s="836"/>
      <c r="O257" s="836"/>
      <c r="P257" s="836"/>
      <c r="Q257" s="836"/>
      <c r="R257" s="492"/>
      <c r="S257" s="493"/>
      <c r="T257" s="493"/>
      <c r="U257" s="493"/>
      <c r="V257" s="298"/>
      <c r="W257" s="298"/>
      <c r="X257" s="298"/>
      <c r="Y257" s="298"/>
      <c r="Z257" s="298"/>
      <c r="AA257" s="298"/>
      <c r="AB257" s="298"/>
      <c r="AC257" s="298"/>
      <c r="AD257" s="298"/>
      <c r="AE257" s="298"/>
      <c r="AF257" s="298"/>
      <c r="AG257" s="298"/>
      <c r="AH257" s="298"/>
      <c r="AI257" s="298"/>
      <c r="AJ257" s="298"/>
      <c r="AK257" s="298"/>
      <c r="AL257" s="298"/>
      <c r="AM257" s="298"/>
    </row>
    <row r="258" spans="1:39" ht="15.75" customHeight="1">
      <c r="A258" s="298"/>
      <c r="B258" s="298"/>
      <c r="C258" s="1901"/>
      <c r="D258" s="1947"/>
      <c r="E258" s="1901"/>
      <c r="F258" s="943"/>
      <c r="G258" s="1901"/>
      <c r="H258" s="1901"/>
      <c r="I258" s="1901"/>
      <c r="J258" s="1647"/>
      <c r="K258" s="1901"/>
      <c r="L258" s="1901"/>
      <c r="M258" s="836"/>
      <c r="N258" s="836"/>
      <c r="O258" s="836"/>
      <c r="P258" s="836"/>
      <c r="Q258" s="836"/>
      <c r="R258" s="492"/>
      <c r="S258" s="493"/>
      <c r="T258" s="493"/>
      <c r="U258" s="493"/>
      <c r="V258" s="298"/>
      <c r="W258" s="298"/>
      <c r="X258" s="298"/>
      <c r="Y258" s="298"/>
      <c r="Z258" s="298"/>
      <c r="AA258" s="298"/>
      <c r="AB258" s="298"/>
      <c r="AC258" s="298"/>
      <c r="AD258" s="298"/>
      <c r="AE258" s="298"/>
      <c r="AF258" s="298"/>
      <c r="AG258" s="298"/>
      <c r="AH258" s="298"/>
      <c r="AI258" s="298"/>
      <c r="AJ258" s="298"/>
      <c r="AK258" s="298"/>
      <c r="AL258" s="298"/>
      <c r="AM258" s="298"/>
    </row>
    <row r="259" spans="1:39" ht="15.75" customHeight="1">
      <c r="A259" s="298"/>
      <c r="B259" s="298"/>
      <c r="C259" s="1901"/>
      <c r="D259" s="1947"/>
      <c r="E259" s="1901"/>
      <c r="F259" s="943"/>
      <c r="G259" s="1901"/>
      <c r="H259" s="1901"/>
      <c r="I259" s="1901"/>
      <c r="J259" s="1647"/>
      <c r="K259" s="1901"/>
      <c r="L259" s="1901"/>
      <c r="M259" s="836"/>
      <c r="N259" s="836"/>
      <c r="O259" s="836"/>
      <c r="P259" s="836"/>
      <c r="Q259" s="836"/>
      <c r="R259" s="492"/>
      <c r="S259" s="493"/>
      <c r="T259" s="493"/>
      <c r="U259" s="493"/>
      <c r="V259" s="298"/>
      <c r="W259" s="298"/>
      <c r="X259" s="298"/>
      <c r="Y259" s="298"/>
      <c r="Z259" s="298"/>
      <c r="AA259" s="298"/>
      <c r="AB259" s="298"/>
      <c r="AC259" s="298"/>
      <c r="AD259" s="298"/>
      <c r="AE259" s="298"/>
      <c r="AF259" s="298"/>
      <c r="AG259" s="298"/>
      <c r="AH259" s="298"/>
      <c r="AI259" s="298"/>
      <c r="AJ259" s="298"/>
      <c r="AK259" s="298"/>
      <c r="AL259" s="298"/>
      <c r="AM259" s="298"/>
    </row>
    <row r="260" spans="1:39" ht="15.75" customHeight="1">
      <c r="A260" s="298"/>
      <c r="B260" s="298"/>
      <c r="C260" s="1901"/>
      <c r="D260" s="1947"/>
      <c r="E260" s="1901"/>
      <c r="F260" s="943"/>
      <c r="G260" s="1901"/>
      <c r="H260" s="1901"/>
      <c r="I260" s="1901"/>
      <c r="J260" s="1647"/>
      <c r="K260" s="1901"/>
      <c r="L260" s="1901"/>
      <c r="M260" s="836"/>
      <c r="N260" s="836"/>
      <c r="O260" s="836"/>
      <c r="P260" s="836"/>
      <c r="Q260" s="836"/>
      <c r="R260" s="492"/>
      <c r="S260" s="493"/>
      <c r="T260" s="493"/>
      <c r="U260" s="493"/>
      <c r="V260" s="298"/>
      <c r="W260" s="298"/>
      <c r="X260" s="298"/>
      <c r="Y260" s="298"/>
      <c r="Z260" s="298"/>
      <c r="AA260" s="298"/>
      <c r="AB260" s="298"/>
      <c r="AC260" s="298"/>
      <c r="AD260" s="298"/>
      <c r="AE260" s="298"/>
      <c r="AF260" s="298"/>
      <c r="AG260" s="298"/>
      <c r="AH260" s="298"/>
      <c r="AI260" s="298"/>
      <c r="AJ260" s="298"/>
      <c r="AK260" s="298"/>
      <c r="AL260" s="298"/>
      <c r="AM260" s="298"/>
    </row>
    <row r="261" spans="1:39" ht="15.75" customHeight="1">
      <c r="A261" s="298"/>
      <c r="B261" s="298"/>
      <c r="C261" s="1901"/>
      <c r="D261" s="1947"/>
      <c r="E261" s="1901"/>
      <c r="F261" s="943"/>
      <c r="G261" s="1901"/>
      <c r="H261" s="1901"/>
      <c r="I261" s="1901"/>
      <c r="J261" s="1647"/>
      <c r="K261" s="1901"/>
      <c r="L261" s="1901"/>
      <c r="M261" s="836"/>
      <c r="N261" s="836"/>
      <c r="O261" s="836"/>
      <c r="P261" s="836"/>
      <c r="Q261" s="836"/>
      <c r="R261" s="492"/>
      <c r="S261" s="493"/>
      <c r="T261" s="493"/>
      <c r="U261" s="493"/>
      <c r="V261" s="298"/>
      <c r="W261" s="298"/>
      <c r="X261" s="298"/>
      <c r="Y261" s="298"/>
      <c r="Z261" s="298"/>
      <c r="AA261" s="298"/>
      <c r="AB261" s="298"/>
      <c r="AC261" s="298"/>
      <c r="AD261" s="298"/>
      <c r="AE261" s="298"/>
      <c r="AF261" s="298"/>
      <c r="AG261" s="298"/>
      <c r="AH261" s="298"/>
      <c r="AI261" s="298"/>
      <c r="AJ261" s="298"/>
      <c r="AK261" s="298"/>
      <c r="AL261" s="298"/>
      <c r="AM261" s="298"/>
    </row>
    <row r="262" spans="1:39" ht="15.75" customHeight="1">
      <c r="A262" s="298"/>
      <c r="B262" s="298"/>
      <c r="C262" s="1901"/>
      <c r="D262" s="1947"/>
      <c r="E262" s="1901"/>
      <c r="F262" s="943"/>
      <c r="G262" s="1901"/>
      <c r="H262" s="1901"/>
      <c r="I262" s="1901"/>
      <c r="J262" s="1647"/>
      <c r="K262" s="1901"/>
      <c r="L262" s="1901"/>
      <c r="M262" s="836"/>
      <c r="N262" s="836"/>
      <c r="O262" s="836"/>
      <c r="P262" s="836"/>
      <c r="Q262" s="836"/>
      <c r="R262" s="492"/>
      <c r="S262" s="493"/>
      <c r="T262" s="493"/>
      <c r="U262" s="493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298"/>
      <c r="AG262" s="298"/>
      <c r="AH262" s="298"/>
      <c r="AI262" s="298"/>
      <c r="AJ262" s="298"/>
      <c r="AK262" s="298"/>
      <c r="AL262" s="298"/>
      <c r="AM262" s="298"/>
    </row>
    <row r="263" spans="1:39" ht="15.75" customHeight="1">
      <c r="A263" s="298"/>
      <c r="B263" s="298"/>
      <c r="C263" s="1901"/>
      <c r="D263" s="1947"/>
      <c r="E263" s="1901"/>
      <c r="F263" s="943"/>
      <c r="G263" s="1901"/>
      <c r="H263" s="1901"/>
      <c r="I263" s="1901"/>
      <c r="J263" s="1647"/>
      <c r="K263" s="1901"/>
      <c r="L263" s="1901"/>
      <c r="M263" s="836"/>
      <c r="N263" s="836"/>
      <c r="O263" s="836"/>
      <c r="P263" s="836"/>
      <c r="Q263" s="836"/>
      <c r="R263" s="492"/>
      <c r="S263" s="493"/>
      <c r="T263" s="493"/>
      <c r="U263" s="493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298"/>
      <c r="AG263" s="298"/>
      <c r="AH263" s="298"/>
      <c r="AI263" s="298"/>
      <c r="AJ263" s="298"/>
      <c r="AK263" s="298"/>
      <c r="AL263" s="298"/>
      <c r="AM263" s="298"/>
    </row>
    <row r="264" spans="1:39" ht="15.75" customHeight="1">
      <c r="A264" s="298"/>
      <c r="B264" s="298"/>
      <c r="C264" s="1901"/>
      <c r="D264" s="1947"/>
      <c r="E264" s="1901"/>
      <c r="F264" s="943"/>
      <c r="G264" s="1901"/>
      <c r="H264" s="1901"/>
      <c r="I264" s="1901"/>
      <c r="J264" s="1647"/>
      <c r="K264" s="1901"/>
      <c r="L264" s="1901"/>
      <c r="M264" s="836"/>
      <c r="N264" s="836"/>
      <c r="O264" s="836"/>
      <c r="P264" s="836"/>
      <c r="Q264" s="836"/>
      <c r="R264" s="492"/>
      <c r="S264" s="493"/>
      <c r="T264" s="493"/>
      <c r="U264" s="493"/>
      <c r="V264" s="298"/>
      <c r="W264" s="298"/>
      <c r="X264" s="298"/>
      <c r="Y264" s="298"/>
      <c r="Z264" s="298"/>
      <c r="AA264" s="298"/>
      <c r="AB264" s="298"/>
      <c r="AC264" s="298"/>
      <c r="AD264" s="298"/>
      <c r="AE264" s="298"/>
      <c r="AF264" s="298"/>
      <c r="AG264" s="298"/>
      <c r="AH264" s="298"/>
      <c r="AI264" s="298"/>
      <c r="AJ264" s="298"/>
      <c r="AK264" s="298"/>
      <c r="AL264" s="298"/>
      <c r="AM264" s="298"/>
    </row>
    <row r="265" spans="1:39" ht="15.75" customHeight="1">
      <c r="A265" s="298"/>
      <c r="B265" s="298"/>
      <c r="C265" s="1901"/>
      <c r="D265" s="1947"/>
      <c r="E265" s="1901"/>
      <c r="F265" s="943"/>
      <c r="G265" s="1901"/>
      <c r="H265" s="1901"/>
      <c r="I265" s="1901"/>
      <c r="J265" s="1647"/>
      <c r="K265" s="1901"/>
      <c r="L265" s="1901"/>
      <c r="M265" s="836"/>
      <c r="N265" s="836"/>
      <c r="O265" s="836"/>
      <c r="P265" s="836"/>
      <c r="Q265" s="836"/>
      <c r="R265" s="492"/>
      <c r="S265" s="493"/>
      <c r="T265" s="493"/>
      <c r="U265" s="493"/>
      <c r="V265" s="298"/>
      <c r="W265" s="298"/>
      <c r="X265" s="298"/>
      <c r="Y265" s="298"/>
      <c r="Z265" s="298"/>
      <c r="AA265" s="298"/>
      <c r="AB265" s="298"/>
      <c r="AC265" s="298"/>
      <c r="AD265" s="298"/>
      <c r="AE265" s="298"/>
      <c r="AF265" s="298"/>
      <c r="AG265" s="298"/>
      <c r="AH265" s="298"/>
      <c r="AI265" s="298"/>
      <c r="AJ265" s="298"/>
      <c r="AK265" s="298"/>
      <c r="AL265" s="298"/>
      <c r="AM265" s="298"/>
    </row>
    <row r="266" spans="1:39" ht="15.75" customHeight="1">
      <c r="A266" s="298"/>
      <c r="B266" s="298"/>
      <c r="C266" s="1901"/>
      <c r="D266" s="1947"/>
      <c r="E266" s="1901"/>
      <c r="F266" s="943"/>
      <c r="G266" s="1901"/>
      <c r="H266" s="1901"/>
      <c r="I266" s="1901"/>
      <c r="J266" s="1647"/>
      <c r="K266" s="1901"/>
      <c r="L266" s="1901"/>
      <c r="M266" s="836"/>
      <c r="N266" s="836"/>
      <c r="O266" s="836"/>
      <c r="P266" s="836"/>
      <c r="Q266" s="836"/>
      <c r="R266" s="492"/>
      <c r="S266" s="493"/>
      <c r="T266" s="493"/>
      <c r="U266" s="493"/>
      <c r="V266" s="298"/>
      <c r="W266" s="298"/>
      <c r="X266" s="298"/>
      <c r="Y266" s="298"/>
      <c r="Z266" s="298"/>
      <c r="AA266" s="298"/>
      <c r="AB266" s="298"/>
      <c r="AC266" s="298"/>
      <c r="AD266" s="298"/>
      <c r="AE266" s="298"/>
      <c r="AF266" s="298"/>
      <c r="AG266" s="298"/>
      <c r="AH266" s="298"/>
      <c r="AI266" s="298"/>
      <c r="AJ266" s="298"/>
      <c r="AK266" s="298"/>
      <c r="AL266" s="298"/>
      <c r="AM266" s="298"/>
    </row>
    <row r="267" spans="1:39" ht="15.75" customHeight="1">
      <c r="A267" s="298"/>
      <c r="B267" s="298"/>
      <c r="C267" s="1901"/>
      <c r="D267" s="1947"/>
      <c r="E267" s="1901"/>
      <c r="F267" s="137"/>
      <c r="G267" s="1901"/>
      <c r="H267" s="1901"/>
      <c r="I267" s="1901"/>
      <c r="J267" s="1647"/>
      <c r="K267" s="1901"/>
      <c r="L267" s="1901"/>
      <c r="M267" s="836"/>
      <c r="N267" s="836"/>
      <c r="O267" s="836"/>
      <c r="P267" s="836"/>
      <c r="Q267" s="836"/>
      <c r="R267" s="492"/>
      <c r="S267" s="493"/>
      <c r="T267" s="493"/>
      <c r="U267" s="493"/>
      <c r="V267" s="298"/>
      <c r="W267" s="298"/>
      <c r="X267" s="298"/>
      <c r="Y267" s="298"/>
      <c r="Z267" s="298"/>
      <c r="AA267" s="298"/>
      <c r="AB267" s="298"/>
      <c r="AC267" s="298"/>
      <c r="AD267" s="298"/>
      <c r="AE267" s="298"/>
      <c r="AF267" s="298"/>
      <c r="AG267" s="298"/>
      <c r="AH267" s="298"/>
      <c r="AI267" s="298"/>
      <c r="AJ267" s="298"/>
      <c r="AK267" s="298"/>
      <c r="AL267" s="298"/>
      <c r="AM267" s="298"/>
    </row>
    <row r="268" spans="1:39" ht="15.75" customHeight="1">
      <c r="A268" s="298"/>
      <c r="B268" s="298"/>
      <c r="C268" s="1901"/>
      <c r="D268" s="1947"/>
      <c r="E268" s="1901"/>
      <c r="F268" s="943"/>
      <c r="G268" s="1901"/>
      <c r="H268" s="1901"/>
      <c r="I268" s="1901"/>
      <c r="J268" s="1647"/>
      <c r="K268" s="1901"/>
      <c r="L268" s="1901"/>
      <c r="M268" s="836"/>
      <c r="N268" s="836"/>
      <c r="O268" s="836"/>
      <c r="P268" s="836"/>
      <c r="Q268" s="836"/>
      <c r="R268" s="492"/>
      <c r="S268" s="493"/>
      <c r="T268" s="493"/>
      <c r="U268" s="493"/>
      <c r="V268" s="298"/>
      <c r="W268" s="298"/>
      <c r="X268" s="298"/>
      <c r="Y268" s="298"/>
      <c r="Z268" s="298"/>
      <c r="AA268" s="298"/>
      <c r="AB268" s="298"/>
      <c r="AC268" s="298"/>
      <c r="AD268" s="298"/>
      <c r="AE268" s="298"/>
      <c r="AF268" s="298"/>
      <c r="AG268" s="298"/>
      <c r="AH268" s="298"/>
      <c r="AI268" s="298"/>
      <c r="AJ268" s="298"/>
      <c r="AK268" s="298"/>
      <c r="AL268" s="298"/>
      <c r="AM268" s="298"/>
    </row>
    <row r="269" spans="1:39" ht="15.75" customHeight="1">
      <c r="A269" s="298"/>
      <c r="B269" s="298"/>
      <c r="C269" s="1901"/>
      <c r="D269" s="1947"/>
      <c r="E269" s="1901"/>
      <c r="F269" s="943"/>
      <c r="G269" s="1901"/>
      <c r="H269" s="1901"/>
      <c r="I269" s="1901"/>
      <c r="J269" s="1647"/>
      <c r="K269" s="1901"/>
      <c r="L269" s="1901"/>
      <c r="M269" s="836"/>
      <c r="N269" s="836"/>
      <c r="O269" s="836"/>
      <c r="P269" s="836"/>
      <c r="Q269" s="836"/>
      <c r="R269" s="492"/>
      <c r="S269" s="493"/>
      <c r="T269" s="493"/>
      <c r="U269" s="493"/>
      <c r="V269" s="298"/>
      <c r="W269" s="298"/>
      <c r="X269" s="298"/>
      <c r="Y269" s="298"/>
      <c r="Z269" s="298"/>
      <c r="AA269" s="298"/>
      <c r="AB269" s="298"/>
      <c r="AC269" s="298"/>
      <c r="AD269" s="298"/>
      <c r="AE269" s="298"/>
      <c r="AF269" s="298"/>
      <c r="AG269" s="298"/>
      <c r="AH269" s="298"/>
      <c r="AI269" s="298"/>
      <c r="AJ269" s="298"/>
      <c r="AK269" s="298"/>
      <c r="AL269" s="298"/>
      <c r="AM269" s="298"/>
    </row>
    <row r="270" spans="1:39" ht="15.75" customHeight="1">
      <c r="A270" s="298"/>
      <c r="B270" s="298"/>
      <c r="C270" s="1901"/>
      <c r="D270" s="1947"/>
      <c r="E270" s="1901"/>
      <c r="F270" s="943"/>
      <c r="G270" s="1901"/>
      <c r="H270" s="1901"/>
      <c r="I270" s="1901"/>
      <c r="J270" s="1647"/>
      <c r="K270" s="1901"/>
      <c r="L270" s="1901"/>
      <c r="M270" s="836"/>
      <c r="N270" s="836"/>
      <c r="O270" s="836"/>
      <c r="P270" s="836"/>
      <c r="Q270" s="836"/>
      <c r="R270" s="492"/>
      <c r="S270" s="493"/>
      <c r="T270" s="493"/>
      <c r="U270" s="493"/>
      <c r="V270" s="298"/>
      <c r="W270" s="298"/>
      <c r="X270" s="298"/>
      <c r="Y270" s="298"/>
      <c r="Z270" s="298"/>
      <c r="AA270" s="298"/>
      <c r="AB270" s="298"/>
      <c r="AC270" s="298"/>
      <c r="AD270" s="298"/>
      <c r="AE270" s="298"/>
      <c r="AF270" s="298"/>
      <c r="AG270" s="298"/>
      <c r="AH270" s="298"/>
      <c r="AI270" s="298"/>
      <c r="AJ270" s="298"/>
      <c r="AK270" s="298"/>
      <c r="AL270" s="298"/>
      <c r="AM270" s="298"/>
    </row>
    <row r="271" spans="1:39" ht="15.75" customHeight="1">
      <c r="A271" s="298"/>
      <c r="B271" s="298"/>
      <c r="C271" s="1901"/>
      <c r="D271" s="1947"/>
      <c r="E271" s="1901"/>
      <c r="F271" s="943"/>
      <c r="G271" s="1901"/>
      <c r="H271" s="1901"/>
      <c r="I271" s="1901"/>
      <c r="J271" s="1647"/>
      <c r="K271" s="1901"/>
      <c r="L271" s="1901"/>
      <c r="M271" s="836"/>
      <c r="N271" s="836"/>
      <c r="O271" s="836"/>
      <c r="P271" s="836"/>
      <c r="Q271" s="836"/>
      <c r="R271" s="492"/>
      <c r="S271" s="493"/>
      <c r="T271" s="493"/>
      <c r="U271" s="493"/>
      <c r="V271" s="298"/>
      <c r="W271" s="298"/>
      <c r="X271" s="298"/>
      <c r="Y271" s="298"/>
      <c r="Z271" s="298"/>
      <c r="AA271" s="298"/>
      <c r="AB271" s="298"/>
      <c r="AC271" s="298"/>
      <c r="AD271" s="298"/>
      <c r="AE271" s="298"/>
      <c r="AF271" s="298"/>
      <c r="AG271" s="298"/>
      <c r="AH271" s="298"/>
      <c r="AI271" s="298"/>
      <c r="AJ271" s="298"/>
      <c r="AK271" s="298"/>
      <c r="AL271" s="298"/>
      <c r="AM271" s="298"/>
    </row>
    <row r="272" spans="1:39" ht="15.75" customHeight="1">
      <c r="A272" s="298"/>
      <c r="B272" s="298"/>
      <c r="C272" s="1901"/>
      <c r="D272" s="1947"/>
      <c r="E272" s="1901"/>
      <c r="F272" s="943"/>
      <c r="G272" s="1901"/>
      <c r="H272" s="1901"/>
      <c r="I272" s="1901"/>
      <c r="J272" s="1647"/>
      <c r="K272" s="1901"/>
      <c r="L272" s="1901"/>
      <c r="M272" s="836"/>
      <c r="N272" s="836"/>
      <c r="O272" s="836"/>
      <c r="P272" s="836"/>
      <c r="Q272" s="836"/>
      <c r="R272" s="492"/>
      <c r="S272" s="493"/>
      <c r="T272" s="493"/>
      <c r="U272" s="493"/>
      <c r="V272" s="298"/>
      <c r="W272" s="298"/>
      <c r="X272" s="298"/>
      <c r="Y272" s="298"/>
      <c r="Z272" s="298"/>
      <c r="AA272" s="298"/>
      <c r="AB272" s="298"/>
      <c r="AC272" s="298"/>
      <c r="AD272" s="298"/>
      <c r="AE272" s="298"/>
      <c r="AF272" s="298"/>
      <c r="AG272" s="298"/>
      <c r="AH272" s="298"/>
      <c r="AI272" s="298"/>
      <c r="AJ272" s="298"/>
      <c r="AK272" s="298"/>
      <c r="AL272" s="298"/>
      <c r="AM272" s="298"/>
    </row>
    <row r="273" spans="1:39" ht="15.75" customHeight="1">
      <c r="A273" s="298"/>
      <c r="B273" s="298"/>
      <c r="C273" s="1901"/>
      <c r="D273" s="1947"/>
      <c r="E273" s="1901"/>
      <c r="F273" s="943"/>
      <c r="G273" s="1901"/>
      <c r="H273" s="1901"/>
      <c r="I273" s="1901"/>
      <c r="J273" s="1647"/>
      <c r="K273" s="1901"/>
      <c r="L273" s="1901"/>
      <c r="M273" s="836"/>
      <c r="N273" s="836"/>
      <c r="O273" s="836"/>
      <c r="P273" s="836"/>
      <c r="Q273" s="836"/>
      <c r="R273" s="492"/>
      <c r="S273" s="493"/>
      <c r="T273" s="493"/>
      <c r="U273" s="493"/>
      <c r="V273" s="298"/>
      <c r="W273" s="298"/>
      <c r="X273" s="298"/>
      <c r="Y273" s="298"/>
      <c r="Z273" s="298"/>
      <c r="AA273" s="298"/>
      <c r="AB273" s="298"/>
      <c r="AC273" s="298"/>
      <c r="AD273" s="298"/>
      <c r="AE273" s="298"/>
      <c r="AF273" s="298"/>
      <c r="AG273" s="298"/>
      <c r="AH273" s="298"/>
      <c r="AI273" s="298"/>
      <c r="AJ273" s="298"/>
      <c r="AK273" s="298"/>
      <c r="AL273" s="298"/>
      <c r="AM273" s="298"/>
    </row>
    <row r="274" spans="1:39" ht="15.75" customHeight="1">
      <c r="A274" s="298"/>
      <c r="B274" s="298"/>
      <c r="C274" s="1901"/>
      <c r="D274" s="1947"/>
      <c r="E274" s="1901"/>
      <c r="F274" s="943"/>
      <c r="G274" s="1901"/>
      <c r="H274" s="1901"/>
      <c r="I274" s="1901"/>
      <c r="J274" s="1647"/>
      <c r="K274" s="1901"/>
      <c r="L274" s="1901"/>
      <c r="M274" s="836"/>
      <c r="N274" s="836"/>
      <c r="O274" s="836"/>
      <c r="P274" s="836"/>
      <c r="Q274" s="836"/>
      <c r="R274" s="492"/>
      <c r="S274" s="493"/>
      <c r="T274" s="493"/>
      <c r="U274" s="493"/>
      <c r="V274" s="298"/>
      <c r="W274" s="298"/>
      <c r="X274" s="298"/>
      <c r="Y274" s="298"/>
      <c r="Z274" s="298"/>
      <c r="AA274" s="298"/>
      <c r="AB274" s="298"/>
      <c r="AC274" s="298"/>
      <c r="AD274" s="298"/>
      <c r="AE274" s="298"/>
      <c r="AF274" s="298"/>
      <c r="AG274" s="298"/>
      <c r="AH274" s="298"/>
      <c r="AI274" s="298"/>
      <c r="AJ274" s="298"/>
      <c r="AK274" s="298"/>
      <c r="AL274" s="298"/>
      <c r="AM274" s="298"/>
    </row>
    <row r="275" spans="1:39" ht="15.75" customHeight="1">
      <c r="A275" s="298"/>
      <c r="B275" s="298"/>
      <c r="C275" s="1901"/>
      <c r="D275" s="1947"/>
      <c r="E275" s="1901"/>
      <c r="F275" s="943"/>
      <c r="G275" s="1901"/>
      <c r="H275" s="1901"/>
      <c r="I275" s="1901"/>
      <c r="J275" s="1647"/>
      <c r="K275" s="1901"/>
      <c r="L275" s="1901"/>
      <c r="M275" s="836"/>
      <c r="N275" s="836"/>
      <c r="O275" s="836"/>
      <c r="P275" s="836"/>
      <c r="Q275" s="836"/>
      <c r="R275" s="492"/>
      <c r="S275" s="493"/>
      <c r="T275" s="493"/>
      <c r="U275" s="493"/>
      <c r="V275" s="298"/>
      <c r="W275" s="298"/>
      <c r="X275" s="298"/>
      <c r="Y275" s="298"/>
      <c r="Z275" s="298"/>
      <c r="AA275" s="298"/>
      <c r="AB275" s="298"/>
      <c r="AC275" s="298"/>
      <c r="AD275" s="298"/>
      <c r="AE275" s="298"/>
      <c r="AF275" s="298"/>
      <c r="AG275" s="298"/>
      <c r="AH275" s="298"/>
      <c r="AI275" s="298"/>
      <c r="AJ275" s="298"/>
      <c r="AK275" s="298"/>
      <c r="AL275" s="298"/>
      <c r="AM275" s="298"/>
    </row>
    <row r="276" spans="1:39" ht="15.75" customHeight="1">
      <c r="A276" s="298"/>
      <c r="B276" s="298"/>
      <c r="C276" s="1901"/>
      <c r="D276" s="1947"/>
      <c r="E276" s="1901"/>
      <c r="F276" s="943"/>
      <c r="G276" s="1901"/>
      <c r="H276" s="1901"/>
      <c r="I276" s="1901"/>
      <c r="J276" s="1647"/>
      <c r="K276" s="1901"/>
      <c r="L276" s="1901"/>
      <c r="M276" s="836"/>
      <c r="N276" s="836"/>
      <c r="O276" s="836"/>
      <c r="P276" s="836"/>
      <c r="Q276" s="836"/>
      <c r="R276" s="492"/>
      <c r="S276" s="493"/>
      <c r="T276" s="493"/>
      <c r="U276" s="493"/>
      <c r="V276" s="298"/>
      <c r="W276" s="298"/>
      <c r="X276" s="298"/>
      <c r="Y276" s="298"/>
      <c r="Z276" s="298"/>
      <c r="AA276" s="298"/>
      <c r="AB276" s="298"/>
      <c r="AC276" s="298"/>
      <c r="AD276" s="298"/>
      <c r="AE276" s="298"/>
      <c r="AF276" s="298"/>
      <c r="AG276" s="298"/>
      <c r="AH276" s="298"/>
      <c r="AI276" s="298"/>
      <c r="AJ276" s="298"/>
      <c r="AK276" s="298"/>
      <c r="AL276" s="298"/>
      <c r="AM276" s="298"/>
    </row>
    <row r="277" spans="1:39" ht="15.75" customHeight="1">
      <c r="A277" s="298"/>
      <c r="B277" s="298"/>
      <c r="C277" s="1901"/>
      <c r="D277" s="1947"/>
      <c r="E277" s="1901"/>
      <c r="F277" s="943"/>
      <c r="G277" s="1901"/>
      <c r="H277" s="1901"/>
      <c r="I277" s="1901"/>
      <c r="J277" s="1647"/>
      <c r="K277" s="1901"/>
      <c r="L277" s="1901"/>
      <c r="M277" s="836"/>
      <c r="N277" s="836"/>
      <c r="O277" s="836"/>
      <c r="P277" s="836"/>
      <c r="Q277" s="836"/>
      <c r="R277" s="492"/>
      <c r="S277" s="493"/>
      <c r="T277" s="493"/>
      <c r="U277" s="493"/>
      <c r="V277" s="298"/>
      <c r="W277" s="298"/>
      <c r="X277" s="298"/>
      <c r="Y277" s="298"/>
      <c r="Z277" s="298"/>
      <c r="AA277" s="298"/>
      <c r="AB277" s="298"/>
      <c r="AC277" s="298"/>
      <c r="AD277" s="298"/>
      <c r="AE277" s="298"/>
      <c r="AF277" s="298"/>
      <c r="AG277" s="298"/>
      <c r="AH277" s="298"/>
      <c r="AI277" s="298"/>
      <c r="AJ277" s="298"/>
      <c r="AK277" s="298"/>
      <c r="AL277" s="298"/>
      <c r="AM277" s="298"/>
    </row>
    <row r="278" spans="1:39" ht="15.75" customHeight="1">
      <c r="A278" s="298"/>
      <c r="B278" s="298"/>
      <c r="C278" s="1901"/>
      <c r="D278" s="1947"/>
      <c r="E278" s="1901"/>
      <c r="F278" s="1948"/>
      <c r="G278" s="1901"/>
      <c r="H278" s="1901"/>
      <c r="I278" s="1901"/>
      <c r="J278" s="1647"/>
      <c r="K278" s="1901"/>
      <c r="L278" s="1901"/>
      <c r="M278" s="836"/>
      <c r="N278" s="836"/>
      <c r="O278" s="836"/>
      <c r="P278" s="836"/>
      <c r="Q278" s="836"/>
      <c r="R278" s="492"/>
      <c r="S278" s="493"/>
      <c r="T278" s="493"/>
      <c r="U278" s="493"/>
      <c r="V278" s="298"/>
      <c r="W278" s="298"/>
      <c r="X278" s="298"/>
      <c r="Y278" s="298"/>
      <c r="Z278" s="298"/>
      <c r="AA278" s="298"/>
      <c r="AB278" s="298"/>
      <c r="AC278" s="298"/>
      <c r="AD278" s="298"/>
      <c r="AE278" s="298"/>
      <c r="AF278" s="298"/>
      <c r="AG278" s="298"/>
      <c r="AH278" s="298"/>
      <c r="AI278" s="298"/>
      <c r="AJ278" s="298"/>
      <c r="AK278" s="298"/>
      <c r="AL278" s="298"/>
      <c r="AM278" s="298"/>
    </row>
    <row r="279" spans="1:39" ht="15.75" customHeight="1">
      <c r="A279" s="298"/>
      <c r="B279" s="298"/>
      <c r="C279" s="1901"/>
      <c r="D279" s="1947"/>
      <c r="E279" s="1901"/>
      <c r="F279" s="137"/>
      <c r="G279" s="1901"/>
      <c r="H279" s="1901"/>
      <c r="I279" s="1901"/>
      <c r="J279" s="1647"/>
      <c r="K279" s="1901"/>
      <c r="L279" s="1901"/>
      <c r="M279" s="836"/>
      <c r="N279" s="836"/>
      <c r="O279" s="836"/>
      <c r="P279" s="836"/>
      <c r="Q279" s="836"/>
      <c r="R279" s="492"/>
      <c r="S279" s="493"/>
      <c r="T279" s="493"/>
      <c r="U279" s="493"/>
      <c r="V279" s="298"/>
      <c r="W279" s="298"/>
      <c r="X279" s="298"/>
      <c r="Y279" s="298"/>
      <c r="Z279" s="298"/>
      <c r="AA279" s="298"/>
      <c r="AB279" s="298"/>
      <c r="AC279" s="298"/>
      <c r="AD279" s="298"/>
      <c r="AE279" s="298"/>
      <c r="AF279" s="298"/>
      <c r="AG279" s="298"/>
      <c r="AH279" s="298"/>
      <c r="AI279" s="298"/>
      <c r="AJ279" s="298"/>
      <c r="AK279" s="298"/>
      <c r="AL279" s="298"/>
      <c r="AM279" s="298"/>
    </row>
    <row r="280" spans="1:39" ht="15.75" customHeight="1">
      <c r="A280" s="298"/>
      <c r="B280" s="298"/>
      <c r="C280" s="1901"/>
      <c r="D280" s="1947"/>
      <c r="E280" s="1901"/>
      <c r="F280" s="943"/>
      <c r="G280" s="1901"/>
      <c r="H280" s="1901"/>
      <c r="I280" s="1901"/>
      <c r="J280" s="1647"/>
      <c r="K280" s="1901"/>
      <c r="L280" s="1901"/>
      <c r="M280" s="836"/>
      <c r="N280" s="836"/>
      <c r="O280" s="836"/>
      <c r="P280" s="836"/>
      <c r="Q280" s="836"/>
      <c r="R280" s="492"/>
      <c r="S280" s="493"/>
      <c r="T280" s="493"/>
      <c r="U280" s="493"/>
      <c r="V280" s="298"/>
      <c r="W280" s="298"/>
      <c r="X280" s="298"/>
      <c r="Y280" s="298"/>
      <c r="Z280" s="298"/>
      <c r="AA280" s="298"/>
      <c r="AB280" s="298"/>
      <c r="AC280" s="298"/>
      <c r="AD280" s="298"/>
      <c r="AE280" s="298"/>
      <c r="AF280" s="298"/>
      <c r="AG280" s="298"/>
      <c r="AH280" s="298"/>
      <c r="AI280" s="298"/>
      <c r="AJ280" s="298"/>
      <c r="AK280" s="298"/>
      <c r="AL280" s="298"/>
      <c r="AM280" s="298"/>
    </row>
    <row r="281" spans="1:39" ht="15.75" customHeight="1">
      <c r="A281" s="298"/>
      <c r="B281" s="298"/>
      <c r="C281" s="1901"/>
      <c r="D281" s="1947"/>
      <c r="E281" s="1901"/>
      <c r="F281" s="943"/>
      <c r="G281" s="1901"/>
      <c r="H281" s="1901"/>
      <c r="I281" s="1901"/>
      <c r="J281" s="1647"/>
      <c r="K281" s="1901"/>
      <c r="L281" s="1901"/>
      <c r="M281" s="836"/>
      <c r="N281" s="836"/>
      <c r="O281" s="836"/>
      <c r="P281" s="836"/>
      <c r="Q281" s="836"/>
      <c r="R281" s="492"/>
      <c r="S281" s="493"/>
      <c r="T281" s="493"/>
      <c r="U281" s="493"/>
      <c r="V281" s="298"/>
      <c r="W281" s="298"/>
      <c r="X281" s="298"/>
      <c r="Y281" s="298"/>
      <c r="Z281" s="298"/>
      <c r="AA281" s="298"/>
      <c r="AB281" s="298"/>
      <c r="AC281" s="298"/>
      <c r="AD281" s="298"/>
      <c r="AE281" s="298"/>
      <c r="AF281" s="298"/>
      <c r="AG281" s="298"/>
      <c r="AH281" s="298"/>
      <c r="AI281" s="298"/>
      <c r="AJ281" s="298"/>
      <c r="AK281" s="298"/>
      <c r="AL281" s="298"/>
      <c r="AM281" s="298"/>
    </row>
    <row r="282" spans="1:39" ht="15.75" customHeight="1">
      <c r="A282" s="298"/>
      <c r="B282" s="298"/>
      <c r="C282" s="1901"/>
      <c r="D282" s="1947"/>
      <c r="E282" s="1901"/>
      <c r="F282" s="137"/>
      <c r="G282" s="1901"/>
      <c r="H282" s="1901"/>
      <c r="I282" s="1901"/>
      <c r="J282" s="1647"/>
      <c r="K282" s="1901"/>
      <c r="L282" s="1901"/>
      <c r="M282" s="836"/>
      <c r="N282" s="836"/>
      <c r="O282" s="836"/>
      <c r="P282" s="836"/>
      <c r="Q282" s="836"/>
      <c r="R282" s="492"/>
      <c r="S282" s="493"/>
      <c r="T282" s="493"/>
      <c r="U282" s="493"/>
      <c r="V282" s="298"/>
      <c r="W282" s="298"/>
      <c r="X282" s="298"/>
      <c r="Y282" s="298"/>
      <c r="Z282" s="298"/>
      <c r="AA282" s="298"/>
      <c r="AB282" s="298"/>
      <c r="AC282" s="298"/>
      <c r="AD282" s="298"/>
      <c r="AE282" s="298"/>
      <c r="AF282" s="298"/>
      <c r="AG282" s="298"/>
      <c r="AH282" s="298"/>
      <c r="AI282" s="298"/>
      <c r="AJ282" s="298"/>
      <c r="AK282" s="298"/>
      <c r="AL282" s="298"/>
      <c r="AM282" s="298"/>
    </row>
    <row r="283" spans="1:39" ht="15.75" customHeight="1">
      <c r="A283" s="298"/>
      <c r="B283" s="298"/>
      <c r="C283" s="1901"/>
      <c r="D283" s="1947"/>
      <c r="E283" s="1901"/>
      <c r="F283" s="943"/>
      <c r="G283" s="1901"/>
      <c r="H283" s="1901"/>
      <c r="I283" s="1901"/>
      <c r="J283" s="1647"/>
      <c r="K283" s="1901"/>
      <c r="L283" s="1901"/>
      <c r="M283" s="836"/>
      <c r="N283" s="836"/>
      <c r="O283" s="836"/>
      <c r="P283" s="836"/>
      <c r="Q283" s="836"/>
      <c r="R283" s="492"/>
      <c r="S283" s="493"/>
      <c r="T283" s="493"/>
      <c r="U283" s="493"/>
      <c r="V283" s="298"/>
      <c r="W283" s="298"/>
      <c r="X283" s="298"/>
      <c r="Y283" s="298"/>
      <c r="Z283" s="298"/>
      <c r="AA283" s="298"/>
      <c r="AB283" s="298"/>
      <c r="AC283" s="298"/>
      <c r="AD283" s="298"/>
      <c r="AE283" s="298"/>
      <c r="AF283" s="298"/>
      <c r="AG283" s="298"/>
      <c r="AH283" s="298"/>
      <c r="AI283" s="298"/>
      <c r="AJ283" s="298"/>
      <c r="AK283" s="298"/>
      <c r="AL283" s="298"/>
      <c r="AM283" s="298"/>
    </row>
    <row r="284" spans="1:39" ht="15.75" customHeight="1">
      <c r="A284" s="298"/>
      <c r="B284" s="298"/>
      <c r="C284" s="1901"/>
      <c r="D284" s="1947"/>
      <c r="E284" s="1901"/>
      <c r="F284" s="943"/>
      <c r="G284" s="1901"/>
      <c r="H284" s="1901"/>
      <c r="I284" s="1901"/>
      <c r="J284" s="1647"/>
      <c r="K284" s="1901"/>
      <c r="L284" s="1901"/>
      <c r="M284" s="836"/>
      <c r="N284" s="836"/>
      <c r="O284" s="836"/>
      <c r="P284" s="836"/>
      <c r="Q284" s="836"/>
      <c r="R284" s="492"/>
      <c r="S284" s="493"/>
      <c r="T284" s="493"/>
      <c r="U284" s="493"/>
      <c r="V284" s="298"/>
      <c r="W284" s="298"/>
      <c r="X284" s="298"/>
      <c r="Y284" s="298"/>
      <c r="Z284" s="298"/>
      <c r="AA284" s="298"/>
      <c r="AB284" s="298"/>
      <c r="AC284" s="298"/>
      <c r="AD284" s="298"/>
      <c r="AE284" s="298"/>
      <c r="AF284" s="298"/>
      <c r="AG284" s="298"/>
      <c r="AH284" s="298"/>
      <c r="AI284" s="298"/>
      <c r="AJ284" s="298"/>
      <c r="AK284" s="298"/>
      <c r="AL284" s="298"/>
      <c r="AM284" s="298"/>
    </row>
    <row r="285" spans="1:39" ht="15.75" customHeight="1">
      <c r="A285" s="298"/>
      <c r="B285" s="298"/>
      <c r="C285" s="1901"/>
      <c r="D285" s="1947"/>
      <c r="E285" s="1901"/>
      <c r="F285" s="1948"/>
      <c r="G285" s="1901"/>
      <c r="H285" s="1901"/>
      <c r="I285" s="1901"/>
      <c r="J285" s="1647"/>
      <c r="K285" s="1901"/>
      <c r="L285" s="1901"/>
      <c r="M285" s="836"/>
      <c r="N285" s="836"/>
      <c r="O285" s="836"/>
      <c r="P285" s="836"/>
      <c r="Q285" s="836"/>
      <c r="R285" s="492"/>
      <c r="S285" s="493"/>
      <c r="T285" s="493"/>
      <c r="U285" s="493"/>
      <c r="V285" s="298"/>
      <c r="W285" s="298"/>
      <c r="X285" s="298"/>
      <c r="Y285" s="298"/>
      <c r="Z285" s="298"/>
      <c r="AA285" s="298"/>
      <c r="AB285" s="298"/>
      <c r="AC285" s="298"/>
      <c r="AD285" s="298"/>
      <c r="AE285" s="298"/>
      <c r="AF285" s="298"/>
      <c r="AG285" s="298"/>
      <c r="AH285" s="298"/>
      <c r="AI285" s="298"/>
      <c r="AJ285" s="298"/>
      <c r="AK285" s="298"/>
      <c r="AL285" s="298"/>
      <c r="AM285" s="298"/>
    </row>
    <row r="286" spans="1:39" ht="15.75" customHeight="1">
      <c r="A286" s="298"/>
      <c r="B286" s="298"/>
      <c r="C286" s="1901"/>
      <c r="D286" s="1947"/>
      <c r="E286" s="1901"/>
      <c r="F286" s="943"/>
      <c r="G286" s="1901"/>
      <c r="H286" s="1901"/>
      <c r="I286" s="1901"/>
      <c r="J286" s="1647"/>
      <c r="K286" s="1901"/>
      <c r="L286" s="1901"/>
      <c r="M286" s="836"/>
      <c r="N286" s="836"/>
      <c r="O286" s="836"/>
      <c r="P286" s="836"/>
      <c r="Q286" s="836"/>
      <c r="R286" s="492"/>
      <c r="S286" s="493"/>
      <c r="T286" s="493"/>
      <c r="U286" s="493"/>
      <c r="V286" s="298"/>
      <c r="W286" s="298"/>
      <c r="X286" s="298"/>
      <c r="Y286" s="298"/>
      <c r="Z286" s="298"/>
      <c r="AA286" s="298"/>
      <c r="AB286" s="298"/>
      <c r="AC286" s="298"/>
      <c r="AD286" s="298"/>
      <c r="AE286" s="298"/>
      <c r="AF286" s="298"/>
      <c r="AG286" s="298"/>
      <c r="AH286" s="298"/>
      <c r="AI286" s="298"/>
      <c r="AJ286" s="298"/>
      <c r="AK286" s="298"/>
      <c r="AL286" s="298"/>
      <c r="AM286" s="298"/>
    </row>
    <row r="287" spans="1:39" ht="15.75" customHeight="1">
      <c r="A287" s="298"/>
      <c r="B287" s="298"/>
      <c r="C287" s="1901"/>
      <c r="D287" s="1947"/>
      <c r="E287" s="1901"/>
      <c r="F287" s="1948"/>
      <c r="G287" s="1901"/>
      <c r="H287" s="1901"/>
      <c r="I287" s="1901"/>
      <c r="J287" s="1647"/>
      <c r="K287" s="1901"/>
      <c r="L287" s="1901"/>
      <c r="M287" s="836"/>
      <c r="N287" s="836"/>
      <c r="O287" s="836"/>
      <c r="P287" s="836"/>
      <c r="Q287" s="836"/>
      <c r="R287" s="492"/>
      <c r="S287" s="493"/>
      <c r="T287" s="493"/>
      <c r="U287" s="493"/>
      <c r="V287" s="298"/>
      <c r="W287" s="298"/>
      <c r="X287" s="298"/>
      <c r="Y287" s="298"/>
      <c r="Z287" s="298"/>
      <c r="AA287" s="298"/>
      <c r="AB287" s="298"/>
      <c r="AC287" s="298"/>
      <c r="AD287" s="298"/>
      <c r="AE287" s="298"/>
      <c r="AF287" s="298"/>
      <c r="AG287" s="298"/>
      <c r="AH287" s="298"/>
      <c r="AI287" s="298"/>
      <c r="AJ287" s="298"/>
      <c r="AK287" s="298"/>
      <c r="AL287" s="298"/>
      <c r="AM287" s="298"/>
    </row>
    <row r="288" spans="1:39" ht="15.75" customHeight="1">
      <c r="A288" s="298"/>
      <c r="B288" s="298"/>
      <c r="C288" s="1901"/>
      <c r="D288" s="1947"/>
      <c r="E288" s="1901"/>
      <c r="F288" s="943"/>
      <c r="G288" s="1901"/>
      <c r="H288" s="1901"/>
      <c r="I288" s="1901"/>
      <c r="J288" s="1647"/>
      <c r="K288" s="1901"/>
      <c r="L288" s="1901"/>
      <c r="M288" s="836"/>
      <c r="N288" s="836"/>
      <c r="O288" s="836"/>
      <c r="P288" s="836"/>
      <c r="Q288" s="836"/>
      <c r="R288" s="492"/>
      <c r="S288" s="493"/>
      <c r="T288" s="493"/>
      <c r="U288" s="493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  <c r="AG288" s="298"/>
      <c r="AH288" s="298"/>
      <c r="AI288" s="298"/>
      <c r="AJ288" s="298"/>
      <c r="AK288" s="298"/>
      <c r="AL288" s="298"/>
      <c r="AM288" s="298"/>
    </row>
    <row r="289" spans="1:39" ht="15.75" customHeight="1">
      <c r="A289" s="298"/>
      <c r="B289" s="298"/>
      <c r="C289" s="1901"/>
      <c r="D289" s="1947"/>
      <c r="E289" s="1901"/>
      <c r="F289" s="943"/>
      <c r="G289" s="1901"/>
      <c r="H289" s="1901"/>
      <c r="I289" s="1901"/>
      <c r="J289" s="1647"/>
      <c r="K289" s="1901"/>
      <c r="L289" s="1901"/>
      <c r="M289" s="836"/>
      <c r="N289" s="836"/>
      <c r="O289" s="836"/>
      <c r="P289" s="836"/>
      <c r="Q289" s="836"/>
      <c r="R289" s="492"/>
      <c r="S289" s="493"/>
      <c r="T289" s="493"/>
      <c r="U289" s="493"/>
      <c r="V289" s="298"/>
      <c r="W289" s="298"/>
      <c r="X289" s="298"/>
      <c r="Y289" s="298"/>
      <c r="Z289" s="298"/>
      <c r="AA289" s="298"/>
      <c r="AB289" s="298"/>
      <c r="AC289" s="298"/>
      <c r="AD289" s="298"/>
      <c r="AE289" s="298"/>
      <c r="AF289" s="298"/>
      <c r="AG289" s="298"/>
      <c r="AH289" s="298"/>
      <c r="AI289" s="298"/>
      <c r="AJ289" s="298"/>
      <c r="AK289" s="298"/>
      <c r="AL289" s="298"/>
      <c r="AM289" s="298"/>
    </row>
    <row r="290" spans="1:39" ht="15.75" customHeight="1">
      <c r="A290" s="298"/>
      <c r="B290" s="298"/>
      <c r="C290" s="1901"/>
      <c r="D290" s="1947"/>
      <c r="E290" s="1901"/>
      <c r="F290" s="943"/>
      <c r="G290" s="1901"/>
      <c r="H290" s="1901"/>
      <c r="I290" s="1901"/>
      <c r="J290" s="1647"/>
      <c r="K290" s="1901"/>
      <c r="L290" s="1901"/>
      <c r="M290" s="836"/>
      <c r="N290" s="836"/>
      <c r="O290" s="836"/>
      <c r="P290" s="836"/>
      <c r="Q290" s="836"/>
      <c r="R290" s="492"/>
      <c r="S290" s="493"/>
      <c r="T290" s="493"/>
      <c r="U290" s="493"/>
      <c r="V290" s="298"/>
      <c r="W290" s="298"/>
      <c r="X290" s="298"/>
      <c r="Y290" s="298"/>
      <c r="Z290" s="298"/>
      <c r="AA290" s="298"/>
      <c r="AB290" s="298"/>
      <c r="AC290" s="298"/>
      <c r="AD290" s="298"/>
      <c r="AE290" s="298"/>
      <c r="AF290" s="298"/>
      <c r="AG290" s="298"/>
      <c r="AH290" s="298"/>
      <c r="AI290" s="298"/>
      <c r="AJ290" s="298"/>
      <c r="AK290" s="298"/>
      <c r="AL290" s="298"/>
      <c r="AM290" s="298"/>
    </row>
    <row r="291" spans="1:39" ht="15.75" customHeight="1">
      <c r="A291" s="298"/>
      <c r="B291" s="298"/>
      <c r="C291" s="1901"/>
      <c r="D291" s="1947"/>
      <c r="E291" s="1901"/>
      <c r="F291" s="943"/>
      <c r="G291" s="1901"/>
      <c r="H291" s="1901"/>
      <c r="I291" s="1901"/>
      <c r="J291" s="1647"/>
      <c r="K291" s="1901"/>
      <c r="L291" s="1901"/>
      <c r="M291" s="836"/>
      <c r="N291" s="836"/>
      <c r="O291" s="836"/>
      <c r="P291" s="836"/>
      <c r="Q291" s="836"/>
      <c r="R291" s="492"/>
      <c r="S291" s="493"/>
      <c r="T291" s="493"/>
      <c r="U291" s="493"/>
      <c r="V291" s="298"/>
      <c r="W291" s="298"/>
      <c r="X291" s="298"/>
      <c r="Y291" s="298"/>
      <c r="Z291" s="298"/>
      <c r="AA291" s="298"/>
      <c r="AB291" s="298"/>
      <c r="AC291" s="298"/>
      <c r="AD291" s="298"/>
      <c r="AE291" s="298"/>
      <c r="AF291" s="298"/>
      <c r="AG291" s="298"/>
      <c r="AH291" s="298"/>
      <c r="AI291" s="298"/>
      <c r="AJ291" s="298"/>
      <c r="AK291" s="298"/>
      <c r="AL291" s="298"/>
      <c r="AM291" s="298"/>
    </row>
    <row r="292" spans="1:39" ht="15.75" customHeight="1">
      <c r="A292" s="298"/>
      <c r="B292" s="298"/>
      <c r="C292" s="1901"/>
      <c r="D292" s="1947"/>
      <c r="E292" s="1901"/>
      <c r="F292" s="943"/>
      <c r="G292" s="1901"/>
      <c r="H292" s="1901"/>
      <c r="I292" s="1901"/>
      <c r="J292" s="1647"/>
      <c r="K292" s="1901"/>
      <c r="L292" s="1901"/>
      <c r="M292" s="836"/>
      <c r="N292" s="836"/>
      <c r="O292" s="836"/>
      <c r="P292" s="836"/>
      <c r="Q292" s="836"/>
      <c r="R292" s="492"/>
      <c r="S292" s="493"/>
      <c r="T292" s="493"/>
      <c r="U292" s="493"/>
      <c r="V292" s="298"/>
      <c r="W292" s="298"/>
      <c r="X292" s="298"/>
      <c r="Y292" s="298"/>
      <c r="Z292" s="298"/>
      <c r="AA292" s="298"/>
      <c r="AB292" s="298"/>
      <c r="AC292" s="298"/>
      <c r="AD292" s="298"/>
      <c r="AE292" s="298"/>
      <c r="AF292" s="298"/>
      <c r="AG292" s="298"/>
      <c r="AH292" s="298"/>
      <c r="AI292" s="298"/>
      <c r="AJ292" s="298"/>
      <c r="AK292" s="298"/>
      <c r="AL292" s="298"/>
      <c r="AM292" s="298"/>
    </row>
    <row r="293" spans="1:39" ht="15.75" customHeight="1">
      <c r="A293" s="298"/>
      <c r="B293" s="298"/>
      <c r="C293" s="1901"/>
      <c r="D293" s="1947"/>
      <c r="E293" s="1901"/>
      <c r="F293" s="943"/>
      <c r="G293" s="1901"/>
      <c r="H293" s="1901"/>
      <c r="I293" s="1901"/>
      <c r="J293" s="1647"/>
      <c r="K293" s="1901"/>
      <c r="L293" s="1901"/>
      <c r="M293" s="836"/>
      <c r="N293" s="836"/>
      <c r="O293" s="836"/>
      <c r="P293" s="836"/>
      <c r="Q293" s="836"/>
      <c r="R293" s="492"/>
      <c r="S293" s="493"/>
      <c r="T293" s="493"/>
      <c r="U293" s="493"/>
      <c r="V293" s="298"/>
      <c r="W293" s="298"/>
      <c r="X293" s="298"/>
      <c r="Y293" s="298"/>
      <c r="Z293" s="298"/>
      <c r="AA293" s="298"/>
      <c r="AB293" s="298"/>
      <c r="AC293" s="298"/>
      <c r="AD293" s="298"/>
      <c r="AE293" s="298"/>
      <c r="AF293" s="298"/>
      <c r="AG293" s="298"/>
      <c r="AH293" s="298"/>
      <c r="AI293" s="298"/>
      <c r="AJ293" s="298"/>
      <c r="AK293" s="298"/>
      <c r="AL293" s="298"/>
      <c r="AM293" s="298"/>
    </row>
    <row r="294" spans="1:39" ht="15.75" customHeight="1">
      <c r="A294" s="298"/>
      <c r="B294" s="298"/>
      <c r="C294" s="1901"/>
      <c r="D294" s="1947"/>
      <c r="E294" s="1901"/>
      <c r="F294" s="943"/>
      <c r="G294" s="1901"/>
      <c r="H294" s="1901"/>
      <c r="I294" s="1901"/>
      <c r="J294" s="1647"/>
      <c r="K294" s="1901"/>
      <c r="L294" s="1901"/>
      <c r="M294" s="836"/>
      <c r="N294" s="836"/>
      <c r="O294" s="836"/>
      <c r="P294" s="836"/>
      <c r="Q294" s="836"/>
      <c r="R294" s="492"/>
      <c r="S294" s="493"/>
      <c r="T294" s="493"/>
      <c r="U294" s="493"/>
      <c r="V294" s="298"/>
      <c r="W294" s="298"/>
      <c r="X294" s="298"/>
      <c r="Y294" s="298"/>
      <c r="Z294" s="298"/>
      <c r="AA294" s="298"/>
      <c r="AB294" s="298"/>
      <c r="AC294" s="298"/>
      <c r="AD294" s="298"/>
      <c r="AE294" s="298"/>
      <c r="AF294" s="298"/>
      <c r="AG294" s="298"/>
      <c r="AH294" s="298"/>
      <c r="AI294" s="298"/>
      <c r="AJ294" s="298"/>
      <c r="AK294" s="298"/>
      <c r="AL294" s="298"/>
      <c r="AM294" s="298"/>
    </row>
    <row r="295" spans="1:39" ht="15.75" customHeight="1">
      <c r="A295" s="298"/>
      <c r="B295" s="298"/>
      <c r="C295" s="1901"/>
      <c r="D295" s="1947"/>
      <c r="E295" s="1901"/>
      <c r="F295" s="1948"/>
      <c r="G295" s="1901"/>
      <c r="H295" s="1901"/>
      <c r="I295" s="1901"/>
      <c r="J295" s="1647"/>
      <c r="K295" s="1901"/>
      <c r="L295" s="1901"/>
      <c r="M295" s="836"/>
      <c r="N295" s="836"/>
      <c r="O295" s="836"/>
      <c r="P295" s="836"/>
      <c r="Q295" s="836"/>
      <c r="R295" s="492"/>
      <c r="S295" s="493"/>
      <c r="T295" s="493"/>
      <c r="U295" s="493"/>
      <c r="V295" s="298"/>
      <c r="W295" s="298"/>
      <c r="X295" s="298"/>
      <c r="Y295" s="298"/>
      <c r="Z295" s="298"/>
      <c r="AA295" s="298"/>
      <c r="AB295" s="298"/>
      <c r="AC295" s="298"/>
      <c r="AD295" s="298"/>
      <c r="AE295" s="298"/>
      <c r="AF295" s="298"/>
      <c r="AG295" s="298"/>
      <c r="AH295" s="298"/>
      <c r="AI295" s="298"/>
      <c r="AJ295" s="298"/>
      <c r="AK295" s="298"/>
      <c r="AL295" s="298"/>
      <c r="AM295" s="298"/>
    </row>
    <row r="296" spans="1:39" ht="15.75" customHeight="1">
      <c r="A296" s="298"/>
      <c r="B296" s="298"/>
      <c r="C296" s="1901"/>
      <c r="D296" s="1947"/>
      <c r="E296" s="1901"/>
      <c r="F296" s="943"/>
      <c r="G296" s="1901"/>
      <c r="H296" s="1901"/>
      <c r="I296" s="1901"/>
      <c r="J296" s="1647"/>
      <c r="K296" s="1901"/>
      <c r="L296" s="1901"/>
      <c r="M296" s="836"/>
      <c r="N296" s="836"/>
      <c r="O296" s="836"/>
      <c r="P296" s="836"/>
      <c r="Q296" s="836"/>
      <c r="R296" s="492"/>
      <c r="S296" s="493"/>
      <c r="T296" s="493"/>
      <c r="U296" s="493"/>
      <c r="V296" s="298"/>
      <c r="W296" s="298"/>
      <c r="X296" s="298"/>
      <c r="Y296" s="298"/>
      <c r="Z296" s="298"/>
      <c r="AA296" s="298"/>
      <c r="AB296" s="298"/>
      <c r="AC296" s="298"/>
      <c r="AD296" s="298"/>
      <c r="AE296" s="298"/>
      <c r="AF296" s="298"/>
      <c r="AG296" s="298"/>
      <c r="AH296" s="298"/>
      <c r="AI296" s="298"/>
      <c r="AJ296" s="298"/>
      <c r="AK296" s="298"/>
      <c r="AL296" s="298"/>
      <c r="AM296" s="298"/>
    </row>
    <row r="297" spans="1:39" ht="15.75" customHeight="1">
      <c r="A297" s="298"/>
      <c r="B297" s="298"/>
      <c r="C297" s="1901"/>
      <c r="D297" s="1947"/>
      <c r="E297" s="1901"/>
      <c r="F297" s="943"/>
      <c r="G297" s="1901"/>
      <c r="H297" s="1901"/>
      <c r="I297" s="1901"/>
      <c r="J297" s="1647"/>
      <c r="K297" s="1901"/>
      <c r="L297" s="1901"/>
      <c r="M297" s="836"/>
      <c r="N297" s="836"/>
      <c r="O297" s="836"/>
      <c r="P297" s="836"/>
      <c r="Q297" s="836"/>
      <c r="R297" s="492"/>
      <c r="S297" s="493"/>
      <c r="T297" s="493"/>
      <c r="U297" s="493"/>
      <c r="V297" s="298"/>
      <c r="W297" s="298"/>
      <c r="X297" s="298"/>
      <c r="Y297" s="298"/>
      <c r="Z297" s="298"/>
      <c r="AA297" s="298"/>
      <c r="AB297" s="298"/>
      <c r="AC297" s="298"/>
      <c r="AD297" s="298"/>
      <c r="AE297" s="298"/>
      <c r="AF297" s="298"/>
      <c r="AG297" s="298"/>
      <c r="AH297" s="298"/>
      <c r="AI297" s="298"/>
      <c r="AJ297" s="298"/>
      <c r="AK297" s="298"/>
      <c r="AL297" s="298"/>
      <c r="AM297" s="298"/>
    </row>
    <row r="298" spans="1:39" ht="15.75" customHeight="1">
      <c r="A298" s="298"/>
      <c r="B298" s="298"/>
      <c r="C298" s="1901"/>
      <c r="D298" s="1947"/>
      <c r="E298" s="1901"/>
      <c r="F298" s="1953"/>
      <c r="G298" s="1901"/>
      <c r="H298" s="1901"/>
      <c r="I298" s="1901"/>
      <c r="J298" s="1647"/>
      <c r="K298" s="1901"/>
      <c r="L298" s="1901"/>
      <c r="M298" s="836"/>
      <c r="N298" s="836"/>
      <c r="O298" s="836"/>
      <c r="P298" s="836"/>
      <c r="Q298" s="836"/>
      <c r="R298" s="492"/>
      <c r="S298" s="493"/>
      <c r="T298" s="493"/>
      <c r="U298" s="493"/>
      <c r="V298" s="298"/>
      <c r="W298" s="298"/>
      <c r="X298" s="298"/>
      <c r="Y298" s="298"/>
      <c r="Z298" s="298"/>
      <c r="AA298" s="298"/>
      <c r="AB298" s="298"/>
      <c r="AC298" s="298"/>
      <c r="AD298" s="298"/>
      <c r="AE298" s="298"/>
      <c r="AF298" s="298"/>
      <c r="AG298" s="298"/>
      <c r="AH298" s="298"/>
      <c r="AI298" s="298"/>
      <c r="AJ298" s="298"/>
      <c r="AK298" s="298"/>
      <c r="AL298" s="298"/>
      <c r="AM298" s="298"/>
    </row>
    <row r="299" spans="1:39" ht="15.75" customHeight="1">
      <c r="A299" s="298"/>
      <c r="B299" s="298"/>
      <c r="C299" s="1901"/>
      <c r="D299" s="1947"/>
      <c r="E299" s="1901"/>
      <c r="F299" s="1954"/>
      <c r="G299" s="1901"/>
      <c r="H299" s="1901"/>
      <c r="I299" s="1901"/>
      <c r="J299" s="1647"/>
      <c r="K299" s="1901"/>
      <c r="L299" s="1901"/>
      <c r="M299" s="836"/>
      <c r="N299" s="836"/>
      <c r="O299" s="836"/>
      <c r="P299" s="836"/>
      <c r="Q299" s="836"/>
      <c r="R299" s="492"/>
      <c r="S299" s="493"/>
      <c r="T299" s="493"/>
      <c r="U299" s="493"/>
      <c r="V299" s="298"/>
      <c r="W299" s="298"/>
      <c r="X299" s="298"/>
      <c r="Y299" s="298"/>
      <c r="Z299" s="298"/>
      <c r="AA299" s="298"/>
      <c r="AB299" s="298"/>
      <c r="AC299" s="298"/>
      <c r="AD299" s="298"/>
      <c r="AE299" s="298"/>
      <c r="AF299" s="298"/>
      <c r="AG299" s="298"/>
      <c r="AH299" s="298"/>
      <c r="AI299" s="298"/>
      <c r="AJ299" s="298"/>
      <c r="AK299" s="298"/>
      <c r="AL299" s="298"/>
      <c r="AM299" s="298"/>
    </row>
    <row r="300" spans="1:39" ht="15.75" customHeight="1">
      <c r="A300" s="298"/>
      <c r="B300" s="298"/>
      <c r="C300" s="1901"/>
      <c r="D300" s="1947"/>
      <c r="E300" s="1901"/>
      <c r="F300" s="1954"/>
      <c r="G300" s="1901"/>
      <c r="H300" s="1901"/>
      <c r="I300" s="1901"/>
      <c r="J300" s="1647"/>
      <c r="K300" s="1901"/>
      <c r="L300" s="1901"/>
      <c r="M300" s="836"/>
      <c r="N300" s="836"/>
      <c r="O300" s="836"/>
      <c r="P300" s="836"/>
      <c r="Q300" s="836"/>
      <c r="R300" s="492"/>
      <c r="S300" s="493"/>
      <c r="T300" s="493"/>
      <c r="U300" s="493"/>
      <c r="V300" s="298"/>
      <c r="W300" s="298"/>
      <c r="X300" s="298"/>
      <c r="Y300" s="298"/>
      <c r="Z300" s="298"/>
      <c r="AA300" s="298"/>
      <c r="AB300" s="298"/>
      <c r="AC300" s="298"/>
      <c r="AD300" s="298"/>
      <c r="AE300" s="298"/>
      <c r="AF300" s="298"/>
      <c r="AG300" s="298"/>
      <c r="AH300" s="298"/>
      <c r="AI300" s="298"/>
      <c r="AJ300" s="298"/>
      <c r="AK300" s="298"/>
      <c r="AL300" s="298"/>
      <c r="AM300" s="298"/>
    </row>
    <row r="301" spans="1:39" ht="15.75" customHeight="1">
      <c r="A301" s="298"/>
      <c r="B301" s="298"/>
      <c r="C301" s="1901"/>
      <c r="D301" s="1947"/>
      <c r="E301" s="1901"/>
      <c r="F301" s="1954"/>
      <c r="G301" s="1901"/>
      <c r="H301" s="1901"/>
      <c r="I301" s="1901"/>
      <c r="J301" s="1647"/>
      <c r="K301" s="1901"/>
      <c r="L301" s="1901"/>
      <c r="M301" s="836"/>
      <c r="N301" s="836"/>
      <c r="O301" s="836"/>
      <c r="P301" s="836"/>
      <c r="Q301" s="836"/>
      <c r="R301" s="492"/>
      <c r="S301" s="493"/>
      <c r="T301" s="493"/>
      <c r="U301" s="493"/>
      <c r="V301" s="298"/>
      <c r="W301" s="298"/>
      <c r="X301" s="298"/>
      <c r="Y301" s="298"/>
      <c r="Z301" s="298"/>
      <c r="AA301" s="298"/>
      <c r="AB301" s="298"/>
      <c r="AC301" s="298"/>
      <c r="AD301" s="298"/>
      <c r="AE301" s="298"/>
      <c r="AF301" s="298"/>
      <c r="AG301" s="298"/>
      <c r="AH301" s="298"/>
      <c r="AI301" s="298"/>
      <c r="AJ301" s="298"/>
      <c r="AK301" s="298"/>
      <c r="AL301" s="298"/>
      <c r="AM301" s="298"/>
    </row>
    <row r="302" spans="1:39" ht="15.75" customHeight="1">
      <c r="A302" s="298"/>
      <c r="B302" s="298"/>
      <c r="C302" s="1901"/>
      <c r="D302" s="1947"/>
      <c r="E302" s="1901"/>
      <c r="F302" s="1954"/>
      <c r="G302" s="1901"/>
      <c r="H302" s="1901"/>
      <c r="I302" s="1901"/>
      <c r="J302" s="1647"/>
      <c r="K302" s="1901"/>
      <c r="L302" s="1901"/>
      <c r="M302" s="836"/>
      <c r="N302" s="836"/>
      <c r="O302" s="836"/>
      <c r="P302" s="836"/>
      <c r="Q302" s="836"/>
      <c r="R302" s="492"/>
      <c r="S302" s="493"/>
      <c r="T302" s="493"/>
      <c r="U302" s="493"/>
      <c r="V302" s="298"/>
      <c r="W302" s="298"/>
      <c r="X302" s="298"/>
      <c r="Y302" s="298"/>
      <c r="Z302" s="298"/>
      <c r="AA302" s="298"/>
      <c r="AB302" s="298"/>
      <c r="AC302" s="298"/>
      <c r="AD302" s="298"/>
      <c r="AE302" s="298"/>
      <c r="AF302" s="298"/>
      <c r="AG302" s="298"/>
      <c r="AH302" s="298"/>
      <c r="AI302" s="298"/>
      <c r="AJ302" s="298"/>
      <c r="AK302" s="298"/>
      <c r="AL302" s="298"/>
      <c r="AM302" s="298"/>
    </row>
    <row r="303" spans="1:39" ht="15.75" customHeight="1">
      <c r="A303" s="298"/>
      <c r="B303" s="298"/>
      <c r="C303" s="1901"/>
      <c r="D303" s="1947"/>
      <c r="E303" s="1901"/>
      <c r="F303" s="1954"/>
      <c r="G303" s="1901"/>
      <c r="H303" s="1901"/>
      <c r="I303" s="1901"/>
      <c r="J303" s="1647"/>
      <c r="K303" s="1901"/>
      <c r="L303" s="1901"/>
      <c r="M303" s="836"/>
      <c r="N303" s="836"/>
      <c r="O303" s="836"/>
      <c r="P303" s="836"/>
      <c r="Q303" s="836"/>
      <c r="R303" s="492"/>
      <c r="S303" s="493"/>
      <c r="T303" s="493"/>
      <c r="U303" s="493"/>
      <c r="V303" s="298"/>
      <c r="W303" s="298"/>
      <c r="X303" s="298"/>
      <c r="Y303" s="298"/>
      <c r="Z303" s="298"/>
      <c r="AA303" s="298"/>
      <c r="AB303" s="298"/>
      <c r="AC303" s="298"/>
      <c r="AD303" s="298"/>
      <c r="AE303" s="298"/>
      <c r="AF303" s="298"/>
      <c r="AG303" s="298"/>
      <c r="AH303" s="298"/>
      <c r="AI303" s="298"/>
      <c r="AJ303" s="298"/>
      <c r="AK303" s="298"/>
      <c r="AL303" s="298"/>
      <c r="AM303" s="298"/>
    </row>
    <row r="304" spans="1:39" ht="15.75" customHeight="1">
      <c r="A304" s="298"/>
      <c r="B304" s="298"/>
      <c r="C304" s="1901"/>
      <c r="D304" s="1947"/>
      <c r="E304" s="1901"/>
      <c r="F304" s="1954"/>
      <c r="G304" s="1901"/>
      <c r="H304" s="1901"/>
      <c r="I304" s="1901"/>
      <c r="J304" s="1647"/>
      <c r="K304" s="1901"/>
      <c r="L304" s="1901"/>
      <c r="M304" s="836"/>
      <c r="N304" s="836"/>
      <c r="O304" s="836"/>
      <c r="P304" s="836"/>
      <c r="Q304" s="836"/>
      <c r="R304" s="492"/>
      <c r="S304" s="493"/>
      <c r="T304" s="493"/>
      <c r="U304" s="493"/>
      <c r="V304" s="298"/>
      <c r="W304" s="298"/>
      <c r="X304" s="298"/>
      <c r="Y304" s="298"/>
      <c r="Z304" s="298"/>
      <c r="AA304" s="298"/>
      <c r="AB304" s="298"/>
      <c r="AC304" s="298"/>
      <c r="AD304" s="298"/>
      <c r="AE304" s="298"/>
      <c r="AF304" s="298"/>
      <c r="AG304" s="298"/>
      <c r="AH304" s="298"/>
      <c r="AI304" s="298"/>
      <c r="AJ304" s="298"/>
      <c r="AK304" s="298"/>
      <c r="AL304" s="298"/>
      <c r="AM304" s="298"/>
    </row>
    <row r="305" spans="1:39" ht="15.75" customHeight="1">
      <c r="A305" s="298"/>
      <c r="B305" s="298"/>
      <c r="C305" s="1901"/>
      <c r="D305" s="1947"/>
      <c r="E305" s="1901"/>
      <c r="F305" s="1954"/>
      <c r="G305" s="1901"/>
      <c r="H305" s="1901"/>
      <c r="I305" s="1901"/>
      <c r="J305" s="1647"/>
      <c r="K305" s="1901"/>
      <c r="L305" s="1901"/>
      <c r="M305" s="836"/>
      <c r="N305" s="836"/>
      <c r="O305" s="836"/>
      <c r="P305" s="836"/>
      <c r="Q305" s="836"/>
      <c r="R305" s="492"/>
      <c r="S305" s="493"/>
      <c r="T305" s="493"/>
      <c r="U305" s="493"/>
      <c r="V305" s="298"/>
      <c r="W305" s="298"/>
      <c r="X305" s="298"/>
      <c r="Y305" s="298"/>
      <c r="Z305" s="298"/>
      <c r="AA305" s="298"/>
      <c r="AB305" s="298"/>
      <c r="AC305" s="298"/>
      <c r="AD305" s="298"/>
      <c r="AE305" s="298"/>
      <c r="AF305" s="298"/>
      <c r="AG305" s="298"/>
      <c r="AH305" s="298"/>
      <c r="AI305" s="298"/>
      <c r="AJ305" s="298"/>
      <c r="AK305" s="298"/>
      <c r="AL305" s="298"/>
      <c r="AM305" s="298"/>
    </row>
    <row r="306" spans="1:39" ht="15.75" customHeight="1">
      <c r="A306" s="298"/>
      <c r="B306" s="298"/>
      <c r="C306" s="1901"/>
      <c r="D306" s="1947"/>
      <c r="E306" s="1901"/>
      <c r="F306" s="1954"/>
      <c r="G306" s="1901"/>
      <c r="H306" s="1901"/>
      <c r="I306" s="1901"/>
      <c r="J306" s="1647"/>
      <c r="K306" s="1901"/>
      <c r="L306" s="1901"/>
      <c r="M306" s="836"/>
      <c r="N306" s="836"/>
      <c r="O306" s="836"/>
      <c r="P306" s="836"/>
      <c r="Q306" s="836"/>
      <c r="R306" s="492"/>
      <c r="S306" s="493"/>
      <c r="T306" s="493"/>
      <c r="U306" s="493"/>
      <c r="V306" s="298"/>
      <c r="W306" s="298"/>
      <c r="X306" s="298"/>
      <c r="Y306" s="298"/>
      <c r="Z306" s="298"/>
      <c r="AA306" s="298"/>
      <c r="AB306" s="298"/>
      <c r="AC306" s="298"/>
      <c r="AD306" s="298"/>
      <c r="AE306" s="298"/>
      <c r="AF306" s="298"/>
      <c r="AG306" s="298"/>
      <c r="AH306" s="298"/>
      <c r="AI306" s="298"/>
      <c r="AJ306" s="298"/>
      <c r="AK306" s="298"/>
      <c r="AL306" s="298"/>
      <c r="AM306" s="298"/>
    </row>
    <row r="307" spans="1:39" ht="15.75" customHeight="1">
      <c r="A307" s="298"/>
      <c r="B307" s="298"/>
      <c r="C307" s="1901"/>
      <c r="D307" s="1947"/>
      <c r="E307" s="1901"/>
      <c r="F307" s="1954"/>
      <c r="G307" s="1901"/>
      <c r="H307" s="1901"/>
      <c r="I307" s="1901"/>
      <c r="J307" s="1647"/>
      <c r="K307" s="1901"/>
      <c r="L307" s="1901"/>
      <c r="M307" s="836"/>
      <c r="N307" s="836"/>
      <c r="O307" s="836"/>
      <c r="P307" s="836"/>
      <c r="Q307" s="836"/>
      <c r="R307" s="492"/>
      <c r="S307" s="493"/>
      <c r="T307" s="493"/>
      <c r="U307" s="493"/>
      <c r="V307" s="298"/>
      <c r="W307" s="298"/>
      <c r="X307" s="298"/>
      <c r="Y307" s="298"/>
      <c r="Z307" s="298"/>
      <c r="AA307" s="298"/>
      <c r="AB307" s="298"/>
      <c r="AC307" s="298"/>
      <c r="AD307" s="298"/>
      <c r="AE307" s="298"/>
      <c r="AF307" s="298"/>
      <c r="AG307" s="298"/>
      <c r="AH307" s="298"/>
      <c r="AI307" s="298"/>
      <c r="AJ307" s="298"/>
      <c r="AK307" s="298"/>
      <c r="AL307" s="298"/>
      <c r="AM307" s="298"/>
    </row>
    <row r="308" spans="1:39" ht="15.75" customHeight="1">
      <c r="A308" s="298"/>
      <c r="B308" s="298"/>
      <c r="C308" s="1901"/>
      <c r="D308" s="1947"/>
      <c r="E308" s="1901"/>
      <c r="F308" s="1954"/>
      <c r="G308" s="1901"/>
      <c r="H308" s="1901"/>
      <c r="I308" s="1901"/>
      <c r="J308" s="1647"/>
      <c r="K308" s="1901"/>
      <c r="L308" s="1901"/>
      <c r="M308" s="836"/>
      <c r="N308" s="836"/>
      <c r="O308" s="836"/>
      <c r="P308" s="836"/>
      <c r="Q308" s="836"/>
      <c r="R308" s="492"/>
      <c r="S308" s="493"/>
      <c r="T308" s="493"/>
      <c r="U308" s="493"/>
      <c r="V308" s="298"/>
      <c r="W308" s="298"/>
      <c r="X308" s="298"/>
      <c r="Y308" s="298"/>
      <c r="Z308" s="298"/>
      <c r="AA308" s="298"/>
      <c r="AB308" s="298"/>
      <c r="AC308" s="298"/>
      <c r="AD308" s="298"/>
      <c r="AE308" s="298"/>
      <c r="AF308" s="298"/>
      <c r="AG308" s="298"/>
      <c r="AH308" s="298"/>
      <c r="AI308" s="298"/>
      <c r="AJ308" s="298"/>
      <c r="AK308" s="298"/>
      <c r="AL308" s="298"/>
      <c r="AM308" s="298"/>
    </row>
    <row r="309" spans="1:39" ht="15.75" customHeight="1">
      <c r="A309" s="298"/>
      <c r="B309" s="298"/>
      <c r="C309" s="1901"/>
      <c r="D309" s="1947"/>
      <c r="E309" s="1901"/>
      <c r="F309" s="1954"/>
      <c r="G309" s="1901"/>
      <c r="H309" s="1901"/>
      <c r="I309" s="1901"/>
      <c r="J309" s="1647"/>
      <c r="K309" s="1901"/>
      <c r="L309" s="1901"/>
      <c r="M309" s="836"/>
      <c r="N309" s="836"/>
      <c r="O309" s="836"/>
      <c r="P309" s="836"/>
      <c r="Q309" s="836"/>
      <c r="R309" s="492"/>
      <c r="S309" s="493"/>
      <c r="T309" s="493"/>
      <c r="U309" s="493"/>
      <c r="V309" s="298"/>
      <c r="W309" s="298"/>
      <c r="X309" s="298"/>
      <c r="Y309" s="298"/>
      <c r="Z309" s="298"/>
      <c r="AA309" s="298"/>
      <c r="AB309" s="298"/>
      <c r="AC309" s="298"/>
      <c r="AD309" s="298"/>
      <c r="AE309" s="298"/>
      <c r="AF309" s="298"/>
      <c r="AG309" s="298"/>
      <c r="AH309" s="298"/>
      <c r="AI309" s="298"/>
      <c r="AJ309" s="298"/>
      <c r="AK309" s="298"/>
      <c r="AL309" s="298"/>
      <c r="AM309" s="298"/>
    </row>
    <row r="310" spans="1:39" ht="15.75" customHeight="1">
      <c r="A310" s="298"/>
      <c r="B310" s="298"/>
      <c r="C310" s="1901"/>
      <c r="D310" s="1947"/>
      <c r="E310" s="1901"/>
      <c r="F310" s="1954"/>
      <c r="G310" s="1901"/>
      <c r="H310" s="1901"/>
      <c r="I310" s="1901"/>
      <c r="J310" s="1647"/>
      <c r="K310" s="1901"/>
      <c r="L310" s="1901"/>
      <c r="M310" s="836"/>
      <c r="N310" s="836"/>
      <c r="O310" s="836"/>
      <c r="P310" s="836"/>
      <c r="Q310" s="836"/>
      <c r="R310" s="492"/>
      <c r="S310" s="493"/>
      <c r="T310" s="493"/>
      <c r="U310" s="493"/>
      <c r="V310" s="298"/>
      <c r="W310" s="298"/>
      <c r="X310" s="298"/>
      <c r="Y310" s="298"/>
      <c r="Z310" s="298"/>
      <c r="AA310" s="298"/>
      <c r="AB310" s="298"/>
      <c r="AC310" s="298"/>
      <c r="AD310" s="298"/>
      <c r="AE310" s="298"/>
      <c r="AF310" s="298"/>
      <c r="AG310" s="298"/>
      <c r="AH310" s="298"/>
      <c r="AI310" s="298"/>
      <c r="AJ310" s="298"/>
      <c r="AK310" s="298"/>
      <c r="AL310" s="298"/>
      <c r="AM310" s="298"/>
    </row>
    <row r="311" spans="1:39" ht="15.75" customHeight="1">
      <c r="A311" s="298"/>
      <c r="B311" s="298"/>
      <c r="C311" s="1901"/>
      <c r="D311" s="1947"/>
      <c r="E311" s="1901"/>
      <c r="F311" s="1954"/>
      <c r="G311" s="1901"/>
      <c r="H311" s="1901"/>
      <c r="I311" s="1901"/>
      <c r="J311" s="1647"/>
      <c r="K311" s="1901"/>
      <c r="L311" s="1901"/>
      <c r="M311" s="836"/>
      <c r="N311" s="836"/>
      <c r="O311" s="836"/>
      <c r="P311" s="836"/>
      <c r="Q311" s="836"/>
      <c r="R311" s="492"/>
      <c r="S311" s="493"/>
      <c r="T311" s="493"/>
      <c r="U311" s="493"/>
      <c r="V311" s="298"/>
      <c r="W311" s="298"/>
      <c r="X311" s="298"/>
      <c r="Y311" s="298"/>
      <c r="Z311" s="298"/>
      <c r="AA311" s="298"/>
      <c r="AB311" s="298"/>
      <c r="AC311" s="298"/>
      <c r="AD311" s="298"/>
      <c r="AE311" s="298"/>
      <c r="AF311" s="298"/>
      <c r="AG311" s="298"/>
      <c r="AH311" s="298"/>
      <c r="AI311" s="298"/>
      <c r="AJ311" s="298"/>
      <c r="AK311" s="298"/>
      <c r="AL311" s="298"/>
      <c r="AM311" s="298"/>
    </row>
    <row r="312" spans="1:39" ht="15.75" customHeight="1">
      <c r="A312" s="298"/>
      <c r="B312" s="298"/>
      <c r="C312" s="1901"/>
      <c r="D312" s="1947"/>
      <c r="E312" s="1901"/>
      <c r="F312" s="1954"/>
      <c r="G312" s="1901"/>
      <c r="H312" s="1901"/>
      <c r="I312" s="1901"/>
      <c r="J312" s="1647"/>
      <c r="K312" s="1901"/>
      <c r="L312" s="1901"/>
      <c r="M312" s="836"/>
      <c r="N312" s="836"/>
      <c r="O312" s="836"/>
      <c r="P312" s="836"/>
      <c r="Q312" s="836"/>
      <c r="R312" s="492"/>
      <c r="S312" s="493"/>
      <c r="T312" s="493"/>
      <c r="U312" s="493"/>
      <c r="V312" s="298"/>
      <c r="W312" s="298"/>
      <c r="X312" s="298"/>
      <c r="Y312" s="298"/>
      <c r="Z312" s="298"/>
      <c r="AA312" s="298"/>
      <c r="AB312" s="298"/>
      <c r="AC312" s="298"/>
      <c r="AD312" s="298"/>
      <c r="AE312" s="298"/>
      <c r="AF312" s="298"/>
      <c r="AG312" s="298"/>
      <c r="AH312" s="298"/>
      <c r="AI312" s="298"/>
      <c r="AJ312" s="298"/>
      <c r="AK312" s="298"/>
      <c r="AL312" s="298"/>
      <c r="AM312" s="298"/>
    </row>
    <row r="313" spans="1:39" ht="15.75" customHeight="1">
      <c r="A313" s="298"/>
      <c r="B313" s="298"/>
      <c r="C313" s="1901"/>
      <c r="D313" s="1947"/>
      <c r="E313" s="1901"/>
      <c r="F313" s="1954"/>
      <c r="G313" s="1901"/>
      <c r="H313" s="1901"/>
      <c r="I313" s="1901"/>
      <c r="J313" s="1647"/>
      <c r="K313" s="1901"/>
      <c r="L313" s="1901"/>
      <c r="M313" s="836"/>
      <c r="N313" s="836"/>
      <c r="O313" s="836"/>
      <c r="P313" s="836"/>
      <c r="Q313" s="836"/>
      <c r="R313" s="492"/>
      <c r="S313" s="493"/>
      <c r="T313" s="493"/>
      <c r="U313" s="493"/>
      <c r="V313" s="298"/>
      <c r="W313" s="298"/>
      <c r="X313" s="298"/>
      <c r="Y313" s="298"/>
      <c r="Z313" s="298"/>
      <c r="AA313" s="298"/>
      <c r="AB313" s="298"/>
      <c r="AC313" s="298"/>
      <c r="AD313" s="298"/>
      <c r="AE313" s="298"/>
      <c r="AF313" s="298"/>
      <c r="AG313" s="298"/>
      <c r="AH313" s="298"/>
      <c r="AI313" s="298"/>
      <c r="AJ313" s="298"/>
      <c r="AK313" s="298"/>
      <c r="AL313" s="298"/>
      <c r="AM313" s="298"/>
    </row>
    <row r="314" spans="1:39" ht="15.75" customHeight="1">
      <c r="A314" s="298"/>
      <c r="B314" s="298"/>
      <c r="C314" s="1901"/>
      <c r="D314" s="1947"/>
      <c r="E314" s="1901"/>
      <c r="F314" s="1954"/>
      <c r="G314" s="1901"/>
      <c r="H314" s="1901"/>
      <c r="I314" s="1901"/>
      <c r="J314" s="1647"/>
      <c r="K314" s="1901"/>
      <c r="L314" s="1901"/>
      <c r="M314" s="836"/>
      <c r="N314" s="836"/>
      <c r="O314" s="836"/>
      <c r="P314" s="836"/>
      <c r="Q314" s="836"/>
      <c r="R314" s="492"/>
      <c r="S314" s="493"/>
      <c r="T314" s="493"/>
      <c r="U314" s="493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298"/>
      <c r="AG314" s="298"/>
      <c r="AH314" s="298"/>
      <c r="AI314" s="298"/>
      <c r="AJ314" s="298"/>
      <c r="AK314" s="298"/>
      <c r="AL314" s="298"/>
      <c r="AM314" s="298"/>
    </row>
    <row r="315" spans="1:39" ht="15.75" customHeight="1">
      <c r="A315" s="298"/>
      <c r="B315" s="298"/>
      <c r="C315" s="1901"/>
      <c r="D315" s="1947"/>
      <c r="E315" s="1901"/>
      <c r="F315" s="1954"/>
      <c r="G315" s="1901"/>
      <c r="H315" s="1901"/>
      <c r="I315" s="1901"/>
      <c r="J315" s="1647"/>
      <c r="K315" s="1901"/>
      <c r="L315" s="1901"/>
      <c r="M315" s="836"/>
      <c r="N315" s="836"/>
      <c r="O315" s="836"/>
      <c r="P315" s="836"/>
      <c r="Q315" s="836"/>
      <c r="R315" s="492"/>
      <c r="S315" s="493"/>
      <c r="T315" s="493"/>
      <c r="U315" s="493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298"/>
      <c r="AG315" s="298"/>
      <c r="AH315" s="298"/>
      <c r="AI315" s="298"/>
      <c r="AJ315" s="298"/>
      <c r="AK315" s="298"/>
      <c r="AL315" s="298"/>
      <c r="AM315" s="298"/>
    </row>
    <row r="316" spans="1:39" ht="15.75" customHeight="1">
      <c r="A316" s="298"/>
      <c r="B316" s="298"/>
      <c r="C316" s="1901"/>
      <c r="D316" s="1947"/>
      <c r="E316" s="1901"/>
      <c r="F316" s="1954"/>
      <c r="G316" s="1901"/>
      <c r="H316" s="1901"/>
      <c r="I316" s="1901"/>
      <c r="J316" s="1647"/>
      <c r="K316" s="1901"/>
      <c r="L316" s="1901"/>
      <c r="M316" s="836"/>
      <c r="N316" s="836"/>
      <c r="O316" s="836"/>
      <c r="P316" s="836"/>
      <c r="Q316" s="836"/>
      <c r="R316" s="492"/>
      <c r="S316" s="493"/>
      <c r="T316" s="493"/>
      <c r="U316" s="493"/>
      <c r="V316" s="298"/>
      <c r="W316" s="298"/>
      <c r="X316" s="298"/>
      <c r="Y316" s="298"/>
      <c r="Z316" s="298"/>
      <c r="AA316" s="298"/>
      <c r="AB316" s="298"/>
      <c r="AC316" s="298"/>
      <c r="AD316" s="298"/>
      <c r="AE316" s="298"/>
      <c r="AF316" s="298"/>
      <c r="AG316" s="298"/>
      <c r="AH316" s="298"/>
      <c r="AI316" s="298"/>
      <c r="AJ316" s="298"/>
      <c r="AK316" s="298"/>
      <c r="AL316" s="298"/>
      <c r="AM316" s="298"/>
    </row>
    <row r="317" spans="1:39" ht="15.75" customHeight="1">
      <c r="A317" s="298"/>
      <c r="B317" s="298"/>
      <c r="C317" s="1901"/>
      <c r="D317" s="1947"/>
      <c r="E317" s="1901"/>
      <c r="F317" s="1954"/>
      <c r="G317" s="1901"/>
      <c r="H317" s="1901"/>
      <c r="I317" s="1901"/>
      <c r="J317" s="1647"/>
      <c r="K317" s="1901"/>
      <c r="L317" s="1901"/>
      <c r="M317" s="836"/>
      <c r="N317" s="836"/>
      <c r="O317" s="836"/>
      <c r="P317" s="836"/>
      <c r="Q317" s="836"/>
      <c r="R317" s="492"/>
      <c r="S317" s="493"/>
      <c r="T317" s="493"/>
      <c r="U317" s="493"/>
      <c r="V317" s="298"/>
      <c r="W317" s="298"/>
      <c r="X317" s="298"/>
      <c r="Y317" s="298"/>
      <c r="Z317" s="298"/>
      <c r="AA317" s="298"/>
      <c r="AB317" s="298"/>
      <c r="AC317" s="298"/>
      <c r="AD317" s="298"/>
      <c r="AE317" s="298"/>
      <c r="AF317" s="298"/>
      <c r="AG317" s="298"/>
      <c r="AH317" s="298"/>
      <c r="AI317" s="298"/>
      <c r="AJ317" s="298"/>
      <c r="AK317" s="298"/>
      <c r="AL317" s="298"/>
      <c r="AM317" s="298"/>
    </row>
    <row r="318" spans="1:39" ht="15.75" customHeight="1">
      <c r="A318" s="298"/>
      <c r="B318" s="298"/>
      <c r="C318" s="1901"/>
      <c r="D318" s="1947"/>
      <c r="E318" s="1901"/>
      <c r="F318" s="1954"/>
      <c r="G318" s="1901"/>
      <c r="H318" s="1901"/>
      <c r="I318" s="1901"/>
      <c r="J318" s="1647"/>
      <c r="K318" s="1901"/>
      <c r="L318" s="1901"/>
      <c r="M318" s="836"/>
      <c r="N318" s="836"/>
      <c r="O318" s="836"/>
      <c r="P318" s="836"/>
      <c r="Q318" s="836"/>
      <c r="R318" s="492"/>
      <c r="S318" s="493"/>
      <c r="T318" s="493"/>
      <c r="U318" s="493"/>
      <c r="V318" s="298"/>
      <c r="W318" s="298"/>
      <c r="X318" s="298"/>
      <c r="Y318" s="298"/>
      <c r="Z318" s="298"/>
      <c r="AA318" s="298"/>
      <c r="AB318" s="298"/>
      <c r="AC318" s="298"/>
      <c r="AD318" s="298"/>
      <c r="AE318" s="298"/>
      <c r="AF318" s="298"/>
      <c r="AG318" s="298"/>
      <c r="AH318" s="298"/>
      <c r="AI318" s="298"/>
      <c r="AJ318" s="298"/>
      <c r="AK318" s="298"/>
      <c r="AL318" s="298"/>
      <c r="AM318" s="298"/>
    </row>
    <row r="319" spans="1:39" ht="15.75" customHeight="1">
      <c r="A319" s="298"/>
      <c r="B319" s="298"/>
      <c r="C319" s="1901"/>
      <c r="D319" s="1947"/>
      <c r="E319" s="1901"/>
      <c r="F319" s="1954"/>
      <c r="G319" s="1901"/>
      <c r="H319" s="1901"/>
      <c r="I319" s="1901"/>
      <c r="J319" s="1647"/>
      <c r="K319" s="1901"/>
      <c r="L319" s="1901"/>
      <c r="M319" s="836"/>
      <c r="N319" s="836"/>
      <c r="O319" s="836"/>
      <c r="P319" s="836"/>
      <c r="Q319" s="836"/>
      <c r="R319" s="492"/>
      <c r="S319" s="493"/>
      <c r="T319" s="493"/>
      <c r="U319" s="493"/>
      <c r="V319" s="298"/>
      <c r="W319" s="298"/>
      <c r="X319" s="298"/>
      <c r="Y319" s="298"/>
      <c r="Z319" s="298"/>
      <c r="AA319" s="298"/>
      <c r="AB319" s="298"/>
      <c r="AC319" s="298"/>
      <c r="AD319" s="298"/>
      <c r="AE319" s="298"/>
      <c r="AF319" s="298"/>
      <c r="AG319" s="298"/>
      <c r="AH319" s="298"/>
      <c r="AI319" s="298"/>
      <c r="AJ319" s="298"/>
      <c r="AK319" s="298"/>
      <c r="AL319" s="298"/>
      <c r="AM319" s="298"/>
    </row>
    <row r="320" spans="1:39" ht="15.75" customHeight="1">
      <c r="A320" s="298"/>
      <c r="B320" s="298"/>
      <c r="C320" s="1901"/>
      <c r="D320" s="1947"/>
      <c r="E320" s="1901"/>
      <c r="F320" s="1954"/>
      <c r="G320" s="1901"/>
      <c r="H320" s="1901"/>
      <c r="I320" s="1901"/>
      <c r="J320" s="1647"/>
      <c r="K320" s="1901"/>
      <c r="L320" s="1901"/>
      <c r="M320" s="836"/>
      <c r="N320" s="836"/>
      <c r="O320" s="836"/>
      <c r="P320" s="836"/>
      <c r="Q320" s="836"/>
      <c r="R320" s="492"/>
      <c r="S320" s="493"/>
      <c r="T320" s="493"/>
      <c r="U320" s="493"/>
      <c r="V320" s="298"/>
      <c r="W320" s="298"/>
      <c r="X320" s="298"/>
      <c r="Y320" s="298"/>
      <c r="Z320" s="298"/>
      <c r="AA320" s="298"/>
      <c r="AB320" s="298"/>
      <c r="AC320" s="298"/>
      <c r="AD320" s="298"/>
      <c r="AE320" s="298"/>
      <c r="AF320" s="298"/>
      <c r="AG320" s="298"/>
      <c r="AH320" s="298"/>
      <c r="AI320" s="298"/>
      <c r="AJ320" s="298"/>
      <c r="AK320" s="298"/>
      <c r="AL320" s="298"/>
      <c r="AM320" s="298"/>
    </row>
    <row r="321" spans="1:39" ht="15.75" customHeight="1">
      <c r="A321" s="298"/>
      <c r="B321" s="298"/>
      <c r="C321" s="1901"/>
      <c r="D321" s="1947"/>
      <c r="E321" s="1901"/>
      <c r="F321" s="1954"/>
      <c r="G321" s="1901"/>
      <c r="H321" s="1901"/>
      <c r="I321" s="1901"/>
      <c r="J321" s="1647"/>
      <c r="K321" s="1901"/>
      <c r="L321" s="1901"/>
      <c r="M321" s="836"/>
      <c r="N321" s="836"/>
      <c r="O321" s="836"/>
      <c r="P321" s="836"/>
      <c r="Q321" s="836"/>
      <c r="R321" s="492"/>
      <c r="S321" s="493"/>
      <c r="T321" s="493"/>
      <c r="U321" s="493"/>
      <c r="V321" s="298"/>
      <c r="W321" s="298"/>
      <c r="X321" s="298"/>
      <c r="Y321" s="298"/>
      <c r="Z321" s="298"/>
      <c r="AA321" s="298"/>
      <c r="AB321" s="298"/>
      <c r="AC321" s="298"/>
      <c r="AD321" s="298"/>
      <c r="AE321" s="298"/>
      <c r="AF321" s="298"/>
      <c r="AG321" s="298"/>
      <c r="AH321" s="298"/>
      <c r="AI321" s="298"/>
      <c r="AJ321" s="298"/>
      <c r="AK321" s="298"/>
      <c r="AL321" s="298"/>
      <c r="AM321" s="298"/>
    </row>
    <row r="322" spans="1:39" ht="15.75" customHeight="1">
      <c r="A322" s="298"/>
      <c r="B322" s="298"/>
      <c r="C322" s="1901"/>
      <c r="D322" s="1947"/>
      <c r="E322" s="1901"/>
      <c r="F322" s="1954"/>
      <c r="G322" s="1901"/>
      <c r="H322" s="1901"/>
      <c r="I322" s="1901"/>
      <c r="J322" s="1647"/>
      <c r="K322" s="1901"/>
      <c r="L322" s="1901"/>
      <c r="M322" s="836"/>
      <c r="N322" s="836"/>
      <c r="O322" s="836"/>
      <c r="P322" s="836"/>
      <c r="Q322" s="836"/>
      <c r="R322" s="492"/>
      <c r="S322" s="493"/>
      <c r="T322" s="493"/>
      <c r="U322" s="493"/>
      <c r="V322" s="298"/>
      <c r="W322" s="298"/>
      <c r="X322" s="298"/>
      <c r="Y322" s="298"/>
      <c r="Z322" s="298"/>
      <c r="AA322" s="298"/>
      <c r="AB322" s="298"/>
      <c r="AC322" s="298"/>
      <c r="AD322" s="298"/>
      <c r="AE322" s="298"/>
      <c r="AF322" s="298"/>
      <c r="AG322" s="298"/>
      <c r="AH322" s="298"/>
      <c r="AI322" s="298"/>
      <c r="AJ322" s="298"/>
      <c r="AK322" s="298"/>
      <c r="AL322" s="298"/>
      <c r="AM322" s="298"/>
    </row>
    <row r="323" spans="1:39" ht="15.75" customHeight="1">
      <c r="A323" s="298"/>
      <c r="B323" s="298"/>
      <c r="C323" s="1901"/>
      <c r="D323" s="1947"/>
      <c r="E323" s="1901"/>
      <c r="F323" s="1954"/>
      <c r="G323" s="1901"/>
      <c r="H323" s="1901"/>
      <c r="I323" s="1901"/>
      <c r="J323" s="1647"/>
      <c r="K323" s="1901"/>
      <c r="L323" s="1901"/>
      <c r="M323" s="836"/>
      <c r="N323" s="836"/>
      <c r="O323" s="836"/>
      <c r="P323" s="836"/>
      <c r="Q323" s="836"/>
      <c r="R323" s="492"/>
      <c r="S323" s="493"/>
      <c r="T323" s="493"/>
      <c r="U323" s="493"/>
      <c r="V323" s="298"/>
      <c r="W323" s="298"/>
      <c r="X323" s="298"/>
      <c r="Y323" s="298"/>
      <c r="Z323" s="298"/>
      <c r="AA323" s="298"/>
      <c r="AB323" s="298"/>
      <c r="AC323" s="298"/>
      <c r="AD323" s="298"/>
      <c r="AE323" s="298"/>
      <c r="AF323" s="298"/>
      <c r="AG323" s="298"/>
      <c r="AH323" s="298"/>
      <c r="AI323" s="298"/>
      <c r="AJ323" s="298"/>
      <c r="AK323" s="298"/>
      <c r="AL323" s="298"/>
      <c r="AM323" s="298"/>
    </row>
    <row r="324" spans="1:39" ht="15.75" customHeight="1">
      <c r="A324" s="298"/>
      <c r="B324" s="298"/>
      <c r="C324" s="1901"/>
      <c r="D324" s="1947"/>
      <c r="E324" s="1901"/>
      <c r="F324" s="1954"/>
      <c r="G324" s="1901"/>
      <c r="H324" s="1901"/>
      <c r="I324" s="1901"/>
      <c r="J324" s="1647"/>
      <c r="K324" s="1901"/>
      <c r="L324" s="1901"/>
      <c r="M324" s="836"/>
      <c r="N324" s="836"/>
      <c r="O324" s="836"/>
      <c r="P324" s="836"/>
      <c r="Q324" s="836"/>
      <c r="R324" s="492"/>
      <c r="S324" s="493"/>
      <c r="T324" s="493"/>
      <c r="U324" s="493"/>
      <c r="V324" s="298"/>
      <c r="W324" s="298"/>
      <c r="X324" s="298"/>
      <c r="Y324" s="298"/>
      <c r="Z324" s="298"/>
      <c r="AA324" s="298"/>
      <c r="AB324" s="298"/>
      <c r="AC324" s="298"/>
      <c r="AD324" s="298"/>
      <c r="AE324" s="298"/>
      <c r="AF324" s="298"/>
      <c r="AG324" s="298"/>
      <c r="AH324" s="298"/>
      <c r="AI324" s="298"/>
      <c r="AJ324" s="298"/>
      <c r="AK324" s="298"/>
      <c r="AL324" s="298"/>
      <c r="AM324" s="298"/>
    </row>
    <row r="325" spans="1:39" ht="15.75" customHeight="1">
      <c r="A325" s="298"/>
      <c r="B325" s="298"/>
      <c r="C325" s="1901"/>
      <c r="D325" s="1947"/>
      <c r="E325" s="1901"/>
      <c r="F325" s="1954"/>
      <c r="G325" s="1901"/>
      <c r="H325" s="1901"/>
      <c r="I325" s="1901"/>
      <c r="J325" s="1647"/>
      <c r="K325" s="1901"/>
      <c r="L325" s="1901"/>
      <c r="M325" s="836"/>
      <c r="N325" s="836"/>
      <c r="O325" s="836"/>
      <c r="P325" s="836"/>
      <c r="Q325" s="836"/>
      <c r="R325" s="492"/>
      <c r="S325" s="493"/>
      <c r="T325" s="493"/>
      <c r="U325" s="493"/>
      <c r="V325" s="298"/>
      <c r="W325" s="298"/>
      <c r="X325" s="298"/>
      <c r="Y325" s="298"/>
      <c r="Z325" s="298"/>
      <c r="AA325" s="298"/>
      <c r="AB325" s="298"/>
      <c r="AC325" s="298"/>
      <c r="AD325" s="298"/>
      <c r="AE325" s="298"/>
      <c r="AF325" s="298"/>
      <c r="AG325" s="298"/>
      <c r="AH325" s="298"/>
      <c r="AI325" s="298"/>
      <c r="AJ325" s="298"/>
      <c r="AK325" s="298"/>
      <c r="AL325" s="298"/>
      <c r="AM325" s="298"/>
    </row>
    <row r="326" spans="1:39" ht="15.75" customHeight="1">
      <c r="A326" s="298"/>
      <c r="B326" s="298"/>
      <c r="C326" s="1901"/>
      <c r="D326" s="1947"/>
      <c r="E326" s="1901"/>
      <c r="F326" s="1954"/>
      <c r="G326" s="1901"/>
      <c r="H326" s="1901"/>
      <c r="I326" s="1901"/>
      <c r="J326" s="1647"/>
      <c r="K326" s="1901"/>
      <c r="L326" s="1901"/>
      <c r="M326" s="836"/>
      <c r="N326" s="836"/>
      <c r="O326" s="836"/>
      <c r="P326" s="836"/>
      <c r="Q326" s="836"/>
      <c r="R326" s="492"/>
      <c r="S326" s="493"/>
      <c r="T326" s="493"/>
      <c r="U326" s="493"/>
      <c r="V326" s="298"/>
      <c r="W326" s="298"/>
      <c r="X326" s="298"/>
      <c r="Y326" s="298"/>
      <c r="Z326" s="298"/>
      <c r="AA326" s="298"/>
      <c r="AB326" s="298"/>
      <c r="AC326" s="298"/>
      <c r="AD326" s="298"/>
      <c r="AE326" s="298"/>
      <c r="AF326" s="298"/>
      <c r="AG326" s="298"/>
      <c r="AH326" s="298"/>
      <c r="AI326" s="298"/>
      <c r="AJ326" s="298"/>
      <c r="AK326" s="298"/>
      <c r="AL326" s="298"/>
      <c r="AM326" s="298"/>
    </row>
    <row r="327" spans="1:39" ht="15.75" customHeight="1">
      <c r="A327" s="298"/>
      <c r="B327" s="298"/>
      <c r="C327" s="1901"/>
      <c r="D327" s="1947"/>
      <c r="E327" s="1901"/>
      <c r="F327" s="1954"/>
      <c r="G327" s="1901"/>
      <c r="H327" s="1901"/>
      <c r="I327" s="1901"/>
      <c r="J327" s="1647"/>
      <c r="K327" s="1901"/>
      <c r="L327" s="1901"/>
      <c r="M327" s="836"/>
      <c r="N327" s="836"/>
      <c r="O327" s="836"/>
      <c r="P327" s="836"/>
      <c r="Q327" s="836"/>
      <c r="R327" s="492"/>
      <c r="S327" s="493"/>
      <c r="T327" s="493"/>
      <c r="U327" s="493"/>
      <c r="V327" s="298"/>
      <c r="W327" s="298"/>
      <c r="X327" s="298"/>
      <c r="Y327" s="298"/>
      <c r="Z327" s="298"/>
      <c r="AA327" s="298"/>
      <c r="AB327" s="298"/>
      <c r="AC327" s="298"/>
      <c r="AD327" s="298"/>
      <c r="AE327" s="298"/>
      <c r="AF327" s="298"/>
      <c r="AG327" s="298"/>
      <c r="AH327" s="298"/>
      <c r="AI327" s="298"/>
      <c r="AJ327" s="298"/>
      <c r="AK327" s="298"/>
      <c r="AL327" s="298"/>
      <c r="AM327" s="298"/>
    </row>
    <row r="328" spans="1:39" ht="15.75" customHeight="1">
      <c r="A328" s="298"/>
      <c r="B328" s="298"/>
      <c r="C328" s="1901"/>
      <c r="D328" s="1947"/>
      <c r="E328" s="1901"/>
      <c r="F328" s="1954"/>
      <c r="G328" s="1901"/>
      <c r="H328" s="1901"/>
      <c r="I328" s="1901"/>
      <c r="J328" s="1647"/>
      <c r="K328" s="1901"/>
      <c r="L328" s="1901"/>
      <c r="M328" s="836"/>
      <c r="N328" s="836"/>
      <c r="O328" s="836"/>
      <c r="P328" s="836"/>
      <c r="Q328" s="836"/>
      <c r="R328" s="492"/>
      <c r="S328" s="493"/>
      <c r="T328" s="493"/>
      <c r="U328" s="493"/>
      <c r="V328" s="298"/>
      <c r="W328" s="298"/>
      <c r="X328" s="298"/>
      <c r="Y328" s="298"/>
      <c r="Z328" s="298"/>
      <c r="AA328" s="298"/>
      <c r="AB328" s="298"/>
      <c r="AC328" s="298"/>
      <c r="AD328" s="298"/>
      <c r="AE328" s="298"/>
      <c r="AF328" s="298"/>
      <c r="AG328" s="298"/>
      <c r="AH328" s="298"/>
      <c r="AI328" s="298"/>
      <c r="AJ328" s="298"/>
      <c r="AK328" s="298"/>
      <c r="AL328" s="298"/>
      <c r="AM328" s="298"/>
    </row>
    <row r="329" spans="1:39" ht="15.75" customHeight="1">
      <c r="A329" s="298"/>
      <c r="B329" s="298"/>
      <c r="C329" s="1901"/>
      <c r="D329" s="1947"/>
      <c r="E329" s="1901"/>
      <c r="F329" s="1954"/>
      <c r="G329" s="1901"/>
      <c r="H329" s="1901"/>
      <c r="I329" s="1901"/>
      <c r="J329" s="1647"/>
      <c r="K329" s="1901"/>
      <c r="L329" s="1901"/>
      <c r="M329" s="836"/>
      <c r="N329" s="836"/>
      <c r="O329" s="836"/>
      <c r="P329" s="836"/>
      <c r="Q329" s="836"/>
      <c r="R329" s="492"/>
      <c r="S329" s="493"/>
      <c r="T329" s="493"/>
      <c r="U329" s="493"/>
      <c r="V329" s="298"/>
      <c r="W329" s="298"/>
      <c r="X329" s="298"/>
      <c r="Y329" s="298"/>
      <c r="Z329" s="298"/>
      <c r="AA329" s="298"/>
      <c r="AB329" s="298"/>
      <c r="AC329" s="298"/>
      <c r="AD329" s="298"/>
      <c r="AE329" s="298"/>
      <c r="AF329" s="298"/>
      <c r="AG329" s="298"/>
      <c r="AH329" s="298"/>
      <c r="AI329" s="298"/>
      <c r="AJ329" s="298"/>
      <c r="AK329" s="298"/>
      <c r="AL329" s="298"/>
      <c r="AM329" s="298"/>
    </row>
    <row r="330" spans="1:39" ht="15.75" customHeight="1">
      <c r="A330" s="298"/>
      <c r="B330" s="298"/>
      <c r="C330" s="1901"/>
      <c r="D330" s="1947"/>
      <c r="E330" s="1901"/>
      <c r="F330" s="1954"/>
      <c r="G330" s="1901"/>
      <c r="H330" s="1901"/>
      <c r="I330" s="1901"/>
      <c r="J330" s="1647"/>
      <c r="K330" s="1901"/>
      <c r="L330" s="1901"/>
      <c r="M330" s="836"/>
      <c r="N330" s="836"/>
      <c r="O330" s="836"/>
      <c r="P330" s="836"/>
      <c r="Q330" s="836"/>
      <c r="R330" s="492"/>
      <c r="S330" s="493"/>
      <c r="T330" s="493"/>
      <c r="U330" s="493"/>
      <c r="V330" s="298"/>
      <c r="W330" s="298"/>
      <c r="X330" s="298"/>
      <c r="Y330" s="298"/>
      <c r="Z330" s="298"/>
      <c r="AA330" s="298"/>
      <c r="AB330" s="298"/>
      <c r="AC330" s="298"/>
      <c r="AD330" s="298"/>
      <c r="AE330" s="298"/>
      <c r="AF330" s="298"/>
      <c r="AG330" s="298"/>
      <c r="AH330" s="298"/>
      <c r="AI330" s="298"/>
      <c r="AJ330" s="298"/>
      <c r="AK330" s="298"/>
      <c r="AL330" s="298"/>
      <c r="AM330" s="298"/>
    </row>
    <row r="331" spans="1:39" ht="15.75" customHeight="1">
      <c r="A331" s="298"/>
      <c r="B331" s="298"/>
      <c r="C331" s="1901"/>
      <c r="D331" s="1947"/>
      <c r="E331" s="1901"/>
      <c r="F331" s="1954"/>
      <c r="G331" s="1901"/>
      <c r="H331" s="1901"/>
      <c r="I331" s="1901"/>
      <c r="J331" s="1647"/>
      <c r="K331" s="1901"/>
      <c r="L331" s="1901"/>
      <c r="M331" s="836"/>
      <c r="N331" s="836"/>
      <c r="O331" s="836"/>
      <c r="P331" s="836"/>
      <c r="Q331" s="836"/>
      <c r="R331" s="492"/>
      <c r="S331" s="493"/>
      <c r="T331" s="493"/>
      <c r="U331" s="493"/>
      <c r="V331" s="298"/>
      <c r="W331" s="298"/>
      <c r="X331" s="298"/>
      <c r="Y331" s="298"/>
      <c r="Z331" s="298"/>
      <c r="AA331" s="298"/>
      <c r="AB331" s="298"/>
      <c r="AC331" s="298"/>
      <c r="AD331" s="298"/>
      <c r="AE331" s="298"/>
      <c r="AF331" s="298"/>
      <c r="AG331" s="298"/>
      <c r="AH331" s="298"/>
      <c r="AI331" s="298"/>
      <c r="AJ331" s="298"/>
      <c r="AK331" s="298"/>
      <c r="AL331" s="298"/>
      <c r="AM331" s="298"/>
    </row>
    <row r="332" spans="1:39" ht="15.75" customHeight="1">
      <c r="A332" s="298"/>
      <c r="B332" s="298"/>
      <c r="C332" s="1901"/>
      <c r="D332" s="1947"/>
      <c r="E332" s="1901"/>
      <c r="F332" s="1954"/>
      <c r="G332" s="1901"/>
      <c r="H332" s="1901"/>
      <c r="I332" s="1901"/>
      <c r="J332" s="1647"/>
      <c r="K332" s="1901"/>
      <c r="L332" s="1901"/>
      <c r="M332" s="836"/>
      <c r="N332" s="836"/>
      <c r="O332" s="836"/>
      <c r="P332" s="836"/>
      <c r="Q332" s="836"/>
      <c r="R332" s="492"/>
      <c r="S332" s="493"/>
      <c r="T332" s="493"/>
      <c r="U332" s="493"/>
      <c r="V332" s="298"/>
      <c r="W332" s="298"/>
      <c r="X332" s="298"/>
      <c r="Y332" s="298"/>
      <c r="Z332" s="298"/>
      <c r="AA332" s="298"/>
      <c r="AB332" s="298"/>
      <c r="AC332" s="298"/>
      <c r="AD332" s="298"/>
      <c r="AE332" s="298"/>
      <c r="AF332" s="298"/>
      <c r="AG332" s="298"/>
      <c r="AH332" s="298"/>
      <c r="AI332" s="298"/>
      <c r="AJ332" s="298"/>
      <c r="AK332" s="298"/>
      <c r="AL332" s="298"/>
      <c r="AM332" s="298"/>
    </row>
    <row r="333" spans="1:39" ht="15.75" customHeight="1">
      <c r="A333" s="298"/>
      <c r="B333" s="298"/>
      <c r="C333" s="1901"/>
      <c r="D333" s="1947"/>
      <c r="E333" s="1901"/>
      <c r="F333" s="1954"/>
      <c r="G333" s="1901"/>
      <c r="H333" s="1901"/>
      <c r="I333" s="1901"/>
      <c r="J333" s="1647"/>
      <c r="K333" s="1901"/>
      <c r="L333" s="1901"/>
      <c r="M333" s="836"/>
      <c r="N333" s="836"/>
      <c r="O333" s="836"/>
      <c r="P333" s="836"/>
      <c r="Q333" s="836"/>
      <c r="R333" s="492"/>
      <c r="S333" s="493"/>
      <c r="T333" s="493"/>
      <c r="U333" s="493"/>
      <c r="V333" s="298"/>
      <c r="W333" s="298"/>
      <c r="X333" s="298"/>
      <c r="Y333" s="298"/>
      <c r="Z333" s="298"/>
      <c r="AA333" s="298"/>
      <c r="AB333" s="298"/>
      <c r="AC333" s="298"/>
      <c r="AD333" s="298"/>
      <c r="AE333" s="298"/>
      <c r="AF333" s="298"/>
      <c r="AG333" s="298"/>
      <c r="AH333" s="298"/>
      <c r="AI333" s="298"/>
      <c r="AJ333" s="298"/>
      <c r="AK333" s="298"/>
      <c r="AL333" s="298"/>
      <c r="AM333" s="298"/>
    </row>
    <row r="334" spans="1:39" ht="15.75" customHeight="1">
      <c r="A334" s="298"/>
      <c r="B334" s="298"/>
      <c r="C334" s="1901"/>
      <c r="D334" s="1947"/>
      <c r="E334" s="1901"/>
      <c r="F334" s="1954"/>
      <c r="G334" s="1901"/>
      <c r="H334" s="1901"/>
      <c r="I334" s="1901"/>
      <c r="J334" s="1647"/>
      <c r="K334" s="1901"/>
      <c r="L334" s="1901"/>
      <c r="M334" s="836"/>
      <c r="N334" s="836"/>
      <c r="O334" s="836"/>
      <c r="P334" s="836"/>
      <c r="Q334" s="836"/>
      <c r="R334" s="492"/>
      <c r="S334" s="493"/>
      <c r="T334" s="493"/>
      <c r="U334" s="493"/>
      <c r="V334" s="298"/>
      <c r="W334" s="298"/>
      <c r="X334" s="298"/>
      <c r="Y334" s="298"/>
      <c r="Z334" s="298"/>
      <c r="AA334" s="298"/>
      <c r="AB334" s="298"/>
      <c r="AC334" s="298"/>
      <c r="AD334" s="298"/>
      <c r="AE334" s="298"/>
      <c r="AF334" s="298"/>
      <c r="AG334" s="298"/>
      <c r="AH334" s="298"/>
      <c r="AI334" s="298"/>
      <c r="AJ334" s="298"/>
      <c r="AK334" s="298"/>
      <c r="AL334" s="298"/>
      <c r="AM334" s="298"/>
    </row>
    <row r="335" spans="1:39" ht="15.75" customHeight="1">
      <c r="A335" s="298"/>
      <c r="B335" s="298"/>
      <c r="C335" s="1901"/>
      <c r="D335" s="1947"/>
      <c r="E335" s="1901"/>
      <c r="F335" s="1954"/>
      <c r="G335" s="1901"/>
      <c r="H335" s="1901"/>
      <c r="I335" s="1901"/>
      <c r="J335" s="1647"/>
      <c r="K335" s="1901"/>
      <c r="L335" s="1901"/>
      <c r="M335" s="1955"/>
      <c r="N335" s="1956"/>
      <c r="O335" s="1955"/>
      <c r="P335" s="1955"/>
      <c r="Q335" s="1956"/>
      <c r="R335" s="493"/>
      <c r="S335" s="493"/>
      <c r="T335" s="493"/>
      <c r="U335" s="493"/>
      <c r="V335" s="298"/>
      <c r="W335" s="298"/>
      <c r="X335" s="298"/>
      <c r="Y335" s="298"/>
      <c r="Z335" s="298"/>
      <c r="AA335" s="298"/>
      <c r="AB335" s="298"/>
      <c r="AC335" s="298"/>
      <c r="AD335" s="298"/>
      <c r="AE335" s="298"/>
      <c r="AF335" s="298"/>
      <c r="AG335" s="298"/>
      <c r="AH335" s="298"/>
      <c r="AI335" s="298"/>
      <c r="AJ335" s="298"/>
      <c r="AK335" s="298"/>
      <c r="AL335" s="298"/>
      <c r="AM335" s="298"/>
    </row>
    <row r="336" spans="1:39" ht="15.75" customHeight="1">
      <c r="A336" s="298"/>
      <c r="B336" s="298"/>
      <c r="C336" s="1901"/>
      <c r="D336" s="1947"/>
      <c r="E336" s="1901"/>
      <c r="F336" s="1954"/>
      <c r="G336" s="1901"/>
      <c r="H336" s="1901"/>
      <c r="I336" s="1901"/>
      <c r="J336" s="1647"/>
      <c r="K336" s="1901"/>
      <c r="L336" s="1901"/>
      <c r="M336" s="1955"/>
      <c r="N336" s="1956"/>
      <c r="O336" s="1955"/>
      <c r="P336" s="1955"/>
      <c r="Q336" s="1956"/>
      <c r="R336" s="493"/>
      <c r="S336" s="493"/>
      <c r="T336" s="493"/>
      <c r="U336" s="493"/>
      <c r="V336" s="298"/>
      <c r="W336" s="298"/>
      <c r="X336" s="298"/>
      <c r="Y336" s="298"/>
      <c r="Z336" s="298"/>
      <c r="AA336" s="298"/>
      <c r="AB336" s="298"/>
      <c r="AC336" s="298"/>
      <c r="AD336" s="298"/>
      <c r="AE336" s="298"/>
      <c r="AF336" s="298"/>
      <c r="AG336" s="298"/>
      <c r="AH336" s="298"/>
      <c r="AI336" s="298"/>
      <c r="AJ336" s="298"/>
      <c r="AK336" s="298"/>
      <c r="AL336" s="298"/>
      <c r="AM336" s="298"/>
    </row>
    <row r="337" spans="1:39" ht="15.75" customHeight="1">
      <c r="A337" s="298"/>
      <c r="B337" s="298"/>
      <c r="C337" s="1901"/>
      <c r="D337" s="1947"/>
      <c r="E337" s="1901"/>
      <c r="F337" s="1954"/>
      <c r="G337" s="1901"/>
      <c r="H337" s="1901"/>
      <c r="I337" s="1901"/>
      <c r="J337" s="1647"/>
      <c r="K337" s="1901"/>
      <c r="L337" s="1901"/>
      <c r="M337" s="1955"/>
      <c r="N337" s="1956"/>
      <c r="O337" s="1955"/>
      <c r="P337" s="1955"/>
      <c r="Q337" s="1956"/>
      <c r="R337" s="493"/>
      <c r="S337" s="493"/>
      <c r="T337" s="493"/>
      <c r="U337" s="493"/>
      <c r="V337" s="298"/>
      <c r="W337" s="298"/>
      <c r="X337" s="298"/>
      <c r="Y337" s="298"/>
      <c r="Z337" s="298"/>
      <c r="AA337" s="298"/>
      <c r="AB337" s="298"/>
      <c r="AC337" s="298"/>
      <c r="AD337" s="298"/>
      <c r="AE337" s="298"/>
      <c r="AF337" s="298"/>
      <c r="AG337" s="298"/>
      <c r="AH337" s="298"/>
      <c r="AI337" s="298"/>
      <c r="AJ337" s="298"/>
      <c r="AK337" s="298"/>
      <c r="AL337" s="298"/>
      <c r="AM337" s="298"/>
    </row>
    <row r="338" spans="1:39" ht="15.75" customHeight="1">
      <c r="A338" s="298"/>
      <c r="B338" s="298"/>
      <c r="C338" s="1901"/>
      <c r="D338" s="1947"/>
      <c r="E338" s="1901"/>
      <c r="F338" s="1954"/>
      <c r="G338" s="1901"/>
      <c r="H338" s="1901"/>
      <c r="I338" s="1901"/>
      <c r="J338" s="1647"/>
      <c r="K338" s="1901"/>
      <c r="L338" s="1901"/>
      <c r="M338" s="1955"/>
      <c r="N338" s="1956"/>
      <c r="O338" s="1955"/>
      <c r="P338" s="1955"/>
      <c r="Q338" s="1956"/>
      <c r="R338" s="493"/>
      <c r="S338" s="493"/>
      <c r="T338" s="493"/>
      <c r="U338" s="493"/>
      <c r="V338" s="298"/>
      <c r="W338" s="298"/>
      <c r="X338" s="298"/>
      <c r="Y338" s="298"/>
      <c r="Z338" s="298"/>
      <c r="AA338" s="298"/>
      <c r="AB338" s="298"/>
      <c r="AC338" s="298"/>
      <c r="AD338" s="298"/>
      <c r="AE338" s="298"/>
      <c r="AF338" s="298"/>
      <c r="AG338" s="298"/>
      <c r="AH338" s="298"/>
      <c r="AI338" s="298"/>
      <c r="AJ338" s="298"/>
      <c r="AK338" s="298"/>
      <c r="AL338" s="298"/>
      <c r="AM338" s="298"/>
    </row>
    <row r="339" spans="1:39" ht="15.75" customHeight="1">
      <c r="A339" s="298"/>
      <c r="B339" s="298"/>
      <c r="C339" s="1901"/>
      <c r="D339" s="1947"/>
      <c r="E339" s="1901"/>
      <c r="F339" s="1954"/>
      <c r="G339" s="1901"/>
      <c r="H339" s="1901"/>
      <c r="I339" s="1901"/>
      <c r="J339" s="1647"/>
      <c r="K339" s="1901"/>
      <c r="L339" s="1901"/>
      <c r="M339" s="1955"/>
      <c r="N339" s="1956"/>
      <c r="O339" s="1955"/>
      <c r="P339" s="1955"/>
      <c r="Q339" s="1956"/>
      <c r="R339" s="493"/>
      <c r="S339" s="493"/>
      <c r="T339" s="493"/>
      <c r="U339" s="493"/>
      <c r="V339" s="298"/>
      <c r="W339" s="298"/>
      <c r="X339" s="298"/>
      <c r="Y339" s="298"/>
      <c r="Z339" s="298"/>
      <c r="AA339" s="298"/>
      <c r="AB339" s="298"/>
      <c r="AC339" s="298"/>
      <c r="AD339" s="298"/>
      <c r="AE339" s="298"/>
      <c r="AF339" s="298"/>
      <c r="AG339" s="298"/>
      <c r="AH339" s="298"/>
      <c r="AI339" s="298"/>
      <c r="AJ339" s="298"/>
      <c r="AK339" s="298"/>
      <c r="AL339" s="298"/>
      <c r="AM339" s="298"/>
    </row>
    <row r="340" spans="1:39" ht="15.75" customHeight="1">
      <c r="A340" s="298"/>
      <c r="B340" s="298"/>
      <c r="C340" s="1901"/>
      <c r="D340" s="1947"/>
      <c r="E340" s="1901"/>
      <c r="F340" s="1954"/>
      <c r="G340" s="1901"/>
      <c r="H340" s="1901"/>
      <c r="I340" s="1901"/>
      <c r="J340" s="1647"/>
      <c r="K340" s="1901"/>
      <c r="L340" s="1901"/>
      <c r="M340" s="1955"/>
      <c r="N340" s="1956"/>
      <c r="O340" s="1955"/>
      <c r="P340" s="1955"/>
      <c r="Q340" s="1956"/>
      <c r="R340" s="493"/>
      <c r="S340" s="493"/>
      <c r="T340" s="493"/>
      <c r="U340" s="493"/>
      <c r="V340" s="298"/>
      <c r="W340" s="298"/>
      <c r="X340" s="298"/>
      <c r="Y340" s="298"/>
      <c r="Z340" s="298"/>
      <c r="AA340" s="298"/>
      <c r="AB340" s="298"/>
      <c r="AC340" s="298"/>
      <c r="AD340" s="298"/>
      <c r="AE340" s="298"/>
      <c r="AF340" s="298"/>
      <c r="AG340" s="298"/>
      <c r="AH340" s="298"/>
      <c r="AI340" s="298"/>
      <c r="AJ340" s="298"/>
      <c r="AK340" s="298"/>
      <c r="AL340" s="298"/>
      <c r="AM340" s="298"/>
    </row>
    <row r="341" spans="1:39" ht="15.75" customHeight="1">
      <c r="A341" s="298"/>
      <c r="B341" s="298"/>
      <c r="C341" s="1901"/>
      <c r="D341" s="1947"/>
      <c r="E341" s="1901"/>
      <c r="F341" s="1954"/>
      <c r="G341" s="1901"/>
      <c r="H341" s="1901"/>
      <c r="I341" s="1901"/>
      <c r="J341" s="1647"/>
      <c r="K341" s="1901"/>
      <c r="L341" s="1901"/>
      <c r="M341" s="1955"/>
      <c r="N341" s="1956"/>
      <c r="O341" s="1955"/>
      <c r="P341" s="1955"/>
      <c r="Q341" s="1956"/>
      <c r="R341" s="493"/>
      <c r="S341" s="493"/>
      <c r="T341" s="493"/>
      <c r="U341" s="493"/>
      <c r="V341" s="298"/>
      <c r="W341" s="298"/>
      <c r="X341" s="298"/>
      <c r="Y341" s="298"/>
      <c r="Z341" s="298"/>
      <c r="AA341" s="298"/>
      <c r="AB341" s="298"/>
      <c r="AC341" s="298"/>
      <c r="AD341" s="298"/>
      <c r="AE341" s="298"/>
      <c r="AF341" s="298"/>
      <c r="AG341" s="298"/>
      <c r="AH341" s="298"/>
      <c r="AI341" s="298"/>
      <c r="AJ341" s="298"/>
      <c r="AK341" s="298"/>
      <c r="AL341" s="298"/>
      <c r="AM341" s="298"/>
    </row>
    <row r="342" spans="1:39" ht="15.75" customHeight="1">
      <c r="A342" s="298"/>
      <c r="B342" s="298"/>
      <c r="C342" s="1901"/>
      <c r="D342" s="1947"/>
      <c r="E342" s="1901"/>
      <c r="F342" s="1954"/>
      <c r="G342" s="1901"/>
      <c r="H342" s="1901"/>
      <c r="I342" s="1901"/>
      <c r="J342" s="1647"/>
      <c r="K342" s="1901"/>
      <c r="L342" s="1901"/>
      <c r="M342" s="1955"/>
      <c r="N342" s="1956"/>
      <c r="O342" s="1955"/>
      <c r="P342" s="1955"/>
      <c r="Q342" s="1956"/>
      <c r="R342" s="493"/>
      <c r="S342" s="493"/>
      <c r="T342" s="493"/>
      <c r="U342" s="493"/>
      <c r="V342" s="298"/>
      <c r="W342" s="298"/>
      <c r="X342" s="298"/>
      <c r="Y342" s="298"/>
      <c r="Z342" s="298"/>
      <c r="AA342" s="298"/>
      <c r="AB342" s="298"/>
      <c r="AC342" s="298"/>
      <c r="AD342" s="298"/>
      <c r="AE342" s="298"/>
      <c r="AF342" s="298"/>
      <c r="AG342" s="298"/>
      <c r="AH342" s="298"/>
      <c r="AI342" s="298"/>
      <c r="AJ342" s="298"/>
      <c r="AK342" s="298"/>
      <c r="AL342" s="298"/>
      <c r="AM342" s="298"/>
    </row>
    <row r="343" spans="1:39" ht="15.75" customHeight="1">
      <c r="A343" s="298"/>
      <c r="B343" s="298"/>
      <c r="C343" s="1901"/>
      <c r="D343" s="1947"/>
      <c r="E343" s="1901"/>
      <c r="F343" s="1954"/>
      <c r="G343" s="1901"/>
      <c r="H343" s="1901"/>
      <c r="I343" s="1901"/>
      <c r="J343" s="1647"/>
      <c r="K343" s="1901"/>
      <c r="L343" s="1901"/>
      <c r="M343" s="1955"/>
      <c r="N343" s="1956"/>
      <c r="O343" s="1955"/>
      <c r="P343" s="1955"/>
      <c r="Q343" s="1956"/>
      <c r="R343" s="493"/>
      <c r="S343" s="493"/>
      <c r="T343" s="493"/>
      <c r="U343" s="493"/>
      <c r="V343" s="298"/>
      <c r="W343" s="298"/>
      <c r="X343" s="298"/>
      <c r="Y343" s="298"/>
      <c r="Z343" s="298"/>
      <c r="AA343" s="298"/>
      <c r="AB343" s="298"/>
      <c r="AC343" s="298"/>
      <c r="AD343" s="298"/>
      <c r="AE343" s="298"/>
      <c r="AF343" s="298"/>
      <c r="AG343" s="298"/>
      <c r="AH343" s="298"/>
      <c r="AI343" s="298"/>
      <c r="AJ343" s="298"/>
      <c r="AK343" s="298"/>
      <c r="AL343" s="298"/>
      <c r="AM343" s="298"/>
    </row>
    <row r="344" spans="1:39" ht="15.75" customHeight="1">
      <c r="A344" s="298"/>
      <c r="B344" s="298"/>
      <c r="C344" s="1901"/>
      <c r="D344" s="1947"/>
      <c r="E344" s="1901"/>
      <c r="F344" s="1954"/>
      <c r="G344" s="1901"/>
      <c r="H344" s="1901"/>
      <c r="I344" s="1901"/>
      <c r="J344" s="1647"/>
      <c r="K344" s="1901"/>
      <c r="L344" s="1901"/>
      <c r="M344" s="1955"/>
      <c r="N344" s="1956"/>
      <c r="O344" s="1955"/>
      <c r="P344" s="1955"/>
      <c r="Q344" s="1956"/>
      <c r="R344" s="493"/>
      <c r="S344" s="493"/>
      <c r="T344" s="493"/>
      <c r="U344" s="493"/>
      <c r="V344" s="298"/>
      <c r="W344" s="298"/>
      <c r="X344" s="298"/>
      <c r="Y344" s="298"/>
      <c r="Z344" s="298"/>
      <c r="AA344" s="298"/>
      <c r="AB344" s="298"/>
      <c r="AC344" s="298"/>
      <c r="AD344" s="298"/>
      <c r="AE344" s="298"/>
      <c r="AF344" s="298"/>
      <c r="AG344" s="298"/>
      <c r="AH344" s="298"/>
      <c r="AI344" s="298"/>
      <c r="AJ344" s="298"/>
      <c r="AK344" s="298"/>
      <c r="AL344" s="298"/>
      <c r="AM344" s="298"/>
    </row>
    <row r="345" spans="1:39" ht="15.75" customHeight="1">
      <c r="A345" s="298"/>
      <c r="B345" s="298"/>
      <c r="C345" s="1901"/>
      <c r="D345" s="1947"/>
      <c r="E345" s="1901"/>
      <c r="F345" s="1954"/>
      <c r="G345" s="1901"/>
      <c r="H345" s="1901"/>
      <c r="I345" s="1901"/>
      <c r="J345" s="1647"/>
      <c r="K345" s="1901"/>
      <c r="L345" s="1901"/>
      <c r="M345" s="1955"/>
      <c r="N345" s="1956"/>
      <c r="O345" s="1955"/>
      <c r="P345" s="1955"/>
      <c r="Q345" s="1956"/>
      <c r="R345" s="493"/>
      <c r="S345" s="493"/>
      <c r="T345" s="493"/>
      <c r="U345" s="493"/>
      <c r="V345" s="298"/>
      <c r="W345" s="298"/>
      <c r="X345" s="298"/>
      <c r="Y345" s="298"/>
      <c r="Z345" s="298"/>
      <c r="AA345" s="298"/>
      <c r="AB345" s="298"/>
      <c r="AC345" s="298"/>
      <c r="AD345" s="298"/>
      <c r="AE345" s="298"/>
      <c r="AF345" s="298"/>
      <c r="AG345" s="298"/>
      <c r="AH345" s="298"/>
      <c r="AI345" s="298"/>
      <c r="AJ345" s="298"/>
      <c r="AK345" s="298"/>
      <c r="AL345" s="298"/>
      <c r="AM345" s="298"/>
    </row>
    <row r="346" spans="1:39" ht="15.75" customHeight="1">
      <c r="A346" s="298"/>
      <c r="B346" s="298"/>
      <c r="C346" s="1901"/>
      <c r="D346" s="1947"/>
      <c r="E346" s="1901"/>
      <c r="F346" s="1954"/>
      <c r="G346" s="1901"/>
      <c r="H346" s="1901"/>
      <c r="I346" s="1901"/>
      <c r="J346" s="1647"/>
      <c r="K346" s="1901"/>
      <c r="L346" s="1901"/>
      <c r="M346" s="1955"/>
      <c r="N346" s="1956"/>
      <c r="O346" s="1955"/>
      <c r="P346" s="1955"/>
      <c r="Q346" s="1956"/>
      <c r="R346" s="493"/>
      <c r="S346" s="493"/>
      <c r="T346" s="493"/>
      <c r="U346" s="493"/>
      <c r="V346" s="298"/>
      <c r="W346" s="298"/>
      <c r="X346" s="298"/>
      <c r="Y346" s="298"/>
      <c r="Z346" s="298"/>
      <c r="AA346" s="298"/>
      <c r="AB346" s="298"/>
      <c r="AC346" s="298"/>
      <c r="AD346" s="298"/>
      <c r="AE346" s="298"/>
      <c r="AF346" s="298"/>
      <c r="AG346" s="298"/>
      <c r="AH346" s="298"/>
      <c r="AI346" s="298"/>
      <c r="AJ346" s="298"/>
      <c r="AK346" s="298"/>
      <c r="AL346" s="298"/>
      <c r="AM346" s="298"/>
    </row>
    <row r="347" spans="1:39" ht="15.75" customHeight="1">
      <c r="A347" s="298"/>
      <c r="B347" s="298"/>
      <c r="C347" s="1901"/>
      <c r="D347" s="1947"/>
      <c r="E347" s="1901"/>
      <c r="F347" s="1954"/>
      <c r="G347" s="1901"/>
      <c r="H347" s="1901"/>
      <c r="I347" s="1901"/>
      <c r="J347" s="1647"/>
      <c r="K347" s="1901"/>
      <c r="L347" s="1901"/>
      <c r="M347" s="1955"/>
      <c r="N347" s="1956"/>
      <c r="O347" s="1955"/>
      <c r="P347" s="1955"/>
      <c r="Q347" s="1956"/>
      <c r="R347" s="493"/>
      <c r="S347" s="493"/>
      <c r="T347" s="493"/>
      <c r="U347" s="493"/>
      <c r="V347" s="298"/>
      <c r="W347" s="298"/>
      <c r="X347" s="298"/>
      <c r="Y347" s="298"/>
      <c r="Z347" s="298"/>
      <c r="AA347" s="298"/>
      <c r="AB347" s="298"/>
      <c r="AC347" s="298"/>
      <c r="AD347" s="298"/>
      <c r="AE347" s="298"/>
      <c r="AF347" s="298"/>
      <c r="AG347" s="298"/>
      <c r="AH347" s="298"/>
      <c r="AI347" s="298"/>
      <c r="AJ347" s="298"/>
      <c r="AK347" s="298"/>
      <c r="AL347" s="298"/>
      <c r="AM347" s="298"/>
    </row>
    <row r="348" spans="1:39" ht="15.75" customHeight="1">
      <c r="A348" s="298"/>
      <c r="B348" s="298"/>
      <c r="C348" s="1901"/>
      <c r="D348" s="1947"/>
      <c r="E348" s="1901"/>
      <c r="F348" s="1954"/>
      <c r="G348" s="1901"/>
      <c r="H348" s="1901"/>
      <c r="I348" s="1901"/>
      <c r="J348" s="1647"/>
      <c r="K348" s="1901"/>
      <c r="L348" s="1901"/>
      <c r="M348" s="1955"/>
      <c r="N348" s="1956"/>
      <c r="O348" s="1955"/>
      <c r="P348" s="1955"/>
      <c r="Q348" s="1956"/>
      <c r="R348" s="493"/>
      <c r="S348" s="493"/>
      <c r="T348" s="493"/>
      <c r="U348" s="493"/>
      <c r="V348" s="298"/>
      <c r="W348" s="298"/>
      <c r="X348" s="298"/>
      <c r="Y348" s="298"/>
      <c r="Z348" s="298"/>
      <c r="AA348" s="298"/>
      <c r="AB348" s="298"/>
      <c r="AC348" s="298"/>
      <c r="AD348" s="298"/>
      <c r="AE348" s="298"/>
      <c r="AF348" s="298"/>
      <c r="AG348" s="298"/>
      <c r="AH348" s="298"/>
      <c r="AI348" s="298"/>
      <c r="AJ348" s="298"/>
      <c r="AK348" s="298"/>
      <c r="AL348" s="298"/>
      <c r="AM348" s="298"/>
    </row>
    <row r="349" spans="1:39" ht="15.75" customHeight="1">
      <c r="A349" s="298"/>
      <c r="B349" s="298"/>
      <c r="C349" s="1901"/>
      <c r="D349" s="1947"/>
      <c r="E349" s="1901"/>
      <c r="F349" s="1954"/>
      <c r="G349" s="1901"/>
      <c r="H349" s="1901"/>
      <c r="I349" s="1901"/>
      <c r="J349" s="1647"/>
      <c r="K349" s="1901"/>
      <c r="L349" s="1901"/>
      <c r="M349" s="1955"/>
      <c r="N349" s="1956"/>
      <c r="O349" s="1955"/>
      <c r="P349" s="1955"/>
      <c r="Q349" s="1956"/>
      <c r="R349" s="493"/>
      <c r="S349" s="493"/>
      <c r="T349" s="493"/>
      <c r="U349" s="493"/>
      <c r="V349" s="298"/>
      <c r="W349" s="298"/>
      <c r="X349" s="298"/>
      <c r="Y349" s="298"/>
      <c r="Z349" s="298"/>
      <c r="AA349" s="298"/>
      <c r="AB349" s="298"/>
      <c r="AC349" s="298"/>
      <c r="AD349" s="298"/>
      <c r="AE349" s="298"/>
      <c r="AF349" s="298"/>
      <c r="AG349" s="298"/>
      <c r="AH349" s="298"/>
      <c r="AI349" s="298"/>
      <c r="AJ349" s="298"/>
      <c r="AK349" s="298"/>
      <c r="AL349" s="298"/>
      <c r="AM349" s="298"/>
    </row>
    <row r="350" spans="1:39" ht="15.75" customHeight="1">
      <c r="A350" s="298"/>
      <c r="B350" s="298"/>
      <c r="C350" s="1901"/>
      <c r="D350" s="1947"/>
      <c r="E350" s="1901"/>
      <c r="F350" s="1954"/>
      <c r="G350" s="1901"/>
      <c r="H350" s="1901"/>
      <c r="I350" s="1901"/>
      <c r="J350" s="1647"/>
      <c r="K350" s="1901"/>
      <c r="L350" s="1901"/>
      <c r="M350" s="1955"/>
      <c r="N350" s="1956"/>
      <c r="O350" s="1955"/>
      <c r="P350" s="1955"/>
      <c r="Q350" s="1956"/>
      <c r="R350" s="493"/>
      <c r="S350" s="493"/>
      <c r="T350" s="493"/>
      <c r="U350" s="493"/>
      <c r="V350" s="298"/>
      <c r="W350" s="298"/>
      <c r="X350" s="298"/>
      <c r="Y350" s="298"/>
      <c r="Z350" s="298"/>
      <c r="AA350" s="298"/>
      <c r="AB350" s="298"/>
      <c r="AC350" s="298"/>
      <c r="AD350" s="298"/>
      <c r="AE350" s="298"/>
      <c r="AF350" s="298"/>
      <c r="AG350" s="298"/>
      <c r="AH350" s="298"/>
      <c r="AI350" s="298"/>
      <c r="AJ350" s="298"/>
      <c r="AK350" s="298"/>
      <c r="AL350" s="298"/>
      <c r="AM350" s="298"/>
    </row>
    <row r="351" spans="1:39" ht="15.75" customHeight="1">
      <c r="A351" s="298"/>
      <c r="B351" s="298"/>
      <c r="C351" s="1901"/>
      <c r="D351" s="1947"/>
      <c r="E351" s="1901"/>
      <c r="F351" s="1954"/>
      <c r="G351" s="1901"/>
      <c r="H351" s="1901"/>
      <c r="I351" s="1901"/>
      <c r="J351" s="1647"/>
      <c r="K351" s="1901"/>
      <c r="L351" s="1901"/>
      <c r="M351" s="1955"/>
      <c r="N351" s="1956"/>
      <c r="O351" s="1955"/>
      <c r="P351" s="1955"/>
      <c r="Q351" s="1956"/>
      <c r="R351" s="493"/>
      <c r="S351" s="493"/>
      <c r="T351" s="493"/>
      <c r="U351" s="493"/>
      <c r="V351" s="298"/>
      <c r="W351" s="298"/>
      <c r="X351" s="298"/>
      <c r="Y351" s="298"/>
      <c r="Z351" s="298"/>
      <c r="AA351" s="298"/>
      <c r="AB351" s="298"/>
      <c r="AC351" s="298"/>
      <c r="AD351" s="298"/>
      <c r="AE351" s="298"/>
      <c r="AF351" s="298"/>
      <c r="AG351" s="298"/>
      <c r="AH351" s="298"/>
      <c r="AI351" s="298"/>
      <c r="AJ351" s="298"/>
      <c r="AK351" s="298"/>
      <c r="AL351" s="298"/>
      <c r="AM351" s="298"/>
    </row>
    <row r="352" spans="1:39" ht="15.75" customHeight="1">
      <c r="A352" s="298"/>
      <c r="B352" s="298"/>
      <c r="C352" s="1901"/>
      <c r="D352" s="1947"/>
      <c r="E352" s="1901"/>
      <c r="F352" s="1954"/>
      <c r="G352" s="1901"/>
      <c r="H352" s="1901"/>
      <c r="I352" s="1901"/>
      <c r="J352" s="1647"/>
      <c r="K352" s="1901"/>
      <c r="L352" s="1901"/>
      <c r="M352" s="1955"/>
      <c r="N352" s="1956"/>
      <c r="O352" s="1955"/>
      <c r="P352" s="1955"/>
      <c r="Q352" s="1956"/>
      <c r="R352" s="493"/>
      <c r="S352" s="493"/>
      <c r="T352" s="493"/>
      <c r="U352" s="493"/>
      <c r="V352" s="298"/>
      <c r="W352" s="298"/>
      <c r="X352" s="298"/>
      <c r="Y352" s="298"/>
      <c r="Z352" s="298"/>
      <c r="AA352" s="298"/>
      <c r="AB352" s="298"/>
      <c r="AC352" s="298"/>
      <c r="AD352" s="298"/>
      <c r="AE352" s="298"/>
      <c r="AF352" s="298"/>
      <c r="AG352" s="298"/>
      <c r="AH352" s="298"/>
      <c r="AI352" s="298"/>
      <c r="AJ352" s="298"/>
      <c r="AK352" s="298"/>
      <c r="AL352" s="298"/>
      <c r="AM352" s="298"/>
    </row>
    <row r="353" spans="1:39" ht="15.75" customHeight="1">
      <c r="A353" s="298"/>
      <c r="B353" s="298"/>
      <c r="C353" s="1901"/>
      <c r="D353" s="1947"/>
      <c r="E353" s="1901"/>
      <c r="F353" s="1954"/>
      <c r="G353" s="1901"/>
      <c r="H353" s="1901"/>
      <c r="I353" s="1901"/>
      <c r="J353" s="1647"/>
      <c r="K353" s="1901"/>
      <c r="L353" s="1901"/>
      <c r="M353" s="1955"/>
      <c r="N353" s="1956"/>
      <c r="O353" s="1955"/>
      <c r="P353" s="1955"/>
      <c r="Q353" s="1956"/>
      <c r="R353" s="493"/>
      <c r="S353" s="493"/>
      <c r="T353" s="493"/>
      <c r="U353" s="493"/>
      <c r="V353" s="298"/>
      <c r="W353" s="298"/>
      <c r="X353" s="298"/>
      <c r="Y353" s="298"/>
      <c r="Z353" s="298"/>
      <c r="AA353" s="298"/>
      <c r="AB353" s="298"/>
      <c r="AC353" s="298"/>
      <c r="AD353" s="298"/>
      <c r="AE353" s="298"/>
      <c r="AF353" s="298"/>
      <c r="AG353" s="298"/>
      <c r="AH353" s="298"/>
      <c r="AI353" s="298"/>
      <c r="AJ353" s="298"/>
      <c r="AK353" s="298"/>
      <c r="AL353" s="298"/>
      <c r="AM353" s="298"/>
    </row>
    <row r="354" spans="1:39" ht="15.75" customHeight="1">
      <c r="A354" s="298"/>
      <c r="B354" s="298"/>
      <c r="C354" s="1901"/>
      <c r="D354" s="1947"/>
      <c r="E354" s="1901"/>
      <c r="F354" s="1954"/>
      <c r="G354" s="1901"/>
      <c r="H354" s="1901"/>
      <c r="I354" s="1901"/>
      <c r="J354" s="1647"/>
      <c r="K354" s="1901"/>
      <c r="L354" s="1901"/>
      <c r="M354" s="1955"/>
      <c r="N354" s="1956"/>
      <c r="O354" s="1955"/>
      <c r="P354" s="1955"/>
      <c r="Q354" s="1956"/>
      <c r="R354" s="493"/>
      <c r="S354" s="493"/>
      <c r="T354" s="493"/>
      <c r="U354" s="493"/>
      <c r="V354" s="298"/>
      <c r="W354" s="298"/>
      <c r="X354" s="298"/>
      <c r="Y354" s="298"/>
      <c r="Z354" s="298"/>
      <c r="AA354" s="298"/>
      <c r="AB354" s="298"/>
      <c r="AC354" s="298"/>
      <c r="AD354" s="298"/>
      <c r="AE354" s="298"/>
      <c r="AF354" s="298"/>
      <c r="AG354" s="298"/>
      <c r="AH354" s="298"/>
      <c r="AI354" s="298"/>
      <c r="AJ354" s="298"/>
      <c r="AK354" s="298"/>
      <c r="AL354" s="298"/>
      <c r="AM354" s="298"/>
    </row>
    <row r="355" spans="1:39" ht="15.75" customHeight="1">
      <c r="A355" s="298"/>
      <c r="B355" s="298"/>
      <c r="C355" s="1901"/>
      <c r="D355" s="1947"/>
      <c r="E355" s="1901"/>
      <c r="F355" s="1954"/>
      <c r="G355" s="1901"/>
      <c r="H355" s="1901"/>
      <c r="I355" s="1901"/>
      <c r="J355" s="1647"/>
      <c r="K355" s="1901"/>
      <c r="L355" s="1901"/>
      <c r="M355" s="1955"/>
      <c r="N355" s="1956"/>
      <c r="O355" s="1955"/>
      <c r="P355" s="1955"/>
      <c r="Q355" s="1956"/>
      <c r="R355" s="493"/>
      <c r="S355" s="493"/>
      <c r="T355" s="493"/>
      <c r="U355" s="493"/>
      <c r="V355" s="298"/>
      <c r="W355" s="298"/>
      <c r="X355" s="298"/>
      <c r="Y355" s="298"/>
      <c r="Z355" s="298"/>
      <c r="AA355" s="298"/>
      <c r="AB355" s="298"/>
      <c r="AC355" s="298"/>
      <c r="AD355" s="298"/>
      <c r="AE355" s="298"/>
      <c r="AF355" s="298"/>
      <c r="AG355" s="298"/>
      <c r="AH355" s="298"/>
      <c r="AI355" s="298"/>
      <c r="AJ355" s="298"/>
      <c r="AK355" s="298"/>
      <c r="AL355" s="298"/>
      <c r="AM355" s="298"/>
    </row>
    <row r="356" spans="1:39" ht="15.75" customHeight="1">
      <c r="A356" s="298"/>
      <c r="B356" s="298"/>
      <c r="C356" s="1901"/>
      <c r="D356" s="1947"/>
      <c r="E356" s="1901"/>
      <c r="F356" s="1954"/>
      <c r="G356" s="1901"/>
      <c r="H356" s="1901"/>
      <c r="I356" s="1901"/>
      <c r="J356" s="1647"/>
      <c r="K356" s="1901"/>
      <c r="L356" s="1901"/>
      <c r="M356" s="1955"/>
      <c r="N356" s="1956"/>
      <c r="O356" s="1955"/>
      <c r="P356" s="1955"/>
      <c r="Q356" s="1956"/>
      <c r="R356" s="493"/>
      <c r="S356" s="493"/>
      <c r="T356" s="493"/>
      <c r="U356" s="493"/>
      <c r="V356" s="298"/>
      <c r="W356" s="298"/>
      <c r="X356" s="298"/>
      <c r="Y356" s="298"/>
      <c r="Z356" s="298"/>
      <c r="AA356" s="298"/>
      <c r="AB356" s="298"/>
      <c r="AC356" s="298"/>
      <c r="AD356" s="298"/>
      <c r="AE356" s="298"/>
      <c r="AF356" s="298"/>
      <c r="AG356" s="298"/>
      <c r="AH356" s="298"/>
      <c r="AI356" s="298"/>
      <c r="AJ356" s="298"/>
      <c r="AK356" s="298"/>
      <c r="AL356" s="298"/>
      <c r="AM356" s="298"/>
    </row>
    <row r="357" spans="1:39" ht="15.75" customHeight="1">
      <c r="A357" s="298"/>
      <c r="B357" s="298"/>
      <c r="C357" s="1901"/>
      <c r="D357" s="1947"/>
      <c r="E357" s="1901"/>
      <c r="F357" s="1954"/>
      <c r="G357" s="1901"/>
      <c r="H357" s="1901"/>
      <c r="I357" s="1901"/>
      <c r="J357" s="1647"/>
      <c r="K357" s="1901"/>
      <c r="L357" s="1901"/>
      <c r="M357" s="1955"/>
      <c r="N357" s="1956"/>
      <c r="O357" s="1955"/>
      <c r="P357" s="1955"/>
      <c r="Q357" s="1956"/>
      <c r="R357" s="493"/>
      <c r="S357" s="493"/>
      <c r="T357" s="493"/>
      <c r="U357" s="493"/>
      <c r="V357" s="298"/>
      <c r="W357" s="298"/>
      <c r="X357" s="298"/>
      <c r="Y357" s="298"/>
      <c r="Z357" s="298"/>
      <c r="AA357" s="298"/>
      <c r="AB357" s="298"/>
      <c r="AC357" s="298"/>
      <c r="AD357" s="298"/>
      <c r="AE357" s="298"/>
      <c r="AF357" s="298"/>
      <c r="AG357" s="298"/>
      <c r="AH357" s="298"/>
      <c r="AI357" s="298"/>
      <c r="AJ357" s="298"/>
      <c r="AK357" s="298"/>
      <c r="AL357" s="298"/>
      <c r="AM357" s="298"/>
    </row>
    <row r="358" spans="1:39" ht="15.75" customHeight="1">
      <c r="A358" s="298"/>
      <c r="B358" s="298"/>
      <c r="C358" s="1901"/>
      <c r="D358" s="1947"/>
      <c r="E358" s="1901"/>
      <c r="F358" s="1954"/>
      <c r="G358" s="1901"/>
      <c r="H358" s="1901"/>
      <c r="I358" s="1901"/>
      <c r="J358" s="1647"/>
      <c r="K358" s="1901"/>
      <c r="L358" s="1901"/>
      <c r="M358" s="1955"/>
      <c r="N358" s="1956"/>
      <c r="O358" s="1955"/>
      <c r="P358" s="1955"/>
      <c r="Q358" s="1956"/>
      <c r="R358" s="493"/>
      <c r="S358" s="493"/>
      <c r="T358" s="493"/>
      <c r="U358" s="493"/>
      <c r="V358" s="298"/>
      <c r="W358" s="298"/>
      <c r="X358" s="298"/>
      <c r="Y358" s="298"/>
      <c r="Z358" s="298"/>
      <c r="AA358" s="298"/>
      <c r="AB358" s="298"/>
      <c r="AC358" s="298"/>
      <c r="AD358" s="298"/>
      <c r="AE358" s="298"/>
      <c r="AF358" s="298"/>
      <c r="AG358" s="298"/>
      <c r="AH358" s="298"/>
      <c r="AI358" s="298"/>
      <c r="AJ358" s="298"/>
      <c r="AK358" s="298"/>
      <c r="AL358" s="298"/>
      <c r="AM358" s="298"/>
    </row>
    <row r="359" spans="1:39" ht="15.75" customHeight="1">
      <c r="A359" s="298"/>
      <c r="B359" s="298"/>
      <c r="C359" s="1901"/>
      <c r="D359" s="1947"/>
      <c r="E359" s="1901"/>
      <c r="F359" s="1954"/>
      <c r="G359" s="1901"/>
      <c r="H359" s="1901"/>
      <c r="I359" s="1901"/>
      <c r="J359" s="1647"/>
      <c r="K359" s="1901"/>
      <c r="L359" s="1901"/>
      <c r="M359" s="1955"/>
      <c r="N359" s="1956"/>
      <c r="O359" s="1955"/>
      <c r="P359" s="1955"/>
      <c r="Q359" s="1956"/>
      <c r="R359" s="493"/>
      <c r="S359" s="493"/>
      <c r="T359" s="493"/>
      <c r="U359" s="493"/>
      <c r="V359" s="298"/>
      <c r="W359" s="298"/>
      <c r="X359" s="298"/>
      <c r="Y359" s="298"/>
      <c r="Z359" s="298"/>
      <c r="AA359" s="298"/>
      <c r="AB359" s="298"/>
      <c r="AC359" s="298"/>
      <c r="AD359" s="298"/>
      <c r="AE359" s="298"/>
      <c r="AF359" s="298"/>
      <c r="AG359" s="298"/>
      <c r="AH359" s="298"/>
      <c r="AI359" s="298"/>
      <c r="AJ359" s="298"/>
      <c r="AK359" s="298"/>
      <c r="AL359" s="298"/>
      <c r="AM359" s="298"/>
    </row>
    <row r="360" spans="1:39" ht="15.75" customHeight="1">
      <c r="A360" s="298"/>
      <c r="B360" s="298"/>
      <c r="C360" s="1901"/>
      <c r="D360" s="1947"/>
      <c r="E360" s="1901"/>
      <c r="F360" s="1954"/>
      <c r="G360" s="1901"/>
      <c r="H360" s="1901"/>
      <c r="I360" s="1901"/>
      <c r="J360" s="1647"/>
      <c r="K360" s="1901"/>
      <c r="L360" s="1901"/>
      <c r="M360" s="1955"/>
      <c r="N360" s="1956"/>
      <c r="O360" s="1955"/>
      <c r="P360" s="1955"/>
      <c r="Q360" s="1956"/>
      <c r="R360" s="493"/>
      <c r="S360" s="493"/>
      <c r="T360" s="493"/>
      <c r="U360" s="493"/>
      <c r="V360" s="298"/>
      <c r="W360" s="298"/>
      <c r="X360" s="298"/>
      <c r="Y360" s="298"/>
      <c r="Z360" s="298"/>
      <c r="AA360" s="298"/>
      <c r="AB360" s="298"/>
      <c r="AC360" s="298"/>
      <c r="AD360" s="298"/>
      <c r="AE360" s="298"/>
      <c r="AF360" s="298"/>
      <c r="AG360" s="298"/>
      <c r="AH360" s="298"/>
      <c r="AI360" s="298"/>
      <c r="AJ360" s="298"/>
      <c r="AK360" s="298"/>
      <c r="AL360" s="298"/>
      <c r="AM360" s="298"/>
    </row>
    <row r="361" spans="1:39" ht="15.75" customHeight="1">
      <c r="A361" s="298"/>
      <c r="B361" s="298"/>
      <c r="C361" s="1901"/>
      <c r="D361" s="1947"/>
      <c r="E361" s="1901"/>
      <c r="F361" s="1954"/>
      <c r="G361" s="1901"/>
      <c r="H361" s="1901"/>
      <c r="I361" s="1901"/>
      <c r="J361" s="1647"/>
      <c r="K361" s="1901"/>
      <c r="L361" s="1901"/>
      <c r="M361" s="1955"/>
      <c r="N361" s="1956"/>
      <c r="O361" s="1955"/>
      <c r="P361" s="1955"/>
      <c r="Q361" s="1956"/>
      <c r="R361" s="493"/>
      <c r="S361" s="493"/>
      <c r="T361" s="493"/>
      <c r="U361" s="493"/>
      <c r="V361" s="298"/>
      <c r="W361" s="298"/>
      <c r="X361" s="298"/>
      <c r="Y361" s="298"/>
      <c r="Z361" s="298"/>
      <c r="AA361" s="298"/>
      <c r="AB361" s="298"/>
      <c r="AC361" s="298"/>
      <c r="AD361" s="298"/>
      <c r="AE361" s="298"/>
      <c r="AF361" s="298"/>
      <c r="AG361" s="298"/>
      <c r="AH361" s="298"/>
      <c r="AI361" s="298"/>
      <c r="AJ361" s="298"/>
      <c r="AK361" s="298"/>
      <c r="AL361" s="298"/>
      <c r="AM361" s="298"/>
    </row>
    <row r="362" spans="1:39" ht="15.75" customHeight="1">
      <c r="A362" s="298"/>
      <c r="B362" s="298"/>
      <c r="C362" s="1901"/>
      <c r="D362" s="1947"/>
      <c r="E362" s="1901"/>
      <c r="F362" s="1954"/>
      <c r="G362" s="1901"/>
      <c r="H362" s="1901"/>
      <c r="I362" s="1901"/>
      <c r="J362" s="1647"/>
      <c r="K362" s="1901"/>
      <c r="L362" s="1901"/>
      <c r="M362" s="1955"/>
      <c r="N362" s="1956"/>
      <c r="O362" s="1955"/>
      <c r="P362" s="1955"/>
      <c r="Q362" s="1956"/>
      <c r="R362" s="493"/>
      <c r="S362" s="493"/>
      <c r="T362" s="493"/>
      <c r="U362" s="493"/>
      <c r="V362" s="298"/>
      <c r="W362" s="298"/>
      <c r="X362" s="298"/>
      <c r="Y362" s="298"/>
      <c r="Z362" s="298"/>
      <c r="AA362" s="298"/>
      <c r="AB362" s="298"/>
      <c r="AC362" s="298"/>
      <c r="AD362" s="298"/>
      <c r="AE362" s="298"/>
      <c r="AF362" s="298"/>
      <c r="AG362" s="298"/>
      <c r="AH362" s="298"/>
      <c r="AI362" s="298"/>
      <c r="AJ362" s="298"/>
      <c r="AK362" s="298"/>
      <c r="AL362" s="298"/>
      <c r="AM362" s="298"/>
    </row>
    <row r="363" spans="1:39" ht="15.75" customHeight="1">
      <c r="A363" s="298"/>
      <c r="B363" s="298"/>
      <c r="C363" s="1901"/>
      <c r="D363" s="1947"/>
      <c r="E363" s="1901"/>
      <c r="F363" s="1954"/>
      <c r="G363" s="1901"/>
      <c r="H363" s="1901"/>
      <c r="I363" s="1901"/>
      <c r="J363" s="1647"/>
      <c r="K363" s="1901"/>
      <c r="L363" s="1901"/>
      <c r="M363" s="1955"/>
      <c r="N363" s="1956"/>
      <c r="O363" s="1955"/>
      <c r="P363" s="1955"/>
      <c r="Q363" s="1956"/>
      <c r="R363" s="493"/>
      <c r="S363" s="493"/>
      <c r="T363" s="493"/>
      <c r="U363" s="493"/>
      <c r="V363" s="298"/>
      <c r="W363" s="298"/>
      <c r="X363" s="298"/>
      <c r="Y363" s="298"/>
      <c r="Z363" s="298"/>
      <c r="AA363" s="298"/>
      <c r="AB363" s="298"/>
      <c r="AC363" s="298"/>
      <c r="AD363" s="298"/>
      <c r="AE363" s="298"/>
      <c r="AF363" s="298"/>
      <c r="AG363" s="298"/>
      <c r="AH363" s="298"/>
      <c r="AI363" s="298"/>
      <c r="AJ363" s="298"/>
      <c r="AK363" s="298"/>
      <c r="AL363" s="298"/>
      <c r="AM363" s="298"/>
    </row>
    <row r="364" spans="1:39" ht="15.75" customHeight="1">
      <c r="A364" s="298"/>
      <c r="B364" s="298"/>
      <c r="C364" s="1901"/>
      <c r="D364" s="1947"/>
      <c r="E364" s="1901"/>
      <c r="F364" s="1954"/>
      <c r="G364" s="1901"/>
      <c r="H364" s="1901"/>
      <c r="I364" s="1901"/>
      <c r="J364" s="1647"/>
      <c r="K364" s="1901"/>
      <c r="L364" s="1901"/>
      <c r="M364" s="1955"/>
      <c r="N364" s="1956"/>
      <c r="O364" s="1955"/>
      <c r="P364" s="1955"/>
      <c r="Q364" s="1956"/>
      <c r="R364" s="493"/>
      <c r="S364" s="493"/>
      <c r="T364" s="493"/>
      <c r="U364" s="493"/>
      <c r="V364" s="298"/>
      <c r="W364" s="298"/>
      <c r="X364" s="298"/>
      <c r="Y364" s="298"/>
      <c r="Z364" s="298"/>
      <c r="AA364" s="298"/>
      <c r="AB364" s="298"/>
      <c r="AC364" s="298"/>
      <c r="AD364" s="298"/>
      <c r="AE364" s="298"/>
      <c r="AF364" s="298"/>
      <c r="AG364" s="298"/>
      <c r="AH364" s="298"/>
      <c r="AI364" s="298"/>
      <c r="AJ364" s="298"/>
      <c r="AK364" s="298"/>
      <c r="AL364" s="298"/>
      <c r="AM364" s="298"/>
    </row>
    <row r="365" spans="1:39" ht="15.75" customHeight="1">
      <c r="A365" s="298"/>
      <c r="B365" s="298"/>
      <c r="C365" s="1901"/>
      <c r="D365" s="1947"/>
      <c r="E365" s="1901"/>
      <c r="F365" s="1954"/>
      <c r="G365" s="1901"/>
      <c r="H365" s="1901"/>
      <c r="I365" s="1901"/>
      <c r="J365" s="1647"/>
      <c r="K365" s="1901"/>
      <c r="L365" s="1901"/>
      <c r="M365" s="1955"/>
      <c r="N365" s="1956"/>
      <c r="O365" s="1955"/>
      <c r="P365" s="1955"/>
      <c r="Q365" s="1956"/>
      <c r="R365" s="493"/>
      <c r="S365" s="493"/>
      <c r="T365" s="493"/>
      <c r="U365" s="493"/>
      <c r="V365" s="298"/>
      <c r="W365" s="298"/>
      <c r="X365" s="298"/>
      <c r="Y365" s="298"/>
      <c r="Z365" s="298"/>
      <c r="AA365" s="298"/>
      <c r="AB365" s="298"/>
      <c r="AC365" s="298"/>
      <c r="AD365" s="298"/>
      <c r="AE365" s="298"/>
      <c r="AF365" s="298"/>
      <c r="AG365" s="298"/>
      <c r="AH365" s="298"/>
      <c r="AI365" s="298"/>
      <c r="AJ365" s="298"/>
      <c r="AK365" s="298"/>
      <c r="AL365" s="298"/>
      <c r="AM365" s="298"/>
    </row>
    <row r="366" spans="1:39" ht="15.75" customHeight="1">
      <c r="A366" s="298"/>
      <c r="B366" s="298"/>
      <c r="C366" s="1901"/>
      <c r="D366" s="1947"/>
      <c r="E366" s="1901"/>
      <c r="F366" s="1954"/>
      <c r="G366" s="1901"/>
      <c r="H366" s="1901"/>
      <c r="I366" s="1901"/>
      <c r="J366" s="1647"/>
      <c r="K366" s="1901"/>
      <c r="L366" s="1901"/>
      <c r="M366" s="1955"/>
      <c r="N366" s="1956"/>
      <c r="O366" s="1955"/>
      <c r="P366" s="1955"/>
      <c r="Q366" s="1956"/>
      <c r="R366" s="493"/>
      <c r="S366" s="493"/>
      <c r="T366" s="493"/>
      <c r="U366" s="493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298"/>
      <c r="AG366" s="298"/>
      <c r="AH366" s="298"/>
      <c r="AI366" s="298"/>
      <c r="AJ366" s="298"/>
      <c r="AK366" s="298"/>
      <c r="AL366" s="298"/>
      <c r="AM366" s="298"/>
    </row>
    <row r="367" spans="1:39" ht="15.75" customHeight="1">
      <c r="A367" s="298"/>
      <c r="B367" s="298"/>
      <c r="C367" s="1901"/>
      <c r="D367" s="1947"/>
      <c r="E367" s="1901"/>
      <c r="F367" s="1954"/>
      <c r="G367" s="1901"/>
      <c r="H367" s="1901"/>
      <c r="I367" s="1901"/>
      <c r="J367" s="1647"/>
      <c r="K367" s="1901"/>
      <c r="L367" s="1901"/>
      <c r="M367" s="1955"/>
      <c r="N367" s="1956"/>
      <c r="O367" s="1955"/>
      <c r="P367" s="1955"/>
      <c r="Q367" s="1956"/>
      <c r="R367" s="493"/>
      <c r="S367" s="493"/>
      <c r="T367" s="493"/>
      <c r="U367" s="493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298"/>
      <c r="AG367" s="298"/>
      <c r="AH367" s="298"/>
      <c r="AI367" s="298"/>
      <c r="AJ367" s="298"/>
      <c r="AK367" s="298"/>
      <c r="AL367" s="298"/>
      <c r="AM367" s="298"/>
    </row>
    <row r="368" spans="1:39" ht="15.75" customHeight="1">
      <c r="A368" s="298"/>
      <c r="B368" s="298"/>
      <c r="C368" s="1901"/>
      <c r="D368" s="1947"/>
      <c r="E368" s="1901"/>
      <c r="F368" s="1954"/>
      <c r="G368" s="1901"/>
      <c r="H368" s="1901"/>
      <c r="I368" s="1901"/>
      <c r="J368" s="1647"/>
      <c r="K368" s="1901"/>
      <c r="L368" s="1901"/>
      <c r="M368" s="1955"/>
      <c r="N368" s="1956"/>
      <c r="O368" s="1955"/>
      <c r="P368" s="1955"/>
      <c r="Q368" s="1956"/>
      <c r="R368" s="493"/>
      <c r="S368" s="493"/>
      <c r="T368" s="493"/>
      <c r="U368" s="493"/>
      <c r="V368" s="298"/>
      <c r="W368" s="298"/>
      <c r="X368" s="298"/>
      <c r="Y368" s="298"/>
      <c r="Z368" s="298"/>
      <c r="AA368" s="298"/>
      <c r="AB368" s="298"/>
      <c r="AC368" s="298"/>
      <c r="AD368" s="298"/>
      <c r="AE368" s="298"/>
      <c r="AF368" s="298"/>
      <c r="AG368" s="298"/>
      <c r="AH368" s="298"/>
      <c r="AI368" s="298"/>
      <c r="AJ368" s="298"/>
      <c r="AK368" s="298"/>
      <c r="AL368" s="298"/>
      <c r="AM368" s="298"/>
    </row>
    <row r="369" spans="1:39" ht="15.75" customHeight="1">
      <c r="A369" s="298"/>
      <c r="B369" s="298"/>
      <c r="C369" s="1901"/>
      <c r="D369" s="1947"/>
      <c r="E369" s="1901"/>
      <c r="F369" s="1954"/>
      <c r="G369" s="1901"/>
      <c r="H369" s="1901"/>
      <c r="I369" s="1901"/>
      <c r="J369" s="1647"/>
      <c r="K369" s="1901"/>
      <c r="L369" s="1901"/>
      <c r="M369" s="1955"/>
      <c r="N369" s="1956"/>
      <c r="O369" s="1955"/>
      <c r="P369" s="1955"/>
      <c r="Q369" s="1956"/>
      <c r="R369" s="493"/>
      <c r="S369" s="493"/>
      <c r="T369" s="493"/>
      <c r="U369" s="493"/>
      <c r="V369" s="298"/>
      <c r="W369" s="298"/>
      <c r="X369" s="298"/>
      <c r="Y369" s="298"/>
      <c r="Z369" s="298"/>
      <c r="AA369" s="298"/>
      <c r="AB369" s="298"/>
      <c r="AC369" s="298"/>
      <c r="AD369" s="298"/>
      <c r="AE369" s="298"/>
      <c r="AF369" s="298"/>
      <c r="AG369" s="298"/>
      <c r="AH369" s="298"/>
      <c r="AI369" s="298"/>
      <c r="AJ369" s="298"/>
      <c r="AK369" s="298"/>
      <c r="AL369" s="298"/>
      <c r="AM369" s="298"/>
    </row>
    <row r="370" spans="1:39" ht="15.75" customHeight="1">
      <c r="A370" s="298"/>
      <c r="B370" s="298"/>
      <c r="C370" s="1901"/>
      <c r="D370" s="1947"/>
      <c r="E370" s="1901"/>
      <c r="F370" s="1954"/>
      <c r="G370" s="1901"/>
      <c r="H370" s="1901"/>
      <c r="I370" s="1901"/>
      <c r="J370" s="1647"/>
      <c r="K370" s="1901"/>
      <c r="L370" s="1901"/>
      <c r="M370" s="1955"/>
      <c r="N370" s="1956"/>
      <c r="O370" s="1955"/>
      <c r="P370" s="1955"/>
      <c r="Q370" s="1956"/>
      <c r="R370" s="493"/>
      <c r="S370" s="493"/>
      <c r="T370" s="493"/>
      <c r="U370" s="493"/>
      <c r="V370" s="298"/>
      <c r="W370" s="298"/>
      <c r="X370" s="298"/>
      <c r="Y370" s="298"/>
      <c r="Z370" s="298"/>
      <c r="AA370" s="298"/>
      <c r="AB370" s="298"/>
      <c r="AC370" s="298"/>
      <c r="AD370" s="298"/>
      <c r="AE370" s="298"/>
      <c r="AF370" s="298"/>
      <c r="AG370" s="298"/>
      <c r="AH370" s="298"/>
      <c r="AI370" s="298"/>
      <c r="AJ370" s="298"/>
      <c r="AK370" s="298"/>
      <c r="AL370" s="298"/>
      <c r="AM370" s="298"/>
    </row>
    <row r="371" spans="1:39" ht="15.75" customHeight="1">
      <c r="A371" s="298"/>
      <c r="B371" s="298"/>
      <c r="C371" s="1901"/>
      <c r="D371" s="1947"/>
      <c r="E371" s="1901"/>
      <c r="F371" s="1954"/>
      <c r="G371" s="1901"/>
      <c r="H371" s="1901"/>
      <c r="I371" s="1901"/>
      <c r="J371" s="1647"/>
      <c r="K371" s="1901"/>
      <c r="L371" s="1901"/>
      <c r="M371" s="1955"/>
      <c r="N371" s="1956"/>
      <c r="O371" s="1955"/>
      <c r="P371" s="1955"/>
      <c r="Q371" s="1956"/>
      <c r="R371" s="493"/>
      <c r="S371" s="493"/>
      <c r="T371" s="493"/>
      <c r="U371" s="493"/>
      <c r="V371" s="298"/>
      <c r="W371" s="298"/>
      <c r="X371" s="298"/>
      <c r="Y371" s="298"/>
      <c r="Z371" s="298"/>
      <c r="AA371" s="298"/>
      <c r="AB371" s="298"/>
      <c r="AC371" s="298"/>
      <c r="AD371" s="298"/>
      <c r="AE371" s="298"/>
      <c r="AF371" s="298"/>
      <c r="AG371" s="298"/>
      <c r="AH371" s="298"/>
      <c r="AI371" s="298"/>
      <c r="AJ371" s="298"/>
      <c r="AK371" s="298"/>
      <c r="AL371" s="298"/>
      <c r="AM371" s="298"/>
    </row>
    <row r="372" spans="1:39" ht="15.75" customHeight="1">
      <c r="A372" s="298"/>
      <c r="B372" s="298"/>
      <c r="C372" s="1901"/>
      <c r="D372" s="1947"/>
      <c r="E372" s="1901"/>
      <c r="F372" s="1954"/>
      <c r="G372" s="1901"/>
      <c r="H372" s="1901"/>
      <c r="I372" s="1901"/>
      <c r="J372" s="1647"/>
      <c r="K372" s="1901"/>
      <c r="L372" s="1901"/>
      <c r="M372" s="1955"/>
      <c r="N372" s="1956"/>
      <c r="O372" s="1955"/>
      <c r="P372" s="1955"/>
      <c r="Q372" s="1956"/>
      <c r="R372" s="493"/>
      <c r="S372" s="493"/>
      <c r="T372" s="493"/>
      <c r="U372" s="493"/>
      <c r="V372" s="298"/>
      <c r="W372" s="298"/>
      <c r="X372" s="298"/>
      <c r="Y372" s="298"/>
      <c r="Z372" s="298"/>
      <c r="AA372" s="298"/>
      <c r="AB372" s="298"/>
      <c r="AC372" s="298"/>
      <c r="AD372" s="298"/>
      <c r="AE372" s="298"/>
      <c r="AF372" s="298"/>
      <c r="AG372" s="298"/>
      <c r="AH372" s="298"/>
      <c r="AI372" s="298"/>
      <c r="AJ372" s="298"/>
      <c r="AK372" s="298"/>
      <c r="AL372" s="298"/>
      <c r="AM372" s="298"/>
    </row>
    <row r="373" spans="1:39" ht="15.75" customHeight="1">
      <c r="A373" s="298"/>
      <c r="B373" s="298"/>
      <c r="C373" s="1901"/>
      <c r="D373" s="1947"/>
      <c r="E373" s="1901"/>
      <c r="F373" s="1954"/>
      <c r="G373" s="1901"/>
      <c r="H373" s="1901"/>
      <c r="I373" s="1901"/>
      <c r="J373" s="1647"/>
      <c r="K373" s="1901"/>
      <c r="L373" s="1901"/>
      <c r="M373" s="1955"/>
      <c r="N373" s="1956"/>
      <c r="O373" s="1955"/>
      <c r="P373" s="1955"/>
      <c r="Q373" s="1956"/>
      <c r="R373" s="493"/>
      <c r="S373" s="493"/>
      <c r="T373" s="493"/>
      <c r="U373" s="493"/>
      <c r="V373" s="298"/>
      <c r="W373" s="298"/>
      <c r="X373" s="298"/>
      <c r="Y373" s="298"/>
      <c r="Z373" s="298"/>
      <c r="AA373" s="298"/>
      <c r="AB373" s="298"/>
      <c r="AC373" s="298"/>
      <c r="AD373" s="298"/>
      <c r="AE373" s="298"/>
      <c r="AF373" s="298"/>
      <c r="AG373" s="298"/>
      <c r="AH373" s="298"/>
      <c r="AI373" s="298"/>
      <c r="AJ373" s="298"/>
      <c r="AK373" s="298"/>
      <c r="AL373" s="298"/>
      <c r="AM373" s="298"/>
    </row>
    <row r="374" spans="1:39" ht="15.75" customHeight="1">
      <c r="A374" s="298"/>
      <c r="B374" s="298"/>
      <c r="C374" s="1901"/>
      <c r="D374" s="1947"/>
      <c r="E374" s="1901"/>
      <c r="F374" s="1954"/>
      <c r="G374" s="1901"/>
      <c r="H374" s="1901"/>
      <c r="I374" s="1901"/>
      <c r="J374" s="1647"/>
      <c r="K374" s="1901"/>
      <c r="L374" s="1901"/>
      <c r="M374" s="1955"/>
      <c r="N374" s="1956"/>
      <c r="O374" s="1955"/>
      <c r="P374" s="1955"/>
      <c r="Q374" s="1956"/>
      <c r="R374" s="493"/>
      <c r="S374" s="493"/>
      <c r="T374" s="493"/>
      <c r="U374" s="493"/>
      <c r="V374" s="298"/>
      <c r="W374" s="298"/>
      <c r="X374" s="298"/>
      <c r="Y374" s="298"/>
      <c r="Z374" s="298"/>
      <c r="AA374" s="298"/>
      <c r="AB374" s="298"/>
      <c r="AC374" s="298"/>
      <c r="AD374" s="298"/>
      <c r="AE374" s="298"/>
      <c r="AF374" s="298"/>
      <c r="AG374" s="298"/>
      <c r="AH374" s="298"/>
      <c r="AI374" s="298"/>
      <c r="AJ374" s="298"/>
      <c r="AK374" s="298"/>
      <c r="AL374" s="298"/>
      <c r="AM374" s="298"/>
    </row>
    <row r="375" spans="1:39" ht="15.75" customHeight="1">
      <c r="A375" s="298"/>
      <c r="B375" s="298"/>
      <c r="C375" s="1901"/>
      <c r="D375" s="1947"/>
      <c r="E375" s="1901"/>
      <c r="F375" s="1954"/>
      <c r="G375" s="1901"/>
      <c r="H375" s="1901"/>
      <c r="I375" s="1901"/>
      <c r="J375" s="1647"/>
      <c r="K375" s="1901"/>
      <c r="L375" s="1901"/>
      <c r="M375" s="1955"/>
      <c r="N375" s="1956"/>
      <c r="O375" s="1955"/>
      <c r="P375" s="1955"/>
      <c r="Q375" s="1956"/>
      <c r="R375" s="493"/>
      <c r="S375" s="493"/>
      <c r="T375" s="493"/>
      <c r="U375" s="493"/>
      <c r="V375" s="298"/>
      <c r="W375" s="298"/>
      <c r="X375" s="298"/>
      <c r="Y375" s="298"/>
      <c r="Z375" s="298"/>
      <c r="AA375" s="298"/>
      <c r="AB375" s="298"/>
      <c r="AC375" s="298"/>
      <c r="AD375" s="298"/>
      <c r="AE375" s="298"/>
      <c r="AF375" s="298"/>
      <c r="AG375" s="298"/>
      <c r="AH375" s="298"/>
      <c r="AI375" s="298"/>
      <c r="AJ375" s="298"/>
      <c r="AK375" s="298"/>
      <c r="AL375" s="298"/>
      <c r="AM375" s="298"/>
    </row>
    <row r="376" spans="1:39" ht="15.75" customHeight="1">
      <c r="A376" s="298"/>
      <c r="B376" s="298"/>
      <c r="C376" s="1901"/>
      <c r="D376" s="1947"/>
      <c r="E376" s="1901"/>
      <c r="F376" s="1954"/>
      <c r="G376" s="1901"/>
      <c r="H376" s="1901"/>
      <c r="I376" s="1901"/>
      <c r="J376" s="1647"/>
      <c r="K376" s="1901"/>
      <c r="L376" s="1901"/>
      <c r="M376" s="1955"/>
      <c r="N376" s="1956"/>
      <c r="O376" s="1955"/>
      <c r="P376" s="1955"/>
      <c r="Q376" s="1956"/>
      <c r="R376" s="493"/>
      <c r="S376" s="493"/>
      <c r="T376" s="493"/>
      <c r="U376" s="493"/>
      <c r="V376" s="298"/>
      <c r="W376" s="298"/>
      <c r="X376" s="298"/>
      <c r="Y376" s="298"/>
      <c r="Z376" s="298"/>
      <c r="AA376" s="298"/>
      <c r="AB376" s="298"/>
      <c r="AC376" s="298"/>
      <c r="AD376" s="298"/>
      <c r="AE376" s="298"/>
      <c r="AF376" s="298"/>
      <c r="AG376" s="298"/>
      <c r="AH376" s="298"/>
      <c r="AI376" s="298"/>
      <c r="AJ376" s="298"/>
      <c r="AK376" s="298"/>
      <c r="AL376" s="298"/>
      <c r="AM376" s="298"/>
    </row>
    <row r="377" spans="1:39" ht="15.75" customHeight="1">
      <c r="A377" s="298"/>
      <c r="B377" s="298"/>
      <c r="C377" s="1901"/>
      <c r="D377" s="1947"/>
      <c r="E377" s="1901"/>
      <c r="F377" s="1954"/>
      <c r="G377" s="1901"/>
      <c r="H377" s="1901"/>
      <c r="I377" s="1901"/>
      <c r="J377" s="1647"/>
      <c r="K377" s="1901"/>
      <c r="L377" s="1901"/>
      <c r="M377" s="1955"/>
      <c r="N377" s="1956"/>
      <c r="O377" s="1955"/>
      <c r="P377" s="1955"/>
      <c r="Q377" s="1956"/>
      <c r="R377" s="493"/>
      <c r="S377" s="493"/>
      <c r="T377" s="493"/>
      <c r="U377" s="493"/>
      <c r="V377" s="298"/>
      <c r="W377" s="298"/>
      <c r="X377" s="298"/>
      <c r="Y377" s="298"/>
      <c r="Z377" s="298"/>
      <c r="AA377" s="298"/>
      <c r="AB377" s="298"/>
      <c r="AC377" s="298"/>
      <c r="AD377" s="298"/>
      <c r="AE377" s="298"/>
      <c r="AF377" s="298"/>
      <c r="AG377" s="298"/>
      <c r="AH377" s="298"/>
      <c r="AI377" s="298"/>
      <c r="AJ377" s="298"/>
      <c r="AK377" s="298"/>
      <c r="AL377" s="298"/>
      <c r="AM377" s="298"/>
    </row>
    <row r="378" spans="1:39" ht="15.75" customHeight="1">
      <c r="A378" s="298"/>
      <c r="B378" s="298"/>
      <c r="C378" s="1901"/>
      <c r="D378" s="1947"/>
      <c r="E378" s="1901"/>
      <c r="F378" s="1954"/>
      <c r="G378" s="1901"/>
      <c r="H378" s="1901"/>
      <c r="I378" s="1901"/>
      <c r="J378" s="1647"/>
      <c r="K378" s="1901"/>
      <c r="L378" s="1901"/>
      <c r="M378" s="1955"/>
      <c r="N378" s="1956"/>
      <c r="O378" s="1955"/>
      <c r="P378" s="1955"/>
      <c r="Q378" s="1956"/>
      <c r="R378" s="493"/>
      <c r="S378" s="493"/>
      <c r="T378" s="493"/>
      <c r="U378" s="493"/>
      <c r="V378" s="298"/>
      <c r="W378" s="298"/>
      <c r="X378" s="298"/>
      <c r="Y378" s="298"/>
      <c r="Z378" s="298"/>
      <c r="AA378" s="298"/>
      <c r="AB378" s="298"/>
      <c r="AC378" s="298"/>
      <c r="AD378" s="298"/>
      <c r="AE378" s="298"/>
      <c r="AF378" s="298"/>
      <c r="AG378" s="298"/>
      <c r="AH378" s="298"/>
      <c r="AI378" s="298"/>
      <c r="AJ378" s="298"/>
      <c r="AK378" s="298"/>
      <c r="AL378" s="298"/>
      <c r="AM378" s="298"/>
    </row>
    <row r="379" spans="1:39" ht="15.75" customHeight="1">
      <c r="A379" s="298"/>
      <c r="B379" s="298"/>
      <c r="C379" s="1901"/>
      <c r="D379" s="1947"/>
      <c r="E379" s="1901"/>
      <c r="F379" s="1954"/>
      <c r="G379" s="1901"/>
      <c r="H379" s="1901"/>
      <c r="I379" s="1901"/>
      <c r="J379" s="1647"/>
      <c r="K379" s="1901"/>
      <c r="L379" s="1901"/>
      <c r="M379" s="1955"/>
      <c r="N379" s="1956"/>
      <c r="O379" s="1955"/>
      <c r="P379" s="1955"/>
      <c r="Q379" s="1956"/>
      <c r="R379" s="493"/>
      <c r="S379" s="493"/>
      <c r="T379" s="493"/>
      <c r="U379" s="493"/>
      <c r="V379" s="298"/>
      <c r="W379" s="298"/>
      <c r="X379" s="298"/>
      <c r="Y379" s="298"/>
      <c r="Z379" s="298"/>
      <c r="AA379" s="298"/>
      <c r="AB379" s="298"/>
      <c r="AC379" s="298"/>
      <c r="AD379" s="298"/>
      <c r="AE379" s="298"/>
      <c r="AF379" s="298"/>
      <c r="AG379" s="298"/>
      <c r="AH379" s="298"/>
      <c r="AI379" s="298"/>
      <c r="AJ379" s="298"/>
      <c r="AK379" s="298"/>
      <c r="AL379" s="298"/>
      <c r="AM379" s="298"/>
    </row>
    <row r="380" spans="1:39" ht="15.75" customHeight="1">
      <c r="A380" s="298"/>
      <c r="B380" s="298"/>
      <c r="C380" s="1901"/>
      <c r="D380" s="1947"/>
      <c r="E380" s="1901"/>
      <c r="F380" s="1954"/>
      <c r="G380" s="1901"/>
      <c r="H380" s="1901"/>
      <c r="I380" s="1901"/>
      <c r="J380" s="1647"/>
      <c r="K380" s="1901"/>
      <c r="L380" s="1901"/>
      <c r="M380" s="1955"/>
      <c r="N380" s="1956"/>
      <c r="O380" s="1955"/>
      <c r="P380" s="1955"/>
      <c r="Q380" s="1956"/>
      <c r="R380" s="493"/>
      <c r="S380" s="493"/>
      <c r="T380" s="493"/>
      <c r="U380" s="493"/>
      <c r="V380" s="298"/>
      <c r="W380" s="298"/>
      <c r="X380" s="298"/>
      <c r="Y380" s="298"/>
      <c r="Z380" s="298"/>
      <c r="AA380" s="298"/>
      <c r="AB380" s="298"/>
      <c r="AC380" s="298"/>
      <c r="AD380" s="298"/>
      <c r="AE380" s="298"/>
      <c r="AF380" s="298"/>
      <c r="AG380" s="298"/>
      <c r="AH380" s="298"/>
      <c r="AI380" s="298"/>
      <c r="AJ380" s="298"/>
      <c r="AK380" s="298"/>
      <c r="AL380" s="298"/>
      <c r="AM380" s="298"/>
    </row>
    <row r="381" spans="1:39" ht="15.75" customHeight="1">
      <c r="A381" s="298"/>
      <c r="B381" s="298"/>
      <c r="C381" s="1901"/>
      <c r="D381" s="1947"/>
      <c r="E381" s="1901"/>
      <c r="F381" s="1954"/>
      <c r="G381" s="1901"/>
      <c r="H381" s="1901"/>
      <c r="I381" s="1901"/>
      <c r="J381" s="1647"/>
      <c r="K381" s="1901"/>
      <c r="L381" s="1901"/>
      <c r="M381" s="1955"/>
      <c r="N381" s="1956"/>
      <c r="O381" s="1955"/>
      <c r="P381" s="1955"/>
      <c r="Q381" s="1956"/>
      <c r="R381" s="493"/>
      <c r="S381" s="493"/>
      <c r="T381" s="493"/>
      <c r="U381" s="493"/>
      <c r="V381" s="298"/>
      <c r="W381" s="298"/>
      <c r="X381" s="298"/>
      <c r="Y381" s="298"/>
      <c r="Z381" s="298"/>
      <c r="AA381" s="298"/>
      <c r="AB381" s="298"/>
      <c r="AC381" s="298"/>
      <c r="AD381" s="298"/>
      <c r="AE381" s="298"/>
      <c r="AF381" s="298"/>
      <c r="AG381" s="298"/>
      <c r="AH381" s="298"/>
      <c r="AI381" s="298"/>
      <c r="AJ381" s="298"/>
      <c r="AK381" s="298"/>
      <c r="AL381" s="298"/>
      <c r="AM381" s="298"/>
    </row>
    <row r="382" spans="1:39" ht="15.75" customHeight="1">
      <c r="A382" s="298"/>
      <c r="B382" s="298"/>
      <c r="C382" s="1901"/>
      <c r="D382" s="1947"/>
      <c r="E382" s="1901"/>
      <c r="F382" s="1954"/>
      <c r="G382" s="1901"/>
      <c r="H382" s="1901"/>
      <c r="I382" s="1901"/>
      <c r="J382" s="1647"/>
      <c r="K382" s="1901"/>
      <c r="L382" s="1901"/>
      <c r="M382" s="1955"/>
      <c r="N382" s="1956"/>
      <c r="O382" s="1955"/>
      <c r="P382" s="1955"/>
      <c r="Q382" s="1956"/>
      <c r="R382" s="493"/>
      <c r="S382" s="493"/>
      <c r="T382" s="493"/>
      <c r="U382" s="493"/>
      <c r="V382" s="298"/>
      <c r="W382" s="298"/>
      <c r="X382" s="298"/>
      <c r="Y382" s="298"/>
      <c r="Z382" s="298"/>
      <c r="AA382" s="298"/>
      <c r="AB382" s="298"/>
      <c r="AC382" s="298"/>
      <c r="AD382" s="298"/>
      <c r="AE382" s="298"/>
      <c r="AF382" s="298"/>
      <c r="AG382" s="298"/>
      <c r="AH382" s="298"/>
      <c r="AI382" s="298"/>
      <c r="AJ382" s="298"/>
      <c r="AK382" s="298"/>
      <c r="AL382" s="298"/>
      <c r="AM382" s="298"/>
    </row>
    <row r="383" spans="1:39" ht="15.75" customHeight="1">
      <c r="A383" s="298"/>
      <c r="B383" s="298"/>
      <c r="C383" s="1901"/>
      <c r="D383" s="1947"/>
      <c r="E383" s="1901"/>
      <c r="F383" s="1954"/>
      <c r="G383" s="1901"/>
      <c r="H383" s="1901"/>
      <c r="I383" s="1901"/>
      <c r="J383" s="1647"/>
      <c r="K383" s="1901"/>
      <c r="L383" s="1901"/>
      <c r="M383" s="1955"/>
      <c r="N383" s="1956"/>
      <c r="O383" s="1955"/>
      <c r="P383" s="1955"/>
      <c r="Q383" s="1956"/>
      <c r="R383" s="493"/>
      <c r="S383" s="493"/>
      <c r="T383" s="493"/>
      <c r="U383" s="493"/>
      <c r="V383" s="298"/>
      <c r="W383" s="298"/>
      <c r="X383" s="298"/>
      <c r="Y383" s="298"/>
      <c r="Z383" s="298"/>
      <c r="AA383" s="298"/>
      <c r="AB383" s="298"/>
      <c r="AC383" s="298"/>
      <c r="AD383" s="298"/>
      <c r="AE383" s="298"/>
      <c r="AF383" s="298"/>
      <c r="AG383" s="298"/>
      <c r="AH383" s="298"/>
      <c r="AI383" s="298"/>
      <c r="AJ383" s="298"/>
      <c r="AK383" s="298"/>
      <c r="AL383" s="298"/>
      <c r="AM383" s="298"/>
    </row>
    <row r="384" spans="1:39" ht="15.75" customHeight="1">
      <c r="A384" s="298"/>
      <c r="B384" s="298"/>
      <c r="C384" s="1901"/>
      <c r="D384" s="1947"/>
      <c r="E384" s="1901"/>
      <c r="F384" s="1954"/>
      <c r="G384" s="1901"/>
      <c r="H384" s="1901"/>
      <c r="I384" s="1901"/>
      <c r="J384" s="1647"/>
      <c r="K384" s="1901"/>
      <c r="L384" s="1901"/>
      <c r="M384" s="1955"/>
      <c r="N384" s="1956"/>
      <c r="O384" s="1955"/>
      <c r="P384" s="1955"/>
      <c r="Q384" s="1956"/>
      <c r="R384" s="493"/>
      <c r="S384" s="493"/>
      <c r="T384" s="493"/>
      <c r="U384" s="493"/>
      <c r="V384" s="298"/>
      <c r="W384" s="298"/>
      <c r="X384" s="298"/>
      <c r="Y384" s="298"/>
      <c r="Z384" s="298"/>
      <c r="AA384" s="298"/>
      <c r="AB384" s="298"/>
      <c r="AC384" s="298"/>
      <c r="AD384" s="298"/>
      <c r="AE384" s="298"/>
      <c r="AF384" s="298"/>
      <c r="AG384" s="298"/>
      <c r="AH384" s="298"/>
      <c r="AI384" s="298"/>
      <c r="AJ384" s="298"/>
      <c r="AK384" s="298"/>
      <c r="AL384" s="298"/>
      <c r="AM384" s="298"/>
    </row>
    <row r="385" spans="1:39" ht="15.75" customHeight="1">
      <c r="A385" s="298"/>
      <c r="B385" s="298"/>
      <c r="C385" s="1901"/>
      <c r="D385" s="1947"/>
      <c r="E385" s="1901"/>
      <c r="F385" s="1954"/>
      <c r="G385" s="1901"/>
      <c r="H385" s="1901"/>
      <c r="I385" s="1901"/>
      <c r="J385" s="1647"/>
      <c r="K385" s="1901"/>
      <c r="L385" s="1901"/>
      <c r="M385" s="1955"/>
      <c r="N385" s="1956"/>
      <c r="O385" s="1955"/>
      <c r="P385" s="1955"/>
      <c r="Q385" s="1956"/>
      <c r="R385" s="493"/>
      <c r="S385" s="493"/>
      <c r="T385" s="493"/>
      <c r="U385" s="493"/>
      <c r="V385" s="298"/>
      <c r="W385" s="298"/>
      <c r="X385" s="298"/>
      <c r="Y385" s="298"/>
      <c r="Z385" s="298"/>
      <c r="AA385" s="298"/>
      <c r="AB385" s="298"/>
      <c r="AC385" s="298"/>
      <c r="AD385" s="298"/>
      <c r="AE385" s="298"/>
      <c r="AF385" s="298"/>
      <c r="AG385" s="298"/>
      <c r="AH385" s="298"/>
      <c r="AI385" s="298"/>
      <c r="AJ385" s="298"/>
      <c r="AK385" s="298"/>
      <c r="AL385" s="298"/>
      <c r="AM385" s="298"/>
    </row>
    <row r="386" spans="1:39" ht="15.75" customHeight="1">
      <c r="A386" s="298"/>
      <c r="B386" s="298"/>
      <c r="C386" s="1901"/>
      <c r="D386" s="1947"/>
      <c r="E386" s="1901"/>
      <c r="F386" s="1954"/>
      <c r="G386" s="1901"/>
      <c r="H386" s="1901"/>
      <c r="I386" s="1901"/>
      <c r="J386" s="1647"/>
      <c r="K386" s="1901"/>
      <c r="L386" s="1901"/>
      <c r="M386" s="1955"/>
      <c r="N386" s="1956"/>
      <c r="O386" s="1955"/>
      <c r="P386" s="1955"/>
      <c r="Q386" s="1956"/>
      <c r="R386" s="493"/>
      <c r="S386" s="493"/>
      <c r="T386" s="493"/>
      <c r="U386" s="493"/>
      <c r="V386" s="298"/>
      <c r="W386" s="298"/>
      <c r="X386" s="298"/>
      <c r="Y386" s="298"/>
      <c r="Z386" s="298"/>
      <c r="AA386" s="298"/>
      <c r="AB386" s="298"/>
      <c r="AC386" s="298"/>
      <c r="AD386" s="298"/>
      <c r="AE386" s="298"/>
      <c r="AF386" s="298"/>
      <c r="AG386" s="298"/>
      <c r="AH386" s="298"/>
      <c r="AI386" s="298"/>
      <c r="AJ386" s="298"/>
      <c r="AK386" s="298"/>
      <c r="AL386" s="298"/>
      <c r="AM386" s="298"/>
    </row>
    <row r="387" spans="1:39" ht="15.75" customHeight="1">
      <c r="A387" s="298"/>
      <c r="B387" s="298"/>
      <c r="C387" s="1901"/>
      <c r="D387" s="1947"/>
      <c r="E387" s="1901"/>
      <c r="F387" s="1954"/>
      <c r="G387" s="1901"/>
      <c r="H387" s="1901"/>
      <c r="I387" s="1901"/>
      <c r="J387" s="1647"/>
      <c r="K387" s="1901"/>
      <c r="L387" s="1901"/>
      <c r="M387" s="1955"/>
      <c r="N387" s="1956"/>
      <c r="O387" s="1955"/>
      <c r="P387" s="1955"/>
      <c r="Q387" s="1956"/>
      <c r="R387" s="493"/>
      <c r="S387" s="493"/>
      <c r="T387" s="493"/>
      <c r="U387" s="493"/>
      <c r="V387" s="298"/>
      <c r="W387" s="298"/>
      <c r="X387" s="298"/>
      <c r="Y387" s="298"/>
      <c r="Z387" s="298"/>
      <c r="AA387" s="298"/>
      <c r="AB387" s="298"/>
      <c r="AC387" s="298"/>
      <c r="AD387" s="298"/>
      <c r="AE387" s="298"/>
      <c r="AF387" s="298"/>
      <c r="AG387" s="298"/>
      <c r="AH387" s="298"/>
      <c r="AI387" s="298"/>
      <c r="AJ387" s="298"/>
      <c r="AK387" s="298"/>
      <c r="AL387" s="298"/>
      <c r="AM387" s="298"/>
    </row>
    <row r="388" spans="1:39" ht="15.75" customHeight="1">
      <c r="A388" s="298"/>
      <c r="B388" s="298"/>
      <c r="C388" s="1901"/>
      <c r="D388" s="1947"/>
      <c r="E388" s="1901"/>
      <c r="F388" s="1954"/>
      <c r="G388" s="1901"/>
      <c r="H388" s="1901"/>
      <c r="I388" s="1901"/>
      <c r="J388" s="1647"/>
      <c r="K388" s="1901"/>
      <c r="L388" s="1901"/>
      <c r="M388" s="1955"/>
      <c r="N388" s="1956"/>
      <c r="O388" s="1955"/>
      <c r="P388" s="1955"/>
      <c r="Q388" s="1956"/>
      <c r="R388" s="493"/>
      <c r="S388" s="493"/>
      <c r="T388" s="493"/>
      <c r="U388" s="493"/>
      <c r="V388" s="298"/>
      <c r="W388" s="298"/>
      <c r="X388" s="298"/>
      <c r="Y388" s="298"/>
      <c r="Z388" s="298"/>
      <c r="AA388" s="298"/>
      <c r="AB388" s="298"/>
      <c r="AC388" s="298"/>
      <c r="AD388" s="298"/>
      <c r="AE388" s="298"/>
      <c r="AF388" s="298"/>
      <c r="AG388" s="298"/>
      <c r="AH388" s="298"/>
      <c r="AI388" s="298"/>
      <c r="AJ388" s="298"/>
      <c r="AK388" s="298"/>
      <c r="AL388" s="298"/>
      <c r="AM388" s="298"/>
    </row>
    <row r="389" spans="1:39" ht="15.75" customHeight="1">
      <c r="A389" s="298"/>
      <c r="B389" s="298"/>
      <c r="C389" s="1901"/>
      <c r="D389" s="1947"/>
      <c r="E389" s="1901"/>
      <c r="F389" s="1954"/>
      <c r="G389" s="1901"/>
      <c r="H389" s="1901"/>
      <c r="I389" s="1901"/>
      <c r="J389" s="1647"/>
      <c r="K389" s="1901"/>
      <c r="L389" s="1901"/>
      <c r="M389" s="1955"/>
      <c r="N389" s="1956"/>
      <c r="O389" s="1955"/>
      <c r="P389" s="1955"/>
      <c r="Q389" s="1956"/>
      <c r="R389" s="493"/>
      <c r="S389" s="493"/>
      <c r="T389" s="493"/>
      <c r="U389" s="493"/>
      <c r="V389" s="298"/>
      <c r="W389" s="298"/>
      <c r="X389" s="298"/>
      <c r="Y389" s="298"/>
      <c r="Z389" s="298"/>
      <c r="AA389" s="298"/>
      <c r="AB389" s="298"/>
      <c r="AC389" s="298"/>
      <c r="AD389" s="298"/>
      <c r="AE389" s="298"/>
      <c r="AF389" s="298"/>
      <c r="AG389" s="298"/>
      <c r="AH389" s="298"/>
      <c r="AI389" s="298"/>
      <c r="AJ389" s="298"/>
      <c r="AK389" s="298"/>
      <c r="AL389" s="298"/>
      <c r="AM389" s="298"/>
    </row>
    <row r="390" spans="1:39" ht="15.75" customHeight="1">
      <c r="A390" s="298"/>
      <c r="B390" s="298"/>
      <c r="C390" s="1901"/>
      <c r="D390" s="1947"/>
      <c r="E390" s="1901"/>
      <c r="F390" s="1954"/>
      <c r="G390" s="1901"/>
      <c r="H390" s="1901"/>
      <c r="I390" s="1901"/>
      <c r="J390" s="1647"/>
      <c r="K390" s="1901"/>
      <c r="L390" s="1901"/>
      <c r="M390" s="1955"/>
      <c r="N390" s="1956"/>
      <c r="O390" s="1955"/>
      <c r="P390" s="1955"/>
      <c r="Q390" s="1956"/>
      <c r="R390" s="493"/>
      <c r="S390" s="493"/>
      <c r="T390" s="493"/>
      <c r="U390" s="493"/>
      <c r="V390" s="298"/>
      <c r="W390" s="298"/>
      <c r="X390" s="298"/>
      <c r="Y390" s="298"/>
      <c r="Z390" s="298"/>
      <c r="AA390" s="298"/>
      <c r="AB390" s="298"/>
      <c r="AC390" s="298"/>
      <c r="AD390" s="298"/>
      <c r="AE390" s="298"/>
      <c r="AF390" s="298"/>
      <c r="AG390" s="298"/>
      <c r="AH390" s="298"/>
      <c r="AI390" s="298"/>
      <c r="AJ390" s="298"/>
      <c r="AK390" s="298"/>
      <c r="AL390" s="298"/>
      <c r="AM390" s="298"/>
    </row>
    <row r="391" spans="1:39" ht="15.75" customHeight="1">
      <c r="A391" s="298"/>
      <c r="B391" s="298"/>
      <c r="C391" s="1901"/>
      <c r="D391" s="1947"/>
      <c r="E391" s="1901"/>
      <c r="F391" s="1954"/>
      <c r="G391" s="1901"/>
      <c r="H391" s="1901"/>
      <c r="I391" s="1901"/>
      <c r="J391" s="1647"/>
      <c r="K391" s="1901"/>
      <c r="L391" s="1901"/>
      <c r="M391" s="1955"/>
      <c r="N391" s="1956"/>
      <c r="O391" s="1955"/>
      <c r="P391" s="1955"/>
      <c r="Q391" s="1956"/>
      <c r="R391" s="493"/>
      <c r="S391" s="493"/>
      <c r="T391" s="493"/>
      <c r="U391" s="493"/>
      <c r="V391" s="298"/>
      <c r="W391" s="298"/>
      <c r="X391" s="298"/>
      <c r="Y391" s="298"/>
      <c r="Z391" s="298"/>
      <c r="AA391" s="298"/>
      <c r="AB391" s="298"/>
      <c r="AC391" s="298"/>
      <c r="AD391" s="298"/>
      <c r="AE391" s="298"/>
      <c r="AF391" s="298"/>
      <c r="AG391" s="298"/>
      <c r="AH391" s="298"/>
      <c r="AI391" s="298"/>
      <c r="AJ391" s="298"/>
      <c r="AK391" s="298"/>
      <c r="AL391" s="298"/>
      <c r="AM391" s="298"/>
    </row>
    <row r="392" spans="1:39" ht="15.75" customHeight="1">
      <c r="A392" s="298"/>
      <c r="B392" s="298"/>
      <c r="C392" s="1901"/>
      <c r="D392" s="1947"/>
      <c r="E392" s="1901"/>
      <c r="F392" s="1954"/>
      <c r="G392" s="1901"/>
      <c r="H392" s="1901"/>
      <c r="I392" s="1901"/>
      <c r="J392" s="1647"/>
      <c r="K392" s="1901"/>
      <c r="L392" s="1901"/>
      <c r="M392" s="1955"/>
      <c r="N392" s="1956"/>
      <c r="O392" s="1955"/>
      <c r="P392" s="1955"/>
      <c r="Q392" s="1956"/>
      <c r="R392" s="493"/>
      <c r="S392" s="493"/>
      <c r="T392" s="493"/>
      <c r="U392" s="493"/>
      <c r="V392" s="298"/>
      <c r="W392" s="298"/>
      <c r="X392" s="298"/>
      <c r="Y392" s="298"/>
      <c r="Z392" s="298"/>
      <c r="AA392" s="298"/>
      <c r="AB392" s="298"/>
      <c r="AC392" s="298"/>
      <c r="AD392" s="298"/>
      <c r="AE392" s="298"/>
      <c r="AF392" s="298"/>
      <c r="AG392" s="298"/>
      <c r="AH392" s="298"/>
      <c r="AI392" s="298"/>
      <c r="AJ392" s="298"/>
      <c r="AK392" s="298"/>
      <c r="AL392" s="298"/>
      <c r="AM392" s="298"/>
    </row>
    <row r="393" spans="1:39" ht="15.75" customHeight="1">
      <c r="A393" s="298"/>
      <c r="B393" s="298"/>
      <c r="C393" s="1901"/>
      <c r="D393" s="1947"/>
      <c r="E393" s="1901"/>
      <c r="F393" s="1954"/>
      <c r="G393" s="1901"/>
      <c r="H393" s="1901"/>
      <c r="I393" s="1901"/>
      <c r="J393" s="1647"/>
      <c r="K393" s="1901"/>
      <c r="L393" s="1901"/>
      <c r="M393" s="1955"/>
      <c r="N393" s="1956"/>
      <c r="O393" s="1955"/>
      <c r="P393" s="1955"/>
      <c r="Q393" s="1956"/>
      <c r="R393" s="493"/>
      <c r="S393" s="493"/>
      <c r="T393" s="493"/>
      <c r="U393" s="493"/>
      <c r="V393" s="298"/>
      <c r="W393" s="298"/>
      <c r="X393" s="298"/>
      <c r="Y393" s="298"/>
      <c r="Z393" s="298"/>
      <c r="AA393" s="298"/>
      <c r="AB393" s="298"/>
      <c r="AC393" s="298"/>
      <c r="AD393" s="298"/>
      <c r="AE393" s="298"/>
      <c r="AF393" s="298"/>
      <c r="AG393" s="298"/>
      <c r="AH393" s="298"/>
      <c r="AI393" s="298"/>
      <c r="AJ393" s="298"/>
      <c r="AK393" s="298"/>
      <c r="AL393" s="298"/>
      <c r="AM393" s="298"/>
    </row>
    <row r="394" spans="1:39" ht="15.75" customHeight="1">
      <c r="A394" s="298"/>
      <c r="B394" s="298"/>
      <c r="C394" s="1901"/>
      <c r="D394" s="1947"/>
      <c r="E394" s="1901"/>
      <c r="F394" s="1954"/>
      <c r="G394" s="1901"/>
      <c r="H394" s="1901"/>
      <c r="I394" s="1901"/>
      <c r="J394" s="1647"/>
      <c r="K394" s="1901"/>
      <c r="L394" s="1901"/>
      <c r="M394" s="1955"/>
      <c r="N394" s="1956"/>
      <c r="O394" s="1955"/>
      <c r="P394" s="1955"/>
      <c r="Q394" s="1956"/>
      <c r="R394" s="493"/>
      <c r="S394" s="493"/>
      <c r="T394" s="493"/>
      <c r="U394" s="493"/>
      <c r="V394" s="298"/>
      <c r="W394" s="298"/>
      <c r="X394" s="298"/>
      <c r="Y394" s="298"/>
      <c r="Z394" s="298"/>
      <c r="AA394" s="298"/>
      <c r="AB394" s="298"/>
      <c r="AC394" s="298"/>
      <c r="AD394" s="298"/>
      <c r="AE394" s="298"/>
      <c r="AF394" s="298"/>
      <c r="AG394" s="298"/>
      <c r="AH394" s="298"/>
      <c r="AI394" s="298"/>
      <c r="AJ394" s="298"/>
      <c r="AK394" s="298"/>
      <c r="AL394" s="298"/>
      <c r="AM394" s="298"/>
    </row>
    <row r="395" spans="1:39" ht="15.75" customHeight="1">
      <c r="A395" s="298"/>
      <c r="B395" s="298"/>
      <c r="C395" s="1901"/>
      <c r="D395" s="1947"/>
      <c r="E395" s="1901"/>
      <c r="F395" s="1954"/>
      <c r="G395" s="1901"/>
      <c r="H395" s="1901"/>
      <c r="I395" s="1901"/>
      <c r="J395" s="1647"/>
      <c r="K395" s="1901"/>
      <c r="L395" s="1901"/>
      <c r="M395" s="1955"/>
      <c r="N395" s="1956"/>
      <c r="O395" s="1955"/>
      <c r="P395" s="1955"/>
      <c r="Q395" s="1956"/>
      <c r="R395" s="493"/>
      <c r="S395" s="493"/>
      <c r="T395" s="493"/>
      <c r="U395" s="493"/>
      <c r="V395" s="298"/>
      <c r="W395" s="298"/>
      <c r="X395" s="298"/>
      <c r="Y395" s="298"/>
      <c r="Z395" s="298"/>
      <c r="AA395" s="298"/>
      <c r="AB395" s="298"/>
      <c r="AC395" s="298"/>
      <c r="AD395" s="298"/>
      <c r="AE395" s="298"/>
      <c r="AF395" s="298"/>
      <c r="AG395" s="298"/>
      <c r="AH395" s="298"/>
      <c r="AI395" s="298"/>
      <c r="AJ395" s="298"/>
      <c r="AK395" s="298"/>
      <c r="AL395" s="298"/>
      <c r="AM395" s="298"/>
    </row>
    <row r="396" spans="1:39" ht="15.75" customHeight="1">
      <c r="A396" s="298"/>
      <c r="B396" s="298"/>
      <c r="C396" s="1901"/>
      <c r="D396" s="1947"/>
      <c r="E396" s="1901"/>
      <c r="F396" s="1954"/>
      <c r="G396" s="1901"/>
      <c r="H396" s="1901"/>
      <c r="I396" s="1901"/>
      <c r="J396" s="1647"/>
      <c r="K396" s="1901"/>
      <c r="L396" s="1901"/>
      <c r="M396" s="1955"/>
      <c r="N396" s="1956"/>
      <c r="O396" s="1955"/>
      <c r="P396" s="1955"/>
      <c r="Q396" s="1956"/>
      <c r="R396" s="493"/>
      <c r="S396" s="493"/>
      <c r="T396" s="493"/>
      <c r="U396" s="493"/>
      <c r="V396" s="298"/>
      <c r="W396" s="298"/>
      <c r="X396" s="298"/>
      <c r="Y396" s="298"/>
      <c r="Z396" s="298"/>
      <c r="AA396" s="298"/>
      <c r="AB396" s="298"/>
      <c r="AC396" s="298"/>
      <c r="AD396" s="298"/>
      <c r="AE396" s="298"/>
      <c r="AF396" s="298"/>
      <c r="AG396" s="298"/>
      <c r="AH396" s="298"/>
      <c r="AI396" s="298"/>
      <c r="AJ396" s="298"/>
      <c r="AK396" s="298"/>
      <c r="AL396" s="298"/>
      <c r="AM396" s="298"/>
    </row>
    <row r="397" spans="1:39" ht="15.75" customHeight="1">
      <c r="A397" s="298"/>
      <c r="B397" s="298"/>
      <c r="C397" s="1901"/>
      <c r="D397" s="1947"/>
      <c r="E397" s="1901"/>
      <c r="F397" s="1954"/>
      <c r="G397" s="1901"/>
      <c r="H397" s="1901"/>
      <c r="I397" s="1901"/>
      <c r="J397" s="1647"/>
      <c r="K397" s="1901"/>
      <c r="L397" s="1901"/>
      <c r="M397" s="1955"/>
      <c r="N397" s="1956"/>
      <c r="O397" s="1955"/>
      <c r="P397" s="1955"/>
      <c r="Q397" s="1956"/>
      <c r="R397" s="493"/>
      <c r="S397" s="493"/>
      <c r="T397" s="493"/>
      <c r="U397" s="493"/>
      <c r="V397" s="298"/>
      <c r="W397" s="298"/>
      <c r="X397" s="298"/>
      <c r="Y397" s="298"/>
      <c r="Z397" s="298"/>
      <c r="AA397" s="298"/>
      <c r="AB397" s="298"/>
      <c r="AC397" s="298"/>
      <c r="AD397" s="298"/>
      <c r="AE397" s="298"/>
      <c r="AF397" s="298"/>
      <c r="AG397" s="298"/>
      <c r="AH397" s="298"/>
      <c r="AI397" s="298"/>
      <c r="AJ397" s="298"/>
      <c r="AK397" s="298"/>
      <c r="AL397" s="298"/>
      <c r="AM397" s="298"/>
    </row>
    <row r="398" spans="1:39" ht="15.75" customHeight="1">
      <c r="A398" s="298"/>
      <c r="B398" s="298"/>
      <c r="C398" s="1901"/>
      <c r="D398" s="1947"/>
      <c r="E398" s="1901"/>
      <c r="F398" s="1954"/>
      <c r="G398" s="1901"/>
      <c r="H398" s="1901"/>
      <c r="I398" s="1901"/>
      <c r="J398" s="1647"/>
      <c r="K398" s="1901"/>
      <c r="L398" s="1901"/>
      <c r="M398" s="1955"/>
      <c r="N398" s="1956"/>
      <c r="O398" s="1955"/>
      <c r="P398" s="1955"/>
      <c r="Q398" s="1956"/>
      <c r="R398" s="493"/>
      <c r="S398" s="493"/>
      <c r="T398" s="493"/>
      <c r="U398" s="493"/>
      <c r="V398" s="298"/>
      <c r="W398" s="298"/>
      <c r="X398" s="298"/>
      <c r="Y398" s="298"/>
      <c r="Z398" s="298"/>
      <c r="AA398" s="298"/>
      <c r="AB398" s="298"/>
      <c r="AC398" s="298"/>
      <c r="AD398" s="298"/>
      <c r="AE398" s="298"/>
      <c r="AF398" s="298"/>
      <c r="AG398" s="298"/>
      <c r="AH398" s="298"/>
      <c r="AI398" s="298"/>
      <c r="AJ398" s="298"/>
      <c r="AK398" s="298"/>
      <c r="AL398" s="298"/>
      <c r="AM398" s="298"/>
    </row>
    <row r="399" spans="1:39" ht="15.75" customHeight="1">
      <c r="A399" s="298"/>
      <c r="B399" s="298"/>
      <c r="C399" s="1901"/>
      <c r="D399" s="1947"/>
      <c r="E399" s="1901"/>
      <c r="F399" s="1954"/>
      <c r="G399" s="1901"/>
      <c r="H399" s="1901"/>
      <c r="I399" s="1901"/>
      <c r="J399" s="1647"/>
      <c r="K399" s="1901"/>
      <c r="L399" s="1901"/>
      <c r="M399" s="1955"/>
      <c r="N399" s="1956"/>
      <c r="O399" s="1955"/>
      <c r="P399" s="1955"/>
      <c r="Q399" s="1956"/>
      <c r="R399" s="493"/>
      <c r="S399" s="493"/>
      <c r="T399" s="493"/>
      <c r="U399" s="493"/>
      <c r="V399" s="298"/>
      <c r="W399" s="298"/>
      <c r="X399" s="298"/>
      <c r="Y399" s="298"/>
      <c r="Z399" s="298"/>
      <c r="AA399" s="298"/>
      <c r="AB399" s="298"/>
      <c r="AC399" s="298"/>
      <c r="AD399" s="298"/>
      <c r="AE399" s="298"/>
      <c r="AF399" s="298"/>
      <c r="AG399" s="298"/>
      <c r="AH399" s="298"/>
      <c r="AI399" s="298"/>
      <c r="AJ399" s="298"/>
      <c r="AK399" s="298"/>
      <c r="AL399" s="298"/>
      <c r="AM399" s="298"/>
    </row>
    <row r="400" spans="1:39" ht="15.75" customHeight="1">
      <c r="A400" s="298"/>
      <c r="B400" s="298"/>
      <c r="C400" s="1901"/>
      <c r="D400" s="1947"/>
      <c r="E400" s="1901"/>
      <c r="F400" s="1954"/>
      <c r="G400" s="1901"/>
      <c r="H400" s="1901"/>
      <c r="I400" s="1901"/>
      <c r="J400" s="1647"/>
      <c r="K400" s="1901"/>
      <c r="L400" s="1901"/>
      <c r="M400" s="1955"/>
      <c r="N400" s="1956"/>
      <c r="O400" s="1955"/>
      <c r="P400" s="1955"/>
      <c r="Q400" s="1956"/>
      <c r="R400" s="493"/>
      <c r="S400" s="493"/>
      <c r="T400" s="493"/>
      <c r="U400" s="493"/>
      <c r="V400" s="298"/>
      <c r="W400" s="298"/>
      <c r="X400" s="298"/>
      <c r="Y400" s="298"/>
      <c r="Z400" s="298"/>
      <c r="AA400" s="298"/>
      <c r="AB400" s="298"/>
      <c r="AC400" s="298"/>
      <c r="AD400" s="298"/>
      <c r="AE400" s="298"/>
      <c r="AF400" s="298"/>
      <c r="AG400" s="298"/>
      <c r="AH400" s="298"/>
      <c r="AI400" s="298"/>
      <c r="AJ400" s="298"/>
      <c r="AK400" s="298"/>
      <c r="AL400" s="298"/>
      <c r="AM400" s="298"/>
    </row>
    <row r="401" spans="1:39" ht="15.75" customHeight="1">
      <c r="A401" s="298"/>
      <c r="B401" s="298"/>
      <c r="C401" s="1901"/>
      <c r="D401" s="1947"/>
      <c r="E401" s="1901"/>
      <c r="F401" s="1954"/>
      <c r="G401" s="1901"/>
      <c r="H401" s="1901"/>
      <c r="I401" s="1901"/>
      <c r="J401" s="1647"/>
      <c r="K401" s="1901"/>
      <c r="L401" s="1901"/>
      <c r="M401" s="1955"/>
      <c r="N401" s="1956"/>
      <c r="O401" s="1955"/>
      <c r="P401" s="1955"/>
      <c r="Q401" s="1956"/>
      <c r="R401" s="493"/>
      <c r="S401" s="493"/>
      <c r="T401" s="493"/>
      <c r="U401" s="493"/>
      <c r="V401" s="298"/>
      <c r="W401" s="298"/>
      <c r="X401" s="298"/>
      <c r="Y401" s="298"/>
      <c r="Z401" s="298"/>
      <c r="AA401" s="298"/>
      <c r="AB401" s="298"/>
      <c r="AC401" s="298"/>
      <c r="AD401" s="298"/>
      <c r="AE401" s="298"/>
      <c r="AF401" s="298"/>
      <c r="AG401" s="298"/>
      <c r="AH401" s="298"/>
      <c r="AI401" s="298"/>
      <c r="AJ401" s="298"/>
      <c r="AK401" s="298"/>
      <c r="AL401" s="298"/>
      <c r="AM401" s="298"/>
    </row>
    <row r="402" spans="1:39" ht="15.75" customHeight="1">
      <c r="A402" s="298"/>
      <c r="B402" s="298"/>
      <c r="C402" s="1901"/>
      <c r="D402" s="1947"/>
      <c r="E402" s="1901"/>
      <c r="F402" s="1954"/>
      <c r="G402" s="1901"/>
      <c r="H402" s="1901"/>
      <c r="I402" s="1901"/>
      <c r="J402" s="1647"/>
      <c r="K402" s="1901"/>
      <c r="L402" s="1901"/>
      <c r="M402" s="1955"/>
      <c r="N402" s="1956"/>
      <c r="O402" s="1955"/>
      <c r="P402" s="1955"/>
      <c r="Q402" s="1956"/>
      <c r="R402" s="493"/>
      <c r="S402" s="493"/>
      <c r="T402" s="493"/>
      <c r="U402" s="493"/>
      <c r="V402" s="298"/>
      <c r="W402" s="298"/>
      <c r="X402" s="298"/>
      <c r="Y402" s="298"/>
      <c r="Z402" s="298"/>
      <c r="AA402" s="298"/>
      <c r="AB402" s="298"/>
      <c r="AC402" s="298"/>
      <c r="AD402" s="298"/>
      <c r="AE402" s="298"/>
      <c r="AF402" s="298"/>
      <c r="AG402" s="298"/>
      <c r="AH402" s="298"/>
      <c r="AI402" s="298"/>
      <c r="AJ402" s="298"/>
      <c r="AK402" s="298"/>
      <c r="AL402" s="298"/>
      <c r="AM402" s="298"/>
    </row>
    <row r="403" spans="1:39" ht="15.75" customHeight="1">
      <c r="A403" s="298"/>
      <c r="B403" s="298"/>
      <c r="C403" s="1901"/>
      <c r="D403" s="1947"/>
      <c r="E403" s="1901"/>
      <c r="F403" s="1954"/>
      <c r="G403" s="1901"/>
      <c r="H403" s="1901"/>
      <c r="I403" s="1901"/>
      <c r="J403" s="1647"/>
      <c r="K403" s="1901"/>
      <c r="L403" s="1901"/>
      <c r="M403" s="1955"/>
      <c r="N403" s="1956"/>
      <c r="O403" s="1955"/>
      <c r="P403" s="1955"/>
      <c r="Q403" s="1956"/>
      <c r="R403" s="493"/>
      <c r="S403" s="493"/>
      <c r="T403" s="493"/>
      <c r="U403" s="493"/>
      <c r="V403" s="298"/>
      <c r="W403" s="298"/>
      <c r="X403" s="298"/>
      <c r="Y403" s="298"/>
      <c r="Z403" s="298"/>
      <c r="AA403" s="298"/>
      <c r="AB403" s="298"/>
      <c r="AC403" s="298"/>
      <c r="AD403" s="298"/>
      <c r="AE403" s="298"/>
      <c r="AF403" s="298"/>
      <c r="AG403" s="298"/>
      <c r="AH403" s="298"/>
      <c r="AI403" s="298"/>
      <c r="AJ403" s="298"/>
      <c r="AK403" s="298"/>
      <c r="AL403" s="298"/>
      <c r="AM403" s="298"/>
    </row>
    <row r="404" spans="1:39" ht="15.75" customHeight="1">
      <c r="A404" s="298"/>
      <c r="B404" s="298"/>
      <c r="C404" s="1901"/>
      <c r="D404" s="1947"/>
      <c r="E404" s="1901"/>
      <c r="F404" s="1954"/>
      <c r="G404" s="1901"/>
      <c r="H404" s="1901"/>
      <c r="I404" s="1901"/>
      <c r="J404" s="1647"/>
      <c r="K404" s="1901"/>
      <c r="L404" s="1901"/>
      <c r="M404" s="1955"/>
      <c r="N404" s="1956"/>
      <c r="O404" s="1955"/>
      <c r="P404" s="1955"/>
      <c r="Q404" s="1956"/>
      <c r="R404" s="493"/>
      <c r="S404" s="493"/>
      <c r="T404" s="493"/>
      <c r="U404" s="493"/>
      <c r="V404" s="298"/>
      <c r="W404" s="298"/>
      <c r="X404" s="298"/>
      <c r="Y404" s="298"/>
      <c r="Z404" s="298"/>
      <c r="AA404" s="298"/>
      <c r="AB404" s="298"/>
      <c r="AC404" s="298"/>
      <c r="AD404" s="298"/>
      <c r="AE404" s="298"/>
      <c r="AF404" s="298"/>
      <c r="AG404" s="298"/>
      <c r="AH404" s="298"/>
      <c r="AI404" s="298"/>
      <c r="AJ404" s="298"/>
      <c r="AK404" s="298"/>
      <c r="AL404" s="298"/>
      <c r="AM404" s="298"/>
    </row>
    <row r="405" spans="1:39" ht="15.75" customHeight="1">
      <c r="A405" s="298"/>
      <c r="B405" s="298"/>
      <c r="C405" s="1901"/>
      <c r="D405" s="1947"/>
      <c r="E405" s="1901"/>
      <c r="F405" s="1954"/>
      <c r="G405" s="1901"/>
      <c r="H405" s="1901"/>
      <c r="I405" s="1901"/>
      <c r="J405" s="1647"/>
      <c r="K405" s="1901"/>
      <c r="L405" s="1901"/>
      <c r="M405" s="1955"/>
      <c r="N405" s="1956"/>
      <c r="O405" s="1955"/>
      <c r="P405" s="1955"/>
      <c r="Q405" s="1956"/>
      <c r="R405" s="493"/>
      <c r="S405" s="493"/>
      <c r="T405" s="493"/>
      <c r="U405" s="493"/>
      <c r="V405" s="298"/>
      <c r="W405" s="298"/>
      <c r="X405" s="298"/>
      <c r="Y405" s="298"/>
      <c r="Z405" s="298"/>
      <c r="AA405" s="298"/>
      <c r="AB405" s="298"/>
      <c r="AC405" s="298"/>
      <c r="AD405" s="298"/>
      <c r="AE405" s="298"/>
      <c r="AF405" s="298"/>
      <c r="AG405" s="298"/>
      <c r="AH405" s="298"/>
      <c r="AI405" s="298"/>
      <c r="AJ405" s="298"/>
      <c r="AK405" s="298"/>
      <c r="AL405" s="298"/>
      <c r="AM405" s="298"/>
    </row>
    <row r="406" spans="1:39" ht="15.75" customHeight="1">
      <c r="A406" s="298"/>
      <c r="B406" s="298"/>
      <c r="C406" s="1901"/>
      <c r="D406" s="1947"/>
      <c r="E406" s="1901"/>
      <c r="F406" s="1954"/>
      <c r="G406" s="1901"/>
      <c r="H406" s="1901"/>
      <c r="I406" s="1901"/>
      <c r="J406" s="1647"/>
      <c r="K406" s="1901"/>
      <c r="L406" s="1901"/>
      <c r="M406" s="1955"/>
      <c r="N406" s="1956"/>
      <c r="O406" s="1955"/>
      <c r="P406" s="1955"/>
      <c r="Q406" s="1956"/>
      <c r="R406" s="493"/>
      <c r="S406" s="493"/>
      <c r="T406" s="493"/>
      <c r="U406" s="493"/>
      <c r="V406" s="298"/>
      <c r="W406" s="298"/>
      <c r="X406" s="298"/>
      <c r="Y406" s="298"/>
      <c r="Z406" s="298"/>
      <c r="AA406" s="298"/>
      <c r="AB406" s="298"/>
      <c r="AC406" s="298"/>
      <c r="AD406" s="298"/>
      <c r="AE406" s="298"/>
      <c r="AF406" s="298"/>
      <c r="AG406" s="298"/>
      <c r="AH406" s="298"/>
      <c r="AI406" s="298"/>
      <c r="AJ406" s="298"/>
      <c r="AK406" s="298"/>
      <c r="AL406" s="298"/>
      <c r="AM406" s="298"/>
    </row>
    <row r="407" spans="1:39" ht="15.75" customHeight="1">
      <c r="A407" s="298"/>
      <c r="B407" s="298"/>
      <c r="C407" s="1901"/>
      <c r="D407" s="1947"/>
      <c r="E407" s="1901"/>
      <c r="F407" s="1954"/>
      <c r="G407" s="1901"/>
      <c r="H407" s="1901"/>
      <c r="I407" s="1901"/>
      <c r="J407" s="1647"/>
      <c r="K407" s="1901"/>
      <c r="L407" s="1901"/>
      <c r="M407" s="1955"/>
      <c r="N407" s="1956"/>
      <c r="O407" s="1955"/>
      <c r="P407" s="1955"/>
      <c r="Q407" s="1956"/>
      <c r="R407" s="493"/>
      <c r="S407" s="493"/>
      <c r="T407" s="493"/>
      <c r="U407" s="493"/>
      <c r="V407" s="298"/>
      <c r="W407" s="298"/>
      <c r="X407" s="298"/>
      <c r="Y407" s="298"/>
      <c r="Z407" s="298"/>
      <c r="AA407" s="298"/>
      <c r="AB407" s="298"/>
      <c r="AC407" s="298"/>
      <c r="AD407" s="298"/>
      <c r="AE407" s="298"/>
      <c r="AF407" s="298"/>
      <c r="AG407" s="298"/>
      <c r="AH407" s="298"/>
      <c r="AI407" s="298"/>
      <c r="AJ407" s="298"/>
      <c r="AK407" s="298"/>
      <c r="AL407" s="298"/>
      <c r="AM407" s="298"/>
    </row>
    <row r="408" spans="1:39" ht="15.75" customHeight="1">
      <c r="A408" s="298"/>
      <c r="B408" s="298"/>
      <c r="C408" s="1901"/>
      <c r="D408" s="1947"/>
      <c r="E408" s="1901"/>
      <c r="F408" s="1954"/>
      <c r="G408" s="1901"/>
      <c r="H408" s="1901"/>
      <c r="I408" s="1901"/>
      <c r="J408" s="1647"/>
      <c r="K408" s="1901"/>
      <c r="L408" s="1901"/>
      <c r="M408" s="1955"/>
      <c r="N408" s="1956"/>
      <c r="O408" s="1955"/>
      <c r="P408" s="1955"/>
      <c r="Q408" s="1956"/>
      <c r="R408" s="493"/>
      <c r="S408" s="493"/>
      <c r="T408" s="493"/>
      <c r="U408" s="493"/>
      <c r="V408" s="298"/>
      <c r="W408" s="298"/>
      <c r="X408" s="298"/>
      <c r="Y408" s="298"/>
      <c r="Z408" s="298"/>
      <c r="AA408" s="298"/>
      <c r="AB408" s="298"/>
      <c r="AC408" s="298"/>
      <c r="AD408" s="298"/>
      <c r="AE408" s="298"/>
      <c r="AF408" s="298"/>
      <c r="AG408" s="298"/>
      <c r="AH408" s="298"/>
      <c r="AI408" s="298"/>
      <c r="AJ408" s="298"/>
      <c r="AK408" s="298"/>
      <c r="AL408" s="298"/>
      <c r="AM408" s="298"/>
    </row>
    <row r="409" spans="1:39" ht="15.75" customHeight="1">
      <c r="A409" s="298"/>
      <c r="B409" s="298"/>
      <c r="C409" s="1901"/>
      <c r="D409" s="1947"/>
      <c r="E409" s="1901"/>
      <c r="F409" s="1954"/>
      <c r="G409" s="1901"/>
      <c r="H409" s="1901"/>
      <c r="I409" s="1901"/>
      <c r="J409" s="1647"/>
      <c r="K409" s="1901"/>
      <c r="L409" s="1901"/>
      <c r="M409" s="1955"/>
      <c r="N409" s="1956"/>
      <c r="O409" s="1955"/>
      <c r="P409" s="1955"/>
      <c r="Q409" s="1956"/>
      <c r="R409" s="493"/>
      <c r="S409" s="493"/>
      <c r="T409" s="493"/>
      <c r="U409" s="493"/>
      <c r="V409" s="298"/>
      <c r="W409" s="298"/>
      <c r="X409" s="298"/>
      <c r="Y409" s="298"/>
      <c r="Z409" s="298"/>
      <c r="AA409" s="298"/>
      <c r="AB409" s="298"/>
      <c r="AC409" s="298"/>
      <c r="AD409" s="298"/>
      <c r="AE409" s="298"/>
      <c r="AF409" s="298"/>
      <c r="AG409" s="298"/>
      <c r="AH409" s="298"/>
      <c r="AI409" s="298"/>
      <c r="AJ409" s="298"/>
      <c r="AK409" s="298"/>
      <c r="AL409" s="298"/>
      <c r="AM409" s="298"/>
    </row>
    <row r="410" spans="1:39" ht="15.75" customHeight="1">
      <c r="A410" s="298"/>
      <c r="B410" s="298"/>
      <c r="C410" s="1901"/>
      <c r="D410" s="1947"/>
      <c r="E410" s="1901"/>
      <c r="F410" s="1954"/>
      <c r="G410" s="1901"/>
      <c r="H410" s="1901"/>
      <c r="I410" s="1901"/>
      <c r="J410" s="1647"/>
      <c r="K410" s="1901"/>
      <c r="L410" s="1901"/>
      <c r="M410" s="1955"/>
      <c r="N410" s="1956"/>
      <c r="O410" s="1955"/>
      <c r="P410" s="1955"/>
      <c r="Q410" s="1956"/>
      <c r="R410" s="493"/>
      <c r="S410" s="493"/>
      <c r="T410" s="493"/>
      <c r="U410" s="493"/>
      <c r="V410" s="298"/>
      <c r="W410" s="298"/>
      <c r="X410" s="298"/>
      <c r="Y410" s="298"/>
      <c r="Z410" s="298"/>
      <c r="AA410" s="298"/>
      <c r="AB410" s="298"/>
      <c r="AC410" s="298"/>
      <c r="AD410" s="298"/>
      <c r="AE410" s="298"/>
      <c r="AF410" s="298"/>
      <c r="AG410" s="298"/>
      <c r="AH410" s="298"/>
      <c r="AI410" s="298"/>
      <c r="AJ410" s="298"/>
      <c r="AK410" s="298"/>
      <c r="AL410" s="298"/>
      <c r="AM410" s="298"/>
    </row>
    <row r="411" spans="1:39" ht="15.75" customHeight="1">
      <c r="A411" s="298"/>
      <c r="B411" s="298"/>
      <c r="C411" s="1901"/>
      <c r="D411" s="1947"/>
      <c r="E411" s="1901"/>
      <c r="F411" s="1954"/>
      <c r="G411" s="1901"/>
      <c r="H411" s="1901"/>
      <c r="I411" s="1901"/>
      <c r="J411" s="1647"/>
      <c r="K411" s="1901"/>
      <c r="L411" s="1901"/>
      <c r="M411" s="1955"/>
      <c r="N411" s="1956"/>
      <c r="O411" s="1955"/>
      <c r="P411" s="1955"/>
      <c r="Q411" s="1956"/>
      <c r="R411" s="493"/>
      <c r="S411" s="493"/>
      <c r="T411" s="493"/>
      <c r="U411" s="493"/>
      <c r="V411" s="298"/>
      <c r="W411" s="298"/>
      <c r="X411" s="298"/>
      <c r="Y411" s="298"/>
      <c r="Z411" s="298"/>
      <c r="AA411" s="298"/>
      <c r="AB411" s="298"/>
      <c r="AC411" s="298"/>
      <c r="AD411" s="298"/>
      <c r="AE411" s="298"/>
      <c r="AF411" s="298"/>
      <c r="AG411" s="298"/>
      <c r="AH411" s="298"/>
      <c r="AI411" s="298"/>
      <c r="AJ411" s="298"/>
      <c r="AK411" s="298"/>
      <c r="AL411" s="298"/>
      <c r="AM411" s="298"/>
    </row>
    <row r="412" spans="1:39" ht="15.75" customHeight="1">
      <c r="A412" s="298"/>
      <c r="B412" s="298"/>
      <c r="C412" s="1901"/>
      <c r="D412" s="1947"/>
      <c r="E412" s="1901"/>
      <c r="F412" s="1954"/>
      <c r="G412" s="1901"/>
      <c r="H412" s="1901"/>
      <c r="I412" s="1901"/>
      <c r="J412" s="1647"/>
      <c r="K412" s="1901"/>
      <c r="L412" s="1901"/>
      <c r="M412" s="1955"/>
      <c r="N412" s="1956"/>
      <c r="O412" s="1955"/>
      <c r="P412" s="1955"/>
      <c r="Q412" s="1956"/>
      <c r="R412" s="493"/>
      <c r="S412" s="493"/>
      <c r="T412" s="493"/>
      <c r="U412" s="493"/>
      <c r="V412" s="298"/>
      <c r="W412" s="298"/>
      <c r="X412" s="298"/>
      <c r="Y412" s="298"/>
      <c r="Z412" s="298"/>
      <c r="AA412" s="298"/>
      <c r="AB412" s="298"/>
      <c r="AC412" s="298"/>
      <c r="AD412" s="298"/>
      <c r="AE412" s="298"/>
      <c r="AF412" s="298"/>
      <c r="AG412" s="298"/>
      <c r="AH412" s="298"/>
      <c r="AI412" s="298"/>
      <c r="AJ412" s="298"/>
      <c r="AK412" s="298"/>
      <c r="AL412" s="298"/>
      <c r="AM412" s="298"/>
    </row>
    <row r="413" spans="1:39" ht="15.75" customHeight="1">
      <c r="A413" s="298"/>
      <c r="B413" s="298"/>
      <c r="C413" s="1901"/>
      <c r="D413" s="1947"/>
      <c r="E413" s="1901"/>
      <c r="F413" s="1954"/>
      <c r="G413" s="1901"/>
      <c r="H413" s="1901"/>
      <c r="I413" s="1901"/>
      <c r="J413" s="1647"/>
      <c r="K413" s="1901"/>
      <c r="L413" s="1901"/>
      <c r="M413" s="1955"/>
      <c r="N413" s="1956"/>
      <c r="O413" s="1955"/>
      <c r="P413" s="1955"/>
      <c r="Q413" s="1956"/>
      <c r="R413" s="493"/>
      <c r="S413" s="493"/>
      <c r="T413" s="493"/>
      <c r="U413" s="493"/>
      <c r="V413" s="298"/>
      <c r="W413" s="298"/>
      <c r="X413" s="298"/>
      <c r="Y413" s="298"/>
      <c r="Z413" s="298"/>
      <c r="AA413" s="298"/>
      <c r="AB413" s="298"/>
      <c r="AC413" s="298"/>
      <c r="AD413" s="298"/>
      <c r="AE413" s="298"/>
      <c r="AF413" s="298"/>
      <c r="AG413" s="298"/>
      <c r="AH413" s="298"/>
      <c r="AI413" s="298"/>
      <c r="AJ413" s="298"/>
      <c r="AK413" s="298"/>
      <c r="AL413" s="298"/>
      <c r="AM413" s="298"/>
    </row>
    <row r="414" spans="1:39" ht="15.75" customHeight="1">
      <c r="A414" s="298"/>
      <c r="B414" s="298"/>
      <c r="C414" s="1901"/>
      <c r="D414" s="1947"/>
      <c r="E414" s="1901"/>
      <c r="F414" s="1954"/>
      <c r="G414" s="1901"/>
      <c r="H414" s="1901"/>
      <c r="I414" s="1901"/>
      <c r="J414" s="1647"/>
      <c r="K414" s="1901"/>
      <c r="L414" s="1901"/>
      <c r="M414" s="1955"/>
      <c r="N414" s="1956"/>
      <c r="O414" s="1955"/>
      <c r="P414" s="1955"/>
      <c r="Q414" s="1956"/>
      <c r="R414" s="493"/>
      <c r="S414" s="493"/>
      <c r="T414" s="493"/>
      <c r="U414" s="493"/>
      <c r="V414" s="298"/>
      <c r="W414" s="298"/>
      <c r="X414" s="298"/>
      <c r="Y414" s="298"/>
      <c r="Z414" s="298"/>
      <c r="AA414" s="298"/>
      <c r="AB414" s="298"/>
      <c r="AC414" s="298"/>
      <c r="AD414" s="298"/>
      <c r="AE414" s="298"/>
      <c r="AF414" s="298"/>
      <c r="AG414" s="298"/>
      <c r="AH414" s="298"/>
      <c r="AI414" s="298"/>
      <c r="AJ414" s="298"/>
      <c r="AK414" s="298"/>
      <c r="AL414" s="298"/>
      <c r="AM414" s="298"/>
    </row>
    <row r="415" spans="1:39" ht="15.75" customHeight="1">
      <c r="A415" s="298"/>
      <c r="B415" s="298"/>
      <c r="C415" s="1901"/>
      <c r="D415" s="1947"/>
      <c r="E415" s="1901"/>
      <c r="F415" s="1954"/>
      <c r="G415" s="1901"/>
      <c r="H415" s="1901"/>
      <c r="I415" s="1901"/>
      <c r="J415" s="1647"/>
      <c r="K415" s="1901"/>
      <c r="L415" s="1901"/>
      <c r="M415" s="1955"/>
      <c r="N415" s="1956"/>
      <c r="O415" s="1955"/>
      <c r="P415" s="1955"/>
      <c r="Q415" s="1956"/>
      <c r="R415" s="493"/>
      <c r="S415" s="493"/>
      <c r="T415" s="493"/>
      <c r="U415" s="493"/>
      <c r="V415" s="298"/>
      <c r="W415" s="298"/>
      <c r="X415" s="298"/>
      <c r="Y415" s="298"/>
      <c r="Z415" s="298"/>
      <c r="AA415" s="298"/>
      <c r="AB415" s="298"/>
      <c r="AC415" s="298"/>
      <c r="AD415" s="298"/>
      <c r="AE415" s="298"/>
      <c r="AF415" s="298"/>
      <c r="AG415" s="298"/>
      <c r="AH415" s="298"/>
      <c r="AI415" s="298"/>
      <c r="AJ415" s="298"/>
      <c r="AK415" s="298"/>
      <c r="AL415" s="298"/>
      <c r="AM415" s="298"/>
    </row>
    <row r="416" spans="1:39" ht="15.75" customHeight="1">
      <c r="A416" s="298"/>
      <c r="B416" s="298"/>
      <c r="C416" s="1901"/>
      <c r="D416" s="1947"/>
      <c r="E416" s="1901"/>
      <c r="F416" s="1954"/>
      <c r="G416" s="1901"/>
      <c r="H416" s="1901"/>
      <c r="I416" s="1901"/>
      <c r="J416" s="1647"/>
      <c r="K416" s="1901"/>
      <c r="L416" s="1901"/>
      <c r="M416" s="1955"/>
      <c r="N416" s="1956"/>
      <c r="O416" s="1955"/>
      <c r="P416" s="1955"/>
      <c r="Q416" s="1956"/>
      <c r="R416" s="493"/>
      <c r="S416" s="493"/>
      <c r="T416" s="493"/>
      <c r="U416" s="493"/>
      <c r="V416" s="298"/>
      <c r="W416" s="298"/>
      <c r="X416" s="298"/>
      <c r="Y416" s="298"/>
      <c r="Z416" s="298"/>
      <c r="AA416" s="298"/>
      <c r="AB416" s="298"/>
      <c r="AC416" s="298"/>
      <c r="AD416" s="298"/>
      <c r="AE416" s="298"/>
      <c r="AF416" s="298"/>
      <c r="AG416" s="298"/>
      <c r="AH416" s="298"/>
      <c r="AI416" s="298"/>
      <c r="AJ416" s="298"/>
      <c r="AK416" s="298"/>
      <c r="AL416" s="298"/>
      <c r="AM416" s="298"/>
    </row>
    <row r="417" spans="1:39" ht="15.75" customHeight="1">
      <c r="A417" s="298"/>
      <c r="B417" s="298"/>
      <c r="C417" s="1901"/>
      <c r="D417" s="1947"/>
      <c r="E417" s="1901"/>
      <c r="F417" s="1954"/>
      <c r="G417" s="1901"/>
      <c r="H417" s="1901"/>
      <c r="I417" s="1901"/>
      <c r="J417" s="1647"/>
      <c r="K417" s="1901"/>
      <c r="L417" s="1901"/>
      <c r="M417" s="1955"/>
      <c r="N417" s="1956"/>
      <c r="O417" s="1955"/>
      <c r="P417" s="1955"/>
      <c r="Q417" s="1956"/>
      <c r="R417" s="493"/>
      <c r="S417" s="493"/>
      <c r="T417" s="493"/>
      <c r="U417" s="493"/>
      <c r="V417" s="298"/>
      <c r="W417" s="298"/>
      <c r="X417" s="298"/>
      <c r="Y417" s="298"/>
      <c r="Z417" s="298"/>
      <c r="AA417" s="298"/>
      <c r="AB417" s="298"/>
      <c r="AC417" s="298"/>
      <c r="AD417" s="298"/>
      <c r="AE417" s="298"/>
      <c r="AF417" s="298"/>
      <c r="AG417" s="298"/>
      <c r="AH417" s="298"/>
      <c r="AI417" s="298"/>
      <c r="AJ417" s="298"/>
      <c r="AK417" s="298"/>
      <c r="AL417" s="298"/>
      <c r="AM417" s="298"/>
    </row>
    <row r="418" spans="1:39" ht="15.75" customHeight="1">
      <c r="A418" s="298"/>
      <c r="B418" s="298"/>
      <c r="C418" s="1901"/>
      <c r="D418" s="1947"/>
      <c r="E418" s="1901"/>
      <c r="F418" s="1954"/>
      <c r="G418" s="1901"/>
      <c r="H418" s="1901"/>
      <c r="I418" s="1901"/>
      <c r="J418" s="1647"/>
      <c r="K418" s="1901"/>
      <c r="L418" s="1901"/>
      <c r="M418" s="1955"/>
      <c r="N418" s="1956"/>
      <c r="O418" s="1955"/>
      <c r="P418" s="1955"/>
      <c r="Q418" s="1956"/>
      <c r="R418" s="493"/>
      <c r="S418" s="493"/>
      <c r="T418" s="493"/>
      <c r="U418" s="493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298"/>
      <c r="AG418" s="298"/>
      <c r="AH418" s="298"/>
      <c r="AI418" s="298"/>
      <c r="AJ418" s="298"/>
      <c r="AK418" s="298"/>
      <c r="AL418" s="298"/>
      <c r="AM418" s="298"/>
    </row>
    <row r="419" spans="1:39" ht="15.75" customHeight="1">
      <c r="A419" s="298"/>
      <c r="B419" s="298"/>
      <c r="C419" s="1901"/>
      <c r="D419" s="1947"/>
      <c r="E419" s="1901"/>
      <c r="F419" s="1954"/>
      <c r="G419" s="1901"/>
      <c r="H419" s="1901"/>
      <c r="I419" s="1901"/>
      <c r="J419" s="1647"/>
      <c r="K419" s="1901"/>
      <c r="L419" s="1901"/>
      <c r="M419" s="1955"/>
      <c r="N419" s="1956"/>
      <c r="O419" s="1955"/>
      <c r="P419" s="1955"/>
      <c r="Q419" s="1956"/>
      <c r="R419" s="493"/>
      <c r="S419" s="493"/>
      <c r="T419" s="493"/>
      <c r="U419" s="493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298"/>
      <c r="AG419" s="298"/>
      <c r="AH419" s="298"/>
      <c r="AI419" s="298"/>
      <c r="AJ419" s="298"/>
      <c r="AK419" s="298"/>
      <c r="AL419" s="298"/>
      <c r="AM419" s="298"/>
    </row>
    <row r="420" spans="1:39" ht="15.75" customHeight="1">
      <c r="A420" s="298"/>
      <c r="B420" s="298"/>
      <c r="C420" s="1901"/>
      <c r="D420" s="1947"/>
      <c r="E420" s="1901"/>
      <c r="F420" s="1954"/>
      <c r="G420" s="1901"/>
      <c r="H420" s="1901"/>
      <c r="I420" s="1901"/>
      <c r="J420" s="1647"/>
      <c r="K420" s="1901"/>
      <c r="L420" s="1901"/>
      <c r="M420" s="1955"/>
      <c r="N420" s="1956"/>
      <c r="O420" s="1955"/>
      <c r="P420" s="1955"/>
      <c r="Q420" s="1956"/>
      <c r="R420" s="493"/>
      <c r="S420" s="493"/>
      <c r="T420" s="493"/>
      <c r="U420" s="493"/>
      <c r="V420" s="298"/>
      <c r="W420" s="298"/>
      <c r="X420" s="298"/>
      <c r="Y420" s="298"/>
      <c r="Z420" s="298"/>
      <c r="AA420" s="298"/>
      <c r="AB420" s="298"/>
      <c r="AC420" s="298"/>
      <c r="AD420" s="298"/>
      <c r="AE420" s="298"/>
      <c r="AF420" s="298"/>
      <c r="AG420" s="298"/>
      <c r="AH420" s="298"/>
      <c r="AI420" s="298"/>
      <c r="AJ420" s="298"/>
      <c r="AK420" s="298"/>
      <c r="AL420" s="298"/>
      <c r="AM420" s="298"/>
    </row>
    <row r="421" spans="1:39" ht="15.75" customHeight="1">
      <c r="A421" s="298"/>
      <c r="B421" s="298"/>
      <c r="C421" s="1901"/>
      <c r="D421" s="1947"/>
      <c r="E421" s="1901"/>
      <c r="F421" s="1954"/>
      <c r="G421" s="1901"/>
      <c r="H421" s="1901"/>
      <c r="I421" s="1901"/>
      <c r="J421" s="1647"/>
      <c r="K421" s="1901"/>
      <c r="L421" s="1901"/>
      <c r="M421" s="1955"/>
      <c r="N421" s="1956"/>
      <c r="O421" s="1955"/>
      <c r="P421" s="1955"/>
      <c r="Q421" s="1956"/>
      <c r="R421" s="493"/>
      <c r="S421" s="493"/>
      <c r="T421" s="493"/>
      <c r="U421" s="493"/>
      <c r="V421" s="298"/>
      <c r="W421" s="298"/>
      <c r="X421" s="298"/>
      <c r="Y421" s="298"/>
      <c r="Z421" s="298"/>
      <c r="AA421" s="298"/>
      <c r="AB421" s="298"/>
      <c r="AC421" s="298"/>
      <c r="AD421" s="298"/>
      <c r="AE421" s="298"/>
      <c r="AF421" s="298"/>
      <c r="AG421" s="298"/>
      <c r="AH421" s="298"/>
      <c r="AI421" s="298"/>
      <c r="AJ421" s="298"/>
      <c r="AK421" s="298"/>
      <c r="AL421" s="298"/>
      <c r="AM421" s="298"/>
    </row>
    <row r="422" spans="1:39" ht="15.75" customHeight="1">
      <c r="A422" s="298"/>
      <c r="B422" s="298"/>
      <c r="C422" s="1901"/>
      <c r="D422" s="1947"/>
      <c r="E422" s="1901"/>
      <c r="F422" s="1954"/>
      <c r="G422" s="1901"/>
      <c r="H422" s="1901"/>
      <c r="I422" s="1901"/>
      <c r="J422" s="1647"/>
      <c r="K422" s="1901"/>
      <c r="L422" s="1901"/>
      <c r="M422" s="1955"/>
      <c r="N422" s="1956"/>
      <c r="O422" s="1955"/>
      <c r="P422" s="1955"/>
      <c r="Q422" s="1956"/>
      <c r="R422" s="493"/>
      <c r="S422" s="493"/>
      <c r="T422" s="493"/>
      <c r="U422" s="493"/>
      <c r="V422" s="298"/>
      <c r="W422" s="298"/>
      <c r="X422" s="298"/>
      <c r="Y422" s="298"/>
      <c r="Z422" s="298"/>
      <c r="AA422" s="298"/>
      <c r="AB422" s="298"/>
      <c r="AC422" s="298"/>
      <c r="AD422" s="298"/>
      <c r="AE422" s="298"/>
      <c r="AF422" s="298"/>
      <c r="AG422" s="298"/>
      <c r="AH422" s="298"/>
      <c r="AI422" s="298"/>
      <c r="AJ422" s="298"/>
      <c r="AK422" s="298"/>
      <c r="AL422" s="298"/>
      <c r="AM422" s="298"/>
    </row>
    <row r="423" spans="1:39" ht="15.75" customHeight="1">
      <c r="A423" s="298"/>
      <c r="B423" s="298"/>
      <c r="C423" s="1901"/>
      <c r="D423" s="1947"/>
      <c r="E423" s="1901"/>
      <c r="F423" s="1954"/>
      <c r="G423" s="1901"/>
      <c r="H423" s="1901"/>
      <c r="I423" s="1901"/>
      <c r="J423" s="1647"/>
      <c r="K423" s="1901"/>
      <c r="L423" s="1901"/>
      <c r="M423" s="1955"/>
      <c r="N423" s="1956"/>
      <c r="O423" s="1955"/>
      <c r="P423" s="1955"/>
      <c r="Q423" s="1956"/>
      <c r="R423" s="493"/>
      <c r="S423" s="493"/>
      <c r="T423" s="493"/>
      <c r="U423" s="493"/>
      <c r="V423" s="298"/>
      <c r="W423" s="298"/>
      <c r="X423" s="298"/>
      <c r="Y423" s="298"/>
      <c r="Z423" s="298"/>
      <c r="AA423" s="298"/>
      <c r="AB423" s="298"/>
      <c r="AC423" s="298"/>
      <c r="AD423" s="298"/>
      <c r="AE423" s="298"/>
      <c r="AF423" s="298"/>
      <c r="AG423" s="298"/>
      <c r="AH423" s="298"/>
      <c r="AI423" s="298"/>
      <c r="AJ423" s="298"/>
      <c r="AK423" s="298"/>
      <c r="AL423" s="298"/>
      <c r="AM423" s="298"/>
    </row>
    <row r="424" spans="1:39" ht="15.75" customHeight="1">
      <c r="A424" s="298"/>
      <c r="B424" s="298"/>
      <c r="C424" s="1901"/>
      <c r="D424" s="1947"/>
      <c r="E424" s="1901"/>
      <c r="F424" s="1954"/>
      <c r="G424" s="1901"/>
      <c r="H424" s="1901"/>
      <c r="I424" s="1901"/>
      <c r="J424" s="1647"/>
      <c r="K424" s="1901"/>
      <c r="L424" s="1901"/>
      <c r="M424" s="1955"/>
      <c r="N424" s="1956"/>
      <c r="O424" s="1955"/>
      <c r="P424" s="1955"/>
      <c r="Q424" s="1956"/>
      <c r="R424" s="493"/>
      <c r="S424" s="493"/>
      <c r="T424" s="493"/>
      <c r="U424" s="493"/>
      <c r="V424" s="298"/>
      <c r="W424" s="298"/>
      <c r="X424" s="298"/>
      <c r="Y424" s="298"/>
      <c r="Z424" s="298"/>
      <c r="AA424" s="298"/>
      <c r="AB424" s="298"/>
      <c r="AC424" s="298"/>
      <c r="AD424" s="298"/>
      <c r="AE424" s="298"/>
      <c r="AF424" s="298"/>
      <c r="AG424" s="298"/>
      <c r="AH424" s="298"/>
      <c r="AI424" s="298"/>
      <c r="AJ424" s="298"/>
      <c r="AK424" s="298"/>
      <c r="AL424" s="298"/>
      <c r="AM424" s="298"/>
    </row>
    <row r="425" spans="1:39" ht="15.75" customHeight="1">
      <c r="A425" s="298"/>
      <c r="B425" s="298"/>
      <c r="C425" s="1901"/>
      <c r="D425" s="1947"/>
      <c r="E425" s="1901"/>
      <c r="F425" s="1954"/>
      <c r="G425" s="1901"/>
      <c r="H425" s="1901"/>
      <c r="I425" s="1901"/>
      <c r="J425" s="1647"/>
      <c r="K425" s="1901"/>
      <c r="L425" s="1901"/>
      <c r="M425" s="1955"/>
      <c r="N425" s="1956"/>
      <c r="O425" s="1955"/>
      <c r="P425" s="1955"/>
      <c r="Q425" s="1956"/>
      <c r="R425" s="493"/>
      <c r="S425" s="493"/>
      <c r="T425" s="493"/>
      <c r="U425" s="493"/>
      <c r="V425" s="298"/>
      <c r="W425" s="298"/>
      <c r="X425" s="298"/>
      <c r="Y425" s="298"/>
      <c r="Z425" s="298"/>
      <c r="AA425" s="298"/>
      <c r="AB425" s="298"/>
      <c r="AC425" s="298"/>
      <c r="AD425" s="298"/>
      <c r="AE425" s="298"/>
      <c r="AF425" s="298"/>
      <c r="AG425" s="298"/>
      <c r="AH425" s="298"/>
      <c r="AI425" s="298"/>
      <c r="AJ425" s="298"/>
      <c r="AK425" s="298"/>
      <c r="AL425" s="298"/>
      <c r="AM425" s="298"/>
    </row>
    <row r="426" spans="1:39" ht="15.75" customHeight="1">
      <c r="A426" s="298"/>
      <c r="B426" s="298"/>
      <c r="C426" s="1901"/>
      <c r="D426" s="1947"/>
      <c r="E426" s="1901"/>
      <c r="F426" s="1954"/>
      <c r="G426" s="1901"/>
      <c r="H426" s="1901"/>
      <c r="I426" s="1901"/>
      <c r="J426" s="1647"/>
      <c r="K426" s="1901"/>
      <c r="L426" s="1901"/>
      <c r="M426" s="1955"/>
      <c r="N426" s="1956"/>
      <c r="O426" s="1955"/>
      <c r="P426" s="1955"/>
      <c r="Q426" s="1956"/>
      <c r="R426" s="493"/>
      <c r="S426" s="493"/>
      <c r="T426" s="493"/>
      <c r="U426" s="493"/>
      <c r="V426" s="298"/>
      <c r="W426" s="298"/>
      <c r="X426" s="298"/>
      <c r="Y426" s="298"/>
      <c r="Z426" s="298"/>
      <c r="AA426" s="298"/>
      <c r="AB426" s="298"/>
      <c r="AC426" s="298"/>
      <c r="AD426" s="298"/>
      <c r="AE426" s="298"/>
      <c r="AF426" s="298"/>
      <c r="AG426" s="298"/>
      <c r="AH426" s="298"/>
      <c r="AI426" s="298"/>
      <c r="AJ426" s="298"/>
      <c r="AK426" s="298"/>
      <c r="AL426" s="298"/>
      <c r="AM426" s="298"/>
    </row>
    <row r="427" spans="1:39" ht="15.75" customHeight="1">
      <c r="A427" s="298"/>
      <c r="B427" s="298"/>
      <c r="C427" s="1901"/>
      <c r="D427" s="1947"/>
      <c r="E427" s="1901"/>
      <c r="F427" s="1954"/>
      <c r="G427" s="1901"/>
      <c r="H427" s="1901"/>
      <c r="I427" s="1901"/>
      <c r="J427" s="1647"/>
      <c r="K427" s="1901"/>
      <c r="L427" s="1901"/>
      <c r="M427" s="1955"/>
      <c r="N427" s="1956"/>
      <c r="O427" s="1955"/>
      <c r="P427" s="1955"/>
      <c r="Q427" s="1956"/>
      <c r="R427" s="493"/>
      <c r="S427" s="493"/>
      <c r="T427" s="493"/>
      <c r="U427" s="493"/>
      <c r="V427" s="298"/>
      <c r="W427" s="298"/>
      <c r="X427" s="298"/>
      <c r="Y427" s="298"/>
      <c r="Z427" s="298"/>
      <c r="AA427" s="298"/>
      <c r="AB427" s="298"/>
      <c r="AC427" s="298"/>
      <c r="AD427" s="298"/>
      <c r="AE427" s="298"/>
      <c r="AF427" s="298"/>
      <c r="AG427" s="298"/>
      <c r="AH427" s="298"/>
      <c r="AI427" s="298"/>
      <c r="AJ427" s="298"/>
      <c r="AK427" s="298"/>
      <c r="AL427" s="298"/>
      <c r="AM427" s="298"/>
    </row>
    <row r="428" spans="1:39" ht="15.75" customHeight="1">
      <c r="A428" s="298"/>
      <c r="B428" s="298"/>
      <c r="C428" s="1901"/>
      <c r="D428" s="1947"/>
      <c r="E428" s="1901"/>
      <c r="F428" s="1954"/>
      <c r="G428" s="1901"/>
      <c r="H428" s="1901"/>
      <c r="I428" s="1901"/>
      <c r="J428" s="1647"/>
      <c r="K428" s="1901"/>
      <c r="L428" s="1901"/>
      <c r="M428" s="1955"/>
      <c r="N428" s="1956"/>
      <c r="O428" s="1955"/>
      <c r="P428" s="1955"/>
      <c r="Q428" s="1956"/>
      <c r="R428" s="493"/>
      <c r="S428" s="493"/>
      <c r="T428" s="493"/>
      <c r="U428" s="493"/>
      <c r="V428" s="298"/>
      <c r="W428" s="298"/>
      <c r="X428" s="298"/>
      <c r="Y428" s="298"/>
      <c r="Z428" s="298"/>
      <c r="AA428" s="298"/>
      <c r="AB428" s="298"/>
      <c r="AC428" s="298"/>
      <c r="AD428" s="298"/>
      <c r="AE428" s="298"/>
      <c r="AF428" s="298"/>
      <c r="AG428" s="298"/>
      <c r="AH428" s="298"/>
      <c r="AI428" s="298"/>
      <c r="AJ428" s="298"/>
      <c r="AK428" s="298"/>
      <c r="AL428" s="298"/>
      <c r="AM428" s="298"/>
    </row>
    <row r="429" spans="1:39" ht="15.75" customHeight="1">
      <c r="A429" s="298"/>
      <c r="B429" s="298"/>
      <c r="C429" s="1901"/>
      <c r="D429" s="1947"/>
      <c r="E429" s="1901"/>
      <c r="F429" s="1954"/>
      <c r="G429" s="1901"/>
      <c r="H429" s="1901"/>
      <c r="I429" s="1901"/>
      <c r="J429" s="1647"/>
      <c r="K429" s="1901"/>
      <c r="L429" s="1901"/>
      <c r="M429" s="1955"/>
      <c r="N429" s="1956"/>
      <c r="O429" s="1955"/>
      <c r="P429" s="1955"/>
      <c r="Q429" s="1956"/>
      <c r="R429" s="493"/>
      <c r="S429" s="493"/>
      <c r="T429" s="493"/>
      <c r="U429" s="493"/>
      <c r="V429" s="298"/>
      <c r="W429" s="298"/>
      <c r="X429" s="298"/>
      <c r="Y429" s="298"/>
      <c r="Z429" s="298"/>
      <c r="AA429" s="298"/>
      <c r="AB429" s="298"/>
      <c r="AC429" s="298"/>
      <c r="AD429" s="298"/>
      <c r="AE429" s="298"/>
      <c r="AF429" s="298"/>
      <c r="AG429" s="298"/>
      <c r="AH429" s="298"/>
      <c r="AI429" s="298"/>
      <c r="AJ429" s="298"/>
      <c r="AK429" s="298"/>
      <c r="AL429" s="298"/>
      <c r="AM429" s="298"/>
    </row>
    <row r="430" spans="1:39" ht="15.75" customHeight="1">
      <c r="A430" s="298"/>
      <c r="B430" s="298"/>
      <c r="C430" s="1901"/>
      <c r="D430" s="1947"/>
      <c r="E430" s="1901"/>
      <c r="F430" s="1954"/>
      <c r="G430" s="1901"/>
      <c r="H430" s="1901"/>
      <c r="I430" s="1901"/>
      <c r="J430" s="1647"/>
      <c r="K430" s="1901"/>
      <c r="L430" s="1901"/>
      <c r="M430" s="1955"/>
      <c r="N430" s="1956"/>
      <c r="O430" s="1955"/>
      <c r="P430" s="1955"/>
      <c r="Q430" s="1956"/>
      <c r="R430" s="493"/>
      <c r="S430" s="493"/>
      <c r="T430" s="493"/>
      <c r="U430" s="493"/>
      <c r="V430" s="298"/>
      <c r="W430" s="298"/>
      <c r="X430" s="298"/>
      <c r="Y430" s="298"/>
      <c r="Z430" s="298"/>
      <c r="AA430" s="298"/>
      <c r="AB430" s="298"/>
      <c r="AC430" s="298"/>
      <c r="AD430" s="298"/>
      <c r="AE430" s="298"/>
      <c r="AF430" s="298"/>
      <c r="AG430" s="298"/>
      <c r="AH430" s="298"/>
      <c r="AI430" s="298"/>
      <c r="AJ430" s="298"/>
      <c r="AK430" s="298"/>
      <c r="AL430" s="298"/>
      <c r="AM430" s="298"/>
    </row>
    <row r="431" spans="1:39" ht="15.75" customHeight="1">
      <c r="A431" s="298"/>
      <c r="B431" s="298"/>
      <c r="C431" s="1901"/>
      <c r="D431" s="1947"/>
      <c r="E431" s="1901"/>
      <c r="F431" s="1954"/>
      <c r="G431" s="1901"/>
      <c r="H431" s="1901"/>
      <c r="I431" s="1901"/>
      <c r="J431" s="1647"/>
      <c r="K431" s="1901"/>
      <c r="L431" s="1901"/>
      <c r="M431" s="1955"/>
      <c r="N431" s="1956"/>
      <c r="O431" s="1955"/>
      <c r="P431" s="1955"/>
      <c r="Q431" s="1956"/>
      <c r="R431" s="493"/>
      <c r="S431" s="493"/>
      <c r="T431" s="493"/>
      <c r="U431" s="493"/>
      <c r="V431" s="298"/>
      <c r="W431" s="298"/>
      <c r="X431" s="298"/>
      <c r="Y431" s="298"/>
      <c r="Z431" s="298"/>
      <c r="AA431" s="298"/>
      <c r="AB431" s="298"/>
      <c r="AC431" s="298"/>
      <c r="AD431" s="298"/>
      <c r="AE431" s="298"/>
      <c r="AF431" s="298"/>
      <c r="AG431" s="298"/>
      <c r="AH431" s="298"/>
      <c r="AI431" s="298"/>
      <c r="AJ431" s="298"/>
      <c r="AK431" s="298"/>
      <c r="AL431" s="298"/>
      <c r="AM431" s="298"/>
    </row>
    <row r="432" spans="1:39" ht="15.75" customHeight="1">
      <c r="A432" s="298"/>
      <c r="B432" s="298"/>
      <c r="C432" s="1901"/>
      <c r="D432" s="1947"/>
      <c r="E432" s="1901"/>
      <c r="F432" s="1954"/>
      <c r="G432" s="1901"/>
      <c r="H432" s="1901"/>
      <c r="I432" s="1901"/>
      <c r="J432" s="1647"/>
      <c r="K432" s="1901"/>
      <c r="L432" s="1901"/>
      <c r="M432" s="1955"/>
      <c r="N432" s="1956"/>
      <c r="O432" s="1955"/>
      <c r="P432" s="1955"/>
      <c r="Q432" s="1956"/>
      <c r="R432" s="493"/>
      <c r="S432" s="493"/>
      <c r="T432" s="493"/>
      <c r="U432" s="493"/>
      <c r="V432" s="298"/>
      <c r="W432" s="298"/>
      <c r="X432" s="298"/>
      <c r="Y432" s="298"/>
      <c r="Z432" s="298"/>
      <c r="AA432" s="298"/>
      <c r="AB432" s="298"/>
      <c r="AC432" s="298"/>
      <c r="AD432" s="298"/>
      <c r="AE432" s="298"/>
      <c r="AF432" s="298"/>
      <c r="AG432" s="298"/>
      <c r="AH432" s="298"/>
      <c r="AI432" s="298"/>
      <c r="AJ432" s="298"/>
      <c r="AK432" s="298"/>
      <c r="AL432" s="298"/>
      <c r="AM432" s="298"/>
    </row>
    <row r="433" spans="1:39" ht="15.75" customHeight="1">
      <c r="A433" s="298"/>
      <c r="B433" s="298"/>
      <c r="C433" s="1901"/>
      <c r="D433" s="1947"/>
      <c r="E433" s="1901"/>
      <c r="F433" s="1954"/>
      <c r="G433" s="1901"/>
      <c r="H433" s="1901"/>
      <c r="I433" s="1901"/>
      <c r="J433" s="1647"/>
      <c r="K433" s="1901"/>
      <c r="L433" s="1901"/>
      <c r="M433" s="1955"/>
      <c r="N433" s="1956"/>
      <c r="O433" s="1955"/>
      <c r="P433" s="1955"/>
      <c r="Q433" s="1956"/>
      <c r="R433" s="493"/>
      <c r="S433" s="493"/>
      <c r="T433" s="493"/>
      <c r="U433" s="493"/>
      <c r="V433" s="298"/>
      <c r="W433" s="298"/>
      <c r="X433" s="298"/>
      <c r="Y433" s="298"/>
      <c r="Z433" s="298"/>
      <c r="AA433" s="298"/>
      <c r="AB433" s="298"/>
      <c r="AC433" s="298"/>
      <c r="AD433" s="298"/>
      <c r="AE433" s="298"/>
      <c r="AF433" s="298"/>
      <c r="AG433" s="298"/>
      <c r="AH433" s="298"/>
      <c r="AI433" s="298"/>
      <c r="AJ433" s="298"/>
      <c r="AK433" s="298"/>
      <c r="AL433" s="298"/>
      <c r="AM433" s="298"/>
    </row>
    <row r="434" spans="1:39" ht="15.75" customHeight="1">
      <c r="A434" s="298"/>
      <c r="B434" s="298"/>
      <c r="C434" s="1901"/>
      <c r="D434" s="1947"/>
      <c r="E434" s="1901"/>
      <c r="F434" s="1954"/>
      <c r="G434" s="1901"/>
      <c r="H434" s="1901"/>
      <c r="I434" s="1901"/>
      <c r="J434" s="1647"/>
      <c r="K434" s="1901"/>
      <c r="L434" s="1901"/>
      <c r="M434" s="1955"/>
      <c r="N434" s="1956"/>
      <c r="O434" s="1955"/>
      <c r="P434" s="1955"/>
      <c r="Q434" s="1956"/>
      <c r="R434" s="493"/>
      <c r="S434" s="493"/>
      <c r="T434" s="493"/>
      <c r="U434" s="493"/>
      <c r="V434" s="298"/>
      <c r="W434" s="298"/>
      <c r="X434" s="298"/>
      <c r="Y434" s="298"/>
      <c r="Z434" s="298"/>
      <c r="AA434" s="298"/>
      <c r="AB434" s="298"/>
      <c r="AC434" s="298"/>
      <c r="AD434" s="298"/>
      <c r="AE434" s="298"/>
      <c r="AF434" s="298"/>
      <c r="AG434" s="298"/>
      <c r="AH434" s="298"/>
      <c r="AI434" s="298"/>
      <c r="AJ434" s="298"/>
      <c r="AK434" s="298"/>
      <c r="AL434" s="298"/>
      <c r="AM434" s="298"/>
    </row>
    <row r="435" spans="1:39" ht="15.75" customHeight="1">
      <c r="A435" s="298"/>
      <c r="B435" s="298"/>
      <c r="C435" s="1901"/>
      <c r="D435" s="1947"/>
      <c r="E435" s="1901"/>
      <c r="F435" s="1954"/>
      <c r="G435" s="1901"/>
      <c r="H435" s="1901"/>
      <c r="I435" s="1901"/>
      <c r="J435" s="1647"/>
      <c r="K435" s="1901"/>
      <c r="L435" s="1901"/>
      <c r="M435" s="1955"/>
      <c r="N435" s="1956"/>
      <c r="O435" s="1955"/>
      <c r="P435" s="1955"/>
      <c r="Q435" s="1956"/>
      <c r="R435" s="493"/>
      <c r="S435" s="493"/>
      <c r="T435" s="493"/>
      <c r="U435" s="493"/>
      <c r="V435" s="298"/>
      <c r="W435" s="298"/>
      <c r="X435" s="298"/>
      <c r="Y435" s="298"/>
      <c r="Z435" s="298"/>
      <c r="AA435" s="298"/>
      <c r="AB435" s="298"/>
      <c r="AC435" s="298"/>
      <c r="AD435" s="298"/>
      <c r="AE435" s="298"/>
      <c r="AF435" s="298"/>
      <c r="AG435" s="298"/>
      <c r="AH435" s="298"/>
      <c r="AI435" s="298"/>
      <c r="AJ435" s="298"/>
      <c r="AK435" s="298"/>
      <c r="AL435" s="298"/>
      <c r="AM435" s="298"/>
    </row>
    <row r="436" spans="1:39" ht="15.75" customHeight="1">
      <c r="A436" s="298"/>
      <c r="B436" s="298"/>
      <c r="C436" s="1901"/>
      <c r="D436" s="1947"/>
      <c r="E436" s="1901"/>
      <c r="F436" s="1954"/>
      <c r="G436" s="1901"/>
      <c r="H436" s="1901"/>
      <c r="I436" s="1901"/>
      <c r="J436" s="1647"/>
      <c r="K436" s="1901"/>
      <c r="L436" s="1901"/>
      <c r="M436" s="1955"/>
      <c r="N436" s="1956"/>
      <c r="O436" s="1955"/>
      <c r="P436" s="1955"/>
      <c r="Q436" s="1956"/>
      <c r="R436" s="493"/>
      <c r="S436" s="493"/>
      <c r="T436" s="493"/>
      <c r="U436" s="493"/>
      <c r="V436" s="298"/>
      <c r="W436" s="298"/>
      <c r="X436" s="298"/>
      <c r="Y436" s="298"/>
      <c r="Z436" s="298"/>
      <c r="AA436" s="298"/>
      <c r="AB436" s="298"/>
      <c r="AC436" s="298"/>
      <c r="AD436" s="298"/>
      <c r="AE436" s="298"/>
      <c r="AF436" s="298"/>
      <c r="AG436" s="298"/>
      <c r="AH436" s="298"/>
      <c r="AI436" s="298"/>
      <c r="AJ436" s="298"/>
      <c r="AK436" s="298"/>
      <c r="AL436" s="298"/>
      <c r="AM436" s="298"/>
    </row>
    <row r="437" spans="1:39" ht="15.75" customHeight="1">
      <c r="A437" s="298"/>
      <c r="B437" s="298"/>
      <c r="C437" s="1901"/>
      <c r="D437" s="1947"/>
      <c r="E437" s="1901"/>
      <c r="F437" s="1954"/>
      <c r="G437" s="1901"/>
      <c r="H437" s="1901"/>
      <c r="I437" s="1901"/>
      <c r="J437" s="1647"/>
      <c r="K437" s="1901"/>
      <c r="L437" s="1901"/>
      <c r="M437" s="1955"/>
      <c r="N437" s="1956"/>
      <c r="O437" s="1955"/>
      <c r="P437" s="1955"/>
      <c r="Q437" s="1956"/>
      <c r="R437" s="493"/>
      <c r="S437" s="493"/>
      <c r="T437" s="493"/>
      <c r="U437" s="493"/>
      <c r="V437" s="298"/>
      <c r="W437" s="298"/>
      <c r="X437" s="298"/>
      <c r="Y437" s="298"/>
      <c r="Z437" s="298"/>
      <c r="AA437" s="298"/>
      <c r="AB437" s="298"/>
      <c r="AC437" s="298"/>
      <c r="AD437" s="298"/>
      <c r="AE437" s="298"/>
      <c r="AF437" s="298"/>
      <c r="AG437" s="298"/>
      <c r="AH437" s="298"/>
      <c r="AI437" s="298"/>
      <c r="AJ437" s="298"/>
      <c r="AK437" s="298"/>
      <c r="AL437" s="298"/>
      <c r="AM437" s="298"/>
    </row>
    <row r="438" spans="1:39" ht="15.75" customHeight="1">
      <c r="A438" s="298"/>
      <c r="B438" s="298"/>
      <c r="C438" s="1901"/>
      <c r="D438" s="1947"/>
      <c r="E438" s="1901"/>
      <c r="F438" s="1954"/>
      <c r="G438" s="1901"/>
      <c r="H438" s="1901"/>
      <c r="I438" s="1901"/>
      <c r="J438" s="1647"/>
      <c r="K438" s="1901"/>
      <c r="L438" s="1901"/>
      <c r="M438" s="1955"/>
      <c r="N438" s="1956"/>
      <c r="O438" s="1955"/>
      <c r="P438" s="1955"/>
      <c r="Q438" s="1956"/>
      <c r="R438" s="493"/>
      <c r="S438" s="493"/>
      <c r="T438" s="493"/>
      <c r="U438" s="493"/>
      <c r="V438" s="298"/>
      <c r="W438" s="298"/>
      <c r="X438" s="298"/>
      <c r="Y438" s="298"/>
      <c r="Z438" s="298"/>
      <c r="AA438" s="298"/>
      <c r="AB438" s="298"/>
      <c r="AC438" s="298"/>
      <c r="AD438" s="298"/>
      <c r="AE438" s="298"/>
      <c r="AF438" s="298"/>
      <c r="AG438" s="298"/>
      <c r="AH438" s="298"/>
      <c r="AI438" s="298"/>
      <c r="AJ438" s="298"/>
      <c r="AK438" s="298"/>
      <c r="AL438" s="298"/>
      <c r="AM438" s="298"/>
    </row>
    <row r="439" spans="1:39" ht="15.75" customHeight="1">
      <c r="A439" s="298"/>
      <c r="B439" s="298"/>
      <c r="C439" s="1901"/>
      <c r="D439" s="1947"/>
      <c r="E439" s="1901"/>
      <c r="F439" s="1954"/>
      <c r="G439" s="1901"/>
      <c r="H439" s="1901"/>
      <c r="I439" s="1901"/>
      <c r="J439" s="1647"/>
      <c r="K439" s="1901"/>
      <c r="L439" s="1901"/>
      <c r="M439" s="1955"/>
      <c r="N439" s="1956"/>
      <c r="O439" s="1955"/>
      <c r="P439" s="1955"/>
      <c r="Q439" s="1956"/>
      <c r="R439" s="493"/>
      <c r="S439" s="493"/>
      <c r="T439" s="493"/>
      <c r="U439" s="493"/>
      <c r="V439" s="298"/>
      <c r="W439" s="298"/>
      <c r="X439" s="298"/>
      <c r="Y439" s="298"/>
      <c r="Z439" s="298"/>
      <c r="AA439" s="298"/>
      <c r="AB439" s="298"/>
      <c r="AC439" s="298"/>
      <c r="AD439" s="298"/>
      <c r="AE439" s="298"/>
      <c r="AF439" s="298"/>
      <c r="AG439" s="298"/>
      <c r="AH439" s="298"/>
      <c r="AI439" s="298"/>
      <c r="AJ439" s="298"/>
      <c r="AK439" s="298"/>
      <c r="AL439" s="298"/>
      <c r="AM439" s="298"/>
    </row>
    <row r="440" spans="1:39" ht="15.75" customHeight="1">
      <c r="A440" s="298"/>
      <c r="B440" s="298"/>
      <c r="C440" s="1901"/>
      <c r="D440" s="1947"/>
      <c r="E440" s="1901"/>
      <c r="F440" s="1954"/>
      <c r="G440" s="1901"/>
      <c r="H440" s="1901"/>
      <c r="I440" s="1901"/>
      <c r="J440" s="1647"/>
      <c r="K440" s="1901"/>
      <c r="L440" s="1901"/>
      <c r="M440" s="1955"/>
      <c r="N440" s="1956"/>
      <c r="O440" s="1955"/>
      <c r="P440" s="1955"/>
      <c r="Q440" s="1956"/>
      <c r="R440" s="493"/>
      <c r="S440" s="493"/>
      <c r="T440" s="493"/>
      <c r="U440" s="493"/>
      <c r="V440" s="298"/>
      <c r="W440" s="298"/>
      <c r="X440" s="298"/>
      <c r="Y440" s="298"/>
      <c r="Z440" s="298"/>
      <c r="AA440" s="298"/>
      <c r="AB440" s="298"/>
      <c r="AC440" s="298"/>
      <c r="AD440" s="298"/>
      <c r="AE440" s="298"/>
      <c r="AF440" s="298"/>
      <c r="AG440" s="298"/>
      <c r="AH440" s="298"/>
      <c r="AI440" s="298"/>
      <c r="AJ440" s="298"/>
      <c r="AK440" s="298"/>
      <c r="AL440" s="298"/>
      <c r="AM440" s="298"/>
    </row>
    <row r="441" spans="1:39" ht="15.75" customHeight="1">
      <c r="A441" s="298"/>
      <c r="B441" s="298"/>
      <c r="C441" s="1901"/>
      <c r="D441" s="1947"/>
      <c r="E441" s="1901"/>
      <c r="F441" s="1954"/>
      <c r="G441" s="1901"/>
      <c r="H441" s="1901"/>
      <c r="I441" s="1901"/>
      <c r="J441" s="1647"/>
      <c r="K441" s="1901"/>
      <c r="L441" s="1901"/>
      <c r="M441" s="1955"/>
      <c r="N441" s="1956"/>
      <c r="O441" s="1955"/>
      <c r="P441" s="1955"/>
      <c r="Q441" s="1956"/>
      <c r="R441" s="493"/>
      <c r="S441" s="493"/>
      <c r="T441" s="493"/>
      <c r="U441" s="493"/>
      <c r="V441" s="298"/>
      <c r="W441" s="298"/>
      <c r="X441" s="298"/>
      <c r="Y441" s="298"/>
      <c r="Z441" s="298"/>
      <c r="AA441" s="298"/>
      <c r="AB441" s="298"/>
      <c r="AC441" s="298"/>
      <c r="AD441" s="298"/>
      <c r="AE441" s="298"/>
      <c r="AF441" s="298"/>
      <c r="AG441" s="298"/>
      <c r="AH441" s="298"/>
      <c r="AI441" s="298"/>
      <c r="AJ441" s="298"/>
      <c r="AK441" s="298"/>
      <c r="AL441" s="298"/>
      <c r="AM441" s="298"/>
    </row>
    <row r="442" spans="1:39" ht="15.75" customHeight="1">
      <c r="A442" s="298"/>
      <c r="B442" s="298"/>
      <c r="C442" s="1901"/>
      <c r="D442" s="1947"/>
      <c r="E442" s="1901"/>
      <c r="F442" s="1954"/>
      <c r="G442" s="1901"/>
      <c r="H442" s="1901"/>
      <c r="I442" s="1901"/>
      <c r="J442" s="1647"/>
      <c r="K442" s="1901"/>
      <c r="L442" s="1901"/>
      <c r="M442" s="1955"/>
      <c r="N442" s="1956"/>
      <c r="O442" s="1955"/>
      <c r="P442" s="1955"/>
      <c r="Q442" s="1956"/>
      <c r="R442" s="493"/>
      <c r="S442" s="493"/>
      <c r="T442" s="493"/>
      <c r="U442" s="493"/>
      <c r="V442" s="298"/>
      <c r="W442" s="298"/>
      <c r="X442" s="298"/>
      <c r="Y442" s="298"/>
      <c r="Z442" s="298"/>
      <c r="AA442" s="298"/>
      <c r="AB442" s="298"/>
      <c r="AC442" s="298"/>
      <c r="AD442" s="298"/>
      <c r="AE442" s="298"/>
      <c r="AF442" s="298"/>
      <c r="AG442" s="298"/>
      <c r="AH442" s="298"/>
      <c r="AI442" s="298"/>
      <c r="AJ442" s="298"/>
      <c r="AK442" s="298"/>
      <c r="AL442" s="298"/>
      <c r="AM442" s="298"/>
    </row>
    <row r="443" spans="1:39" ht="15.75" customHeight="1">
      <c r="A443" s="298"/>
      <c r="B443" s="298"/>
      <c r="C443" s="1901"/>
      <c r="D443" s="1947"/>
      <c r="E443" s="1901"/>
      <c r="F443" s="1954"/>
      <c r="G443" s="1901"/>
      <c r="H443" s="1901"/>
      <c r="I443" s="1901"/>
      <c r="J443" s="1647"/>
      <c r="K443" s="1901"/>
      <c r="L443" s="1901"/>
      <c r="M443" s="1955"/>
      <c r="N443" s="1956"/>
      <c r="O443" s="1955"/>
      <c r="P443" s="1955"/>
      <c r="Q443" s="1956"/>
      <c r="R443" s="493"/>
      <c r="S443" s="493"/>
      <c r="T443" s="493"/>
      <c r="U443" s="493"/>
      <c r="V443" s="298"/>
      <c r="W443" s="298"/>
      <c r="X443" s="298"/>
      <c r="Y443" s="298"/>
      <c r="Z443" s="298"/>
      <c r="AA443" s="298"/>
      <c r="AB443" s="298"/>
      <c r="AC443" s="298"/>
      <c r="AD443" s="298"/>
      <c r="AE443" s="298"/>
      <c r="AF443" s="298"/>
      <c r="AG443" s="298"/>
      <c r="AH443" s="298"/>
      <c r="AI443" s="298"/>
      <c r="AJ443" s="298"/>
      <c r="AK443" s="298"/>
      <c r="AL443" s="298"/>
      <c r="AM443" s="298"/>
    </row>
    <row r="444" spans="1:39" ht="15.75" customHeight="1">
      <c r="A444" s="298"/>
      <c r="B444" s="298"/>
      <c r="C444" s="1901"/>
      <c r="D444" s="1947"/>
      <c r="E444" s="1901"/>
      <c r="F444" s="1954"/>
      <c r="G444" s="1901"/>
      <c r="H444" s="1901"/>
      <c r="I444" s="1901"/>
      <c r="J444" s="1647"/>
      <c r="K444" s="1901"/>
      <c r="L444" s="1901"/>
      <c r="M444" s="1955"/>
      <c r="N444" s="1956"/>
      <c r="O444" s="1955"/>
      <c r="P444" s="1955"/>
      <c r="Q444" s="1956"/>
      <c r="R444" s="493"/>
      <c r="S444" s="493"/>
      <c r="T444" s="493"/>
      <c r="U444" s="493"/>
      <c r="V444" s="298"/>
      <c r="W444" s="298"/>
      <c r="X444" s="298"/>
      <c r="Y444" s="298"/>
      <c r="Z444" s="298"/>
      <c r="AA444" s="298"/>
      <c r="AB444" s="298"/>
      <c r="AC444" s="298"/>
      <c r="AD444" s="298"/>
      <c r="AE444" s="298"/>
      <c r="AF444" s="298"/>
      <c r="AG444" s="298"/>
      <c r="AH444" s="298"/>
      <c r="AI444" s="298"/>
      <c r="AJ444" s="298"/>
      <c r="AK444" s="298"/>
      <c r="AL444" s="298"/>
      <c r="AM444" s="298"/>
    </row>
    <row r="445" spans="1:39" ht="15.75" customHeight="1">
      <c r="A445" s="298"/>
      <c r="B445" s="298"/>
      <c r="C445" s="1901"/>
      <c r="D445" s="1947"/>
      <c r="E445" s="1901"/>
      <c r="F445" s="1954"/>
      <c r="G445" s="1901"/>
      <c r="H445" s="1901"/>
      <c r="I445" s="1901"/>
      <c r="J445" s="1647"/>
      <c r="K445" s="1901"/>
      <c r="L445" s="1901"/>
      <c r="M445" s="1955"/>
      <c r="N445" s="1956"/>
      <c r="O445" s="1955"/>
      <c r="P445" s="1955"/>
      <c r="Q445" s="1956"/>
      <c r="R445" s="493"/>
      <c r="S445" s="493"/>
      <c r="T445" s="493"/>
      <c r="U445" s="493"/>
      <c r="V445" s="298"/>
      <c r="W445" s="298"/>
      <c r="X445" s="298"/>
      <c r="Y445" s="298"/>
      <c r="Z445" s="298"/>
      <c r="AA445" s="298"/>
      <c r="AB445" s="298"/>
      <c r="AC445" s="298"/>
      <c r="AD445" s="298"/>
      <c r="AE445" s="298"/>
      <c r="AF445" s="298"/>
      <c r="AG445" s="298"/>
      <c r="AH445" s="298"/>
      <c r="AI445" s="298"/>
      <c r="AJ445" s="298"/>
      <c r="AK445" s="298"/>
      <c r="AL445" s="298"/>
      <c r="AM445" s="298"/>
    </row>
    <row r="446" spans="1:39" ht="15.75" customHeight="1">
      <c r="A446" s="298"/>
      <c r="B446" s="298"/>
      <c r="C446" s="1901"/>
      <c r="D446" s="1947"/>
      <c r="E446" s="1901"/>
      <c r="F446" s="1954"/>
      <c r="G446" s="1901"/>
      <c r="H446" s="1901"/>
      <c r="I446" s="1901"/>
      <c r="J446" s="1647"/>
      <c r="K446" s="1901"/>
      <c r="L446" s="1901"/>
      <c r="M446" s="1955"/>
      <c r="N446" s="1956"/>
      <c r="O446" s="1955"/>
      <c r="P446" s="1955"/>
      <c r="Q446" s="1956"/>
      <c r="R446" s="493"/>
      <c r="S446" s="493"/>
      <c r="T446" s="493"/>
      <c r="U446" s="493"/>
      <c r="V446" s="298"/>
      <c r="W446" s="298"/>
      <c r="X446" s="298"/>
      <c r="Y446" s="298"/>
      <c r="Z446" s="298"/>
      <c r="AA446" s="298"/>
      <c r="AB446" s="298"/>
      <c r="AC446" s="298"/>
      <c r="AD446" s="298"/>
      <c r="AE446" s="298"/>
      <c r="AF446" s="298"/>
      <c r="AG446" s="298"/>
      <c r="AH446" s="298"/>
      <c r="AI446" s="298"/>
      <c r="AJ446" s="298"/>
      <c r="AK446" s="298"/>
      <c r="AL446" s="298"/>
      <c r="AM446" s="298"/>
    </row>
    <row r="447" spans="1:39" ht="15.75" customHeight="1">
      <c r="A447" s="298"/>
      <c r="B447" s="298"/>
      <c r="C447" s="1901"/>
      <c r="D447" s="1947"/>
      <c r="E447" s="1901"/>
      <c r="F447" s="1954"/>
      <c r="G447" s="1901"/>
      <c r="H447" s="1901"/>
      <c r="I447" s="1901"/>
      <c r="J447" s="1647"/>
      <c r="K447" s="1901"/>
      <c r="L447" s="1901"/>
      <c r="M447" s="1955"/>
      <c r="N447" s="1956"/>
      <c r="O447" s="1955"/>
      <c r="P447" s="1955"/>
      <c r="Q447" s="1956"/>
      <c r="R447" s="493"/>
      <c r="S447" s="493"/>
      <c r="T447" s="493"/>
      <c r="U447" s="493"/>
      <c r="V447" s="298"/>
      <c r="W447" s="298"/>
      <c r="X447" s="298"/>
      <c r="Y447" s="298"/>
      <c r="Z447" s="298"/>
      <c r="AA447" s="298"/>
      <c r="AB447" s="298"/>
      <c r="AC447" s="298"/>
      <c r="AD447" s="298"/>
      <c r="AE447" s="298"/>
      <c r="AF447" s="298"/>
      <c r="AG447" s="298"/>
      <c r="AH447" s="298"/>
      <c r="AI447" s="298"/>
      <c r="AJ447" s="298"/>
      <c r="AK447" s="298"/>
      <c r="AL447" s="298"/>
      <c r="AM447" s="298"/>
    </row>
    <row r="448" spans="1:39" ht="15.75" customHeight="1">
      <c r="A448" s="298"/>
      <c r="B448" s="298"/>
      <c r="C448" s="1901"/>
      <c r="D448" s="1947"/>
      <c r="E448" s="1901"/>
      <c r="F448" s="1954"/>
      <c r="G448" s="1901"/>
      <c r="H448" s="1901"/>
      <c r="I448" s="1901"/>
      <c r="J448" s="1647"/>
      <c r="K448" s="1901"/>
      <c r="L448" s="1901"/>
      <c r="M448" s="1955"/>
      <c r="N448" s="1956"/>
      <c r="O448" s="1955"/>
      <c r="P448" s="1955"/>
      <c r="Q448" s="1956"/>
      <c r="R448" s="493"/>
      <c r="S448" s="493"/>
      <c r="T448" s="493"/>
      <c r="U448" s="493"/>
      <c r="V448" s="298"/>
      <c r="W448" s="298"/>
      <c r="X448" s="298"/>
      <c r="Y448" s="298"/>
      <c r="Z448" s="298"/>
      <c r="AA448" s="298"/>
      <c r="AB448" s="298"/>
      <c r="AC448" s="298"/>
      <c r="AD448" s="298"/>
      <c r="AE448" s="298"/>
      <c r="AF448" s="298"/>
      <c r="AG448" s="298"/>
      <c r="AH448" s="298"/>
      <c r="AI448" s="298"/>
      <c r="AJ448" s="298"/>
      <c r="AK448" s="298"/>
      <c r="AL448" s="298"/>
      <c r="AM448" s="298"/>
    </row>
    <row r="449" spans="1:39" ht="15.75" customHeight="1">
      <c r="A449" s="298"/>
      <c r="B449" s="298"/>
      <c r="C449" s="1901"/>
      <c r="D449" s="1947"/>
      <c r="E449" s="1901"/>
      <c r="F449" s="1954"/>
      <c r="G449" s="1901"/>
      <c r="H449" s="1901"/>
      <c r="I449" s="1901"/>
      <c r="J449" s="1647"/>
      <c r="K449" s="1901"/>
      <c r="L449" s="1901"/>
      <c r="M449" s="1955"/>
      <c r="N449" s="1956"/>
      <c r="O449" s="1955"/>
      <c r="P449" s="1955"/>
      <c r="Q449" s="1956"/>
      <c r="R449" s="493"/>
      <c r="S449" s="493"/>
      <c r="T449" s="493"/>
      <c r="U449" s="493"/>
      <c r="V449" s="298"/>
      <c r="W449" s="298"/>
      <c r="X449" s="298"/>
      <c r="Y449" s="298"/>
      <c r="Z449" s="298"/>
      <c r="AA449" s="298"/>
      <c r="AB449" s="298"/>
      <c r="AC449" s="298"/>
      <c r="AD449" s="298"/>
      <c r="AE449" s="298"/>
      <c r="AF449" s="298"/>
      <c r="AG449" s="298"/>
      <c r="AH449" s="298"/>
      <c r="AI449" s="298"/>
      <c r="AJ449" s="298"/>
      <c r="AK449" s="298"/>
      <c r="AL449" s="298"/>
      <c r="AM449" s="298"/>
    </row>
    <row r="450" spans="1:39" ht="15.75" customHeight="1">
      <c r="A450" s="298"/>
      <c r="B450" s="298"/>
      <c r="C450" s="1901"/>
      <c r="D450" s="1947"/>
      <c r="E450" s="1901"/>
      <c r="F450" s="1954"/>
      <c r="G450" s="1901"/>
      <c r="H450" s="1901"/>
      <c r="I450" s="1901"/>
      <c r="J450" s="1647"/>
      <c r="K450" s="1901"/>
      <c r="L450" s="1901"/>
      <c r="M450" s="1955"/>
      <c r="N450" s="1956"/>
      <c r="O450" s="1955"/>
      <c r="P450" s="1955"/>
      <c r="Q450" s="1956"/>
      <c r="R450" s="493"/>
      <c r="S450" s="493"/>
      <c r="T450" s="493"/>
      <c r="U450" s="493"/>
      <c r="V450" s="298"/>
      <c r="W450" s="298"/>
      <c r="X450" s="298"/>
      <c r="Y450" s="298"/>
      <c r="Z450" s="298"/>
      <c r="AA450" s="298"/>
      <c r="AB450" s="298"/>
      <c r="AC450" s="298"/>
      <c r="AD450" s="298"/>
      <c r="AE450" s="298"/>
      <c r="AF450" s="298"/>
      <c r="AG450" s="298"/>
      <c r="AH450" s="298"/>
      <c r="AI450" s="298"/>
      <c r="AJ450" s="298"/>
      <c r="AK450" s="298"/>
      <c r="AL450" s="298"/>
      <c r="AM450" s="298"/>
    </row>
    <row r="451" spans="1:39" ht="15.75" customHeight="1">
      <c r="A451" s="298"/>
      <c r="B451" s="298"/>
      <c r="C451" s="1901"/>
      <c r="D451" s="1947"/>
      <c r="E451" s="1901"/>
      <c r="F451" s="1954"/>
      <c r="G451" s="1901"/>
      <c r="H451" s="1901"/>
      <c r="I451" s="1901"/>
      <c r="J451" s="1647"/>
      <c r="K451" s="1901"/>
      <c r="L451" s="1901"/>
      <c r="M451" s="1955"/>
      <c r="N451" s="1956"/>
      <c r="O451" s="1955"/>
      <c r="P451" s="1955"/>
      <c r="Q451" s="1956"/>
      <c r="R451" s="493"/>
      <c r="S451" s="493"/>
      <c r="T451" s="493"/>
      <c r="U451" s="493"/>
      <c r="V451" s="298"/>
      <c r="W451" s="298"/>
      <c r="X451" s="298"/>
      <c r="Y451" s="298"/>
      <c r="Z451" s="298"/>
      <c r="AA451" s="298"/>
      <c r="AB451" s="298"/>
      <c r="AC451" s="298"/>
      <c r="AD451" s="298"/>
      <c r="AE451" s="298"/>
      <c r="AF451" s="298"/>
      <c r="AG451" s="298"/>
      <c r="AH451" s="298"/>
      <c r="AI451" s="298"/>
      <c r="AJ451" s="298"/>
      <c r="AK451" s="298"/>
      <c r="AL451" s="298"/>
      <c r="AM451" s="298"/>
    </row>
    <row r="452" spans="1:39" ht="15.75" customHeight="1">
      <c r="A452" s="298"/>
      <c r="B452" s="298"/>
      <c r="C452" s="1901"/>
      <c r="D452" s="1947"/>
      <c r="E452" s="1901"/>
      <c r="F452" s="1954"/>
      <c r="G452" s="1901"/>
      <c r="H452" s="1901"/>
      <c r="I452" s="1901"/>
      <c r="J452" s="1647"/>
      <c r="K452" s="1901"/>
      <c r="L452" s="1901"/>
      <c r="M452" s="1955"/>
      <c r="N452" s="1956"/>
      <c r="O452" s="1955"/>
      <c r="P452" s="1955"/>
      <c r="Q452" s="1956"/>
      <c r="R452" s="493"/>
      <c r="S452" s="493"/>
      <c r="T452" s="493"/>
      <c r="U452" s="493"/>
      <c r="V452" s="298"/>
      <c r="W452" s="298"/>
      <c r="X452" s="298"/>
      <c r="Y452" s="298"/>
      <c r="Z452" s="298"/>
      <c r="AA452" s="298"/>
      <c r="AB452" s="298"/>
      <c r="AC452" s="298"/>
      <c r="AD452" s="298"/>
      <c r="AE452" s="298"/>
      <c r="AF452" s="298"/>
      <c r="AG452" s="298"/>
      <c r="AH452" s="298"/>
      <c r="AI452" s="298"/>
      <c r="AJ452" s="298"/>
      <c r="AK452" s="298"/>
      <c r="AL452" s="298"/>
      <c r="AM452" s="298"/>
    </row>
    <row r="453" spans="1:39" ht="15.75" customHeight="1">
      <c r="A453" s="298"/>
      <c r="B453" s="298"/>
      <c r="C453" s="1901"/>
      <c r="D453" s="1947"/>
      <c r="E453" s="1901"/>
      <c r="F453" s="1954"/>
      <c r="G453" s="1901"/>
      <c r="H453" s="1901"/>
      <c r="I453" s="1901"/>
      <c r="J453" s="1647"/>
      <c r="K453" s="1901"/>
      <c r="L453" s="1901"/>
      <c r="M453" s="1955"/>
      <c r="N453" s="1956"/>
      <c r="O453" s="1955"/>
      <c r="P453" s="1955"/>
      <c r="Q453" s="1956"/>
      <c r="R453" s="493"/>
      <c r="S453" s="493"/>
      <c r="T453" s="493"/>
      <c r="U453" s="493"/>
      <c r="V453" s="298"/>
      <c r="W453" s="298"/>
      <c r="X453" s="298"/>
      <c r="Y453" s="298"/>
      <c r="Z453" s="298"/>
      <c r="AA453" s="298"/>
      <c r="AB453" s="298"/>
      <c r="AC453" s="298"/>
      <c r="AD453" s="298"/>
      <c r="AE453" s="298"/>
      <c r="AF453" s="298"/>
      <c r="AG453" s="298"/>
      <c r="AH453" s="298"/>
      <c r="AI453" s="298"/>
      <c r="AJ453" s="298"/>
      <c r="AK453" s="298"/>
      <c r="AL453" s="298"/>
      <c r="AM453" s="298"/>
    </row>
    <row r="454" spans="1:39" ht="15.75" customHeight="1">
      <c r="A454" s="298"/>
      <c r="B454" s="298"/>
      <c r="C454" s="1901"/>
      <c r="D454" s="1947"/>
      <c r="E454" s="1901"/>
      <c r="F454" s="1954"/>
      <c r="G454" s="1901"/>
      <c r="H454" s="1901"/>
      <c r="I454" s="1901"/>
      <c r="J454" s="1647"/>
      <c r="K454" s="1901"/>
      <c r="L454" s="1901"/>
      <c r="M454" s="1955"/>
      <c r="N454" s="1956"/>
      <c r="O454" s="1955"/>
      <c r="P454" s="1955"/>
      <c r="Q454" s="1956"/>
      <c r="R454" s="493"/>
      <c r="S454" s="493"/>
      <c r="T454" s="493"/>
      <c r="U454" s="493"/>
      <c r="V454" s="298"/>
      <c r="W454" s="298"/>
      <c r="X454" s="298"/>
      <c r="Y454" s="298"/>
      <c r="Z454" s="298"/>
      <c r="AA454" s="298"/>
      <c r="AB454" s="298"/>
      <c r="AC454" s="298"/>
      <c r="AD454" s="298"/>
      <c r="AE454" s="298"/>
      <c r="AF454" s="298"/>
      <c r="AG454" s="298"/>
      <c r="AH454" s="298"/>
      <c r="AI454" s="298"/>
      <c r="AJ454" s="298"/>
      <c r="AK454" s="298"/>
      <c r="AL454" s="298"/>
      <c r="AM454" s="298"/>
    </row>
    <row r="455" spans="1:39" ht="15.75" customHeight="1">
      <c r="A455" s="298"/>
      <c r="B455" s="298"/>
      <c r="C455" s="1901"/>
      <c r="D455" s="1947"/>
      <c r="E455" s="1901"/>
      <c r="F455" s="1954"/>
      <c r="G455" s="1901"/>
      <c r="H455" s="1901"/>
      <c r="I455" s="1901"/>
      <c r="J455" s="1647"/>
      <c r="K455" s="1901"/>
      <c r="L455" s="1901"/>
      <c r="M455" s="1955"/>
      <c r="N455" s="1956"/>
      <c r="O455" s="1955"/>
      <c r="P455" s="1955"/>
      <c r="Q455" s="1956"/>
      <c r="R455" s="493"/>
      <c r="S455" s="493"/>
      <c r="T455" s="493"/>
      <c r="U455" s="493"/>
      <c r="V455" s="298"/>
      <c r="W455" s="298"/>
      <c r="X455" s="298"/>
      <c r="Y455" s="298"/>
      <c r="Z455" s="298"/>
      <c r="AA455" s="298"/>
      <c r="AB455" s="298"/>
      <c r="AC455" s="298"/>
      <c r="AD455" s="298"/>
      <c r="AE455" s="298"/>
      <c r="AF455" s="298"/>
      <c r="AG455" s="298"/>
      <c r="AH455" s="298"/>
      <c r="AI455" s="298"/>
      <c r="AJ455" s="298"/>
      <c r="AK455" s="298"/>
      <c r="AL455" s="298"/>
      <c r="AM455" s="298"/>
    </row>
    <row r="456" spans="1:39" ht="15.75" customHeight="1">
      <c r="A456" s="298"/>
      <c r="B456" s="298"/>
      <c r="C456" s="1901"/>
      <c r="D456" s="1947"/>
      <c r="E456" s="1901"/>
      <c r="F456" s="1954"/>
      <c r="G456" s="1901"/>
      <c r="H456" s="1901"/>
      <c r="I456" s="1901"/>
      <c r="J456" s="1647"/>
      <c r="K456" s="1901"/>
      <c r="L456" s="1901"/>
      <c r="M456" s="1955"/>
      <c r="N456" s="1956"/>
      <c r="O456" s="1955"/>
      <c r="P456" s="1955"/>
      <c r="Q456" s="1956"/>
      <c r="R456" s="493"/>
      <c r="S456" s="493"/>
      <c r="T456" s="493"/>
      <c r="U456" s="493"/>
      <c r="V456" s="298"/>
      <c r="W456" s="298"/>
      <c r="X456" s="298"/>
      <c r="Y456" s="298"/>
      <c r="Z456" s="298"/>
      <c r="AA456" s="298"/>
      <c r="AB456" s="298"/>
      <c r="AC456" s="298"/>
      <c r="AD456" s="298"/>
      <c r="AE456" s="298"/>
      <c r="AF456" s="298"/>
      <c r="AG456" s="298"/>
      <c r="AH456" s="298"/>
      <c r="AI456" s="298"/>
      <c r="AJ456" s="298"/>
      <c r="AK456" s="298"/>
      <c r="AL456" s="298"/>
      <c r="AM456" s="298"/>
    </row>
    <row r="457" spans="1:39" ht="15.75" customHeight="1">
      <c r="A457" s="298"/>
      <c r="B457" s="298"/>
      <c r="C457" s="1901"/>
      <c r="D457" s="1947"/>
      <c r="E457" s="1901"/>
      <c r="F457" s="1954"/>
      <c r="G457" s="1901"/>
      <c r="H457" s="1901"/>
      <c r="I457" s="1901"/>
      <c r="J457" s="1647"/>
      <c r="K457" s="1901"/>
      <c r="L457" s="1901"/>
      <c r="M457" s="1955"/>
      <c r="N457" s="1956"/>
      <c r="O457" s="1955"/>
      <c r="P457" s="1955"/>
      <c r="Q457" s="1956"/>
      <c r="R457" s="493"/>
      <c r="S457" s="493"/>
      <c r="T457" s="493"/>
      <c r="U457" s="493"/>
      <c r="V457" s="298"/>
      <c r="W457" s="298"/>
      <c r="X457" s="298"/>
      <c r="Y457" s="298"/>
      <c r="Z457" s="298"/>
      <c r="AA457" s="298"/>
      <c r="AB457" s="298"/>
      <c r="AC457" s="298"/>
      <c r="AD457" s="298"/>
      <c r="AE457" s="298"/>
      <c r="AF457" s="298"/>
      <c r="AG457" s="298"/>
      <c r="AH457" s="298"/>
      <c r="AI457" s="298"/>
      <c r="AJ457" s="298"/>
      <c r="AK457" s="298"/>
      <c r="AL457" s="298"/>
      <c r="AM457" s="298"/>
    </row>
    <row r="458" spans="1:39" ht="15.75" customHeight="1">
      <c r="A458" s="298"/>
      <c r="B458" s="298"/>
      <c r="C458" s="1901"/>
      <c r="D458" s="1947"/>
      <c r="E458" s="1901"/>
      <c r="F458" s="1954"/>
      <c r="G458" s="1901"/>
      <c r="H458" s="1901"/>
      <c r="I458" s="1901"/>
      <c r="J458" s="1647"/>
      <c r="K458" s="1901"/>
      <c r="L458" s="1901"/>
      <c r="M458" s="1955"/>
      <c r="N458" s="1956"/>
      <c r="O458" s="1955"/>
      <c r="P458" s="1955"/>
      <c r="Q458" s="1956"/>
      <c r="R458" s="493"/>
      <c r="S458" s="493"/>
      <c r="T458" s="493"/>
      <c r="U458" s="493"/>
      <c r="V458" s="298"/>
      <c r="W458" s="298"/>
      <c r="X458" s="298"/>
      <c r="Y458" s="298"/>
      <c r="Z458" s="298"/>
      <c r="AA458" s="298"/>
      <c r="AB458" s="298"/>
      <c r="AC458" s="298"/>
      <c r="AD458" s="298"/>
      <c r="AE458" s="298"/>
      <c r="AF458" s="298"/>
      <c r="AG458" s="298"/>
      <c r="AH458" s="298"/>
      <c r="AI458" s="298"/>
      <c r="AJ458" s="298"/>
      <c r="AK458" s="298"/>
      <c r="AL458" s="298"/>
      <c r="AM458" s="298"/>
    </row>
    <row r="459" spans="1:39" ht="15.75" customHeight="1">
      <c r="A459" s="298"/>
      <c r="B459" s="298"/>
      <c r="C459" s="1901"/>
      <c r="D459" s="1947"/>
      <c r="E459" s="1901"/>
      <c r="F459" s="1954"/>
      <c r="G459" s="1901"/>
      <c r="H459" s="1901"/>
      <c r="I459" s="1901"/>
      <c r="J459" s="1647"/>
      <c r="K459" s="1901"/>
      <c r="L459" s="1901"/>
      <c r="M459" s="1955"/>
      <c r="N459" s="1956"/>
      <c r="O459" s="1955"/>
      <c r="P459" s="1955"/>
      <c r="Q459" s="1956"/>
      <c r="R459" s="493"/>
      <c r="S459" s="493"/>
      <c r="T459" s="493"/>
      <c r="U459" s="493"/>
      <c r="V459" s="298"/>
      <c r="W459" s="298"/>
      <c r="X459" s="298"/>
      <c r="Y459" s="298"/>
      <c r="Z459" s="298"/>
      <c r="AA459" s="298"/>
      <c r="AB459" s="298"/>
      <c r="AC459" s="298"/>
      <c r="AD459" s="298"/>
      <c r="AE459" s="298"/>
      <c r="AF459" s="298"/>
      <c r="AG459" s="298"/>
      <c r="AH459" s="298"/>
      <c r="AI459" s="298"/>
      <c r="AJ459" s="298"/>
      <c r="AK459" s="298"/>
      <c r="AL459" s="298"/>
      <c r="AM459" s="298"/>
    </row>
    <row r="460" spans="1:39" ht="15.75" customHeight="1">
      <c r="A460" s="298"/>
      <c r="B460" s="298"/>
      <c r="C460" s="1901"/>
      <c r="D460" s="1947"/>
      <c r="E460" s="1901"/>
      <c r="F460" s="1954"/>
      <c r="G460" s="1901"/>
      <c r="H460" s="1901"/>
      <c r="I460" s="1901"/>
      <c r="J460" s="1647"/>
      <c r="K460" s="1901"/>
      <c r="L460" s="1901"/>
      <c r="M460" s="1955"/>
      <c r="N460" s="1956"/>
      <c r="O460" s="1955"/>
      <c r="P460" s="1955"/>
      <c r="Q460" s="1956"/>
      <c r="R460" s="493"/>
      <c r="S460" s="493"/>
      <c r="T460" s="493"/>
      <c r="U460" s="493"/>
      <c r="V460" s="298"/>
      <c r="W460" s="298"/>
      <c r="X460" s="298"/>
      <c r="Y460" s="298"/>
      <c r="Z460" s="298"/>
      <c r="AA460" s="298"/>
      <c r="AB460" s="298"/>
      <c r="AC460" s="298"/>
      <c r="AD460" s="298"/>
      <c r="AE460" s="298"/>
      <c r="AF460" s="298"/>
      <c r="AG460" s="298"/>
      <c r="AH460" s="298"/>
      <c r="AI460" s="298"/>
      <c r="AJ460" s="298"/>
      <c r="AK460" s="298"/>
      <c r="AL460" s="298"/>
      <c r="AM460" s="298"/>
    </row>
    <row r="461" spans="1:39" ht="15.75" customHeight="1">
      <c r="A461" s="298"/>
      <c r="B461" s="298"/>
      <c r="C461" s="1901"/>
      <c r="D461" s="1947"/>
      <c r="E461" s="1901"/>
      <c r="F461" s="1954"/>
      <c r="G461" s="1901"/>
      <c r="H461" s="1901"/>
      <c r="I461" s="1901"/>
      <c r="J461" s="1647"/>
      <c r="K461" s="1901"/>
      <c r="L461" s="1901"/>
      <c r="M461" s="1955"/>
      <c r="N461" s="1956"/>
      <c r="O461" s="1955"/>
      <c r="P461" s="1955"/>
      <c r="Q461" s="1956"/>
      <c r="R461" s="493"/>
      <c r="S461" s="493"/>
      <c r="T461" s="493"/>
      <c r="U461" s="493"/>
      <c r="V461" s="298"/>
      <c r="W461" s="298"/>
      <c r="X461" s="298"/>
      <c r="Y461" s="298"/>
      <c r="Z461" s="298"/>
      <c r="AA461" s="298"/>
      <c r="AB461" s="298"/>
      <c r="AC461" s="298"/>
      <c r="AD461" s="298"/>
      <c r="AE461" s="298"/>
      <c r="AF461" s="298"/>
      <c r="AG461" s="298"/>
      <c r="AH461" s="298"/>
      <c r="AI461" s="298"/>
      <c r="AJ461" s="298"/>
      <c r="AK461" s="298"/>
      <c r="AL461" s="298"/>
      <c r="AM461" s="298"/>
    </row>
    <row r="462" spans="1:39" ht="15.75" customHeight="1">
      <c r="A462" s="298"/>
      <c r="B462" s="298"/>
      <c r="C462" s="1901"/>
      <c r="D462" s="1947"/>
      <c r="E462" s="1901"/>
      <c r="F462" s="1954"/>
      <c r="G462" s="1901"/>
      <c r="H462" s="1901"/>
      <c r="I462" s="1901"/>
      <c r="J462" s="1647"/>
      <c r="K462" s="1901"/>
      <c r="L462" s="1901"/>
      <c r="M462" s="1955"/>
      <c r="N462" s="1956"/>
      <c r="O462" s="1955"/>
      <c r="P462" s="1955"/>
      <c r="Q462" s="1956"/>
      <c r="R462" s="493"/>
      <c r="S462" s="493"/>
      <c r="T462" s="493"/>
      <c r="U462" s="493"/>
      <c r="V462" s="298"/>
      <c r="W462" s="298"/>
      <c r="X462" s="298"/>
      <c r="Y462" s="298"/>
      <c r="Z462" s="298"/>
      <c r="AA462" s="298"/>
      <c r="AB462" s="298"/>
      <c r="AC462" s="298"/>
      <c r="AD462" s="298"/>
      <c r="AE462" s="298"/>
      <c r="AF462" s="298"/>
      <c r="AG462" s="298"/>
      <c r="AH462" s="298"/>
      <c r="AI462" s="298"/>
      <c r="AJ462" s="298"/>
      <c r="AK462" s="298"/>
      <c r="AL462" s="298"/>
      <c r="AM462" s="298"/>
    </row>
    <row r="463" spans="1:39" ht="15.75" customHeight="1">
      <c r="A463" s="298"/>
      <c r="B463" s="298"/>
      <c r="C463" s="1901"/>
      <c r="D463" s="1947"/>
      <c r="E463" s="1901"/>
      <c r="F463" s="1954"/>
      <c r="G463" s="1901"/>
      <c r="H463" s="1901"/>
      <c r="I463" s="1901"/>
      <c r="J463" s="1647"/>
      <c r="K463" s="1901"/>
      <c r="L463" s="1901"/>
      <c r="M463" s="1955"/>
      <c r="N463" s="1956"/>
      <c r="O463" s="1955"/>
      <c r="P463" s="1955"/>
      <c r="Q463" s="1956"/>
      <c r="R463" s="493"/>
      <c r="S463" s="493"/>
      <c r="T463" s="493"/>
      <c r="U463" s="493"/>
      <c r="V463" s="298"/>
      <c r="W463" s="298"/>
      <c r="X463" s="298"/>
      <c r="Y463" s="298"/>
      <c r="Z463" s="298"/>
      <c r="AA463" s="298"/>
      <c r="AB463" s="298"/>
      <c r="AC463" s="298"/>
      <c r="AD463" s="298"/>
      <c r="AE463" s="298"/>
      <c r="AF463" s="298"/>
      <c r="AG463" s="298"/>
      <c r="AH463" s="298"/>
      <c r="AI463" s="298"/>
      <c r="AJ463" s="298"/>
      <c r="AK463" s="298"/>
      <c r="AL463" s="298"/>
      <c r="AM463" s="298"/>
    </row>
    <row r="464" spans="1:39" ht="15.75" customHeight="1">
      <c r="A464" s="298"/>
      <c r="B464" s="298"/>
      <c r="C464" s="1901"/>
      <c r="D464" s="1947"/>
      <c r="E464" s="1901"/>
      <c r="F464" s="1954"/>
      <c r="G464" s="1901"/>
      <c r="H464" s="1901"/>
      <c r="I464" s="1901"/>
      <c r="J464" s="1647"/>
      <c r="K464" s="1901"/>
      <c r="L464" s="1901"/>
      <c r="M464" s="1955"/>
      <c r="N464" s="1956"/>
      <c r="O464" s="1955"/>
      <c r="P464" s="1955"/>
      <c r="Q464" s="1956"/>
      <c r="R464" s="493"/>
      <c r="S464" s="493"/>
      <c r="T464" s="493"/>
      <c r="U464" s="493"/>
      <c r="V464" s="298"/>
      <c r="W464" s="298"/>
      <c r="X464" s="298"/>
      <c r="Y464" s="298"/>
      <c r="Z464" s="298"/>
      <c r="AA464" s="298"/>
      <c r="AB464" s="298"/>
      <c r="AC464" s="298"/>
      <c r="AD464" s="298"/>
      <c r="AE464" s="298"/>
      <c r="AF464" s="298"/>
      <c r="AG464" s="298"/>
      <c r="AH464" s="298"/>
      <c r="AI464" s="298"/>
      <c r="AJ464" s="298"/>
      <c r="AK464" s="298"/>
      <c r="AL464" s="298"/>
      <c r="AM464" s="298"/>
    </row>
    <row r="465" spans="1:39" ht="15.75" customHeight="1">
      <c r="A465" s="298"/>
      <c r="B465" s="298"/>
      <c r="C465" s="1901"/>
      <c r="D465" s="1947"/>
      <c r="E465" s="1901"/>
      <c r="F465" s="1954"/>
      <c r="G465" s="1901"/>
      <c r="H465" s="1901"/>
      <c r="I465" s="1901"/>
      <c r="J465" s="1647"/>
      <c r="K465" s="1901"/>
      <c r="L465" s="1901"/>
      <c r="M465" s="1955"/>
      <c r="N465" s="1956"/>
      <c r="O465" s="1955"/>
      <c r="P465" s="1955"/>
      <c r="Q465" s="1956"/>
      <c r="R465" s="493"/>
      <c r="S465" s="493"/>
      <c r="T465" s="493"/>
      <c r="U465" s="493"/>
      <c r="V465" s="298"/>
      <c r="W465" s="298"/>
      <c r="X465" s="298"/>
      <c r="Y465" s="298"/>
      <c r="Z465" s="298"/>
      <c r="AA465" s="298"/>
      <c r="AB465" s="298"/>
      <c r="AC465" s="298"/>
      <c r="AD465" s="298"/>
      <c r="AE465" s="298"/>
      <c r="AF465" s="298"/>
      <c r="AG465" s="298"/>
      <c r="AH465" s="298"/>
      <c r="AI465" s="298"/>
      <c r="AJ465" s="298"/>
      <c r="AK465" s="298"/>
      <c r="AL465" s="298"/>
      <c r="AM465" s="298"/>
    </row>
    <row r="466" spans="1:39" ht="15.75" customHeight="1">
      <c r="A466" s="298"/>
      <c r="B466" s="298"/>
      <c r="C466" s="1901"/>
      <c r="D466" s="1947"/>
      <c r="E466" s="1901"/>
      <c r="F466" s="1954"/>
      <c r="G466" s="1901"/>
      <c r="H466" s="1901"/>
      <c r="I466" s="1901"/>
      <c r="J466" s="1647"/>
      <c r="K466" s="1901"/>
      <c r="L466" s="1901"/>
      <c r="M466" s="1955"/>
      <c r="N466" s="1956"/>
      <c r="O466" s="1955"/>
      <c r="P466" s="1955"/>
      <c r="Q466" s="1956"/>
      <c r="R466" s="493"/>
      <c r="S466" s="493"/>
      <c r="T466" s="493"/>
      <c r="U466" s="493"/>
      <c r="V466" s="298"/>
      <c r="W466" s="298"/>
      <c r="X466" s="298"/>
      <c r="Y466" s="298"/>
      <c r="Z466" s="298"/>
      <c r="AA466" s="298"/>
      <c r="AB466" s="298"/>
      <c r="AC466" s="298"/>
      <c r="AD466" s="298"/>
      <c r="AE466" s="298"/>
      <c r="AF466" s="298"/>
      <c r="AG466" s="298"/>
      <c r="AH466" s="298"/>
      <c r="AI466" s="298"/>
      <c r="AJ466" s="298"/>
      <c r="AK466" s="298"/>
      <c r="AL466" s="298"/>
      <c r="AM466" s="298"/>
    </row>
    <row r="467" spans="1:39" ht="15.75" customHeight="1">
      <c r="A467" s="298"/>
      <c r="B467" s="298"/>
      <c r="C467" s="1901"/>
      <c r="D467" s="1947"/>
      <c r="E467" s="1901"/>
      <c r="F467" s="1954"/>
      <c r="G467" s="1901"/>
      <c r="H467" s="1901"/>
      <c r="I467" s="1901"/>
      <c r="J467" s="1647"/>
      <c r="K467" s="1901"/>
      <c r="L467" s="1901"/>
      <c r="M467" s="1955"/>
      <c r="N467" s="1956"/>
      <c r="O467" s="1955"/>
      <c r="P467" s="1955"/>
      <c r="Q467" s="1956"/>
      <c r="R467" s="493"/>
      <c r="S467" s="493"/>
      <c r="T467" s="493"/>
      <c r="U467" s="493"/>
      <c r="V467" s="298"/>
      <c r="W467" s="298"/>
      <c r="X467" s="298"/>
      <c r="Y467" s="298"/>
      <c r="Z467" s="298"/>
      <c r="AA467" s="298"/>
      <c r="AB467" s="298"/>
      <c r="AC467" s="298"/>
      <c r="AD467" s="298"/>
      <c r="AE467" s="298"/>
      <c r="AF467" s="298"/>
      <c r="AG467" s="298"/>
      <c r="AH467" s="298"/>
      <c r="AI467" s="298"/>
      <c r="AJ467" s="298"/>
      <c r="AK467" s="298"/>
      <c r="AL467" s="298"/>
      <c r="AM467" s="298"/>
    </row>
    <row r="468" spans="1:39" ht="15.75" customHeight="1">
      <c r="A468" s="298"/>
      <c r="B468" s="298"/>
      <c r="C468" s="1901"/>
      <c r="D468" s="1947"/>
      <c r="E468" s="1901"/>
      <c r="F468" s="1954"/>
      <c r="G468" s="1901"/>
      <c r="H468" s="1901"/>
      <c r="I468" s="1901"/>
      <c r="J468" s="1647"/>
      <c r="K468" s="1901"/>
      <c r="L468" s="1901"/>
      <c r="M468" s="1955"/>
      <c r="N468" s="1956"/>
      <c r="O468" s="1955"/>
      <c r="P468" s="1955"/>
      <c r="Q468" s="1956"/>
      <c r="R468" s="493"/>
      <c r="S468" s="493"/>
      <c r="T468" s="493"/>
      <c r="U468" s="493"/>
      <c r="V468" s="298"/>
      <c r="W468" s="298"/>
      <c r="X468" s="298"/>
      <c r="Y468" s="298"/>
      <c r="Z468" s="298"/>
      <c r="AA468" s="298"/>
      <c r="AB468" s="298"/>
      <c r="AC468" s="298"/>
      <c r="AD468" s="298"/>
      <c r="AE468" s="298"/>
      <c r="AF468" s="298"/>
      <c r="AG468" s="298"/>
      <c r="AH468" s="298"/>
      <c r="AI468" s="298"/>
      <c r="AJ468" s="298"/>
      <c r="AK468" s="298"/>
      <c r="AL468" s="298"/>
      <c r="AM468" s="298"/>
    </row>
    <row r="469" spans="1:39" ht="15.75" customHeight="1">
      <c r="A469" s="298"/>
      <c r="B469" s="298"/>
      <c r="C469" s="1901"/>
      <c r="D469" s="1947"/>
      <c r="E469" s="1901"/>
      <c r="F469" s="1954"/>
      <c r="G469" s="1901"/>
      <c r="H469" s="1901"/>
      <c r="I469" s="1901"/>
      <c r="J469" s="1647"/>
      <c r="K469" s="1901"/>
      <c r="L469" s="1901"/>
      <c r="M469" s="1955"/>
      <c r="N469" s="1956"/>
      <c r="O469" s="1955"/>
      <c r="P469" s="1955"/>
      <c r="Q469" s="1956"/>
      <c r="R469" s="493"/>
      <c r="S469" s="493"/>
      <c r="T469" s="493"/>
      <c r="U469" s="493"/>
      <c r="V469" s="298"/>
      <c r="W469" s="298"/>
      <c r="X469" s="298"/>
      <c r="Y469" s="298"/>
      <c r="Z469" s="298"/>
      <c r="AA469" s="298"/>
      <c r="AB469" s="298"/>
      <c r="AC469" s="298"/>
      <c r="AD469" s="298"/>
      <c r="AE469" s="298"/>
      <c r="AF469" s="298"/>
      <c r="AG469" s="298"/>
      <c r="AH469" s="298"/>
      <c r="AI469" s="298"/>
      <c r="AJ469" s="298"/>
      <c r="AK469" s="298"/>
      <c r="AL469" s="298"/>
      <c r="AM469" s="298"/>
    </row>
    <row r="470" spans="1:39" ht="15.75" customHeight="1">
      <c r="A470" s="298"/>
      <c r="B470" s="298"/>
      <c r="C470" s="1901"/>
      <c r="D470" s="1947"/>
      <c r="E470" s="1901"/>
      <c r="F470" s="1954"/>
      <c r="G470" s="1901"/>
      <c r="H470" s="1901"/>
      <c r="I470" s="1901"/>
      <c r="J470" s="1647"/>
      <c r="K470" s="1901"/>
      <c r="L470" s="1901"/>
      <c r="M470" s="1955"/>
      <c r="N470" s="1956"/>
      <c r="O470" s="1955"/>
      <c r="P470" s="1955"/>
      <c r="Q470" s="1956"/>
      <c r="R470" s="493"/>
      <c r="S470" s="493"/>
      <c r="T470" s="493"/>
      <c r="U470" s="493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298"/>
      <c r="AG470" s="298"/>
      <c r="AH470" s="298"/>
      <c r="AI470" s="298"/>
      <c r="AJ470" s="298"/>
      <c r="AK470" s="298"/>
      <c r="AL470" s="298"/>
      <c r="AM470" s="298"/>
    </row>
    <row r="471" spans="1:39" ht="15.75" customHeight="1">
      <c r="A471" s="298"/>
      <c r="B471" s="298"/>
      <c r="C471" s="1901"/>
      <c r="D471" s="1947"/>
      <c r="E471" s="1901"/>
      <c r="F471" s="1954"/>
      <c r="G471" s="1901"/>
      <c r="H471" s="1901"/>
      <c r="I471" s="1901"/>
      <c r="J471" s="1647"/>
      <c r="K471" s="1901"/>
      <c r="L471" s="1901"/>
      <c r="M471" s="1955"/>
      <c r="N471" s="1956"/>
      <c r="O471" s="1955"/>
      <c r="P471" s="1955"/>
      <c r="Q471" s="1956"/>
      <c r="R471" s="493"/>
      <c r="S471" s="493"/>
      <c r="T471" s="493"/>
      <c r="U471" s="493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298"/>
      <c r="AG471" s="298"/>
      <c r="AH471" s="298"/>
      <c r="AI471" s="298"/>
      <c r="AJ471" s="298"/>
      <c r="AK471" s="298"/>
      <c r="AL471" s="298"/>
      <c r="AM471" s="298"/>
    </row>
    <row r="472" spans="1:39" ht="15.75" customHeight="1">
      <c r="A472" s="298"/>
      <c r="B472" s="298"/>
      <c r="C472" s="1901"/>
      <c r="D472" s="1947"/>
      <c r="E472" s="1901"/>
      <c r="F472" s="1954"/>
      <c r="G472" s="1901"/>
      <c r="H472" s="1901"/>
      <c r="I472" s="1901"/>
      <c r="J472" s="1647"/>
      <c r="K472" s="1901"/>
      <c r="L472" s="1901"/>
      <c r="M472" s="1955"/>
      <c r="N472" s="1956"/>
      <c r="O472" s="1955"/>
      <c r="P472" s="1955"/>
      <c r="Q472" s="1956"/>
      <c r="R472" s="493"/>
      <c r="S472" s="493"/>
      <c r="T472" s="493"/>
      <c r="U472" s="493"/>
      <c r="V472" s="298"/>
      <c r="W472" s="298"/>
      <c r="X472" s="298"/>
      <c r="Y472" s="298"/>
      <c r="Z472" s="298"/>
      <c r="AA472" s="298"/>
      <c r="AB472" s="298"/>
      <c r="AC472" s="298"/>
      <c r="AD472" s="298"/>
      <c r="AE472" s="298"/>
      <c r="AF472" s="298"/>
      <c r="AG472" s="298"/>
      <c r="AH472" s="298"/>
      <c r="AI472" s="298"/>
      <c r="AJ472" s="298"/>
      <c r="AK472" s="298"/>
      <c r="AL472" s="298"/>
      <c r="AM472" s="298"/>
    </row>
    <row r="473" spans="1:39" ht="15.75" customHeight="1">
      <c r="A473" s="298"/>
      <c r="B473" s="298"/>
      <c r="C473" s="1901"/>
      <c r="D473" s="1947"/>
      <c r="E473" s="1901"/>
      <c r="F473" s="1954"/>
      <c r="G473" s="1901"/>
      <c r="H473" s="1901"/>
      <c r="I473" s="1901"/>
      <c r="J473" s="1647"/>
      <c r="K473" s="1901"/>
      <c r="L473" s="1901"/>
      <c r="M473" s="1955"/>
      <c r="N473" s="1956"/>
      <c r="O473" s="1955"/>
      <c r="P473" s="1955"/>
      <c r="Q473" s="1956"/>
      <c r="R473" s="493"/>
      <c r="S473" s="493"/>
      <c r="T473" s="493"/>
      <c r="U473" s="493"/>
      <c r="V473" s="298"/>
      <c r="W473" s="298"/>
      <c r="X473" s="298"/>
      <c r="Y473" s="298"/>
      <c r="Z473" s="298"/>
      <c r="AA473" s="298"/>
      <c r="AB473" s="298"/>
      <c r="AC473" s="298"/>
      <c r="AD473" s="298"/>
      <c r="AE473" s="298"/>
      <c r="AF473" s="298"/>
      <c r="AG473" s="298"/>
      <c r="AH473" s="298"/>
      <c r="AI473" s="298"/>
      <c r="AJ473" s="298"/>
      <c r="AK473" s="298"/>
      <c r="AL473" s="298"/>
      <c r="AM473" s="298"/>
    </row>
    <row r="474" spans="1:39" ht="15.75" customHeight="1">
      <c r="A474" s="298"/>
      <c r="B474" s="298"/>
      <c r="C474" s="1901"/>
      <c r="D474" s="1947"/>
      <c r="E474" s="1901"/>
      <c r="F474" s="1954"/>
      <c r="G474" s="1901"/>
      <c r="H474" s="1901"/>
      <c r="I474" s="1901"/>
      <c r="J474" s="1647"/>
      <c r="K474" s="1901"/>
      <c r="L474" s="1901"/>
      <c r="M474" s="1955"/>
      <c r="N474" s="1956"/>
      <c r="O474" s="1955"/>
      <c r="P474" s="1955"/>
      <c r="Q474" s="1956"/>
      <c r="R474" s="493"/>
      <c r="S474" s="493"/>
      <c r="T474" s="493"/>
      <c r="U474" s="493"/>
      <c r="V474" s="298"/>
      <c r="W474" s="298"/>
      <c r="X474" s="298"/>
      <c r="Y474" s="298"/>
      <c r="Z474" s="298"/>
      <c r="AA474" s="298"/>
      <c r="AB474" s="298"/>
      <c r="AC474" s="298"/>
      <c r="AD474" s="298"/>
      <c r="AE474" s="298"/>
      <c r="AF474" s="298"/>
      <c r="AG474" s="298"/>
      <c r="AH474" s="298"/>
      <c r="AI474" s="298"/>
      <c r="AJ474" s="298"/>
      <c r="AK474" s="298"/>
      <c r="AL474" s="298"/>
      <c r="AM474" s="298"/>
    </row>
    <row r="475" spans="1:39" ht="15.75" customHeight="1">
      <c r="A475" s="298"/>
      <c r="B475" s="298"/>
      <c r="C475" s="1901"/>
      <c r="D475" s="1947"/>
      <c r="E475" s="1901"/>
      <c r="F475" s="1954"/>
      <c r="G475" s="1901"/>
      <c r="H475" s="1901"/>
      <c r="I475" s="1901"/>
      <c r="J475" s="1647"/>
      <c r="K475" s="1901"/>
      <c r="L475" s="1901"/>
      <c r="M475" s="1955"/>
      <c r="N475" s="1956"/>
      <c r="O475" s="1955"/>
      <c r="P475" s="1955"/>
      <c r="Q475" s="1956"/>
      <c r="R475" s="493"/>
      <c r="S475" s="493"/>
      <c r="T475" s="493"/>
      <c r="U475" s="493"/>
      <c r="V475" s="298"/>
      <c r="W475" s="298"/>
      <c r="X475" s="298"/>
      <c r="Y475" s="298"/>
      <c r="Z475" s="298"/>
      <c r="AA475" s="298"/>
      <c r="AB475" s="298"/>
      <c r="AC475" s="298"/>
      <c r="AD475" s="298"/>
      <c r="AE475" s="298"/>
      <c r="AF475" s="298"/>
      <c r="AG475" s="298"/>
      <c r="AH475" s="298"/>
      <c r="AI475" s="298"/>
      <c r="AJ475" s="298"/>
      <c r="AK475" s="298"/>
      <c r="AL475" s="298"/>
      <c r="AM475" s="298"/>
    </row>
    <row r="476" spans="1:39" ht="15.75" customHeight="1">
      <c r="A476" s="298"/>
      <c r="B476" s="298"/>
      <c r="C476" s="1901"/>
      <c r="D476" s="1947"/>
      <c r="E476" s="1901"/>
      <c r="F476" s="1954"/>
      <c r="G476" s="1901"/>
      <c r="H476" s="1901"/>
      <c r="I476" s="1901"/>
      <c r="J476" s="1647"/>
      <c r="K476" s="1901"/>
      <c r="L476" s="1901"/>
      <c r="M476" s="1955"/>
      <c r="N476" s="1956"/>
      <c r="O476" s="1955"/>
      <c r="P476" s="1955"/>
      <c r="Q476" s="1956"/>
      <c r="R476" s="493"/>
      <c r="S476" s="493"/>
      <c r="T476" s="493"/>
      <c r="U476" s="493"/>
      <c r="V476" s="298"/>
      <c r="W476" s="298"/>
      <c r="X476" s="298"/>
      <c r="Y476" s="298"/>
      <c r="Z476" s="298"/>
      <c r="AA476" s="298"/>
      <c r="AB476" s="298"/>
      <c r="AC476" s="298"/>
      <c r="AD476" s="298"/>
      <c r="AE476" s="298"/>
      <c r="AF476" s="298"/>
      <c r="AG476" s="298"/>
      <c r="AH476" s="298"/>
      <c r="AI476" s="298"/>
      <c r="AJ476" s="298"/>
      <c r="AK476" s="298"/>
      <c r="AL476" s="298"/>
      <c r="AM476" s="298"/>
    </row>
    <row r="477" spans="1:39" ht="15.75" customHeight="1">
      <c r="A477" s="298"/>
      <c r="B477" s="298"/>
      <c r="C477" s="1901"/>
      <c r="D477" s="1947"/>
      <c r="E477" s="1901"/>
      <c r="F477" s="1954"/>
      <c r="G477" s="1901"/>
      <c r="H477" s="1901"/>
      <c r="I477" s="1901"/>
      <c r="J477" s="1647"/>
      <c r="K477" s="1901"/>
      <c r="L477" s="1901"/>
      <c r="M477" s="1955"/>
      <c r="N477" s="1956"/>
      <c r="O477" s="1955"/>
      <c r="P477" s="1955"/>
      <c r="Q477" s="1956"/>
      <c r="R477" s="493"/>
      <c r="S477" s="493"/>
      <c r="T477" s="493"/>
      <c r="U477" s="493"/>
      <c r="V477" s="298"/>
      <c r="W477" s="298"/>
      <c r="X477" s="298"/>
      <c r="Y477" s="298"/>
      <c r="Z477" s="298"/>
      <c r="AA477" s="298"/>
      <c r="AB477" s="298"/>
      <c r="AC477" s="298"/>
      <c r="AD477" s="298"/>
      <c r="AE477" s="298"/>
      <c r="AF477" s="298"/>
      <c r="AG477" s="298"/>
      <c r="AH477" s="298"/>
      <c r="AI477" s="298"/>
      <c r="AJ477" s="298"/>
      <c r="AK477" s="298"/>
      <c r="AL477" s="298"/>
      <c r="AM477" s="298"/>
    </row>
    <row r="478" spans="1:39" ht="15.75" customHeight="1">
      <c r="A478" s="298"/>
      <c r="B478" s="298"/>
      <c r="C478" s="1901"/>
      <c r="D478" s="1947"/>
      <c r="E478" s="1901"/>
      <c r="F478" s="1954"/>
      <c r="G478" s="1901"/>
      <c r="H478" s="1901"/>
      <c r="I478" s="1901"/>
      <c r="J478" s="1647"/>
      <c r="K478" s="1901"/>
      <c r="L478" s="1901"/>
      <c r="M478" s="1955"/>
      <c r="N478" s="1956"/>
      <c r="O478" s="1955"/>
      <c r="P478" s="1955"/>
      <c r="Q478" s="1956"/>
      <c r="R478" s="493"/>
      <c r="S478" s="493"/>
      <c r="T478" s="493"/>
      <c r="U478" s="493"/>
      <c r="V478" s="298"/>
      <c r="W478" s="298"/>
      <c r="X478" s="298"/>
      <c r="Y478" s="298"/>
      <c r="Z478" s="298"/>
      <c r="AA478" s="298"/>
      <c r="AB478" s="298"/>
      <c r="AC478" s="298"/>
      <c r="AD478" s="298"/>
      <c r="AE478" s="298"/>
      <c r="AF478" s="298"/>
      <c r="AG478" s="298"/>
      <c r="AH478" s="298"/>
      <c r="AI478" s="298"/>
      <c r="AJ478" s="298"/>
      <c r="AK478" s="298"/>
      <c r="AL478" s="298"/>
      <c r="AM478" s="298"/>
    </row>
    <row r="479" spans="1:39" ht="15.75" customHeight="1">
      <c r="A479" s="298"/>
      <c r="B479" s="298"/>
      <c r="C479" s="1901"/>
      <c r="D479" s="1947"/>
      <c r="E479" s="1901"/>
      <c r="F479" s="1954"/>
      <c r="G479" s="1901"/>
      <c r="H479" s="1901"/>
      <c r="I479" s="1901"/>
      <c r="J479" s="1647"/>
      <c r="K479" s="1901"/>
      <c r="L479" s="1901"/>
      <c r="M479" s="1955"/>
      <c r="N479" s="1956"/>
      <c r="O479" s="1955"/>
      <c r="P479" s="1955"/>
      <c r="Q479" s="1956"/>
      <c r="R479" s="493"/>
      <c r="S479" s="493"/>
      <c r="T479" s="493"/>
      <c r="U479" s="493"/>
      <c r="V479" s="298"/>
      <c r="W479" s="298"/>
      <c r="X479" s="298"/>
      <c r="Y479" s="298"/>
      <c r="Z479" s="298"/>
      <c r="AA479" s="298"/>
      <c r="AB479" s="298"/>
      <c r="AC479" s="298"/>
      <c r="AD479" s="298"/>
      <c r="AE479" s="298"/>
      <c r="AF479" s="298"/>
      <c r="AG479" s="298"/>
      <c r="AH479" s="298"/>
      <c r="AI479" s="298"/>
      <c r="AJ479" s="298"/>
      <c r="AK479" s="298"/>
      <c r="AL479" s="298"/>
      <c r="AM479" s="298"/>
    </row>
    <row r="480" spans="1:39" ht="15.75" customHeight="1">
      <c r="A480" s="298"/>
      <c r="B480" s="298"/>
      <c r="C480" s="1901"/>
      <c r="D480" s="1947"/>
      <c r="E480" s="1901"/>
      <c r="F480" s="1954"/>
      <c r="G480" s="1901"/>
      <c r="H480" s="1901"/>
      <c r="I480" s="1901"/>
      <c r="J480" s="1647"/>
      <c r="K480" s="1901"/>
      <c r="L480" s="1901"/>
      <c r="M480" s="1955"/>
      <c r="N480" s="1956"/>
      <c r="O480" s="1955"/>
      <c r="P480" s="1955"/>
      <c r="Q480" s="1956"/>
      <c r="R480" s="493"/>
      <c r="S480" s="493"/>
      <c r="T480" s="493"/>
      <c r="U480" s="493"/>
      <c r="V480" s="298"/>
      <c r="W480" s="298"/>
      <c r="X480" s="298"/>
      <c r="Y480" s="298"/>
      <c r="Z480" s="298"/>
      <c r="AA480" s="298"/>
      <c r="AB480" s="298"/>
      <c r="AC480" s="298"/>
      <c r="AD480" s="298"/>
      <c r="AE480" s="298"/>
      <c r="AF480" s="298"/>
      <c r="AG480" s="298"/>
      <c r="AH480" s="298"/>
      <c r="AI480" s="298"/>
      <c r="AJ480" s="298"/>
      <c r="AK480" s="298"/>
      <c r="AL480" s="298"/>
      <c r="AM480" s="298"/>
    </row>
    <row r="481" spans="1:39" ht="15.75" customHeight="1">
      <c r="A481" s="298"/>
      <c r="B481" s="298"/>
      <c r="C481" s="1901"/>
      <c r="D481" s="1947"/>
      <c r="E481" s="1901"/>
      <c r="F481" s="1954"/>
      <c r="G481" s="1901"/>
      <c r="H481" s="1901"/>
      <c r="I481" s="1901"/>
      <c r="J481" s="1647"/>
      <c r="K481" s="1901"/>
      <c r="L481" s="1901"/>
      <c r="M481" s="1955"/>
      <c r="N481" s="1956"/>
      <c r="O481" s="1955"/>
      <c r="P481" s="1955"/>
      <c r="Q481" s="1956"/>
      <c r="R481" s="493"/>
      <c r="S481" s="493"/>
      <c r="T481" s="493"/>
      <c r="U481" s="493"/>
      <c r="V481" s="298"/>
      <c r="W481" s="298"/>
      <c r="X481" s="298"/>
      <c r="Y481" s="298"/>
      <c r="Z481" s="298"/>
      <c r="AA481" s="298"/>
      <c r="AB481" s="298"/>
      <c r="AC481" s="298"/>
      <c r="AD481" s="298"/>
      <c r="AE481" s="298"/>
      <c r="AF481" s="298"/>
      <c r="AG481" s="298"/>
      <c r="AH481" s="298"/>
      <c r="AI481" s="298"/>
      <c r="AJ481" s="298"/>
      <c r="AK481" s="298"/>
      <c r="AL481" s="298"/>
      <c r="AM481" s="298"/>
    </row>
    <row r="482" spans="1:39" ht="15.75" customHeight="1">
      <c r="A482" s="298"/>
      <c r="B482" s="298"/>
      <c r="C482" s="1901"/>
      <c r="D482" s="1947"/>
      <c r="E482" s="1901"/>
      <c r="F482" s="1954"/>
      <c r="G482" s="1901"/>
      <c r="H482" s="1901"/>
      <c r="I482" s="1901"/>
      <c r="J482" s="1647"/>
      <c r="K482" s="1901"/>
      <c r="L482" s="1901"/>
      <c r="M482" s="1955"/>
      <c r="N482" s="1956"/>
      <c r="O482" s="1955"/>
      <c r="P482" s="1955"/>
      <c r="Q482" s="1956"/>
      <c r="R482" s="493"/>
      <c r="S482" s="493"/>
      <c r="T482" s="493"/>
      <c r="U482" s="493"/>
      <c r="V482" s="298"/>
      <c r="W482" s="298"/>
      <c r="X482" s="298"/>
      <c r="Y482" s="298"/>
      <c r="Z482" s="298"/>
      <c r="AA482" s="298"/>
      <c r="AB482" s="298"/>
      <c r="AC482" s="298"/>
      <c r="AD482" s="298"/>
      <c r="AE482" s="298"/>
      <c r="AF482" s="298"/>
      <c r="AG482" s="298"/>
      <c r="AH482" s="298"/>
      <c r="AI482" s="298"/>
      <c r="AJ482" s="298"/>
      <c r="AK482" s="298"/>
      <c r="AL482" s="298"/>
      <c r="AM482" s="298"/>
    </row>
    <row r="483" spans="1:39" ht="15.75" customHeight="1">
      <c r="A483" s="298"/>
      <c r="B483" s="298"/>
      <c r="C483" s="1901"/>
      <c r="D483" s="1947"/>
      <c r="E483" s="1901"/>
      <c r="F483" s="1954"/>
      <c r="G483" s="1901"/>
      <c r="H483" s="1901"/>
      <c r="I483" s="1901"/>
      <c r="J483" s="1647"/>
      <c r="K483" s="1901"/>
      <c r="L483" s="1901"/>
      <c r="M483" s="1955"/>
      <c r="N483" s="1956"/>
      <c r="O483" s="1955"/>
      <c r="P483" s="1955"/>
      <c r="Q483" s="1956"/>
      <c r="R483" s="493"/>
      <c r="S483" s="493"/>
      <c r="T483" s="493"/>
      <c r="U483" s="493"/>
      <c r="V483" s="298"/>
      <c r="W483" s="298"/>
      <c r="X483" s="298"/>
      <c r="Y483" s="298"/>
      <c r="Z483" s="298"/>
      <c r="AA483" s="298"/>
      <c r="AB483" s="298"/>
      <c r="AC483" s="298"/>
      <c r="AD483" s="298"/>
      <c r="AE483" s="298"/>
      <c r="AF483" s="298"/>
      <c r="AG483" s="298"/>
      <c r="AH483" s="298"/>
      <c r="AI483" s="298"/>
      <c r="AJ483" s="298"/>
      <c r="AK483" s="298"/>
      <c r="AL483" s="298"/>
      <c r="AM483" s="298"/>
    </row>
    <row r="484" spans="1:39" ht="15.75" customHeight="1">
      <c r="A484" s="298"/>
      <c r="B484" s="298"/>
      <c r="C484" s="1901"/>
      <c r="D484" s="1947"/>
      <c r="E484" s="1901"/>
      <c r="F484" s="1954"/>
      <c r="G484" s="1901"/>
      <c r="H484" s="1901"/>
      <c r="I484" s="1901"/>
      <c r="J484" s="1647"/>
      <c r="K484" s="1901"/>
      <c r="L484" s="1901"/>
      <c r="M484" s="1955"/>
      <c r="N484" s="1956"/>
      <c r="O484" s="1955"/>
      <c r="P484" s="1955"/>
      <c r="Q484" s="1956"/>
      <c r="R484" s="493"/>
      <c r="S484" s="493"/>
      <c r="T484" s="493"/>
      <c r="U484" s="493"/>
      <c r="V484" s="298"/>
      <c r="W484" s="298"/>
      <c r="X484" s="298"/>
      <c r="Y484" s="298"/>
      <c r="Z484" s="298"/>
      <c r="AA484" s="298"/>
      <c r="AB484" s="298"/>
      <c r="AC484" s="298"/>
      <c r="AD484" s="298"/>
      <c r="AE484" s="298"/>
      <c r="AF484" s="298"/>
      <c r="AG484" s="298"/>
      <c r="AH484" s="298"/>
      <c r="AI484" s="298"/>
      <c r="AJ484" s="298"/>
      <c r="AK484" s="298"/>
      <c r="AL484" s="298"/>
      <c r="AM484" s="298"/>
    </row>
    <row r="485" spans="1:39" ht="15.75" customHeight="1">
      <c r="A485" s="298"/>
      <c r="B485" s="298"/>
      <c r="C485" s="1901"/>
      <c r="D485" s="1947"/>
      <c r="E485" s="1901"/>
      <c r="F485" s="1954"/>
      <c r="G485" s="1901"/>
      <c r="H485" s="1901"/>
      <c r="I485" s="1901"/>
      <c r="J485" s="1647"/>
      <c r="K485" s="1901"/>
      <c r="L485" s="1901"/>
      <c r="M485" s="1955"/>
      <c r="N485" s="1956"/>
      <c r="O485" s="1955"/>
      <c r="P485" s="1955"/>
      <c r="Q485" s="1956"/>
      <c r="R485" s="493"/>
      <c r="S485" s="493"/>
      <c r="T485" s="493"/>
      <c r="U485" s="493"/>
      <c r="V485" s="298"/>
      <c r="W485" s="298"/>
      <c r="X485" s="298"/>
      <c r="Y485" s="298"/>
      <c r="Z485" s="298"/>
      <c r="AA485" s="298"/>
      <c r="AB485" s="298"/>
      <c r="AC485" s="298"/>
      <c r="AD485" s="298"/>
      <c r="AE485" s="298"/>
      <c r="AF485" s="298"/>
      <c r="AG485" s="298"/>
      <c r="AH485" s="298"/>
      <c r="AI485" s="298"/>
      <c r="AJ485" s="298"/>
      <c r="AK485" s="298"/>
      <c r="AL485" s="298"/>
      <c r="AM485" s="298"/>
    </row>
    <row r="486" spans="1:39" ht="15.75" customHeight="1">
      <c r="A486" s="298"/>
      <c r="B486" s="298"/>
      <c r="C486" s="1901"/>
      <c r="D486" s="1947"/>
      <c r="E486" s="1901"/>
      <c r="F486" s="1954"/>
      <c r="G486" s="1901"/>
      <c r="H486" s="1901"/>
      <c r="I486" s="1901"/>
      <c r="J486" s="1647"/>
      <c r="K486" s="1901"/>
      <c r="L486" s="1901"/>
      <c r="M486" s="1955"/>
      <c r="N486" s="1956"/>
      <c r="O486" s="1955"/>
      <c r="P486" s="1955"/>
      <c r="Q486" s="1956"/>
      <c r="R486" s="493"/>
      <c r="S486" s="493"/>
      <c r="T486" s="493"/>
      <c r="U486" s="493"/>
      <c r="V486" s="298"/>
      <c r="W486" s="298"/>
      <c r="X486" s="298"/>
      <c r="Y486" s="298"/>
      <c r="Z486" s="298"/>
      <c r="AA486" s="298"/>
      <c r="AB486" s="298"/>
      <c r="AC486" s="298"/>
      <c r="AD486" s="298"/>
      <c r="AE486" s="298"/>
      <c r="AF486" s="298"/>
      <c r="AG486" s="298"/>
      <c r="AH486" s="298"/>
      <c r="AI486" s="298"/>
      <c r="AJ486" s="298"/>
      <c r="AK486" s="298"/>
      <c r="AL486" s="298"/>
      <c r="AM486" s="298"/>
    </row>
    <row r="487" spans="1:39" ht="15.75" customHeight="1">
      <c r="A487" s="298"/>
      <c r="B487" s="298"/>
      <c r="C487" s="1901"/>
      <c r="D487" s="1947"/>
      <c r="E487" s="1901"/>
      <c r="F487" s="1954"/>
      <c r="G487" s="1901"/>
      <c r="H487" s="1901"/>
      <c r="I487" s="1901"/>
      <c r="J487" s="1647"/>
      <c r="K487" s="1901"/>
      <c r="L487" s="1901"/>
      <c r="M487" s="1955"/>
      <c r="N487" s="1956"/>
      <c r="O487" s="1955"/>
      <c r="P487" s="1955"/>
      <c r="Q487" s="1956"/>
      <c r="R487" s="493"/>
      <c r="S487" s="493"/>
      <c r="T487" s="493"/>
      <c r="U487" s="493"/>
      <c r="V487" s="298"/>
      <c r="W487" s="298"/>
      <c r="X487" s="298"/>
      <c r="Y487" s="298"/>
      <c r="Z487" s="298"/>
      <c r="AA487" s="298"/>
      <c r="AB487" s="298"/>
      <c r="AC487" s="298"/>
      <c r="AD487" s="298"/>
      <c r="AE487" s="298"/>
      <c r="AF487" s="298"/>
      <c r="AG487" s="298"/>
      <c r="AH487" s="298"/>
      <c r="AI487" s="298"/>
      <c r="AJ487" s="298"/>
      <c r="AK487" s="298"/>
      <c r="AL487" s="298"/>
      <c r="AM487" s="298"/>
    </row>
    <row r="488" spans="1:39" ht="15.75" customHeight="1">
      <c r="A488" s="298"/>
      <c r="B488" s="298"/>
      <c r="C488" s="1901"/>
      <c r="D488" s="1947"/>
      <c r="E488" s="1901"/>
      <c r="F488" s="1954"/>
      <c r="G488" s="1901"/>
      <c r="H488" s="1901"/>
      <c r="I488" s="1901"/>
      <c r="J488" s="1647"/>
      <c r="K488" s="1901"/>
      <c r="L488" s="1901"/>
      <c r="M488" s="1955"/>
      <c r="N488" s="1956"/>
      <c r="O488" s="1955"/>
      <c r="P488" s="1955"/>
      <c r="Q488" s="1956"/>
      <c r="R488" s="493"/>
      <c r="S488" s="493"/>
      <c r="T488" s="493"/>
      <c r="U488" s="493"/>
      <c r="V488" s="298"/>
      <c r="W488" s="298"/>
      <c r="X488" s="298"/>
      <c r="Y488" s="298"/>
      <c r="Z488" s="298"/>
      <c r="AA488" s="298"/>
      <c r="AB488" s="298"/>
      <c r="AC488" s="298"/>
      <c r="AD488" s="298"/>
      <c r="AE488" s="298"/>
      <c r="AF488" s="298"/>
      <c r="AG488" s="298"/>
      <c r="AH488" s="298"/>
      <c r="AI488" s="298"/>
      <c r="AJ488" s="298"/>
      <c r="AK488" s="298"/>
      <c r="AL488" s="298"/>
      <c r="AM488" s="298"/>
    </row>
    <row r="489" spans="1:39" ht="15.75" customHeight="1">
      <c r="A489" s="298"/>
      <c r="B489" s="298"/>
      <c r="C489" s="1901"/>
      <c r="D489" s="1947"/>
      <c r="E489" s="1901"/>
      <c r="F489" s="1954"/>
      <c r="G489" s="1901"/>
      <c r="H489" s="1901"/>
      <c r="I489" s="1901"/>
      <c r="J489" s="1647"/>
      <c r="K489" s="1901"/>
      <c r="L489" s="1901"/>
      <c r="M489" s="1955"/>
      <c r="N489" s="1956"/>
      <c r="O489" s="1955"/>
      <c r="P489" s="1955"/>
      <c r="Q489" s="1956"/>
      <c r="R489" s="493"/>
      <c r="S489" s="493"/>
      <c r="T489" s="493"/>
      <c r="U489" s="493"/>
      <c r="V489" s="298"/>
      <c r="W489" s="298"/>
      <c r="X489" s="298"/>
      <c r="Y489" s="298"/>
      <c r="Z489" s="298"/>
      <c r="AA489" s="298"/>
      <c r="AB489" s="298"/>
      <c r="AC489" s="298"/>
      <c r="AD489" s="298"/>
      <c r="AE489" s="298"/>
      <c r="AF489" s="298"/>
      <c r="AG489" s="298"/>
      <c r="AH489" s="298"/>
      <c r="AI489" s="298"/>
      <c r="AJ489" s="298"/>
      <c r="AK489" s="298"/>
      <c r="AL489" s="298"/>
      <c r="AM489" s="298"/>
    </row>
    <row r="490" spans="1:39" ht="15.75" customHeight="1">
      <c r="A490" s="298"/>
      <c r="B490" s="298"/>
      <c r="C490" s="1901"/>
      <c r="D490" s="1947"/>
      <c r="E490" s="1901"/>
      <c r="F490" s="1954"/>
      <c r="G490" s="1901"/>
      <c r="H490" s="1901"/>
      <c r="I490" s="1901"/>
      <c r="J490" s="1647"/>
      <c r="K490" s="1901"/>
      <c r="L490" s="1901"/>
      <c r="M490" s="1955"/>
      <c r="N490" s="1956"/>
      <c r="O490" s="1955"/>
      <c r="P490" s="1955"/>
      <c r="Q490" s="1956"/>
      <c r="R490" s="493"/>
      <c r="S490" s="493"/>
      <c r="T490" s="493"/>
      <c r="U490" s="493"/>
      <c r="V490" s="298"/>
      <c r="W490" s="298"/>
      <c r="X490" s="298"/>
      <c r="Y490" s="298"/>
      <c r="Z490" s="298"/>
      <c r="AA490" s="298"/>
      <c r="AB490" s="298"/>
      <c r="AC490" s="298"/>
      <c r="AD490" s="298"/>
      <c r="AE490" s="298"/>
      <c r="AF490" s="298"/>
      <c r="AG490" s="298"/>
      <c r="AH490" s="298"/>
      <c r="AI490" s="298"/>
      <c r="AJ490" s="298"/>
      <c r="AK490" s="298"/>
      <c r="AL490" s="298"/>
      <c r="AM490" s="298"/>
    </row>
    <row r="491" spans="1:39" ht="15.75" customHeight="1">
      <c r="A491" s="298"/>
      <c r="B491" s="298"/>
      <c r="C491" s="1901"/>
      <c r="D491" s="1947"/>
      <c r="E491" s="1901"/>
      <c r="F491" s="1954"/>
      <c r="G491" s="1901"/>
      <c r="H491" s="1901"/>
      <c r="I491" s="1901"/>
      <c r="J491" s="1647"/>
      <c r="K491" s="1901"/>
      <c r="L491" s="1901"/>
      <c r="M491" s="1955"/>
      <c r="N491" s="1956"/>
      <c r="O491" s="1955"/>
      <c r="P491" s="1955"/>
      <c r="Q491" s="1956"/>
      <c r="R491" s="493"/>
      <c r="S491" s="493"/>
      <c r="T491" s="493"/>
      <c r="U491" s="493"/>
      <c r="V491" s="298"/>
      <c r="W491" s="298"/>
      <c r="X491" s="298"/>
      <c r="Y491" s="298"/>
      <c r="Z491" s="298"/>
      <c r="AA491" s="298"/>
      <c r="AB491" s="298"/>
      <c r="AC491" s="298"/>
      <c r="AD491" s="298"/>
      <c r="AE491" s="298"/>
      <c r="AF491" s="298"/>
      <c r="AG491" s="298"/>
      <c r="AH491" s="298"/>
      <c r="AI491" s="298"/>
      <c r="AJ491" s="298"/>
      <c r="AK491" s="298"/>
      <c r="AL491" s="298"/>
      <c r="AM491" s="298"/>
    </row>
    <row r="492" spans="1:39" ht="15.75" customHeight="1">
      <c r="A492" s="298"/>
      <c r="B492" s="298"/>
      <c r="C492" s="1901"/>
      <c r="D492" s="1947"/>
      <c r="E492" s="1901"/>
      <c r="F492" s="1954"/>
      <c r="G492" s="1901"/>
      <c r="H492" s="1901"/>
      <c r="I492" s="1901"/>
      <c r="J492" s="1647"/>
      <c r="K492" s="1901"/>
      <c r="L492" s="1901"/>
      <c r="M492" s="1955"/>
      <c r="N492" s="1956"/>
      <c r="O492" s="1955"/>
      <c r="P492" s="1955"/>
      <c r="Q492" s="1956"/>
      <c r="R492" s="493"/>
      <c r="S492" s="493"/>
      <c r="T492" s="493"/>
      <c r="U492" s="493"/>
      <c r="V492" s="298"/>
      <c r="W492" s="298"/>
      <c r="X492" s="298"/>
      <c r="Y492" s="298"/>
      <c r="Z492" s="298"/>
      <c r="AA492" s="298"/>
      <c r="AB492" s="298"/>
      <c r="AC492" s="298"/>
      <c r="AD492" s="298"/>
      <c r="AE492" s="298"/>
      <c r="AF492" s="298"/>
      <c r="AG492" s="298"/>
      <c r="AH492" s="298"/>
      <c r="AI492" s="298"/>
      <c r="AJ492" s="298"/>
      <c r="AK492" s="298"/>
      <c r="AL492" s="298"/>
      <c r="AM492" s="298"/>
    </row>
    <row r="493" spans="1:39" ht="15.75" customHeight="1">
      <c r="A493" s="298"/>
      <c r="B493" s="298"/>
      <c r="C493" s="1901"/>
      <c r="D493" s="1947"/>
      <c r="E493" s="1901"/>
      <c r="F493" s="1954"/>
      <c r="G493" s="1901"/>
      <c r="H493" s="1901"/>
      <c r="I493" s="1901"/>
      <c r="J493" s="1647"/>
      <c r="K493" s="1901"/>
      <c r="L493" s="1901"/>
      <c r="M493" s="1955"/>
      <c r="N493" s="1956"/>
      <c r="O493" s="1955"/>
      <c r="P493" s="1955"/>
      <c r="Q493" s="1956"/>
      <c r="R493" s="493"/>
      <c r="S493" s="493"/>
      <c r="T493" s="493"/>
      <c r="U493" s="493"/>
      <c r="V493" s="298"/>
      <c r="W493" s="298"/>
      <c r="X493" s="298"/>
      <c r="Y493" s="298"/>
      <c r="Z493" s="298"/>
      <c r="AA493" s="298"/>
      <c r="AB493" s="298"/>
      <c r="AC493" s="298"/>
      <c r="AD493" s="298"/>
      <c r="AE493" s="298"/>
      <c r="AF493" s="298"/>
      <c r="AG493" s="298"/>
      <c r="AH493" s="298"/>
      <c r="AI493" s="298"/>
      <c r="AJ493" s="298"/>
      <c r="AK493" s="298"/>
      <c r="AL493" s="298"/>
      <c r="AM493" s="298"/>
    </row>
    <row r="494" spans="1:39" ht="15.75" customHeight="1">
      <c r="A494" s="298"/>
      <c r="B494" s="298"/>
      <c r="C494" s="1901"/>
      <c r="D494" s="1947"/>
      <c r="E494" s="1901"/>
      <c r="F494" s="1954"/>
      <c r="G494" s="1901"/>
      <c r="H494" s="1901"/>
      <c r="I494" s="1901"/>
      <c r="J494" s="1647"/>
      <c r="K494" s="1901"/>
      <c r="L494" s="1901"/>
      <c r="M494" s="1955"/>
      <c r="N494" s="1956"/>
      <c r="O494" s="1955"/>
      <c r="P494" s="1955"/>
      <c r="Q494" s="1956"/>
      <c r="R494" s="493"/>
      <c r="S494" s="493"/>
      <c r="T494" s="493"/>
      <c r="U494" s="493"/>
      <c r="V494" s="298"/>
      <c r="W494" s="298"/>
      <c r="X494" s="298"/>
      <c r="Y494" s="298"/>
      <c r="Z494" s="298"/>
      <c r="AA494" s="298"/>
      <c r="AB494" s="298"/>
      <c r="AC494" s="298"/>
      <c r="AD494" s="298"/>
      <c r="AE494" s="298"/>
      <c r="AF494" s="298"/>
      <c r="AG494" s="298"/>
      <c r="AH494" s="298"/>
      <c r="AI494" s="298"/>
      <c r="AJ494" s="298"/>
      <c r="AK494" s="298"/>
      <c r="AL494" s="298"/>
      <c r="AM494" s="298"/>
    </row>
    <row r="495" spans="1:39" ht="15.75" customHeight="1">
      <c r="A495" s="298"/>
      <c r="B495" s="298"/>
      <c r="C495" s="1901"/>
      <c r="D495" s="1947"/>
      <c r="E495" s="1901"/>
      <c r="F495" s="1954"/>
      <c r="G495" s="1901"/>
      <c r="H495" s="1901"/>
      <c r="I495" s="1901"/>
      <c r="J495" s="1647"/>
      <c r="K495" s="1901"/>
      <c r="L495" s="1901"/>
      <c r="M495" s="1955"/>
      <c r="N495" s="1956"/>
      <c r="O495" s="1955"/>
      <c r="P495" s="1955"/>
      <c r="Q495" s="1956"/>
      <c r="R495" s="493"/>
      <c r="S495" s="493"/>
      <c r="T495" s="493"/>
      <c r="U495" s="493"/>
      <c r="V495" s="298"/>
      <c r="W495" s="298"/>
      <c r="X495" s="298"/>
      <c r="Y495" s="298"/>
      <c r="Z495" s="298"/>
      <c r="AA495" s="298"/>
      <c r="AB495" s="298"/>
      <c r="AC495" s="298"/>
      <c r="AD495" s="298"/>
      <c r="AE495" s="298"/>
      <c r="AF495" s="298"/>
      <c r="AG495" s="298"/>
      <c r="AH495" s="298"/>
      <c r="AI495" s="298"/>
      <c r="AJ495" s="298"/>
      <c r="AK495" s="298"/>
      <c r="AL495" s="298"/>
      <c r="AM495" s="298"/>
    </row>
    <row r="496" spans="1:39" ht="15.75" customHeight="1">
      <c r="A496" s="298"/>
      <c r="B496" s="298"/>
      <c r="C496" s="1901"/>
      <c r="D496" s="1947"/>
      <c r="E496" s="1901"/>
      <c r="F496" s="1954"/>
      <c r="G496" s="1901"/>
      <c r="H496" s="1901"/>
      <c r="I496" s="1901"/>
      <c r="J496" s="1647"/>
      <c r="K496" s="1901"/>
      <c r="L496" s="1901"/>
      <c r="M496" s="1955"/>
      <c r="N496" s="1956"/>
      <c r="O496" s="1955"/>
      <c r="P496" s="1955"/>
      <c r="Q496" s="1956"/>
      <c r="R496" s="493"/>
      <c r="S496" s="493"/>
      <c r="T496" s="493"/>
      <c r="U496" s="493"/>
      <c r="V496" s="298"/>
      <c r="W496" s="298"/>
      <c r="X496" s="298"/>
      <c r="Y496" s="298"/>
      <c r="Z496" s="298"/>
      <c r="AA496" s="298"/>
      <c r="AB496" s="298"/>
      <c r="AC496" s="298"/>
      <c r="AD496" s="298"/>
      <c r="AE496" s="298"/>
      <c r="AF496" s="298"/>
      <c r="AG496" s="298"/>
      <c r="AH496" s="298"/>
      <c r="AI496" s="298"/>
      <c r="AJ496" s="298"/>
      <c r="AK496" s="298"/>
      <c r="AL496" s="298"/>
      <c r="AM496" s="298"/>
    </row>
    <row r="497" spans="1:39" ht="15.75" customHeight="1">
      <c r="A497" s="298"/>
      <c r="B497" s="298"/>
      <c r="C497" s="1901"/>
      <c r="D497" s="1947"/>
      <c r="E497" s="1901"/>
      <c r="F497" s="1954"/>
      <c r="G497" s="1901"/>
      <c r="H497" s="1901"/>
      <c r="I497" s="1901"/>
      <c r="J497" s="1647"/>
      <c r="K497" s="1901"/>
      <c r="L497" s="1901"/>
      <c r="M497" s="1955"/>
      <c r="N497" s="1956"/>
      <c r="O497" s="1955"/>
      <c r="P497" s="1955"/>
      <c r="Q497" s="1956"/>
      <c r="R497" s="493"/>
      <c r="S497" s="493"/>
      <c r="T497" s="493"/>
      <c r="U497" s="493"/>
      <c r="V497" s="298"/>
      <c r="W497" s="298"/>
      <c r="X497" s="298"/>
      <c r="Y497" s="298"/>
      <c r="Z497" s="298"/>
      <c r="AA497" s="298"/>
      <c r="AB497" s="298"/>
      <c r="AC497" s="298"/>
      <c r="AD497" s="298"/>
      <c r="AE497" s="298"/>
      <c r="AF497" s="298"/>
      <c r="AG497" s="298"/>
      <c r="AH497" s="298"/>
      <c r="AI497" s="298"/>
      <c r="AJ497" s="298"/>
      <c r="AK497" s="298"/>
      <c r="AL497" s="298"/>
      <c r="AM497" s="298"/>
    </row>
    <row r="498" spans="1:39" ht="15.75" customHeight="1">
      <c r="A498" s="298"/>
      <c r="B498" s="298"/>
      <c r="C498" s="1901"/>
      <c r="D498" s="1947"/>
      <c r="E498" s="1901"/>
      <c r="F498" s="1954"/>
      <c r="G498" s="1901"/>
      <c r="H498" s="1901"/>
      <c r="I498" s="1901"/>
      <c r="J498" s="1647"/>
      <c r="K498" s="1901"/>
      <c r="L498" s="1901"/>
      <c r="M498" s="1955"/>
      <c r="N498" s="1956"/>
      <c r="O498" s="1955"/>
      <c r="P498" s="1955"/>
      <c r="Q498" s="1956"/>
      <c r="R498" s="493"/>
      <c r="S498" s="493"/>
      <c r="T498" s="493"/>
      <c r="U498" s="493"/>
      <c r="V498" s="298"/>
      <c r="W498" s="298"/>
      <c r="X498" s="298"/>
      <c r="Y498" s="298"/>
      <c r="Z498" s="298"/>
      <c r="AA498" s="298"/>
      <c r="AB498" s="298"/>
      <c r="AC498" s="298"/>
      <c r="AD498" s="298"/>
      <c r="AE498" s="298"/>
      <c r="AF498" s="298"/>
      <c r="AG498" s="298"/>
      <c r="AH498" s="298"/>
      <c r="AI498" s="298"/>
      <c r="AJ498" s="298"/>
      <c r="AK498" s="298"/>
      <c r="AL498" s="298"/>
      <c r="AM498" s="298"/>
    </row>
    <row r="499" spans="1:39" ht="15.75" customHeight="1">
      <c r="A499" s="298"/>
      <c r="B499" s="298"/>
      <c r="C499" s="1901"/>
      <c r="D499" s="1947"/>
      <c r="E499" s="1901"/>
      <c r="F499" s="1954"/>
      <c r="G499" s="1901"/>
      <c r="H499" s="1901"/>
      <c r="I499" s="1901"/>
      <c r="J499" s="1647"/>
      <c r="K499" s="1901"/>
      <c r="L499" s="1901"/>
      <c r="M499" s="1955"/>
      <c r="N499" s="1956"/>
      <c r="O499" s="1955"/>
      <c r="P499" s="1955"/>
      <c r="Q499" s="1956"/>
      <c r="R499" s="493"/>
      <c r="S499" s="493"/>
      <c r="T499" s="493"/>
      <c r="U499" s="493"/>
      <c r="V499" s="298"/>
      <c r="W499" s="298"/>
      <c r="X499" s="298"/>
      <c r="Y499" s="298"/>
      <c r="Z499" s="298"/>
      <c r="AA499" s="298"/>
      <c r="AB499" s="298"/>
      <c r="AC499" s="298"/>
      <c r="AD499" s="298"/>
      <c r="AE499" s="298"/>
      <c r="AF499" s="298"/>
      <c r="AG499" s="298"/>
      <c r="AH499" s="298"/>
      <c r="AI499" s="298"/>
      <c r="AJ499" s="298"/>
      <c r="AK499" s="298"/>
      <c r="AL499" s="298"/>
      <c r="AM499" s="298"/>
    </row>
    <row r="500" spans="1:39" ht="15.75" customHeight="1">
      <c r="A500" s="298"/>
      <c r="B500" s="298"/>
      <c r="C500" s="1901"/>
      <c r="D500" s="1947"/>
      <c r="E500" s="1901"/>
      <c r="F500" s="1954"/>
      <c r="G500" s="1901"/>
      <c r="H500" s="1901"/>
      <c r="I500" s="1901"/>
      <c r="J500" s="1647"/>
      <c r="K500" s="1901"/>
      <c r="L500" s="1901"/>
      <c r="M500" s="1955"/>
      <c r="N500" s="1956"/>
      <c r="O500" s="1955"/>
      <c r="P500" s="1955"/>
      <c r="Q500" s="1956"/>
      <c r="R500" s="493"/>
      <c r="S500" s="493"/>
      <c r="T500" s="493"/>
      <c r="U500" s="493"/>
      <c r="V500" s="298"/>
      <c r="W500" s="298"/>
      <c r="X500" s="298"/>
      <c r="Y500" s="298"/>
      <c r="Z500" s="298"/>
      <c r="AA500" s="298"/>
      <c r="AB500" s="298"/>
      <c r="AC500" s="298"/>
      <c r="AD500" s="298"/>
      <c r="AE500" s="298"/>
      <c r="AF500" s="298"/>
      <c r="AG500" s="298"/>
      <c r="AH500" s="298"/>
      <c r="AI500" s="298"/>
      <c r="AJ500" s="298"/>
      <c r="AK500" s="298"/>
      <c r="AL500" s="298"/>
      <c r="AM500" s="298"/>
    </row>
    <row r="501" spans="1:39" ht="15.75" customHeight="1">
      <c r="A501" s="298"/>
      <c r="B501" s="298"/>
      <c r="C501" s="1901"/>
      <c r="D501" s="1947"/>
      <c r="E501" s="1901"/>
      <c r="F501" s="1954"/>
      <c r="G501" s="1901"/>
      <c r="H501" s="1901"/>
      <c r="I501" s="1901"/>
      <c r="J501" s="1647"/>
      <c r="K501" s="1901"/>
      <c r="L501" s="1901"/>
      <c r="M501" s="1955"/>
      <c r="N501" s="1956"/>
      <c r="O501" s="1955"/>
      <c r="P501" s="1955"/>
      <c r="Q501" s="1956"/>
      <c r="R501" s="493"/>
      <c r="S501" s="493"/>
      <c r="T501" s="493"/>
      <c r="U501" s="493"/>
      <c r="V501" s="298"/>
      <c r="W501" s="298"/>
      <c r="X501" s="298"/>
      <c r="Y501" s="298"/>
      <c r="Z501" s="298"/>
      <c r="AA501" s="298"/>
      <c r="AB501" s="298"/>
      <c r="AC501" s="298"/>
      <c r="AD501" s="298"/>
      <c r="AE501" s="298"/>
      <c r="AF501" s="298"/>
      <c r="AG501" s="298"/>
      <c r="AH501" s="298"/>
      <c r="AI501" s="298"/>
      <c r="AJ501" s="298"/>
      <c r="AK501" s="298"/>
      <c r="AL501" s="298"/>
      <c r="AM501" s="298"/>
    </row>
    <row r="502" spans="1:39" ht="15.75" customHeight="1">
      <c r="A502" s="298"/>
      <c r="B502" s="298"/>
      <c r="C502" s="1901"/>
      <c r="D502" s="1947"/>
      <c r="E502" s="1901"/>
      <c r="F502" s="1954"/>
      <c r="G502" s="1901"/>
      <c r="H502" s="1901"/>
      <c r="I502" s="1901"/>
      <c r="J502" s="1647"/>
      <c r="K502" s="1901"/>
      <c r="L502" s="1901"/>
      <c r="M502" s="1955"/>
      <c r="N502" s="1956"/>
      <c r="O502" s="1955"/>
      <c r="P502" s="1955"/>
      <c r="Q502" s="1956"/>
      <c r="R502" s="493"/>
      <c r="S502" s="493"/>
      <c r="T502" s="493"/>
      <c r="U502" s="493"/>
      <c r="V502" s="298"/>
      <c r="W502" s="298"/>
      <c r="X502" s="298"/>
      <c r="Y502" s="298"/>
      <c r="Z502" s="298"/>
      <c r="AA502" s="298"/>
      <c r="AB502" s="298"/>
      <c r="AC502" s="298"/>
      <c r="AD502" s="298"/>
      <c r="AE502" s="298"/>
      <c r="AF502" s="298"/>
      <c r="AG502" s="298"/>
      <c r="AH502" s="298"/>
      <c r="AI502" s="298"/>
      <c r="AJ502" s="298"/>
      <c r="AK502" s="298"/>
      <c r="AL502" s="298"/>
      <c r="AM502" s="298"/>
    </row>
    <row r="503" spans="1:39" ht="15.75" customHeight="1">
      <c r="A503" s="298"/>
      <c r="B503" s="298"/>
      <c r="C503" s="1901"/>
      <c r="D503" s="1947"/>
      <c r="E503" s="1901"/>
      <c r="F503" s="1954"/>
      <c r="G503" s="1901"/>
      <c r="H503" s="1901"/>
      <c r="I503" s="1901"/>
      <c r="J503" s="1647"/>
      <c r="K503" s="1901"/>
      <c r="L503" s="1901"/>
      <c r="M503" s="1955"/>
      <c r="N503" s="1956"/>
      <c r="O503" s="1955"/>
      <c r="P503" s="1955"/>
      <c r="Q503" s="1956"/>
      <c r="R503" s="493"/>
      <c r="S503" s="493"/>
      <c r="T503" s="493"/>
      <c r="U503" s="493"/>
      <c r="V503" s="298"/>
      <c r="W503" s="298"/>
      <c r="X503" s="298"/>
      <c r="Y503" s="298"/>
      <c r="Z503" s="298"/>
      <c r="AA503" s="298"/>
      <c r="AB503" s="298"/>
      <c r="AC503" s="298"/>
      <c r="AD503" s="298"/>
      <c r="AE503" s="298"/>
      <c r="AF503" s="298"/>
      <c r="AG503" s="298"/>
      <c r="AH503" s="298"/>
      <c r="AI503" s="298"/>
      <c r="AJ503" s="298"/>
      <c r="AK503" s="298"/>
      <c r="AL503" s="298"/>
      <c r="AM503" s="298"/>
    </row>
    <row r="504" spans="1:39" ht="15.75" customHeight="1">
      <c r="A504" s="298"/>
      <c r="B504" s="298"/>
      <c r="C504" s="1901"/>
      <c r="D504" s="1947"/>
      <c r="E504" s="1901"/>
      <c r="F504" s="1954"/>
      <c r="G504" s="1901"/>
      <c r="H504" s="1901"/>
      <c r="I504" s="1901"/>
      <c r="J504" s="1647"/>
      <c r="K504" s="1901"/>
      <c r="L504" s="1901"/>
      <c r="M504" s="1955"/>
      <c r="N504" s="1956"/>
      <c r="O504" s="1955"/>
      <c r="P504" s="1955"/>
      <c r="Q504" s="1956"/>
      <c r="R504" s="493"/>
      <c r="S504" s="493"/>
      <c r="T504" s="493"/>
      <c r="U504" s="493"/>
      <c r="V504" s="298"/>
      <c r="W504" s="298"/>
      <c r="X504" s="298"/>
      <c r="Y504" s="298"/>
      <c r="Z504" s="298"/>
      <c r="AA504" s="298"/>
      <c r="AB504" s="298"/>
      <c r="AC504" s="298"/>
      <c r="AD504" s="298"/>
      <c r="AE504" s="298"/>
      <c r="AF504" s="298"/>
      <c r="AG504" s="298"/>
      <c r="AH504" s="298"/>
      <c r="AI504" s="298"/>
      <c r="AJ504" s="298"/>
      <c r="AK504" s="298"/>
      <c r="AL504" s="298"/>
      <c r="AM504" s="298"/>
    </row>
    <row r="505" spans="1:39" ht="15.75" customHeight="1">
      <c r="A505" s="298"/>
      <c r="B505" s="298"/>
      <c r="C505" s="1901"/>
      <c r="D505" s="1947"/>
      <c r="E505" s="1901"/>
      <c r="F505" s="1954"/>
      <c r="G505" s="1901"/>
      <c r="H505" s="1901"/>
      <c r="I505" s="1901"/>
      <c r="J505" s="1647"/>
      <c r="K505" s="1901"/>
      <c r="L505" s="1901"/>
      <c r="M505" s="1955"/>
      <c r="N505" s="1956"/>
      <c r="O505" s="1955"/>
      <c r="P505" s="1955"/>
      <c r="Q505" s="1956"/>
      <c r="R505" s="493"/>
      <c r="S505" s="493"/>
      <c r="T505" s="493"/>
      <c r="U505" s="493"/>
      <c r="V505" s="298"/>
      <c r="W505" s="298"/>
      <c r="X505" s="298"/>
      <c r="Y505" s="298"/>
      <c r="Z505" s="298"/>
      <c r="AA505" s="298"/>
      <c r="AB505" s="298"/>
      <c r="AC505" s="298"/>
      <c r="AD505" s="298"/>
      <c r="AE505" s="298"/>
      <c r="AF505" s="298"/>
      <c r="AG505" s="298"/>
      <c r="AH505" s="298"/>
      <c r="AI505" s="298"/>
      <c r="AJ505" s="298"/>
      <c r="AK505" s="298"/>
      <c r="AL505" s="298"/>
      <c r="AM505" s="298"/>
    </row>
    <row r="506" spans="1:39" ht="15.75" customHeight="1">
      <c r="A506" s="298"/>
      <c r="B506" s="298"/>
      <c r="C506" s="1901"/>
      <c r="D506" s="1947"/>
      <c r="E506" s="1901"/>
      <c r="F506" s="1954"/>
      <c r="G506" s="1901"/>
      <c r="H506" s="1901"/>
      <c r="I506" s="1901"/>
      <c r="J506" s="1647"/>
      <c r="K506" s="1901"/>
      <c r="L506" s="1901"/>
      <c r="M506" s="1955"/>
      <c r="N506" s="1956"/>
      <c r="O506" s="1955"/>
      <c r="P506" s="1955"/>
      <c r="Q506" s="1956"/>
      <c r="R506" s="493"/>
      <c r="S506" s="493"/>
      <c r="T506" s="493"/>
      <c r="U506" s="493"/>
      <c r="V506" s="298"/>
      <c r="W506" s="298"/>
      <c r="X506" s="298"/>
      <c r="Y506" s="298"/>
      <c r="Z506" s="298"/>
      <c r="AA506" s="298"/>
      <c r="AB506" s="298"/>
      <c r="AC506" s="298"/>
      <c r="AD506" s="298"/>
      <c r="AE506" s="298"/>
      <c r="AF506" s="298"/>
      <c r="AG506" s="298"/>
      <c r="AH506" s="298"/>
      <c r="AI506" s="298"/>
      <c r="AJ506" s="298"/>
      <c r="AK506" s="298"/>
      <c r="AL506" s="298"/>
      <c r="AM506" s="298"/>
    </row>
    <row r="507" spans="1:39" ht="15.75" customHeight="1">
      <c r="A507" s="298"/>
      <c r="B507" s="298"/>
      <c r="C507" s="1901"/>
      <c r="D507" s="1947"/>
      <c r="E507" s="1901"/>
      <c r="F507" s="1954"/>
      <c r="G507" s="1901"/>
      <c r="H507" s="1901"/>
      <c r="I507" s="1901"/>
      <c r="J507" s="1647"/>
      <c r="K507" s="1901"/>
      <c r="L507" s="1901"/>
      <c r="M507" s="1955"/>
      <c r="N507" s="1956"/>
      <c r="O507" s="1955"/>
      <c r="P507" s="1955"/>
      <c r="Q507" s="1956"/>
      <c r="R507" s="493"/>
      <c r="S507" s="493"/>
      <c r="T507" s="493"/>
      <c r="U507" s="493"/>
      <c r="V507" s="298"/>
      <c r="W507" s="298"/>
      <c r="X507" s="298"/>
      <c r="Y507" s="298"/>
      <c r="Z507" s="298"/>
      <c r="AA507" s="298"/>
      <c r="AB507" s="298"/>
      <c r="AC507" s="298"/>
      <c r="AD507" s="298"/>
      <c r="AE507" s="298"/>
      <c r="AF507" s="298"/>
      <c r="AG507" s="298"/>
      <c r="AH507" s="298"/>
      <c r="AI507" s="298"/>
      <c r="AJ507" s="298"/>
      <c r="AK507" s="298"/>
      <c r="AL507" s="298"/>
      <c r="AM507" s="298"/>
    </row>
    <row r="508" spans="1:39" ht="15.75" customHeight="1">
      <c r="A508" s="298"/>
      <c r="B508" s="298"/>
      <c r="C508" s="1901"/>
      <c r="D508" s="1947"/>
      <c r="E508" s="1901"/>
      <c r="F508" s="1954"/>
      <c r="G508" s="1901"/>
      <c r="H508" s="1901"/>
      <c r="I508" s="1901"/>
      <c r="J508" s="1647"/>
      <c r="K508" s="1901"/>
      <c r="L508" s="1901"/>
      <c r="M508" s="1955"/>
      <c r="N508" s="1956"/>
      <c r="O508" s="1955"/>
      <c r="P508" s="1955"/>
      <c r="Q508" s="1956"/>
      <c r="R508" s="493"/>
      <c r="S508" s="493"/>
      <c r="T508" s="493"/>
      <c r="U508" s="493"/>
      <c r="V508" s="298"/>
      <c r="W508" s="298"/>
      <c r="X508" s="298"/>
      <c r="Y508" s="298"/>
      <c r="Z508" s="298"/>
      <c r="AA508" s="298"/>
      <c r="AB508" s="298"/>
      <c r="AC508" s="298"/>
      <c r="AD508" s="298"/>
      <c r="AE508" s="298"/>
      <c r="AF508" s="298"/>
      <c r="AG508" s="298"/>
      <c r="AH508" s="298"/>
      <c r="AI508" s="298"/>
      <c r="AJ508" s="298"/>
      <c r="AK508" s="298"/>
      <c r="AL508" s="298"/>
      <c r="AM508" s="298"/>
    </row>
    <row r="509" spans="1:39" ht="15.75" customHeight="1">
      <c r="A509" s="298"/>
      <c r="B509" s="298"/>
      <c r="C509" s="1901"/>
      <c r="D509" s="1947"/>
      <c r="E509" s="1901"/>
      <c r="F509" s="1954"/>
      <c r="G509" s="1901"/>
      <c r="H509" s="1901"/>
      <c r="I509" s="1901"/>
      <c r="J509" s="1647"/>
      <c r="K509" s="1901"/>
      <c r="L509" s="1901"/>
      <c r="M509" s="1955"/>
      <c r="N509" s="1956"/>
      <c r="O509" s="1955"/>
      <c r="P509" s="1955"/>
      <c r="Q509" s="1956"/>
      <c r="R509" s="493"/>
      <c r="S509" s="493"/>
      <c r="T509" s="493"/>
      <c r="U509" s="493"/>
      <c r="V509" s="298"/>
      <c r="W509" s="298"/>
      <c r="X509" s="298"/>
      <c r="Y509" s="298"/>
      <c r="Z509" s="298"/>
      <c r="AA509" s="298"/>
      <c r="AB509" s="298"/>
      <c r="AC509" s="298"/>
      <c r="AD509" s="298"/>
      <c r="AE509" s="298"/>
      <c r="AF509" s="298"/>
      <c r="AG509" s="298"/>
      <c r="AH509" s="298"/>
      <c r="AI509" s="298"/>
      <c r="AJ509" s="298"/>
      <c r="AK509" s="298"/>
      <c r="AL509" s="298"/>
      <c r="AM509" s="298"/>
    </row>
    <row r="510" spans="1:39" ht="15.75" customHeight="1">
      <c r="A510" s="298"/>
      <c r="B510" s="298"/>
      <c r="C510" s="1901"/>
      <c r="D510" s="1947"/>
      <c r="E510" s="1901"/>
      <c r="F510" s="1954"/>
      <c r="G510" s="1901"/>
      <c r="H510" s="1901"/>
      <c r="I510" s="1901"/>
      <c r="J510" s="1647"/>
      <c r="K510" s="1901"/>
      <c r="L510" s="1901"/>
      <c r="M510" s="1955"/>
      <c r="N510" s="1956"/>
      <c r="O510" s="1955"/>
      <c r="P510" s="1955"/>
      <c r="Q510" s="1956"/>
      <c r="R510" s="493"/>
      <c r="S510" s="493"/>
      <c r="T510" s="493"/>
      <c r="U510" s="493"/>
      <c r="V510" s="298"/>
      <c r="W510" s="298"/>
      <c r="X510" s="298"/>
      <c r="Y510" s="298"/>
      <c r="Z510" s="298"/>
      <c r="AA510" s="298"/>
      <c r="AB510" s="298"/>
      <c r="AC510" s="298"/>
      <c r="AD510" s="298"/>
      <c r="AE510" s="298"/>
      <c r="AF510" s="298"/>
      <c r="AG510" s="298"/>
      <c r="AH510" s="298"/>
      <c r="AI510" s="298"/>
      <c r="AJ510" s="298"/>
      <c r="AK510" s="298"/>
      <c r="AL510" s="298"/>
      <c r="AM510" s="298"/>
    </row>
    <row r="511" spans="1:39" ht="15.75" customHeight="1">
      <c r="A511" s="298"/>
      <c r="B511" s="298"/>
      <c r="C511" s="1901"/>
      <c r="D511" s="1947"/>
      <c r="E511" s="1901"/>
      <c r="F511" s="1954"/>
      <c r="G511" s="1901"/>
      <c r="H511" s="1901"/>
      <c r="I511" s="1901"/>
      <c r="J511" s="1647"/>
      <c r="K511" s="1901"/>
      <c r="L511" s="1901"/>
      <c r="M511" s="1955"/>
      <c r="N511" s="1956"/>
      <c r="O511" s="1955"/>
      <c r="P511" s="1955"/>
      <c r="Q511" s="1956"/>
      <c r="R511" s="493"/>
      <c r="S511" s="493"/>
      <c r="T511" s="493"/>
      <c r="U511" s="493"/>
      <c r="V511" s="298"/>
      <c r="W511" s="298"/>
      <c r="X511" s="298"/>
      <c r="Y511" s="298"/>
      <c r="Z511" s="298"/>
      <c r="AA511" s="298"/>
      <c r="AB511" s="298"/>
      <c r="AC511" s="298"/>
      <c r="AD511" s="298"/>
      <c r="AE511" s="298"/>
      <c r="AF511" s="298"/>
      <c r="AG511" s="298"/>
      <c r="AH511" s="298"/>
      <c r="AI511" s="298"/>
      <c r="AJ511" s="298"/>
      <c r="AK511" s="298"/>
      <c r="AL511" s="298"/>
      <c r="AM511" s="298"/>
    </row>
    <row r="512" spans="1:39" ht="15.75" customHeight="1">
      <c r="A512" s="298"/>
      <c r="B512" s="298"/>
      <c r="C512" s="1901"/>
      <c r="D512" s="1947"/>
      <c r="E512" s="1901"/>
      <c r="F512" s="1954"/>
      <c r="G512" s="1901"/>
      <c r="H512" s="1901"/>
      <c r="I512" s="1901"/>
      <c r="J512" s="1647"/>
      <c r="K512" s="1901"/>
      <c r="L512" s="1901"/>
      <c r="M512" s="1955"/>
      <c r="N512" s="1956"/>
      <c r="O512" s="1955"/>
      <c r="P512" s="1955"/>
      <c r="Q512" s="1956"/>
      <c r="R512" s="493"/>
      <c r="S512" s="493"/>
      <c r="T512" s="493"/>
      <c r="U512" s="493"/>
      <c r="V512" s="298"/>
      <c r="W512" s="298"/>
      <c r="X512" s="298"/>
      <c r="Y512" s="298"/>
      <c r="Z512" s="298"/>
      <c r="AA512" s="298"/>
      <c r="AB512" s="298"/>
      <c r="AC512" s="298"/>
      <c r="AD512" s="298"/>
      <c r="AE512" s="298"/>
      <c r="AF512" s="298"/>
      <c r="AG512" s="298"/>
      <c r="AH512" s="298"/>
      <c r="AI512" s="298"/>
      <c r="AJ512" s="298"/>
      <c r="AK512" s="298"/>
      <c r="AL512" s="298"/>
      <c r="AM512" s="298"/>
    </row>
    <row r="513" spans="1:39" ht="15.75" customHeight="1">
      <c r="A513" s="298"/>
      <c r="B513" s="298"/>
      <c r="C513" s="1901"/>
      <c r="D513" s="1947"/>
      <c r="E513" s="1901"/>
      <c r="F513" s="1954"/>
      <c r="G513" s="1901"/>
      <c r="H513" s="1901"/>
      <c r="I513" s="1901"/>
      <c r="J513" s="1647"/>
      <c r="K513" s="1901"/>
      <c r="L513" s="1901"/>
      <c r="M513" s="1955"/>
      <c r="N513" s="1956"/>
      <c r="O513" s="1955"/>
      <c r="P513" s="1955"/>
      <c r="Q513" s="1956"/>
      <c r="R513" s="493"/>
      <c r="S513" s="493"/>
      <c r="T513" s="493"/>
      <c r="U513" s="493"/>
      <c r="V513" s="298"/>
      <c r="W513" s="298"/>
      <c r="X513" s="298"/>
      <c r="Y513" s="298"/>
      <c r="Z513" s="298"/>
      <c r="AA513" s="298"/>
      <c r="AB513" s="298"/>
      <c r="AC513" s="298"/>
      <c r="AD513" s="298"/>
      <c r="AE513" s="298"/>
      <c r="AF513" s="298"/>
      <c r="AG513" s="298"/>
      <c r="AH513" s="298"/>
      <c r="AI513" s="298"/>
      <c r="AJ513" s="298"/>
      <c r="AK513" s="298"/>
      <c r="AL513" s="298"/>
      <c r="AM513" s="298"/>
    </row>
    <row r="514" spans="1:39" ht="15.75" customHeight="1">
      <c r="A514" s="298"/>
      <c r="B514" s="298"/>
      <c r="C514" s="1901"/>
      <c r="D514" s="1947"/>
      <c r="E514" s="1901"/>
      <c r="F514" s="1954"/>
      <c r="G514" s="1901"/>
      <c r="H514" s="1901"/>
      <c r="I514" s="1901"/>
      <c r="J514" s="1647"/>
      <c r="K514" s="1901"/>
      <c r="L514" s="1901"/>
      <c r="M514" s="1955"/>
      <c r="N514" s="1956"/>
      <c r="O514" s="1955"/>
      <c r="P514" s="1955"/>
      <c r="Q514" s="1956"/>
      <c r="R514" s="493"/>
      <c r="S514" s="493"/>
      <c r="T514" s="493"/>
      <c r="U514" s="493"/>
      <c r="V514" s="298"/>
      <c r="W514" s="298"/>
      <c r="X514" s="298"/>
      <c r="Y514" s="298"/>
      <c r="Z514" s="298"/>
      <c r="AA514" s="298"/>
      <c r="AB514" s="298"/>
      <c r="AC514" s="298"/>
      <c r="AD514" s="298"/>
      <c r="AE514" s="298"/>
      <c r="AF514" s="298"/>
      <c r="AG514" s="298"/>
      <c r="AH514" s="298"/>
      <c r="AI514" s="298"/>
      <c r="AJ514" s="298"/>
      <c r="AK514" s="298"/>
      <c r="AL514" s="298"/>
      <c r="AM514" s="298"/>
    </row>
    <row r="515" spans="1:39" ht="15.75" customHeight="1">
      <c r="A515" s="298"/>
      <c r="B515" s="298"/>
      <c r="C515" s="1901"/>
      <c r="D515" s="1947"/>
      <c r="E515" s="1901"/>
      <c r="F515" s="1954"/>
      <c r="G515" s="1901"/>
      <c r="H515" s="1901"/>
      <c r="I515" s="1901"/>
      <c r="J515" s="1647"/>
      <c r="K515" s="1901"/>
      <c r="L515" s="1901"/>
      <c r="M515" s="1955"/>
      <c r="N515" s="1956"/>
      <c r="O515" s="1955"/>
      <c r="P515" s="1955"/>
      <c r="Q515" s="1956"/>
      <c r="R515" s="493"/>
      <c r="S515" s="493"/>
      <c r="T515" s="493"/>
      <c r="U515" s="493"/>
      <c r="V515" s="298"/>
      <c r="W515" s="298"/>
      <c r="X515" s="298"/>
      <c r="Y515" s="298"/>
      <c r="Z515" s="298"/>
      <c r="AA515" s="298"/>
      <c r="AB515" s="298"/>
      <c r="AC515" s="298"/>
      <c r="AD515" s="298"/>
      <c r="AE515" s="298"/>
      <c r="AF515" s="298"/>
      <c r="AG515" s="298"/>
      <c r="AH515" s="298"/>
      <c r="AI515" s="298"/>
      <c r="AJ515" s="298"/>
      <c r="AK515" s="298"/>
      <c r="AL515" s="298"/>
      <c r="AM515" s="298"/>
    </row>
    <row r="516" spans="1:39" ht="15.75" customHeight="1">
      <c r="A516" s="298"/>
      <c r="B516" s="298"/>
      <c r="C516" s="1901"/>
      <c r="D516" s="1947"/>
      <c r="E516" s="1901"/>
      <c r="F516" s="1954"/>
      <c r="G516" s="1901"/>
      <c r="H516" s="1901"/>
      <c r="I516" s="1901"/>
      <c r="J516" s="1647"/>
      <c r="K516" s="1901"/>
      <c r="L516" s="1901"/>
      <c r="M516" s="1955"/>
      <c r="N516" s="1956"/>
      <c r="O516" s="1955"/>
      <c r="P516" s="1955"/>
      <c r="Q516" s="1956"/>
      <c r="R516" s="493"/>
      <c r="S516" s="493"/>
      <c r="T516" s="493"/>
      <c r="U516" s="493"/>
      <c r="V516" s="298"/>
      <c r="W516" s="298"/>
      <c r="X516" s="298"/>
      <c r="Y516" s="298"/>
      <c r="Z516" s="298"/>
      <c r="AA516" s="298"/>
      <c r="AB516" s="298"/>
      <c r="AC516" s="298"/>
      <c r="AD516" s="298"/>
      <c r="AE516" s="298"/>
      <c r="AF516" s="298"/>
      <c r="AG516" s="298"/>
      <c r="AH516" s="298"/>
      <c r="AI516" s="298"/>
      <c r="AJ516" s="298"/>
      <c r="AK516" s="298"/>
      <c r="AL516" s="298"/>
      <c r="AM516" s="298"/>
    </row>
    <row r="517" spans="1:39" ht="15.75" customHeight="1">
      <c r="A517" s="298"/>
      <c r="B517" s="298"/>
      <c r="C517" s="1901"/>
      <c r="D517" s="1947"/>
      <c r="E517" s="1901"/>
      <c r="F517" s="1954"/>
      <c r="G517" s="1901"/>
      <c r="H517" s="1901"/>
      <c r="I517" s="1901"/>
      <c r="J517" s="1647"/>
      <c r="K517" s="1901"/>
      <c r="L517" s="1901"/>
      <c r="M517" s="1955"/>
      <c r="N517" s="1956"/>
      <c r="O517" s="1955"/>
      <c r="P517" s="1955"/>
      <c r="Q517" s="1956"/>
      <c r="R517" s="493"/>
      <c r="S517" s="493"/>
      <c r="T517" s="493"/>
      <c r="U517" s="493"/>
      <c r="V517" s="298"/>
      <c r="W517" s="298"/>
      <c r="X517" s="298"/>
      <c r="Y517" s="298"/>
      <c r="Z517" s="298"/>
      <c r="AA517" s="298"/>
      <c r="AB517" s="298"/>
      <c r="AC517" s="298"/>
      <c r="AD517" s="298"/>
      <c r="AE517" s="298"/>
      <c r="AF517" s="298"/>
      <c r="AG517" s="298"/>
      <c r="AH517" s="298"/>
      <c r="AI517" s="298"/>
      <c r="AJ517" s="298"/>
      <c r="AK517" s="298"/>
      <c r="AL517" s="298"/>
      <c r="AM517" s="298"/>
    </row>
    <row r="518" spans="1:39" ht="15.75" customHeight="1">
      <c r="A518" s="298"/>
      <c r="B518" s="298"/>
      <c r="C518" s="1901"/>
      <c r="D518" s="1947"/>
      <c r="E518" s="1901"/>
      <c r="F518" s="1954"/>
      <c r="G518" s="1901"/>
      <c r="H518" s="1901"/>
      <c r="I518" s="1901"/>
      <c r="J518" s="1647"/>
      <c r="K518" s="1901"/>
      <c r="L518" s="1901"/>
      <c r="M518" s="1955"/>
      <c r="N518" s="1956"/>
      <c r="O518" s="1955"/>
      <c r="P518" s="1955"/>
      <c r="Q518" s="1956"/>
      <c r="R518" s="493"/>
      <c r="S518" s="493"/>
      <c r="T518" s="493"/>
      <c r="U518" s="493"/>
      <c r="V518" s="298"/>
      <c r="W518" s="298"/>
      <c r="X518" s="298"/>
      <c r="Y518" s="298"/>
      <c r="Z518" s="298"/>
      <c r="AA518" s="298"/>
      <c r="AB518" s="298"/>
      <c r="AC518" s="298"/>
      <c r="AD518" s="298"/>
      <c r="AE518" s="298"/>
      <c r="AF518" s="298"/>
      <c r="AG518" s="298"/>
      <c r="AH518" s="298"/>
      <c r="AI518" s="298"/>
      <c r="AJ518" s="298"/>
      <c r="AK518" s="298"/>
      <c r="AL518" s="298"/>
      <c r="AM518" s="298"/>
    </row>
    <row r="519" spans="1:39" ht="15.75" customHeight="1">
      <c r="A519" s="298"/>
      <c r="B519" s="298"/>
      <c r="C519" s="1901"/>
      <c r="D519" s="1947"/>
      <c r="E519" s="1901"/>
      <c r="F519" s="1954"/>
      <c r="G519" s="1901"/>
      <c r="H519" s="1901"/>
      <c r="I519" s="1901"/>
      <c r="J519" s="1647"/>
      <c r="K519" s="1901"/>
      <c r="L519" s="1901"/>
      <c r="M519" s="1955"/>
      <c r="N519" s="1956"/>
      <c r="O519" s="1955"/>
      <c r="P519" s="1955"/>
      <c r="Q519" s="1956"/>
      <c r="R519" s="493"/>
      <c r="S519" s="493"/>
      <c r="T519" s="493"/>
      <c r="U519" s="493"/>
      <c r="V519" s="298"/>
      <c r="W519" s="298"/>
      <c r="X519" s="298"/>
      <c r="Y519" s="298"/>
      <c r="Z519" s="298"/>
      <c r="AA519" s="298"/>
      <c r="AB519" s="298"/>
      <c r="AC519" s="298"/>
      <c r="AD519" s="298"/>
      <c r="AE519" s="298"/>
      <c r="AF519" s="298"/>
      <c r="AG519" s="298"/>
      <c r="AH519" s="298"/>
      <c r="AI519" s="298"/>
      <c r="AJ519" s="298"/>
      <c r="AK519" s="298"/>
      <c r="AL519" s="298"/>
      <c r="AM519" s="298"/>
    </row>
    <row r="520" spans="1:39" ht="15.75" customHeight="1">
      <c r="A520" s="298"/>
      <c r="B520" s="298"/>
      <c r="C520" s="1901"/>
      <c r="D520" s="1947"/>
      <c r="E520" s="1901"/>
      <c r="F520" s="1954"/>
      <c r="G520" s="1901"/>
      <c r="H520" s="1901"/>
      <c r="I520" s="1901"/>
      <c r="J520" s="1647"/>
      <c r="K520" s="1901"/>
      <c r="L520" s="1901"/>
      <c r="M520" s="1955"/>
      <c r="N520" s="1956"/>
      <c r="O520" s="1955"/>
      <c r="P520" s="1955"/>
      <c r="Q520" s="1956"/>
      <c r="R520" s="493"/>
      <c r="S520" s="493"/>
      <c r="T520" s="493"/>
      <c r="U520" s="493"/>
      <c r="V520" s="298"/>
      <c r="W520" s="298"/>
      <c r="X520" s="298"/>
      <c r="Y520" s="298"/>
      <c r="Z520" s="298"/>
      <c r="AA520" s="298"/>
      <c r="AB520" s="298"/>
      <c r="AC520" s="298"/>
      <c r="AD520" s="298"/>
      <c r="AE520" s="298"/>
      <c r="AF520" s="298"/>
      <c r="AG520" s="298"/>
      <c r="AH520" s="298"/>
      <c r="AI520" s="298"/>
      <c r="AJ520" s="298"/>
      <c r="AK520" s="298"/>
      <c r="AL520" s="298"/>
      <c r="AM520" s="298"/>
    </row>
    <row r="521" spans="1:39" ht="15.75" customHeight="1">
      <c r="A521" s="298"/>
      <c r="B521" s="298"/>
      <c r="C521" s="1901"/>
      <c r="D521" s="1947"/>
      <c r="E521" s="1901"/>
      <c r="F521" s="1954"/>
      <c r="G521" s="1901"/>
      <c r="H521" s="1901"/>
      <c r="I521" s="1901"/>
      <c r="J521" s="1647"/>
      <c r="K521" s="1901"/>
      <c r="L521" s="1901"/>
      <c r="M521" s="1955"/>
      <c r="N521" s="1956"/>
      <c r="O521" s="1955"/>
      <c r="P521" s="1955"/>
      <c r="Q521" s="1956"/>
      <c r="R521" s="493"/>
      <c r="S521" s="493"/>
      <c r="T521" s="493"/>
      <c r="U521" s="493"/>
      <c r="V521" s="298"/>
      <c r="W521" s="298"/>
      <c r="X521" s="298"/>
      <c r="Y521" s="298"/>
      <c r="Z521" s="298"/>
      <c r="AA521" s="298"/>
      <c r="AB521" s="298"/>
      <c r="AC521" s="298"/>
      <c r="AD521" s="298"/>
      <c r="AE521" s="298"/>
      <c r="AF521" s="298"/>
      <c r="AG521" s="298"/>
      <c r="AH521" s="298"/>
      <c r="AI521" s="298"/>
      <c r="AJ521" s="298"/>
      <c r="AK521" s="298"/>
      <c r="AL521" s="298"/>
      <c r="AM521" s="298"/>
    </row>
    <row r="522" spans="1:39" ht="15.75" customHeight="1">
      <c r="A522" s="298"/>
      <c r="B522" s="298"/>
      <c r="C522" s="1901"/>
      <c r="D522" s="1947"/>
      <c r="E522" s="1901"/>
      <c r="F522" s="1954"/>
      <c r="G522" s="1901"/>
      <c r="H522" s="1901"/>
      <c r="I522" s="1901"/>
      <c r="J522" s="1647"/>
      <c r="K522" s="1901"/>
      <c r="L522" s="1901"/>
      <c r="M522" s="1955"/>
      <c r="N522" s="1956"/>
      <c r="O522" s="1955"/>
      <c r="P522" s="1955"/>
      <c r="Q522" s="1956"/>
      <c r="R522" s="493"/>
      <c r="S522" s="493"/>
      <c r="T522" s="493"/>
      <c r="U522" s="493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298"/>
      <c r="AG522" s="298"/>
      <c r="AH522" s="298"/>
      <c r="AI522" s="298"/>
      <c r="AJ522" s="298"/>
      <c r="AK522" s="298"/>
      <c r="AL522" s="298"/>
      <c r="AM522" s="298"/>
    </row>
    <row r="523" spans="1:39" ht="15.75" customHeight="1">
      <c r="A523" s="298"/>
      <c r="B523" s="298"/>
      <c r="C523" s="1901"/>
      <c r="D523" s="1947"/>
      <c r="E523" s="1901"/>
      <c r="F523" s="1954"/>
      <c r="G523" s="1901"/>
      <c r="H523" s="1901"/>
      <c r="I523" s="1901"/>
      <c r="J523" s="1647"/>
      <c r="K523" s="1901"/>
      <c r="L523" s="1901"/>
      <c r="M523" s="1955"/>
      <c r="N523" s="1956"/>
      <c r="O523" s="1955"/>
      <c r="P523" s="1955"/>
      <c r="Q523" s="1956"/>
      <c r="R523" s="493"/>
      <c r="S523" s="493"/>
      <c r="T523" s="493"/>
      <c r="U523" s="493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298"/>
      <c r="AG523" s="298"/>
      <c r="AH523" s="298"/>
      <c r="AI523" s="298"/>
      <c r="AJ523" s="298"/>
      <c r="AK523" s="298"/>
      <c r="AL523" s="298"/>
      <c r="AM523" s="298"/>
    </row>
    <row r="524" spans="1:39" ht="15.75" customHeight="1">
      <c r="A524" s="298"/>
      <c r="B524" s="298"/>
      <c r="C524" s="1901"/>
      <c r="D524" s="1947"/>
      <c r="E524" s="1901"/>
      <c r="F524" s="1954"/>
      <c r="G524" s="1901"/>
      <c r="H524" s="1901"/>
      <c r="I524" s="1901"/>
      <c r="J524" s="1647"/>
      <c r="K524" s="1901"/>
      <c r="L524" s="1901"/>
      <c r="M524" s="1955"/>
      <c r="N524" s="1956"/>
      <c r="O524" s="1955"/>
      <c r="P524" s="1955"/>
      <c r="Q524" s="1956"/>
      <c r="R524" s="493"/>
      <c r="S524" s="493"/>
      <c r="T524" s="493"/>
      <c r="U524" s="493"/>
      <c r="V524" s="298"/>
      <c r="W524" s="298"/>
      <c r="X524" s="298"/>
      <c r="Y524" s="298"/>
      <c r="Z524" s="298"/>
      <c r="AA524" s="298"/>
      <c r="AB524" s="298"/>
      <c r="AC524" s="298"/>
      <c r="AD524" s="298"/>
      <c r="AE524" s="298"/>
      <c r="AF524" s="298"/>
      <c r="AG524" s="298"/>
      <c r="AH524" s="298"/>
      <c r="AI524" s="298"/>
      <c r="AJ524" s="298"/>
      <c r="AK524" s="298"/>
      <c r="AL524" s="298"/>
      <c r="AM524" s="298"/>
    </row>
    <row r="525" spans="1:39" ht="15.75" customHeight="1">
      <c r="A525" s="298"/>
      <c r="B525" s="298"/>
      <c r="C525" s="1901"/>
      <c r="D525" s="1947"/>
      <c r="E525" s="1901"/>
      <c r="F525" s="1954"/>
      <c r="G525" s="1901"/>
      <c r="H525" s="1901"/>
      <c r="I525" s="1901"/>
      <c r="J525" s="1647"/>
      <c r="K525" s="1901"/>
      <c r="L525" s="1901"/>
      <c r="M525" s="1955"/>
      <c r="N525" s="1956"/>
      <c r="O525" s="1955"/>
      <c r="P525" s="1955"/>
      <c r="Q525" s="1956"/>
      <c r="R525" s="493"/>
      <c r="S525" s="493"/>
      <c r="T525" s="493"/>
      <c r="U525" s="493"/>
      <c r="V525" s="298"/>
      <c r="W525" s="298"/>
      <c r="X525" s="298"/>
      <c r="Y525" s="298"/>
      <c r="Z525" s="298"/>
      <c r="AA525" s="298"/>
      <c r="AB525" s="298"/>
      <c r="AC525" s="298"/>
      <c r="AD525" s="298"/>
      <c r="AE525" s="298"/>
      <c r="AF525" s="298"/>
      <c r="AG525" s="298"/>
      <c r="AH525" s="298"/>
      <c r="AI525" s="298"/>
      <c r="AJ525" s="298"/>
      <c r="AK525" s="298"/>
      <c r="AL525" s="298"/>
      <c r="AM525" s="298"/>
    </row>
    <row r="526" spans="1:39" ht="15.75" customHeight="1">
      <c r="A526" s="298"/>
      <c r="B526" s="298"/>
      <c r="C526" s="1901"/>
      <c r="D526" s="1947"/>
      <c r="E526" s="1901"/>
      <c r="F526" s="1954"/>
      <c r="G526" s="1901"/>
      <c r="H526" s="1901"/>
      <c r="I526" s="1901"/>
      <c r="J526" s="1647"/>
      <c r="K526" s="1901"/>
      <c r="L526" s="1901"/>
      <c r="M526" s="1955"/>
      <c r="N526" s="1956"/>
      <c r="O526" s="1955"/>
      <c r="P526" s="1955"/>
      <c r="Q526" s="1956"/>
      <c r="R526" s="493"/>
      <c r="S526" s="493"/>
      <c r="T526" s="493"/>
      <c r="U526" s="493"/>
      <c r="V526" s="298"/>
      <c r="W526" s="298"/>
      <c r="X526" s="298"/>
      <c r="Y526" s="298"/>
      <c r="Z526" s="298"/>
      <c r="AA526" s="298"/>
      <c r="AB526" s="298"/>
      <c r="AC526" s="298"/>
      <c r="AD526" s="298"/>
      <c r="AE526" s="298"/>
      <c r="AF526" s="298"/>
      <c r="AG526" s="298"/>
      <c r="AH526" s="298"/>
      <c r="AI526" s="298"/>
      <c r="AJ526" s="298"/>
      <c r="AK526" s="298"/>
      <c r="AL526" s="298"/>
      <c r="AM526" s="298"/>
    </row>
    <row r="527" spans="1:39" ht="15.75" customHeight="1">
      <c r="A527" s="298"/>
      <c r="B527" s="298"/>
      <c r="C527" s="1901"/>
      <c r="D527" s="1947"/>
      <c r="E527" s="1901"/>
      <c r="F527" s="1954"/>
      <c r="G527" s="1901"/>
      <c r="H527" s="1901"/>
      <c r="I527" s="1901"/>
      <c r="J527" s="1647"/>
      <c r="K527" s="1901"/>
      <c r="L527" s="1901"/>
      <c r="M527" s="1955"/>
      <c r="N527" s="1956"/>
      <c r="O527" s="1955"/>
      <c r="P527" s="1955"/>
      <c r="Q527" s="1956"/>
      <c r="R527" s="493"/>
      <c r="S527" s="493"/>
      <c r="T527" s="493"/>
      <c r="U527" s="493"/>
      <c r="V527" s="298"/>
      <c r="W527" s="298"/>
      <c r="X527" s="298"/>
      <c r="Y527" s="298"/>
      <c r="Z527" s="298"/>
      <c r="AA527" s="298"/>
      <c r="AB527" s="298"/>
      <c r="AC527" s="298"/>
      <c r="AD527" s="298"/>
      <c r="AE527" s="298"/>
      <c r="AF527" s="298"/>
      <c r="AG527" s="298"/>
      <c r="AH527" s="298"/>
      <c r="AI527" s="298"/>
      <c r="AJ527" s="298"/>
      <c r="AK527" s="298"/>
      <c r="AL527" s="298"/>
      <c r="AM527" s="298"/>
    </row>
    <row r="528" spans="1:39" ht="15.75" customHeight="1">
      <c r="A528" s="298"/>
      <c r="B528" s="298"/>
      <c r="C528" s="1901"/>
      <c r="D528" s="1947"/>
      <c r="E528" s="1901"/>
      <c r="F528" s="1954"/>
      <c r="G528" s="1901"/>
      <c r="H528" s="1901"/>
      <c r="I528" s="1901"/>
      <c r="J528" s="1647"/>
      <c r="K528" s="1901"/>
      <c r="L528" s="1901"/>
      <c r="M528" s="1955"/>
      <c r="N528" s="1956"/>
      <c r="O528" s="1955"/>
      <c r="P528" s="1955"/>
      <c r="Q528" s="1956"/>
      <c r="R528" s="493"/>
      <c r="S528" s="493"/>
      <c r="T528" s="493"/>
      <c r="U528" s="493"/>
      <c r="V528" s="298"/>
      <c r="W528" s="298"/>
      <c r="X528" s="298"/>
      <c r="Y528" s="298"/>
      <c r="Z528" s="298"/>
      <c r="AA528" s="298"/>
      <c r="AB528" s="298"/>
      <c r="AC528" s="298"/>
      <c r="AD528" s="298"/>
      <c r="AE528" s="298"/>
      <c r="AF528" s="298"/>
      <c r="AG528" s="298"/>
      <c r="AH528" s="298"/>
      <c r="AI528" s="298"/>
      <c r="AJ528" s="298"/>
      <c r="AK528" s="298"/>
      <c r="AL528" s="298"/>
      <c r="AM528" s="298"/>
    </row>
    <row r="529" spans="1:39" ht="15.75" customHeight="1">
      <c r="A529" s="298"/>
      <c r="B529" s="298"/>
      <c r="C529" s="1901"/>
      <c r="D529" s="1947"/>
      <c r="E529" s="1901"/>
      <c r="F529" s="1954"/>
      <c r="G529" s="1901"/>
      <c r="H529" s="1901"/>
      <c r="I529" s="1901"/>
      <c r="J529" s="1647"/>
      <c r="K529" s="1901"/>
      <c r="L529" s="1901"/>
      <c r="M529" s="1955"/>
      <c r="N529" s="1956"/>
      <c r="O529" s="1955"/>
      <c r="P529" s="1955"/>
      <c r="Q529" s="1956"/>
      <c r="R529" s="493"/>
      <c r="S529" s="493"/>
      <c r="T529" s="493"/>
      <c r="U529" s="493"/>
      <c r="V529" s="298"/>
      <c r="W529" s="298"/>
      <c r="X529" s="298"/>
      <c r="Y529" s="298"/>
      <c r="Z529" s="298"/>
      <c r="AA529" s="298"/>
      <c r="AB529" s="298"/>
      <c r="AC529" s="298"/>
      <c r="AD529" s="298"/>
      <c r="AE529" s="298"/>
      <c r="AF529" s="298"/>
      <c r="AG529" s="298"/>
      <c r="AH529" s="298"/>
      <c r="AI529" s="298"/>
      <c r="AJ529" s="298"/>
      <c r="AK529" s="298"/>
      <c r="AL529" s="298"/>
      <c r="AM529" s="298"/>
    </row>
    <row r="530" spans="1:39" ht="15.75" customHeight="1">
      <c r="A530" s="298"/>
      <c r="B530" s="298"/>
      <c r="C530" s="1901"/>
      <c r="D530" s="1947"/>
      <c r="E530" s="1901"/>
      <c r="F530" s="1954"/>
      <c r="G530" s="1901"/>
      <c r="H530" s="1901"/>
      <c r="I530" s="1901"/>
      <c r="J530" s="1647"/>
      <c r="K530" s="1901"/>
      <c r="L530" s="1901"/>
      <c r="M530" s="1955"/>
      <c r="N530" s="1956"/>
      <c r="O530" s="1955"/>
      <c r="P530" s="1955"/>
      <c r="Q530" s="1956"/>
      <c r="R530" s="493"/>
      <c r="S530" s="493"/>
      <c r="T530" s="493"/>
      <c r="U530" s="493"/>
      <c r="V530" s="298"/>
      <c r="W530" s="298"/>
      <c r="X530" s="298"/>
      <c r="Y530" s="298"/>
      <c r="Z530" s="298"/>
      <c r="AA530" s="298"/>
      <c r="AB530" s="298"/>
      <c r="AC530" s="298"/>
      <c r="AD530" s="298"/>
      <c r="AE530" s="298"/>
      <c r="AF530" s="298"/>
      <c r="AG530" s="298"/>
      <c r="AH530" s="298"/>
      <c r="AI530" s="298"/>
      <c r="AJ530" s="298"/>
      <c r="AK530" s="298"/>
      <c r="AL530" s="298"/>
      <c r="AM530" s="298"/>
    </row>
    <row r="531" spans="1:39" ht="15.75" customHeight="1">
      <c r="A531" s="298"/>
      <c r="B531" s="298"/>
      <c r="C531" s="1901"/>
      <c r="D531" s="1947"/>
      <c r="E531" s="1901"/>
      <c r="F531" s="1954"/>
      <c r="G531" s="1901"/>
      <c r="H531" s="1901"/>
      <c r="I531" s="1901"/>
      <c r="J531" s="1647"/>
      <c r="K531" s="1901"/>
      <c r="L531" s="1901"/>
      <c r="M531" s="1955"/>
      <c r="N531" s="1956"/>
      <c r="O531" s="1955"/>
      <c r="P531" s="1955"/>
      <c r="Q531" s="1956"/>
      <c r="R531" s="493"/>
      <c r="S531" s="493"/>
      <c r="T531" s="493"/>
      <c r="U531" s="493"/>
      <c r="V531" s="298"/>
      <c r="W531" s="298"/>
      <c r="X531" s="298"/>
      <c r="Y531" s="298"/>
      <c r="Z531" s="298"/>
      <c r="AA531" s="298"/>
      <c r="AB531" s="298"/>
      <c r="AC531" s="298"/>
      <c r="AD531" s="298"/>
      <c r="AE531" s="298"/>
      <c r="AF531" s="298"/>
      <c r="AG531" s="298"/>
      <c r="AH531" s="298"/>
      <c r="AI531" s="298"/>
      <c r="AJ531" s="298"/>
      <c r="AK531" s="298"/>
      <c r="AL531" s="298"/>
      <c r="AM531" s="298"/>
    </row>
    <row r="532" spans="1:39" ht="15.75" customHeight="1">
      <c r="A532" s="298"/>
      <c r="B532" s="298"/>
      <c r="C532" s="1901"/>
      <c r="D532" s="1947"/>
      <c r="E532" s="1901"/>
      <c r="F532" s="1954"/>
      <c r="G532" s="1901"/>
      <c r="H532" s="1901"/>
      <c r="I532" s="1901"/>
      <c r="J532" s="1647"/>
      <c r="K532" s="1901"/>
      <c r="L532" s="1901"/>
      <c r="M532" s="1955"/>
      <c r="N532" s="1956"/>
      <c r="O532" s="1955"/>
      <c r="P532" s="1955"/>
      <c r="Q532" s="1956"/>
      <c r="R532" s="493"/>
      <c r="S532" s="493"/>
      <c r="T532" s="493"/>
      <c r="U532" s="493"/>
      <c r="V532" s="298"/>
      <c r="W532" s="298"/>
      <c r="X532" s="298"/>
      <c r="Y532" s="298"/>
      <c r="Z532" s="298"/>
      <c r="AA532" s="298"/>
      <c r="AB532" s="298"/>
      <c r="AC532" s="298"/>
      <c r="AD532" s="298"/>
      <c r="AE532" s="298"/>
      <c r="AF532" s="298"/>
      <c r="AG532" s="298"/>
      <c r="AH532" s="298"/>
      <c r="AI532" s="298"/>
      <c r="AJ532" s="298"/>
      <c r="AK532" s="298"/>
      <c r="AL532" s="298"/>
      <c r="AM532" s="298"/>
    </row>
    <row r="533" spans="1:39" ht="15.75" customHeight="1">
      <c r="A533" s="298"/>
      <c r="B533" s="298"/>
      <c r="C533" s="1901"/>
      <c r="D533" s="1947"/>
      <c r="E533" s="1901"/>
      <c r="F533" s="1954"/>
      <c r="G533" s="1901"/>
      <c r="H533" s="1901"/>
      <c r="I533" s="1901"/>
      <c r="J533" s="1647"/>
      <c r="K533" s="1901"/>
      <c r="L533" s="1901"/>
      <c r="M533" s="1955"/>
      <c r="N533" s="1956"/>
      <c r="O533" s="1955"/>
      <c r="P533" s="1955"/>
      <c r="Q533" s="1956"/>
      <c r="R533" s="493"/>
      <c r="S533" s="493"/>
      <c r="T533" s="493"/>
      <c r="U533" s="493"/>
      <c r="V533" s="298"/>
      <c r="W533" s="298"/>
      <c r="X533" s="298"/>
      <c r="Y533" s="298"/>
      <c r="Z533" s="298"/>
      <c r="AA533" s="298"/>
      <c r="AB533" s="298"/>
      <c r="AC533" s="298"/>
      <c r="AD533" s="298"/>
      <c r="AE533" s="298"/>
      <c r="AF533" s="298"/>
      <c r="AG533" s="298"/>
      <c r="AH533" s="298"/>
      <c r="AI533" s="298"/>
      <c r="AJ533" s="298"/>
      <c r="AK533" s="298"/>
      <c r="AL533" s="298"/>
      <c r="AM533" s="298"/>
    </row>
    <row r="534" spans="1:39" ht="15.75" customHeight="1">
      <c r="A534" s="298"/>
      <c r="B534" s="298"/>
      <c r="C534" s="1901"/>
      <c r="D534" s="1947"/>
      <c r="E534" s="1901"/>
      <c r="F534" s="1954"/>
      <c r="G534" s="1901"/>
      <c r="H534" s="1901"/>
      <c r="I534" s="1901"/>
      <c r="J534" s="1647"/>
      <c r="K534" s="1901"/>
      <c r="L534" s="1901"/>
      <c r="M534" s="1955"/>
      <c r="N534" s="1956"/>
      <c r="O534" s="1955"/>
      <c r="P534" s="1955"/>
      <c r="Q534" s="1956"/>
      <c r="R534" s="493"/>
      <c r="S534" s="493"/>
      <c r="T534" s="493"/>
      <c r="U534" s="493"/>
      <c r="V534" s="298"/>
      <c r="W534" s="298"/>
      <c r="X534" s="298"/>
      <c r="Y534" s="298"/>
      <c r="Z534" s="298"/>
      <c r="AA534" s="298"/>
      <c r="AB534" s="298"/>
      <c r="AC534" s="298"/>
      <c r="AD534" s="298"/>
      <c r="AE534" s="298"/>
      <c r="AF534" s="298"/>
      <c r="AG534" s="298"/>
      <c r="AH534" s="298"/>
      <c r="AI534" s="298"/>
      <c r="AJ534" s="298"/>
      <c r="AK534" s="298"/>
      <c r="AL534" s="298"/>
      <c r="AM534" s="298"/>
    </row>
    <row r="535" spans="1:39" ht="15.75" customHeight="1">
      <c r="A535" s="298"/>
      <c r="B535" s="298"/>
      <c r="C535" s="1901"/>
      <c r="D535" s="1947"/>
      <c r="E535" s="1901"/>
      <c r="F535" s="1954"/>
      <c r="G535" s="1901"/>
      <c r="H535" s="1901"/>
      <c r="I535" s="1901"/>
      <c r="J535" s="1647"/>
      <c r="K535" s="1901"/>
      <c r="L535" s="1901"/>
      <c r="M535" s="1955"/>
      <c r="N535" s="1956"/>
      <c r="O535" s="1955"/>
      <c r="P535" s="1955"/>
      <c r="Q535" s="1956"/>
      <c r="R535" s="493"/>
      <c r="S535" s="493"/>
      <c r="T535" s="493"/>
      <c r="U535" s="493"/>
      <c r="V535" s="298"/>
      <c r="W535" s="298"/>
      <c r="X535" s="298"/>
      <c r="Y535" s="298"/>
      <c r="Z535" s="298"/>
      <c r="AA535" s="298"/>
      <c r="AB535" s="298"/>
      <c r="AC535" s="298"/>
      <c r="AD535" s="298"/>
      <c r="AE535" s="298"/>
      <c r="AF535" s="298"/>
      <c r="AG535" s="298"/>
      <c r="AH535" s="298"/>
      <c r="AI535" s="298"/>
      <c r="AJ535" s="298"/>
      <c r="AK535" s="298"/>
      <c r="AL535" s="298"/>
      <c r="AM535" s="298"/>
    </row>
    <row r="536" spans="1:39" ht="15.75" customHeight="1">
      <c r="A536" s="298"/>
      <c r="B536" s="298"/>
      <c r="C536" s="1901"/>
      <c r="D536" s="1947"/>
      <c r="E536" s="1901"/>
      <c r="F536" s="1954"/>
      <c r="G536" s="1901"/>
      <c r="H536" s="1901"/>
      <c r="I536" s="1901"/>
      <c r="J536" s="1647"/>
      <c r="K536" s="1901"/>
      <c r="L536" s="1901"/>
      <c r="M536" s="1955"/>
      <c r="N536" s="1956"/>
      <c r="O536" s="1955"/>
      <c r="P536" s="1955"/>
      <c r="Q536" s="1956"/>
      <c r="R536" s="493"/>
      <c r="S536" s="493"/>
      <c r="T536" s="493"/>
      <c r="U536" s="493"/>
      <c r="V536" s="298"/>
      <c r="W536" s="298"/>
      <c r="X536" s="298"/>
      <c r="Y536" s="298"/>
      <c r="Z536" s="298"/>
      <c r="AA536" s="298"/>
      <c r="AB536" s="298"/>
      <c r="AC536" s="298"/>
      <c r="AD536" s="298"/>
      <c r="AE536" s="298"/>
      <c r="AF536" s="298"/>
      <c r="AG536" s="298"/>
      <c r="AH536" s="298"/>
      <c r="AI536" s="298"/>
      <c r="AJ536" s="298"/>
      <c r="AK536" s="298"/>
      <c r="AL536" s="298"/>
      <c r="AM536" s="298"/>
    </row>
    <row r="537" spans="1:39" ht="15.75" customHeight="1">
      <c r="A537" s="298"/>
      <c r="B537" s="298"/>
      <c r="C537" s="1901"/>
      <c r="D537" s="1947"/>
      <c r="E537" s="1901"/>
      <c r="F537" s="1954"/>
      <c r="G537" s="1901"/>
      <c r="H537" s="1901"/>
      <c r="I537" s="1901"/>
      <c r="J537" s="1647"/>
      <c r="K537" s="1901"/>
      <c r="L537" s="1901"/>
      <c r="M537" s="1955"/>
      <c r="N537" s="1956"/>
      <c r="O537" s="1955"/>
      <c r="P537" s="1955"/>
      <c r="Q537" s="1956"/>
      <c r="R537" s="493"/>
      <c r="S537" s="493"/>
      <c r="T537" s="493"/>
      <c r="U537" s="493"/>
      <c r="V537" s="298"/>
      <c r="W537" s="298"/>
      <c r="X537" s="298"/>
      <c r="Y537" s="298"/>
      <c r="Z537" s="298"/>
      <c r="AA537" s="298"/>
      <c r="AB537" s="298"/>
      <c r="AC537" s="298"/>
      <c r="AD537" s="298"/>
      <c r="AE537" s="298"/>
      <c r="AF537" s="298"/>
      <c r="AG537" s="298"/>
      <c r="AH537" s="298"/>
      <c r="AI537" s="298"/>
      <c r="AJ537" s="298"/>
      <c r="AK537" s="298"/>
      <c r="AL537" s="298"/>
      <c r="AM537" s="298"/>
    </row>
    <row r="538" spans="1:39" ht="15.75" customHeight="1">
      <c r="A538" s="298"/>
      <c r="B538" s="298"/>
      <c r="C538" s="1901"/>
      <c r="D538" s="1947"/>
      <c r="E538" s="1901"/>
      <c r="F538" s="1954"/>
      <c r="G538" s="1901"/>
      <c r="H538" s="1901"/>
      <c r="I538" s="1901"/>
      <c r="J538" s="1647"/>
      <c r="K538" s="1901"/>
      <c r="L538" s="1901"/>
      <c r="M538" s="1955"/>
      <c r="N538" s="1956"/>
      <c r="O538" s="1955"/>
      <c r="P538" s="1955"/>
      <c r="Q538" s="1956"/>
      <c r="R538" s="493"/>
      <c r="S538" s="493"/>
      <c r="T538" s="493"/>
      <c r="U538" s="493"/>
      <c r="V538" s="298"/>
      <c r="W538" s="298"/>
      <c r="X538" s="298"/>
      <c r="Y538" s="298"/>
      <c r="Z538" s="298"/>
      <c r="AA538" s="298"/>
      <c r="AB538" s="298"/>
      <c r="AC538" s="298"/>
      <c r="AD538" s="298"/>
      <c r="AE538" s="298"/>
      <c r="AF538" s="298"/>
      <c r="AG538" s="298"/>
      <c r="AH538" s="298"/>
      <c r="AI538" s="298"/>
      <c r="AJ538" s="298"/>
      <c r="AK538" s="298"/>
      <c r="AL538" s="298"/>
      <c r="AM538" s="298"/>
    </row>
    <row r="539" spans="1:39" ht="15.75" customHeight="1">
      <c r="A539" s="298"/>
      <c r="B539" s="298"/>
      <c r="C539" s="1901"/>
      <c r="D539" s="1947"/>
      <c r="E539" s="1901"/>
      <c r="F539" s="1954"/>
      <c r="G539" s="1901"/>
      <c r="H539" s="1901"/>
      <c r="I539" s="1901"/>
      <c r="J539" s="1647"/>
      <c r="K539" s="1901"/>
      <c r="L539" s="1901"/>
      <c r="M539" s="1955"/>
      <c r="N539" s="1956"/>
      <c r="O539" s="1955"/>
      <c r="P539" s="1955"/>
      <c r="Q539" s="1956"/>
      <c r="R539" s="493"/>
      <c r="S539" s="493"/>
      <c r="T539" s="493"/>
      <c r="U539" s="493"/>
      <c r="V539" s="298"/>
      <c r="W539" s="298"/>
      <c r="X539" s="298"/>
      <c r="Y539" s="298"/>
      <c r="Z539" s="298"/>
      <c r="AA539" s="298"/>
      <c r="AB539" s="298"/>
      <c r="AC539" s="298"/>
      <c r="AD539" s="298"/>
      <c r="AE539" s="298"/>
      <c r="AF539" s="298"/>
      <c r="AG539" s="298"/>
      <c r="AH539" s="298"/>
      <c r="AI539" s="298"/>
      <c r="AJ539" s="298"/>
      <c r="AK539" s="298"/>
      <c r="AL539" s="298"/>
      <c r="AM539" s="298"/>
    </row>
    <row r="540" spans="1:39" ht="15.75" customHeight="1">
      <c r="A540" s="298"/>
      <c r="B540" s="298"/>
      <c r="C540" s="1901"/>
      <c r="D540" s="1947"/>
      <c r="E540" s="1901"/>
      <c r="F540" s="1954"/>
      <c r="G540" s="1901"/>
      <c r="H540" s="1901"/>
      <c r="I540" s="1901"/>
      <c r="J540" s="1647"/>
      <c r="K540" s="1901"/>
      <c r="L540" s="1901"/>
      <c r="M540" s="1955"/>
      <c r="N540" s="1956"/>
      <c r="O540" s="1955"/>
      <c r="P540" s="1955"/>
      <c r="Q540" s="1956"/>
      <c r="R540" s="493"/>
      <c r="S540" s="493"/>
      <c r="T540" s="493"/>
      <c r="U540" s="493"/>
      <c r="V540" s="298"/>
      <c r="W540" s="298"/>
      <c r="X540" s="298"/>
      <c r="Y540" s="298"/>
      <c r="Z540" s="298"/>
      <c r="AA540" s="298"/>
      <c r="AB540" s="298"/>
      <c r="AC540" s="298"/>
      <c r="AD540" s="298"/>
      <c r="AE540" s="298"/>
      <c r="AF540" s="298"/>
      <c r="AG540" s="298"/>
      <c r="AH540" s="298"/>
      <c r="AI540" s="298"/>
      <c r="AJ540" s="298"/>
      <c r="AK540" s="298"/>
      <c r="AL540" s="298"/>
      <c r="AM540" s="298"/>
    </row>
    <row r="541" spans="1:39" ht="15.75" customHeight="1">
      <c r="A541" s="298"/>
      <c r="B541" s="298"/>
      <c r="C541" s="1901"/>
      <c r="D541" s="1947"/>
      <c r="E541" s="1901"/>
      <c r="F541" s="1954"/>
      <c r="G541" s="1901"/>
      <c r="H541" s="1901"/>
      <c r="I541" s="1901"/>
      <c r="J541" s="1647"/>
      <c r="K541" s="1901"/>
      <c r="L541" s="1901"/>
      <c r="M541" s="1955"/>
      <c r="N541" s="1956"/>
      <c r="O541" s="1955"/>
      <c r="P541" s="1955"/>
      <c r="Q541" s="1956"/>
      <c r="R541" s="493"/>
      <c r="S541" s="493"/>
      <c r="T541" s="493"/>
      <c r="U541" s="493"/>
      <c r="V541" s="298"/>
      <c r="W541" s="298"/>
      <c r="X541" s="298"/>
      <c r="Y541" s="298"/>
      <c r="Z541" s="298"/>
      <c r="AA541" s="298"/>
      <c r="AB541" s="298"/>
      <c r="AC541" s="298"/>
      <c r="AD541" s="298"/>
      <c r="AE541" s="298"/>
      <c r="AF541" s="298"/>
      <c r="AG541" s="298"/>
      <c r="AH541" s="298"/>
      <c r="AI541" s="298"/>
      <c r="AJ541" s="298"/>
      <c r="AK541" s="298"/>
      <c r="AL541" s="298"/>
      <c r="AM541" s="298"/>
    </row>
    <row r="542" spans="1:39" ht="15.75" customHeight="1">
      <c r="A542" s="298"/>
      <c r="B542" s="298"/>
      <c r="C542" s="1901"/>
      <c r="D542" s="1947"/>
      <c r="E542" s="1901"/>
      <c r="F542" s="1954"/>
      <c r="G542" s="1901"/>
      <c r="H542" s="1901"/>
      <c r="I542" s="1901"/>
      <c r="J542" s="1647"/>
      <c r="K542" s="1901"/>
      <c r="L542" s="1901"/>
      <c r="M542" s="1955"/>
      <c r="N542" s="1956"/>
      <c r="O542" s="1955"/>
      <c r="P542" s="1955"/>
      <c r="Q542" s="1956"/>
      <c r="R542" s="493"/>
      <c r="S542" s="493"/>
      <c r="T542" s="493"/>
      <c r="U542" s="493"/>
      <c r="V542" s="298"/>
      <c r="W542" s="298"/>
      <c r="X542" s="298"/>
      <c r="Y542" s="298"/>
      <c r="Z542" s="298"/>
      <c r="AA542" s="298"/>
      <c r="AB542" s="298"/>
      <c r="AC542" s="298"/>
      <c r="AD542" s="298"/>
      <c r="AE542" s="298"/>
      <c r="AF542" s="298"/>
      <c r="AG542" s="298"/>
      <c r="AH542" s="298"/>
      <c r="AI542" s="298"/>
      <c r="AJ542" s="298"/>
      <c r="AK542" s="298"/>
      <c r="AL542" s="298"/>
      <c r="AM542" s="298"/>
    </row>
    <row r="543" spans="1:39" ht="15.75" customHeight="1">
      <c r="A543" s="298"/>
      <c r="B543" s="298"/>
      <c r="C543" s="1901"/>
      <c r="D543" s="1947"/>
      <c r="E543" s="1901"/>
      <c r="F543" s="1954"/>
      <c r="G543" s="1901"/>
      <c r="H543" s="1901"/>
      <c r="I543" s="1901"/>
      <c r="J543" s="1647"/>
      <c r="K543" s="1901"/>
      <c r="L543" s="1901"/>
      <c r="M543" s="1955"/>
      <c r="N543" s="1956"/>
      <c r="O543" s="1955"/>
      <c r="P543" s="1955"/>
      <c r="Q543" s="1956"/>
      <c r="R543" s="493"/>
      <c r="S543" s="493"/>
      <c r="T543" s="493"/>
      <c r="U543" s="493"/>
      <c r="V543" s="298"/>
      <c r="W543" s="298"/>
      <c r="X543" s="298"/>
      <c r="Y543" s="298"/>
      <c r="Z543" s="298"/>
      <c r="AA543" s="298"/>
      <c r="AB543" s="298"/>
      <c r="AC543" s="298"/>
      <c r="AD543" s="298"/>
      <c r="AE543" s="298"/>
      <c r="AF543" s="298"/>
      <c r="AG543" s="298"/>
      <c r="AH543" s="298"/>
      <c r="AI543" s="298"/>
      <c r="AJ543" s="298"/>
      <c r="AK543" s="298"/>
      <c r="AL543" s="298"/>
      <c r="AM543" s="298"/>
    </row>
    <row r="544" spans="1:39" ht="15.75" customHeight="1">
      <c r="A544" s="298"/>
      <c r="B544" s="298"/>
      <c r="C544" s="1901"/>
      <c r="D544" s="1947"/>
      <c r="E544" s="1901"/>
      <c r="F544" s="1954"/>
      <c r="G544" s="1901"/>
      <c r="H544" s="1901"/>
      <c r="I544" s="1901"/>
      <c r="J544" s="1647"/>
      <c r="K544" s="1901"/>
      <c r="L544" s="1901"/>
      <c r="M544" s="1955"/>
      <c r="N544" s="1956"/>
      <c r="O544" s="1955"/>
      <c r="P544" s="1955"/>
      <c r="Q544" s="1956"/>
      <c r="R544" s="493"/>
      <c r="S544" s="493"/>
      <c r="T544" s="493"/>
      <c r="U544" s="493"/>
      <c r="V544" s="298"/>
      <c r="W544" s="298"/>
      <c r="X544" s="298"/>
      <c r="Y544" s="298"/>
      <c r="Z544" s="298"/>
      <c r="AA544" s="298"/>
      <c r="AB544" s="298"/>
      <c r="AC544" s="298"/>
      <c r="AD544" s="298"/>
      <c r="AE544" s="298"/>
      <c r="AF544" s="298"/>
      <c r="AG544" s="298"/>
      <c r="AH544" s="298"/>
      <c r="AI544" s="298"/>
      <c r="AJ544" s="298"/>
      <c r="AK544" s="298"/>
      <c r="AL544" s="298"/>
      <c r="AM544" s="298"/>
    </row>
    <row r="545" spans="1:39" ht="15.75" customHeight="1">
      <c r="A545" s="298"/>
      <c r="B545" s="298"/>
      <c r="C545" s="1901"/>
      <c r="D545" s="1947"/>
      <c r="E545" s="1901"/>
      <c r="F545" s="1954"/>
      <c r="G545" s="1901"/>
      <c r="H545" s="1901"/>
      <c r="I545" s="1901"/>
      <c r="J545" s="1647"/>
      <c r="K545" s="1901"/>
      <c r="L545" s="1901"/>
      <c r="M545" s="1955"/>
      <c r="N545" s="1956"/>
      <c r="O545" s="1955"/>
      <c r="P545" s="1955"/>
      <c r="Q545" s="1956"/>
      <c r="R545" s="493"/>
      <c r="S545" s="493"/>
      <c r="T545" s="493"/>
      <c r="U545" s="493"/>
      <c r="V545" s="298"/>
      <c r="W545" s="298"/>
      <c r="X545" s="298"/>
      <c r="Y545" s="298"/>
      <c r="Z545" s="298"/>
      <c r="AA545" s="298"/>
      <c r="AB545" s="298"/>
      <c r="AC545" s="298"/>
      <c r="AD545" s="298"/>
      <c r="AE545" s="298"/>
      <c r="AF545" s="298"/>
      <c r="AG545" s="298"/>
      <c r="AH545" s="298"/>
      <c r="AI545" s="298"/>
      <c r="AJ545" s="298"/>
      <c r="AK545" s="298"/>
      <c r="AL545" s="298"/>
      <c r="AM545" s="298"/>
    </row>
    <row r="546" spans="1:39" ht="15.75" customHeight="1">
      <c r="A546" s="298"/>
      <c r="B546" s="298"/>
      <c r="C546" s="1901"/>
      <c r="D546" s="1947"/>
      <c r="E546" s="1901"/>
      <c r="F546" s="1954"/>
      <c r="G546" s="1901"/>
      <c r="H546" s="1901"/>
      <c r="I546" s="1901"/>
      <c r="J546" s="1647"/>
      <c r="K546" s="1901"/>
      <c r="L546" s="1901"/>
      <c r="M546" s="1955"/>
      <c r="N546" s="1956"/>
      <c r="O546" s="1955"/>
      <c r="P546" s="1955"/>
      <c r="Q546" s="1956"/>
      <c r="R546" s="493"/>
      <c r="S546" s="493"/>
      <c r="T546" s="493"/>
      <c r="U546" s="493"/>
      <c r="V546" s="298"/>
      <c r="W546" s="298"/>
      <c r="X546" s="298"/>
      <c r="Y546" s="298"/>
      <c r="Z546" s="298"/>
      <c r="AA546" s="298"/>
      <c r="AB546" s="298"/>
      <c r="AC546" s="298"/>
      <c r="AD546" s="298"/>
      <c r="AE546" s="298"/>
      <c r="AF546" s="298"/>
      <c r="AG546" s="298"/>
      <c r="AH546" s="298"/>
      <c r="AI546" s="298"/>
      <c r="AJ546" s="298"/>
      <c r="AK546" s="298"/>
      <c r="AL546" s="298"/>
      <c r="AM546" s="298"/>
    </row>
    <row r="547" spans="1:39" ht="15.75" customHeight="1">
      <c r="A547" s="298"/>
      <c r="B547" s="298"/>
      <c r="C547" s="1901"/>
      <c r="D547" s="1947"/>
      <c r="E547" s="1901"/>
      <c r="F547" s="1954"/>
      <c r="G547" s="1901"/>
      <c r="H547" s="1901"/>
      <c r="I547" s="1901"/>
      <c r="J547" s="1647"/>
      <c r="K547" s="1901"/>
      <c r="L547" s="1901"/>
      <c r="M547" s="1955"/>
      <c r="N547" s="1956"/>
      <c r="O547" s="1955"/>
      <c r="P547" s="1955"/>
      <c r="Q547" s="1956"/>
      <c r="R547" s="493"/>
      <c r="S547" s="493"/>
      <c r="T547" s="493"/>
      <c r="U547" s="493"/>
      <c r="V547" s="298"/>
      <c r="W547" s="298"/>
      <c r="X547" s="298"/>
      <c r="Y547" s="298"/>
      <c r="Z547" s="298"/>
      <c r="AA547" s="298"/>
      <c r="AB547" s="298"/>
      <c r="AC547" s="298"/>
      <c r="AD547" s="298"/>
      <c r="AE547" s="298"/>
      <c r="AF547" s="298"/>
      <c r="AG547" s="298"/>
      <c r="AH547" s="298"/>
      <c r="AI547" s="298"/>
      <c r="AJ547" s="298"/>
      <c r="AK547" s="298"/>
      <c r="AL547" s="298"/>
      <c r="AM547" s="298"/>
    </row>
    <row r="548" spans="1:39" ht="15.75" customHeight="1">
      <c r="A548" s="298"/>
      <c r="B548" s="298"/>
      <c r="C548" s="1901"/>
      <c r="D548" s="1947"/>
      <c r="E548" s="1901"/>
      <c r="F548" s="1954"/>
      <c r="G548" s="1901"/>
      <c r="H548" s="1901"/>
      <c r="I548" s="1901"/>
      <c r="J548" s="1647"/>
      <c r="K548" s="1901"/>
      <c r="L548" s="1901"/>
      <c r="M548" s="1955"/>
      <c r="N548" s="1956"/>
      <c r="O548" s="1955"/>
      <c r="P548" s="1955"/>
      <c r="Q548" s="1956"/>
      <c r="R548" s="493"/>
      <c r="S548" s="493"/>
      <c r="T548" s="493"/>
      <c r="U548" s="493"/>
      <c r="V548" s="298"/>
      <c r="W548" s="298"/>
      <c r="X548" s="298"/>
      <c r="Y548" s="298"/>
      <c r="Z548" s="298"/>
      <c r="AA548" s="298"/>
      <c r="AB548" s="298"/>
      <c r="AC548" s="298"/>
      <c r="AD548" s="298"/>
      <c r="AE548" s="298"/>
      <c r="AF548" s="298"/>
      <c r="AG548" s="298"/>
      <c r="AH548" s="298"/>
      <c r="AI548" s="298"/>
      <c r="AJ548" s="298"/>
      <c r="AK548" s="298"/>
      <c r="AL548" s="298"/>
      <c r="AM548" s="298"/>
    </row>
    <row r="549" spans="1:39" ht="15.75" customHeight="1">
      <c r="A549" s="298"/>
      <c r="B549" s="298"/>
      <c r="C549" s="1901"/>
      <c r="D549" s="1947"/>
      <c r="E549" s="1901"/>
      <c r="F549" s="1954"/>
      <c r="G549" s="1901"/>
      <c r="H549" s="1901"/>
      <c r="I549" s="1901"/>
      <c r="J549" s="1647"/>
      <c r="K549" s="1901"/>
      <c r="L549" s="1901"/>
      <c r="M549" s="1955"/>
      <c r="N549" s="1956"/>
      <c r="O549" s="1955"/>
      <c r="P549" s="1955"/>
      <c r="Q549" s="1956"/>
      <c r="R549" s="493"/>
      <c r="S549" s="493"/>
      <c r="T549" s="493"/>
      <c r="U549" s="493"/>
      <c r="V549" s="298"/>
      <c r="W549" s="298"/>
      <c r="X549" s="298"/>
      <c r="Y549" s="298"/>
      <c r="Z549" s="298"/>
      <c r="AA549" s="298"/>
      <c r="AB549" s="298"/>
      <c r="AC549" s="298"/>
      <c r="AD549" s="298"/>
      <c r="AE549" s="298"/>
      <c r="AF549" s="298"/>
      <c r="AG549" s="298"/>
      <c r="AH549" s="298"/>
      <c r="AI549" s="298"/>
      <c r="AJ549" s="298"/>
      <c r="AK549" s="298"/>
      <c r="AL549" s="298"/>
      <c r="AM549" s="298"/>
    </row>
    <row r="550" spans="1:39" ht="15.75" customHeight="1">
      <c r="A550" s="298"/>
      <c r="B550" s="298"/>
      <c r="C550" s="1901"/>
      <c r="D550" s="1947"/>
      <c r="E550" s="1901"/>
      <c r="F550" s="1954"/>
      <c r="G550" s="1901"/>
      <c r="H550" s="1901"/>
      <c r="I550" s="1901"/>
      <c r="J550" s="1647"/>
      <c r="K550" s="1901"/>
      <c r="L550" s="1901"/>
      <c r="M550" s="1955"/>
      <c r="N550" s="1956"/>
      <c r="O550" s="1955"/>
      <c r="P550" s="1955"/>
      <c r="Q550" s="1956"/>
      <c r="R550" s="493"/>
      <c r="S550" s="493"/>
      <c r="T550" s="493"/>
      <c r="U550" s="493"/>
      <c r="V550" s="298"/>
      <c r="W550" s="298"/>
      <c r="X550" s="298"/>
      <c r="Y550" s="298"/>
      <c r="Z550" s="298"/>
      <c r="AA550" s="298"/>
      <c r="AB550" s="298"/>
      <c r="AC550" s="298"/>
      <c r="AD550" s="298"/>
      <c r="AE550" s="298"/>
      <c r="AF550" s="298"/>
      <c r="AG550" s="298"/>
      <c r="AH550" s="298"/>
      <c r="AI550" s="298"/>
      <c r="AJ550" s="298"/>
      <c r="AK550" s="298"/>
      <c r="AL550" s="298"/>
      <c r="AM550" s="298"/>
    </row>
    <row r="551" spans="1:39" ht="15.75" customHeight="1">
      <c r="A551" s="298"/>
      <c r="B551" s="298"/>
      <c r="C551" s="1901"/>
      <c r="D551" s="1947"/>
      <c r="E551" s="1901"/>
      <c r="F551" s="1954"/>
      <c r="G551" s="1901"/>
      <c r="H551" s="1901"/>
      <c r="I551" s="1901"/>
      <c r="J551" s="1647"/>
      <c r="K551" s="1901"/>
      <c r="L551" s="1901"/>
      <c r="M551" s="1955"/>
      <c r="N551" s="1956"/>
      <c r="O551" s="1955"/>
      <c r="P551" s="1955"/>
      <c r="Q551" s="1956"/>
      <c r="R551" s="493"/>
      <c r="S551" s="493"/>
      <c r="T551" s="493"/>
      <c r="U551" s="493"/>
      <c r="V551" s="298"/>
      <c r="W551" s="298"/>
      <c r="X551" s="298"/>
      <c r="Y551" s="298"/>
      <c r="Z551" s="298"/>
      <c r="AA551" s="298"/>
      <c r="AB551" s="298"/>
      <c r="AC551" s="298"/>
      <c r="AD551" s="298"/>
      <c r="AE551" s="298"/>
      <c r="AF551" s="298"/>
      <c r="AG551" s="298"/>
      <c r="AH551" s="298"/>
      <c r="AI551" s="298"/>
      <c r="AJ551" s="298"/>
      <c r="AK551" s="298"/>
      <c r="AL551" s="298"/>
      <c r="AM551" s="298"/>
    </row>
    <row r="552" spans="1:39" ht="15.75" customHeight="1">
      <c r="A552" s="298"/>
      <c r="B552" s="298"/>
      <c r="C552" s="1901"/>
      <c r="D552" s="1947"/>
      <c r="E552" s="1901"/>
      <c r="F552" s="1954"/>
      <c r="G552" s="1901"/>
      <c r="H552" s="1901"/>
      <c r="I552" s="1901"/>
      <c r="J552" s="1647"/>
      <c r="K552" s="1901"/>
      <c r="L552" s="1901"/>
      <c r="M552" s="1955"/>
      <c r="N552" s="1956"/>
      <c r="O552" s="1955"/>
      <c r="P552" s="1955"/>
      <c r="Q552" s="1956"/>
      <c r="R552" s="493"/>
      <c r="S552" s="493"/>
      <c r="T552" s="493"/>
      <c r="U552" s="493"/>
      <c r="V552" s="298"/>
      <c r="W552" s="298"/>
      <c r="X552" s="298"/>
      <c r="Y552" s="298"/>
      <c r="Z552" s="298"/>
      <c r="AA552" s="298"/>
      <c r="AB552" s="298"/>
      <c r="AC552" s="298"/>
      <c r="AD552" s="298"/>
      <c r="AE552" s="298"/>
      <c r="AF552" s="298"/>
      <c r="AG552" s="298"/>
      <c r="AH552" s="298"/>
      <c r="AI552" s="298"/>
      <c r="AJ552" s="298"/>
      <c r="AK552" s="298"/>
      <c r="AL552" s="298"/>
      <c r="AM552" s="298"/>
    </row>
    <row r="553" spans="1:39" ht="15.75" customHeight="1">
      <c r="A553" s="298"/>
      <c r="B553" s="298"/>
      <c r="C553" s="1901"/>
      <c r="D553" s="1947"/>
      <c r="E553" s="1901"/>
      <c r="F553" s="1954"/>
      <c r="G553" s="1901"/>
      <c r="H553" s="1901"/>
      <c r="I553" s="1901"/>
      <c r="J553" s="1647"/>
      <c r="K553" s="1901"/>
      <c r="L553" s="1901"/>
      <c r="M553" s="1955"/>
      <c r="N553" s="1956"/>
      <c r="O553" s="1955"/>
      <c r="P553" s="1955"/>
      <c r="Q553" s="1956"/>
      <c r="R553" s="493"/>
      <c r="S553" s="493"/>
      <c r="T553" s="493"/>
      <c r="U553" s="493"/>
      <c r="V553" s="298"/>
      <c r="W553" s="298"/>
      <c r="X553" s="298"/>
      <c r="Y553" s="298"/>
      <c r="Z553" s="298"/>
      <c r="AA553" s="298"/>
      <c r="AB553" s="298"/>
      <c r="AC553" s="298"/>
      <c r="AD553" s="298"/>
      <c r="AE553" s="298"/>
      <c r="AF553" s="298"/>
      <c r="AG553" s="298"/>
      <c r="AH553" s="298"/>
      <c r="AI553" s="298"/>
      <c r="AJ553" s="298"/>
      <c r="AK553" s="298"/>
      <c r="AL553" s="298"/>
      <c r="AM553" s="298"/>
    </row>
    <row r="554" spans="1:39" ht="15.75" customHeight="1">
      <c r="A554" s="298"/>
      <c r="B554" s="298"/>
      <c r="C554" s="1901"/>
      <c r="D554" s="1947"/>
      <c r="E554" s="1901"/>
      <c r="F554" s="1954"/>
      <c r="G554" s="1901"/>
      <c r="H554" s="1901"/>
      <c r="I554" s="1901"/>
      <c r="J554" s="1647"/>
      <c r="K554" s="1901"/>
      <c r="L554" s="1901"/>
      <c r="M554" s="1955"/>
      <c r="N554" s="1956"/>
      <c r="O554" s="1955"/>
      <c r="P554" s="1955"/>
      <c r="Q554" s="1956"/>
      <c r="R554" s="493"/>
      <c r="S554" s="493"/>
      <c r="T554" s="493"/>
      <c r="U554" s="493"/>
      <c r="V554" s="298"/>
      <c r="W554" s="298"/>
      <c r="X554" s="298"/>
      <c r="Y554" s="298"/>
      <c r="Z554" s="298"/>
      <c r="AA554" s="298"/>
      <c r="AB554" s="298"/>
      <c r="AC554" s="298"/>
      <c r="AD554" s="298"/>
      <c r="AE554" s="298"/>
      <c r="AF554" s="298"/>
      <c r="AG554" s="298"/>
      <c r="AH554" s="298"/>
      <c r="AI554" s="298"/>
      <c r="AJ554" s="298"/>
      <c r="AK554" s="298"/>
      <c r="AL554" s="298"/>
      <c r="AM554" s="298"/>
    </row>
    <row r="555" spans="1:39" ht="15.75" customHeight="1">
      <c r="A555" s="298"/>
      <c r="B555" s="298"/>
      <c r="C555" s="1901"/>
      <c r="D555" s="1947"/>
      <c r="E555" s="1901"/>
      <c r="F555" s="1954"/>
      <c r="G555" s="1901"/>
      <c r="H555" s="1901"/>
      <c r="I555" s="1901"/>
      <c r="J555" s="1647"/>
      <c r="K555" s="1901"/>
      <c r="L555" s="1901"/>
      <c r="M555" s="1955"/>
      <c r="N555" s="1956"/>
      <c r="O555" s="1955"/>
      <c r="P555" s="1955"/>
      <c r="Q555" s="1956"/>
      <c r="R555" s="493"/>
      <c r="S555" s="493"/>
      <c r="T555" s="493"/>
      <c r="U555" s="493"/>
      <c r="V555" s="298"/>
      <c r="W555" s="298"/>
      <c r="X555" s="298"/>
      <c r="Y555" s="298"/>
      <c r="Z555" s="298"/>
      <c r="AA555" s="298"/>
      <c r="AB555" s="298"/>
      <c r="AC555" s="298"/>
      <c r="AD555" s="298"/>
      <c r="AE555" s="298"/>
      <c r="AF555" s="298"/>
      <c r="AG555" s="298"/>
      <c r="AH555" s="298"/>
      <c r="AI555" s="298"/>
      <c r="AJ555" s="298"/>
      <c r="AK555" s="298"/>
      <c r="AL555" s="298"/>
      <c r="AM555" s="298"/>
    </row>
    <row r="556" spans="1:39" ht="15.75" customHeight="1">
      <c r="A556" s="298"/>
      <c r="B556" s="298"/>
      <c r="C556" s="1901"/>
      <c r="D556" s="1947"/>
      <c r="E556" s="1901"/>
      <c r="F556" s="1954"/>
      <c r="G556" s="1901"/>
      <c r="H556" s="1901"/>
      <c r="I556" s="1901"/>
      <c r="J556" s="1647"/>
      <c r="K556" s="1901"/>
      <c r="L556" s="1901"/>
      <c r="M556" s="1955"/>
      <c r="N556" s="1956"/>
      <c r="O556" s="1955"/>
      <c r="P556" s="1955"/>
      <c r="Q556" s="1956"/>
      <c r="R556" s="493"/>
      <c r="S556" s="493"/>
      <c r="T556" s="493"/>
      <c r="U556" s="493"/>
      <c r="V556" s="298"/>
      <c r="W556" s="298"/>
      <c r="X556" s="298"/>
      <c r="Y556" s="298"/>
      <c r="Z556" s="298"/>
      <c r="AA556" s="298"/>
      <c r="AB556" s="298"/>
      <c r="AC556" s="298"/>
      <c r="AD556" s="298"/>
      <c r="AE556" s="298"/>
      <c r="AF556" s="298"/>
      <c r="AG556" s="298"/>
      <c r="AH556" s="298"/>
      <c r="AI556" s="298"/>
      <c r="AJ556" s="298"/>
      <c r="AK556" s="298"/>
      <c r="AL556" s="298"/>
      <c r="AM556" s="298"/>
    </row>
    <row r="557" spans="1:39" ht="15.75" customHeight="1">
      <c r="A557" s="298"/>
      <c r="B557" s="298"/>
      <c r="C557" s="1901"/>
      <c r="D557" s="1947"/>
      <c r="E557" s="1901"/>
      <c r="F557" s="1954"/>
      <c r="G557" s="1901"/>
      <c r="H557" s="1901"/>
      <c r="I557" s="1901"/>
      <c r="J557" s="1647"/>
      <c r="K557" s="1901"/>
      <c r="L557" s="1901"/>
      <c r="M557" s="1955"/>
      <c r="N557" s="1956"/>
      <c r="O557" s="1955"/>
      <c r="P557" s="1955"/>
      <c r="Q557" s="1956"/>
      <c r="R557" s="493"/>
      <c r="S557" s="493"/>
      <c r="T557" s="493"/>
      <c r="U557" s="493"/>
      <c r="V557" s="298"/>
      <c r="W557" s="298"/>
      <c r="X557" s="298"/>
      <c r="Y557" s="298"/>
      <c r="Z557" s="298"/>
      <c r="AA557" s="298"/>
      <c r="AB557" s="298"/>
      <c r="AC557" s="298"/>
      <c r="AD557" s="298"/>
      <c r="AE557" s="298"/>
      <c r="AF557" s="298"/>
      <c r="AG557" s="298"/>
      <c r="AH557" s="298"/>
      <c r="AI557" s="298"/>
      <c r="AJ557" s="298"/>
      <c r="AK557" s="298"/>
      <c r="AL557" s="298"/>
      <c r="AM557" s="298"/>
    </row>
    <row r="558" spans="1:39" ht="15.75" customHeight="1">
      <c r="A558" s="298"/>
      <c r="B558" s="298"/>
      <c r="C558" s="1901"/>
      <c r="D558" s="1947"/>
      <c r="E558" s="1901"/>
      <c r="F558" s="1954"/>
      <c r="G558" s="1901"/>
      <c r="H558" s="1901"/>
      <c r="I558" s="1901"/>
      <c r="J558" s="1647"/>
      <c r="K558" s="1901"/>
      <c r="L558" s="1901"/>
      <c r="M558" s="1955"/>
      <c r="N558" s="1956"/>
      <c r="O558" s="1955"/>
      <c r="P558" s="1955"/>
      <c r="Q558" s="1956"/>
      <c r="R558" s="493"/>
      <c r="S558" s="493"/>
      <c r="T558" s="493"/>
      <c r="U558" s="493"/>
      <c r="V558" s="298"/>
      <c r="W558" s="298"/>
      <c r="X558" s="298"/>
      <c r="Y558" s="298"/>
      <c r="Z558" s="298"/>
      <c r="AA558" s="298"/>
      <c r="AB558" s="298"/>
      <c r="AC558" s="298"/>
      <c r="AD558" s="298"/>
      <c r="AE558" s="298"/>
      <c r="AF558" s="298"/>
      <c r="AG558" s="298"/>
      <c r="AH558" s="298"/>
      <c r="AI558" s="298"/>
      <c r="AJ558" s="298"/>
      <c r="AK558" s="298"/>
      <c r="AL558" s="298"/>
      <c r="AM558" s="298"/>
    </row>
    <row r="559" spans="1:39" ht="15.75" customHeight="1">
      <c r="A559" s="298"/>
      <c r="B559" s="298"/>
      <c r="C559" s="1901"/>
      <c r="D559" s="1947"/>
      <c r="E559" s="1901"/>
      <c r="F559" s="1954"/>
      <c r="G559" s="1901"/>
      <c r="H559" s="1901"/>
      <c r="I559" s="1901"/>
      <c r="J559" s="1647"/>
      <c r="K559" s="1901"/>
      <c r="L559" s="1901"/>
      <c r="M559" s="1955"/>
      <c r="N559" s="1956"/>
      <c r="O559" s="1955"/>
      <c r="P559" s="1955"/>
      <c r="Q559" s="1956"/>
      <c r="R559" s="493"/>
      <c r="S559" s="493"/>
      <c r="T559" s="493"/>
      <c r="U559" s="493"/>
      <c r="V559" s="298"/>
      <c r="W559" s="298"/>
      <c r="X559" s="298"/>
      <c r="Y559" s="298"/>
      <c r="Z559" s="298"/>
      <c r="AA559" s="298"/>
      <c r="AB559" s="298"/>
      <c r="AC559" s="298"/>
      <c r="AD559" s="298"/>
      <c r="AE559" s="298"/>
      <c r="AF559" s="298"/>
      <c r="AG559" s="298"/>
      <c r="AH559" s="298"/>
      <c r="AI559" s="298"/>
      <c r="AJ559" s="298"/>
      <c r="AK559" s="298"/>
      <c r="AL559" s="298"/>
      <c r="AM559" s="298"/>
    </row>
    <row r="560" spans="1:39" ht="15.75" customHeight="1">
      <c r="A560" s="298"/>
      <c r="B560" s="298"/>
      <c r="C560" s="1901"/>
      <c r="D560" s="1947"/>
      <c r="E560" s="1901"/>
      <c r="F560" s="1954"/>
      <c r="G560" s="1901"/>
      <c r="H560" s="1901"/>
      <c r="I560" s="1901"/>
      <c r="J560" s="1647"/>
      <c r="K560" s="1901"/>
      <c r="L560" s="1901"/>
      <c r="M560" s="1955"/>
      <c r="N560" s="1956"/>
      <c r="O560" s="1955"/>
      <c r="P560" s="1955"/>
      <c r="Q560" s="1956"/>
      <c r="R560" s="493"/>
      <c r="S560" s="493"/>
      <c r="T560" s="493"/>
      <c r="U560" s="493"/>
      <c r="V560" s="298"/>
      <c r="W560" s="298"/>
      <c r="X560" s="298"/>
      <c r="Y560" s="298"/>
      <c r="Z560" s="298"/>
      <c r="AA560" s="298"/>
      <c r="AB560" s="298"/>
      <c r="AC560" s="298"/>
      <c r="AD560" s="298"/>
      <c r="AE560" s="298"/>
      <c r="AF560" s="298"/>
      <c r="AG560" s="298"/>
      <c r="AH560" s="298"/>
      <c r="AI560" s="298"/>
      <c r="AJ560" s="298"/>
      <c r="AK560" s="298"/>
      <c r="AL560" s="298"/>
      <c r="AM560" s="298"/>
    </row>
    <row r="561" spans="1:39" ht="15.75" customHeight="1">
      <c r="A561" s="298"/>
      <c r="B561" s="298"/>
      <c r="C561" s="1901"/>
      <c r="D561" s="1947"/>
      <c r="E561" s="1901"/>
      <c r="F561" s="1954"/>
      <c r="G561" s="1901"/>
      <c r="H561" s="1901"/>
      <c r="I561" s="1901"/>
      <c r="J561" s="1647"/>
      <c r="K561" s="1901"/>
      <c r="L561" s="1901"/>
      <c r="M561" s="1955"/>
      <c r="N561" s="1956"/>
      <c r="O561" s="1955"/>
      <c r="P561" s="1955"/>
      <c r="Q561" s="1956"/>
      <c r="R561" s="493"/>
      <c r="S561" s="493"/>
      <c r="T561" s="493"/>
      <c r="U561" s="493"/>
      <c r="V561" s="298"/>
      <c r="W561" s="298"/>
      <c r="X561" s="298"/>
      <c r="Y561" s="298"/>
      <c r="Z561" s="298"/>
      <c r="AA561" s="298"/>
      <c r="AB561" s="298"/>
      <c r="AC561" s="298"/>
      <c r="AD561" s="298"/>
      <c r="AE561" s="298"/>
      <c r="AF561" s="298"/>
      <c r="AG561" s="298"/>
      <c r="AH561" s="298"/>
      <c r="AI561" s="298"/>
      <c r="AJ561" s="298"/>
      <c r="AK561" s="298"/>
      <c r="AL561" s="298"/>
      <c r="AM561" s="298"/>
    </row>
    <row r="562" spans="1:39" ht="15.75" customHeight="1">
      <c r="A562" s="298"/>
      <c r="B562" s="298"/>
      <c r="C562" s="1901"/>
      <c r="D562" s="1947"/>
      <c r="E562" s="1901"/>
      <c r="F562" s="1954"/>
      <c r="G562" s="1901"/>
      <c r="H562" s="1901"/>
      <c r="I562" s="1901"/>
      <c r="J562" s="1647"/>
      <c r="K562" s="1901"/>
      <c r="L562" s="1901"/>
      <c r="M562" s="1955"/>
      <c r="N562" s="1956"/>
      <c r="O562" s="1955"/>
      <c r="P562" s="1955"/>
      <c r="Q562" s="1956"/>
      <c r="R562" s="493"/>
      <c r="S562" s="493"/>
      <c r="T562" s="493"/>
      <c r="U562" s="493"/>
      <c r="V562" s="298"/>
      <c r="W562" s="298"/>
      <c r="X562" s="298"/>
      <c r="Y562" s="298"/>
      <c r="Z562" s="298"/>
      <c r="AA562" s="298"/>
      <c r="AB562" s="298"/>
      <c r="AC562" s="298"/>
      <c r="AD562" s="298"/>
      <c r="AE562" s="298"/>
      <c r="AF562" s="298"/>
      <c r="AG562" s="298"/>
      <c r="AH562" s="298"/>
      <c r="AI562" s="298"/>
      <c r="AJ562" s="298"/>
      <c r="AK562" s="298"/>
      <c r="AL562" s="298"/>
      <c r="AM562" s="298"/>
    </row>
    <row r="563" spans="1:39" ht="15.75" customHeight="1">
      <c r="A563" s="298"/>
      <c r="B563" s="298"/>
      <c r="C563" s="1901"/>
      <c r="D563" s="1947"/>
      <c r="E563" s="1901"/>
      <c r="F563" s="1954"/>
      <c r="G563" s="1901"/>
      <c r="H563" s="1901"/>
      <c r="I563" s="1901"/>
      <c r="J563" s="1647"/>
      <c r="K563" s="1901"/>
      <c r="L563" s="1901"/>
      <c r="M563" s="1955"/>
      <c r="N563" s="1956"/>
      <c r="O563" s="1955"/>
      <c r="P563" s="1955"/>
      <c r="Q563" s="1956"/>
      <c r="R563" s="493"/>
      <c r="S563" s="493"/>
      <c r="T563" s="493"/>
      <c r="U563" s="493"/>
      <c r="V563" s="298"/>
      <c r="W563" s="298"/>
      <c r="X563" s="298"/>
      <c r="Y563" s="298"/>
      <c r="Z563" s="298"/>
      <c r="AA563" s="298"/>
      <c r="AB563" s="298"/>
      <c r="AC563" s="298"/>
      <c r="AD563" s="298"/>
      <c r="AE563" s="298"/>
      <c r="AF563" s="298"/>
      <c r="AG563" s="298"/>
      <c r="AH563" s="298"/>
      <c r="AI563" s="298"/>
      <c r="AJ563" s="298"/>
      <c r="AK563" s="298"/>
      <c r="AL563" s="298"/>
      <c r="AM563" s="298"/>
    </row>
    <row r="564" spans="1:39" ht="15.75" customHeight="1">
      <c r="A564" s="298"/>
      <c r="B564" s="298"/>
      <c r="C564" s="1901"/>
      <c r="D564" s="1947"/>
      <c r="E564" s="1901"/>
      <c r="F564" s="1954"/>
      <c r="G564" s="1901"/>
      <c r="H564" s="1901"/>
      <c r="I564" s="1901"/>
      <c r="J564" s="1647"/>
      <c r="K564" s="1901"/>
      <c r="L564" s="1901"/>
      <c r="M564" s="1955"/>
      <c r="N564" s="1956"/>
      <c r="O564" s="1955"/>
      <c r="P564" s="1955"/>
      <c r="Q564" s="1956"/>
      <c r="R564" s="493"/>
      <c r="S564" s="493"/>
      <c r="T564" s="493"/>
      <c r="U564" s="493"/>
      <c r="V564" s="298"/>
      <c r="W564" s="298"/>
      <c r="X564" s="298"/>
      <c r="Y564" s="298"/>
      <c r="Z564" s="298"/>
      <c r="AA564" s="298"/>
      <c r="AB564" s="298"/>
      <c r="AC564" s="298"/>
      <c r="AD564" s="298"/>
      <c r="AE564" s="298"/>
      <c r="AF564" s="298"/>
      <c r="AG564" s="298"/>
      <c r="AH564" s="298"/>
      <c r="AI564" s="298"/>
      <c r="AJ564" s="298"/>
      <c r="AK564" s="298"/>
      <c r="AL564" s="298"/>
      <c r="AM564" s="298"/>
    </row>
    <row r="565" spans="1:39" ht="15.75" customHeight="1">
      <c r="A565" s="298"/>
      <c r="B565" s="298"/>
      <c r="C565" s="1901"/>
      <c r="D565" s="1947"/>
      <c r="E565" s="1901"/>
      <c r="F565" s="1954"/>
      <c r="G565" s="1901"/>
      <c r="H565" s="1901"/>
      <c r="I565" s="1901"/>
      <c r="J565" s="1647"/>
      <c r="K565" s="1901"/>
      <c r="L565" s="1901"/>
      <c r="M565" s="1955"/>
      <c r="N565" s="1956"/>
      <c r="O565" s="1955"/>
      <c r="P565" s="1955"/>
      <c r="Q565" s="1956"/>
      <c r="R565" s="493"/>
      <c r="S565" s="493"/>
      <c r="T565" s="493"/>
      <c r="U565" s="493"/>
      <c r="V565" s="298"/>
      <c r="W565" s="298"/>
      <c r="X565" s="298"/>
      <c r="Y565" s="298"/>
      <c r="Z565" s="298"/>
      <c r="AA565" s="298"/>
      <c r="AB565" s="298"/>
      <c r="AC565" s="298"/>
      <c r="AD565" s="298"/>
      <c r="AE565" s="298"/>
      <c r="AF565" s="298"/>
      <c r="AG565" s="298"/>
      <c r="AH565" s="298"/>
      <c r="AI565" s="298"/>
      <c r="AJ565" s="298"/>
      <c r="AK565" s="298"/>
      <c r="AL565" s="298"/>
      <c r="AM565" s="298"/>
    </row>
    <row r="566" spans="1:39" ht="15.75" customHeight="1">
      <c r="A566" s="298"/>
      <c r="B566" s="298"/>
      <c r="C566" s="1901"/>
      <c r="D566" s="1947"/>
      <c r="E566" s="1901"/>
      <c r="F566" s="1954"/>
      <c r="G566" s="1901"/>
      <c r="H566" s="1901"/>
      <c r="I566" s="1901"/>
      <c r="J566" s="1647"/>
      <c r="K566" s="1901"/>
      <c r="L566" s="1901"/>
      <c r="M566" s="1955"/>
      <c r="N566" s="1956"/>
      <c r="O566" s="1955"/>
      <c r="P566" s="1955"/>
      <c r="Q566" s="1956"/>
      <c r="R566" s="493"/>
      <c r="S566" s="493"/>
      <c r="T566" s="493"/>
      <c r="U566" s="493"/>
      <c r="V566" s="298"/>
      <c r="W566" s="298"/>
      <c r="X566" s="298"/>
      <c r="Y566" s="298"/>
      <c r="Z566" s="298"/>
      <c r="AA566" s="298"/>
      <c r="AB566" s="298"/>
      <c r="AC566" s="298"/>
      <c r="AD566" s="298"/>
      <c r="AE566" s="298"/>
      <c r="AF566" s="298"/>
      <c r="AG566" s="298"/>
      <c r="AH566" s="298"/>
      <c r="AI566" s="298"/>
      <c r="AJ566" s="298"/>
      <c r="AK566" s="298"/>
      <c r="AL566" s="298"/>
      <c r="AM566" s="298"/>
    </row>
    <row r="567" spans="1:39" ht="15.75" customHeight="1">
      <c r="A567" s="298"/>
      <c r="B567" s="298"/>
      <c r="C567" s="1901"/>
      <c r="D567" s="1947"/>
      <c r="E567" s="1901"/>
      <c r="F567" s="1954"/>
      <c r="G567" s="1901"/>
      <c r="H567" s="1901"/>
      <c r="I567" s="1901"/>
      <c r="J567" s="1647"/>
      <c r="K567" s="1901"/>
      <c r="L567" s="1901"/>
      <c r="M567" s="1955"/>
      <c r="N567" s="1956"/>
      <c r="O567" s="1955"/>
      <c r="P567" s="1955"/>
      <c r="Q567" s="1956"/>
      <c r="R567" s="493"/>
      <c r="S567" s="493"/>
      <c r="T567" s="493"/>
      <c r="U567" s="493"/>
      <c r="V567" s="298"/>
      <c r="W567" s="298"/>
      <c r="X567" s="298"/>
      <c r="Y567" s="298"/>
      <c r="Z567" s="298"/>
      <c r="AA567" s="298"/>
      <c r="AB567" s="298"/>
      <c r="AC567" s="298"/>
      <c r="AD567" s="298"/>
      <c r="AE567" s="298"/>
      <c r="AF567" s="298"/>
      <c r="AG567" s="298"/>
      <c r="AH567" s="298"/>
      <c r="AI567" s="298"/>
      <c r="AJ567" s="298"/>
      <c r="AK567" s="298"/>
      <c r="AL567" s="298"/>
      <c r="AM567" s="298"/>
    </row>
    <row r="568" spans="1:39" ht="15.75" customHeight="1">
      <c r="A568" s="298"/>
      <c r="B568" s="298"/>
      <c r="C568" s="1901"/>
      <c r="D568" s="1947"/>
      <c r="E568" s="1901"/>
      <c r="F568" s="1954"/>
      <c r="G568" s="1901"/>
      <c r="H568" s="1901"/>
      <c r="I568" s="1901"/>
      <c r="J568" s="1647"/>
      <c r="K568" s="1901"/>
      <c r="L568" s="1901"/>
      <c r="M568" s="1955"/>
      <c r="N568" s="1956"/>
      <c r="O568" s="1955"/>
      <c r="P568" s="1955"/>
      <c r="Q568" s="1956"/>
      <c r="R568" s="493"/>
      <c r="S568" s="493"/>
      <c r="T568" s="493"/>
      <c r="U568" s="493"/>
      <c r="V568" s="298"/>
      <c r="W568" s="298"/>
      <c r="X568" s="298"/>
      <c r="Y568" s="298"/>
      <c r="Z568" s="298"/>
      <c r="AA568" s="298"/>
      <c r="AB568" s="298"/>
      <c r="AC568" s="298"/>
      <c r="AD568" s="298"/>
      <c r="AE568" s="298"/>
      <c r="AF568" s="298"/>
      <c r="AG568" s="298"/>
      <c r="AH568" s="298"/>
      <c r="AI568" s="298"/>
      <c r="AJ568" s="298"/>
      <c r="AK568" s="298"/>
      <c r="AL568" s="298"/>
      <c r="AM568" s="298"/>
    </row>
    <row r="569" spans="1:39" ht="15.75" customHeight="1">
      <c r="A569" s="298"/>
      <c r="B569" s="298"/>
      <c r="C569" s="1901"/>
      <c r="D569" s="1947"/>
      <c r="E569" s="1901"/>
      <c r="F569" s="1954"/>
      <c r="G569" s="1901"/>
      <c r="H569" s="1901"/>
      <c r="I569" s="1901"/>
      <c r="J569" s="1647"/>
      <c r="K569" s="1901"/>
      <c r="L569" s="1901"/>
      <c r="M569" s="1955"/>
      <c r="N569" s="1956"/>
      <c r="O569" s="1955"/>
      <c r="P569" s="1955"/>
      <c r="Q569" s="1956"/>
      <c r="R569" s="493"/>
      <c r="S569" s="493"/>
      <c r="T569" s="493"/>
      <c r="U569" s="493"/>
      <c r="V569" s="298"/>
      <c r="W569" s="298"/>
      <c r="X569" s="298"/>
      <c r="Y569" s="298"/>
      <c r="Z569" s="298"/>
      <c r="AA569" s="298"/>
      <c r="AB569" s="298"/>
      <c r="AC569" s="298"/>
      <c r="AD569" s="298"/>
      <c r="AE569" s="298"/>
      <c r="AF569" s="298"/>
      <c r="AG569" s="298"/>
      <c r="AH569" s="298"/>
      <c r="AI569" s="298"/>
      <c r="AJ569" s="298"/>
      <c r="AK569" s="298"/>
      <c r="AL569" s="298"/>
      <c r="AM569" s="298"/>
    </row>
    <row r="570" spans="1:39" ht="15.75" customHeight="1">
      <c r="A570" s="298"/>
      <c r="B570" s="298"/>
      <c r="C570" s="1901"/>
      <c r="D570" s="1947"/>
      <c r="E570" s="1901"/>
      <c r="F570" s="1954"/>
      <c r="G570" s="1901"/>
      <c r="H570" s="1901"/>
      <c r="I570" s="1901"/>
      <c r="J570" s="1647"/>
      <c r="K570" s="1901"/>
      <c r="L570" s="1901"/>
      <c r="M570" s="1955"/>
      <c r="N570" s="1956"/>
      <c r="O570" s="1955"/>
      <c r="P570" s="1955"/>
      <c r="Q570" s="1956"/>
      <c r="R570" s="493"/>
      <c r="S570" s="493"/>
      <c r="T570" s="493"/>
      <c r="U570" s="493"/>
      <c r="V570" s="298"/>
      <c r="W570" s="298"/>
      <c r="X570" s="298"/>
      <c r="Y570" s="298"/>
      <c r="Z570" s="298"/>
      <c r="AA570" s="298"/>
      <c r="AB570" s="298"/>
      <c r="AC570" s="298"/>
      <c r="AD570" s="298"/>
      <c r="AE570" s="298"/>
      <c r="AF570" s="298"/>
      <c r="AG570" s="298"/>
      <c r="AH570" s="298"/>
      <c r="AI570" s="298"/>
      <c r="AJ570" s="298"/>
      <c r="AK570" s="298"/>
      <c r="AL570" s="298"/>
      <c r="AM570" s="298"/>
    </row>
    <row r="571" spans="1:39" ht="15.75" customHeight="1">
      <c r="A571" s="298"/>
      <c r="B571" s="298"/>
      <c r="C571" s="1901"/>
      <c r="D571" s="1947"/>
      <c r="E571" s="1901"/>
      <c r="F571" s="1954"/>
      <c r="G571" s="1901"/>
      <c r="H571" s="1901"/>
      <c r="I571" s="1901"/>
      <c r="J571" s="1647"/>
      <c r="K571" s="1901"/>
      <c r="L571" s="1901"/>
      <c r="M571" s="1955"/>
      <c r="N571" s="1956"/>
      <c r="O571" s="1955"/>
      <c r="P571" s="1955"/>
      <c r="Q571" s="1956"/>
      <c r="R571" s="493"/>
      <c r="S571" s="493"/>
      <c r="T571" s="493"/>
      <c r="U571" s="493"/>
      <c r="V571" s="298"/>
      <c r="W571" s="298"/>
      <c r="X571" s="298"/>
      <c r="Y571" s="298"/>
      <c r="Z571" s="298"/>
      <c r="AA571" s="298"/>
      <c r="AB571" s="298"/>
      <c r="AC571" s="298"/>
      <c r="AD571" s="298"/>
      <c r="AE571" s="298"/>
      <c r="AF571" s="298"/>
      <c r="AG571" s="298"/>
      <c r="AH571" s="298"/>
      <c r="AI571" s="298"/>
      <c r="AJ571" s="298"/>
      <c r="AK571" s="298"/>
      <c r="AL571" s="298"/>
      <c r="AM571" s="298"/>
    </row>
    <row r="572" spans="1:39" ht="15.75" customHeight="1">
      <c r="A572" s="298"/>
      <c r="B572" s="298"/>
      <c r="C572" s="1901"/>
      <c r="D572" s="1947"/>
      <c r="E572" s="1901"/>
      <c r="F572" s="1954"/>
      <c r="G572" s="1901"/>
      <c r="H572" s="1901"/>
      <c r="I572" s="1901"/>
      <c r="J572" s="1647"/>
      <c r="K572" s="1901"/>
      <c r="L572" s="1901"/>
      <c r="M572" s="1955"/>
      <c r="N572" s="1956"/>
      <c r="O572" s="1955"/>
      <c r="P572" s="1955"/>
      <c r="Q572" s="1956"/>
      <c r="R572" s="493"/>
      <c r="S572" s="493"/>
      <c r="T572" s="493"/>
      <c r="U572" s="493"/>
      <c r="V572" s="298"/>
      <c r="W572" s="298"/>
      <c r="X572" s="298"/>
      <c r="Y572" s="298"/>
      <c r="Z572" s="298"/>
      <c r="AA572" s="298"/>
      <c r="AB572" s="298"/>
      <c r="AC572" s="298"/>
      <c r="AD572" s="298"/>
      <c r="AE572" s="298"/>
      <c r="AF572" s="298"/>
      <c r="AG572" s="298"/>
      <c r="AH572" s="298"/>
      <c r="AI572" s="298"/>
      <c r="AJ572" s="298"/>
      <c r="AK572" s="298"/>
      <c r="AL572" s="298"/>
      <c r="AM572" s="298"/>
    </row>
    <row r="573" spans="1:39" ht="15.75" customHeight="1">
      <c r="A573" s="298"/>
      <c r="B573" s="298"/>
      <c r="C573" s="1901"/>
      <c r="D573" s="1947"/>
      <c r="E573" s="1901"/>
      <c r="F573" s="1954"/>
      <c r="G573" s="1901"/>
      <c r="H573" s="1901"/>
      <c r="I573" s="1901"/>
      <c r="J573" s="1647"/>
      <c r="K573" s="1901"/>
      <c r="L573" s="1901"/>
      <c r="M573" s="1955"/>
      <c r="N573" s="1956"/>
      <c r="O573" s="1955"/>
      <c r="P573" s="1955"/>
      <c r="Q573" s="1956"/>
      <c r="R573" s="493"/>
      <c r="S573" s="493"/>
      <c r="T573" s="493"/>
      <c r="U573" s="493"/>
      <c r="V573" s="298"/>
      <c r="W573" s="298"/>
      <c r="X573" s="298"/>
      <c r="Y573" s="298"/>
      <c r="Z573" s="298"/>
      <c r="AA573" s="298"/>
      <c r="AB573" s="298"/>
      <c r="AC573" s="298"/>
      <c r="AD573" s="298"/>
      <c r="AE573" s="298"/>
      <c r="AF573" s="298"/>
      <c r="AG573" s="298"/>
      <c r="AH573" s="298"/>
      <c r="AI573" s="298"/>
      <c r="AJ573" s="298"/>
      <c r="AK573" s="298"/>
      <c r="AL573" s="298"/>
      <c r="AM573" s="298"/>
    </row>
    <row r="574" spans="1:39" ht="15.75" customHeight="1">
      <c r="A574" s="298"/>
      <c r="B574" s="298"/>
      <c r="C574" s="1901"/>
      <c r="D574" s="1947"/>
      <c r="E574" s="1901"/>
      <c r="F574" s="1954"/>
      <c r="G574" s="1901"/>
      <c r="H574" s="1901"/>
      <c r="I574" s="1901"/>
      <c r="J574" s="1647"/>
      <c r="K574" s="1901"/>
      <c r="L574" s="1901"/>
      <c r="M574" s="1955"/>
      <c r="N574" s="1956"/>
      <c r="O574" s="1955"/>
      <c r="P574" s="1955"/>
      <c r="Q574" s="1956"/>
      <c r="R574" s="493"/>
      <c r="S574" s="493"/>
      <c r="T574" s="493"/>
      <c r="U574" s="493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298"/>
      <c r="AG574" s="298"/>
      <c r="AH574" s="298"/>
      <c r="AI574" s="298"/>
      <c r="AJ574" s="298"/>
      <c r="AK574" s="298"/>
      <c r="AL574" s="298"/>
      <c r="AM574" s="298"/>
    </row>
    <row r="575" spans="1:39" ht="15.75" customHeight="1">
      <c r="A575" s="298"/>
      <c r="B575" s="298"/>
      <c r="C575" s="1901"/>
      <c r="D575" s="1947"/>
      <c r="E575" s="1901"/>
      <c r="F575" s="1954"/>
      <c r="G575" s="1901"/>
      <c r="H575" s="1901"/>
      <c r="I575" s="1901"/>
      <c r="J575" s="1647"/>
      <c r="K575" s="1901"/>
      <c r="L575" s="1901"/>
      <c r="M575" s="1955"/>
      <c r="N575" s="1956"/>
      <c r="O575" s="1955"/>
      <c r="P575" s="1955"/>
      <c r="Q575" s="1956"/>
      <c r="R575" s="493"/>
      <c r="S575" s="493"/>
      <c r="T575" s="493"/>
      <c r="U575" s="493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298"/>
      <c r="AG575" s="298"/>
      <c r="AH575" s="298"/>
      <c r="AI575" s="298"/>
      <c r="AJ575" s="298"/>
      <c r="AK575" s="298"/>
      <c r="AL575" s="298"/>
      <c r="AM575" s="298"/>
    </row>
    <row r="576" spans="1:39" ht="15.75" customHeight="1">
      <c r="A576" s="298"/>
      <c r="B576" s="298"/>
      <c r="C576" s="1901"/>
      <c r="D576" s="1947"/>
      <c r="E576" s="1901"/>
      <c r="F576" s="1954"/>
      <c r="G576" s="1901"/>
      <c r="H576" s="1901"/>
      <c r="I576" s="1901"/>
      <c r="J576" s="1647"/>
      <c r="K576" s="1901"/>
      <c r="L576" s="1901"/>
      <c r="M576" s="1955"/>
      <c r="N576" s="1956"/>
      <c r="O576" s="1955"/>
      <c r="P576" s="1955"/>
      <c r="Q576" s="1956"/>
      <c r="R576" s="493"/>
      <c r="S576" s="493"/>
      <c r="T576" s="493"/>
      <c r="U576" s="493"/>
      <c r="V576" s="298"/>
      <c r="W576" s="298"/>
      <c r="X576" s="298"/>
      <c r="Y576" s="298"/>
      <c r="Z576" s="298"/>
      <c r="AA576" s="298"/>
      <c r="AB576" s="298"/>
      <c r="AC576" s="298"/>
      <c r="AD576" s="298"/>
      <c r="AE576" s="298"/>
      <c r="AF576" s="298"/>
      <c r="AG576" s="298"/>
      <c r="AH576" s="298"/>
      <c r="AI576" s="298"/>
      <c r="AJ576" s="298"/>
      <c r="AK576" s="298"/>
      <c r="AL576" s="298"/>
      <c r="AM576" s="298"/>
    </row>
    <row r="577" spans="1:39" ht="15.75" customHeight="1">
      <c r="A577" s="298"/>
      <c r="B577" s="298"/>
      <c r="C577" s="1901"/>
      <c r="D577" s="1947"/>
      <c r="E577" s="1901"/>
      <c r="F577" s="1954"/>
      <c r="G577" s="1901"/>
      <c r="H577" s="1901"/>
      <c r="I577" s="1901"/>
      <c r="J577" s="1647"/>
      <c r="K577" s="1901"/>
      <c r="L577" s="1901"/>
      <c r="M577" s="1955"/>
      <c r="N577" s="1956"/>
      <c r="O577" s="1955"/>
      <c r="P577" s="1955"/>
      <c r="Q577" s="1956"/>
      <c r="R577" s="493"/>
      <c r="S577" s="493"/>
      <c r="T577" s="493"/>
      <c r="U577" s="493"/>
      <c r="V577" s="298"/>
      <c r="W577" s="298"/>
      <c r="X577" s="298"/>
      <c r="Y577" s="298"/>
      <c r="Z577" s="298"/>
      <c r="AA577" s="298"/>
      <c r="AB577" s="298"/>
      <c r="AC577" s="298"/>
      <c r="AD577" s="298"/>
      <c r="AE577" s="298"/>
      <c r="AF577" s="298"/>
      <c r="AG577" s="298"/>
      <c r="AH577" s="298"/>
      <c r="AI577" s="298"/>
      <c r="AJ577" s="298"/>
      <c r="AK577" s="298"/>
      <c r="AL577" s="298"/>
      <c r="AM577" s="298"/>
    </row>
    <row r="578" spans="1:39" ht="15.75" customHeight="1">
      <c r="A578" s="298"/>
      <c r="B578" s="298"/>
      <c r="C578" s="1901"/>
      <c r="D578" s="1947"/>
      <c r="E578" s="1901"/>
      <c r="F578" s="1954"/>
      <c r="G578" s="1901"/>
      <c r="H578" s="1901"/>
      <c r="I578" s="1901"/>
      <c r="J578" s="1647"/>
      <c r="K578" s="1901"/>
      <c r="L578" s="1901"/>
      <c r="M578" s="1955"/>
      <c r="N578" s="1956"/>
      <c r="O578" s="1955"/>
      <c r="P578" s="1955"/>
      <c r="Q578" s="1956"/>
      <c r="R578" s="493"/>
      <c r="S578" s="493"/>
      <c r="T578" s="493"/>
      <c r="U578" s="493"/>
      <c r="V578" s="298"/>
      <c r="W578" s="298"/>
      <c r="X578" s="298"/>
      <c r="Y578" s="298"/>
      <c r="Z578" s="298"/>
      <c r="AA578" s="298"/>
      <c r="AB578" s="298"/>
      <c r="AC578" s="298"/>
      <c r="AD578" s="298"/>
      <c r="AE578" s="298"/>
      <c r="AF578" s="298"/>
      <c r="AG578" s="298"/>
      <c r="AH578" s="298"/>
      <c r="AI578" s="298"/>
      <c r="AJ578" s="298"/>
      <c r="AK578" s="298"/>
      <c r="AL578" s="298"/>
      <c r="AM578" s="298"/>
    </row>
    <row r="579" spans="1:39" ht="15.75" customHeight="1">
      <c r="A579" s="298"/>
      <c r="B579" s="298"/>
      <c r="C579" s="1901"/>
      <c r="D579" s="1947"/>
      <c r="E579" s="1901"/>
      <c r="F579" s="1954"/>
      <c r="G579" s="1901"/>
      <c r="H579" s="1901"/>
      <c r="I579" s="1901"/>
      <c r="J579" s="1647"/>
      <c r="K579" s="1901"/>
      <c r="L579" s="1901"/>
      <c r="M579" s="1955"/>
      <c r="N579" s="1956"/>
      <c r="O579" s="1955"/>
      <c r="P579" s="1955"/>
      <c r="Q579" s="1956"/>
      <c r="R579" s="493"/>
      <c r="S579" s="493"/>
      <c r="T579" s="493"/>
      <c r="U579" s="493"/>
      <c r="V579" s="298"/>
      <c r="W579" s="298"/>
      <c r="X579" s="298"/>
      <c r="Y579" s="298"/>
      <c r="Z579" s="298"/>
      <c r="AA579" s="298"/>
      <c r="AB579" s="298"/>
      <c r="AC579" s="298"/>
      <c r="AD579" s="298"/>
      <c r="AE579" s="298"/>
      <c r="AF579" s="298"/>
      <c r="AG579" s="298"/>
      <c r="AH579" s="298"/>
      <c r="AI579" s="298"/>
      <c r="AJ579" s="298"/>
      <c r="AK579" s="298"/>
      <c r="AL579" s="298"/>
      <c r="AM579" s="298"/>
    </row>
    <row r="580" spans="1:39" ht="15.75" customHeight="1">
      <c r="A580" s="298"/>
      <c r="B580" s="298"/>
      <c r="C580" s="1901"/>
      <c r="D580" s="1947"/>
      <c r="E580" s="1901"/>
      <c r="F580" s="1954"/>
      <c r="G580" s="1901"/>
      <c r="H580" s="1901"/>
      <c r="I580" s="1901"/>
      <c r="J580" s="1647"/>
      <c r="K580" s="1901"/>
      <c r="L580" s="1901"/>
      <c r="M580" s="1955"/>
      <c r="N580" s="1956"/>
      <c r="O580" s="1955"/>
      <c r="P580" s="1955"/>
      <c r="Q580" s="1956"/>
      <c r="R580" s="493"/>
      <c r="S580" s="493"/>
      <c r="T580" s="493"/>
      <c r="U580" s="493"/>
      <c r="V580" s="298"/>
      <c r="W580" s="298"/>
      <c r="X580" s="298"/>
      <c r="Y580" s="298"/>
      <c r="Z580" s="298"/>
      <c r="AA580" s="298"/>
      <c r="AB580" s="298"/>
      <c r="AC580" s="298"/>
      <c r="AD580" s="298"/>
      <c r="AE580" s="298"/>
      <c r="AF580" s="298"/>
      <c r="AG580" s="298"/>
      <c r="AH580" s="298"/>
      <c r="AI580" s="298"/>
      <c r="AJ580" s="298"/>
      <c r="AK580" s="298"/>
      <c r="AL580" s="298"/>
      <c r="AM580" s="298"/>
    </row>
    <row r="581" spans="1:39" ht="15.75" customHeight="1">
      <c r="A581" s="298"/>
      <c r="B581" s="298"/>
      <c r="C581" s="1901"/>
      <c r="D581" s="1947"/>
      <c r="E581" s="1901"/>
      <c r="F581" s="1954"/>
      <c r="G581" s="1901"/>
      <c r="H581" s="1901"/>
      <c r="I581" s="1901"/>
      <c r="J581" s="1647"/>
      <c r="K581" s="1901"/>
      <c r="L581" s="1901"/>
      <c r="M581" s="1955"/>
      <c r="N581" s="1956"/>
      <c r="O581" s="1955"/>
      <c r="P581" s="1955"/>
      <c r="Q581" s="1956"/>
      <c r="R581" s="493"/>
      <c r="S581" s="493"/>
      <c r="T581" s="493"/>
      <c r="U581" s="493"/>
      <c r="V581" s="298"/>
      <c r="W581" s="298"/>
      <c r="X581" s="298"/>
      <c r="Y581" s="298"/>
      <c r="Z581" s="298"/>
      <c r="AA581" s="298"/>
      <c r="AB581" s="298"/>
      <c r="AC581" s="298"/>
      <c r="AD581" s="298"/>
      <c r="AE581" s="298"/>
      <c r="AF581" s="298"/>
      <c r="AG581" s="298"/>
      <c r="AH581" s="298"/>
      <c r="AI581" s="298"/>
      <c r="AJ581" s="298"/>
      <c r="AK581" s="298"/>
      <c r="AL581" s="298"/>
      <c r="AM581" s="298"/>
    </row>
    <row r="582" spans="1:39" ht="15.75" customHeight="1">
      <c r="A582" s="298"/>
      <c r="B582" s="298"/>
      <c r="C582" s="1901"/>
      <c r="D582" s="1947"/>
      <c r="E582" s="1901"/>
      <c r="F582" s="1954"/>
      <c r="G582" s="1901"/>
      <c r="H582" s="1901"/>
      <c r="I582" s="1901"/>
      <c r="J582" s="1647"/>
      <c r="K582" s="1901"/>
      <c r="L582" s="1901"/>
      <c r="M582" s="1955"/>
      <c r="N582" s="1956"/>
      <c r="O582" s="1955"/>
      <c r="P582" s="1955"/>
      <c r="Q582" s="1956"/>
      <c r="R582" s="493"/>
      <c r="S582" s="493"/>
      <c r="T582" s="493"/>
      <c r="U582" s="493"/>
      <c r="V582" s="298"/>
      <c r="W582" s="298"/>
      <c r="X582" s="298"/>
      <c r="Y582" s="298"/>
      <c r="Z582" s="298"/>
      <c r="AA582" s="298"/>
      <c r="AB582" s="298"/>
      <c r="AC582" s="298"/>
      <c r="AD582" s="298"/>
      <c r="AE582" s="298"/>
      <c r="AF582" s="298"/>
      <c r="AG582" s="298"/>
      <c r="AH582" s="298"/>
      <c r="AI582" s="298"/>
      <c r="AJ582" s="298"/>
      <c r="AK582" s="298"/>
      <c r="AL582" s="298"/>
      <c r="AM582" s="298"/>
    </row>
    <row r="583" spans="1:39" ht="15.75" customHeight="1">
      <c r="A583" s="298"/>
      <c r="B583" s="298"/>
      <c r="C583" s="1901"/>
      <c r="D583" s="1947"/>
      <c r="E583" s="1901"/>
      <c r="F583" s="1954"/>
      <c r="G583" s="1901"/>
      <c r="H583" s="1901"/>
      <c r="I583" s="1901"/>
      <c r="J583" s="1647"/>
      <c r="K583" s="1901"/>
      <c r="L583" s="1901"/>
      <c r="M583" s="1955"/>
      <c r="N583" s="1956"/>
      <c r="O583" s="1955"/>
      <c r="P583" s="1955"/>
      <c r="Q583" s="1956"/>
      <c r="R583" s="493"/>
      <c r="S583" s="493"/>
      <c r="T583" s="493"/>
      <c r="U583" s="493"/>
      <c r="V583" s="298"/>
      <c r="W583" s="298"/>
      <c r="X583" s="298"/>
      <c r="Y583" s="298"/>
      <c r="Z583" s="298"/>
      <c r="AA583" s="298"/>
      <c r="AB583" s="298"/>
      <c r="AC583" s="298"/>
      <c r="AD583" s="298"/>
      <c r="AE583" s="298"/>
      <c r="AF583" s="298"/>
      <c r="AG583" s="298"/>
      <c r="AH583" s="298"/>
      <c r="AI583" s="298"/>
      <c r="AJ583" s="298"/>
      <c r="AK583" s="298"/>
      <c r="AL583" s="298"/>
      <c r="AM583" s="298"/>
    </row>
    <row r="584" spans="1:39" ht="15.75" customHeight="1">
      <c r="A584" s="298"/>
      <c r="B584" s="298"/>
      <c r="C584" s="1901"/>
      <c r="D584" s="1947"/>
      <c r="E584" s="1901"/>
      <c r="F584" s="1954"/>
      <c r="G584" s="1901"/>
      <c r="H584" s="1901"/>
      <c r="I584" s="1901"/>
      <c r="J584" s="1647"/>
      <c r="K584" s="1901"/>
      <c r="L584" s="1901"/>
      <c r="M584" s="1955"/>
      <c r="N584" s="1956"/>
      <c r="O584" s="1955"/>
      <c r="P584" s="1955"/>
      <c r="Q584" s="1956"/>
      <c r="R584" s="493"/>
      <c r="S584" s="493"/>
      <c r="T584" s="493"/>
      <c r="U584" s="493"/>
      <c r="V584" s="298"/>
      <c r="W584" s="298"/>
      <c r="X584" s="298"/>
      <c r="Y584" s="298"/>
      <c r="Z584" s="298"/>
      <c r="AA584" s="298"/>
      <c r="AB584" s="298"/>
      <c r="AC584" s="298"/>
      <c r="AD584" s="298"/>
      <c r="AE584" s="298"/>
      <c r="AF584" s="298"/>
      <c r="AG584" s="298"/>
      <c r="AH584" s="298"/>
      <c r="AI584" s="298"/>
      <c r="AJ584" s="298"/>
      <c r="AK584" s="298"/>
      <c r="AL584" s="298"/>
      <c r="AM584" s="298"/>
    </row>
    <row r="585" spans="1:39" ht="15.75" customHeight="1">
      <c r="A585" s="298"/>
      <c r="B585" s="298"/>
      <c r="C585" s="1901"/>
      <c r="D585" s="1947"/>
      <c r="E585" s="1901"/>
      <c r="F585" s="1954"/>
      <c r="G585" s="1901"/>
      <c r="H585" s="1901"/>
      <c r="I585" s="1901"/>
      <c r="J585" s="1647"/>
      <c r="K585" s="1901"/>
      <c r="L585" s="1901"/>
      <c r="M585" s="1955"/>
      <c r="N585" s="1956"/>
      <c r="O585" s="1955"/>
      <c r="P585" s="1955"/>
      <c r="Q585" s="1956"/>
      <c r="R585" s="493"/>
      <c r="S585" s="493"/>
      <c r="T585" s="493"/>
      <c r="U585" s="493"/>
      <c r="V585" s="298"/>
      <c r="W585" s="298"/>
      <c r="X585" s="298"/>
      <c r="Y585" s="298"/>
      <c r="Z585" s="298"/>
      <c r="AA585" s="298"/>
      <c r="AB585" s="298"/>
      <c r="AC585" s="298"/>
      <c r="AD585" s="298"/>
      <c r="AE585" s="298"/>
      <c r="AF585" s="298"/>
      <c r="AG585" s="298"/>
      <c r="AH585" s="298"/>
      <c r="AI585" s="298"/>
      <c r="AJ585" s="298"/>
      <c r="AK585" s="298"/>
      <c r="AL585" s="298"/>
      <c r="AM585" s="298"/>
    </row>
    <row r="586" spans="1:39" ht="15.75" customHeight="1">
      <c r="A586" s="298"/>
      <c r="B586" s="298"/>
      <c r="C586" s="1901"/>
      <c r="D586" s="1947"/>
      <c r="E586" s="1901"/>
      <c r="F586" s="1954"/>
      <c r="G586" s="1901"/>
      <c r="H586" s="1901"/>
      <c r="I586" s="1901"/>
      <c r="J586" s="1647"/>
      <c r="K586" s="1901"/>
      <c r="L586" s="1901"/>
      <c r="M586" s="1955"/>
      <c r="N586" s="1956"/>
      <c r="O586" s="1955"/>
      <c r="P586" s="1955"/>
      <c r="Q586" s="1956"/>
      <c r="R586" s="493"/>
      <c r="S586" s="493"/>
      <c r="T586" s="493"/>
      <c r="U586" s="493"/>
      <c r="V586" s="298"/>
      <c r="W586" s="298"/>
      <c r="X586" s="298"/>
      <c r="Y586" s="298"/>
      <c r="Z586" s="298"/>
      <c r="AA586" s="298"/>
      <c r="AB586" s="298"/>
      <c r="AC586" s="298"/>
      <c r="AD586" s="298"/>
      <c r="AE586" s="298"/>
      <c r="AF586" s="298"/>
      <c r="AG586" s="298"/>
      <c r="AH586" s="298"/>
      <c r="AI586" s="298"/>
      <c r="AJ586" s="298"/>
      <c r="AK586" s="298"/>
      <c r="AL586" s="298"/>
      <c r="AM586" s="298"/>
    </row>
    <row r="587" spans="1:39" ht="15.75" customHeight="1">
      <c r="A587" s="298"/>
      <c r="B587" s="298"/>
      <c r="C587" s="1901"/>
      <c r="D587" s="1947"/>
      <c r="E587" s="1901"/>
      <c r="F587" s="1954"/>
      <c r="G587" s="1901"/>
      <c r="H587" s="1901"/>
      <c r="I587" s="1901"/>
      <c r="J587" s="1647"/>
      <c r="K587" s="1901"/>
      <c r="L587" s="1901"/>
      <c r="M587" s="1955"/>
      <c r="N587" s="1956"/>
      <c r="O587" s="1955"/>
      <c r="P587" s="1955"/>
      <c r="Q587" s="1956"/>
      <c r="R587" s="493"/>
      <c r="S587" s="493"/>
      <c r="T587" s="493"/>
      <c r="U587" s="493"/>
      <c r="V587" s="298"/>
      <c r="W587" s="298"/>
      <c r="X587" s="298"/>
      <c r="Y587" s="298"/>
      <c r="Z587" s="298"/>
      <c r="AA587" s="298"/>
      <c r="AB587" s="298"/>
      <c r="AC587" s="298"/>
      <c r="AD587" s="298"/>
      <c r="AE587" s="298"/>
      <c r="AF587" s="298"/>
      <c r="AG587" s="298"/>
      <c r="AH587" s="298"/>
      <c r="AI587" s="298"/>
      <c r="AJ587" s="298"/>
      <c r="AK587" s="298"/>
      <c r="AL587" s="298"/>
      <c r="AM587" s="298"/>
    </row>
    <row r="588" spans="1:39" ht="15.75" customHeight="1">
      <c r="A588" s="298"/>
      <c r="B588" s="298"/>
      <c r="C588" s="1901"/>
      <c r="D588" s="1947"/>
      <c r="E588" s="1901"/>
      <c r="F588" s="1954"/>
      <c r="G588" s="1901"/>
      <c r="H588" s="1901"/>
      <c r="I588" s="1901"/>
      <c r="J588" s="1647"/>
      <c r="K588" s="1901"/>
      <c r="L588" s="1901"/>
      <c r="M588" s="1955"/>
      <c r="N588" s="1956"/>
      <c r="O588" s="1955"/>
      <c r="P588" s="1955"/>
      <c r="Q588" s="1956"/>
      <c r="R588" s="493"/>
      <c r="S588" s="493"/>
      <c r="T588" s="493"/>
      <c r="U588" s="493"/>
      <c r="V588" s="298"/>
      <c r="W588" s="298"/>
      <c r="X588" s="298"/>
      <c r="Y588" s="298"/>
      <c r="Z588" s="298"/>
      <c r="AA588" s="298"/>
      <c r="AB588" s="298"/>
      <c r="AC588" s="298"/>
      <c r="AD588" s="298"/>
      <c r="AE588" s="298"/>
      <c r="AF588" s="298"/>
      <c r="AG588" s="298"/>
      <c r="AH588" s="298"/>
      <c r="AI588" s="298"/>
      <c r="AJ588" s="298"/>
      <c r="AK588" s="298"/>
      <c r="AL588" s="298"/>
      <c r="AM588" s="298"/>
    </row>
    <row r="589" spans="1:39" ht="15.75" customHeight="1">
      <c r="A589" s="298"/>
      <c r="B589" s="298"/>
      <c r="C589" s="1901"/>
      <c r="D589" s="1947"/>
      <c r="E589" s="1901"/>
      <c r="F589" s="1954"/>
      <c r="G589" s="1901"/>
      <c r="H589" s="1901"/>
      <c r="I589" s="1901"/>
      <c r="J589" s="1647"/>
      <c r="K589" s="1901"/>
      <c r="L589" s="1901"/>
      <c r="M589" s="1955"/>
      <c r="N589" s="1956"/>
      <c r="O589" s="1955"/>
      <c r="P589" s="1955"/>
      <c r="Q589" s="1956"/>
      <c r="R589" s="493"/>
      <c r="S589" s="493"/>
      <c r="T589" s="493"/>
      <c r="U589" s="493"/>
      <c r="V589" s="298"/>
      <c r="W589" s="298"/>
      <c r="X589" s="298"/>
      <c r="Y589" s="298"/>
      <c r="Z589" s="298"/>
      <c r="AA589" s="298"/>
      <c r="AB589" s="298"/>
      <c r="AC589" s="298"/>
      <c r="AD589" s="298"/>
      <c r="AE589" s="298"/>
      <c r="AF589" s="298"/>
      <c r="AG589" s="298"/>
      <c r="AH589" s="298"/>
      <c r="AI589" s="298"/>
      <c r="AJ589" s="298"/>
      <c r="AK589" s="298"/>
      <c r="AL589" s="298"/>
      <c r="AM589" s="298"/>
    </row>
    <row r="590" spans="1:39" ht="15.75" customHeight="1">
      <c r="A590" s="298"/>
      <c r="B590" s="298"/>
      <c r="C590" s="1901"/>
      <c r="D590" s="1947"/>
      <c r="E590" s="1901"/>
      <c r="F590" s="1954"/>
      <c r="G590" s="1901"/>
      <c r="H590" s="1901"/>
      <c r="I590" s="1901"/>
      <c r="J590" s="1647"/>
      <c r="K590" s="1901"/>
      <c r="L590" s="1901"/>
      <c r="M590" s="1955"/>
      <c r="N590" s="1956"/>
      <c r="O590" s="1955"/>
      <c r="P590" s="1955"/>
      <c r="Q590" s="1956"/>
      <c r="R590" s="493"/>
      <c r="S590" s="493"/>
      <c r="T590" s="493"/>
      <c r="U590" s="493"/>
      <c r="V590" s="298"/>
      <c r="W590" s="298"/>
      <c r="X590" s="298"/>
      <c r="Y590" s="298"/>
      <c r="Z590" s="298"/>
      <c r="AA590" s="298"/>
      <c r="AB590" s="298"/>
      <c r="AC590" s="298"/>
      <c r="AD590" s="298"/>
      <c r="AE590" s="298"/>
      <c r="AF590" s="298"/>
      <c r="AG590" s="298"/>
      <c r="AH590" s="298"/>
      <c r="AI590" s="298"/>
      <c r="AJ590" s="298"/>
      <c r="AK590" s="298"/>
      <c r="AL590" s="298"/>
      <c r="AM590" s="298"/>
    </row>
    <row r="591" spans="1:39" ht="15.75" customHeight="1">
      <c r="A591" s="298"/>
      <c r="B591" s="298"/>
      <c r="C591" s="1901"/>
      <c r="D591" s="1947"/>
      <c r="E591" s="1901"/>
      <c r="F591" s="1954"/>
      <c r="G591" s="1901"/>
      <c r="H591" s="1901"/>
      <c r="I591" s="1901"/>
      <c r="J591" s="1647"/>
      <c r="K591" s="1901"/>
      <c r="L591" s="1901"/>
      <c r="M591" s="1955"/>
      <c r="N591" s="1956"/>
      <c r="O591" s="1955"/>
      <c r="P591" s="1955"/>
      <c r="Q591" s="1956"/>
      <c r="R591" s="493"/>
      <c r="S591" s="493"/>
      <c r="T591" s="493"/>
      <c r="U591" s="493"/>
      <c r="V591" s="298"/>
      <c r="W591" s="298"/>
      <c r="X591" s="298"/>
      <c r="Y591" s="298"/>
      <c r="Z591" s="298"/>
      <c r="AA591" s="298"/>
      <c r="AB591" s="298"/>
      <c r="AC591" s="298"/>
      <c r="AD591" s="298"/>
      <c r="AE591" s="298"/>
      <c r="AF591" s="298"/>
      <c r="AG591" s="298"/>
      <c r="AH591" s="298"/>
      <c r="AI591" s="298"/>
      <c r="AJ591" s="298"/>
      <c r="AK591" s="298"/>
      <c r="AL591" s="298"/>
      <c r="AM591" s="298"/>
    </row>
    <row r="592" spans="1:39" ht="15.75" customHeight="1">
      <c r="A592" s="298"/>
      <c r="B592" s="298"/>
      <c r="C592" s="1901"/>
      <c r="D592" s="1947"/>
      <c r="E592" s="1901"/>
      <c r="F592" s="1954"/>
      <c r="G592" s="1901"/>
      <c r="H592" s="1901"/>
      <c r="I592" s="1901"/>
      <c r="J592" s="1647"/>
      <c r="K592" s="1901"/>
      <c r="L592" s="1901"/>
      <c r="M592" s="1955"/>
      <c r="N592" s="1956"/>
      <c r="O592" s="1955"/>
      <c r="P592" s="1955"/>
      <c r="Q592" s="1956"/>
      <c r="R592" s="493"/>
      <c r="S592" s="493"/>
      <c r="T592" s="493"/>
      <c r="U592" s="493"/>
      <c r="V592" s="298"/>
      <c r="W592" s="298"/>
      <c r="X592" s="298"/>
      <c r="Y592" s="298"/>
      <c r="Z592" s="298"/>
      <c r="AA592" s="298"/>
      <c r="AB592" s="298"/>
      <c r="AC592" s="298"/>
      <c r="AD592" s="298"/>
      <c r="AE592" s="298"/>
      <c r="AF592" s="298"/>
      <c r="AG592" s="298"/>
      <c r="AH592" s="298"/>
      <c r="AI592" s="298"/>
      <c r="AJ592" s="298"/>
      <c r="AK592" s="298"/>
      <c r="AL592" s="298"/>
      <c r="AM592" s="298"/>
    </row>
    <row r="593" spans="1:39" ht="15.75" customHeight="1">
      <c r="A593" s="298"/>
      <c r="B593" s="298"/>
      <c r="C593" s="1901"/>
      <c r="D593" s="1947"/>
      <c r="E593" s="1901"/>
      <c r="F593" s="1954"/>
      <c r="G593" s="1901"/>
      <c r="H593" s="1901"/>
      <c r="I593" s="1901"/>
      <c r="J593" s="1647"/>
      <c r="K593" s="1901"/>
      <c r="L593" s="1901"/>
      <c r="M593" s="1955"/>
      <c r="N593" s="1956"/>
      <c r="O593" s="1955"/>
      <c r="P593" s="1955"/>
      <c r="Q593" s="1956"/>
      <c r="R593" s="493"/>
      <c r="S593" s="493"/>
      <c r="T593" s="493"/>
      <c r="U593" s="493"/>
      <c r="V593" s="298"/>
      <c r="W593" s="298"/>
      <c r="X593" s="298"/>
      <c r="Y593" s="298"/>
      <c r="Z593" s="298"/>
      <c r="AA593" s="298"/>
      <c r="AB593" s="298"/>
      <c r="AC593" s="298"/>
      <c r="AD593" s="298"/>
      <c r="AE593" s="298"/>
      <c r="AF593" s="298"/>
      <c r="AG593" s="298"/>
      <c r="AH593" s="298"/>
      <c r="AI593" s="298"/>
      <c r="AJ593" s="298"/>
      <c r="AK593" s="298"/>
      <c r="AL593" s="298"/>
      <c r="AM593" s="298"/>
    </row>
    <row r="594" spans="1:39" ht="15.75" customHeight="1">
      <c r="A594" s="298"/>
      <c r="B594" s="298"/>
      <c r="C594" s="1901"/>
      <c r="D594" s="1947"/>
      <c r="E594" s="1901"/>
      <c r="F594" s="1954"/>
      <c r="G594" s="1901"/>
      <c r="H594" s="1901"/>
      <c r="I594" s="1901"/>
      <c r="J594" s="1647"/>
      <c r="K594" s="1901"/>
      <c r="L594" s="1901"/>
      <c r="M594" s="1955"/>
      <c r="N594" s="1956"/>
      <c r="O594" s="1955"/>
      <c r="P594" s="1955"/>
      <c r="Q594" s="1956"/>
      <c r="R594" s="493"/>
      <c r="S594" s="493"/>
      <c r="T594" s="493"/>
      <c r="U594" s="493"/>
      <c r="V594" s="298"/>
      <c r="W594" s="298"/>
      <c r="X594" s="298"/>
      <c r="Y594" s="298"/>
      <c r="Z594" s="298"/>
      <c r="AA594" s="298"/>
      <c r="AB594" s="298"/>
      <c r="AC594" s="298"/>
      <c r="AD594" s="298"/>
      <c r="AE594" s="298"/>
      <c r="AF594" s="298"/>
      <c r="AG594" s="298"/>
      <c r="AH594" s="298"/>
      <c r="AI594" s="298"/>
      <c r="AJ594" s="298"/>
      <c r="AK594" s="298"/>
      <c r="AL594" s="298"/>
      <c r="AM594" s="298"/>
    </row>
    <row r="595" spans="1:39" ht="15.75" customHeight="1">
      <c r="A595" s="298"/>
      <c r="B595" s="298"/>
      <c r="C595" s="1901"/>
      <c r="D595" s="1947"/>
      <c r="E595" s="1901"/>
      <c r="F595" s="1954"/>
      <c r="G595" s="1901"/>
      <c r="H595" s="1901"/>
      <c r="I595" s="1901"/>
      <c r="J595" s="1647"/>
      <c r="K595" s="1901"/>
      <c r="L595" s="1901"/>
      <c r="M595" s="1955"/>
      <c r="N595" s="1956"/>
      <c r="O595" s="1955"/>
      <c r="P595" s="1955"/>
      <c r="Q595" s="1956"/>
      <c r="R595" s="493"/>
      <c r="S595" s="493"/>
      <c r="T595" s="493"/>
      <c r="U595" s="493"/>
      <c r="V595" s="298"/>
      <c r="W595" s="298"/>
      <c r="X595" s="298"/>
      <c r="Y595" s="298"/>
      <c r="Z595" s="298"/>
      <c r="AA595" s="298"/>
      <c r="AB595" s="298"/>
      <c r="AC595" s="298"/>
      <c r="AD595" s="298"/>
      <c r="AE595" s="298"/>
      <c r="AF595" s="298"/>
      <c r="AG595" s="298"/>
      <c r="AH595" s="298"/>
      <c r="AI595" s="298"/>
      <c r="AJ595" s="298"/>
      <c r="AK595" s="298"/>
      <c r="AL595" s="298"/>
      <c r="AM595" s="298"/>
    </row>
    <row r="596" spans="1:39" ht="15.75" customHeight="1">
      <c r="A596" s="298"/>
      <c r="B596" s="298"/>
      <c r="C596" s="1901"/>
      <c r="D596" s="1947"/>
      <c r="E596" s="1901"/>
      <c r="F596" s="1954"/>
      <c r="G596" s="1901"/>
      <c r="H596" s="1901"/>
      <c r="I596" s="1901"/>
      <c r="J596" s="1647"/>
      <c r="K596" s="1901"/>
      <c r="L596" s="1901"/>
      <c r="M596" s="1955"/>
      <c r="N596" s="1956"/>
      <c r="O596" s="1955"/>
      <c r="P596" s="1955"/>
      <c r="Q596" s="1956"/>
      <c r="R596" s="493"/>
      <c r="S596" s="493"/>
      <c r="T596" s="493"/>
      <c r="U596" s="493"/>
      <c r="V596" s="298"/>
      <c r="W596" s="298"/>
      <c r="X596" s="298"/>
      <c r="Y596" s="298"/>
      <c r="Z596" s="298"/>
      <c r="AA596" s="298"/>
      <c r="AB596" s="298"/>
      <c r="AC596" s="298"/>
      <c r="AD596" s="298"/>
      <c r="AE596" s="298"/>
      <c r="AF596" s="298"/>
      <c r="AG596" s="298"/>
      <c r="AH596" s="298"/>
      <c r="AI596" s="298"/>
      <c r="AJ596" s="298"/>
      <c r="AK596" s="298"/>
      <c r="AL596" s="298"/>
      <c r="AM596" s="298"/>
    </row>
    <row r="597" spans="1:39" ht="15.75" customHeight="1">
      <c r="A597" s="298"/>
      <c r="B597" s="298"/>
      <c r="C597" s="1901"/>
      <c r="D597" s="1947"/>
      <c r="E597" s="1901"/>
      <c r="F597" s="1954"/>
      <c r="G597" s="1901"/>
      <c r="H597" s="1901"/>
      <c r="I597" s="1901"/>
      <c r="J597" s="1647"/>
      <c r="K597" s="1901"/>
      <c r="L597" s="1901"/>
      <c r="M597" s="1955"/>
      <c r="N597" s="1956"/>
      <c r="O597" s="1955"/>
      <c r="P597" s="1955"/>
      <c r="Q597" s="1956"/>
      <c r="R597" s="493"/>
      <c r="S597" s="493"/>
      <c r="T597" s="493"/>
      <c r="U597" s="493"/>
      <c r="V597" s="298"/>
      <c r="W597" s="298"/>
      <c r="X597" s="298"/>
      <c r="Y597" s="298"/>
      <c r="Z597" s="298"/>
      <c r="AA597" s="298"/>
      <c r="AB597" s="298"/>
      <c r="AC597" s="298"/>
      <c r="AD597" s="298"/>
      <c r="AE597" s="298"/>
      <c r="AF597" s="298"/>
      <c r="AG597" s="298"/>
      <c r="AH597" s="298"/>
      <c r="AI597" s="298"/>
      <c r="AJ597" s="298"/>
      <c r="AK597" s="298"/>
      <c r="AL597" s="298"/>
      <c r="AM597" s="298"/>
    </row>
    <row r="598" spans="1:39" ht="15.75" customHeight="1">
      <c r="A598" s="298"/>
      <c r="B598" s="298"/>
      <c r="C598" s="1901"/>
      <c r="D598" s="1947"/>
      <c r="E598" s="1901"/>
      <c r="F598" s="1954"/>
      <c r="G598" s="1901"/>
      <c r="H598" s="1901"/>
      <c r="I598" s="1901"/>
      <c r="J598" s="1647"/>
      <c r="K598" s="1901"/>
      <c r="L598" s="1901"/>
      <c r="M598" s="1955"/>
      <c r="N598" s="1956"/>
      <c r="O598" s="1955"/>
      <c r="P598" s="1955"/>
      <c r="Q598" s="1956"/>
      <c r="R598" s="493"/>
      <c r="S598" s="493"/>
      <c r="T598" s="493"/>
      <c r="U598" s="493"/>
      <c r="V598" s="298"/>
      <c r="W598" s="298"/>
      <c r="X598" s="298"/>
      <c r="Y598" s="298"/>
      <c r="Z598" s="298"/>
      <c r="AA598" s="298"/>
      <c r="AB598" s="298"/>
      <c r="AC598" s="298"/>
      <c r="AD598" s="298"/>
      <c r="AE598" s="298"/>
      <c r="AF598" s="298"/>
      <c r="AG598" s="298"/>
      <c r="AH598" s="298"/>
      <c r="AI598" s="298"/>
      <c r="AJ598" s="298"/>
      <c r="AK598" s="298"/>
      <c r="AL598" s="298"/>
      <c r="AM598" s="298"/>
    </row>
    <row r="599" spans="1:39" ht="15.75" customHeight="1">
      <c r="A599" s="298"/>
      <c r="B599" s="298"/>
      <c r="C599" s="1901"/>
      <c r="D599" s="1947"/>
      <c r="E599" s="1901"/>
      <c r="F599" s="1954"/>
      <c r="G599" s="1901"/>
      <c r="H599" s="1901"/>
      <c r="I599" s="1901"/>
      <c r="J599" s="1647"/>
      <c r="K599" s="1901"/>
      <c r="L599" s="1901"/>
      <c r="M599" s="1955"/>
      <c r="N599" s="1956"/>
      <c r="O599" s="1955"/>
      <c r="P599" s="1955"/>
      <c r="Q599" s="1956"/>
      <c r="R599" s="493"/>
      <c r="S599" s="493"/>
      <c r="T599" s="493"/>
      <c r="U599" s="493"/>
      <c r="V599" s="298"/>
      <c r="W599" s="298"/>
      <c r="X599" s="298"/>
      <c r="Y599" s="298"/>
      <c r="Z599" s="298"/>
      <c r="AA599" s="298"/>
      <c r="AB599" s="298"/>
      <c r="AC599" s="298"/>
      <c r="AD599" s="298"/>
      <c r="AE599" s="298"/>
      <c r="AF599" s="298"/>
      <c r="AG599" s="298"/>
      <c r="AH599" s="298"/>
      <c r="AI599" s="298"/>
      <c r="AJ599" s="298"/>
      <c r="AK599" s="298"/>
      <c r="AL599" s="298"/>
      <c r="AM599" s="298"/>
    </row>
    <row r="600" spans="1:39" ht="15.75" customHeight="1">
      <c r="A600" s="298"/>
      <c r="B600" s="298"/>
      <c r="C600" s="1901"/>
      <c r="D600" s="1947"/>
      <c r="E600" s="1901"/>
      <c r="F600" s="1954"/>
      <c r="G600" s="1901"/>
      <c r="H600" s="1901"/>
      <c r="I600" s="1901"/>
      <c r="J600" s="1647"/>
      <c r="K600" s="1901"/>
      <c r="L600" s="1901"/>
      <c r="M600" s="1955"/>
      <c r="N600" s="1956"/>
      <c r="O600" s="1955"/>
      <c r="P600" s="1955"/>
      <c r="Q600" s="1956"/>
      <c r="R600" s="493"/>
      <c r="S600" s="493"/>
      <c r="T600" s="493"/>
      <c r="U600" s="493"/>
      <c r="V600" s="298"/>
      <c r="W600" s="298"/>
      <c r="X600" s="298"/>
      <c r="Y600" s="298"/>
      <c r="Z600" s="298"/>
      <c r="AA600" s="298"/>
      <c r="AB600" s="298"/>
      <c r="AC600" s="298"/>
      <c r="AD600" s="298"/>
      <c r="AE600" s="298"/>
      <c r="AF600" s="298"/>
      <c r="AG600" s="298"/>
      <c r="AH600" s="298"/>
      <c r="AI600" s="298"/>
      <c r="AJ600" s="298"/>
      <c r="AK600" s="298"/>
      <c r="AL600" s="298"/>
      <c r="AM600" s="298"/>
    </row>
    <row r="601" spans="1:39" ht="15.75" customHeight="1">
      <c r="A601" s="298"/>
      <c r="B601" s="298"/>
      <c r="C601" s="1901"/>
      <c r="D601" s="1947"/>
      <c r="E601" s="1901"/>
      <c r="F601" s="1954"/>
      <c r="G601" s="1901"/>
      <c r="H601" s="1901"/>
      <c r="I601" s="1901"/>
      <c r="J601" s="1647"/>
      <c r="K601" s="1901"/>
      <c r="L601" s="1901"/>
      <c r="M601" s="1955"/>
      <c r="N601" s="1956"/>
      <c r="O601" s="1955"/>
      <c r="P601" s="1955"/>
      <c r="Q601" s="1956"/>
      <c r="R601" s="493"/>
      <c r="S601" s="493"/>
      <c r="T601" s="493"/>
      <c r="U601" s="493"/>
      <c r="V601" s="298"/>
      <c r="W601" s="298"/>
      <c r="X601" s="298"/>
      <c r="Y601" s="298"/>
      <c r="Z601" s="298"/>
      <c r="AA601" s="298"/>
      <c r="AB601" s="298"/>
      <c r="AC601" s="298"/>
      <c r="AD601" s="298"/>
      <c r="AE601" s="298"/>
      <c r="AF601" s="298"/>
      <c r="AG601" s="298"/>
      <c r="AH601" s="298"/>
      <c r="AI601" s="298"/>
      <c r="AJ601" s="298"/>
      <c r="AK601" s="298"/>
      <c r="AL601" s="298"/>
      <c r="AM601" s="298"/>
    </row>
    <row r="602" spans="1:39" ht="15.75" customHeight="1">
      <c r="A602" s="298"/>
      <c r="B602" s="298"/>
      <c r="C602" s="1901"/>
      <c r="D602" s="1947"/>
      <c r="E602" s="1901"/>
      <c r="F602" s="1954"/>
      <c r="G602" s="1901"/>
      <c r="H602" s="1901"/>
      <c r="I602" s="1901"/>
      <c r="J602" s="1647"/>
      <c r="K602" s="1901"/>
      <c r="L602" s="1901"/>
      <c r="M602" s="1955"/>
      <c r="N602" s="1956"/>
      <c r="O602" s="1955"/>
      <c r="P602" s="1955"/>
      <c r="Q602" s="1956"/>
      <c r="R602" s="493"/>
      <c r="S602" s="493"/>
      <c r="T602" s="493"/>
      <c r="U602" s="493"/>
      <c r="V602" s="298"/>
      <c r="W602" s="298"/>
      <c r="X602" s="298"/>
      <c r="Y602" s="298"/>
      <c r="Z602" s="298"/>
      <c r="AA602" s="298"/>
      <c r="AB602" s="298"/>
      <c r="AC602" s="298"/>
      <c r="AD602" s="298"/>
      <c r="AE602" s="298"/>
      <c r="AF602" s="298"/>
      <c r="AG602" s="298"/>
      <c r="AH602" s="298"/>
      <c r="AI602" s="298"/>
      <c r="AJ602" s="298"/>
      <c r="AK602" s="298"/>
      <c r="AL602" s="298"/>
      <c r="AM602" s="298"/>
    </row>
    <row r="603" spans="1:39" ht="15.75" customHeight="1">
      <c r="A603" s="298"/>
      <c r="B603" s="298"/>
      <c r="C603" s="1901"/>
      <c r="D603" s="1947"/>
      <c r="E603" s="1901"/>
      <c r="F603" s="1954"/>
      <c r="G603" s="1901"/>
      <c r="H603" s="1901"/>
      <c r="I603" s="1901"/>
      <c r="J603" s="1647"/>
      <c r="K603" s="1901"/>
      <c r="L603" s="1901"/>
      <c r="M603" s="1955"/>
      <c r="N603" s="1956"/>
      <c r="O603" s="1955"/>
      <c r="P603" s="1955"/>
      <c r="Q603" s="1956"/>
      <c r="R603" s="493"/>
      <c r="S603" s="493"/>
      <c r="T603" s="493"/>
      <c r="U603" s="493"/>
      <c r="V603" s="298"/>
      <c r="W603" s="298"/>
      <c r="X603" s="298"/>
      <c r="Y603" s="298"/>
      <c r="Z603" s="298"/>
      <c r="AA603" s="298"/>
      <c r="AB603" s="298"/>
      <c r="AC603" s="298"/>
      <c r="AD603" s="298"/>
      <c r="AE603" s="298"/>
      <c r="AF603" s="298"/>
      <c r="AG603" s="298"/>
      <c r="AH603" s="298"/>
      <c r="AI603" s="298"/>
      <c r="AJ603" s="298"/>
      <c r="AK603" s="298"/>
      <c r="AL603" s="298"/>
      <c r="AM603" s="298"/>
    </row>
    <row r="604" spans="1:39" ht="15.75" customHeight="1">
      <c r="A604" s="298"/>
      <c r="B604" s="298"/>
      <c r="C604" s="1901"/>
      <c r="D604" s="1947"/>
      <c r="E604" s="1901"/>
      <c r="F604" s="1954"/>
      <c r="G604" s="1901"/>
      <c r="H604" s="1901"/>
      <c r="I604" s="1901"/>
      <c r="J604" s="1647"/>
      <c r="K604" s="1901"/>
      <c r="L604" s="1901"/>
      <c r="M604" s="1955"/>
      <c r="N604" s="1956"/>
      <c r="O604" s="1955"/>
      <c r="P604" s="1955"/>
      <c r="Q604" s="1956"/>
      <c r="R604" s="493"/>
      <c r="S604" s="493"/>
      <c r="T604" s="493"/>
      <c r="U604" s="493"/>
      <c r="V604" s="298"/>
      <c r="W604" s="298"/>
      <c r="X604" s="298"/>
      <c r="Y604" s="298"/>
      <c r="Z604" s="298"/>
      <c r="AA604" s="298"/>
      <c r="AB604" s="298"/>
      <c r="AC604" s="298"/>
      <c r="AD604" s="298"/>
      <c r="AE604" s="298"/>
      <c r="AF604" s="298"/>
      <c r="AG604" s="298"/>
      <c r="AH604" s="298"/>
      <c r="AI604" s="298"/>
      <c r="AJ604" s="298"/>
      <c r="AK604" s="298"/>
      <c r="AL604" s="298"/>
      <c r="AM604" s="298"/>
    </row>
    <row r="605" spans="1:39" ht="15.75" customHeight="1">
      <c r="A605" s="298"/>
      <c r="B605" s="298"/>
      <c r="C605" s="1901"/>
      <c r="D605" s="1947"/>
      <c r="E605" s="1901"/>
      <c r="F605" s="1954"/>
      <c r="G605" s="1901"/>
      <c r="H605" s="1901"/>
      <c r="I605" s="1901"/>
      <c r="J605" s="1647"/>
      <c r="K605" s="1901"/>
      <c r="L605" s="1901"/>
      <c r="M605" s="1955"/>
      <c r="N605" s="1956"/>
      <c r="O605" s="1955"/>
      <c r="P605" s="1955"/>
      <c r="Q605" s="1956"/>
      <c r="R605" s="493"/>
      <c r="S605" s="493"/>
      <c r="T605" s="493"/>
      <c r="U605" s="493"/>
      <c r="V605" s="298"/>
      <c r="W605" s="298"/>
      <c r="X605" s="298"/>
      <c r="Y605" s="298"/>
      <c r="Z605" s="298"/>
      <c r="AA605" s="298"/>
      <c r="AB605" s="298"/>
      <c r="AC605" s="298"/>
      <c r="AD605" s="298"/>
      <c r="AE605" s="298"/>
      <c r="AF605" s="298"/>
      <c r="AG605" s="298"/>
      <c r="AH605" s="298"/>
      <c r="AI605" s="298"/>
      <c r="AJ605" s="298"/>
      <c r="AK605" s="298"/>
      <c r="AL605" s="298"/>
      <c r="AM605" s="298"/>
    </row>
    <row r="606" spans="1:39" ht="15.75" customHeight="1">
      <c r="A606" s="298"/>
      <c r="B606" s="298"/>
      <c r="C606" s="1901"/>
      <c r="D606" s="1947"/>
      <c r="E606" s="1901"/>
      <c r="F606" s="1954"/>
      <c r="G606" s="1901"/>
      <c r="H606" s="1901"/>
      <c r="I606" s="1901"/>
      <c r="J606" s="1647"/>
      <c r="K606" s="1901"/>
      <c r="L606" s="1901"/>
      <c r="M606" s="1955"/>
      <c r="N606" s="1956"/>
      <c r="O606" s="1955"/>
      <c r="P606" s="1955"/>
      <c r="Q606" s="1956"/>
      <c r="R606" s="493"/>
      <c r="S606" s="493"/>
      <c r="T606" s="493"/>
      <c r="U606" s="493"/>
      <c r="V606" s="298"/>
      <c r="W606" s="298"/>
      <c r="X606" s="298"/>
      <c r="Y606" s="298"/>
      <c r="Z606" s="298"/>
      <c r="AA606" s="298"/>
      <c r="AB606" s="298"/>
      <c r="AC606" s="298"/>
      <c r="AD606" s="298"/>
      <c r="AE606" s="298"/>
      <c r="AF606" s="298"/>
      <c r="AG606" s="298"/>
      <c r="AH606" s="298"/>
      <c r="AI606" s="298"/>
      <c r="AJ606" s="298"/>
      <c r="AK606" s="298"/>
      <c r="AL606" s="298"/>
      <c r="AM606" s="298"/>
    </row>
    <row r="607" spans="1:39" ht="15.75" customHeight="1">
      <c r="A607" s="298"/>
      <c r="B607" s="298"/>
      <c r="C607" s="1901"/>
      <c r="D607" s="1947"/>
      <c r="E607" s="1901"/>
      <c r="F607" s="1954"/>
      <c r="G607" s="1901"/>
      <c r="H607" s="1901"/>
      <c r="I607" s="1901"/>
      <c r="J607" s="1647"/>
      <c r="K607" s="1901"/>
      <c r="L607" s="1901"/>
      <c r="M607" s="1955"/>
      <c r="N607" s="1956"/>
      <c r="O607" s="1955"/>
      <c r="P607" s="1955"/>
      <c r="Q607" s="1956"/>
      <c r="R607" s="493"/>
      <c r="S607" s="493"/>
      <c r="T607" s="493"/>
      <c r="U607" s="493"/>
      <c r="V607" s="298"/>
      <c r="W607" s="298"/>
      <c r="X607" s="298"/>
      <c r="Y607" s="298"/>
      <c r="Z607" s="298"/>
      <c r="AA607" s="298"/>
      <c r="AB607" s="298"/>
      <c r="AC607" s="298"/>
      <c r="AD607" s="298"/>
      <c r="AE607" s="298"/>
      <c r="AF607" s="298"/>
      <c r="AG607" s="298"/>
      <c r="AH607" s="298"/>
      <c r="AI607" s="298"/>
      <c r="AJ607" s="298"/>
      <c r="AK607" s="298"/>
      <c r="AL607" s="298"/>
      <c r="AM607" s="298"/>
    </row>
    <row r="608" spans="1:39" ht="15.75" customHeight="1">
      <c r="A608" s="298"/>
      <c r="B608" s="298"/>
      <c r="C608" s="1901"/>
      <c r="D608" s="1947"/>
      <c r="E608" s="1901"/>
      <c r="F608" s="1954"/>
      <c r="G608" s="1901"/>
      <c r="H608" s="1901"/>
      <c r="I608" s="1901"/>
      <c r="J608" s="1647"/>
      <c r="K608" s="1901"/>
      <c r="L608" s="1901"/>
      <c r="M608" s="1955"/>
      <c r="N608" s="1956"/>
      <c r="O608" s="1955"/>
      <c r="P608" s="1955"/>
      <c r="Q608" s="1956"/>
      <c r="R608" s="493"/>
      <c r="S608" s="493"/>
      <c r="T608" s="493"/>
      <c r="U608" s="493"/>
      <c r="V608" s="298"/>
      <c r="W608" s="298"/>
      <c r="X608" s="298"/>
      <c r="Y608" s="298"/>
      <c r="Z608" s="298"/>
      <c r="AA608" s="298"/>
      <c r="AB608" s="298"/>
      <c r="AC608" s="298"/>
      <c r="AD608" s="298"/>
      <c r="AE608" s="298"/>
      <c r="AF608" s="298"/>
      <c r="AG608" s="298"/>
      <c r="AH608" s="298"/>
      <c r="AI608" s="298"/>
      <c r="AJ608" s="298"/>
      <c r="AK608" s="298"/>
      <c r="AL608" s="298"/>
      <c r="AM608" s="298"/>
    </row>
    <row r="609" spans="1:39" ht="15.75" customHeight="1">
      <c r="A609" s="298"/>
      <c r="B609" s="298"/>
      <c r="C609" s="1901"/>
      <c r="D609" s="1947"/>
      <c r="E609" s="1901"/>
      <c r="F609" s="1954"/>
      <c r="G609" s="1901"/>
      <c r="H609" s="1901"/>
      <c r="I609" s="1901"/>
      <c r="J609" s="1647"/>
      <c r="K609" s="1901"/>
      <c r="L609" s="1901"/>
      <c r="M609" s="1955"/>
      <c r="N609" s="1956"/>
      <c r="O609" s="1955"/>
      <c r="P609" s="1955"/>
      <c r="Q609" s="1956"/>
      <c r="R609" s="493"/>
      <c r="S609" s="493"/>
      <c r="T609" s="493"/>
      <c r="U609" s="493"/>
      <c r="V609" s="298"/>
      <c r="W609" s="298"/>
      <c r="X609" s="298"/>
      <c r="Y609" s="298"/>
      <c r="Z609" s="298"/>
      <c r="AA609" s="298"/>
      <c r="AB609" s="298"/>
      <c r="AC609" s="298"/>
      <c r="AD609" s="298"/>
      <c r="AE609" s="298"/>
      <c r="AF609" s="298"/>
      <c r="AG609" s="298"/>
      <c r="AH609" s="298"/>
      <c r="AI609" s="298"/>
      <c r="AJ609" s="298"/>
      <c r="AK609" s="298"/>
      <c r="AL609" s="298"/>
      <c r="AM609" s="298"/>
    </row>
    <row r="610" spans="1:39" ht="15.75" customHeight="1">
      <c r="A610" s="298"/>
      <c r="B610" s="298"/>
      <c r="C610" s="1901"/>
      <c r="D610" s="1947"/>
      <c r="E610" s="1901"/>
      <c r="F610" s="1954"/>
      <c r="G610" s="1901"/>
      <c r="H610" s="1901"/>
      <c r="I610" s="1901"/>
      <c r="J610" s="1647"/>
      <c r="K610" s="1901"/>
      <c r="L610" s="1901"/>
      <c r="M610" s="1955"/>
      <c r="N610" s="1956"/>
      <c r="O610" s="1955"/>
      <c r="P610" s="1955"/>
      <c r="Q610" s="1956"/>
      <c r="R610" s="493"/>
      <c r="S610" s="493"/>
      <c r="T610" s="493"/>
      <c r="U610" s="493"/>
      <c r="V610" s="298"/>
      <c r="W610" s="298"/>
      <c r="X610" s="298"/>
      <c r="Y610" s="298"/>
      <c r="Z610" s="298"/>
      <c r="AA610" s="298"/>
      <c r="AB610" s="298"/>
      <c r="AC610" s="298"/>
      <c r="AD610" s="298"/>
      <c r="AE610" s="298"/>
      <c r="AF610" s="298"/>
      <c r="AG610" s="298"/>
      <c r="AH610" s="298"/>
      <c r="AI610" s="298"/>
      <c r="AJ610" s="298"/>
      <c r="AK610" s="298"/>
      <c r="AL610" s="298"/>
      <c r="AM610" s="298"/>
    </row>
    <row r="611" spans="1:39" ht="15.75" customHeight="1">
      <c r="A611" s="298"/>
      <c r="B611" s="298"/>
      <c r="C611" s="1901"/>
      <c r="D611" s="1947"/>
      <c r="E611" s="1901"/>
      <c r="F611" s="1954"/>
      <c r="G611" s="1901"/>
      <c r="H611" s="1901"/>
      <c r="I611" s="1901"/>
      <c r="J611" s="1647"/>
      <c r="K611" s="1901"/>
      <c r="L611" s="1901"/>
      <c r="M611" s="1955"/>
      <c r="N611" s="1956"/>
      <c r="O611" s="1955"/>
      <c r="P611" s="1955"/>
      <c r="Q611" s="1956"/>
      <c r="R611" s="493"/>
      <c r="S611" s="493"/>
      <c r="T611" s="493"/>
      <c r="U611" s="493"/>
      <c r="V611" s="298"/>
      <c r="W611" s="298"/>
      <c r="X611" s="298"/>
      <c r="Y611" s="298"/>
      <c r="Z611" s="298"/>
      <c r="AA611" s="298"/>
      <c r="AB611" s="298"/>
      <c r="AC611" s="298"/>
      <c r="AD611" s="298"/>
      <c r="AE611" s="298"/>
      <c r="AF611" s="298"/>
      <c r="AG611" s="298"/>
      <c r="AH611" s="298"/>
      <c r="AI611" s="298"/>
      <c r="AJ611" s="298"/>
      <c r="AK611" s="298"/>
      <c r="AL611" s="298"/>
      <c r="AM611" s="298"/>
    </row>
    <row r="612" spans="1:39" ht="15.75" customHeight="1">
      <c r="A612" s="298"/>
      <c r="B612" s="298"/>
      <c r="C612" s="1901"/>
      <c r="D612" s="1947"/>
      <c r="E612" s="1901"/>
      <c r="F612" s="1954"/>
      <c r="G612" s="1901"/>
      <c r="H612" s="1901"/>
      <c r="I612" s="1901"/>
      <c r="J612" s="1647"/>
      <c r="K612" s="1901"/>
      <c r="L612" s="1901"/>
      <c r="M612" s="1955"/>
      <c r="N612" s="1956"/>
      <c r="O612" s="1955"/>
      <c r="P612" s="1955"/>
      <c r="Q612" s="1956"/>
      <c r="R612" s="493"/>
      <c r="S612" s="493"/>
      <c r="T612" s="493"/>
      <c r="U612" s="493"/>
      <c r="V612" s="298"/>
      <c r="W612" s="298"/>
      <c r="X612" s="298"/>
      <c r="Y612" s="298"/>
      <c r="Z612" s="298"/>
      <c r="AA612" s="298"/>
      <c r="AB612" s="298"/>
      <c r="AC612" s="298"/>
      <c r="AD612" s="298"/>
      <c r="AE612" s="298"/>
      <c r="AF612" s="298"/>
      <c r="AG612" s="298"/>
      <c r="AH612" s="298"/>
      <c r="AI612" s="298"/>
      <c r="AJ612" s="298"/>
      <c r="AK612" s="298"/>
      <c r="AL612" s="298"/>
      <c r="AM612" s="298"/>
    </row>
    <row r="613" spans="1:39" ht="15.75" customHeight="1">
      <c r="A613" s="298"/>
      <c r="B613" s="298"/>
      <c r="C613" s="1901"/>
      <c r="D613" s="1947"/>
      <c r="E613" s="1901"/>
      <c r="F613" s="1954"/>
      <c r="G613" s="1901"/>
      <c r="H613" s="1901"/>
      <c r="I613" s="1901"/>
      <c r="J613" s="1647"/>
      <c r="K613" s="1901"/>
      <c r="L613" s="1901"/>
      <c r="M613" s="1955"/>
      <c r="N613" s="1956"/>
      <c r="O613" s="1955"/>
      <c r="P613" s="1955"/>
      <c r="Q613" s="1956"/>
      <c r="R613" s="493"/>
      <c r="S613" s="493"/>
      <c r="T613" s="493"/>
      <c r="U613" s="493"/>
      <c r="V613" s="298"/>
      <c r="W613" s="298"/>
      <c r="X613" s="298"/>
      <c r="Y613" s="298"/>
      <c r="Z613" s="298"/>
      <c r="AA613" s="298"/>
      <c r="AB613" s="298"/>
      <c r="AC613" s="298"/>
      <c r="AD613" s="298"/>
      <c r="AE613" s="298"/>
      <c r="AF613" s="298"/>
      <c r="AG613" s="298"/>
      <c r="AH613" s="298"/>
      <c r="AI613" s="298"/>
      <c r="AJ613" s="298"/>
      <c r="AK613" s="298"/>
      <c r="AL613" s="298"/>
      <c r="AM613" s="298"/>
    </row>
    <row r="614" spans="1:39" ht="15.75" customHeight="1">
      <c r="A614" s="298"/>
      <c r="B614" s="298"/>
      <c r="C614" s="1901"/>
      <c r="D614" s="1947"/>
      <c r="E614" s="1901"/>
      <c r="F614" s="1954"/>
      <c r="G614" s="1901"/>
      <c r="H614" s="1901"/>
      <c r="I614" s="1901"/>
      <c r="J614" s="1647"/>
      <c r="K614" s="1901"/>
      <c r="L614" s="1901"/>
      <c r="M614" s="1955"/>
      <c r="N614" s="1956"/>
      <c r="O614" s="1955"/>
      <c r="P614" s="1955"/>
      <c r="Q614" s="1956"/>
      <c r="R614" s="493"/>
      <c r="S614" s="493"/>
      <c r="T614" s="493"/>
      <c r="U614" s="493"/>
      <c r="V614" s="298"/>
      <c r="W614" s="298"/>
      <c r="X614" s="298"/>
      <c r="Y614" s="298"/>
      <c r="Z614" s="298"/>
      <c r="AA614" s="298"/>
      <c r="AB614" s="298"/>
      <c r="AC614" s="298"/>
      <c r="AD614" s="298"/>
      <c r="AE614" s="298"/>
      <c r="AF614" s="298"/>
      <c r="AG614" s="298"/>
      <c r="AH614" s="298"/>
      <c r="AI614" s="298"/>
      <c r="AJ614" s="298"/>
      <c r="AK614" s="298"/>
      <c r="AL614" s="298"/>
      <c r="AM614" s="298"/>
    </row>
    <row r="615" spans="1:39" ht="15.75" customHeight="1">
      <c r="A615" s="298"/>
      <c r="B615" s="298"/>
      <c r="C615" s="1901"/>
      <c r="D615" s="1947"/>
      <c r="E615" s="1901"/>
      <c r="F615" s="1954"/>
      <c r="G615" s="1901"/>
      <c r="H615" s="1901"/>
      <c r="I615" s="1901"/>
      <c r="J615" s="1647"/>
      <c r="K615" s="1901"/>
      <c r="L615" s="1901"/>
      <c r="M615" s="1955"/>
      <c r="N615" s="1956"/>
      <c r="O615" s="1955"/>
      <c r="P615" s="1955"/>
      <c r="Q615" s="1956"/>
      <c r="R615" s="493"/>
      <c r="S615" s="493"/>
      <c r="T615" s="493"/>
      <c r="U615" s="493"/>
      <c r="V615" s="298"/>
      <c r="W615" s="298"/>
      <c r="X615" s="298"/>
      <c r="Y615" s="298"/>
      <c r="Z615" s="298"/>
      <c r="AA615" s="298"/>
      <c r="AB615" s="298"/>
      <c r="AC615" s="298"/>
      <c r="AD615" s="298"/>
      <c r="AE615" s="298"/>
      <c r="AF615" s="298"/>
      <c r="AG615" s="298"/>
      <c r="AH615" s="298"/>
      <c r="AI615" s="298"/>
      <c r="AJ615" s="298"/>
      <c r="AK615" s="298"/>
      <c r="AL615" s="298"/>
      <c r="AM615" s="298"/>
    </row>
    <row r="616" spans="1:39" ht="15.75" customHeight="1">
      <c r="A616" s="298"/>
      <c r="B616" s="298"/>
      <c r="C616" s="1901"/>
      <c r="D616" s="1947"/>
      <c r="E616" s="1901"/>
      <c r="F616" s="1954"/>
      <c r="G616" s="1901"/>
      <c r="H616" s="1901"/>
      <c r="I616" s="1901"/>
      <c r="J616" s="1647"/>
      <c r="K616" s="1901"/>
      <c r="L616" s="1901"/>
      <c r="M616" s="1955"/>
      <c r="N616" s="1956"/>
      <c r="O616" s="1955"/>
      <c r="P616" s="1955"/>
      <c r="Q616" s="1956"/>
      <c r="R616" s="493"/>
      <c r="S616" s="493"/>
      <c r="T616" s="493"/>
      <c r="U616" s="493"/>
      <c r="V616" s="298"/>
      <c r="W616" s="298"/>
      <c r="X616" s="298"/>
      <c r="Y616" s="298"/>
      <c r="Z616" s="298"/>
      <c r="AA616" s="298"/>
      <c r="AB616" s="298"/>
      <c r="AC616" s="298"/>
      <c r="AD616" s="298"/>
      <c r="AE616" s="298"/>
      <c r="AF616" s="298"/>
      <c r="AG616" s="298"/>
      <c r="AH616" s="298"/>
      <c r="AI616" s="298"/>
      <c r="AJ616" s="298"/>
      <c r="AK616" s="298"/>
      <c r="AL616" s="298"/>
      <c r="AM616" s="298"/>
    </row>
    <row r="617" spans="1:39" ht="15.75" customHeight="1">
      <c r="A617" s="298"/>
      <c r="B617" s="298"/>
      <c r="C617" s="1901"/>
      <c r="D617" s="1947"/>
      <c r="E617" s="1901"/>
      <c r="F617" s="1954"/>
      <c r="G617" s="1901"/>
      <c r="H617" s="1901"/>
      <c r="I617" s="1901"/>
      <c r="J617" s="1647"/>
      <c r="K617" s="1901"/>
      <c r="L617" s="1901"/>
      <c r="M617" s="1955"/>
      <c r="N617" s="1956"/>
      <c r="O617" s="1955"/>
      <c r="P617" s="1955"/>
      <c r="Q617" s="1956"/>
      <c r="R617" s="493"/>
      <c r="S617" s="493"/>
      <c r="T617" s="493"/>
      <c r="U617" s="493"/>
      <c r="V617" s="298"/>
      <c r="W617" s="298"/>
      <c r="X617" s="298"/>
      <c r="Y617" s="298"/>
      <c r="Z617" s="298"/>
      <c r="AA617" s="298"/>
      <c r="AB617" s="298"/>
      <c r="AC617" s="298"/>
      <c r="AD617" s="298"/>
      <c r="AE617" s="298"/>
      <c r="AF617" s="298"/>
      <c r="AG617" s="298"/>
      <c r="AH617" s="298"/>
      <c r="AI617" s="298"/>
      <c r="AJ617" s="298"/>
      <c r="AK617" s="298"/>
      <c r="AL617" s="298"/>
      <c r="AM617" s="298"/>
    </row>
    <row r="618" spans="1:39" ht="15.75" customHeight="1">
      <c r="A618" s="298"/>
      <c r="B618" s="298"/>
      <c r="C618" s="1901"/>
      <c r="D618" s="1947"/>
      <c r="E618" s="1901"/>
      <c r="F618" s="1954"/>
      <c r="G618" s="1901"/>
      <c r="H618" s="1901"/>
      <c r="I618" s="1901"/>
      <c r="J618" s="1647"/>
      <c r="K618" s="1901"/>
      <c r="L618" s="1901"/>
      <c r="M618" s="1955"/>
      <c r="N618" s="1956"/>
      <c r="O618" s="1955"/>
      <c r="P618" s="1955"/>
      <c r="Q618" s="1956"/>
      <c r="R618" s="493"/>
      <c r="S618" s="493"/>
      <c r="T618" s="493"/>
      <c r="U618" s="493"/>
      <c r="V618" s="298"/>
      <c r="W618" s="298"/>
      <c r="X618" s="298"/>
      <c r="Y618" s="298"/>
      <c r="Z618" s="298"/>
      <c r="AA618" s="298"/>
      <c r="AB618" s="298"/>
      <c r="AC618" s="298"/>
      <c r="AD618" s="298"/>
      <c r="AE618" s="298"/>
      <c r="AF618" s="298"/>
      <c r="AG618" s="298"/>
      <c r="AH618" s="298"/>
      <c r="AI618" s="298"/>
      <c r="AJ618" s="298"/>
      <c r="AK618" s="298"/>
      <c r="AL618" s="298"/>
      <c r="AM618" s="298"/>
    </row>
    <row r="619" spans="1:39" ht="15.75" customHeight="1">
      <c r="A619" s="298"/>
      <c r="B619" s="298"/>
      <c r="C619" s="1901"/>
      <c r="D619" s="1947"/>
      <c r="E619" s="1901"/>
      <c r="F619" s="1954"/>
      <c r="G619" s="1901"/>
      <c r="H619" s="1901"/>
      <c r="I619" s="1901"/>
      <c r="J619" s="1647"/>
      <c r="K619" s="1901"/>
      <c r="L619" s="1901"/>
      <c r="M619" s="1955"/>
      <c r="N619" s="1956"/>
      <c r="O619" s="1955"/>
      <c r="P619" s="1955"/>
      <c r="Q619" s="1956"/>
      <c r="R619" s="493"/>
      <c r="S619" s="493"/>
      <c r="T619" s="493"/>
      <c r="U619" s="493"/>
      <c r="V619" s="298"/>
      <c r="W619" s="298"/>
      <c r="X619" s="298"/>
      <c r="Y619" s="298"/>
      <c r="Z619" s="298"/>
      <c r="AA619" s="298"/>
      <c r="AB619" s="298"/>
      <c r="AC619" s="298"/>
      <c r="AD619" s="298"/>
      <c r="AE619" s="298"/>
      <c r="AF619" s="298"/>
      <c r="AG619" s="298"/>
      <c r="AH619" s="298"/>
      <c r="AI619" s="298"/>
      <c r="AJ619" s="298"/>
      <c r="AK619" s="298"/>
      <c r="AL619" s="298"/>
      <c r="AM619" s="298"/>
    </row>
    <row r="620" spans="1:39" ht="15.75" customHeight="1">
      <c r="A620" s="298"/>
      <c r="B620" s="298"/>
      <c r="C620" s="1901"/>
      <c r="D620" s="1947"/>
      <c r="E620" s="1901"/>
      <c r="F620" s="1954"/>
      <c r="G620" s="1901"/>
      <c r="H620" s="1901"/>
      <c r="I620" s="1901"/>
      <c r="J620" s="1647"/>
      <c r="K620" s="1901"/>
      <c r="L620" s="1901"/>
      <c r="M620" s="1955"/>
      <c r="N620" s="1956"/>
      <c r="O620" s="1955"/>
      <c r="P620" s="1955"/>
      <c r="Q620" s="1956"/>
      <c r="R620" s="493"/>
      <c r="S620" s="493"/>
      <c r="T620" s="493"/>
      <c r="U620" s="493"/>
      <c r="V620" s="298"/>
      <c r="W620" s="298"/>
      <c r="X620" s="298"/>
      <c r="Y620" s="298"/>
      <c r="Z620" s="298"/>
      <c r="AA620" s="298"/>
      <c r="AB620" s="298"/>
      <c r="AC620" s="298"/>
      <c r="AD620" s="298"/>
      <c r="AE620" s="298"/>
      <c r="AF620" s="298"/>
      <c r="AG620" s="298"/>
      <c r="AH620" s="298"/>
      <c r="AI620" s="298"/>
      <c r="AJ620" s="298"/>
      <c r="AK620" s="298"/>
      <c r="AL620" s="298"/>
      <c r="AM620" s="298"/>
    </row>
    <row r="621" spans="1:39" ht="15.75" customHeight="1">
      <c r="A621" s="298"/>
      <c r="B621" s="298"/>
      <c r="C621" s="1901"/>
      <c r="D621" s="1947"/>
      <c r="E621" s="1901"/>
      <c r="F621" s="1954"/>
      <c r="G621" s="1901"/>
      <c r="H621" s="1901"/>
      <c r="I621" s="1901"/>
      <c r="J621" s="1647"/>
      <c r="K621" s="1901"/>
      <c r="L621" s="1901"/>
      <c r="M621" s="1955"/>
      <c r="N621" s="1956"/>
      <c r="O621" s="1955"/>
      <c r="P621" s="1955"/>
      <c r="Q621" s="1956"/>
      <c r="R621" s="493"/>
      <c r="S621" s="493"/>
      <c r="T621" s="493"/>
      <c r="U621" s="493"/>
      <c r="V621" s="298"/>
      <c r="W621" s="298"/>
      <c r="X621" s="298"/>
      <c r="Y621" s="298"/>
      <c r="Z621" s="298"/>
      <c r="AA621" s="298"/>
      <c r="AB621" s="298"/>
      <c r="AC621" s="298"/>
      <c r="AD621" s="298"/>
      <c r="AE621" s="298"/>
      <c r="AF621" s="298"/>
      <c r="AG621" s="298"/>
      <c r="AH621" s="298"/>
      <c r="AI621" s="298"/>
      <c r="AJ621" s="298"/>
      <c r="AK621" s="298"/>
      <c r="AL621" s="298"/>
      <c r="AM621" s="298"/>
    </row>
    <row r="622" spans="1:39" ht="15.75" customHeight="1">
      <c r="A622" s="298"/>
      <c r="B622" s="298"/>
      <c r="C622" s="1901"/>
      <c r="D622" s="1947"/>
      <c r="E622" s="1901"/>
      <c r="F622" s="1954"/>
      <c r="G622" s="1901"/>
      <c r="H622" s="1901"/>
      <c r="I622" s="1901"/>
      <c r="J622" s="1647"/>
      <c r="K622" s="1901"/>
      <c r="L622" s="1901"/>
      <c r="M622" s="1955"/>
      <c r="N622" s="1956"/>
      <c r="O622" s="1955"/>
      <c r="P622" s="1955"/>
      <c r="Q622" s="1956"/>
      <c r="R622" s="493"/>
      <c r="S622" s="493"/>
      <c r="T622" s="493"/>
      <c r="U622" s="493"/>
      <c r="V622" s="298"/>
      <c r="W622" s="298"/>
      <c r="X622" s="298"/>
      <c r="Y622" s="298"/>
      <c r="Z622" s="298"/>
      <c r="AA622" s="298"/>
      <c r="AB622" s="298"/>
      <c r="AC622" s="298"/>
      <c r="AD622" s="298"/>
      <c r="AE622" s="298"/>
      <c r="AF622" s="298"/>
      <c r="AG622" s="298"/>
      <c r="AH622" s="298"/>
      <c r="AI622" s="298"/>
      <c r="AJ622" s="298"/>
      <c r="AK622" s="298"/>
      <c r="AL622" s="298"/>
      <c r="AM622" s="298"/>
    </row>
    <row r="623" spans="1:39" ht="15.75" customHeight="1">
      <c r="A623" s="298"/>
      <c r="B623" s="298"/>
      <c r="C623" s="1901"/>
      <c r="D623" s="1947"/>
      <c r="E623" s="1901"/>
      <c r="F623" s="1954"/>
      <c r="G623" s="1901"/>
      <c r="H623" s="1901"/>
      <c r="I623" s="1901"/>
      <c r="J623" s="1647"/>
      <c r="K623" s="1901"/>
      <c r="L623" s="1901"/>
      <c r="M623" s="1955"/>
      <c r="N623" s="1956"/>
      <c r="O623" s="1955"/>
      <c r="P623" s="1955"/>
      <c r="Q623" s="1956"/>
      <c r="R623" s="493"/>
      <c r="S623" s="493"/>
      <c r="T623" s="493"/>
      <c r="U623" s="493"/>
      <c r="V623" s="298"/>
      <c r="W623" s="298"/>
      <c r="X623" s="298"/>
      <c r="Y623" s="298"/>
      <c r="Z623" s="298"/>
      <c r="AA623" s="298"/>
      <c r="AB623" s="298"/>
      <c r="AC623" s="298"/>
      <c r="AD623" s="298"/>
      <c r="AE623" s="298"/>
      <c r="AF623" s="298"/>
      <c r="AG623" s="298"/>
      <c r="AH623" s="298"/>
      <c r="AI623" s="298"/>
      <c r="AJ623" s="298"/>
      <c r="AK623" s="298"/>
      <c r="AL623" s="298"/>
      <c r="AM623" s="298"/>
    </row>
    <row r="624" spans="1:39" ht="15.75" customHeight="1">
      <c r="A624" s="298"/>
      <c r="B624" s="298"/>
      <c r="C624" s="1901"/>
      <c r="D624" s="1947"/>
      <c r="E624" s="1901"/>
      <c r="F624" s="1954"/>
      <c r="G624" s="1901"/>
      <c r="H624" s="1901"/>
      <c r="I624" s="1901"/>
      <c r="J624" s="1647"/>
      <c r="K624" s="1901"/>
      <c r="L624" s="1901"/>
      <c r="M624" s="1955"/>
      <c r="N624" s="1956"/>
      <c r="O624" s="1955"/>
      <c r="P624" s="1955"/>
      <c r="Q624" s="1956"/>
      <c r="R624" s="493"/>
      <c r="S624" s="493"/>
      <c r="T624" s="493"/>
      <c r="U624" s="493"/>
      <c r="V624" s="298"/>
      <c r="W624" s="298"/>
      <c r="X624" s="298"/>
      <c r="Y624" s="298"/>
      <c r="Z624" s="298"/>
      <c r="AA624" s="298"/>
      <c r="AB624" s="298"/>
      <c r="AC624" s="298"/>
      <c r="AD624" s="298"/>
      <c r="AE624" s="298"/>
      <c r="AF624" s="298"/>
      <c r="AG624" s="298"/>
      <c r="AH624" s="298"/>
      <c r="AI624" s="298"/>
      <c r="AJ624" s="298"/>
      <c r="AK624" s="298"/>
      <c r="AL624" s="298"/>
      <c r="AM624" s="298"/>
    </row>
    <row r="625" spans="1:39" ht="15.75" customHeight="1">
      <c r="A625" s="298"/>
      <c r="B625" s="298"/>
      <c r="C625" s="1901"/>
      <c r="D625" s="1947"/>
      <c r="E625" s="1901"/>
      <c r="F625" s="1954"/>
      <c r="G625" s="1901"/>
      <c r="H625" s="1901"/>
      <c r="I625" s="1901"/>
      <c r="J625" s="1647"/>
      <c r="K625" s="1901"/>
      <c r="L625" s="1901"/>
      <c r="M625" s="1955"/>
      <c r="N625" s="1956"/>
      <c r="O625" s="1955"/>
      <c r="P625" s="1955"/>
      <c r="Q625" s="1956"/>
      <c r="R625" s="493"/>
      <c r="S625" s="493"/>
      <c r="T625" s="493"/>
      <c r="U625" s="493"/>
      <c r="V625" s="298"/>
      <c r="W625" s="298"/>
      <c r="X625" s="298"/>
      <c r="Y625" s="298"/>
      <c r="Z625" s="298"/>
      <c r="AA625" s="298"/>
      <c r="AB625" s="298"/>
      <c r="AC625" s="298"/>
      <c r="AD625" s="298"/>
      <c r="AE625" s="298"/>
      <c r="AF625" s="298"/>
      <c r="AG625" s="298"/>
      <c r="AH625" s="298"/>
      <c r="AI625" s="298"/>
      <c r="AJ625" s="298"/>
      <c r="AK625" s="298"/>
      <c r="AL625" s="298"/>
      <c r="AM625" s="298"/>
    </row>
    <row r="626" spans="1:39" ht="15.75" customHeight="1">
      <c r="A626" s="298"/>
      <c r="B626" s="298"/>
      <c r="C626" s="1901"/>
      <c r="D626" s="1947"/>
      <c r="E626" s="1901"/>
      <c r="F626" s="1954"/>
      <c r="G626" s="1901"/>
      <c r="H626" s="1901"/>
      <c r="I626" s="1901"/>
      <c r="J626" s="1647"/>
      <c r="K626" s="1901"/>
      <c r="L626" s="1901"/>
      <c r="M626" s="1955"/>
      <c r="N626" s="1956"/>
      <c r="O626" s="1955"/>
      <c r="P626" s="1955"/>
      <c r="Q626" s="1956"/>
      <c r="R626" s="493"/>
      <c r="S626" s="493"/>
      <c r="T626" s="493"/>
      <c r="U626" s="493"/>
      <c r="V626" s="298"/>
      <c r="W626" s="298"/>
      <c r="X626" s="298"/>
      <c r="Y626" s="298"/>
      <c r="Z626" s="298"/>
      <c r="AA626" s="298"/>
      <c r="AB626" s="298"/>
      <c r="AC626" s="298"/>
      <c r="AD626" s="298"/>
      <c r="AE626" s="298"/>
      <c r="AF626" s="298"/>
      <c r="AG626" s="298"/>
      <c r="AH626" s="298"/>
      <c r="AI626" s="298"/>
      <c r="AJ626" s="298"/>
      <c r="AK626" s="298"/>
      <c r="AL626" s="298"/>
      <c r="AM626" s="298"/>
    </row>
    <row r="627" spans="1:39" ht="15.75" customHeight="1">
      <c r="A627" s="298"/>
      <c r="B627" s="298"/>
      <c r="C627" s="1901"/>
      <c r="D627" s="1947"/>
      <c r="E627" s="1901"/>
      <c r="F627" s="1954"/>
      <c r="G627" s="1901"/>
      <c r="H627" s="1901"/>
      <c r="I627" s="1901"/>
      <c r="J627" s="1647"/>
      <c r="K627" s="1901"/>
      <c r="L627" s="1901"/>
      <c r="M627" s="1955"/>
      <c r="N627" s="1956"/>
      <c r="O627" s="1955"/>
      <c r="P627" s="1955"/>
      <c r="Q627" s="1956"/>
      <c r="R627" s="493"/>
      <c r="S627" s="493"/>
      <c r="T627" s="493"/>
      <c r="U627" s="493"/>
      <c r="V627" s="298"/>
      <c r="W627" s="298"/>
      <c r="X627" s="298"/>
      <c r="Y627" s="298"/>
      <c r="Z627" s="298"/>
      <c r="AA627" s="298"/>
      <c r="AB627" s="298"/>
      <c r="AC627" s="298"/>
      <c r="AD627" s="298"/>
      <c r="AE627" s="298"/>
      <c r="AF627" s="298"/>
      <c r="AG627" s="298"/>
      <c r="AH627" s="298"/>
      <c r="AI627" s="298"/>
      <c r="AJ627" s="298"/>
      <c r="AK627" s="298"/>
      <c r="AL627" s="298"/>
      <c r="AM627" s="298"/>
    </row>
    <row r="628" spans="1:39" ht="15.75" customHeight="1">
      <c r="A628" s="298"/>
      <c r="B628" s="298"/>
      <c r="C628" s="1901"/>
      <c r="D628" s="1947"/>
      <c r="E628" s="1901"/>
      <c r="F628" s="1954"/>
      <c r="G628" s="1901"/>
      <c r="H628" s="1901"/>
      <c r="I628" s="1901"/>
      <c r="J628" s="1647"/>
      <c r="K628" s="1901"/>
      <c r="L628" s="1901"/>
      <c r="M628" s="1955"/>
      <c r="N628" s="1956"/>
      <c r="O628" s="1955"/>
      <c r="P628" s="1955"/>
      <c r="Q628" s="1956"/>
      <c r="R628" s="493"/>
      <c r="S628" s="493"/>
      <c r="T628" s="493"/>
      <c r="U628" s="493"/>
      <c r="V628" s="298"/>
      <c r="W628" s="298"/>
      <c r="X628" s="298"/>
      <c r="Y628" s="298"/>
      <c r="Z628" s="298"/>
      <c r="AA628" s="298"/>
      <c r="AB628" s="298"/>
      <c r="AC628" s="298"/>
      <c r="AD628" s="298"/>
      <c r="AE628" s="298"/>
      <c r="AF628" s="298"/>
      <c r="AG628" s="298"/>
      <c r="AH628" s="298"/>
      <c r="AI628" s="298"/>
      <c r="AJ628" s="298"/>
      <c r="AK628" s="298"/>
      <c r="AL628" s="298"/>
      <c r="AM628" s="298"/>
    </row>
    <row r="629" spans="1:39" ht="15.75" customHeight="1">
      <c r="A629" s="298"/>
      <c r="B629" s="298"/>
      <c r="C629" s="1901"/>
      <c r="D629" s="1947"/>
      <c r="E629" s="1901"/>
      <c r="F629" s="1954"/>
      <c r="G629" s="1901"/>
      <c r="H629" s="1901"/>
      <c r="I629" s="1901"/>
      <c r="J629" s="1647"/>
      <c r="K629" s="1901"/>
      <c r="L629" s="1901"/>
      <c r="M629" s="1955"/>
      <c r="N629" s="1956"/>
      <c r="O629" s="1955"/>
      <c r="P629" s="1955"/>
      <c r="Q629" s="1956"/>
      <c r="R629" s="493"/>
      <c r="S629" s="493"/>
      <c r="T629" s="493"/>
      <c r="U629" s="493"/>
      <c r="V629" s="298"/>
      <c r="W629" s="298"/>
      <c r="X629" s="298"/>
      <c r="Y629" s="298"/>
      <c r="Z629" s="298"/>
      <c r="AA629" s="298"/>
      <c r="AB629" s="298"/>
      <c r="AC629" s="298"/>
      <c r="AD629" s="298"/>
      <c r="AE629" s="298"/>
      <c r="AF629" s="298"/>
      <c r="AG629" s="298"/>
      <c r="AH629" s="298"/>
      <c r="AI629" s="298"/>
      <c r="AJ629" s="298"/>
      <c r="AK629" s="298"/>
      <c r="AL629" s="298"/>
      <c r="AM629" s="298"/>
    </row>
    <row r="630" spans="1:39" ht="15.75" customHeight="1">
      <c r="A630" s="298"/>
      <c r="B630" s="298"/>
      <c r="C630" s="1901"/>
      <c r="D630" s="1947"/>
      <c r="E630" s="1901"/>
      <c r="F630" s="1954"/>
      <c r="G630" s="1901"/>
      <c r="H630" s="1901"/>
      <c r="I630" s="1901"/>
      <c r="J630" s="1647"/>
      <c r="K630" s="1901"/>
      <c r="L630" s="1901"/>
      <c r="M630" s="1955"/>
      <c r="N630" s="1956"/>
      <c r="O630" s="1955"/>
      <c r="P630" s="1955"/>
      <c r="Q630" s="1956"/>
      <c r="R630" s="493"/>
      <c r="S630" s="493"/>
      <c r="T630" s="493"/>
      <c r="U630" s="493"/>
      <c r="V630" s="298"/>
      <c r="W630" s="298"/>
      <c r="X630" s="298"/>
      <c r="Y630" s="298"/>
      <c r="Z630" s="298"/>
      <c r="AA630" s="298"/>
      <c r="AB630" s="298"/>
      <c r="AC630" s="298"/>
      <c r="AD630" s="298"/>
      <c r="AE630" s="298"/>
      <c r="AF630" s="298"/>
      <c r="AG630" s="298"/>
      <c r="AH630" s="298"/>
      <c r="AI630" s="298"/>
      <c r="AJ630" s="298"/>
      <c r="AK630" s="298"/>
      <c r="AL630" s="298"/>
      <c r="AM630" s="298"/>
    </row>
    <row r="631" spans="1:39" ht="15.75" customHeight="1">
      <c r="A631" s="298"/>
      <c r="B631" s="298"/>
      <c r="C631" s="1901"/>
      <c r="D631" s="1947"/>
      <c r="E631" s="1901"/>
      <c r="F631" s="1954"/>
      <c r="G631" s="1901"/>
      <c r="H631" s="1901"/>
      <c r="I631" s="1901"/>
      <c r="J631" s="1647"/>
      <c r="K631" s="1901"/>
      <c r="L631" s="1901"/>
      <c r="M631" s="1955"/>
      <c r="N631" s="1956"/>
      <c r="O631" s="1955"/>
      <c r="P631" s="1955"/>
      <c r="Q631" s="1956"/>
      <c r="R631" s="493"/>
      <c r="S631" s="493"/>
      <c r="T631" s="493"/>
      <c r="U631" s="493"/>
      <c r="V631" s="298"/>
      <c r="W631" s="298"/>
      <c r="X631" s="298"/>
      <c r="Y631" s="298"/>
      <c r="Z631" s="298"/>
      <c r="AA631" s="298"/>
      <c r="AB631" s="298"/>
      <c r="AC631" s="298"/>
      <c r="AD631" s="298"/>
      <c r="AE631" s="298"/>
      <c r="AF631" s="298"/>
      <c r="AG631" s="298"/>
      <c r="AH631" s="298"/>
      <c r="AI631" s="298"/>
      <c r="AJ631" s="298"/>
      <c r="AK631" s="298"/>
      <c r="AL631" s="298"/>
      <c r="AM631" s="298"/>
    </row>
    <row r="632" spans="1:39" ht="15.75" customHeight="1">
      <c r="A632" s="298"/>
      <c r="B632" s="298"/>
      <c r="C632" s="1901"/>
      <c r="D632" s="1947"/>
      <c r="E632" s="1901"/>
      <c r="F632" s="1954"/>
      <c r="G632" s="1901"/>
      <c r="H632" s="1901"/>
      <c r="I632" s="1901"/>
      <c r="J632" s="1647"/>
      <c r="K632" s="1901"/>
      <c r="L632" s="1901"/>
      <c r="M632" s="1955"/>
      <c r="N632" s="1956"/>
      <c r="O632" s="1955"/>
      <c r="P632" s="1955"/>
      <c r="Q632" s="1956"/>
      <c r="R632" s="493"/>
      <c r="S632" s="493"/>
      <c r="T632" s="493"/>
      <c r="U632" s="493"/>
      <c r="V632" s="298"/>
      <c r="W632" s="298"/>
      <c r="X632" s="298"/>
      <c r="Y632" s="298"/>
      <c r="Z632" s="298"/>
      <c r="AA632" s="298"/>
      <c r="AB632" s="298"/>
      <c r="AC632" s="298"/>
      <c r="AD632" s="298"/>
      <c r="AE632" s="298"/>
      <c r="AF632" s="298"/>
      <c r="AG632" s="298"/>
      <c r="AH632" s="298"/>
      <c r="AI632" s="298"/>
      <c r="AJ632" s="298"/>
      <c r="AK632" s="298"/>
      <c r="AL632" s="298"/>
      <c r="AM632" s="298"/>
    </row>
    <row r="633" spans="1:39" ht="15.75" customHeight="1">
      <c r="A633" s="298"/>
      <c r="B633" s="298"/>
      <c r="C633" s="1901"/>
      <c r="D633" s="1947"/>
      <c r="E633" s="1901"/>
      <c r="F633" s="1954"/>
      <c r="G633" s="1901"/>
      <c r="H633" s="1901"/>
      <c r="I633" s="1901"/>
      <c r="J633" s="1647"/>
      <c r="K633" s="1901"/>
      <c r="L633" s="1901"/>
      <c r="M633" s="1955"/>
      <c r="N633" s="1956"/>
      <c r="O633" s="1955"/>
      <c r="P633" s="1955"/>
      <c r="Q633" s="1956"/>
      <c r="R633" s="493"/>
      <c r="S633" s="493"/>
      <c r="T633" s="493"/>
      <c r="U633" s="493"/>
      <c r="V633" s="298"/>
      <c r="W633" s="298"/>
      <c r="X633" s="298"/>
      <c r="Y633" s="298"/>
      <c r="Z633" s="298"/>
      <c r="AA633" s="298"/>
      <c r="AB633" s="298"/>
      <c r="AC633" s="298"/>
      <c r="AD633" s="298"/>
      <c r="AE633" s="298"/>
      <c r="AF633" s="298"/>
      <c r="AG633" s="298"/>
      <c r="AH633" s="298"/>
      <c r="AI633" s="298"/>
      <c r="AJ633" s="298"/>
      <c r="AK633" s="298"/>
      <c r="AL633" s="298"/>
      <c r="AM633" s="298"/>
    </row>
    <row r="634" spans="1:39" ht="15.75" customHeight="1">
      <c r="A634" s="298"/>
      <c r="B634" s="298"/>
      <c r="C634" s="1901"/>
      <c r="D634" s="1947"/>
      <c r="E634" s="1901"/>
      <c r="F634" s="1954"/>
      <c r="G634" s="1901"/>
      <c r="H634" s="1901"/>
      <c r="I634" s="1901"/>
      <c r="J634" s="1647"/>
      <c r="K634" s="1901"/>
      <c r="L634" s="1901"/>
      <c r="M634" s="1955"/>
      <c r="N634" s="1956"/>
      <c r="O634" s="1955"/>
      <c r="P634" s="1955"/>
      <c r="Q634" s="1956"/>
      <c r="R634" s="493"/>
      <c r="S634" s="493"/>
      <c r="T634" s="493"/>
      <c r="U634" s="493"/>
      <c r="V634" s="298"/>
      <c r="W634" s="298"/>
      <c r="X634" s="298"/>
      <c r="Y634" s="298"/>
      <c r="Z634" s="298"/>
      <c r="AA634" s="298"/>
      <c r="AB634" s="298"/>
      <c r="AC634" s="298"/>
      <c r="AD634" s="298"/>
      <c r="AE634" s="298"/>
      <c r="AF634" s="298"/>
      <c r="AG634" s="298"/>
      <c r="AH634" s="298"/>
      <c r="AI634" s="298"/>
      <c r="AJ634" s="298"/>
      <c r="AK634" s="298"/>
      <c r="AL634" s="298"/>
      <c r="AM634" s="298"/>
    </row>
    <row r="635" spans="1:39" ht="15.75" customHeight="1">
      <c r="A635" s="298"/>
      <c r="B635" s="298"/>
      <c r="C635" s="1901"/>
      <c r="D635" s="1947"/>
      <c r="E635" s="1901"/>
      <c r="F635" s="1954"/>
      <c r="G635" s="1901"/>
      <c r="H635" s="1901"/>
      <c r="I635" s="1901"/>
      <c r="J635" s="1647"/>
      <c r="K635" s="1901"/>
      <c r="L635" s="1901"/>
      <c r="M635" s="1955"/>
      <c r="N635" s="1956"/>
      <c r="O635" s="1955"/>
      <c r="P635" s="1955"/>
      <c r="Q635" s="1956"/>
      <c r="R635" s="493"/>
      <c r="S635" s="493"/>
      <c r="T635" s="493"/>
      <c r="U635" s="493"/>
      <c r="V635" s="298"/>
      <c r="W635" s="298"/>
      <c r="X635" s="298"/>
      <c r="Y635" s="298"/>
      <c r="Z635" s="298"/>
      <c r="AA635" s="298"/>
      <c r="AB635" s="298"/>
      <c r="AC635" s="298"/>
      <c r="AD635" s="298"/>
      <c r="AE635" s="298"/>
      <c r="AF635" s="298"/>
      <c r="AG635" s="298"/>
      <c r="AH635" s="298"/>
      <c r="AI635" s="298"/>
      <c r="AJ635" s="298"/>
      <c r="AK635" s="298"/>
      <c r="AL635" s="298"/>
      <c r="AM635" s="298"/>
    </row>
    <row r="636" spans="1:39" ht="15.75" customHeight="1">
      <c r="A636" s="298"/>
      <c r="B636" s="298"/>
      <c r="C636" s="1901"/>
      <c r="D636" s="1947"/>
      <c r="E636" s="1901"/>
      <c r="F636" s="1954"/>
      <c r="G636" s="1901"/>
      <c r="H636" s="1901"/>
      <c r="I636" s="1901"/>
      <c r="J636" s="1647"/>
      <c r="K636" s="1901"/>
      <c r="L636" s="1901"/>
      <c r="M636" s="1955"/>
      <c r="N636" s="1956"/>
      <c r="O636" s="1955"/>
      <c r="P636" s="1955"/>
      <c r="Q636" s="1956"/>
      <c r="R636" s="493"/>
      <c r="S636" s="493"/>
      <c r="T636" s="493"/>
      <c r="U636" s="493"/>
      <c r="V636" s="298"/>
      <c r="W636" s="298"/>
      <c r="X636" s="298"/>
      <c r="Y636" s="298"/>
      <c r="Z636" s="298"/>
      <c r="AA636" s="298"/>
      <c r="AB636" s="298"/>
      <c r="AC636" s="298"/>
      <c r="AD636" s="298"/>
      <c r="AE636" s="298"/>
      <c r="AF636" s="298"/>
      <c r="AG636" s="298"/>
      <c r="AH636" s="298"/>
      <c r="AI636" s="298"/>
      <c r="AJ636" s="298"/>
      <c r="AK636" s="298"/>
      <c r="AL636" s="298"/>
      <c r="AM636" s="298"/>
    </row>
    <row r="637" spans="1:39" ht="15.75" customHeight="1">
      <c r="A637" s="298"/>
      <c r="B637" s="298"/>
      <c r="C637" s="1901"/>
      <c r="D637" s="1947"/>
      <c r="E637" s="1901"/>
      <c r="F637" s="1954"/>
      <c r="G637" s="1901"/>
      <c r="H637" s="1901"/>
      <c r="I637" s="1901"/>
      <c r="J637" s="1647"/>
      <c r="K637" s="1901"/>
      <c r="L637" s="1901"/>
      <c r="M637" s="1955"/>
      <c r="N637" s="1956"/>
      <c r="O637" s="1955"/>
      <c r="P637" s="1955"/>
      <c r="Q637" s="1956"/>
      <c r="R637" s="493"/>
      <c r="S637" s="493"/>
      <c r="T637" s="493"/>
      <c r="U637" s="493"/>
      <c r="V637" s="298"/>
      <c r="W637" s="298"/>
      <c r="X637" s="298"/>
      <c r="Y637" s="298"/>
      <c r="Z637" s="298"/>
      <c r="AA637" s="298"/>
      <c r="AB637" s="298"/>
      <c r="AC637" s="298"/>
      <c r="AD637" s="298"/>
      <c r="AE637" s="298"/>
      <c r="AF637" s="298"/>
      <c r="AG637" s="298"/>
      <c r="AH637" s="298"/>
      <c r="AI637" s="298"/>
      <c r="AJ637" s="298"/>
      <c r="AK637" s="298"/>
      <c r="AL637" s="298"/>
      <c r="AM637" s="298"/>
    </row>
    <row r="638" spans="1:39" ht="15.75" customHeight="1">
      <c r="A638" s="298"/>
      <c r="B638" s="298"/>
      <c r="C638" s="1901"/>
      <c r="D638" s="1947"/>
      <c r="E638" s="1901"/>
      <c r="F638" s="1954"/>
      <c r="G638" s="1901"/>
      <c r="H638" s="1901"/>
      <c r="I638" s="1901"/>
      <c r="J638" s="1647"/>
      <c r="K638" s="1901"/>
      <c r="L638" s="1901"/>
      <c r="M638" s="1955"/>
      <c r="N638" s="1956"/>
      <c r="O638" s="1955"/>
      <c r="P638" s="1955"/>
      <c r="Q638" s="1956"/>
      <c r="R638" s="493"/>
      <c r="S638" s="493"/>
      <c r="T638" s="493"/>
      <c r="U638" s="493"/>
      <c r="V638" s="298"/>
      <c r="W638" s="298"/>
      <c r="X638" s="298"/>
      <c r="Y638" s="298"/>
      <c r="Z638" s="298"/>
      <c r="AA638" s="298"/>
      <c r="AB638" s="298"/>
      <c r="AC638" s="298"/>
      <c r="AD638" s="298"/>
      <c r="AE638" s="298"/>
      <c r="AF638" s="298"/>
      <c r="AG638" s="298"/>
      <c r="AH638" s="298"/>
      <c r="AI638" s="298"/>
      <c r="AJ638" s="298"/>
      <c r="AK638" s="298"/>
      <c r="AL638" s="298"/>
      <c r="AM638" s="298"/>
    </row>
    <row r="639" spans="1:39" ht="15.75" customHeight="1">
      <c r="A639" s="298"/>
      <c r="B639" s="298"/>
      <c r="C639" s="1901"/>
      <c r="D639" s="1947"/>
      <c r="E639" s="1901"/>
      <c r="F639" s="1954"/>
      <c r="G639" s="1901"/>
      <c r="H639" s="1901"/>
      <c r="I639" s="1901"/>
      <c r="J639" s="1647"/>
      <c r="K639" s="1901"/>
      <c r="L639" s="1901"/>
      <c r="M639" s="1955"/>
      <c r="N639" s="1956"/>
      <c r="O639" s="1955"/>
      <c r="P639" s="1955"/>
      <c r="Q639" s="1956"/>
      <c r="R639" s="493"/>
      <c r="S639" s="493"/>
      <c r="T639" s="493"/>
      <c r="U639" s="493"/>
      <c r="V639" s="298"/>
      <c r="W639" s="298"/>
      <c r="X639" s="298"/>
      <c r="Y639" s="298"/>
      <c r="Z639" s="298"/>
      <c r="AA639" s="298"/>
      <c r="AB639" s="298"/>
      <c r="AC639" s="298"/>
      <c r="AD639" s="298"/>
      <c r="AE639" s="298"/>
      <c r="AF639" s="298"/>
      <c r="AG639" s="298"/>
      <c r="AH639" s="298"/>
      <c r="AI639" s="298"/>
      <c r="AJ639" s="298"/>
      <c r="AK639" s="298"/>
      <c r="AL639" s="298"/>
      <c r="AM639" s="298"/>
    </row>
    <row r="640" spans="1:39" ht="15.75" customHeight="1">
      <c r="A640" s="298"/>
      <c r="B640" s="298"/>
      <c r="C640" s="1901"/>
      <c r="D640" s="1947"/>
      <c r="E640" s="1901"/>
      <c r="F640" s="1954"/>
      <c r="G640" s="1901"/>
      <c r="H640" s="1901"/>
      <c r="I640" s="1901"/>
      <c r="J640" s="1647"/>
      <c r="K640" s="1901"/>
      <c r="L640" s="1901"/>
      <c r="M640" s="1955"/>
      <c r="N640" s="1956"/>
      <c r="O640" s="1955"/>
      <c r="P640" s="1955"/>
      <c r="Q640" s="1956"/>
      <c r="R640" s="493"/>
      <c r="S640" s="493"/>
      <c r="T640" s="493"/>
      <c r="U640" s="493"/>
      <c r="V640" s="298"/>
      <c r="W640" s="298"/>
      <c r="X640" s="298"/>
      <c r="Y640" s="298"/>
      <c r="Z640" s="298"/>
      <c r="AA640" s="298"/>
      <c r="AB640" s="298"/>
      <c r="AC640" s="298"/>
      <c r="AD640" s="298"/>
      <c r="AE640" s="298"/>
      <c r="AF640" s="298"/>
      <c r="AG640" s="298"/>
      <c r="AH640" s="298"/>
      <c r="AI640" s="298"/>
      <c r="AJ640" s="298"/>
      <c r="AK640" s="298"/>
      <c r="AL640" s="298"/>
      <c r="AM640" s="298"/>
    </row>
    <row r="641" spans="1:39" ht="15.75" customHeight="1">
      <c r="A641" s="298"/>
      <c r="B641" s="298"/>
      <c r="C641" s="1901"/>
      <c r="D641" s="1947"/>
      <c r="E641" s="1901"/>
      <c r="F641" s="1954"/>
      <c r="G641" s="1901"/>
      <c r="H641" s="1901"/>
      <c r="I641" s="1901"/>
      <c r="J641" s="1647"/>
      <c r="K641" s="1901"/>
      <c r="L641" s="1901"/>
      <c r="M641" s="1955"/>
      <c r="N641" s="1956"/>
      <c r="O641" s="1955"/>
      <c r="P641" s="1955"/>
      <c r="Q641" s="1956"/>
      <c r="R641" s="493"/>
      <c r="S641" s="493"/>
      <c r="T641" s="493"/>
      <c r="U641" s="493"/>
      <c r="V641" s="298"/>
      <c r="W641" s="298"/>
      <c r="X641" s="298"/>
      <c r="Y641" s="298"/>
      <c r="Z641" s="298"/>
      <c r="AA641" s="298"/>
      <c r="AB641" s="298"/>
      <c r="AC641" s="298"/>
      <c r="AD641" s="298"/>
      <c r="AE641" s="298"/>
      <c r="AF641" s="298"/>
      <c r="AG641" s="298"/>
      <c r="AH641" s="298"/>
      <c r="AI641" s="298"/>
      <c r="AJ641" s="298"/>
      <c r="AK641" s="298"/>
      <c r="AL641" s="298"/>
      <c r="AM641" s="298"/>
    </row>
    <row r="642" spans="1:39" ht="15.75" customHeight="1">
      <c r="A642" s="298"/>
      <c r="B642" s="298"/>
      <c r="C642" s="1901"/>
      <c r="D642" s="1947"/>
      <c r="E642" s="1901"/>
      <c r="F642" s="1954"/>
      <c r="G642" s="1901"/>
      <c r="H642" s="1901"/>
      <c r="I642" s="1901"/>
      <c r="J642" s="1647"/>
      <c r="K642" s="1901"/>
      <c r="L642" s="1901"/>
      <c r="M642" s="1955"/>
      <c r="N642" s="1956"/>
      <c r="O642" s="1955"/>
      <c r="P642" s="1955"/>
      <c r="Q642" s="1956"/>
      <c r="R642" s="493"/>
      <c r="S642" s="493"/>
      <c r="T642" s="493"/>
      <c r="U642" s="493"/>
      <c r="V642" s="298"/>
      <c r="W642" s="298"/>
      <c r="X642" s="298"/>
      <c r="Y642" s="298"/>
      <c r="Z642" s="298"/>
      <c r="AA642" s="298"/>
      <c r="AB642" s="298"/>
      <c r="AC642" s="298"/>
      <c r="AD642" s="298"/>
      <c r="AE642" s="298"/>
      <c r="AF642" s="298"/>
      <c r="AG642" s="298"/>
      <c r="AH642" s="298"/>
      <c r="AI642" s="298"/>
      <c r="AJ642" s="298"/>
      <c r="AK642" s="298"/>
      <c r="AL642" s="298"/>
      <c r="AM642" s="298"/>
    </row>
    <row r="643" spans="1:39" ht="15.75" customHeight="1">
      <c r="A643" s="298"/>
      <c r="B643" s="298"/>
      <c r="C643" s="1901"/>
      <c r="D643" s="1947"/>
      <c r="E643" s="1901"/>
      <c r="F643" s="1954"/>
      <c r="G643" s="1901"/>
      <c r="H643" s="1901"/>
      <c r="I643" s="1901"/>
      <c r="J643" s="1647"/>
      <c r="K643" s="1901"/>
      <c r="L643" s="1901"/>
      <c r="M643" s="1955"/>
      <c r="N643" s="1956"/>
      <c r="O643" s="1955"/>
      <c r="P643" s="1955"/>
      <c r="Q643" s="1956"/>
      <c r="R643" s="493"/>
      <c r="S643" s="493"/>
      <c r="T643" s="493"/>
      <c r="U643" s="493"/>
      <c r="V643" s="298"/>
      <c r="W643" s="298"/>
      <c r="X643" s="298"/>
      <c r="Y643" s="298"/>
      <c r="Z643" s="298"/>
      <c r="AA643" s="298"/>
      <c r="AB643" s="298"/>
      <c r="AC643" s="298"/>
      <c r="AD643" s="298"/>
      <c r="AE643" s="298"/>
      <c r="AF643" s="298"/>
      <c r="AG643" s="298"/>
      <c r="AH643" s="298"/>
      <c r="AI643" s="298"/>
      <c r="AJ643" s="298"/>
      <c r="AK643" s="298"/>
      <c r="AL643" s="298"/>
      <c r="AM643" s="298"/>
    </row>
    <row r="644" spans="1:39" ht="15.75" customHeight="1">
      <c r="A644" s="298"/>
      <c r="B644" s="298"/>
      <c r="C644" s="1901"/>
      <c r="D644" s="1947"/>
      <c r="E644" s="1901"/>
      <c r="F644" s="1954"/>
      <c r="G644" s="1901"/>
      <c r="H644" s="1901"/>
      <c r="I644" s="1901"/>
      <c r="J644" s="1647"/>
      <c r="K644" s="1901"/>
      <c r="L644" s="1901"/>
      <c r="M644" s="1955"/>
      <c r="N644" s="1956"/>
      <c r="O644" s="1955"/>
      <c r="P644" s="1955"/>
      <c r="Q644" s="1956"/>
      <c r="R644" s="493"/>
      <c r="S644" s="493"/>
      <c r="T644" s="493"/>
      <c r="U644" s="493"/>
      <c r="V644" s="298"/>
      <c r="W644" s="298"/>
      <c r="X644" s="298"/>
      <c r="Y644" s="298"/>
      <c r="Z644" s="298"/>
      <c r="AA644" s="298"/>
      <c r="AB644" s="298"/>
      <c r="AC644" s="298"/>
      <c r="AD644" s="298"/>
      <c r="AE644" s="298"/>
      <c r="AF644" s="298"/>
      <c r="AG644" s="298"/>
      <c r="AH644" s="298"/>
      <c r="AI644" s="298"/>
      <c r="AJ644" s="298"/>
      <c r="AK644" s="298"/>
      <c r="AL644" s="298"/>
      <c r="AM644" s="298"/>
    </row>
    <row r="645" spans="1:39" ht="15.75" customHeight="1">
      <c r="A645" s="298"/>
      <c r="B645" s="298"/>
      <c r="C645" s="1901"/>
      <c r="D645" s="1947"/>
      <c r="E645" s="1901"/>
      <c r="F645" s="1954"/>
      <c r="G645" s="1901"/>
      <c r="H645" s="1901"/>
      <c r="I645" s="1901"/>
      <c r="J645" s="1647"/>
      <c r="K645" s="1901"/>
      <c r="L645" s="1901"/>
      <c r="M645" s="1955"/>
      <c r="N645" s="1956"/>
      <c r="O645" s="1955"/>
      <c r="P645" s="1955"/>
      <c r="Q645" s="1956"/>
      <c r="R645" s="493"/>
      <c r="S645" s="493"/>
      <c r="T645" s="493"/>
      <c r="U645" s="493"/>
      <c r="V645" s="298"/>
      <c r="W645" s="298"/>
      <c r="X645" s="298"/>
      <c r="Y645" s="298"/>
      <c r="Z645" s="298"/>
      <c r="AA645" s="298"/>
      <c r="AB645" s="298"/>
      <c r="AC645" s="298"/>
      <c r="AD645" s="298"/>
      <c r="AE645" s="298"/>
      <c r="AF645" s="298"/>
      <c r="AG645" s="298"/>
      <c r="AH645" s="298"/>
      <c r="AI645" s="298"/>
      <c r="AJ645" s="298"/>
      <c r="AK645" s="298"/>
      <c r="AL645" s="298"/>
      <c r="AM645" s="298"/>
    </row>
    <row r="646" spans="1:39" ht="15.75" customHeight="1">
      <c r="A646" s="298"/>
      <c r="B646" s="298"/>
      <c r="C646" s="1901"/>
      <c r="D646" s="1947"/>
      <c r="E646" s="1901"/>
      <c r="F646" s="1954"/>
      <c r="G646" s="1901"/>
      <c r="H646" s="1901"/>
      <c r="I646" s="1901"/>
      <c r="J646" s="1647"/>
      <c r="K646" s="1901"/>
      <c r="L646" s="1901"/>
      <c r="M646" s="1955"/>
      <c r="N646" s="1956"/>
      <c r="O646" s="1955"/>
      <c r="P646" s="1955"/>
      <c r="Q646" s="1956"/>
      <c r="R646" s="493"/>
      <c r="S646" s="493"/>
      <c r="T646" s="493"/>
      <c r="U646" s="493"/>
      <c r="V646" s="298"/>
      <c r="W646" s="298"/>
      <c r="X646" s="298"/>
      <c r="Y646" s="298"/>
      <c r="Z646" s="298"/>
      <c r="AA646" s="298"/>
      <c r="AB646" s="298"/>
      <c r="AC646" s="298"/>
      <c r="AD646" s="298"/>
      <c r="AE646" s="298"/>
      <c r="AF646" s="298"/>
      <c r="AG646" s="298"/>
      <c r="AH646" s="298"/>
      <c r="AI646" s="298"/>
      <c r="AJ646" s="298"/>
      <c r="AK646" s="298"/>
      <c r="AL646" s="298"/>
      <c r="AM646" s="298"/>
    </row>
    <row r="647" spans="1:39" ht="15.75" customHeight="1">
      <c r="A647" s="298"/>
      <c r="B647" s="298"/>
      <c r="C647" s="1901"/>
      <c r="D647" s="1947"/>
      <c r="E647" s="1901"/>
      <c r="F647" s="1954"/>
      <c r="G647" s="1901"/>
      <c r="H647" s="1901"/>
      <c r="I647" s="1901"/>
      <c r="J647" s="1647"/>
      <c r="K647" s="1901"/>
      <c r="L647" s="1901"/>
      <c r="M647" s="1955"/>
      <c r="N647" s="1956"/>
      <c r="O647" s="1955"/>
      <c r="P647" s="1955"/>
      <c r="Q647" s="1956"/>
      <c r="R647" s="493"/>
      <c r="S647" s="493"/>
      <c r="T647" s="493"/>
      <c r="U647" s="493"/>
      <c r="V647" s="298"/>
      <c r="W647" s="298"/>
      <c r="X647" s="298"/>
      <c r="Y647" s="298"/>
      <c r="Z647" s="298"/>
      <c r="AA647" s="298"/>
      <c r="AB647" s="298"/>
      <c r="AC647" s="298"/>
      <c r="AD647" s="298"/>
      <c r="AE647" s="298"/>
      <c r="AF647" s="298"/>
      <c r="AG647" s="298"/>
      <c r="AH647" s="298"/>
      <c r="AI647" s="298"/>
      <c r="AJ647" s="298"/>
      <c r="AK647" s="298"/>
      <c r="AL647" s="298"/>
      <c r="AM647" s="298"/>
    </row>
    <row r="648" spans="1:39" ht="15.75" customHeight="1">
      <c r="A648" s="298"/>
      <c r="B648" s="298"/>
      <c r="C648" s="1901"/>
      <c r="D648" s="1947"/>
      <c r="E648" s="1901"/>
      <c r="F648" s="1954"/>
      <c r="G648" s="1901"/>
      <c r="H648" s="1901"/>
      <c r="I648" s="1901"/>
      <c r="J648" s="1647"/>
      <c r="K648" s="1901"/>
      <c r="L648" s="1901"/>
      <c r="M648" s="1955"/>
      <c r="N648" s="1956"/>
      <c r="O648" s="1955"/>
      <c r="P648" s="1955"/>
      <c r="Q648" s="1956"/>
      <c r="R648" s="493"/>
      <c r="S648" s="493"/>
      <c r="T648" s="493"/>
      <c r="U648" s="493"/>
      <c r="V648" s="298"/>
      <c r="W648" s="298"/>
      <c r="X648" s="298"/>
      <c r="Y648" s="298"/>
      <c r="Z648" s="298"/>
      <c r="AA648" s="298"/>
      <c r="AB648" s="298"/>
      <c r="AC648" s="298"/>
      <c r="AD648" s="298"/>
      <c r="AE648" s="298"/>
      <c r="AF648" s="298"/>
      <c r="AG648" s="298"/>
      <c r="AH648" s="298"/>
      <c r="AI648" s="298"/>
      <c r="AJ648" s="298"/>
      <c r="AK648" s="298"/>
      <c r="AL648" s="298"/>
      <c r="AM648" s="298"/>
    </row>
    <row r="649" spans="1:39" ht="15.75" customHeight="1">
      <c r="A649" s="298"/>
      <c r="B649" s="298"/>
      <c r="C649" s="1901"/>
      <c r="D649" s="1947"/>
      <c r="E649" s="1901"/>
      <c r="F649" s="1954"/>
      <c r="G649" s="1901"/>
      <c r="H649" s="1901"/>
      <c r="I649" s="1901"/>
      <c r="J649" s="1647"/>
      <c r="K649" s="1901"/>
      <c r="L649" s="1901"/>
      <c r="M649" s="1955"/>
      <c r="N649" s="1956"/>
      <c r="O649" s="1955"/>
      <c r="P649" s="1955"/>
      <c r="Q649" s="1956"/>
      <c r="R649" s="493"/>
      <c r="S649" s="493"/>
      <c r="T649" s="493"/>
      <c r="U649" s="493"/>
      <c r="V649" s="298"/>
      <c r="W649" s="298"/>
      <c r="X649" s="298"/>
      <c r="Y649" s="298"/>
      <c r="Z649" s="298"/>
      <c r="AA649" s="298"/>
      <c r="AB649" s="298"/>
      <c r="AC649" s="298"/>
      <c r="AD649" s="298"/>
      <c r="AE649" s="298"/>
      <c r="AF649" s="298"/>
      <c r="AG649" s="298"/>
      <c r="AH649" s="298"/>
      <c r="AI649" s="298"/>
      <c r="AJ649" s="298"/>
      <c r="AK649" s="298"/>
      <c r="AL649" s="298"/>
      <c r="AM649" s="298"/>
    </row>
    <row r="650" spans="1:39" ht="15.75" customHeight="1">
      <c r="A650" s="298"/>
      <c r="B650" s="298"/>
      <c r="C650" s="1901"/>
      <c r="D650" s="1947"/>
      <c r="E650" s="1901"/>
      <c r="F650" s="1954"/>
      <c r="G650" s="1901"/>
      <c r="H650" s="1901"/>
      <c r="I650" s="1901"/>
      <c r="J650" s="1647"/>
      <c r="K650" s="1901"/>
      <c r="L650" s="1901"/>
      <c r="M650" s="1955"/>
      <c r="N650" s="1956"/>
      <c r="O650" s="1955"/>
      <c r="P650" s="1955"/>
      <c r="Q650" s="1956"/>
      <c r="R650" s="493"/>
      <c r="S650" s="493"/>
      <c r="T650" s="493"/>
      <c r="U650" s="493"/>
      <c r="V650" s="298"/>
      <c r="W650" s="298"/>
      <c r="X650" s="298"/>
      <c r="Y650" s="298"/>
      <c r="Z650" s="298"/>
      <c r="AA650" s="298"/>
      <c r="AB650" s="298"/>
      <c r="AC650" s="298"/>
      <c r="AD650" s="298"/>
      <c r="AE650" s="298"/>
      <c r="AF650" s="298"/>
      <c r="AG650" s="298"/>
      <c r="AH650" s="298"/>
      <c r="AI650" s="298"/>
      <c r="AJ650" s="298"/>
      <c r="AK650" s="298"/>
      <c r="AL650" s="298"/>
      <c r="AM650" s="298"/>
    </row>
    <row r="651" spans="1:39" ht="15.75" customHeight="1">
      <c r="A651" s="298"/>
      <c r="B651" s="298"/>
      <c r="C651" s="1901"/>
      <c r="D651" s="1947"/>
      <c r="E651" s="1901"/>
      <c r="F651" s="1954"/>
      <c r="G651" s="1901"/>
      <c r="H651" s="1901"/>
      <c r="I651" s="1901"/>
      <c r="J651" s="1647"/>
      <c r="K651" s="1901"/>
      <c r="L651" s="1901"/>
      <c r="M651" s="1955"/>
      <c r="N651" s="1956"/>
      <c r="O651" s="1955"/>
      <c r="P651" s="1955"/>
      <c r="Q651" s="1956"/>
      <c r="R651" s="493"/>
      <c r="S651" s="493"/>
      <c r="T651" s="493"/>
      <c r="U651" s="493"/>
      <c r="V651" s="298"/>
      <c r="W651" s="298"/>
      <c r="X651" s="298"/>
      <c r="Y651" s="298"/>
      <c r="Z651" s="298"/>
      <c r="AA651" s="298"/>
      <c r="AB651" s="298"/>
      <c r="AC651" s="298"/>
      <c r="AD651" s="298"/>
      <c r="AE651" s="298"/>
      <c r="AF651" s="298"/>
      <c r="AG651" s="298"/>
      <c r="AH651" s="298"/>
      <c r="AI651" s="298"/>
      <c r="AJ651" s="298"/>
      <c r="AK651" s="298"/>
      <c r="AL651" s="298"/>
      <c r="AM651" s="298"/>
    </row>
    <row r="652" spans="1:39" ht="15.75" customHeight="1">
      <c r="A652" s="298"/>
      <c r="B652" s="298"/>
      <c r="C652" s="1901"/>
      <c r="D652" s="1947"/>
      <c r="E652" s="1901"/>
      <c r="F652" s="1954"/>
      <c r="G652" s="1901"/>
      <c r="H652" s="1901"/>
      <c r="I652" s="1901"/>
      <c r="J652" s="1647"/>
      <c r="K652" s="1901"/>
      <c r="L652" s="1901"/>
      <c r="M652" s="1955"/>
      <c r="N652" s="1956"/>
      <c r="O652" s="1955"/>
      <c r="P652" s="1955"/>
      <c r="Q652" s="1956"/>
      <c r="R652" s="493"/>
      <c r="S652" s="493"/>
      <c r="T652" s="493"/>
      <c r="U652" s="493"/>
      <c r="V652" s="298"/>
      <c r="W652" s="298"/>
      <c r="X652" s="298"/>
      <c r="Y652" s="298"/>
      <c r="Z652" s="298"/>
      <c r="AA652" s="298"/>
      <c r="AB652" s="298"/>
      <c r="AC652" s="298"/>
      <c r="AD652" s="298"/>
      <c r="AE652" s="298"/>
      <c r="AF652" s="298"/>
      <c r="AG652" s="298"/>
      <c r="AH652" s="298"/>
      <c r="AI652" s="298"/>
      <c r="AJ652" s="298"/>
      <c r="AK652" s="298"/>
      <c r="AL652" s="298"/>
      <c r="AM652" s="298"/>
    </row>
    <row r="653" spans="1:39" ht="15.75" customHeight="1">
      <c r="A653" s="298"/>
      <c r="B653" s="298"/>
      <c r="C653" s="1901"/>
      <c r="D653" s="1947"/>
      <c r="E653" s="1901"/>
      <c r="F653" s="1954"/>
      <c r="G653" s="1901"/>
      <c r="H653" s="1901"/>
      <c r="I653" s="1901"/>
      <c r="J653" s="1647"/>
      <c r="K653" s="1901"/>
      <c r="L653" s="1901"/>
      <c r="M653" s="1955"/>
      <c r="N653" s="1956"/>
      <c r="O653" s="1955"/>
      <c r="P653" s="1955"/>
      <c r="Q653" s="1956"/>
      <c r="R653" s="493"/>
      <c r="S653" s="493"/>
      <c r="T653" s="493"/>
      <c r="U653" s="493"/>
      <c r="V653" s="298"/>
      <c r="W653" s="298"/>
      <c r="X653" s="298"/>
      <c r="Y653" s="298"/>
      <c r="Z653" s="298"/>
      <c r="AA653" s="298"/>
      <c r="AB653" s="298"/>
      <c r="AC653" s="298"/>
      <c r="AD653" s="298"/>
      <c r="AE653" s="298"/>
      <c r="AF653" s="298"/>
      <c r="AG653" s="298"/>
      <c r="AH653" s="298"/>
      <c r="AI653" s="298"/>
      <c r="AJ653" s="298"/>
      <c r="AK653" s="298"/>
      <c r="AL653" s="298"/>
      <c r="AM653" s="298"/>
    </row>
    <row r="654" spans="1:39" ht="15.75" customHeight="1">
      <c r="A654" s="298"/>
      <c r="B654" s="298"/>
      <c r="C654" s="1901"/>
      <c r="D654" s="1947"/>
      <c r="E654" s="1901"/>
      <c r="F654" s="1954"/>
      <c r="G654" s="1901"/>
      <c r="H654" s="1901"/>
      <c r="I654" s="1901"/>
      <c r="J654" s="1647"/>
      <c r="K654" s="1901"/>
      <c r="L654" s="1901"/>
      <c r="M654" s="1955"/>
      <c r="N654" s="1956"/>
      <c r="O654" s="1955"/>
      <c r="P654" s="1955"/>
      <c r="Q654" s="1956"/>
      <c r="R654" s="493"/>
      <c r="S654" s="493"/>
      <c r="T654" s="493"/>
      <c r="U654" s="493"/>
      <c r="V654" s="298"/>
      <c r="W654" s="298"/>
      <c r="X654" s="298"/>
      <c r="Y654" s="298"/>
      <c r="Z654" s="298"/>
      <c r="AA654" s="298"/>
      <c r="AB654" s="298"/>
      <c r="AC654" s="298"/>
      <c r="AD654" s="298"/>
      <c r="AE654" s="298"/>
      <c r="AF654" s="298"/>
      <c r="AG654" s="298"/>
      <c r="AH654" s="298"/>
      <c r="AI654" s="298"/>
      <c r="AJ654" s="298"/>
      <c r="AK654" s="298"/>
      <c r="AL654" s="298"/>
      <c r="AM654" s="298"/>
    </row>
    <row r="655" spans="1:39" ht="15.75" customHeight="1">
      <c r="A655" s="298"/>
      <c r="B655" s="298"/>
      <c r="C655" s="1901"/>
      <c r="D655" s="1947"/>
      <c r="E655" s="1901"/>
      <c r="F655" s="1954"/>
      <c r="G655" s="1901"/>
      <c r="H655" s="1901"/>
      <c r="I655" s="1901"/>
      <c r="J655" s="1647"/>
      <c r="K655" s="1901"/>
      <c r="L655" s="1901"/>
      <c r="M655" s="1955"/>
      <c r="N655" s="1956"/>
      <c r="O655" s="1955"/>
      <c r="P655" s="1955"/>
      <c r="Q655" s="1956"/>
      <c r="R655" s="493"/>
      <c r="S655" s="493"/>
      <c r="T655" s="493"/>
      <c r="U655" s="493"/>
      <c r="V655" s="298"/>
      <c r="W655" s="298"/>
      <c r="X655" s="298"/>
      <c r="Y655" s="298"/>
      <c r="Z655" s="298"/>
      <c r="AA655" s="298"/>
      <c r="AB655" s="298"/>
      <c r="AC655" s="298"/>
      <c r="AD655" s="298"/>
      <c r="AE655" s="298"/>
      <c r="AF655" s="298"/>
      <c r="AG655" s="298"/>
      <c r="AH655" s="298"/>
      <c r="AI655" s="298"/>
      <c r="AJ655" s="298"/>
      <c r="AK655" s="298"/>
      <c r="AL655" s="298"/>
      <c r="AM655" s="298"/>
    </row>
    <row r="656" spans="1:39" ht="15.75" customHeight="1">
      <c r="A656" s="298"/>
      <c r="B656" s="298"/>
      <c r="C656" s="1901"/>
      <c r="D656" s="1947"/>
      <c r="E656" s="1901"/>
      <c r="F656" s="1954"/>
      <c r="G656" s="1901"/>
      <c r="H656" s="1901"/>
      <c r="I656" s="1901"/>
      <c r="J656" s="1647"/>
      <c r="K656" s="1901"/>
      <c r="L656" s="1901"/>
      <c r="M656" s="1955"/>
      <c r="N656" s="1956"/>
      <c r="O656" s="1955"/>
      <c r="P656" s="1955"/>
      <c r="Q656" s="1956"/>
      <c r="R656" s="493"/>
      <c r="S656" s="493"/>
      <c r="T656" s="493"/>
      <c r="U656" s="493"/>
      <c r="V656" s="298"/>
      <c r="W656" s="298"/>
      <c r="X656" s="298"/>
      <c r="Y656" s="298"/>
      <c r="Z656" s="298"/>
      <c r="AA656" s="298"/>
      <c r="AB656" s="298"/>
      <c r="AC656" s="298"/>
      <c r="AD656" s="298"/>
      <c r="AE656" s="298"/>
      <c r="AF656" s="298"/>
      <c r="AG656" s="298"/>
      <c r="AH656" s="298"/>
      <c r="AI656" s="298"/>
      <c r="AJ656" s="298"/>
      <c r="AK656" s="298"/>
      <c r="AL656" s="298"/>
      <c r="AM656" s="298"/>
    </row>
    <row r="657" spans="1:39" ht="15.75" customHeight="1">
      <c r="A657" s="298"/>
      <c r="B657" s="298"/>
      <c r="C657" s="1901"/>
      <c r="D657" s="1947"/>
      <c r="E657" s="1901"/>
      <c r="F657" s="1954"/>
      <c r="G657" s="1901"/>
      <c r="H657" s="1901"/>
      <c r="I657" s="1901"/>
      <c r="J657" s="1647"/>
      <c r="K657" s="1901"/>
      <c r="L657" s="1901"/>
      <c r="M657" s="1955"/>
      <c r="N657" s="1956"/>
      <c r="O657" s="1955"/>
      <c r="P657" s="1955"/>
      <c r="Q657" s="1956"/>
      <c r="R657" s="493"/>
      <c r="S657" s="493"/>
      <c r="T657" s="493"/>
      <c r="U657" s="493"/>
      <c r="V657" s="298"/>
      <c r="W657" s="298"/>
      <c r="X657" s="298"/>
      <c r="Y657" s="298"/>
      <c r="Z657" s="298"/>
      <c r="AA657" s="298"/>
      <c r="AB657" s="298"/>
      <c r="AC657" s="298"/>
      <c r="AD657" s="298"/>
      <c r="AE657" s="298"/>
      <c r="AF657" s="298"/>
      <c r="AG657" s="298"/>
      <c r="AH657" s="298"/>
      <c r="AI657" s="298"/>
      <c r="AJ657" s="298"/>
      <c r="AK657" s="298"/>
      <c r="AL657" s="298"/>
      <c r="AM657" s="298"/>
    </row>
    <row r="658" spans="1:39" ht="15.75" customHeight="1">
      <c r="A658" s="298"/>
      <c r="B658" s="298"/>
      <c r="C658" s="1901"/>
      <c r="D658" s="1947"/>
      <c r="E658" s="1901"/>
      <c r="F658" s="1954"/>
      <c r="G658" s="1901"/>
      <c r="H658" s="1901"/>
      <c r="I658" s="1901"/>
      <c r="J658" s="1647"/>
      <c r="K658" s="1901"/>
      <c r="L658" s="1901"/>
      <c r="M658" s="1955"/>
      <c r="N658" s="1956"/>
      <c r="O658" s="1955"/>
      <c r="P658" s="1955"/>
      <c r="Q658" s="1956"/>
      <c r="R658" s="493"/>
      <c r="S658" s="493"/>
      <c r="T658" s="493"/>
      <c r="U658" s="493"/>
      <c r="V658" s="298"/>
      <c r="W658" s="298"/>
      <c r="X658" s="298"/>
      <c r="Y658" s="298"/>
      <c r="Z658" s="298"/>
      <c r="AA658" s="298"/>
      <c r="AB658" s="298"/>
      <c r="AC658" s="298"/>
      <c r="AD658" s="298"/>
      <c r="AE658" s="298"/>
      <c r="AF658" s="298"/>
      <c r="AG658" s="298"/>
      <c r="AH658" s="298"/>
      <c r="AI658" s="298"/>
      <c r="AJ658" s="298"/>
      <c r="AK658" s="298"/>
      <c r="AL658" s="298"/>
      <c r="AM658" s="298"/>
    </row>
    <row r="659" spans="1:39" ht="15.75" customHeight="1">
      <c r="A659" s="298"/>
      <c r="B659" s="298"/>
      <c r="C659" s="1901"/>
      <c r="D659" s="1947"/>
      <c r="E659" s="1901"/>
      <c r="F659" s="1954"/>
      <c r="G659" s="1901"/>
      <c r="H659" s="1901"/>
      <c r="I659" s="1901"/>
      <c r="J659" s="1647"/>
      <c r="K659" s="1901"/>
      <c r="L659" s="1901"/>
      <c r="M659" s="1955"/>
      <c r="N659" s="1956"/>
      <c r="O659" s="1955"/>
      <c r="P659" s="1955"/>
      <c r="Q659" s="1956"/>
      <c r="R659" s="493"/>
      <c r="S659" s="493"/>
      <c r="T659" s="493"/>
      <c r="U659" s="493"/>
      <c r="V659" s="298"/>
      <c r="W659" s="298"/>
      <c r="X659" s="298"/>
      <c r="Y659" s="298"/>
      <c r="Z659" s="298"/>
      <c r="AA659" s="298"/>
      <c r="AB659" s="298"/>
      <c r="AC659" s="298"/>
      <c r="AD659" s="298"/>
      <c r="AE659" s="298"/>
      <c r="AF659" s="298"/>
      <c r="AG659" s="298"/>
      <c r="AH659" s="298"/>
      <c r="AI659" s="298"/>
      <c r="AJ659" s="298"/>
      <c r="AK659" s="298"/>
      <c r="AL659" s="298"/>
      <c r="AM659" s="298"/>
    </row>
    <row r="660" spans="1:39" ht="15.75" customHeight="1">
      <c r="A660" s="298"/>
      <c r="B660" s="298"/>
      <c r="C660" s="1901"/>
      <c r="D660" s="1947"/>
      <c r="E660" s="1901"/>
      <c r="F660" s="1954"/>
      <c r="G660" s="1901"/>
      <c r="H660" s="1901"/>
      <c r="I660" s="1901"/>
      <c r="J660" s="1647"/>
      <c r="K660" s="1901"/>
      <c r="L660" s="1901"/>
      <c r="M660" s="1955"/>
      <c r="N660" s="1956"/>
      <c r="O660" s="1955"/>
      <c r="P660" s="1955"/>
      <c r="Q660" s="1956"/>
      <c r="R660" s="493"/>
      <c r="S660" s="493"/>
      <c r="T660" s="493"/>
      <c r="U660" s="493"/>
      <c r="V660" s="298"/>
      <c r="W660" s="298"/>
      <c r="X660" s="298"/>
      <c r="Y660" s="298"/>
      <c r="Z660" s="298"/>
      <c r="AA660" s="298"/>
      <c r="AB660" s="298"/>
      <c r="AC660" s="298"/>
      <c r="AD660" s="298"/>
      <c r="AE660" s="298"/>
      <c r="AF660" s="298"/>
      <c r="AG660" s="298"/>
      <c r="AH660" s="298"/>
      <c r="AI660" s="298"/>
      <c r="AJ660" s="298"/>
      <c r="AK660" s="298"/>
      <c r="AL660" s="298"/>
      <c r="AM660" s="298"/>
    </row>
    <row r="661" spans="1:39" ht="15.75" customHeight="1">
      <c r="A661" s="298"/>
      <c r="B661" s="298"/>
      <c r="C661" s="1901"/>
      <c r="D661" s="1947"/>
      <c r="E661" s="1901"/>
      <c r="F661" s="1954"/>
      <c r="G661" s="1901"/>
      <c r="H661" s="1901"/>
      <c r="I661" s="1901"/>
      <c r="J661" s="1647"/>
      <c r="K661" s="1901"/>
      <c r="L661" s="1901"/>
      <c r="M661" s="1955"/>
      <c r="N661" s="1956"/>
      <c r="O661" s="1955"/>
      <c r="P661" s="1955"/>
      <c r="Q661" s="1956"/>
      <c r="R661" s="493"/>
      <c r="S661" s="493"/>
      <c r="T661" s="493"/>
      <c r="U661" s="493"/>
      <c r="V661" s="298"/>
      <c r="W661" s="298"/>
      <c r="X661" s="298"/>
      <c r="Y661" s="298"/>
      <c r="Z661" s="298"/>
      <c r="AA661" s="298"/>
      <c r="AB661" s="298"/>
      <c r="AC661" s="298"/>
      <c r="AD661" s="298"/>
      <c r="AE661" s="298"/>
      <c r="AF661" s="298"/>
      <c r="AG661" s="298"/>
      <c r="AH661" s="298"/>
      <c r="AI661" s="298"/>
      <c r="AJ661" s="298"/>
      <c r="AK661" s="298"/>
      <c r="AL661" s="298"/>
      <c r="AM661" s="298"/>
    </row>
    <row r="662" spans="1:39" ht="15.75" customHeight="1">
      <c r="A662" s="298"/>
      <c r="B662" s="298"/>
      <c r="C662" s="1901"/>
      <c r="D662" s="1947"/>
      <c r="E662" s="1901"/>
      <c r="F662" s="1954"/>
      <c r="G662" s="1901"/>
      <c r="H662" s="1901"/>
      <c r="I662" s="1901"/>
      <c r="J662" s="1647"/>
      <c r="K662" s="1901"/>
      <c r="L662" s="1901"/>
      <c r="M662" s="1955"/>
      <c r="N662" s="1956"/>
      <c r="O662" s="1955"/>
      <c r="P662" s="1955"/>
      <c r="Q662" s="1956"/>
      <c r="R662" s="493"/>
      <c r="S662" s="493"/>
      <c r="T662" s="493"/>
      <c r="U662" s="493"/>
      <c r="V662" s="298"/>
      <c r="W662" s="298"/>
      <c r="X662" s="298"/>
      <c r="Y662" s="298"/>
      <c r="Z662" s="298"/>
      <c r="AA662" s="298"/>
      <c r="AB662" s="298"/>
      <c r="AC662" s="298"/>
      <c r="AD662" s="298"/>
      <c r="AE662" s="298"/>
      <c r="AF662" s="298"/>
      <c r="AG662" s="298"/>
      <c r="AH662" s="298"/>
      <c r="AI662" s="298"/>
      <c r="AJ662" s="298"/>
      <c r="AK662" s="298"/>
      <c r="AL662" s="298"/>
      <c r="AM662" s="298"/>
    </row>
    <row r="663" spans="1:39" ht="15.75" customHeight="1">
      <c r="A663" s="298"/>
      <c r="B663" s="298"/>
      <c r="C663" s="1901"/>
      <c r="D663" s="1947"/>
      <c r="E663" s="1901"/>
      <c r="F663" s="1954"/>
      <c r="G663" s="1901"/>
      <c r="H663" s="1901"/>
      <c r="I663" s="1901"/>
      <c r="J663" s="1647"/>
      <c r="K663" s="1901"/>
      <c r="L663" s="1901"/>
      <c r="M663" s="1955"/>
      <c r="N663" s="1956"/>
      <c r="O663" s="1955"/>
      <c r="P663" s="1955"/>
      <c r="Q663" s="1956"/>
      <c r="R663" s="493"/>
      <c r="S663" s="493"/>
      <c r="T663" s="493"/>
      <c r="U663" s="493"/>
      <c r="V663" s="298"/>
      <c r="W663" s="298"/>
      <c r="X663" s="298"/>
      <c r="Y663" s="298"/>
      <c r="Z663" s="298"/>
      <c r="AA663" s="298"/>
      <c r="AB663" s="298"/>
      <c r="AC663" s="298"/>
      <c r="AD663" s="298"/>
      <c r="AE663" s="298"/>
      <c r="AF663" s="298"/>
      <c r="AG663" s="298"/>
      <c r="AH663" s="298"/>
      <c r="AI663" s="298"/>
      <c r="AJ663" s="298"/>
      <c r="AK663" s="298"/>
      <c r="AL663" s="298"/>
      <c r="AM663" s="298"/>
    </row>
    <row r="664" spans="1:39" ht="15.75" customHeight="1">
      <c r="A664" s="298"/>
      <c r="B664" s="298"/>
      <c r="C664" s="1901"/>
      <c r="D664" s="1947"/>
      <c r="E664" s="1901"/>
      <c r="F664" s="1954"/>
      <c r="G664" s="1901"/>
      <c r="H664" s="1901"/>
      <c r="I664" s="1901"/>
      <c r="J664" s="1647"/>
      <c r="K664" s="1901"/>
      <c r="L664" s="1901"/>
      <c r="M664" s="1955"/>
      <c r="N664" s="1956"/>
      <c r="O664" s="1955"/>
      <c r="P664" s="1955"/>
      <c r="Q664" s="1956"/>
      <c r="R664" s="493"/>
      <c r="S664" s="493"/>
      <c r="T664" s="493"/>
      <c r="U664" s="493"/>
      <c r="V664" s="298"/>
      <c r="W664" s="298"/>
      <c r="X664" s="298"/>
      <c r="Y664" s="298"/>
      <c r="Z664" s="298"/>
      <c r="AA664" s="298"/>
      <c r="AB664" s="298"/>
      <c r="AC664" s="298"/>
      <c r="AD664" s="298"/>
      <c r="AE664" s="298"/>
      <c r="AF664" s="298"/>
      <c r="AG664" s="298"/>
      <c r="AH664" s="298"/>
      <c r="AI664" s="298"/>
      <c r="AJ664" s="298"/>
      <c r="AK664" s="298"/>
      <c r="AL664" s="298"/>
      <c r="AM664" s="298"/>
    </row>
    <row r="665" spans="1:39" ht="15.75" customHeight="1">
      <c r="A665" s="298"/>
      <c r="B665" s="298"/>
      <c r="C665" s="1901"/>
      <c r="D665" s="1947"/>
      <c r="E665" s="1901"/>
      <c r="F665" s="1954"/>
      <c r="G665" s="1901"/>
      <c r="H665" s="1901"/>
      <c r="I665" s="1901"/>
      <c r="J665" s="1647"/>
      <c r="K665" s="1901"/>
      <c r="L665" s="1901"/>
      <c r="M665" s="1955"/>
      <c r="N665" s="1956"/>
      <c r="O665" s="1955"/>
      <c r="P665" s="1955"/>
      <c r="Q665" s="1956"/>
      <c r="R665" s="493"/>
      <c r="S665" s="493"/>
      <c r="T665" s="493"/>
      <c r="U665" s="493"/>
      <c r="V665" s="298"/>
      <c r="W665" s="298"/>
      <c r="X665" s="298"/>
      <c r="Y665" s="298"/>
      <c r="Z665" s="298"/>
      <c r="AA665" s="298"/>
      <c r="AB665" s="298"/>
      <c r="AC665" s="298"/>
      <c r="AD665" s="298"/>
      <c r="AE665" s="298"/>
      <c r="AF665" s="298"/>
      <c r="AG665" s="298"/>
      <c r="AH665" s="298"/>
      <c r="AI665" s="298"/>
      <c r="AJ665" s="298"/>
      <c r="AK665" s="298"/>
      <c r="AL665" s="298"/>
      <c r="AM665" s="298"/>
    </row>
    <row r="666" spans="1:39" ht="15.75" customHeight="1">
      <c r="A666" s="298"/>
      <c r="B666" s="298"/>
      <c r="C666" s="1901"/>
      <c r="D666" s="1947"/>
      <c r="E666" s="1901"/>
      <c r="F666" s="1954"/>
      <c r="G666" s="1901"/>
      <c r="H666" s="1901"/>
      <c r="I666" s="1901"/>
      <c r="J666" s="1647"/>
      <c r="K666" s="1901"/>
      <c r="L666" s="1901"/>
      <c r="M666" s="1955"/>
      <c r="N666" s="1956"/>
      <c r="O666" s="1955"/>
      <c r="P666" s="1955"/>
      <c r="Q666" s="1956"/>
      <c r="R666" s="493"/>
      <c r="S666" s="493"/>
      <c r="T666" s="493"/>
      <c r="U666" s="493"/>
      <c r="V666" s="298"/>
      <c r="W666" s="298"/>
      <c r="X666" s="298"/>
      <c r="Y666" s="298"/>
      <c r="Z666" s="298"/>
      <c r="AA666" s="298"/>
      <c r="AB666" s="298"/>
      <c r="AC666" s="298"/>
      <c r="AD666" s="298"/>
      <c r="AE666" s="298"/>
      <c r="AF666" s="298"/>
      <c r="AG666" s="298"/>
      <c r="AH666" s="298"/>
      <c r="AI666" s="298"/>
      <c r="AJ666" s="298"/>
      <c r="AK666" s="298"/>
      <c r="AL666" s="298"/>
      <c r="AM666" s="298"/>
    </row>
    <row r="667" spans="1:39" ht="15.75" customHeight="1">
      <c r="A667" s="298"/>
      <c r="B667" s="298"/>
      <c r="C667" s="1901"/>
      <c r="D667" s="1947"/>
      <c r="E667" s="1901"/>
      <c r="F667" s="1954"/>
      <c r="G667" s="1901"/>
      <c r="H667" s="1901"/>
      <c r="I667" s="1901"/>
      <c r="J667" s="1647"/>
      <c r="K667" s="1901"/>
      <c r="L667" s="1901"/>
      <c r="M667" s="1955"/>
      <c r="N667" s="1956"/>
      <c r="O667" s="1955"/>
      <c r="P667" s="1955"/>
      <c r="Q667" s="1956"/>
      <c r="R667" s="493"/>
      <c r="S667" s="493"/>
      <c r="T667" s="493"/>
      <c r="U667" s="493"/>
      <c r="V667" s="298"/>
      <c r="W667" s="298"/>
      <c r="X667" s="298"/>
      <c r="Y667" s="298"/>
      <c r="Z667" s="298"/>
      <c r="AA667" s="298"/>
      <c r="AB667" s="298"/>
      <c r="AC667" s="298"/>
      <c r="AD667" s="298"/>
      <c r="AE667" s="298"/>
      <c r="AF667" s="298"/>
      <c r="AG667" s="298"/>
      <c r="AH667" s="298"/>
      <c r="AI667" s="298"/>
      <c r="AJ667" s="298"/>
      <c r="AK667" s="298"/>
      <c r="AL667" s="298"/>
      <c r="AM667" s="298"/>
    </row>
    <row r="668" spans="1:39" ht="15.75" customHeight="1">
      <c r="A668" s="298"/>
      <c r="B668" s="298"/>
      <c r="C668" s="1901"/>
      <c r="D668" s="1947"/>
      <c r="E668" s="1901"/>
      <c r="F668" s="1954"/>
      <c r="G668" s="1901"/>
      <c r="H668" s="1901"/>
      <c r="I668" s="1901"/>
      <c r="J668" s="1647"/>
      <c r="K668" s="1901"/>
      <c r="L668" s="1901"/>
      <c r="M668" s="1955"/>
      <c r="N668" s="1956"/>
      <c r="O668" s="1955"/>
      <c r="P668" s="1955"/>
      <c r="Q668" s="1956"/>
      <c r="R668" s="493"/>
      <c r="S668" s="493"/>
      <c r="T668" s="493"/>
      <c r="U668" s="493"/>
      <c r="V668" s="298"/>
      <c r="W668" s="298"/>
      <c r="X668" s="298"/>
      <c r="Y668" s="298"/>
      <c r="Z668" s="298"/>
      <c r="AA668" s="298"/>
      <c r="AB668" s="298"/>
      <c r="AC668" s="298"/>
      <c r="AD668" s="298"/>
      <c r="AE668" s="298"/>
      <c r="AF668" s="298"/>
      <c r="AG668" s="298"/>
      <c r="AH668" s="298"/>
      <c r="AI668" s="298"/>
      <c r="AJ668" s="298"/>
      <c r="AK668" s="298"/>
      <c r="AL668" s="298"/>
      <c r="AM668" s="298"/>
    </row>
    <row r="669" spans="1:39" ht="15.75" customHeight="1">
      <c r="A669" s="298"/>
      <c r="B669" s="298"/>
      <c r="C669" s="1901"/>
      <c r="D669" s="1947"/>
      <c r="E669" s="1901"/>
      <c r="F669" s="1954"/>
      <c r="G669" s="1901"/>
      <c r="H669" s="1901"/>
      <c r="I669" s="1901"/>
      <c r="J669" s="1647"/>
      <c r="K669" s="1901"/>
      <c r="L669" s="1901"/>
      <c r="M669" s="1955"/>
      <c r="N669" s="1956"/>
      <c r="O669" s="1955"/>
      <c r="P669" s="1955"/>
      <c r="Q669" s="1956"/>
      <c r="R669" s="493"/>
      <c r="S669" s="493"/>
      <c r="T669" s="493"/>
      <c r="U669" s="493"/>
      <c r="V669" s="298"/>
      <c r="W669" s="298"/>
      <c r="X669" s="298"/>
      <c r="Y669" s="298"/>
      <c r="Z669" s="298"/>
      <c r="AA669" s="298"/>
      <c r="AB669" s="298"/>
      <c r="AC669" s="298"/>
      <c r="AD669" s="298"/>
      <c r="AE669" s="298"/>
      <c r="AF669" s="298"/>
      <c r="AG669" s="298"/>
      <c r="AH669" s="298"/>
      <c r="AI669" s="298"/>
      <c r="AJ669" s="298"/>
      <c r="AK669" s="298"/>
      <c r="AL669" s="298"/>
      <c r="AM669" s="298"/>
    </row>
    <row r="670" spans="1:39" ht="15.75" customHeight="1">
      <c r="A670" s="298"/>
      <c r="B670" s="298"/>
      <c r="C670" s="1901"/>
      <c r="D670" s="1947"/>
      <c r="E670" s="1901"/>
      <c r="F670" s="1954"/>
      <c r="G670" s="1901"/>
      <c r="H670" s="1901"/>
      <c r="I670" s="1901"/>
      <c r="J670" s="1647"/>
      <c r="K670" s="1901"/>
      <c r="L670" s="1901"/>
      <c r="M670" s="1955"/>
      <c r="N670" s="1956"/>
      <c r="O670" s="1955"/>
      <c r="P670" s="1955"/>
      <c r="Q670" s="1956"/>
      <c r="R670" s="493"/>
      <c r="S670" s="493"/>
      <c r="T670" s="493"/>
      <c r="U670" s="493"/>
      <c r="V670" s="298"/>
      <c r="W670" s="298"/>
      <c r="X670" s="298"/>
      <c r="Y670" s="298"/>
      <c r="Z670" s="298"/>
      <c r="AA670" s="298"/>
      <c r="AB670" s="298"/>
      <c r="AC670" s="298"/>
      <c r="AD670" s="298"/>
      <c r="AE670" s="298"/>
      <c r="AF670" s="298"/>
      <c r="AG670" s="298"/>
      <c r="AH670" s="298"/>
      <c r="AI670" s="298"/>
      <c r="AJ670" s="298"/>
      <c r="AK670" s="298"/>
      <c r="AL670" s="298"/>
      <c r="AM670" s="298"/>
    </row>
    <row r="671" spans="1:39" ht="15.75" customHeight="1">
      <c r="A671" s="298"/>
      <c r="B671" s="298"/>
      <c r="C671" s="1901"/>
      <c r="D671" s="1947"/>
      <c r="E671" s="1901"/>
      <c r="F671" s="1954"/>
      <c r="G671" s="1901"/>
      <c r="H671" s="1901"/>
      <c r="I671" s="1901"/>
      <c r="J671" s="1647"/>
      <c r="K671" s="1901"/>
      <c r="L671" s="1901"/>
      <c r="M671" s="1955"/>
      <c r="N671" s="1956"/>
      <c r="O671" s="1955"/>
      <c r="P671" s="1955"/>
      <c r="Q671" s="1956"/>
      <c r="R671" s="493"/>
      <c r="S671" s="493"/>
      <c r="T671" s="493"/>
      <c r="U671" s="493"/>
      <c r="V671" s="298"/>
      <c r="W671" s="298"/>
      <c r="X671" s="298"/>
      <c r="Y671" s="298"/>
      <c r="Z671" s="298"/>
      <c r="AA671" s="298"/>
      <c r="AB671" s="298"/>
      <c r="AC671" s="298"/>
      <c r="AD671" s="298"/>
      <c r="AE671" s="298"/>
      <c r="AF671" s="298"/>
      <c r="AG671" s="298"/>
      <c r="AH671" s="298"/>
      <c r="AI671" s="298"/>
      <c r="AJ671" s="298"/>
      <c r="AK671" s="298"/>
      <c r="AL671" s="298"/>
      <c r="AM671" s="298"/>
    </row>
    <row r="672" spans="1:39" ht="15.75" customHeight="1">
      <c r="A672" s="298"/>
      <c r="B672" s="298"/>
      <c r="C672" s="1901"/>
      <c r="D672" s="1947"/>
      <c r="E672" s="1901"/>
      <c r="F672" s="1954"/>
      <c r="G672" s="1901"/>
      <c r="H672" s="1901"/>
      <c r="I672" s="1901"/>
      <c r="J672" s="1647"/>
      <c r="K672" s="1901"/>
      <c r="L672" s="1901"/>
      <c r="M672" s="1955"/>
      <c r="N672" s="1956"/>
      <c r="O672" s="1955"/>
      <c r="P672" s="1955"/>
      <c r="Q672" s="1956"/>
      <c r="R672" s="493"/>
      <c r="S672" s="493"/>
      <c r="T672" s="493"/>
      <c r="U672" s="493"/>
      <c r="V672" s="298"/>
      <c r="W672" s="298"/>
      <c r="X672" s="298"/>
      <c r="Y672" s="298"/>
      <c r="Z672" s="298"/>
      <c r="AA672" s="298"/>
      <c r="AB672" s="298"/>
      <c r="AC672" s="298"/>
      <c r="AD672" s="298"/>
      <c r="AE672" s="298"/>
      <c r="AF672" s="298"/>
      <c r="AG672" s="298"/>
      <c r="AH672" s="298"/>
      <c r="AI672" s="298"/>
      <c r="AJ672" s="298"/>
      <c r="AK672" s="298"/>
      <c r="AL672" s="298"/>
      <c r="AM672" s="298"/>
    </row>
    <row r="673" spans="1:39" ht="15.75" customHeight="1">
      <c r="A673" s="298"/>
      <c r="B673" s="298"/>
      <c r="C673" s="1901"/>
      <c r="D673" s="1947"/>
      <c r="E673" s="1901"/>
      <c r="F673" s="1954"/>
      <c r="G673" s="1901"/>
      <c r="H673" s="1901"/>
      <c r="I673" s="1901"/>
      <c r="J673" s="1647"/>
      <c r="K673" s="1901"/>
      <c r="L673" s="1901"/>
      <c r="M673" s="1955"/>
      <c r="N673" s="1956"/>
      <c r="O673" s="1955"/>
      <c r="P673" s="1955"/>
      <c r="Q673" s="1956"/>
      <c r="R673" s="493"/>
      <c r="S673" s="493"/>
      <c r="T673" s="493"/>
      <c r="U673" s="493"/>
      <c r="V673" s="298"/>
      <c r="W673" s="298"/>
      <c r="X673" s="298"/>
      <c r="Y673" s="298"/>
      <c r="Z673" s="298"/>
      <c r="AA673" s="298"/>
      <c r="AB673" s="298"/>
      <c r="AC673" s="298"/>
      <c r="AD673" s="298"/>
      <c r="AE673" s="298"/>
      <c r="AF673" s="298"/>
      <c r="AG673" s="298"/>
      <c r="AH673" s="298"/>
      <c r="AI673" s="298"/>
      <c r="AJ673" s="298"/>
      <c r="AK673" s="298"/>
      <c r="AL673" s="298"/>
      <c r="AM673" s="298"/>
    </row>
    <row r="674" spans="1:39" ht="15.75" customHeight="1">
      <c r="A674" s="298"/>
      <c r="B674" s="298"/>
      <c r="C674" s="1901"/>
      <c r="D674" s="1947"/>
      <c r="E674" s="1901"/>
      <c r="F674" s="1954"/>
      <c r="G674" s="1901"/>
      <c r="H674" s="1901"/>
      <c r="I674" s="1901"/>
      <c r="J674" s="1647"/>
      <c r="K674" s="1901"/>
      <c r="L674" s="1901"/>
      <c r="M674" s="1955"/>
      <c r="N674" s="1956"/>
      <c r="O674" s="1955"/>
      <c r="P674" s="1955"/>
      <c r="Q674" s="1956"/>
      <c r="R674" s="493"/>
      <c r="S674" s="493"/>
      <c r="T674" s="493"/>
      <c r="U674" s="493"/>
      <c r="V674" s="298"/>
      <c r="W674" s="298"/>
      <c r="X674" s="298"/>
      <c r="Y674" s="298"/>
      <c r="Z674" s="298"/>
      <c r="AA674" s="298"/>
      <c r="AB674" s="298"/>
      <c r="AC674" s="298"/>
      <c r="AD674" s="298"/>
      <c r="AE674" s="298"/>
      <c r="AF674" s="298"/>
      <c r="AG674" s="298"/>
      <c r="AH674" s="298"/>
      <c r="AI674" s="298"/>
      <c r="AJ674" s="298"/>
      <c r="AK674" s="298"/>
      <c r="AL674" s="298"/>
      <c r="AM674" s="298"/>
    </row>
    <row r="675" spans="1:39" ht="15.75" customHeight="1">
      <c r="A675" s="298"/>
      <c r="B675" s="298"/>
      <c r="C675" s="1901"/>
      <c r="D675" s="1947"/>
      <c r="E675" s="1901"/>
      <c r="F675" s="1954"/>
      <c r="G675" s="1901"/>
      <c r="H675" s="1901"/>
      <c r="I675" s="1901"/>
      <c r="J675" s="1647"/>
      <c r="K675" s="1901"/>
      <c r="L675" s="1901"/>
      <c r="M675" s="1955"/>
      <c r="N675" s="1956"/>
      <c r="O675" s="1955"/>
      <c r="P675" s="1955"/>
      <c r="Q675" s="1956"/>
      <c r="R675" s="493"/>
      <c r="S675" s="493"/>
      <c r="T675" s="493"/>
      <c r="U675" s="493"/>
      <c r="V675" s="298"/>
      <c r="W675" s="298"/>
      <c r="X675" s="298"/>
      <c r="Y675" s="298"/>
      <c r="Z675" s="298"/>
      <c r="AA675" s="298"/>
      <c r="AB675" s="298"/>
      <c r="AC675" s="298"/>
      <c r="AD675" s="298"/>
      <c r="AE675" s="298"/>
      <c r="AF675" s="298"/>
      <c r="AG675" s="298"/>
      <c r="AH675" s="298"/>
      <c r="AI675" s="298"/>
      <c r="AJ675" s="298"/>
      <c r="AK675" s="298"/>
      <c r="AL675" s="298"/>
      <c r="AM675" s="298"/>
    </row>
    <row r="676" spans="1:39" ht="15.75" customHeight="1">
      <c r="A676" s="298"/>
      <c r="B676" s="298"/>
      <c r="C676" s="1901"/>
      <c r="D676" s="1947"/>
      <c r="E676" s="1901"/>
      <c r="F676" s="1954"/>
      <c r="G676" s="1901"/>
      <c r="H676" s="1901"/>
      <c r="I676" s="1901"/>
      <c r="J676" s="1647"/>
      <c r="K676" s="1901"/>
      <c r="L676" s="1901"/>
      <c r="M676" s="1955"/>
      <c r="N676" s="1956"/>
      <c r="O676" s="1955"/>
      <c r="P676" s="1955"/>
      <c r="Q676" s="1956"/>
      <c r="R676" s="493"/>
      <c r="S676" s="493"/>
      <c r="T676" s="493"/>
      <c r="U676" s="493"/>
      <c r="V676" s="298"/>
      <c r="W676" s="298"/>
      <c r="X676" s="298"/>
      <c r="Y676" s="298"/>
      <c r="Z676" s="298"/>
      <c r="AA676" s="298"/>
      <c r="AB676" s="298"/>
      <c r="AC676" s="298"/>
      <c r="AD676" s="298"/>
      <c r="AE676" s="298"/>
      <c r="AF676" s="298"/>
      <c r="AG676" s="298"/>
      <c r="AH676" s="298"/>
      <c r="AI676" s="298"/>
      <c r="AJ676" s="298"/>
      <c r="AK676" s="298"/>
      <c r="AL676" s="298"/>
      <c r="AM676" s="298"/>
    </row>
    <row r="677" spans="1:39" ht="15.75" customHeight="1">
      <c r="A677" s="298"/>
      <c r="B677" s="298"/>
      <c r="C677" s="1901"/>
      <c r="D677" s="1947"/>
      <c r="E677" s="1901"/>
      <c r="F677" s="1954"/>
      <c r="G677" s="1901"/>
      <c r="H677" s="1901"/>
      <c r="I677" s="1901"/>
      <c r="J677" s="1647"/>
      <c r="K677" s="1901"/>
      <c r="L677" s="1901"/>
      <c r="M677" s="1955"/>
      <c r="N677" s="1956"/>
      <c r="O677" s="1955"/>
      <c r="P677" s="1955"/>
      <c r="Q677" s="1956"/>
      <c r="R677" s="493"/>
      <c r="S677" s="493"/>
      <c r="T677" s="493"/>
      <c r="U677" s="493"/>
      <c r="V677" s="298"/>
      <c r="W677" s="298"/>
      <c r="X677" s="298"/>
      <c r="Y677" s="298"/>
      <c r="Z677" s="298"/>
      <c r="AA677" s="298"/>
      <c r="AB677" s="298"/>
      <c r="AC677" s="298"/>
      <c r="AD677" s="298"/>
      <c r="AE677" s="298"/>
      <c r="AF677" s="298"/>
      <c r="AG677" s="298"/>
      <c r="AH677" s="298"/>
      <c r="AI677" s="298"/>
      <c r="AJ677" s="298"/>
      <c r="AK677" s="298"/>
      <c r="AL677" s="298"/>
      <c r="AM677" s="298"/>
    </row>
    <row r="678" spans="1:39" ht="15.75" customHeight="1">
      <c r="A678" s="298"/>
      <c r="B678" s="298"/>
      <c r="C678" s="1901"/>
      <c r="D678" s="1947"/>
      <c r="E678" s="1901"/>
      <c r="F678" s="1954"/>
      <c r="G678" s="1901"/>
      <c r="H678" s="1901"/>
      <c r="I678" s="1901"/>
      <c r="J678" s="1647"/>
      <c r="K678" s="1901"/>
      <c r="L678" s="1901"/>
      <c r="M678" s="1955"/>
      <c r="N678" s="1956"/>
      <c r="O678" s="1955"/>
      <c r="P678" s="1955"/>
      <c r="Q678" s="1956"/>
      <c r="R678" s="493"/>
      <c r="S678" s="493"/>
      <c r="T678" s="493"/>
      <c r="U678" s="493"/>
      <c r="V678" s="298"/>
      <c r="W678" s="298"/>
      <c r="X678" s="298"/>
      <c r="Y678" s="298"/>
      <c r="Z678" s="298"/>
      <c r="AA678" s="298"/>
      <c r="AB678" s="298"/>
      <c r="AC678" s="298"/>
      <c r="AD678" s="298"/>
      <c r="AE678" s="298"/>
      <c r="AF678" s="298"/>
      <c r="AG678" s="298"/>
      <c r="AH678" s="298"/>
      <c r="AI678" s="298"/>
      <c r="AJ678" s="298"/>
      <c r="AK678" s="298"/>
      <c r="AL678" s="298"/>
      <c r="AM678" s="298"/>
    </row>
    <row r="679" spans="1:39" ht="15.75" customHeight="1">
      <c r="A679" s="298"/>
      <c r="B679" s="298"/>
      <c r="C679" s="1901"/>
      <c r="D679" s="1947"/>
      <c r="E679" s="1901"/>
      <c r="F679" s="1954"/>
      <c r="G679" s="1901"/>
      <c r="H679" s="1901"/>
      <c r="I679" s="1901"/>
      <c r="J679" s="1647"/>
      <c r="K679" s="1901"/>
      <c r="L679" s="1901"/>
      <c r="M679" s="1955"/>
      <c r="N679" s="1956"/>
      <c r="O679" s="1955"/>
      <c r="P679" s="1955"/>
      <c r="Q679" s="1956"/>
      <c r="R679" s="493"/>
      <c r="S679" s="493"/>
      <c r="T679" s="493"/>
      <c r="U679" s="493"/>
      <c r="V679" s="298"/>
      <c r="W679" s="298"/>
      <c r="X679" s="298"/>
      <c r="Y679" s="298"/>
      <c r="Z679" s="298"/>
      <c r="AA679" s="298"/>
      <c r="AB679" s="298"/>
      <c r="AC679" s="298"/>
      <c r="AD679" s="298"/>
      <c r="AE679" s="298"/>
      <c r="AF679" s="298"/>
      <c r="AG679" s="298"/>
      <c r="AH679" s="298"/>
      <c r="AI679" s="298"/>
      <c r="AJ679" s="298"/>
      <c r="AK679" s="298"/>
      <c r="AL679" s="298"/>
      <c r="AM679" s="298"/>
    </row>
    <row r="680" spans="1:39" ht="15.75" customHeight="1">
      <c r="A680" s="298"/>
      <c r="B680" s="298"/>
      <c r="C680" s="1901"/>
      <c r="D680" s="1947"/>
      <c r="E680" s="1901"/>
      <c r="F680" s="1954"/>
      <c r="G680" s="1901"/>
      <c r="H680" s="1901"/>
      <c r="I680" s="1901"/>
      <c r="J680" s="1647"/>
      <c r="K680" s="1901"/>
      <c r="L680" s="1901"/>
      <c r="M680" s="1955"/>
      <c r="N680" s="1956"/>
      <c r="O680" s="1955"/>
      <c r="P680" s="1955"/>
      <c r="Q680" s="1956"/>
      <c r="R680" s="493"/>
      <c r="S680" s="493"/>
      <c r="T680" s="493"/>
      <c r="U680" s="493"/>
      <c r="V680" s="298"/>
      <c r="W680" s="298"/>
      <c r="X680" s="298"/>
      <c r="Y680" s="298"/>
      <c r="Z680" s="298"/>
      <c r="AA680" s="298"/>
      <c r="AB680" s="298"/>
      <c r="AC680" s="298"/>
      <c r="AD680" s="298"/>
      <c r="AE680" s="298"/>
      <c r="AF680" s="298"/>
      <c r="AG680" s="298"/>
      <c r="AH680" s="298"/>
      <c r="AI680" s="298"/>
      <c r="AJ680" s="298"/>
      <c r="AK680" s="298"/>
      <c r="AL680" s="298"/>
      <c r="AM680" s="298"/>
    </row>
    <row r="681" spans="1:39" ht="15.75" customHeight="1">
      <c r="A681" s="298"/>
      <c r="B681" s="298"/>
      <c r="C681" s="1901"/>
      <c r="D681" s="1947"/>
      <c r="E681" s="1901"/>
      <c r="F681" s="1954"/>
      <c r="G681" s="1901"/>
      <c r="H681" s="1901"/>
      <c r="I681" s="1901"/>
      <c r="J681" s="1647"/>
      <c r="K681" s="1901"/>
      <c r="L681" s="1901"/>
      <c r="M681" s="1955"/>
      <c r="N681" s="1956"/>
      <c r="O681" s="1955"/>
      <c r="P681" s="1955"/>
      <c r="Q681" s="1956"/>
      <c r="R681" s="493"/>
      <c r="S681" s="493"/>
      <c r="T681" s="493"/>
      <c r="U681" s="493"/>
      <c r="V681" s="298"/>
      <c r="W681" s="298"/>
      <c r="X681" s="298"/>
      <c r="Y681" s="298"/>
      <c r="Z681" s="298"/>
      <c r="AA681" s="298"/>
      <c r="AB681" s="298"/>
      <c r="AC681" s="298"/>
      <c r="AD681" s="298"/>
      <c r="AE681" s="298"/>
      <c r="AF681" s="298"/>
      <c r="AG681" s="298"/>
      <c r="AH681" s="298"/>
      <c r="AI681" s="298"/>
      <c r="AJ681" s="298"/>
      <c r="AK681" s="298"/>
      <c r="AL681" s="298"/>
      <c r="AM681" s="298"/>
    </row>
    <row r="682" spans="1:39" ht="15.75" customHeight="1">
      <c r="A682" s="298"/>
      <c r="B682" s="298"/>
      <c r="C682" s="1901"/>
      <c r="D682" s="1947"/>
      <c r="E682" s="1901"/>
      <c r="F682" s="1954"/>
      <c r="G682" s="1901"/>
      <c r="H682" s="1901"/>
      <c r="I682" s="1901"/>
      <c r="J682" s="1647"/>
      <c r="K682" s="1901"/>
      <c r="L682" s="1901"/>
      <c r="M682" s="1955"/>
      <c r="N682" s="1956"/>
      <c r="O682" s="1955"/>
      <c r="P682" s="1955"/>
      <c r="Q682" s="1956"/>
      <c r="R682" s="493"/>
      <c r="S682" s="493"/>
      <c r="T682" s="493"/>
      <c r="U682" s="493"/>
      <c r="V682" s="298"/>
      <c r="W682" s="298"/>
      <c r="X682" s="298"/>
      <c r="Y682" s="298"/>
      <c r="Z682" s="298"/>
      <c r="AA682" s="298"/>
      <c r="AB682" s="298"/>
      <c r="AC682" s="298"/>
      <c r="AD682" s="298"/>
      <c r="AE682" s="298"/>
      <c r="AF682" s="298"/>
      <c r="AG682" s="298"/>
      <c r="AH682" s="298"/>
      <c r="AI682" s="298"/>
      <c r="AJ682" s="298"/>
      <c r="AK682" s="298"/>
      <c r="AL682" s="298"/>
      <c r="AM682" s="298"/>
    </row>
    <row r="683" spans="1:39" ht="15.75" customHeight="1">
      <c r="A683" s="298"/>
      <c r="B683" s="298"/>
      <c r="C683" s="1901"/>
      <c r="D683" s="1947"/>
      <c r="E683" s="1901"/>
      <c r="F683" s="1954"/>
      <c r="G683" s="1901"/>
      <c r="H683" s="1901"/>
      <c r="I683" s="1901"/>
      <c r="J683" s="1647"/>
      <c r="K683" s="1901"/>
      <c r="L683" s="1901"/>
      <c r="M683" s="1955"/>
      <c r="N683" s="1956"/>
      <c r="O683" s="1955"/>
      <c r="P683" s="1955"/>
      <c r="Q683" s="1956"/>
      <c r="R683" s="493"/>
      <c r="S683" s="493"/>
      <c r="T683" s="493"/>
      <c r="U683" s="493"/>
      <c r="V683" s="298"/>
      <c r="W683" s="298"/>
      <c r="X683" s="298"/>
      <c r="Y683" s="298"/>
      <c r="Z683" s="298"/>
      <c r="AA683" s="298"/>
      <c r="AB683" s="298"/>
      <c r="AC683" s="298"/>
      <c r="AD683" s="298"/>
      <c r="AE683" s="298"/>
      <c r="AF683" s="298"/>
      <c r="AG683" s="298"/>
      <c r="AH683" s="298"/>
      <c r="AI683" s="298"/>
      <c r="AJ683" s="298"/>
      <c r="AK683" s="298"/>
      <c r="AL683" s="298"/>
      <c r="AM683" s="298"/>
    </row>
    <row r="684" spans="1:39" ht="15.75" customHeight="1">
      <c r="A684" s="298"/>
      <c r="B684" s="298"/>
      <c r="C684" s="1901"/>
      <c r="D684" s="1947"/>
      <c r="E684" s="1901"/>
      <c r="F684" s="1954"/>
      <c r="G684" s="1901"/>
      <c r="H684" s="1901"/>
      <c r="I684" s="1901"/>
      <c r="J684" s="1647"/>
      <c r="K684" s="1901"/>
      <c r="L684" s="1901"/>
      <c r="M684" s="1955"/>
      <c r="N684" s="1956"/>
      <c r="O684" s="1955"/>
      <c r="P684" s="1955"/>
      <c r="Q684" s="1956"/>
      <c r="R684" s="493"/>
      <c r="S684" s="493"/>
      <c r="T684" s="493"/>
      <c r="U684" s="493"/>
      <c r="V684" s="298"/>
      <c r="W684" s="298"/>
      <c r="X684" s="298"/>
      <c r="Y684" s="298"/>
      <c r="Z684" s="298"/>
      <c r="AA684" s="298"/>
      <c r="AB684" s="298"/>
      <c r="AC684" s="298"/>
      <c r="AD684" s="298"/>
      <c r="AE684" s="298"/>
      <c r="AF684" s="298"/>
      <c r="AG684" s="298"/>
      <c r="AH684" s="298"/>
      <c r="AI684" s="298"/>
      <c r="AJ684" s="298"/>
      <c r="AK684" s="298"/>
      <c r="AL684" s="298"/>
      <c r="AM684" s="298"/>
    </row>
    <row r="685" spans="1:39" ht="15.75" customHeight="1">
      <c r="A685" s="298"/>
      <c r="B685" s="298"/>
      <c r="C685" s="1901"/>
      <c r="D685" s="1947"/>
      <c r="E685" s="1901"/>
      <c r="F685" s="1954"/>
      <c r="G685" s="1901"/>
      <c r="H685" s="1901"/>
      <c r="I685" s="1901"/>
      <c r="J685" s="1647"/>
      <c r="K685" s="1901"/>
      <c r="L685" s="1901"/>
      <c r="M685" s="1955"/>
      <c r="N685" s="1956"/>
      <c r="O685" s="1955"/>
      <c r="P685" s="1955"/>
      <c r="Q685" s="1956"/>
      <c r="R685" s="493"/>
      <c r="S685" s="493"/>
      <c r="T685" s="493"/>
      <c r="U685" s="493"/>
      <c r="V685" s="298"/>
      <c r="W685" s="298"/>
      <c r="X685" s="298"/>
      <c r="Y685" s="298"/>
      <c r="Z685" s="298"/>
      <c r="AA685" s="298"/>
      <c r="AB685" s="298"/>
      <c r="AC685" s="298"/>
      <c r="AD685" s="298"/>
      <c r="AE685" s="298"/>
      <c r="AF685" s="298"/>
      <c r="AG685" s="298"/>
      <c r="AH685" s="298"/>
      <c r="AI685" s="298"/>
      <c r="AJ685" s="298"/>
      <c r="AK685" s="298"/>
      <c r="AL685" s="298"/>
      <c r="AM685" s="298"/>
    </row>
    <row r="686" spans="1:39" ht="15.75" customHeight="1">
      <c r="A686" s="298"/>
      <c r="B686" s="298"/>
      <c r="C686" s="1901"/>
      <c r="D686" s="1947"/>
      <c r="E686" s="1901"/>
      <c r="F686" s="1954"/>
      <c r="G686" s="1901"/>
      <c r="H686" s="1901"/>
      <c r="I686" s="1901"/>
      <c r="J686" s="1647"/>
      <c r="K686" s="1901"/>
      <c r="L686" s="1901"/>
      <c r="M686" s="1955"/>
      <c r="N686" s="1956"/>
      <c r="O686" s="1955"/>
      <c r="P686" s="1955"/>
      <c r="Q686" s="1956"/>
      <c r="R686" s="493"/>
      <c r="S686" s="493"/>
      <c r="T686" s="493"/>
      <c r="U686" s="493"/>
      <c r="V686" s="298"/>
      <c r="W686" s="298"/>
      <c r="X686" s="298"/>
      <c r="Y686" s="298"/>
      <c r="Z686" s="298"/>
      <c r="AA686" s="298"/>
      <c r="AB686" s="298"/>
      <c r="AC686" s="298"/>
      <c r="AD686" s="298"/>
      <c r="AE686" s="298"/>
      <c r="AF686" s="298"/>
      <c r="AG686" s="298"/>
      <c r="AH686" s="298"/>
      <c r="AI686" s="298"/>
      <c r="AJ686" s="298"/>
      <c r="AK686" s="298"/>
      <c r="AL686" s="298"/>
      <c r="AM686" s="298"/>
    </row>
    <row r="687" spans="1:39" ht="15.75" customHeight="1">
      <c r="A687" s="298"/>
      <c r="B687" s="298"/>
      <c r="C687" s="1901"/>
      <c r="D687" s="1947"/>
      <c r="E687" s="1901"/>
      <c r="F687" s="1954"/>
      <c r="G687" s="1901"/>
      <c r="H687" s="1901"/>
      <c r="I687" s="1901"/>
      <c r="J687" s="1647"/>
      <c r="K687" s="1901"/>
      <c r="L687" s="1901"/>
      <c r="M687" s="1955"/>
      <c r="N687" s="1956"/>
      <c r="O687" s="1955"/>
      <c r="P687" s="1955"/>
      <c r="Q687" s="1956"/>
      <c r="R687" s="493"/>
      <c r="S687" s="493"/>
      <c r="T687" s="493"/>
      <c r="U687" s="493"/>
      <c r="V687" s="298"/>
      <c r="W687" s="298"/>
      <c r="X687" s="298"/>
      <c r="Y687" s="298"/>
      <c r="Z687" s="298"/>
      <c r="AA687" s="298"/>
      <c r="AB687" s="298"/>
      <c r="AC687" s="298"/>
      <c r="AD687" s="298"/>
      <c r="AE687" s="298"/>
      <c r="AF687" s="298"/>
      <c r="AG687" s="298"/>
      <c r="AH687" s="298"/>
      <c r="AI687" s="298"/>
      <c r="AJ687" s="298"/>
      <c r="AK687" s="298"/>
      <c r="AL687" s="298"/>
      <c r="AM687" s="298"/>
    </row>
    <row r="688" spans="1:39" ht="15.75" customHeight="1">
      <c r="A688" s="298"/>
      <c r="B688" s="298"/>
      <c r="C688" s="1901"/>
      <c r="D688" s="1947"/>
      <c r="E688" s="1901"/>
      <c r="F688" s="1954"/>
      <c r="G688" s="1901"/>
      <c r="H688" s="1901"/>
      <c r="I688" s="1901"/>
      <c r="J688" s="1647"/>
      <c r="K688" s="1901"/>
      <c r="L688" s="1901"/>
      <c r="M688" s="1955"/>
      <c r="N688" s="1956"/>
      <c r="O688" s="1955"/>
      <c r="P688" s="1955"/>
      <c r="Q688" s="1956"/>
      <c r="R688" s="493"/>
      <c r="S688" s="493"/>
      <c r="T688" s="493"/>
      <c r="U688" s="493"/>
      <c r="V688" s="298"/>
      <c r="W688" s="298"/>
      <c r="X688" s="298"/>
      <c r="Y688" s="298"/>
      <c r="Z688" s="298"/>
      <c r="AA688" s="298"/>
      <c r="AB688" s="298"/>
      <c r="AC688" s="298"/>
      <c r="AD688" s="298"/>
      <c r="AE688" s="298"/>
      <c r="AF688" s="298"/>
      <c r="AG688" s="298"/>
      <c r="AH688" s="298"/>
      <c r="AI688" s="298"/>
      <c r="AJ688" s="298"/>
      <c r="AK688" s="298"/>
      <c r="AL688" s="298"/>
      <c r="AM688" s="298"/>
    </row>
    <row r="689" spans="1:39" ht="15.75" customHeight="1">
      <c r="A689" s="298"/>
      <c r="B689" s="298"/>
      <c r="C689" s="1901"/>
      <c r="D689" s="1947"/>
      <c r="E689" s="1901"/>
      <c r="F689" s="1954"/>
      <c r="G689" s="1901"/>
      <c r="H689" s="1901"/>
      <c r="I689" s="1901"/>
      <c r="J689" s="1647"/>
      <c r="K689" s="1901"/>
      <c r="L689" s="1901"/>
      <c r="M689" s="1955"/>
      <c r="N689" s="1956"/>
      <c r="O689" s="1955"/>
      <c r="P689" s="1955"/>
      <c r="Q689" s="1956"/>
      <c r="R689" s="493"/>
      <c r="S689" s="493"/>
      <c r="T689" s="493"/>
      <c r="U689" s="493"/>
      <c r="V689" s="298"/>
      <c r="W689" s="298"/>
      <c r="X689" s="298"/>
      <c r="Y689" s="298"/>
      <c r="Z689" s="298"/>
      <c r="AA689" s="298"/>
      <c r="AB689" s="298"/>
      <c r="AC689" s="298"/>
      <c r="AD689" s="298"/>
      <c r="AE689" s="298"/>
      <c r="AF689" s="298"/>
      <c r="AG689" s="298"/>
      <c r="AH689" s="298"/>
      <c r="AI689" s="298"/>
      <c r="AJ689" s="298"/>
      <c r="AK689" s="298"/>
      <c r="AL689" s="298"/>
      <c r="AM689" s="298"/>
    </row>
    <row r="690" spans="1:39" ht="15.75" customHeight="1">
      <c r="A690" s="298"/>
      <c r="B690" s="298"/>
      <c r="C690" s="1901"/>
      <c r="D690" s="1947"/>
      <c r="E690" s="1901"/>
      <c r="F690" s="1954"/>
      <c r="G690" s="1901"/>
      <c r="H690" s="1901"/>
      <c r="I690" s="1901"/>
      <c r="J690" s="1647"/>
      <c r="K690" s="1901"/>
      <c r="L690" s="1901"/>
      <c r="M690" s="1955"/>
      <c r="N690" s="1956"/>
      <c r="O690" s="1955"/>
      <c r="P690" s="1955"/>
      <c r="Q690" s="1956"/>
      <c r="R690" s="493"/>
      <c r="S690" s="493"/>
      <c r="T690" s="493"/>
      <c r="U690" s="493"/>
      <c r="V690" s="298"/>
      <c r="W690" s="298"/>
      <c r="X690" s="298"/>
      <c r="Y690" s="298"/>
      <c r="Z690" s="298"/>
      <c r="AA690" s="298"/>
      <c r="AB690" s="298"/>
      <c r="AC690" s="298"/>
      <c r="AD690" s="298"/>
      <c r="AE690" s="298"/>
      <c r="AF690" s="298"/>
      <c r="AG690" s="298"/>
      <c r="AH690" s="298"/>
      <c r="AI690" s="298"/>
      <c r="AJ690" s="298"/>
      <c r="AK690" s="298"/>
      <c r="AL690" s="298"/>
      <c r="AM690" s="298"/>
    </row>
    <row r="691" spans="1:39" ht="15.75" customHeight="1">
      <c r="A691" s="298"/>
      <c r="B691" s="298"/>
      <c r="C691" s="1901"/>
      <c r="D691" s="1947"/>
      <c r="E691" s="1901"/>
      <c r="F691" s="1954"/>
      <c r="G691" s="1901"/>
      <c r="H691" s="1901"/>
      <c r="I691" s="1901"/>
      <c r="J691" s="1647"/>
      <c r="K691" s="1901"/>
      <c r="L691" s="1901"/>
      <c r="M691" s="1955"/>
      <c r="N691" s="1956"/>
      <c r="O691" s="1955"/>
      <c r="P691" s="1955"/>
      <c r="Q691" s="1956"/>
      <c r="R691" s="493"/>
      <c r="S691" s="493"/>
      <c r="T691" s="493"/>
      <c r="U691" s="493"/>
      <c r="V691" s="298"/>
      <c r="W691" s="298"/>
      <c r="X691" s="298"/>
      <c r="Y691" s="298"/>
      <c r="Z691" s="298"/>
      <c r="AA691" s="298"/>
      <c r="AB691" s="298"/>
      <c r="AC691" s="298"/>
      <c r="AD691" s="298"/>
      <c r="AE691" s="298"/>
      <c r="AF691" s="298"/>
      <c r="AG691" s="298"/>
      <c r="AH691" s="298"/>
      <c r="AI691" s="298"/>
      <c r="AJ691" s="298"/>
      <c r="AK691" s="298"/>
      <c r="AL691" s="298"/>
      <c r="AM691" s="298"/>
    </row>
    <row r="692" spans="1:39" ht="15.75" customHeight="1">
      <c r="A692" s="298"/>
      <c r="B692" s="298"/>
      <c r="C692" s="1901"/>
      <c r="D692" s="1947"/>
      <c r="E692" s="1901"/>
      <c r="F692" s="1954"/>
      <c r="G692" s="1901"/>
      <c r="H692" s="1901"/>
      <c r="I692" s="1901"/>
      <c r="J692" s="1647"/>
      <c r="K692" s="1901"/>
      <c r="L692" s="1901"/>
      <c r="M692" s="1955"/>
      <c r="N692" s="1956"/>
      <c r="O692" s="1955"/>
      <c r="P692" s="1955"/>
      <c r="Q692" s="1956"/>
      <c r="R692" s="493"/>
      <c r="S692" s="493"/>
      <c r="T692" s="493"/>
      <c r="U692" s="493"/>
      <c r="V692" s="298"/>
      <c r="W692" s="298"/>
      <c r="X692" s="298"/>
      <c r="Y692" s="298"/>
      <c r="Z692" s="298"/>
      <c r="AA692" s="298"/>
      <c r="AB692" s="298"/>
      <c r="AC692" s="298"/>
      <c r="AD692" s="298"/>
      <c r="AE692" s="298"/>
      <c r="AF692" s="298"/>
      <c r="AG692" s="298"/>
      <c r="AH692" s="298"/>
      <c r="AI692" s="298"/>
      <c r="AJ692" s="298"/>
      <c r="AK692" s="298"/>
      <c r="AL692" s="298"/>
      <c r="AM692" s="298"/>
    </row>
    <row r="693" spans="1:39" ht="15.75" customHeight="1">
      <c r="A693" s="298"/>
      <c r="B693" s="298"/>
      <c r="C693" s="1901"/>
      <c r="D693" s="1947"/>
      <c r="E693" s="1901"/>
      <c r="F693" s="1954"/>
      <c r="G693" s="1901"/>
      <c r="H693" s="1901"/>
      <c r="I693" s="1901"/>
      <c r="J693" s="1647"/>
      <c r="K693" s="1901"/>
      <c r="L693" s="1901"/>
      <c r="M693" s="1955"/>
      <c r="N693" s="1956"/>
      <c r="O693" s="1955"/>
      <c r="P693" s="1955"/>
      <c r="Q693" s="1956"/>
      <c r="R693" s="493"/>
      <c r="S693" s="493"/>
      <c r="T693" s="493"/>
      <c r="U693" s="493"/>
      <c r="V693" s="298"/>
      <c r="W693" s="298"/>
      <c r="X693" s="298"/>
      <c r="Y693" s="298"/>
      <c r="Z693" s="298"/>
      <c r="AA693" s="298"/>
      <c r="AB693" s="298"/>
      <c r="AC693" s="298"/>
      <c r="AD693" s="298"/>
      <c r="AE693" s="298"/>
      <c r="AF693" s="298"/>
      <c r="AG693" s="298"/>
      <c r="AH693" s="298"/>
      <c r="AI693" s="298"/>
      <c r="AJ693" s="298"/>
      <c r="AK693" s="298"/>
      <c r="AL693" s="298"/>
      <c r="AM693" s="298"/>
    </row>
    <row r="694" spans="1:39" ht="15.75" customHeight="1">
      <c r="A694" s="298"/>
      <c r="B694" s="298"/>
      <c r="C694" s="1901"/>
      <c r="D694" s="1947"/>
      <c r="E694" s="1901"/>
      <c r="F694" s="1954"/>
      <c r="G694" s="1901"/>
      <c r="H694" s="1901"/>
      <c r="I694" s="1901"/>
      <c r="J694" s="1647"/>
      <c r="K694" s="1901"/>
      <c r="L694" s="1901"/>
      <c r="M694" s="1955"/>
      <c r="N694" s="1956"/>
      <c r="O694" s="1955"/>
      <c r="P694" s="1955"/>
      <c r="Q694" s="1956"/>
      <c r="R694" s="493"/>
      <c r="S694" s="493"/>
      <c r="T694" s="493"/>
      <c r="U694" s="493"/>
      <c r="V694" s="298"/>
      <c r="W694" s="298"/>
      <c r="X694" s="298"/>
      <c r="Y694" s="298"/>
      <c r="Z694" s="298"/>
      <c r="AA694" s="298"/>
      <c r="AB694" s="298"/>
      <c r="AC694" s="298"/>
      <c r="AD694" s="298"/>
      <c r="AE694" s="298"/>
      <c r="AF694" s="298"/>
      <c r="AG694" s="298"/>
      <c r="AH694" s="298"/>
      <c r="AI694" s="298"/>
      <c r="AJ694" s="298"/>
      <c r="AK694" s="298"/>
      <c r="AL694" s="298"/>
      <c r="AM694" s="298"/>
    </row>
    <row r="695" spans="1:39" ht="15.75" customHeight="1">
      <c r="A695" s="298"/>
      <c r="B695" s="298"/>
      <c r="C695" s="1901"/>
      <c r="D695" s="1947"/>
      <c r="E695" s="1901"/>
      <c r="F695" s="1954"/>
      <c r="G695" s="1901"/>
      <c r="H695" s="1901"/>
      <c r="I695" s="1901"/>
      <c r="J695" s="1647"/>
      <c r="K695" s="1901"/>
      <c r="L695" s="1901"/>
      <c r="M695" s="1955"/>
      <c r="N695" s="1956"/>
      <c r="O695" s="1955"/>
      <c r="P695" s="1955"/>
      <c r="Q695" s="1956"/>
      <c r="R695" s="493"/>
      <c r="S695" s="493"/>
      <c r="T695" s="493"/>
      <c r="U695" s="493"/>
      <c r="V695" s="298"/>
      <c r="W695" s="298"/>
      <c r="X695" s="298"/>
      <c r="Y695" s="298"/>
      <c r="Z695" s="298"/>
      <c r="AA695" s="298"/>
      <c r="AB695" s="298"/>
      <c r="AC695" s="298"/>
      <c r="AD695" s="298"/>
      <c r="AE695" s="298"/>
      <c r="AF695" s="298"/>
      <c r="AG695" s="298"/>
      <c r="AH695" s="298"/>
      <c r="AI695" s="298"/>
      <c r="AJ695" s="298"/>
      <c r="AK695" s="298"/>
      <c r="AL695" s="298"/>
      <c r="AM695" s="298"/>
    </row>
    <row r="696" spans="1:39" ht="15.75" customHeight="1">
      <c r="A696" s="298"/>
      <c r="B696" s="298"/>
      <c r="C696" s="1901"/>
      <c r="D696" s="1947"/>
      <c r="E696" s="1901"/>
      <c r="F696" s="1954"/>
      <c r="G696" s="1901"/>
      <c r="H696" s="1901"/>
      <c r="I696" s="1901"/>
      <c r="J696" s="1647"/>
      <c r="K696" s="1901"/>
      <c r="L696" s="1901"/>
      <c r="M696" s="1955"/>
      <c r="N696" s="1956"/>
      <c r="O696" s="1955"/>
      <c r="P696" s="1955"/>
      <c r="Q696" s="1956"/>
      <c r="R696" s="493"/>
      <c r="S696" s="493"/>
      <c r="T696" s="493"/>
      <c r="U696" s="493"/>
      <c r="V696" s="298"/>
      <c r="W696" s="298"/>
      <c r="X696" s="298"/>
      <c r="Y696" s="298"/>
      <c r="Z696" s="298"/>
      <c r="AA696" s="298"/>
      <c r="AB696" s="298"/>
      <c r="AC696" s="298"/>
      <c r="AD696" s="298"/>
      <c r="AE696" s="298"/>
      <c r="AF696" s="298"/>
      <c r="AG696" s="298"/>
      <c r="AH696" s="298"/>
      <c r="AI696" s="298"/>
      <c r="AJ696" s="298"/>
      <c r="AK696" s="298"/>
      <c r="AL696" s="298"/>
      <c r="AM696" s="298"/>
    </row>
    <row r="697" spans="1:39" ht="15.75" customHeight="1">
      <c r="A697" s="298"/>
      <c r="B697" s="298"/>
      <c r="C697" s="1901"/>
      <c r="D697" s="1947"/>
      <c r="E697" s="1901"/>
      <c r="F697" s="1954"/>
      <c r="G697" s="1901"/>
      <c r="H697" s="1901"/>
      <c r="I697" s="1901"/>
      <c r="J697" s="1647"/>
      <c r="K697" s="1901"/>
      <c r="L697" s="1901"/>
      <c r="M697" s="1955"/>
      <c r="N697" s="1956"/>
      <c r="O697" s="1955"/>
      <c r="P697" s="1955"/>
      <c r="Q697" s="1956"/>
      <c r="R697" s="493"/>
      <c r="S697" s="493"/>
      <c r="T697" s="493"/>
      <c r="U697" s="493"/>
      <c r="V697" s="298"/>
      <c r="W697" s="298"/>
      <c r="X697" s="298"/>
      <c r="Y697" s="298"/>
      <c r="Z697" s="298"/>
      <c r="AA697" s="298"/>
      <c r="AB697" s="298"/>
      <c r="AC697" s="298"/>
      <c r="AD697" s="298"/>
      <c r="AE697" s="298"/>
      <c r="AF697" s="298"/>
      <c r="AG697" s="298"/>
      <c r="AH697" s="298"/>
      <c r="AI697" s="298"/>
      <c r="AJ697" s="298"/>
      <c r="AK697" s="298"/>
      <c r="AL697" s="298"/>
      <c r="AM697" s="298"/>
    </row>
    <row r="698" spans="1:39" ht="15.75" customHeight="1">
      <c r="A698" s="298"/>
      <c r="B698" s="298"/>
      <c r="C698" s="1901"/>
      <c r="D698" s="1947"/>
      <c r="E698" s="1901"/>
      <c r="F698" s="1954"/>
      <c r="G698" s="1901"/>
      <c r="H698" s="1901"/>
      <c r="I698" s="1901"/>
      <c r="J698" s="1647"/>
      <c r="K698" s="1901"/>
      <c r="L698" s="1901"/>
      <c r="M698" s="1955"/>
      <c r="N698" s="1956"/>
      <c r="O698" s="1955"/>
      <c r="P698" s="1955"/>
      <c r="Q698" s="1956"/>
      <c r="R698" s="493"/>
      <c r="S698" s="493"/>
      <c r="T698" s="493"/>
      <c r="U698" s="493"/>
      <c r="V698" s="298"/>
      <c r="W698" s="298"/>
      <c r="X698" s="298"/>
      <c r="Y698" s="298"/>
      <c r="Z698" s="298"/>
      <c r="AA698" s="298"/>
      <c r="AB698" s="298"/>
      <c r="AC698" s="298"/>
      <c r="AD698" s="298"/>
      <c r="AE698" s="298"/>
      <c r="AF698" s="298"/>
      <c r="AG698" s="298"/>
      <c r="AH698" s="298"/>
      <c r="AI698" s="298"/>
      <c r="AJ698" s="298"/>
      <c r="AK698" s="298"/>
      <c r="AL698" s="298"/>
      <c r="AM698" s="298"/>
    </row>
    <row r="699" spans="1:39" ht="15.75" customHeight="1">
      <c r="A699" s="298"/>
      <c r="B699" s="298"/>
      <c r="C699" s="1901"/>
      <c r="D699" s="1947"/>
      <c r="E699" s="1901"/>
      <c r="F699" s="1954"/>
      <c r="G699" s="1901"/>
      <c r="H699" s="1901"/>
      <c r="I699" s="1901"/>
      <c r="J699" s="1647"/>
      <c r="K699" s="1901"/>
      <c r="L699" s="1901"/>
      <c r="M699" s="1955"/>
      <c r="N699" s="1956"/>
      <c r="O699" s="1955"/>
      <c r="P699" s="1955"/>
      <c r="Q699" s="1956"/>
      <c r="R699" s="493"/>
      <c r="S699" s="493"/>
      <c r="T699" s="493"/>
      <c r="U699" s="493"/>
      <c r="V699" s="298"/>
      <c r="W699" s="298"/>
      <c r="X699" s="298"/>
      <c r="Y699" s="298"/>
      <c r="Z699" s="298"/>
      <c r="AA699" s="298"/>
      <c r="AB699" s="298"/>
      <c r="AC699" s="298"/>
      <c r="AD699" s="298"/>
      <c r="AE699" s="298"/>
      <c r="AF699" s="298"/>
      <c r="AG699" s="298"/>
      <c r="AH699" s="298"/>
      <c r="AI699" s="298"/>
      <c r="AJ699" s="298"/>
      <c r="AK699" s="298"/>
      <c r="AL699" s="298"/>
      <c r="AM699" s="298"/>
    </row>
    <row r="700" spans="1:39" ht="15.75" customHeight="1">
      <c r="A700" s="298"/>
      <c r="B700" s="298"/>
      <c r="C700" s="1901"/>
      <c r="D700" s="1947"/>
      <c r="E700" s="1901"/>
      <c r="F700" s="1954"/>
      <c r="G700" s="1901"/>
      <c r="H700" s="1901"/>
      <c r="I700" s="1901"/>
      <c r="J700" s="1647"/>
      <c r="K700" s="1901"/>
      <c r="L700" s="1901"/>
      <c r="M700" s="1955"/>
      <c r="N700" s="1956"/>
      <c r="O700" s="1955"/>
      <c r="P700" s="1955"/>
      <c r="Q700" s="1956"/>
      <c r="R700" s="493"/>
      <c r="S700" s="493"/>
      <c r="T700" s="493"/>
      <c r="U700" s="493"/>
      <c r="V700" s="298"/>
      <c r="W700" s="298"/>
      <c r="X700" s="298"/>
      <c r="Y700" s="298"/>
      <c r="Z700" s="298"/>
      <c r="AA700" s="298"/>
      <c r="AB700" s="298"/>
      <c r="AC700" s="298"/>
      <c r="AD700" s="298"/>
      <c r="AE700" s="298"/>
      <c r="AF700" s="298"/>
      <c r="AG700" s="298"/>
      <c r="AH700" s="298"/>
      <c r="AI700" s="298"/>
      <c r="AJ700" s="298"/>
      <c r="AK700" s="298"/>
      <c r="AL700" s="298"/>
      <c r="AM700" s="298"/>
    </row>
    <row r="701" spans="1:39" ht="15.75" customHeight="1">
      <c r="A701" s="298"/>
      <c r="B701" s="298"/>
      <c r="C701" s="1901"/>
      <c r="D701" s="1947"/>
      <c r="E701" s="1901"/>
      <c r="F701" s="1954"/>
      <c r="G701" s="1901"/>
      <c r="H701" s="1901"/>
      <c r="I701" s="1901"/>
      <c r="J701" s="1647"/>
      <c r="K701" s="1901"/>
      <c r="L701" s="1901"/>
      <c r="M701" s="1955"/>
      <c r="N701" s="1956"/>
      <c r="O701" s="1955"/>
      <c r="P701" s="1955"/>
      <c r="Q701" s="1956"/>
      <c r="R701" s="493"/>
      <c r="S701" s="493"/>
      <c r="T701" s="493"/>
      <c r="U701" s="493"/>
      <c r="V701" s="298"/>
      <c r="W701" s="298"/>
      <c r="X701" s="298"/>
      <c r="Y701" s="298"/>
      <c r="Z701" s="298"/>
      <c r="AA701" s="298"/>
      <c r="AB701" s="298"/>
      <c r="AC701" s="298"/>
      <c r="AD701" s="298"/>
      <c r="AE701" s="298"/>
      <c r="AF701" s="298"/>
      <c r="AG701" s="298"/>
      <c r="AH701" s="298"/>
      <c r="AI701" s="298"/>
      <c r="AJ701" s="298"/>
      <c r="AK701" s="298"/>
      <c r="AL701" s="298"/>
      <c r="AM701" s="298"/>
    </row>
    <row r="702" spans="1:39" ht="15.75" customHeight="1">
      <c r="A702" s="298"/>
      <c r="B702" s="298"/>
      <c r="C702" s="1901"/>
      <c r="D702" s="1947"/>
      <c r="E702" s="1901"/>
      <c r="F702" s="1954"/>
      <c r="G702" s="1901"/>
      <c r="H702" s="1901"/>
      <c r="I702" s="1901"/>
      <c r="J702" s="1647"/>
      <c r="K702" s="1901"/>
      <c r="L702" s="1901"/>
      <c r="M702" s="1955"/>
      <c r="N702" s="1956"/>
      <c r="O702" s="1955"/>
      <c r="P702" s="1955"/>
      <c r="Q702" s="1956"/>
      <c r="R702" s="493"/>
      <c r="S702" s="493"/>
      <c r="T702" s="493"/>
      <c r="U702" s="493"/>
      <c r="V702" s="298"/>
      <c r="W702" s="298"/>
      <c r="X702" s="298"/>
      <c r="Y702" s="298"/>
      <c r="Z702" s="298"/>
      <c r="AA702" s="298"/>
      <c r="AB702" s="298"/>
      <c r="AC702" s="298"/>
      <c r="AD702" s="298"/>
      <c r="AE702" s="298"/>
      <c r="AF702" s="298"/>
      <c r="AG702" s="298"/>
      <c r="AH702" s="298"/>
      <c r="AI702" s="298"/>
      <c r="AJ702" s="298"/>
      <c r="AK702" s="298"/>
      <c r="AL702" s="298"/>
      <c r="AM702" s="298"/>
    </row>
    <row r="703" spans="1:39" ht="15.75" customHeight="1">
      <c r="A703" s="298"/>
      <c r="B703" s="298"/>
      <c r="C703" s="1901"/>
      <c r="D703" s="1947"/>
      <c r="E703" s="1901"/>
      <c r="F703" s="1954"/>
      <c r="G703" s="1901"/>
      <c r="H703" s="1901"/>
      <c r="I703" s="1901"/>
      <c r="J703" s="1647"/>
      <c r="K703" s="1901"/>
      <c r="L703" s="1901"/>
      <c r="M703" s="1955"/>
      <c r="N703" s="1956"/>
      <c r="O703" s="1955"/>
      <c r="P703" s="1955"/>
      <c r="Q703" s="1956"/>
      <c r="R703" s="493"/>
      <c r="S703" s="493"/>
      <c r="T703" s="493"/>
      <c r="U703" s="493"/>
      <c r="V703" s="298"/>
      <c r="W703" s="298"/>
      <c r="X703" s="298"/>
      <c r="Y703" s="298"/>
      <c r="Z703" s="298"/>
      <c r="AA703" s="298"/>
      <c r="AB703" s="298"/>
      <c r="AC703" s="298"/>
      <c r="AD703" s="298"/>
      <c r="AE703" s="298"/>
      <c r="AF703" s="298"/>
      <c r="AG703" s="298"/>
      <c r="AH703" s="298"/>
      <c r="AI703" s="298"/>
      <c r="AJ703" s="298"/>
      <c r="AK703" s="298"/>
      <c r="AL703" s="298"/>
      <c r="AM703" s="298"/>
    </row>
    <row r="704" spans="1:39" ht="15.75" customHeight="1">
      <c r="A704" s="298"/>
      <c r="B704" s="298"/>
      <c r="C704" s="1901"/>
      <c r="D704" s="1947"/>
      <c r="E704" s="1901"/>
      <c r="F704" s="1954"/>
      <c r="G704" s="1901"/>
      <c r="H704" s="1901"/>
      <c r="I704" s="1901"/>
      <c r="J704" s="1647"/>
      <c r="K704" s="1901"/>
      <c r="L704" s="1901"/>
      <c r="M704" s="1955"/>
      <c r="N704" s="1956"/>
      <c r="O704" s="1955"/>
      <c r="P704" s="1955"/>
      <c r="Q704" s="1956"/>
      <c r="R704" s="493"/>
      <c r="S704" s="493"/>
      <c r="T704" s="493"/>
      <c r="U704" s="493"/>
      <c r="V704" s="298"/>
      <c r="W704" s="298"/>
      <c r="X704" s="298"/>
      <c r="Y704" s="298"/>
      <c r="Z704" s="298"/>
      <c r="AA704" s="298"/>
      <c r="AB704" s="298"/>
      <c r="AC704" s="298"/>
      <c r="AD704" s="298"/>
      <c r="AE704" s="298"/>
      <c r="AF704" s="298"/>
      <c r="AG704" s="298"/>
      <c r="AH704" s="298"/>
      <c r="AI704" s="298"/>
      <c r="AJ704" s="298"/>
      <c r="AK704" s="298"/>
      <c r="AL704" s="298"/>
      <c r="AM704" s="298"/>
    </row>
    <row r="705" spans="1:39" ht="15.75" customHeight="1">
      <c r="A705" s="298"/>
      <c r="B705" s="298"/>
      <c r="C705" s="1901"/>
      <c r="D705" s="1947"/>
      <c r="E705" s="1901"/>
      <c r="F705" s="1954"/>
      <c r="G705" s="1901"/>
      <c r="H705" s="1901"/>
      <c r="I705" s="1901"/>
      <c r="J705" s="1647"/>
      <c r="K705" s="1901"/>
      <c r="L705" s="1901"/>
      <c r="M705" s="1955"/>
      <c r="N705" s="1956"/>
      <c r="O705" s="1955"/>
      <c r="P705" s="1955"/>
      <c r="Q705" s="1956"/>
      <c r="R705" s="493"/>
      <c r="S705" s="493"/>
      <c r="T705" s="493"/>
      <c r="U705" s="493"/>
      <c r="V705" s="298"/>
      <c r="W705" s="298"/>
      <c r="X705" s="298"/>
      <c r="Y705" s="298"/>
      <c r="Z705" s="298"/>
      <c r="AA705" s="298"/>
      <c r="AB705" s="298"/>
      <c r="AC705" s="298"/>
      <c r="AD705" s="298"/>
      <c r="AE705" s="298"/>
      <c r="AF705" s="298"/>
      <c r="AG705" s="298"/>
      <c r="AH705" s="298"/>
      <c r="AI705" s="298"/>
      <c r="AJ705" s="298"/>
      <c r="AK705" s="298"/>
      <c r="AL705" s="298"/>
      <c r="AM705" s="298"/>
    </row>
    <row r="706" spans="1:39" ht="15.75" customHeight="1">
      <c r="A706" s="298"/>
      <c r="B706" s="298"/>
      <c r="C706" s="1901"/>
      <c r="D706" s="1947"/>
      <c r="E706" s="1901"/>
      <c r="F706" s="1954"/>
      <c r="G706" s="1901"/>
      <c r="H706" s="1901"/>
      <c r="I706" s="1901"/>
      <c r="J706" s="1647"/>
      <c r="K706" s="1901"/>
      <c r="L706" s="1901"/>
      <c r="M706" s="1955"/>
      <c r="N706" s="1956"/>
      <c r="O706" s="1955"/>
      <c r="P706" s="1955"/>
      <c r="Q706" s="1956"/>
      <c r="R706" s="493"/>
      <c r="S706" s="493"/>
      <c r="T706" s="493"/>
      <c r="U706" s="493"/>
      <c r="V706" s="298"/>
      <c r="W706" s="298"/>
      <c r="X706" s="298"/>
      <c r="Y706" s="298"/>
      <c r="Z706" s="298"/>
      <c r="AA706" s="298"/>
      <c r="AB706" s="298"/>
      <c r="AC706" s="298"/>
      <c r="AD706" s="298"/>
      <c r="AE706" s="298"/>
      <c r="AF706" s="298"/>
      <c r="AG706" s="298"/>
      <c r="AH706" s="298"/>
      <c r="AI706" s="298"/>
      <c r="AJ706" s="298"/>
      <c r="AK706" s="298"/>
      <c r="AL706" s="298"/>
      <c r="AM706" s="298"/>
    </row>
    <row r="707" spans="1:39" ht="15.75" customHeight="1">
      <c r="A707" s="298"/>
      <c r="B707" s="298"/>
      <c r="C707" s="1901"/>
      <c r="D707" s="1947"/>
      <c r="E707" s="1901"/>
      <c r="F707" s="1954"/>
      <c r="G707" s="1901"/>
      <c r="H707" s="1901"/>
      <c r="I707" s="1901"/>
      <c r="J707" s="1647"/>
      <c r="K707" s="1901"/>
      <c r="L707" s="1901"/>
      <c r="M707" s="1955"/>
      <c r="N707" s="1956"/>
      <c r="O707" s="1955"/>
      <c r="P707" s="1955"/>
      <c r="Q707" s="1956"/>
      <c r="R707" s="493"/>
      <c r="S707" s="493"/>
      <c r="T707" s="493"/>
      <c r="U707" s="493"/>
      <c r="V707" s="298"/>
      <c r="W707" s="298"/>
      <c r="X707" s="298"/>
      <c r="Y707" s="298"/>
      <c r="Z707" s="298"/>
      <c r="AA707" s="298"/>
      <c r="AB707" s="298"/>
      <c r="AC707" s="298"/>
      <c r="AD707" s="298"/>
      <c r="AE707" s="298"/>
      <c r="AF707" s="298"/>
      <c r="AG707" s="298"/>
      <c r="AH707" s="298"/>
      <c r="AI707" s="298"/>
      <c r="AJ707" s="298"/>
      <c r="AK707" s="298"/>
      <c r="AL707" s="298"/>
      <c r="AM707" s="298"/>
    </row>
    <row r="708" spans="1:39" ht="15.75" customHeight="1">
      <c r="A708" s="298"/>
      <c r="B708" s="298"/>
      <c r="C708" s="1901"/>
      <c r="D708" s="1947"/>
      <c r="E708" s="1901"/>
      <c r="F708" s="1954"/>
      <c r="G708" s="1901"/>
      <c r="H708" s="1901"/>
      <c r="I708" s="1901"/>
      <c r="J708" s="1647"/>
      <c r="K708" s="1901"/>
      <c r="L708" s="1901"/>
      <c r="M708" s="1955"/>
      <c r="N708" s="1956"/>
      <c r="O708" s="1955"/>
      <c r="P708" s="1955"/>
      <c r="Q708" s="1956"/>
      <c r="R708" s="493"/>
      <c r="S708" s="493"/>
      <c r="T708" s="493"/>
      <c r="U708" s="493"/>
      <c r="V708" s="298"/>
      <c r="W708" s="298"/>
      <c r="X708" s="298"/>
      <c r="Y708" s="298"/>
      <c r="Z708" s="298"/>
      <c r="AA708" s="298"/>
      <c r="AB708" s="298"/>
      <c r="AC708" s="298"/>
      <c r="AD708" s="298"/>
      <c r="AE708" s="298"/>
      <c r="AF708" s="298"/>
      <c r="AG708" s="298"/>
      <c r="AH708" s="298"/>
      <c r="AI708" s="298"/>
      <c r="AJ708" s="298"/>
      <c r="AK708" s="298"/>
      <c r="AL708" s="298"/>
      <c r="AM708" s="298"/>
    </row>
    <row r="709" spans="1:39" ht="15.75" customHeight="1">
      <c r="A709" s="298"/>
      <c r="B709" s="298"/>
      <c r="C709" s="1901"/>
      <c r="D709" s="1947"/>
      <c r="E709" s="1901"/>
      <c r="F709" s="1954"/>
      <c r="G709" s="1901"/>
      <c r="H709" s="1901"/>
      <c r="I709" s="1901"/>
      <c r="J709" s="1647"/>
      <c r="K709" s="1901"/>
      <c r="L709" s="1901"/>
      <c r="M709" s="1955"/>
      <c r="N709" s="1956"/>
      <c r="O709" s="1955"/>
      <c r="P709" s="1955"/>
      <c r="Q709" s="1956"/>
      <c r="R709" s="493"/>
      <c r="S709" s="493"/>
      <c r="T709" s="493"/>
      <c r="U709" s="493"/>
      <c r="V709" s="298"/>
      <c r="W709" s="298"/>
      <c r="X709" s="298"/>
      <c r="Y709" s="298"/>
      <c r="Z709" s="298"/>
      <c r="AA709" s="298"/>
      <c r="AB709" s="298"/>
      <c r="AC709" s="298"/>
      <c r="AD709" s="298"/>
      <c r="AE709" s="298"/>
      <c r="AF709" s="298"/>
      <c r="AG709" s="298"/>
      <c r="AH709" s="298"/>
      <c r="AI709" s="298"/>
      <c r="AJ709" s="298"/>
      <c r="AK709" s="298"/>
      <c r="AL709" s="298"/>
      <c r="AM709" s="298"/>
    </row>
    <row r="710" spans="1:39" ht="15.75" customHeight="1">
      <c r="A710" s="298"/>
      <c r="B710" s="298"/>
      <c r="C710" s="1901"/>
      <c r="D710" s="1947"/>
      <c r="E710" s="1901"/>
      <c r="F710" s="1954"/>
      <c r="G710" s="1901"/>
      <c r="H710" s="1901"/>
      <c r="I710" s="1901"/>
      <c r="J710" s="1647"/>
      <c r="K710" s="1901"/>
      <c r="L710" s="1901"/>
      <c r="M710" s="1955"/>
      <c r="N710" s="1956"/>
      <c r="O710" s="1955"/>
      <c r="P710" s="1955"/>
      <c r="Q710" s="1956"/>
      <c r="R710" s="493"/>
      <c r="S710" s="493"/>
      <c r="T710" s="493"/>
      <c r="U710" s="493"/>
      <c r="V710" s="298"/>
      <c r="W710" s="298"/>
      <c r="X710" s="298"/>
      <c r="Y710" s="298"/>
      <c r="Z710" s="298"/>
      <c r="AA710" s="298"/>
      <c r="AB710" s="298"/>
      <c r="AC710" s="298"/>
      <c r="AD710" s="298"/>
      <c r="AE710" s="298"/>
      <c r="AF710" s="298"/>
      <c r="AG710" s="298"/>
      <c r="AH710" s="298"/>
      <c r="AI710" s="298"/>
      <c r="AJ710" s="298"/>
      <c r="AK710" s="298"/>
      <c r="AL710" s="298"/>
      <c r="AM710" s="298"/>
    </row>
    <row r="711" spans="1:39" ht="15.75" customHeight="1">
      <c r="A711" s="298"/>
      <c r="B711" s="298"/>
      <c r="C711" s="1901"/>
      <c r="D711" s="1947"/>
      <c r="E711" s="1901"/>
      <c r="F711" s="1954"/>
      <c r="G711" s="1901"/>
      <c r="H711" s="1901"/>
      <c r="I711" s="1901"/>
      <c r="J711" s="1647"/>
      <c r="K711" s="1901"/>
      <c r="L711" s="1901"/>
      <c r="M711" s="1955"/>
      <c r="N711" s="1956"/>
      <c r="O711" s="1955"/>
      <c r="P711" s="1955"/>
      <c r="Q711" s="1956"/>
      <c r="R711" s="493"/>
      <c r="S711" s="493"/>
      <c r="T711" s="493"/>
      <c r="U711" s="493"/>
      <c r="V711" s="298"/>
      <c r="W711" s="298"/>
      <c r="X711" s="298"/>
      <c r="Y711" s="298"/>
      <c r="Z711" s="298"/>
      <c r="AA711" s="298"/>
      <c r="AB711" s="298"/>
      <c r="AC711" s="298"/>
      <c r="AD711" s="298"/>
      <c r="AE711" s="298"/>
      <c r="AF711" s="298"/>
      <c r="AG711" s="298"/>
      <c r="AH711" s="298"/>
      <c r="AI711" s="298"/>
      <c r="AJ711" s="298"/>
      <c r="AK711" s="298"/>
      <c r="AL711" s="298"/>
      <c r="AM711" s="298"/>
    </row>
    <row r="712" spans="1:39" ht="15.75" customHeight="1">
      <c r="A712" s="298"/>
      <c r="B712" s="298"/>
      <c r="C712" s="1901"/>
      <c r="D712" s="1947"/>
      <c r="E712" s="1901"/>
      <c r="F712" s="1954"/>
      <c r="G712" s="1901"/>
      <c r="H712" s="1901"/>
      <c r="I712" s="1901"/>
      <c r="J712" s="1647"/>
      <c r="K712" s="1901"/>
      <c r="L712" s="1901"/>
      <c r="M712" s="1955"/>
      <c r="N712" s="1956"/>
      <c r="O712" s="1955"/>
      <c r="P712" s="1955"/>
      <c r="Q712" s="1956"/>
      <c r="R712" s="493"/>
      <c r="S712" s="493"/>
      <c r="T712" s="493"/>
      <c r="U712" s="493"/>
      <c r="V712" s="298"/>
      <c r="W712" s="298"/>
      <c r="X712" s="298"/>
      <c r="Y712" s="298"/>
      <c r="Z712" s="298"/>
      <c r="AA712" s="298"/>
      <c r="AB712" s="298"/>
      <c r="AC712" s="298"/>
      <c r="AD712" s="298"/>
      <c r="AE712" s="298"/>
      <c r="AF712" s="298"/>
      <c r="AG712" s="298"/>
      <c r="AH712" s="298"/>
      <c r="AI712" s="298"/>
      <c r="AJ712" s="298"/>
      <c r="AK712" s="298"/>
      <c r="AL712" s="298"/>
      <c r="AM712" s="298"/>
    </row>
    <row r="713" spans="1:39" ht="15.75" customHeight="1">
      <c r="A713" s="298"/>
      <c r="B713" s="298"/>
      <c r="C713" s="1901"/>
      <c r="D713" s="1947"/>
      <c r="E713" s="1901"/>
      <c r="F713" s="1954"/>
      <c r="G713" s="1901"/>
      <c r="H713" s="1901"/>
      <c r="I713" s="1901"/>
      <c r="J713" s="1647"/>
      <c r="K713" s="1901"/>
      <c r="L713" s="1901"/>
      <c r="M713" s="1955"/>
      <c r="N713" s="1956"/>
      <c r="O713" s="1955"/>
      <c r="P713" s="1955"/>
      <c r="Q713" s="1956"/>
      <c r="R713" s="493"/>
      <c r="S713" s="493"/>
      <c r="T713" s="493"/>
      <c r="U713" s="493"/>
      <c r="V713" s="298"/>
      <c r="W713" s="298"/>
      <c r="X713" s="298"/>
      <c r="Y713" s="298"/>
      <c r="Z713" s="298"/>
      <c r="AA713" s="298"/>
      <c r="AB713" s="298"/>
      <c r="AC713" s="298"/>
      <c r="AD713" s="298"/>
      <c r="AE713" s="298"/>
      <c r="AF713" s="298"/>
      <c r="AG713" s="298"/>
      <c r="AH713" s="298"/>
      <c r="AI713" s="298"/>
      <c r="AJ713" s="298"/>
      <c r="AK713" s="298"/>
      <c r="AL713" s="298"/>
      <c r="AM713" s="298"/>
    </row>
    <row r="714" spans="1:39" ht="15.75" customHeight="1">
      <c r="A714" s="298"/>
      <c r="B714" s="298"/>
      <c r="C714" s="1901"/>
      <c r="D714" s="1947"/>
      <c r="E714" s="1901"/>
      <c r="F714" s="1954"/>
      <c r="G714" s="1901"/>
      <c r="H714" s="1901"/>
      <c r="I714" s="1901"/>
      <c r="J714" s="1647"/>
      <c r="K714" s="1901"/>
      <c r="L714" s="1901"/>
      <c r="M714" s="1955"/>
      <c r="N714" s="1956"/>
      <c r="O714" s="1955"/>
      <c r="P714" s="1955"/>
      <c r="Q714" s="1956"/>
      <c r="R714" s="493"/>
      <c r="S714" s="493"/>
      <c r="T714" s="493"/>
      <c r="U714" s="493"/>
      <c r="V714" s="298"/>
      <c r="W714" s="298"/>
      <c r="X714" s="298"/>
      <c r="Y714" s="298"/>
      <c r="Z714" s="298"/>
      <c r="AA714" s="298"/>
      <c r="AB714" s="298"/>
      <c r="AC714" s="298"/>
      <c r="AD714" s="298"/>
      <c r="AE714" s="298"/>
      <c r="AF714" s="298"/>
      <c r="AG714" s="298"/>
      <c r="AH714" s="298"/>
      <c r="AI714" s="298"/>
      <c r="AJ714" s="298"/>
      <c r="AK714" s="298"/>
      <c r="AL714" s="298"/>
      <c r="AM714" s="298"/>
    </row>
    <row r="715" spans="1:39" ht="15.75" customHeight="1">
      <c r="A715" s="298"/>
      <c r="B715" s="298"/>
      <c r="C715" s="1901"/>
      <c r="D715" s="1947"/>
      <c r="E715" s="1901"/>
      <c r="F715" s="1954"/>
      <c r="G715" s="1901"/>
      <c r="H715" s="1901"/>
      <c r="I715" s="1901"/>
      <c r="J715" s="1647"/>
      <c r="K715" s="1901"/>
      <c r="L715" s="1901"/>
      <c r="M715" s="1955"/>
      <c r="N715" s="1956"/>
      <c r="O715" s="1955"/>
      <c r="P715" s="1955"/>
      <c r="Q715" s="1956"/>
      <c r="R715" s="493"/>
      <c r="S715" s="493"/>
      <c r="T715" s="493"/>
      <c r="U715" s="493"/>
      <c r="V715" s="298"/>
      <c r="W715" s="298"/>
      <c r="X715" s="298"/>
      <c r="Y715" s="298"/>
      <c r="Z715" s="298"/>
      <c r="AA715" s="298"/>
      <c r="AB715" s="298"/>
      <c r="AC715" s="298"/>
      <c r="AD715" s="298"/>
      <c r="AE715" s="298"/>
      <c r="AF715" s="298"/>
      <c r="AG715" s="298"/>
      <c r="AH715" s="298"/>
      <c r="AI715" s="298"/>
      <c r="AJ715" s="298"/>
      <c r="AK715" s="298"/>
      <c r="AL715" s="298"/>
      <c r="AM715" s="298"/>
    </row>
    <row r="716" spans="1:39" ht="15.75" customHeight="1">
      <c r="A716" s="298"/>
      <c r="B716" s="298"/>
      <c r="C716" s="1901"/>
      <c r="D716" s="1947"/>
      <c r="E716" s="1901"/>
      <c r="F716" s="1954"/>
      <c r="G716" s="1901"/>
      <c r="H716" s="1901"/>
      <c r="I716" s="1901"/>
      <c r="J716" s="1647"/>
      <c r="K716" s="1901"/>
      <c r="L716" s="1901"/>
      <c r="M716" s="1955"/>
      <c r="N716" s="1956"/>
      <c r="O716" s="1955"/>
      <c r="P716" s="1955"/>
      <c r="Q716" s="1956"/>
      <c r="R716" s="493"/>
      <c r="S716" s="493"/>
      <c r="T716" s="493"/>
      <c r="U716" s="493"/>
      <c r="V716" s="298"/>
      <c r="W716" s="298"/>
      <c r="X716" s="298"/>
      <c r="Y716" s="298"/>
      <c r="Z716" s="298"/>
      <c r="AA716" s="298"/>
      <c r="AB716" s="298"/>
      <c r="AC716" s="298"/>
      <c r="AD716" s="298"/>
      <c r="AE716" s="298"/>
      <c r="AF716" s="298"/>
      <c r="AG716" s="298"/>
      <c r="AH716" s="298"/>
      <c r="AI716" s="298"/>
      <c r="AJ716" s="298"/>
      <c r="AK716" s="298"/>
      <c r="AL716" s="298"/>
      <c r="AM716" s="298"/>
    </row>
    <row r="717" spans="1:39" ht="15.75" customHeight="1">
      <c r="A717" s="298"/>
      <c r="B717" s="298"/>
      <c r="C717" s="1901"/>
      <c r="D717" s="1947"/>
      <c r="E717" s="1901"/>
      <c r="F717" s="1954"/>
      <c r="G717" s="1901"/>
      <c r="H717" s="1901"/>
      <c r="I717" s="1901"/>
      <c r="J717" s="1647"/>
      <c r="K717" s="1901"/>
      <c r="L717" s="1901"/>
      <c r="M717" s="1955"/>
      <c r="N717" s="1956"/>
      <c r="O717" s="1955"/>
      <c r="P717" s="1955"/>
      <c r="Q717" s="1956"/>
      <c r="R717" s="493"/>
      <c r="S717" s="493"/>
      <c r="T717" s="493"/>
      <c r="U717" s="493"/>
      <c r="V717" s="298"/>
      <c r="W717" s="298"/>
      <c r="X717" s="298"/>
      <c r="Y717" s="298"/>
      <c r="Z717" s="298"/>
      <c r="AA717" s="298"/>
      <c r="AB717" s="298"/>
      <c r="AC717" s="298"/>
      <c r="AD717" s="298"/>
      <c r="AE717" s="298"/>
      <c r="AF717" s="298"/>
      <c r="AG717" s="298"/>
      <c r="AH717" s="298"/>
      <c r="AI717" s="298"/>
      <c r="AJ717" s="298"/>
      <c r="AK717" s="298"/>
      <c r="AL717" s="298"/>
      <c r="AM717" s="298"/>
    </row>
    <row r="718" spans="1:39" ht="15.75" customHeight="1">
      <c r="A718" s="298"/>
      <c r="B718" s="298"/>
      <c r="C718" s="1901"/>
      <c r="D718" s="1947"/>
      <c r="E718" s="1901"/>
      <c r="F718" s="1954"/>
      <c r="G718" s="1901"/>
      <c r="H718" s="1901"/>
      <c r="I718" s="1901"/>
      <c r="J718" s="1647"/>
      <c r="K718" s="1901"/>
      <c r="L718" s="1901"/>
      <c r="M718" s="1955"/>
      <c r="N718" s="1956"/>
      <c r="O718" s="1955"/>
      <c r="P718" s="1955"/>
      <c r="Q718" s="1956"/>
      <c r="R718" s="493"/>
      <c r="S718" s="493"/>
      <c r="T718" s="493"/>
      <c r="U718" s="493"/>
      <c r="V718" s="298"/>
      <c r="W718" s="298"/>
      <c r="X718" s="298"/>
      <c r="Y718" s="298"/>
      <c r="Z718" s="298"/>
      <c r="AA718" s="298"/>
      <c r="AB718" s="298"/>
      <c r="AC718" s="298"/>
      <c r="AD718" s="298"/>
      <c r="AE718" s="298"/>
      <c r="AF718" s="298"/>
      <c r="AG718" s="298"/>
      <c r="AH718" s="298"/>
      <c r="AI718" s="298"/>
      <c r="AJ718" s="298"/>
      <c r="AK718" s="298"/>
      <c r="AL718" s="298"/>
      <c r="AM718" s="298"/>
    </row>
    <row r="719" spans="1:39" ht="15.75" customHeight="1">
      <c r="A719" s="298"/>
      <c r="B719" s="298"/>
      <c r="C719" s="1901"/>
      <c r="D719" s="1947"/>
      <c r="E719" s="1901"/>
      <c r="F719" s="1954"/>
      <c r="G719" s="1901"/>
      <c r="H719" s="1901"/>
      <c r="I719" s="1901"/>
      <c r="J719" s="1647"/>
      <c r="K719" s="1901"/>
      <c r="L719" s="1901"/>
      <c r="M719" s="1955"/>
      <c r="N719" s="1956"/>
      <c r="O719" s="1955"/>
      <c r="P719" s="1955"/>
      <c r="Q719" s="1956"/>
      <c r="R719" s="493"/>
      <c r="S719" s="493"/>
      <c r="T719" s="493"/>
      <c r="U719" s="493"/>
      <c r="V719" s="298"/>
      <c r="W719" s="298"/>
      <c r="X719" s="298"/>
      <c r="Y719" s="298"/>
      <c r="Z719" s="298"/>
      <c r="AA719" s="298"/>
      <c r="AB719" s="298"/>
      <c r="AC719" s="298"/>
      <c r="AD719" s="298"/>
      <c r="AE719" s="298"/>
      <c r="AF719" s="298"/>
      <c r="AG719" s="298"/>
      <c r="AH719" s="298"/>
      <c r="AI719" s="298"/>
      <c r="AJ719" s="298"/>
      <c r="AK719" s="298"/>
      <c r="AL719" s="298"/>
      <c r="AM719" s="298"/>
    </row>
    <row r="720" spans="1:39" ht="15.75" customHeight="1">
      <c r="A720" s="298"/>
      <c r="B720" s="298"/>
      <c r="C720" s="1901"/>
      <c r="D720" s="1947"/>
      <c r="E720" s="1901"/>
      <c r="F720" s="1954"/>
      <c r="G720" s="1901"/>
      <c r="H720" s="1901"/>
      <c r="I720" s="1901"/>
      <c r="J720" s="1647"/>
      <c r="K720" s="1901"/>
      <c r="L720" s="1901"/>
      <c r="M720" s="1955"/>
      <c r="N720" s="1956"/>
      <c r="O720" s="1955"/>
      <c r="P720" s="1955"/>
      <c r="Q720" s="1956"/>
      <c r="R720" s="493"/>
      <c r="S720" s="493"/>
      <c r="T720" s="493"/>
      <c r="U720" s="493"/>
      <c r="V720" s="298"/>
      <c r="W720" s="298"/>
      <c r="X720" s="298"/>
      <c r="Y720" s="298"/>
      <c r="Z720" s="298"/>
      <c r="AA720" s="298"/>
      <c r="AB720" s="298"/>
      <c r="AC720" s="298"/>
      <c r="AD720" s="298"/>
      <c r="AE720" s="298"/>
      <c r="AF720" s="298"/>
      <c r="AG720" s="298"/>
      <c r="AH720" s="298"/>
      <c r="AI720" s="298"/>
      <c r="AJ720" s="298"/>
      <c r="AK720" s="298"/>
      <c r="AL720" s="298"/>
      <c r="AM720" s="298"/>
    </row>
    <row r="721" spans="1:39" ht="15.75" customHeight="1">
      <c r="A721" s="298"/>
      <c r="B721" s="298"/>
      <c r="C721" s="1901"/>
      <c r="D721" s="1947"/>
      <c r="E721" s="1901"/>
      <c r="F721" s="1954"/>
      <c r="G721" s="1901"/>
      <c r="H721" s="1901"/>
      <c r="I721" s="1901"/>
      <c r="J721" s="1647"/>
      <c r="K721" s="1901"/>
      <c r="L721" s="1901"/>
      <c r="M721" s="1955"/>
      <c r="N721" s="1956"/>
      <c r="O721" s="1955"/>
      <c r="P721" s="1955"/>
      <c r="Q721" s="1956"/>
      <c r="R721" s="493"/>
      <c r="S721" s="493"/>
      <c r="T721" s="493"/>
      <c r="U721" s="493"/>
      <c r="V721" s="298"/>
      <c r="W721" s="298"/>
      <c r="X721" s="298"/>
      <c r="Y721" s="298"/>
      <c r="Z721" s="298"/>
      <c r="AA721" s="298"/>
      <c r="AB721" s="298"/>
      <c r="AC721" s="298"/>
      <c r="AD721" s="298"/>
      <c r="AE721" s="298"/>
      <c r="AF721" s="298"/>
      <c r="AG721" s="298"/>
      <c r="AH721" s="298"/>
      <c r="AI721" s="298"/>
      <c r="AJ721" s="298"/>
      <c r="AK721" s="298"/>
      <c r="AL721" s="298"/>
      <c r="AM721" s="298"/>
    </row>
    <row r="722" spans="1:39" ht="15.75" customHeight="1">
      <c r="A722" s="298"/>
      <c r="B722" s="298"/>
      <c r="C722" s="1901"/>
      <c r="D722" s="1947"/>
      <c r="E722" s="1901"/>
      <c r="F722" s="1954"/>
      <c r="G722" s="1901"/>
      <c r="H722" s="1901"/>
      <c r="I722" s="1901"/>
      <c r="J722" s="1647"/>
      <c r="K722" s="1901"/>
      <c r="L722" s="1901"/>
      <c r="M722" s="1955"/>
      <c r="N722" s="1956"/>
      <c r="O722" s="1955"/>
      <c r="P722" s="1955"/>
      <c r="Q722" s="1956"/>
      <c r="R722" s="493"/>
      <c r="S722" s="493"/>
      <c r="T722" s="493"/>
      <c r="U722" s="493"/>
      <c r="V722" s="298"/>
      <c r="W722" s="298"/>
      <c r="X722" s="298"/>
      <c r="Y722" s="298"/>
      <c r="Z722" s="298"/>
      <c r="AA722" s="298"/>
      <c r="AB722" s="298"/>
      <c r="AC722" s="298"/>
      <c r="AD722" s="298"/>
      <c r="AE722" s="298"/>
      <c r="AF722" s="298"/>
      <c r="AG722" s="298"/>
      <c r="AH722" s="298"/>
      <c r="AI722" s="298"/>
      <c r="AJ722" s="298"/>
      <c r="AK722" s="298"/>
      <c r="AL722" s="298"/>
      <c r="AM722" s="298"/>
    </row>
    <row r="723" spans="1:39" ht="15.75" customHeight="1">
      <c r="A723" s="298"/>
      <c r="B723" s="298"/>
      <c r="C723" s="1901"/>
      <c r="D723" s="1947"/>
      <c r="E723" s="1901"/>
      <c r="F723" s="1954"/>
      <c r="G723" s="1901"/>
      <c r="H723" s="1901"/>
      <c r="I723" s="1901"/>
      <c r="J723" s="1647"/>
      <c r="K723" s="1901"/>
      <c r="L723" s="1901"/>
      <c r="M723" s="1955"/>
      <c r="N723" s="1956"/>
      <c r="O723" s="1955"/>
      <c r="P723" s="1955"/>
      <c r="Q723" s="1956"/>
      <c r="R723" s="493"/>
      <c r="S723" s="493"/>
      <c r="T723" s="493"/>
      <c r="U723" s="493"/>
      <c r="V723" s="298"/>
      <c r="W723" s="298"/>
      <c r="X723" s="298"/>
      <c r="Y723" s="298"/>
      <c r="Z723" s="298"/>
      <c r="AA723" s="298"/>
      <c r="AB723" s="298"/>
      <c r="AC723" s="298"/>
      <c r="AD723" s="298"/>
      <c r="AE723" s="298"/>
      <c r="AF723" s="298"/>
      <c r="AG723" s="298"/>
      <c r="AH723" s="298"/>
      <c r="AI723" s="298"/>
      <c r="AJ723" s="298"/>
      <c r="AK723" s="298"/>
      <c r="AL723" s="298"/>
      <c r="AM723" s="298"/>
    </row>
    <row r="724" spans="1:39" ht="15.75" customHeight="1">
      <c r="A724" s="298"/>
      <c r="B724" s="298"/>
      <c r="C724" s="1901"/>
      <c r="D724" s="1947"/>
      <c r="E724" s="1901"/>
      <c r="F724" s="1954"/>
      <c r="G724" s="1901"/>
      <c r="H724" s="1901"/>
      <c r="I724" s="1901"/>
      <c r="J724" s="1647"/>
      <c r="K724" s="1901"/>
      <c r="L724" s="1901"/>
      <c r="M724" s="1955"/>
      <c r="N724" s="1956"/>
      <c r="O724" s="1955"/>
      <c r="P724" s="1955"/>
      <c r="Q724" s="1956"/>
      <c r="R724" s="493"/>
      <c r="S724" s="493"/>
      <c r="T724" s="493"/>
      <c r="U724" s="493"/>
      <c r="V724" s="298"/>
      <c r="W724" s="298"/>
      <c r="X724" s="298"/>
      <c r="Y724" s="298"/>
      <c r="Z724" s="298"/>
      <c r="AA724" s="298"/>
      <c r="AB724" s="298"/>
      <c r="AC724" s="298"/>
      <c r="AD724" s="298"/>
      <c r="AE724" s="298"/>
      <c r="AF724" s="298"/>
      <c r="AG724" s="298"/>
      <c r="AH724" s="298"/>
      <c r="AI724" s="298"/>
      <c r="AJ724" s="298"/>
      <c r="AK724" s="298"/>
      <c r="AL724" s="298"/>
      <c r="AM724" s="298"/>
    </row>
    <row r="725" spans="1:39" ht="15.75" customHeight="1">
      <c r="A725" s="298"/>
      <c r="B725" s="298"/>
      <c r="C725" s="1901"/>
      <c r="D725" s="1947"/>
      <c r="E725" s="1901"/>
      <c r="F725" s="1954"/>
      <c r="G725" s="1901"/>
      <c r="H725" s="1901"/>
      <c r="I725" s="1901"/>
      <c r="J725" s="1647"/>
      <c r="K725" s="1901"/>
      <c r="L725" s="1901"/>
      <c r="M725" s="1955"/>
      <c r="N725" s="1956"/>
      <c r="O725" s="1955"/>
      <c r="P725" s="1955"/>
      <c r="Q725" s="1956"/>
      <c r="R725" s="493"/>
      <c r="S725" s="493"/>
      <c r="T725" s="493"/>
      <c r="U725" s="493"/>
      <c r="V725" s="298"/>
      <c r="W725" s="298"/>
      <c r="X725" s="298"/>
      <c r="Y725" s="298"/>
      <c r="Z725" s="298"/>
      <c r="AA725" s="298"/>
      <c r="AB725" s="298"/>
      <c r="AC725" s="298"/>
      <c r="AD725" s="298"/>
      <c r="AE725" s="298"/>
      <c r="AF725" s="298"/>
      <c r="AG725" s="298"/>
      <c r="AH725" s="298"/>
      <c r="AI725" s="298"/>
      <c r="AJ725" s="298"/>
      <c r="AK725" s="298"/>
      <c r="AL725" s="298"/>
      <c r="AM725" s="298"/>
    </row>
    <row r="726" spans="1:39" ht="15.75" customHeight="1">
      <c r="A726" s="298"/>
      <c r="B726" s="298"/>
      <c r="C726" s="1901"/>
      <c r="D726" s="1947"/>
      <c r="E726" s="1901"/>
      <c r="F726" s="1954"/>
      <c r="G726" s="1901"/>
      <c r="H726" s="1901"/>
      <c r="I726" s="1901"/>
      <c r="J726" s="1647"/>
      <c r="K726" s="1901"/>
      <c r="L726" s="1901"/>
      <c r="M726" s="1955"/>
      <c r="N726" s="1956"/>
      <c r="O726" s="1955"/>
      <c r="P726" s="1955"/>
      <c r="Q726" s="1956"/>
      <c r="R726" s="493"/>
      <c r="S726" s="493"/>
      <c r="T726" s="493"/>
      <c r="U726" s="493"/>
      <c r="V726" s="298"/>
      <c r="W726" s="298"/>
      <c r="X726" s="298"/>
      <c r="Y726" s="298"/>
      <c r="Z726" s="298"/>
      <c r="AA726" s="298"/>
      <c r="AB726" s="298"/>
      <c r="AC726" s="298"/>
      <c r="AD726" s="298"/>
      <c r="AE726" s="298"/>
      <c r="AF726" s="298"/>
      <c r="AG726" s="298"/>
      <c r="AH726" s="298"/>
      <c r="AI726" s="298"/>
      <c r="AJ726" s="298"/>
      <c r="AK726" s="298"/>
      <c r="AL726" s="298"/>
      <c r="AM726" s="298"/>
    </row>
    <row r="727" spans="1:39" ht="15.75" customHeight="1">
      <c r="A727" s="298"/>
      <c r="B727" s="298"/>
      <c r="C727" s="1901"/>
      <c r="D727" s="1947"/>
      <c r="E727" s="1901"/>
      <c r="F727" s="1954"/>
      <c r="G727" s="1901"/>
      <c r="H727" s="1901"/>
      <c r="I727" s="1901"/>
      <c r="J727" s="1647"/>
      <c r="K727" s="1901"/>
      <c r="L727" s="1901"/>
      <c r="M727" s="1955"/>
      <c r="N727" s="1956"/>
      <c r="O727" s="1955"/>
      <c r="P727" s="1955"/>
      <c r="Q727" s="1956"/>
      <c r="R727" s="493"/>
      <c r="S727" s="493"/>
      <c r="T727" s="493"/>
      <c r="U727" s="493"/>
      <c r="V727" s="298"/>
      <c r="W727" s="298"/>
      <c r="X727" s="298"/>
      <c r="Y727" s="298"/>
      <c r="Z727" s="298"/>
      <c r="AA727" s="298"/>
      <c r="AB727" s="298"/>
      <c r="AC727" s="298"/>
      <c r="AD727" s="298"/>
      <c r="AE727" s="298"/>
      <c r="AF727" s="298"/>
      <c r="AG727" s="298"/>
      <c r="AH727" s="298"/>
      <c r="AI727" s="298"/>
      <c r="AJ727" s="298"/>
      <c r="AK727" s="298"/>
      <c r="AL727" s="298"/>
      <c r="AM727" s="298"/>
    </row>
    <row r="728" spans="1:39" ht="15.75" customHeight="1">
      <c r="A728" s="298"/>
      <c r="B728" s="298"/>
      <c r="C728" s="1901"/>
      <c r="D728" s="1947"/>
      <c r="E728" s="1901"/>
      <c r="F728" s="1954"/>
      <c r="G728" s="1901"/>
      <c r="H728" s="1901"/>
      <c r="I728" s="1901"/>
      <c r="J728" s="1647"/>
      <c r="K728" s="1901"/>
      <c r="L728" s="1901"/>
      <c r="M728" s="1955"/>
      <c r="N728" s="1956"/>
      <c r="O728" s="1955"/>
      <c r="P728" s="1955"/>
      <c r="Q728" s="1956"/>
      <c r="R728" s="493"/>
      <c r="S728" s="493"/>
      <c r="T728" s="493"/>
      <c r="U728" s="493"/>
      <c r="V728" s="298"/>
      <c r="W728" s="298"/>
      <c r="X728" s="298"/>
      <c r="Y728" s="298"/>
      <c r="Z728" s="298"/>
      <c r="AA728" s="298"/>
      <c r="AB728" s="298"/>
      <c r="AC728" s="298"/>
      <c r="AD728" s="298"/>
      <c r="AE728" s="298"/>
      <c r="AF728" s="298"/>
      <c r="AG728" s="298"/>
      <c r="AH728" s="298"/>
      <c r="AI728" s="298"/>
      <c r="AJ728" s="298"/>
      <c r="AK728" s="298"/>
      <c r="AL728" s="298"/>
      <c r="AM728" s="298"/>
    </row>
    <row r="729" spans="1:39" ht="15.75" customHeight="1">
      <c r="A729" s="298"/>
      <c r="B729" s="298"/>
      <c r="C729" s="1901"/>
      <c r="D729" s="1947"/>
      <c r="E729" s="1901"/>
      <c r="F729" s="1954"/>
      <c r="G729" s="1901"/>
      <c r="H729" s="1901"/>
      <c r="I729" s="1901"/>
      <c r="J729" s="1647"/>
      <c r="K729" s="1901"/>
      <c r="L729" s="1901"/>
      <c r="M729" s="1955"/>
      <c r="N729" s="1956"/>
      <c r="O729" s="1955"/>
      <c r="P729" s="1955"/>
      <c r="Q729" s="1956"/>
      <c r="R729" s="493"/>
      <c r="S729" s="493"/>
      <c r="T729" s="493"/>
      <c r="U729" s="493"/>
      <c r="V729" s="298"/>
      <c r="W729" s="298"/>
      <c r="X729" s="298"/>
      <c r="Y729" s="298"/>
      <c r="Z729" s="298"/>
      <c r="AA729" s="298"/>
      <c r="AB729" s="298"/>
      <c r="AC729" s="298"/>
      <c r="AD729" s="298"/>
      <c r="AE729" s="298"/>
      <c r="AF729" s="298"/>
      <c r="AG729" s="298"/>
      <c r="AH729" s="298"/>
      <c r="AI729" s="298"/>
      <c r="AJ729" s="298"/>
      <c r="AK729" s="298"/>
      <c r="AL729" s="298"/>
      <c r="AM729" s="298"/>
    </row>
    <row r="730" spans="1:39" ht="15.75" customHeight="1">
      <c r="A730" s="298"/>
      <c r="B730" s="298"/>
      <c r="C730" s="1901"/>
      <c r="D730" s="1947"/>
      <c r="E730" s="1901"/>
      <c r="F730" s="1954"/>
      <c r="G730" s="1901"/>
      <c r="H730" s="1901"/>
      <c r="I730" s="1901"/>
      <c r="J730" s="1647"/>
      <c r="K730" s="1901"/>
      <c r="L730" s="1901"/>
      <c r="M730" s="1955"/>
      <c r="N730" s="1956"/>
      <c r="O730" s="1955"/>
      <c r="P730" s="1955"/>
      <c r="Q730" s="1956"/>
      <c r="R730" s="493"/>
      <c r="S730" s="493"/>
      <c r="T730" s="493"/>
      <c r="U730" s="493"/>
      <c r="V730" s="298"/>
      <c r="W730" s="298"/>
      <c r="X730" s="298"/>
      <c r="Y730" s="298"/>
      <c r="Z730" s="298"/>
      <c r="AA730" s="298"/>
      <c r="AB730" s="298"/>
      <c r="AC730" s="298"/>
      <c r="AD730" s="298"/>
      <c r="AE730" s="298"/>
      <c r="AF730" s="298"/>
      <c r="AG730" s="298"/>
      <c r="AH730" s="298"/>
      <c r="AI730" s="298"/>
      <c r="AJ730" s="298"/>
      <c r="AK730" s="298"/>
      <c r="AL730" s="298"/>
      <c r="AM730" s="298"/>
    </row>
    <row r="731" spans="1:39" ht="15.75" customHeight="1">
      <c r="A731" s="298"/>
      <c r="B731" s="298"/>
      <c r="C731" s="1901"/>
      <c r="D731" s="1947"/>
      <c r="E731" s="1901"/>
      <c r="F731" s="1954"/>
      <c r="G731" s="1901"/>
      <c r="H731" s="1901"/>
      <c r="I731" s="1901"/>
      <c r="J731" s="1647"/>
      <c r="K731" s="1901"/>
      <c r="L731" s="1901"/>
      <c r="M731" s="1955"/>
      <c r="N731" s="1956"/>
      <c r="O731" s="1955"/>
      <c r="P731" s="1955"/>
      <c r="Q731" s="1956"/>
      <c r="R731" s="493"/>
      <c r="S731" s="493"/>
      <c r="T731" s="493"/>
      <c r="U731" s="493"/>
      <c r="V731" s="298"/>
      <c r="W731" s="298"/>
      <c r="X731" s="298"/>
      <c r="Y731" s="298"/>
      <c r="Z731" s="298"/>
      <c r="AA731" s="298"/>
      <c r="AB731" s="298"/>
      <c r="AC731" s="298"/>
      <c r="AD731" s="298"/>
      <c r="AE731" s="298"/>
      <c r="AF731" s="298"/>
      <c r="AG731" s="298"/>
      <c r="AH731" s="298"/>
      <c r="AI731" s="298"/>
      <c r="AJ731" s="298"/>
      <c r="AK731" s="298"/>
      <c r="AL731" s="298"/>
      <c r="AM731" s="298"/>
    </row>
    <row r="732" spans="1:39" ht="15.75" customHeight="1">
      <c r="A732" s="298"/>
      <c r="B732" s="298"/>
      <c r="C732" s="1901"/>
      <c r="D732" s="1947"/>
      <c r="E732" s="1901"/>
      <c r="F732" s="1954"/>
      <c r="G732" s="1901"/>
      <c r="H732" s="1901"/>
      <c r="I732" s="1901"/>
      <c r="J732" s="1647"/>
      <c r="K732" s="1901"/>
      <c r="L732" s="1901"/>
      <c r="M732" s="1955"/>
      <c r="N732" s="1956"/>
      <c r="O732" s="1955"/>
      <c r="P732" s="1955"/>
      <c r="Q732" s="1956"/>
      <c r="R732" s="493"/>
      <c r="S732" s="493"/>
      <c r="T732" s="493"/>
      <c r="U732" s="493"/>
      <c r="V732" s="298"/>
      <c r="W732" s="298"/>
      <c r="X732" s="298"/>
      <c r="Y732" s="298"/>
      <c r="Z732" s="298"/>
      <c r="AA732" s="298"/>
      <c r="AB732" s="298"/>
      <c r="AC732" s="298"/>
      <c r="AD732" s="298"/>
      <c r="AE732" s="298"/>
      <c r="AF732" s="298"/>
      <c r="AG732" s="298"/>
      <c r="AH732" s="298"/>
      <c r="AI732" s="298"/>
      <c r="AJ732" s="298"/>
      <c r="AK732" s="298"/>
      <c r="AL732" s="298"/>
      <c r="AM732" s="298"/>
    </row>
    <row r="733" spans="1:39" ht="15.75" customHeight="1">
      <c r="A733" s="298"/>
      <c r="B733" s="298"/>
      <c r="C733" s="1901"/>
      <c r="D733" s="1947"/>
      <c r="E733" s="1901"/>
      <c r="F733" s="1954"/>
      <c r="G733" s="1901"/>
      <c r="H733" s="1901"/>
      <c r="I733" s="1901"/>
      <c r="J733" s="1647"/>
      <c r="K733" s="1901"/>
      <c r="L733" s="1901"/>
      <c r="M733" s="1955"/>
      <c r="N733" s="1956"/>
      <c r="O733" s="1955"/>
      <c r="P733" s="1955"/>
      <c r="Q733" s="1956"/>
      <c r="R733" s="493"/>
      <c r="S733" s="493"/>
      <c r="T733" s="493"/>
      <c r="U733" s="493"/>
      <c r="V733" s="298"/>
      <c r="W733" s="298"/>
      <c r="X733" s="298"/>
      <c r="Y733" s="298"/>
      <c r="Z733" s="298"/>
      <c r="AA733" s="298"/>
      <c r="AB733" s="298"/>
      <c r="AC733" s="298"/>
      <c r="AD733" s="298"/>
      <c r="AE733" s="298"/>
      <c r="AF733" s="298"/>
      <c r="AG733" s="298"/>
      <c r="AH733" s="298"/>
      <c r="AI733" s="298"/>
      <c r="AJ733" s="298"/>
      <c r="AK733" s="298"/>
      <c r="AL733" s="298"/>
      <c r="AM733" s="298"/>
    </row>
    <row r="734" spans="1:39" ht="15.75" customHeight="1">
      <c r="A734" s="298"/>
      <c r="B734" s="298"/>
      <c r="C734" s="1901"/>
      <c r="D734" s="1947"/>
      <c r="E734" s="1901"/>
      <c r="F734" s="1954"/>
      <c r="G734" s="1901"/>
      <c r="H734" s="1901"/>
      <c r="I734" s="1901"/>
      <c r="J734" s="1647"/>
      <c r="K734" s="1901"/>
      <c r="L734" s="1901"/>
      <c r="M734" s="1955"/>
      <c r="N734" s="1956"/>
      <c r="O734" s="1955"/>
      <c r="P734" s="1955"/>
      <c r="Q734" s="1956"/>
      <c r="R734" s="493"/>
      <c r="S734" s="493"/>
      <c r="T734" s="493"/>
      <c r="U734" s="493"/>
      <c r="V734" s="298"/>
      <c r="W734" s="298"/>
      <c r="X734" s="298"/>
      <c r="Y734" s="298"/>
      <c r="Z734" s="298"/>
      <c r="AA734" s="298"/>
      <c r="AB734" s="298"/>
      <c r="AC734" s="298"/>
      <c r="AD734" s="298"/>
      <c r="AE734" s="298"/>
      <c r="AF734" s="298"/>
      <c r="AG734" s="298"/>
      <c r="AH734" s="298"/>
      <c r="AI734" s="298"/>
      <c r="AJ734" s="298"/>
      <c r="AK734" s="298"/>
      <c r="AL734" s="298"/>
      <c r="AM734" s="298"/>
    </row>
    <row r="735" spans="1:39" ht="15.75" customHeight="1">
      <c r="A735" s="298"/>
      <c r="B735" s="298"/>
      <c r="C735" s="1901"/>
      <c r="D735" s="1947"/>
      <c r="E735" s="1901"/>
      <c r="F735" s="1954"/>
      <c r="G735" s="1901"/>
      <c r="H735" s="1901"/>
      <c r="I735" s="1901"/>
      <c r="J735" s="1647"/>
      <c r="K735" s="1901"/>
      <c r="L735" s="1901"/>
      <c r="M735" s="1955"/>
      <c r="N735" s="1956"/>
      <c r="O735" s="1955"/>
      <c r="P735" s="1955"/>
      <c r="Q735" s="1956"/>
      <c r="R735" s="493"/>
      <c r="S735" s="493"/>
      <c r="T735" s="493"/>
      <c r="U735" s="493"/>
      <c r="V735" s="298"/>
      <c r="W735" s="298"/>
      <c r="X735" s="298"/>
      <c r="Y735" s="298"/>
      <c r="Z735" s="298"/>
      <c r="AA735" s="298"/>
      <c r="AB735" s="298"/>
      <c r="AC735" s="298"/>
      <c r="AD735" s="298"/>
      <c r="AE735" s="298"/>
      <c r="AF735" s="298"/>
      <c r="AG735" s="298"/>
      <c r="AH735" s="298"/>
      <c r="AI735" s="298"/>
      <c r="AJ735" s="298"/>
      <c r="AK735" s="298"/>
      <c r="AL735" s="298"/>
      <c r="AM735" s="298"/>
    </row>
    <row r="736" spans="1:39" ht="15.75" customHeight="1">
      <c r="A736" s="298"/>
      <c r="B736" s="298"/>
      <c r="C736" s="1901"/>
      <c r="D736" s="1947"/>
      <c r="E736" s="1901"/>
      <c r="F736" s="1954"/>
      <c r="G736" s="1901"/>
      <c r="H736" s="1901"/>
      <c r="I736" s="1901"/>
      <c r="J736" s="1647"/>
      <c r="K736" s="1901"/>
      <c r="L736" s="1901"/>
      <c r="M736" s="1955"/>
      <c r="N736" s="1956"/>
      <c r="O736" s="1955"/>
      <c r="P736" s="1955"/>
      <c r="Q736" s="1956"/>
      <c r="R736" s="493"/>
      <c r="S736" s="493"/>
      <c r="T736" s="493"/>
      <c r="U736" s="493"/>
      <c r="V736" s="298"/>
      <c r="W736" s="298"/>
      <c r="X736" s="298"/>
      <c r="Y736" s="298"/>
      <c r="Z736" s="298"/>
      <c r="AA736" s="298"/>
      <c r="AB736" s="298"/>
      <c r="AC736" s="298"/>
      <c r="AD736" s="298"/>
      <c r="AE736" s="298"/>
      <c r="AF736" s="298"/>
      <c r="AG736" s="298"/>
      <c r="AH736" s="298"/>
      <c r="AI736" s="298"/>
      <c r="AJ736" s="298"/>
      <c r="AK736" s="298"/>
      <c r="AL736" s="298"/>
      <c r="AM736" s="298"/>
    </row>
    <row r="737" spans="1:39" ht="15.75" customHeight="1">
      <c r="A737" s="298"/>
      <c r="B737" s="298"/>
      <c r="C737" s="1901"/>
      <c r="D737" s="1947"/>
      <c r="E737" s="1901"/>
      <c r="F737" s="1954"/>
      <c r="G737" s="1901"/>
      <c r="H737" s="1901"/>
      <c r="I737" s="1901"/>
      <c r="J737" s="1647"/>
      <c r="K737" s="1901"/>
      <c r="L737" s="1901"/>
      <c r="M737" s="1955"/>
      <c r="N737" s="1956"/>
      <c r="O737" s="1955"/>
      <c r="P737" s="1955"/>
      <c r="Q737" s="1956"/>
      <c r="R737" s="493"/>
      <c r="S737" s="493"/>
      <c r="T737" s="493"/>
      <c r="U737" s="493"/>
      <c r="V737" s="298"/>
      <c r="W737" s="298"/>
      <c r="X737" s="298"/>
      <c r="Y737" s="298"/>
      <c r="Z737" s="298"/>
      <c r="AA737" s="298"/>
      <c r="AB737" s="298"/>
      <c r="AC737" s="298"/>
      <c r="AD737" s="298"/>
      <c r="AE737" s="298"/>
      <c r="AF737" s="298"/>
      <c r="AG737" s="298"/>
      <c r="AH737" s="298"/>
      <c r="AI737" s="298"/>
      <c r="AJ737" s="298"/>
      <c r="AK737" s="298"/>
      <c r="AL737" s="298"/>
      <c r="AM737" s="298"/>
    </row>
    <row r="738" spans="1:39" ht="15.75" customHeight="1">
      <c r="A738" s="298"/>
      <c r="B738" s="298"/>
      <c r="C738" s="1901"/>
      <c r="D738" s="1947"/>
      <c r="E738" s="1901"/>
      <c r="F738" s="1954"/>
      <c r="G738" s="1901"/>
      <c r="H738" s="1901"/>
      <c r="I738" s="1901"/>
      <c r="J738" s="1647"/>
      <c r="K738" s="1901"/>
      <c r="L738" s="1901"/>
      <c r="M738" s="1955"/>
      <c r="N738" s="1956"/>
      <c r="O738" s="1955"/>
      <c r="P738" s="1955"/>
      <c r="Q738" s="1956"/>
      <c r="R738" s="493"/>
      <c r="S738" s="493"/>
      <c r="T738" s="493"/>
      <c r="U738" s="493"/>
      <c r="V738" s="298"/>
      <c r="W738" s="298"/>
      <c r="X738" s="298"/>
      <c r="Y738" s="298"/>
      <c r="Z738" s="298"/>
      <c r="AA738" s="298"/>
      <c r="AB738" s="298"/>
      <c r="AC738" s="298"/>
      <c r="AD738" s="298"/>
      <c r="AE738" s="298"/>
      <c r="AF738" s="298"/>
      <c r="AG738" s="298"/>
      <c r="AH738" s="298"/>
      <c r="AI738" s="298"/>
      <c r="AJ738" s="298"/>
      <c r="AK738" s="298"/>
      <c r="AL738" s="298"/>
      <c r="AM738" s="298"/>
    </row>
    <row r="739" spans="1:39" ht="15.75" customHeight="1">
      <c r="A739" s="298"/>
      <c r="B739" s="298"/>
      <c r="C739" s="1901"/>
      <c r="D739" s="1947"/>
      <c r="E739" s="1901"/>
      <c r="F739" s="1954"/>
      <c r="G739" s="1901"/>
      <c r="H739" s="1901"/>
      <c r="I739" s="1901"/>
      <c r="J739" s="1647"/>
      <c r="K739" s="1901"/>
      <c r="L739" s="1901"/>
      <c r="M739" s="1955"/>
      <c r="N739" s="1956"/>
      <c r="O739" s="1955"/>
      <c r="P739" s="1955"/>
      <c r="Q739" s="1956"/>
      <c r="R739" s="493"/>
      <c r="S739" s="493"/>
      <c r="T739" s="493"/>
      <c r="U739" s="493"/>
      <c r="V739" s="298"/>
      <c r="W739" s="298"/>
      <c r="X739" s="298"/>
      <c r="Y739" s="298"/>
      <c r="Z739" s="298"/>
      <c r="AA739" s="298"/>
      <c r="AB739" s="298"/>
      <c r="AC739" s="298"/>
      <c r="AD739" s="298"/>
      <c r="AE739" s="298"/>
      <c r="AF739" s="298"/>
      <c r="AG739" s="298"/>
      <c r="AH739" s="298"/>
      <c r="AI739" s="298"/>
      <c r="AJ739" s="298"/>
      <c r="AK739" s="298"/>
      <c r="AL739" s="298"/>
      <c r="AM739" s="298"/>
    </row>
    <row r="740" spans="1:39" ht="15.75" customHeight="1">
      <c r="A740" s="298"/>
      <c r="B740" s="298"/>
      <c r="C740" s="1901"/>
      <c r="D740" s="1947"/>
      <c r="E740" s="1901"/>
      <c r="F740" s="1954"/>
      <c r="G740" s="1901"/>
      <c r="H740" s="1901"/>
      <c r="I740" s="1901"/>
      <c r="J740" s="1647"/>
      <c r="K740" s="1901"/>
      <c r="L740" s="1901"/>
      <c r="M740" s="1955"/>
      <c r="N740" s="1956"/>
      <c r="O740" s="1955"/>
      <c r="P740" s="1955"/>
      <c r="Q740" s="1956"/>
      <c r="R740" s="493"/>
      <c r="S740" s="493"/>
      <c r="T740" s="493"/>
      <c r="U740" s="493"/>
      <c r="V740" s="298"/>
      <c r="W740" s="298"/>
      <c r="X740" s="298"/>
      <c r="Y740" s="298"/>
      <c r="Z740" s="298"/>
      <c r="AA740" s="298"/>
      <c r="AB740" s="298"/>
      <c r="AC740" s="298"/>
      <c r="AD740" s="298"/>
      <c r="AE740" s="298"/>
      <c r="AF740" s="298"/>
      <c r="AG740" s="298"/>
      <c r="AH740" s="298"/>
      <c r="AI740" s="298"/>
      <c r="AJ740" s="298"/>
      <c r="AK740" s="298"/>
      <c r="AL740" s="298"/>
      <c r="AM740" s="298"/>
    </row>
    <row r="741" spans="1:39" ht="15.75" customHeight="1">
      <c r="A741" s="298"/>
      <c r="B741" s="298"/>
      <c r="C741" s="1901"/>
      <c r="D741" s="1947"/>
      <c r="E741" s="1901"/>
      <c r="F741" s="1954"/>
      <c r="G741" s="1901"/>
      <c r="H741" s="1901"/>
      <c r="I741" s="1901"/>
      <c r="J741" s="1647"/>
      <c r="K741" s="1901"/>
      <c r="L741" s="1901"/>
      <c r="M741" s="1955"/>
      <c r="N741" s="1956"/>
      <c r="O741" s="1955"/>
      <c r="P741" s="1955"/>
      <c r="Q741" s="1956"/>
      <c r="R741" s="493"/>
      <c r="S741" s="493"/>
      <c r="T741" s="493"/>
      <c r="U741" s="493"/>
      <c r="V741" s="298"/>
      <c r="W741" s="298"/>
      <c r="X741" s="298"/>
      <c r="Y741" s="298"/>
      <c r="Z741" s="298"/>
      <c r="AA741" s="298"/>
      <c r="AB741" s="298"/>
      <c r="AC741" s="298"/>
      <c r="AD741" s="298"/>
      <c r="AE741" s="298"/>
      <c r="AF741" s="298"/>
      <c r="AG741" s="298"/>
      <c r="AH741" s="298"/>
      <c r="AI741" s="298"/>
      <c r="AJ741" s="298"/>
      <c r="AK741" s="298"/>
      <c r="AL741" s="298"/>
      <c r="AM741" s="298"/>
    </row>
    <row r="742" spans="1:39" ht="15.75" customHeight="1">
      <c r="A742" s="298"/>
      <c r="B742" s="298"/>
      <c r="C742" s="1901"/>
      <c r="D742" s="1947"/>
      <c r="E742" s="1901"/>
      <c r="F742" s="1954"/>
      <c r="G742" s="1901"/>
      <c r="H742" s="1901"/>
      <c r="I742" s="1901"/>
      <c r="J742" s="1647"/>
      <c r="K742" s="1901"/>
      <c r="L742" s="1901"/>
      <c r="M742" s="1955"/>
      <c r="N742" s="1956"/>
      <c r="O742" s="1955"/>
      <c r="P742" s="1955"/>
      <c r="Q742" s="1956"/>
      <c r="R742" s="493"/>
      <c r="S742" s="493"/>
      <c r="T742" s="493"/>
      <c r="U742" s="493"/>
      <c r="V742" s="298"/>
      <c r="W742" s="298"/>
      <c r="X742" s="298"/>
      <c r="Y742" s="298"/>
      <c r="Z742" s="298"/>
      <c r="AA742" s="298"/>
      <c r="AB742" s="298"/>
      <c r="AC742" s="298"/>
      <c r="AD742" s="298"/>
      <c r="AE742" s="298"/>
      <c r="AF742" s="298"/>
      <c r="AG742" s="298"/>
      <c r="AH742" s="298"/>
      <c r="AI742" s="298"/>
      <c r="AJ742" s="298"/>
      <c r="AK742" s="298"/>
      <c r="AL742" s="298"/>
      <c r="AM742" s="298"/>
    </row>
    <row r="743" spans="1:39" ht="15.75" customHeight="1">
      <c r="A743" s="298"/>
      <c r="B743" s="298"/>
      <c r="C743" s="1901"/>
      <c r="D743" s="1947"/>
      <c r="E743" s="1901"/>
      <c r="F743" s="1954"/>
      <c r="G743" s="1901"/>
      <c r="H743" s="1901"/>
      <c r="I743" s="1901"/>
      <c r="J743" s="1647"/>
      <c r="K743" s="1901"/>
      <c r="L743" s="1901"/>
      <c r="M743" s="1955"/>
      <c r="N743" s="1956"/>
      <c r="O743" s="1955"/>
      <c r="P743" s="1955"/>
      <c r="Q743" s="1956"/>
      <c r="R743" s="493"/>
      <c r="S743" s="493"/>
      <c r="T743" s="493"/>
      <c r="U743" s="493"/>
      <c r="V743" s="298"/>
      <c r="W743" s="298"/>
      <c r="X743" s="298"/>
      <c r="Y743" s="298"/>
      <c r="Z743" s="298"/>
      <c r="AA743" s="298"/>
      <c r="AB743" s="298"/>
      <c r="AC743" s="298"/>
      <c r="AD743" s="298"/>
      <c r="AE743" s="298"/>
      <c r="AF743" s="298"/>
      <c r="AG743" s="298"/>
      <c r="AH743" s="298"/>
      <c r="AI743" s="298"/>
      <c r="AJ743" s="298"/>
      <c r="AK743" s="298"/>
      <c r="AL743" s="298"/>
      <c r="AM743" s="298"/>
    </row>
    <row r="744" spans="1:39" ht="15.75" customHeight="1">
      <c r="A744" s="298"/>
      <c r="B744" s="298"/>
      <c r="C744" s="1901"/>
      <c r="D744" s="1947"/>
      <c r="E744" s="1901"/>
      <c r="F744" s="1954"/>
      <c r="G744" s="1901"/>
      <c r="H744" s="1901"/>
      <c r="I744" s="1901"/>
      <c r="J744" s="1647"/>
      <c r="K744" s="1901"/>
      <c r="L744" s="1901"/>
      <c r="M744" s="1955"/>
      <c r="N744" s="1956"/>
      <c r="O744" s="1955"/>
      <c r="P744" s="1955"/>
      <c r="Q744" s="1956"/>
      <c r="R744" s="493"/>
      <c r="S744" s="493"/>
      <c r="T744" s="493"/>
      <c r="U744" s="493"/>
      <c r="V744" s="298"/>
      <c r="W744" s="298"/>
      <c r="X744" s="298"/>
      <c r="Y744" s="298"/>
      <c r="Z744" s="298"/>
      <c r="AA744" s="298"/>
      <c r="AB744" s="298"/>
      <c r="AC744" s="298"/>
      <c r="AD744" s="298"/>
      <c r="AE744" s="298"/>
      <c r="AF744" s="298"/>
      <c r="AG744" s="298"/>
      <c r="AH744" s="298"/>
      <c r="AI744" s="298"/>
      <c r="AJ744" s="298"/>
      <c r="AK744" s="298"/>
      <c r="AL744" s="298"/>
      <c r="AM744" s="298"/>
    </row>
    <row r="745" spans="1:39" ht="15.75" customHeight="1">
      <c r="A745" s="298"/>
      <c r="B745" s="298"/>
      <c r="C745" s="1901"/>
      <c r="D745" s="1947"/>
      <c r="E745" s="1901"/>
      <c r="F745" s="1954"/>
      <c r="G745" s="1901"/>
      <c r="H745" s="1901"/>
      <c r="I745" s="1901"/>
      <c r="J745" s="1647"/>
      <c r="K745" s="1901"/>
      <c r="L745" s="1901"/>
      <c r="M745" s="1955"/>
      <c r="N745" s="1956"/>
      <c r="O745" s="1955"/>
      <c r="P745" s="1955"/>
      <c r="Q745" s="1956"/>
      <c r="R745" s="493"/>
      <c r="S745" s="493"/>
      <c r="T745" s="493"/>
      <c r="U745" s="493"/>
      <c r="V745" s="298"/>
      <c r="W745" s="298"/>
      <c r="X745" s="298"/>
      <c r="Y745" s="298"/>
      <c r="Z745" s="298"/>
      <c r="AA745" s="298"/>
      <c r="AB745" s="298"/>
      <c r="AC745" s="298"/>
      <c r="AD745" s="298"/>
      <c r="AE745" s="298"/>
      <c r="AF745" s="298"/>
      <c r="AG745" s="298"/>
      <c r="AH745" s="298"/>
      <c r="AI745" s="298"/>
      <c r="AJ745" s="298"/>
      <c r="AK745" s="298"/>
      <c r="AL745" s="298"/>
      <c r="AM745" s="298"/>
    </row>
    <row r="746" spans="1:39" ht="15.75" customHeight="1">
      <c r="A746" s="298"/>
      <c r="B746" s="298"/>
      <c r="C746" s="1901"/>
      <c r="D746" s="1947"/>
      <c r="E746" s="1901"/>
      <c r="F746" s="1954"/>
      <c r="G746" s="1901"/>
      <c r="H746" s="1901"/>
      <c r="I746" s="1901"/>
      <c r="J746" s="1647"/>
      <c r="K746" s="1901"/>
      <c r="L746" s="1901"/>
      <c r="M746" s="1955"/>
      <c r="N746" s="1956"/>
      <c r="O746" s="1955"/>
      <c r="P746" s="1955"/>
      <c r="Q746" s="1956"/>
      <c r="R746" s="493"/>
      <c r="S746" s="493"/>
      <c r="T746" s="493"/>
      <c r="U746" s="493"/>
      <c r="V746" s="298"/>
      <c r="W746" s="298"/>
      <c r="X746" s="298"/>
      <c r="Y746" s="298"/>
      <c r="Z746" s="298"/>
      <c r="AA746" s="298"/>
      <c r="AB746" s="298"/>
      <c r="AC746" s="298"/>
      <c r="AD746" s="298"/>
      <c r="AE746" s="298"/>
      <c r="AF746" s="298"/>
      <c r="AG746" s="298"/>
      <c r="AH746" s="298"/>
      <c r="AI746" s="298"/>
      <c r="AJ746" s="298"/>
      <c r="AK746" s="298"/>
      <c r="AL746" s="298"/>
      <c r="AM746" s="298"/>
    </row>
    <row r="747" spans="1:39" ht="15.75" customHeight="1">
      <c r="A747" s="298"/>
      <c r="B747" s="298"/>
      <c r="C747" s="1901"/>
      <c r="D747" s="1947"/>
      <c r="E747" s="1901"/>
      <c r="F747" s="1954"/>
      <c r="G747" s="1901"/>
      <c r="H747" s="1901"/>
      <c r="I747" s="1901"/>
      <c r="J747" s="1647"/>
      <c r="K747" s="1901"/>
      <c r="L747" s="1901"/>
      <c r="M747" s="1955"/>
      <c r="N747" s="1956"/>
      <c r="O747" s="1955"/>
      <c r="P747" s="1955"/>
      <c r="Q747" s="1956"/>
      <c r="R747" s="493"/>
      <c r="S747" s="493"/>
      <c r="T747" s="493"/>
      <c r="U747" s="493"/>
      <c r="V747" s="298"/>
      <c r="W747" s="298"/>
      <c r="X747" s="298"/>
      <c r="Y747" s="298"/>
      <c r="Z747" s="298"/>
      <c r="AA747" s="298"/>
      <c r="AB747" s="298"/>
      <c r="AC747" s="298"/>
      <c r="AD747" s="298"/>
      <c r="AE747" s="298"/>
      <c r="AF747" s="298"/>
      <c r="AG747" s="298"/>
      <c r="AH747" s="298"/>
      <c r="AI747" s="298"/>
      <c r="AJ747" s="298"/>
      <c r="AK747" s="298"/>
      <c r="AL747" s="298"/>
      <c r="AM747" s="298"/>
    </row>
    <row r="748" spans="1:39" ht="15.75" customHeight="1">
      <c r="A748" s="298"/>
      <c r="B748" s="298"/>
      <c r="C748" s="1901"/>
      <c r="D748" s="1947"/>
      <c r="E748" s="1901"/>
      <c r="F748" s="1954"/>
      <c r="G748" s="1901"/>
      <c r="H748" s="1901"/>
      <c r="I748" s="1901"/>
      <c r="J748" s="1647"/>
      <c r="K748" s="1901"/>
      <c r="L748" s="1901"/>
      <c r="M748" s="1955"/>
      <c r="N748" s="1956"/>
      <c r="O748" s="1955"/>
      <c r="P748" s="1955"/>
      <c r="Q748" s="1956"/>
      <c r="R748" s="493"/>
      <c r="S748" s="493"/>
      <c r="T748" s="493"/>
      <c r="U748" s="493"/>
      <c r="V748" s="298"/>
      <c r="W748" s="298"/>
      <c r="X748" s="298"/>
      <c r="Y748" s="298"/>
      <c r="Z748" s="298"/>
      <c r="AA748" s="298"/>
      <c r="AB748" s="298"/>
      <c r="AC748" s="298"/>
      <c r="AD748" s="298"/>
      <c r="AE748" s="298"/>
      <c r="AF748" s="298"/>
      <c r="AG748" s="298"/>
      <c r="AH748" s="298"/>
      <c r="AI748" s="298"/>
      <c r="AJ748" s="298"/>
      <c r="AK748" s="298"/>
      <c r="AL748" s="298"/>
      <c r="AM748" s="298"/>
    </row>
    <row r="749" spans="1:39" ht="15.75" customHeight="1">
      <c r="A749" s="298"/>
      <c r="B749" s="298"/>
      <c r="C749" s="1901"/>
      <c r="D749" s="1947"/>
      <c r="E749" s="1901"/>
      <c r="F749" s="1954"/>
      <c r="G749" s="1901"/>
      <c r="H749" s="1901"/>
      <c r="I749" s="1901"/>
      <c r="J749" s="1647"/>
      <c r="K749" s="1901"/>
      <c r="L749" s="1901"/>
      <c r="M749" s="1955"/>
      <c r="N749" s="1956"/>
      <c r="O749" s="1955"/>
      <c r="P749" s="1955"/>
      <c r="Q749" s="1956"/>
      <c r="R749" s="493"/>
      <c r="S749" s="493"/>
      <c r="T749" s="493"/>
      <c r="U749" s="493"/>
      <c r="V749" s="298"/>
      <c r="W749" s="298"/>
      <c r="X749" s="298"/>
      <c r="Y749" s="298"/>
      <c r="Z749" s="298"/>
      <c r="AA749" s="298"/>
      <c r="AB749" s="298"/>
      <c r="AC749" s="298"/>
      <c r="AD749" s="298"/>
      <c r="AE749" s="298"/>
      <c r="AF749" s="298"/>
      <c r="AG749" s="298"/>
      <c r="AH749" s="298"/>
      <c r="AI749" s="298"/>
      <c r="AJ749" s="298"/>
      <c r="AK749" s="298"/>
      <c r="AL749" s="298"/>
      <c r="AM749" s="298"/>
    </row>
    <row r="750" spans="1:39" ht="15.75" customHeight="1">
      <c r="A750" s="298"/>
      <c r="B750" s="298"/>
      <c r="C750" s="1901"/>
      <c r="D750" s="1947"/>
      <c r="E750" s="1901"/>
      <c r="F750" s="1954"/>
      <c r="G750" s="1901"/>
      <c r="H750" s="1901"/>
      <c r="I750" s="1901"/>
      <c r="J750" s="1647"/>
      <c r="K750" s="1901"/>
      <c r="L750" s="1901"/>
      <c r="M750" s="1955"/>
      <c r="N750" s="1956"/>
      <c r="O750" s="1955"/>
      <c r="P750" s="1955"/>
      <c r="Q750" s="1956"/>
      <c r="R750" s="493"/>
      <c r="S750" s="493"/>
      <c r="T750" s="493"/>
      <c r="U750" s="493"/>
      <c r="V750" s="298"/>
      <c r="W750" s="298"/>
      <c r="X750" s="298"/>
      <c r="Y750" s="298"/>
      <c r="Z750" s="298"/>
      <c r="AA750" s="298"/>
      <c r="AB750" s="298"/>
      <c r="AC750" s="298"/>
      <c r="AD750" s="298"/>
      <c r="AE750" s="298"/>
      <c r="AF750" s="298"/>
      <c r="AG750" s="298"/>
      <c r="AH750" s="298"/>
      <c r="AI750" s="298"/>
      <c r="AJ750" s="298"/>
      <c r="AK750" s="298"/>
      <c r="AL750" s="298"/>
      <c r="AM750" s="298"/>
    </row>
    <row r="751" spans="1:39" ht="15.75" customHeight="1">
      <c r="A751" s="298"/>
      <c r="B751" s="298"/>
      <c r="C751" s="1901"/>
      <c r="D751" s="1947"/>
      <c r="E751" s="1901"/>
      <c r="F751" s="1954"/>
      <c r="G751" s="1901"/>
      <c r="H751" s="1901"/>
      <c r="I751" s="1901"/>
      <c r="J751" s="1647"/>
      <c r="K751" s="1901"/>
      <c r="L751" s="1901"/>
      <c r="M751" s="1955"/>
      <c r="N751" s="1956"/>
      <c r="O751" s="1955"/>
      <c r="P751" s="1955"/>
      <c r="Q751" s="1956"/>
      <c r="R751" s="493"/>
      <c r="S751" s="493"/>
      <c r="T751" s="493"/>
      <c r="U751" s="493"/>
      <c r="V751" s="298"/>
      <c r="W751" s="298"/>
      <c r="X751" s="298"/>
      <c r="Y751" s="298"/>
      <c r="Z751" s="298"/>
      <c r="AA751" s="298"/>
      <c r="AB751" s="298"/>
      <c r="AC751" s="298"/>
      <c r="AD751" s="298"/>
      <c r="AE751" s="298"/>
      <c r="AF751" s="298"/>
      <c r="AG751" s="298"/>
      <c r="AH751" s="298"/>
      <c r="AI751" s="298"/>
      <c r="AJ751" s="298"/>
      <c r="AK751" s="298"/>
      <c r="AL751" s="298"/>
      <c r="AM751" s="298"/>
    </row>
    <row r="752" spans="1:39" ht="15.75" customHeight="1">
      <c r="A752" s="298"/>
      <c r="B752" s="298"/>
      <c r="C752" s="1901"/>
      <c r="D752" s="1947"/>
      <c r="E752" s="1901"/>
      <c r="F752" s="1954"/>
      <c r="G752" s="1901"/>
      <c r="H752" s="1901"/>
      <c r="I752" s="1901"/>
      <c r="J752" s="1647"/>
      <c r="K752" s="1901"/>
      <c r="L752" s="1901"/>
      <c r="M752" s="1955"/>
      <c r="N752" s="1956"/>
      <c r="O752" s="1955"/>
      <c r="P752" s="1955"/>
      <c r="Q752" s="1956"/>
      <c r="R752" s="493"/>
      <c r="S752" s="493"/>
      <c r="T752" s="493"/>
      <c r="U752" s="493"/>
      <c r="V752" s="298"/>
      <c r="W752" s="298"/>
      <c r="X752" s="298"/>
      <c r="Y752" s="298"/>
      <c r="Z752" s="298"/>
      <c r="AA752" s="298"/>
      <c r="AB752" s="298"/>
      <c r="AC752" s="298"/>
      <c r="AD752" s="298"/>
      <c r="AE752" s="298"/>
      <c r="AF752" s="298"/>
      <c r="AG752" s="298"/>
      <c r="AH752" s="298"/>
      <c r="AI752" s="298"/>
      <c r="AJ752" s="298"/>
      <c r="AK752" s="298"/>
      <c r="AL752" s="298"/>
      <c r="AM752" s="298"/>
    </row>
    <row r="753" spans="1:39" ht="15.75" customHeight="1">
      <c r="A753" s="298"/>
      <c r="B753" s="298"/>
      <c r="C753" s="1901"/>
      <c r="D753" s="1947"/>
      <c r="E753" s="1901"/>
      <c r="F753" s="1954"/>
      <c r="G753" s="1901"/>
      <c r="H753" s="1901"/>
      <c r="I753" s="1901"/>
      <c r="J753" s="1647"/>
      <c r="K753" s="1901"/>
      <c r="L753" s="1901"/>
      <c r="M753" s="1955"/>
      <c r="N753" s="1956"/>
      <c r="O753" s="1955"/>
      <c r="P753" s="1955"/>
      <c r="Q753" s="1956"/>
      <c r="R753" s="493"/>
      <c r="S753" s="493"/>
      <c r="T753" s="493"/>
      <c r="U753" s="493"/>
      <c r="V753" s="298"/>
      <c r="W753" s="298"/>
      <c r="X753" s="298"/>
      <c r="Y753" s="298"/>
      <c r="Z753" s="298"/>
      <c r="AA753" s="298"/>
      <c r="AB753" s="298"/>
      <c r="AC753" s="298"/>
      <c r="AD753" s="298"/>
      <c r="AE753" s="298"/>
      <c r="AF753" s="298"/>
      <c r="AG753" s="298"/>
      <c r="AH753" s="298"/>
      <c r="AI753" s="298"/>
      <c r="AJ753" s="298"/>
      <c r="AK753" s="298"/>
      <c r="AL753" s="298"/>
      <c r="AM753" s="298"/>
    </row>
    <row r="754" spans="1:39" ht="15.75" customHeight="1">
      <c r="A754" s="298"/>
      <c r="B754" s="298"/>
      <c r="C754" s="1901"/>
      <c r="D754" s="1947"/>
      <c r="E754" s="1901"/>
      <c r="F754" s="1954"/>
      <c r="G754" s="1901"/>
      <c r="H754" s="1901"/>
      <c r="I754" s="1901"/>
      <c r="J754" s="1647"/>
      <c r="K754" s="1901"/>
      <c r="L754" s="1901"/>
      <c r="M754" s="1955"/>
      <c r="N754" s="1956"/>
      <c r="O754" s="1955"/>
      <c r="P754" s="1955"/>
      <c r="Q754" s="1956"/>
      <c r="R754" s="493"/>
      <c r="S754" s="493"/>
      <c r="T754" s="493"/>
      <c r="U754" s="493"/>
      <c r="V754" s="298"/>
      <c r="W754" s="298"/>
      <c r="X754" s="298"/>
      <c r="Y754" s="298"/>
      <c r="Z754" s="298"/>
      <c r="AA754" s="298"/>
      <c r="AB754" s="298"/>
      <c r="AC754" s="298"/>
      <c r="AD754" s="298"/>
      <c r="AE754" s="298"/>
      <c r="AF754" s="298"/>
      <c r="AG754" s="298"/>
      <c r="AH754" s="298"/>
      <c r="AI754" s="298"/>
      <c r="AJ754" s="298"/>
      <c r="AK754" s="298"/>
      <c r="AL754" s="298"/>
      <c r="AM754" s="298"/>
    </row>
    <row r="755" spans="1:39" ht="15.75" customHeight="1">
      <c r="A755" s="298"/>
      <c r="B755" s="298"/>
      <c r="C755" s="1901"/>
      <c r="D755" s="1947"/>
      <c r="E755" s="1901"/>
      <c r="F755" s="1954"/>
      <c r="G755" s="1901"/>
      <c r="H755" s="1901"/>
      <c r="I755" s="1901"/>
      <c r="J755" s="1647"/>
      <c r="K755" s="1901"/>
      <c r="L755" s="1901"/>
      <c r="M755" s="1955"/>
      <c r="N755" s="1956"/>
      <c r="O755" s="1955"/>
      <c r="P755" s="1955"/>
      <c r="Q755" s="1956"/>
      <c r="R755" s="493"/>
      <c r="S755" s="493"/>
      <c r="T755" s="493"/>
      <c r="U755" s="493"/>
      <c r="V755" s="298"/>
      <c r="W755" s="298"/>
      <c r="X755" s="298"/>
      <c r="Y755" s="298"/>
      <c r="Z755" s="298"/>
      <c r="AA755" s="298"/>
      <c r="AB755" s="298"/>
      <c r="AC755" s="298"/>
      <c r="AD755" s="298"/>
      <c r="AE755" s="298"/>
      <c r="AF755" s="298"/>
      <c r="AG755" s="298"/>
      <c r="AH755" s="298"/>
      <c r="AI755" s="298"/>
      <c r="AJ755" s="298"/>
      <c r="AK755" s="298"/>
      <c r="AL755" s="298"/>
      <c r="AM755" s="298"/>
    </row>
    <row r="756" spans="1:39" ht="15.75" customHeight="1">
      <c r="A756" s="298"/>
      <c r="B756" s="298"/>
      <c r="C756" s="1901"/>
      <c r="D756" s="1947"/>
      <c r="E756" s="1901"/>
      <c r="F756" s="1954"/>
      <c r="G756" s="1901"/>
      <c r="H756" s="1901"/>
      <c r="I756" s="1901"/>
      <c r="J756" s="1647"/>
      <c r="K756" s="1901"/>
      <c r="L756" s="1901"/>
      <c r="M756" s="1955"/>
      <c r="N756" s="1956"/>
      <c r="O756" s="1955"/>
      <c r="P756" s="1955"/>
      <c r="Q756" s="1956"/>
      <c r="R756" s="493"/>
      <c r="S756" s="493"/>
      <c r="T756" s="493"/>
      <c r="U756" s="493"/>
      <c r="V756" s="298"/>
      <c r="W756" s="298"/>
      <c r="X756" s="298"/>
      <c r="Y756" s="298"/>
      <c r="Z756" s="298"/>
      <c r="AA756" s="298"/>
      <c r="AB756" s="298"/>
      <c r="AC756" s="298"/>
      <c r="AD756" s="298"/>
      <c r="AE756" s="298"/>
      <c r="AF756" s="298"/>
      <c r="AG756" s="298"/>
      <c r="AH756" s="298"/>
      <c r="AI756" s="298"/>
      <c r="AJ756" s="298"/>
      <c r="AK756" s="298"/>
      <c r="AL756" s="298"/>
      <c r="AM756" s="298"/>
    </row>
    <row r="757" spans="1:39" ht="15.75" customHeight="1">
      <c r="A757" s="298"/>
      <c r="B757" s="298"/>
      <c r="C757" s="1901"/>
      <c r="D757" s="1947"/>
      <c r="E757" s="1901"/>
      <c r="F757" s="1954"/>
      <c r="G757" s="1901"/>
      <c r="H757" s="1901"/>
      <c r="I757" s="1901"/>
      <c r="J757" s="1647"/>
      <c r="K757" s="1901"/>
      <c r="L757" s="1901"/>
      <c r="M757" s="1955"/>
      <c r="N757" s="1956"/>
      <c r="O757" s="1955"/>
      <c r="P757" s="1955"/>
      <c r="Q757" s="1956"/>
      <c r="R757" s="493"/>
      <c r="S757" s="493"/>
      <c r="T757" s="493"/>
      <c r="U757" s="493"/>
      <c r="V757" s="298"/>
      <c r="W757" s="298"/>
      <c r="X757" s="298"/>
      <c r="Y757" s="298"/>
      <c r="Z757" s="298"/>
      <c r="AA757" s="298"/>
      <c r="AB757" s="298"/>
      <c r="AC757" s="298"/>
      <c r="AD757" s="298"/>
      <c r="AE757" s="298"/>
      <c r="AF757" s="298"/>
      <c r="AG757" s="298"/>
      <c r="AH757" s="298"/>
      <c r="AI757" s="298"/>
      <c r="AJ757" s="298"/>
      <c r="AK757" s="298"/>
      <c r="AL757" s="298"/>
      <c r="AM757" s="298"/>
    </row>
    <row r="758" spans="1:39" ht="15.75" customHeight="1">
      <c r="A758" s="298"/>
      <c r="B758" s="298"/>
      <c r="C758" s="1901"/>
      <c r="D758" s="1947"/>
      <c r="E758" s="1901"/>
      <c r="F758" s="1954"/>
      <c r="G758" s="1901"/>
      <c r="H758" s="1901"/>
      <c r="I758" s="1901"/>
      <c r="J758" s="1647"/>
      <c r="K758" s="1901"/>
      <c r="L758" s="1901"/>
      <c r="M758" s="1955"/>
      <c r="N758" s="1956"/>
      <c r="O758" s="1955"/>
      <c r="P758" s="1955"/>
      <c r="Q758" s="1956"/>
      <c r="R758" s="493"/>
      <c r="S758" s="493"/>
      <c r="T758" s="493"/>
      <c r="U758" s="493"/>
      <c r="V758" s="298"/>
      <c r="W758" s="298"/>
      <c r="X758" s="298"/>
      <c r="Y758" s="298"/>
      <c r="Z758" s="298"/>
      <c r="AA758" s="298"/>
      <c r="AB758" s="298"/>
      <c r="AC758" s="298"/>
      <c r="AD758" s="298"/>
      <c r="AE758" s="298"/>
      <c r="AF758" s="298"/>
      <c r="AG758" s="298"/>
      <c r="AH758" s="298"/>
      <c r="AI758" s="298"/>
      <c r="AJ758" s="298"/>
      <c r="AK758" s="298"/>
      <c r="AL758" s="298"/>
      <c r="AM758" s="298"/>
    </row>
    <row r="759" spans="1:39" ht="15.75" customHeight="1">
      <c r="A759" s="298"/>
      <c r="B759" s="298"/>
      <c r="C759" s="1901"/>
      <c r="D759" s="1947"/>
      <c r="E759" s="1901"/>
      <c r="F759" s="1954"/>
      <c r="G759" s="1901"/>
      <c r="H759" s="1901"/>
      <c r="I759" s="1901"/>
      <c r="J759" s="1647"/>
      <c r="K759" s="1901"/>
      <c r="L759" s="1901"/>
      <c r="M759" s="1955"/>
      <c r="N759" s="1956"/>
      <c r="O759" s="1955"/>
      <c r="P759" s="1955"/>
      <c r="Q759" s="1956"/>
      <c r="R759" s="493"/>
      <c r="S759" s="493"/>
      <c r="T759" s="493"/>
      <c r="U759" s="493"/>
      <c r="V759" s="298"/>
      <c r="W759" s="298"/>
      <c r="X759" s="298"/>
      <c r="Y759" s="298"/>
      <c r="Z759" s="298"/>
      <c r="AA759" s="298"/>
      <c r="AB759" s="298"/>
      <c r="AC759" s="298"/>
      <c r="AD759" s="298"/>
      <c r="AE759" s="298"/>
      <c r="AF759" s="298"/>
      <c r="AG759" s="298"/>
      <c r="AH759" s="298"/>
      <c r="AI759" s="298"/>
      <c r="AJ759" s="298"/>
      <c r="AK759" s="298"/>
      <c r="AL759" s="298"/>
      <c r="AM759" s="298"/>
    </row>
    <row r="760" spans="1:39" ht="15.75" customHeight="1">
      <c r="A760" s="298"/>
      <c r="B760" s="298"/>
      <c r="C760" s="1901"/>
      <c r="D760" s="1947"/>
      <c r="E760" s="1901"/>
      <c r="F760" s="1954"/>
      <c r="G760" s="1901"/>
      <c r="H760" s="1901"/>
      <c r="I760" s="1901"/>
      <c r="J760" s="1647"/>
      <c r="K760" s="1901"/>
      <c r="L760" s="1901"/>
      <c r="M760" s="1955"/>
      <c r="N760" s="1956"/>
      <c r="O760" s="1955"/>
      <c r="P760" s="1955"/>
      <c r="Q760" s="1956"/>
      <c r="R760" s="493"/>
      <c r="S760" s="493"/>
      <c r="T760" s="493"/>
      <c r="U760" s="493"/>
      <c r="V760" s="298"/>
      <c r="W760" s="298"/>
      <c r="X760" s="298"/>
      <c r="Y760" s="298"/>
      <c r="Z760" s="298"/>
      <c r="AA760" s="298"/>
      <c r="AB760" s="298"/>
      <c r="AC760" s="298"/>
      <c r="AD760" s="298"/>
      <c r="AE760" s="298"/>
      <c r="AF760" s="298"/>
      <c r="AG760" s="298"/>
      <c r="AH760" s="298"/>
      <c r="AI760" s="298"/>
      <c r="AJ760" s="298"/>
      <c r="AK760" s="298"/>
      <c r="AL760" s="298"/>
      <c r="AM760" s="298"/>
    </row>
    <row r="761" spans="1:39" ht="15.75" customHeight="1">
      <c r="A761" s="298"/>
      <c r="B761" s="298"/>
      <c r="C761" s="1901"/>
      <c r="D761" s="1947"/>
      <c r="E761" s="1901"/>
      <c r="F761" s="1954"/>
      <c r="G761" s="1901"/>
      <c r="H761" s="1901"/>
      <c r="I761" s="1901"/>
      <c r="J761" s="1647"/>
      <c r="K761" s="1901"/>
      <c r="L761" s="1901"/>
      <c r="M761" s="1955"/>
      <c r="N761" s="1956"/>
      <c r="O761" s="1955"/>
      <c r="P761" s="1955"/>
      <c r="Q761" s="1956"/>
      <c r="R761" s="493"/>
      <c r="S761" s="493"/>
      <c r="T761" s="493"/>
      <c r="U761" s="493"/>
      <c r="V761" s="298"/>
      <c r="W761" s="298"/>
      <c r="X761" s="298"/>
      <c r="Y761" s="298"/>
      <c r="Z761" s="298"/>
      <c r="AA761" s="298"/>
      <c r="AB761" s="298"/>
      <c r="AC761" s="298"/>
      <c r="AD761" s="298"/>
      <c r="AE761" s="298"/>
      <c r="AF761" s="298"/>
      <c r="AG761" s="298"/>
      <c r="AH761" s="298"/>
      <c r="AI761" s="298"/>
      <c r="AJ761" s="298"/>
      <c r="AK761" s="298"/>
      <c r="AL761" s="298"/>
      <c r="AM761" s="298"/>
    </row>
    <row r="762" spans="1:39" ht="15.75" customHeight="1">
      <c r="A762" s="298"/>
      <c r="B762" s="298"/>
      <c r="C762" s="1901"/>
      <c r="D762" s="1947"/>
      <c r="E762" s="1901"/>
      <c r="F762" s="1954"/>
      <c r="G762" s="1901"/>
      <c r="H762" s="1901"/>
      <c r="I762" s="1901"/>
      <c r="J762" s="1647"/>
      <c r="K762" s="1901"/>
      <c r="L762" s="1901"/>
      <c r="M762" s="1955"/>
      <c r="N762" s="1956"/>
      <c r="O762" s="1955"/>
      <c r="P762" s="1955"/>
      <c r="Q762" s="1956"/>
      <c r="R762" s="493"/>
      <c r="S762" s="493"/>
      <c r="T762" s="493"/>
      <c r="U762" s="493"/>
      <c r="V762" s="298"/>
      <c r="W762" s="298"/>
      <c r="X762" s="298"/>
      <c r="Y762" s="298"/>
      <c r="Z762" s="298"/>
      <c r="AA762" s="298"/>
      <c r="AB762" s="298"/>
      <c r="AC762" s="298"/>
      <c r="AD762" s="298"/>
      <c r="AE762" s="298"/>
      <c r="AF762" s="298"/>
      <c r="AG762" s="298"/>
      <c r="AH762" s="298"/>
      <c r="AI762" s="298"/>
      <c r="AJ762" s="298"/>
      <c r="AK762" s="298"/>
      <c r="AL762" s="298"/>
      <c r="AM762" s="298"/>
    </row>
    <row r="763" spans="1:39" ht="15.75" customHeight="1">
      <c r="A763" s="298"/>
      <c r="B763" s="298"/>
      <c r="C763" s="1901"/>
      <c r="D763" s="1947"/>
      <c r="E763" s="1901"/>
      <c r="F763" s="1954"/>
      <c r="G763" s="1901"/>
      <c r="H763" s="1901"/>
      <c r="I763" s="1901"/>
      <c r="J763" s="1647"/>
      <c r="K763" s="1901"/>
      <c r="L763" s="1901"/>
      <c r="M763" s="1955"/>
      <c r="N763" s="1956"/>
      <c r="O763" s="1955"/>
      <c r="P763" s="1955"/>
      <c r="Q763" s="1956"/>
      <c r="R763" s="493"/>
      <c r="S763" s="493"/>
      <c r="T763" s="493"/>
      <c r="U763" s="493"/>
      <c r="V763" s="298"/>
      <c r="W763" s="298"/>
      <c r="X763" s="298"/>
      <c r="Y763" s="298"/>
      <c r="Z763" s="298"/>
      <c r="AA763" s="298"/>
      <c r="AB763" s="298"/>
      <c r="AC763" s="298"/>
      <c r="AD763" s="298"/>
      <c r="AE763" s="298"/>
      <c r="AF763" s="298"/>
      <c r="AG763" s="298"/>
      <c r="AH763" s="298"/>
      <c r="AI763" s="298"/>
      <c r="AJ763" s="298"/>
      <c r="AK763" s="298"/>
      <c r="AL763" s="298"/>
      <c r="AM763" s="298"/>
    </row>
    <row r="764" spans="1:39" ht="15.75" customHeight="1">
      <c r="A764" s="298"/>
      <c r="B764" s="298"/>
      <c r="C764" s="1901"/>
      <c r="D764" s="1947"/>
      <c r="E764" s="1901"/>
      <c r="F764" s="1954"/>
      <c r="G764" s="1901"/>
      <c r="H764" s="1901"/>
      <c r="I764" s="1901"/>
      <c r="J764" s="1647"/>
      <c r="K764" s="1901"/>
      <c r="L764" s="1901"/>
      <c r="M764" s="1955"/>
      <c r="N764" s="1956"/>
      <c r="O764" s="1955"/>
      <c r="P764" s="1955"/>
      <c r="Q764" s="1956"/>
      <c r="R764" s="493"/>
      <c r="S764" s="493"/>
      <c r="T764" s="493"/>
      <c r="U764" s="493"/>
      <c r="V764" s="298"/>
      <c r="W764" s="298"/>
      <c r="X764" s="298"/>
      <c r="Y764" s="298"/>
      <c r="Z764" s="298"/>
      <c r="AA764" s="298"/>
      <c r="AB764" s="298"/>
      <c r="AC764" s="298"/>
      <c r="AD764" s="298"/>
      <c r="AE764" s="298"/>
      <c r="AF764" s="298"/>
      <c r="AG764" s="298"/>
      <c r="AH764" s="298"/>
      <c r="AI764" s="298"/>
      <c r="AJ764" s="298"/>
      <c r="AK764" s="298"/>
      <c r="AL764" s="298"/>
      <c r="AM764" s="298"/>
    </row>
    <row r="765" spans="1:39" ht="15.75" customHeight="1">
      <c r="A765" s="298"/>
      <c r="B765" s="298"/>
      <c r="C765" s="1901"/>
      <c r="D765" s="1947"/>
      <c r="E765" s="1901"/>
      <c r="F765" s="1954"/>
      <c r="G765" s="1901"/>
      <c r="H765" s="1901"/>
      <c r="I765" s="1901"/>
      <c r="J765" s="1647"/>
      <c r="K765" s="1901"/>
      <c r="L765" s="1901"/>
      <c r="M765" s="1955"/>
      <c r="N765" s="1956"/>
      <c r="O765" s="1955"/>
      <c r="P765" s="1955"/>
      <c r="Q765" s="1956"/>
      <c r="R765" s="493"/>
      <c r="S765" s="493"/>
      <c r="T765" s="493"/>
      <c r="U765" s="493"/>
      <c r="V765" s="298"/>
      <c r="W765" s="298"/>
      <c r="X765" s="298"/>
      <c r="Y765" s="298"/>
      <c r="Z765" s="298"/>
      <c r="AA765" s="298"/>
      <c r="AB765" s="298"/>
      <c r="AC765" s="298"/>
      <c r="AD765" s="298"/>
      <c r="AE765" s="298"/>
      <c r="AF765" s="298"/>
      <c r="AG765" s="298"/>
      <c r="AH765" s="298"/>
      <c r="AI765" s="298"/>
      <c r="AJ765" s="298"/>
      <c r="AK765" s="298"/>
      <c r="AL765" s="298"/>
      <c r="AM765" s="298"/>
    </row>
    <row r="766" spans="1:39" ht="15.75" customHeight="1">
      <c r="A766" s="298"/>
      <c r="B766" s="298"/>
      <c r="C766" s="1901"/>
      <c r="D766" s="1947"/>
      <c r="E766" s="1901"/>
      <c r="F766" s="1954"/>
      <c r="G766" s="1901"/>
      <c r="H766" s="1901"/>
      <c r="I766" s="1901"/>
      <c r="J766" s="1647"/>
      <c r="K766" s="1901"/>
      <c r="L766" s="1901"/>
      <c r="M766" s="1955"/>
      <c r="N766" s="1956"/>
      <c r="O766" s="1955"/>
      <c r="P766" s="1955"/>
      <c r="Q766" s="1956"/>
      <c r="R766" s="493"/>
      <c r="S766" s="493"/>
      <c r="T766" s="493"/>
      <c r="U766" s="493"/>
      <c r="V766" s="298"/>
      <c r="W766" s="298"/>
      <c r="X766" s="298"/>
      <c r="Y766" s="298"/>
      <c r="Z766" s="298"/>
      <c r="AA766" s="298"/>
      <c r="AB766" s="298"/>
      <c r="AC766" s="298"/>
      <c r="AD766" s="298"/>
      <c r="AE766" s="298"/>
      <c r="AF766" s="298"/>
      <c r="AG766" s="298"/>
      <c r="AH766" s="298"/>
      <c r="AI766" s="298"/>
      <c r="AJ766" s="298"/>
      <c r="AK766" s="298"/>
      <c r="AL766" s="298"/>
      <c r="AM766" s="298"/>
    </row>
    <row r="767" spans="1:39" ht="15.75" customHeight="1">
      <c r="A767" s="298"/>
      <c r="B767" s="298"/>
      <c r="C767" s="1901"/>
      <c r="D767" s="1947"/>
      <c r="E767" s="1901"/>
      <c r="F767" s="1954"/>
      <c r="G767" s="1901"/>
      <c r="H767" s="1901"/>
      <c r="I767" s="1901"/>
      <c r="J767" s="1647"/>
      <c r="K767" s="1901"/>
      <c r="L767" s="1901"/>
      <c r="M767" s="1955"/>
      <c r="N767" s="1956"/>
      <c r="O767" s="1955"/>
      <c r="P767" s="1955"/>
      <c r="Q767" s="1956"/>
      <c r="R767" s="493"/>
      <c r="S767" s="493"/>
      <c r="T767" s="493"/>
      <c r="U767" s="493"/>
      <c r="V767" s="298"/>
      <c r="W767" s="298"/>
      <c r="X767" s="298"/>
      <c r="Y767" s="298"/>
      <c r="Z767" s="298"/>
      <c r="AA767" s="298"/>
      <c r="AB767" s="298"/>
      <c r="AC767" s="298"/>
      <c r="AD767" s="298"/>
      <c r="AE767" s="298"/>
      <c r="AF767" s="298"/>
      <c r="AG767" s="298"/>
      <c r="AH767" s="298"/>
      <c r="AI767" s="298"/>
      <c r="AJ767" s="298"/>
      <c r="AK767" s="298"/>
      <c r="AL767" s="298"/>
      <c r="AM767" s="298"/>
    </row>
    <row r="768" spans="1:39" ht="15.75" customHeight="1">
      <c r="A768" s="298"/>
      <c r="B768" s="298"/>
      <c r="C768" s="1901"/>
      <c r="D768" s="1947"/>
      <c r="E768" s="1901"/>
      <c r="F768" s="1954"/>
      <c r="G768" s="1901"/>
      <c r="H768" s="1901"/>
      <c r="I768" s="1901"/>
      <c r="J768" s="1647"/>
      <c r="K768" s="1901"/>
      <c r="L768" s="1901"/>
      <c r="M768" s="1955"/>
      <c r="N768" s="1956"/>
      <c r="O768" s="1955"/>
      <c r="P768" s="1955"/>
      <c r="Q768" s="1956"/>
      <c r="R768" s="493"/>
      <c r="S768" s="493"/>
      <c r="T768" s="493"/>
      <c r="U768" s="493"/>
      <c r="V768" s="298"/>
      <c r="W768" s="298"/>
      <c r="X768" s="298"/>
      <c r="Y768" s="298"/>
      <c r="Z768" s="298"/>
      <c r="AA768" s="298"/>
      <c r="AB768" s="298"/>
      <c r="AC768" s="298"/>
      <c r="AD768" s="298"/>
      <c r="AE768" s="298"/>
      <c r="AF768" s="298"/>
      <c r="AG768" s="298"/>
      <c r="AH768" s="298"/>
      <c r="AI768" s="298"/>
      <c r="AJ768" s="298"/>
      <c r="AK768" s="298"/>
      <c r="AL768" s="298"/>
      <c r="AM768" s="298"/>
    </row>
    <row r="769" spans="1:39" ht="15.75" customHeight="1">
      <c r="A769" s="298"/>
      <c r="B769" s="298"/>
      <c r="C769" s="1901"/>
      <c r="D769" s="1947"/>
      <c r="E769" s="1901"/>
      <c r="F769" s="1954"/>
      <c r="G769" s="1901"/>
      <c r="H769" s="1901"/>
      <c r="I769" s="1901"/>
      <c r="J769" s="1647"/>
      <c r="K769" s="1901"/>
      <c r="L769" s="1901"/>
      <c r="M769" s="1955"/>
      <c r="N769" s="1956"/>
      <c r="O769" s="1955"/>
      <c r="P769" s="1955"/>
      <c r="Q769" s="1956"/>
      <c r="R769" s="493"/>
      <c r="S769" s="493"/>
      <c r="T769" s="493"/>
      <c r="U769" s="493"/>
      <c r="V769" s="298"/>
      <c r="W769" s="298"/>
      <c r="X769" s="298"/>
      <c r="Y769" s="298"/>
      <c r="Z769" s="298"/>
      <c r="AA769" s="298"/>
      <c r="AB769" s="298"/>
      <c r="AC769" s="298"/>
      <c r="AD769" s="298"/>
      <c r="AE769" s="298"/>
      <c r="AF769" s="298"/>
      <c r="AG769" s="298"/>
      <c r="AH769" s="298"/>
      <c r="AI769" s="298"/>
      <c r="AJ769" s="298"/>
      <c r="AK769" s="298"/>
      <c r="AL769" s="298"/>
      <c r="AM769" s="298"/>
    </row>
    <row r="770" spans="1:39" ht="15.75" customHeight="1">
      <c r="A770" s="298"/>
      <c r="B770" s="298"/>
      <c r="C770" s="1901"/>
      <c r="D770" s="1947"/>
      <c r="E770" s="1901"/>
      <c r="F770" s="1954"/>
      <c r="G770" s="1901"/>
      <c r="H770" s="1901"/>
      <c r="I770" s="1901"/>
      <c r="J770" s="1647"/>
      <c r="K770" s="1901"/>
      <c r="L770" s="1901"/>
      <c r="M770" s="1955"/>
      <c r="N770" s="1956"/>
      <c r="O770" s="1955"/>
      <c r="P770" s="1955"/>
      <c r="Q770" s="1956"/>
      <c r="R770" s="493"/>
      <c r="S770" s="493"/>
      <c r="T770" s="493"/>
      <c r="U770" s="493"/>
      <c r="V770" s="298"/>
      <c r="W770" s="298"/>
      <c r="X770" s="298"/>
      <c r="Y770" s="298"/>
      <c r="Z770" s="298"/>
      <c r="AA770" s="298"/>
      <c r="AB770" s="298"/>
      <c r="AC770" s="298"/>
      <c r="AD770" s="298"/>
      <c r="AE770" s="298"/>
      <c r="AF770" s="298"/>
      <c r="AG770" s="298"/>
      <c r="AH770" s="298"/>
      <c r="AI770" s="298"/>
      <c r="AJ770" s="298"/>
      <c r="AK770" s="298"/>
      <c r="AL770" s="298"/>
      <c r="AM770" s="298"/>
    </row>
    <row r="771" spans="1:39" ht="15.75" customHeight="1">
      <c r="A771" s="298"/>
      <c r="B771" s="298"/>
      <c r="C771" s="1901"/>
      <c r="D771" s="1947"/>
      <c r="E771" s="1901"/>
      <c r="F771" s="1954"/>
      <c r="G771" s="1901"/>
      <c r="H771" s="1901"/>
      <c r="I771" s="1901"/>
      <c r="J771" s="1647"/>
      <c r="K771" s="1901"/>
      <c r="L771" s="1901"/>
      <c r="M771" s="1955"/>
      <c r="N771" s="1956"/>
      <c r="O771" s="1955"/>
      <c r="P771" s="1955"/>
      <c r="Q771" s="1956"/>
      <c r="R771" s="493"/>
      <c r="S771" s="493"/>
      <c r="T771" s="493"/>
      <c r="U771" s="493"/>
      <c r="V771" s="298"/>
      <c r="W771" s="298"/>
      <c r="X771" s="298"/>
      <c r="Y771" s="298"/>
      <c r="Z771" s="298"/>
      <c r="AA771" s="298"/>
      <c r="AB771" s="298"/>
      <c r="AC771" s="298"/>
      <c r="AD771" s="298"/>
      <c r="AE771" s="298"/>
      <c r="AF771" s="298"/>
      <c r="AG771" s="298"/>
      <c r="AH771" s="298"/>
      <c r="AI771" s="298"/>
      <c r="AJ771" s="298"/>
      <c r="AK771" s="298"/>
      <c r="AL771" s="298"/>
      <c r="AM771" s="298"/>
    </row>
    <row r="772" spans="1:39" ht="15.75" customHeight="1">
      <c r="A772" s="298"/>
      <c r="B772" s="298"/>
      <c r="C772" s="1901"/>
      <c r="D772" s="1947"/>
      <c r="E772" s="1901"/>
      <c r="F772" s="1954"/>
      <c r="G772" s="1901"/>
      <c r="H772" s="1901"/>
      <c r="I772" s="1901"/>
      <c r="J772" s="1647"/>
      <c r="K772" s="1901"/>
      <c r="L772" s="1901"/>
      <c r="M772" s="1955"/>
      <c r="N772" s="1956"/>
      <c r="O772" s="1955"/>
      <c r="P772" s="1955"/>
      <c r="Q772" s="1956"/>
      <c r="R772" s="493"/>
      <c r="S772" s="493"/>
      <c r="T772" s="493"/>
      <c r="U772" s="493"/>
      <c r="V772" s="298"/>
      <c r="W772" s="298"/>
      <c r="X772" s="298"/>
      <c r="Y772" s="298"/>
      <c r="Z772" s="298"/>
      <c r="AA772" s="298"/>
      <c r="AB772" s="298"/>
      <c r="AC772" s="298"/>
      <c r="AD772" s="298"/>
      <c r="AE772" s="298"/>
      <c r="AF772" s="298"/>
      <c r="AG772" s="298"/>
      <c r="AH772" s="298"/>
      <c r="AI772" s="298"/>
      <c r="AJ772" s="298"/>
      <c r="AK772" s="298"/>
      <c r="AL772" s="298"/>
      <c r="AM772" s="298"/>
    </row>
    <row r="773" spans="1:39" ht="15.75" customHeight="1">
      <c r="A773" s="298"/>
      <c r="B773" s="298"/>
      <c r="C773" s="1901"/>
      <c r="D773" s="1947"/>
      <c r="E773" s="1901"/>
      <c r="F773" s="1954"/>
      <c r="G773" s="1901"/>
      <c r="H773" s="1901"/>
      <c r="I773" s="1901"/>
      <c r="J773" s="1647"/>
      <c r="K773" s="1901"/>
      <c r="L773" s="1901"/>
      <c r="M773" s="1955"/>
      <c r="N773" s="1956"/>
      <c r="O773" s="1955"/>
      <c r="P773" s="1955"/>
      <c r="Q773" s="1956"/>
      <c r="R773" s="493"/>
      <c r="S773" s="493"/>
      <c r="T773" s="493"/>
      <c r="U773" s="493"/>
      <c r="V773" s="298"/>
      <c r="W773" s="298"/>
      <c r="X773" s="298"/>
      <c r="Y773" s="298"/>
      <c r="Z773" s="298"/>
      <c r="AA773" s="298"/>
      <c r="AB773" s="298"/>
      <c r="AC773" s="298"/>
      <c r="AD773" s="298"/>
      <c r="AE773" s="298"/>
      <c r="AF773" s="298"/>
      <c r="AG773" s="298"/>
      <c r="AH773" s="298"/>
      <c r="AI773" s="298"/>
      <c r="AJ773" s="298"/>
      <c r="AK773" s="298"/>
      <c r="AL773" s="298"/>
      <c r="AM773" s="298"/>
    </row>
    <row r="774" spans="1:39" ht="15.75" customHeight="1">
      <c r="A774" s="298"/>
      <c r="B774" s="298"/>
      <c r="C774" s="1901"/>
      <c r="D774" s="1947"/>
      <c r="E774" s="1901"/>
      <c r="F774" s="1954"/>
      <c r="G774" s="1901"/>
      <c r="H774" s="1901"/>
      <c r="I774" s="1901"/>
      <c r="J774" s="1647"/>
      <c r="K774" s="1901"/>
      <c r="L774" s="1901"/>
      <c r="M774" s="1955"/>
      <c r="N774" s="1956"/>
      <c r="O774" s="1955"/>
      <c r="P774" s="1955"/>
      <c r="Q774" s="1956"/>
      <c r="R774" s="493"/>
      <c r="S774" s="493"/>
      <c r="T774" s="493"/>
      <c r="U774" s="493"/>
      <c r="V774" s="298"/>
      <c r="W774" s="298"/>
      <c r="X774" s="298"/>
      <c r="Y774" s="298"/>
      <c r="Z774" s="298"/>
      <c r="AA774" s="298"/>
      <c r="AB774" s="298"/>
      <c r="AC774" s="298"/>
      <c r="AD774" s="298"/>
      <c r="AE774" s="298"/>
      <c r="AF774" s="298"/>
      <c r="AG774" s="298"/>
      <c r="AH774" s="298"/>
      <c r="AI774" s="298"/>
      <c r="AJ774" s="298"/>
      <c r="AK774" s="298"/>
      <c r="AL774" s="298"/>
      <c r="AM774" s="298"/>
    </row>
    <row r="775" spans="1:39" ht="15.75" customHeight="1">
      <c r="A775" s="298"/>
      <c r="B775" s="298"/>
      <c r="C775" s="1901"/>
      <c r="D775" s="1947"/>
      <c r="E775" s="1901"/>
      <c r="F775" s="1954"/>
      <c r="G775" s="1901"/>
      <c r="H775" s="1901"/>
      <c r="I775" s="1901"/>
      <c r="J775" s="1647"/>
      <c r="K775" s="1901"/>
      <c r="L775" s="1901"/>
      <c r="M775" s="1955"/>
      <c r="N775" s="1956"/>
      <c r="O775" s="1955"/>
      <c r="P775" s="1955"/>
      <c r="Q775" s="1956"/>
      <c r="R775" s="493"/>
      <c r="S775" s="493"/>
      <c r="T775" s="493"/>
      <c r="U775" s="493"/>
      <c r="V775" s="298"/>
      <c r="W775" s="298"/>
      <c r="X775" s="298"/>
      <c r="Y775" s="298"/>
      <c r="Z775" s="298"/>
      <c r="AA775" s="298"/>
      <c r="AB775" s="298"/>
      <c r="AC775" s="298"/>
      <c r="AD775" s="298"/>
      <c r="AE775" s="298"/>
      <c r="AF775" s="298"/>
      <c r="AG775" s="298"/>
      <c r="AH775" s="298"/>
      <c r="AI775" s="298"/>
      <c r="AJ775" s="298"/>
      <c r="AK775" s="298"/>
      <c r="AL775" s="298"/>
      <c r="AM775" s="298"/>
    </row>
    <row r="776" spans="1:39" ht="15.75" customHeight="1">
      <c r="A776" s="298"/>
      <c r="B776" s="298"/>
      <c r="C776" s="1901"/>
      <c r="D776" s="1947"/>
      <c r="E776" s="1901"/>
      <c r="F776" s="1954"/>
      <c r="G776" s="1901"/>
      <c r="H776" s="1901"/>
      <c r="I776" s="1901"/>
      <c r="J776" s="1647"/>
      <c r="K776" s="1901"/>
      <c r="L776" s="1901"/>
      <c r="M776" s="1955"/>
      <c r="N776" s="1956"/>
      <c r="O776" s="1955"/>
      <c r="P776" s="1955"/>
      <c r="Q776" s="1956"/>
      <c r="R776" s="493"/>
      <c r="S776" s="493"/>
      <c r="T776" s="493"/>
      <c r="U776" s="493"/>
      <c r="V776" s="298"/>
      <c r="W776" s="298"/>
      <c r="X776" s="298"/>
      <c r="Y776" s="298"/>
      <c r="Z776" s="298"/>
      <c r="AA776" s="298"/>
      <c r="AB776" s="298"/>
      <c r="AC776" s="298"/>
      <c r="AD776" s="298"/>
      <c r="AE776" s="298"/>
      <c r="AF776" s="298"/>
      <c r="AG776" s="298"/>
      <c r="AH776" s="298"/>
      <c r="AI776" s="298"/>
      <c r="AJ776" s="298"/>
      <c r="AK776" s="298"/>
      <c r="AL776" s="298"/>
      <c r="AM776" s="298"/>
    </row>
    <row r="777" spans="1:39" ht="15.75" customHeight="1">
      <c r="A777" s="298"/>
      <c r="B777" s="298"/>
      <c r="C777" s="1901"/>
      <c r="D777" s="1947"/>
      <c r="E777" s="1901"/>
      <c r="F777" s="1954"/>
      <c r="G777" s="1901"/>
      <c r="H777" s="1901"/>
      <c r="I777" s="1901"/>
      <c r="J777" s="1647"/>
      <c r="K777" s="1901"/>
      <c r="L777" s="1901"/>
      <c r="M777" s="1955"/>
      <c r="N777" s="1956"/>
      <c r="O777" s="1955"/>
      <c r="P777" s="1955"/>
      <c r="Q777" s="1956"/>
      <c r="R777" s="493"/>
      <c r="S777" s="493"/>
      <c r="T777" s="493"/>
      <c r="U777" s="493"/>
      <c r="V777" s="298"/>
      <c r="W777" s="298"/>
      <c r="X777" s="298"/>
      <c r="Y777" s="298"/>
      <c r="Z777" s="298"/>
      <c r="AA777" s="298"/>
      <c r="AB777" s="298"/>
      <c r="AC777" s="298"/>
      <c r="AD777" s="298"/>
      <c r="AE777" s="298"/>
      <c r="AF777" s="298"/>
      <c r="AG777" s="298"/>
      <c r="AH777" s="298"/>
      <c r="AI777" s="298"/>
      <c r="AJ777" s="298"/>
      <c r="AK777" s="298"/>
      <c r="AL777" s="298"/>
      <c r="AM777" s="298"/>
    </row>
    <row r="778" spans="1:39" ht="15.75" customHeight="1">
      <c r="A778" s="298"/>
      <c r="B778" s="298"/>
      <c r="C778" s="1901"/>
      <c r="D778" s="1947"/>
      <c r="E778" s="1901"/>
      <c r="F778" s="1954"/>
      <c r="G778" s="1901"/>
      <c r="H778" s="1901"/>
      <c r="I778" s="1901"/>
      <c r="J778" s="1647"/>
      <c r="K778" s="1901"/>
      <c r="L778" s="1901"/>
      <c r="M778" s="1955"/>
      <c r="N778" s="1956"/>
      <c r="O778" s="1955"/>
      <c r="P778" s="1955"/>
      <c r="Q778" s="1956"/>
      <c r="R778" s="493"/>
      <c r="S778" s="493"/>
      <c r="T778" s="493"/>
      <c r="U778" s="493"/>
      <c r="V778" s="298"/>
      <c r="W778" s="298"/>
      <c r="X778" s="298"/>
      <c r="Y778" s="298"/>
      <c r="Z778" s="298"/>
      <c r="AA778" s="298"/>
      <c r="AB778" s="298"/>
      <c r="AC778" s="298"/>
      <c r="AD778" s="298"/>
      <c r="AE778" s="298"/>
      <c r="AF778" s="298"/>
      <c r="AG778" s="298"/>
      <c r="AH778" s="298"/>
      <c r="AI778" s="298"/>
      <c r="AJ778" s="298"/>
      <c r="AK778" s="298"/>
      <c r="AL778" s="298"/>
      <c r="AM778" s="298"/>
    </row>
    <row r="779" spans="1:39" ht="15.75" customHeight="1">
      <c r="A779" s="298"/>
      <c r="B779" s="298"/>
      <c r="C779" s="1901"/>
      <c r="D779" s="1947"/>
      <c r="E779" s="1901"/>
      <c r="F779" s="1954"/>
      <c r="G779" s="1901"/>
      <c r="H779" s="1901"/>
      <c r="I779" s="1901"/>
      <c r="J779" s="1647"/>
      <c r="K779" s="1901"/>
      <c r="L779" s="1901"/>
      <c r="M779" s="1955"/>
      <c r="N779" s="1956"/>
      <c r="O779" s="1955"/>
      <c r="P779" s="1955"/>
      <c r="Q779" s="1956"/>
      <c r="R779" s="493"/>
      <c r="S779" s="493"/>
      <c r="T779" s="493"/>
      <c r="U779" s="493"/>
      <c r="V779" s="298"/>
      <c r="W779" s="298"/>
      <c r="X779" s="298"/>
      <c r="Y779" s="298"/>
      <c r="Z779" s="298"/>
      <c r="AA779" s="298"/>
      <c r="AB779" s="298"/>
      <c r="AC779" s="298"/>
      <c r="AD779" s="298"/>
      <c r="AE779" s="298"/>
      <c r="AF779" s="298"/>
      <c r="AG779" s="298"/>
      <c r="AH779" s="298"/>
      <c r="AI779" s="298"/>
      <c r="AJ779" s="298"/>
      <c r="AK779" s="298"/>
      <c r="AL779" s="298"/>
      <c r="AM779" s="298"/>
    </row>
    <row r="780" spans="1:39" ht="15.75" customHeight="1">
      <c r="A780" s="298"/>
      <c r="B780" s="298"/>
      <c r="C780" s="1901"/>
      <c r="D780" s="1947"/>
      <c r="E780" s="1901"/>
      <c r="F780" s="1954"/>
      <c r="G780" s="1901"/>
      <c r="H780" s="1901"/>
      <c r="I780" s="1901"/>
      <c r="J780" s="1647"/>
      <c r="K780" s="1901"/>
      <c r="L780" s="1901"/>
      <c r="M780" s="1955"/>
      <c r="N780" s="1956"/>
      <c r="O780" s="1955"/>
      <c r="P780" s="1955"/>
      <c r="Q780" s="1956"/>
      <c r="R780" s="493"/>
      <c r="S780" s="493"/>
      <c r="T780" s="493"/>
      <c r="U780" s="493"/>
      <c r="V780" s="298"/>
      <c r="W780" s="298"/>
      <c r="X780" s="298"/>
      <c r="Y780" s="298"/>
      <c r="Z780" s="298"/>
      <c r="AA780" s="298"/>
      <c r="AB780" s="298"/>
      <c r="AC780" s="298"/>
      <c r="AD780" s="298"/>
      <c r="AE780" s="298"/>
      <c r="AF780" s="298"/>
      <c r="AG780" s="298"/>
      <c r="AH780" s="298"/>
      <c r="AI780" s="298"/>
      <c r="AJ780" s="298"/>
      <c r="AK780" s="298"/>
      <c r="AL780" s="298"/>
      <c r="AM780" s="298"/>
    </row>
    <row r="781" spans="1:39" ht="15.75" customHeight="1">
      <c r="A781" s="298"/>
      <c r="B781" s="298"/>
      <c r="C781" s="1901"/>
      <c r="D781" s="1947"/>
      <c r="E781" s="1901"/>
      <c r="F781" s="1954"/>
      <c r="G781" s="1901"/>
      <c r="H781" s="1901"/>
      <c r="I781" s="1901"/>
      <c r="J781" s="1647"/>
      <c r="K781" s="1901"/>
      <c r="L781" s="1901"/>
      <c r="M781" s="1955"/>
      <c r="N781" s="1956"/>
      <c r="O781" s="1955"/>
      <c r="P781" s="1955"/>
      <c r="Q781" s="1956"/>
      <c r="R781" s="493"/>
      <c r="S781" s="493"/>
      <c r="T781" s="493"/>
      <c r="U781" s="493"/>
      <c r="V781" s="298"/>
      <c r="W781" s="298"/>
      <c r="X781" s="298"/>
      <c r="Y781" s="298"/>
      <c r="Z781" s="298"/>
      <c r="AA781" s="298"/>
      <c r="AB781" s="298"/>
      <c r="AC781" s="298"/>
      <c r="AD781" s="298"/>
      <c r="AE781" s="298"/>
      <c r="AF781" s="298"/>
      <c r="AG781" s="298"/>
      <c r="AH781" s="298"/>
      <c r="AI781" s="298"/>
      <c r="AJ781" s="298"/>
      <c r="AK781" s="298"/>
      <c r="AL781" s="298"/>
      <c r="AM781" s="298"/>
    </row>
    <row r="782" spans="1:39" ht="15.75" customHeight="1">
      <c r="A782" s="298"/>
      <c r="B782" s="298"/>
      <c r="C782" s="1901"/>
      <c r="D782" s="1947"/>
      <c r="E782" s="1901"/>
      <c r="F782" s="1954"/>
      <c r="G782" s="1901"/>
      <c r="H782" s="1901"/>
      <c r="I782" s="1901"/>
      <c r="J782" s="1647"/>
      <c r="K782" s="1901"/>
      <c r="L782" s="1901"/>
      <c r="M782" s="1955"/>
      <c r="N782" s="1956"/>
      <c r="O782" s="1955"/>
      <c r="P782" s="1955"/>
      <c r="Q782" s="1956"/>
      <c r="R782" s="493"/>
      <c r="S782" s="493"/>
      <c r="T782" s="493"/>
      <c r="U782" s="493"/>
      <c r="V782" s="298"/>
      <c r="W782" s="298"/>
      <c r="X782" s="298"/>
      <c r="Y782" s="298"/>
      <c r="Z782" s="298"/>
      <c r="AA782" s="298"/>
      <c r="AB782" s="298"/>
      <c r="AC782" s="298"/>
      <c r="AD782" s="298"/>
      <c r="AE782" s="298"/>
      <c r="AF782" s="298"/>
      <c r="AG782" s="298"/>
      <c r="AH782" s="298"/>
      <c r="AI782" s="298"/>
      <c r="AJ782" s="298"/>
      <c r="AK782" s="298"/>
      <c r="AL782" s="298"/>
      <c r="AM782" s="298"/>
    </row>
    <row r="783" spans="1:39" ht="15.75" customHeight="1">
      <c r="A783" s="298"/>
      <c r="B783" s="298"/>
      <c r="C783" s="1901"/>
      <c r="D783" s="1947"/>
      <c r="E783" s="1901"/>
      <c r="F783" s="1954"/>
      <c r="G783" s="1901"/>
      <c r="H783" s="1901"/>
      <c r="I783" s="1901"/>
      <c r="J783" s="1647"/>
      <c r="K783" s="1901"/>
      <c r="L783" s="1901"/>
      <c r="M783" s="1955"/>
      <c r="N783" s="1956"/>
      <c r="O783" s="1955"/>
      <c r="P783" s="1955"/>
      <c r="Q783" s="1956"/>
      <c r="R783" s="493"/>
      <c r="S783" s="493"/>
      <c r="T783" s="493"/>
      <c r="U783" s="493"/>
      <c r="V783" s="298"/>
      <c r="W783" s="298"/>
      <c r="X783" s="298"/>
      <c r="Y783" s="298"/>
      <c r="Z783" s="298"/>
      <c r="AA783" s="298"/>
      <c r="AB783" s="298"/>
      <c r="AC783" s="298"/>
      <c r="AD783" s="298"/>
      <c r="AE783" s="298"/>
      <c r="AF783" s="298"/>
      <c r="AG783" s="298"/>
      <c r="AH783" s="298"/>
      <c r="AI783" s="298"/>
      <c r="AJ783" s="298"/>
      <c r="AK783" s="298"/>
      <c r="AL783" s="298"/>
      <c r="AM783" s="298"/>
    </row>
    <row r="784" spans="1:39" ht="15.75" customHeight="1">
      <c r="A784" s="298"/>
      <c r="B784" s="298"/>
      <c r="C784" s="1901"/>
      <c r="D784" s="1947"/>
      <c r="E784" s="1901"/>
      <c r="F784" s="1954"/>
      <c r="G784" s="1901"/>
      <c r="H784" s="1901"/>
      <c r="I784" s="1901"/>
      <c r="J784" s="1647"/>
      <c r="K784" s="1901"/>
      <c r="L784" s="1901"/>
      <c r="M784" s="1955"/>
      <c r="N784" s="1956"/>
      <c r="O784" s="1955"/>
      <c r="P784" s="1955"/>
      <c r="Q784" s="1956"/>
      <c r="R784" s="493"/>
      <c r="S784" s="493"/>
      <c r="T784" s="493"/>
      <c r="U784" s="493"/>
      <c r="V784" s="298"/>
      <c r="W784" s="298"/>
      <c r="X784" s="298"/>
      <c r="Y784" s="298"/>
      <c r="Z784" s="298"/>
      <c r="AA784" s="298"/>
      <c r="AB784" s="298"/>
      <c r="AC784" s="298"/>
      <c r="AD784" s="298"/>
      <c r="AE784" s="298"/>
      <c r="AF784" s="298"/>
      <c r="AG784" s="298"/>
      <c r="AH784" s="298"/>
      <c r="AI784" s="298"/>
      <c r="AJ784" s="298"/>
      <c r="AK784" s="298"/>
      <c r="AL784" s="298"/>
      <c r="AM784" s="298"/>
    </row>
    <row r="785" spans="1:39" ht="15.75" customHeight="1">
      <c r="A785" s="298"/>
      <c r="B785" s="298"/>
      <c r="C785" s="1901"/>
      <c r="D785" s="1947"/>
      <c r="E785" s="1901"/>
      <c r="F785" s="1954"/>
      <c r="G785" s="1901"/>
      <c r="H785" s="1901"/>
      <c r="I785" s="1901"/>
      <c r="J785" s="1647"/>
      <c r="K785" s="1901"/>
      <c r="L785" s="1901"/>
      <c r="M785" s="1955"/>
      <c r="N785" s="1956"/>
      <c r="O785" s="1955"/>
      <c r="P785" s="1955"/>
      <c r="Q785" s="1956"/>
      <c r="R785" s="493"/>
      <c r="S785" s="493"/>
      <c r="T785" s="493"/>
      <c r="U785" s="493"/>
      <c r="V785" s="298"/>
      <c r="W785" s="298"/>
      <c r="X785" s="298"/>
      <c r="Y785" s="298"/>
      <c r="Z785" s="298"/>
      <c r="AA785" s="298"/>
      <c r="AB785" s="298"/>
      <c r="AC785" s="298"/>
      <c r="AD785" s="298"/>
      <c r="AE785" s="298"/>
      <c r="AF785" s="298"/>
      <c r="AG785" s="298"/>
      <c r="AH785" s="298"/>
      <c r="AI785" s="298"/>
      <c r="AJ785" s="298"/>
      <c r="AK785" s="298"/>
      <c r="AL785" s="298"/>
      <c r="AM785" s="298"/>
    </row>
    <row r="786" spans="1:39" ht="15.75" customHeight="1">
      <c r="A786" s="298"/>
      <c r="B786" s="298"/>
      <c r="C786" s="1901"/>
      <c r="D786" s="1947"/>
      <c r="E786" s="1901"/>
      <c r="F786" s="1954"/>
      <c r="G786" s="1901"/>
      <c r="H786" s="1901"/>
      <c r="I786" s="1901"/>
      <c r="J786" s="1647"/>
      <c r="K786" s="1901"/>
      <c r="L786" s="1901"/>
      <c r="M786" s="1955"/>
      <c r="N786" s="1956"/>
      <c r="O786" s="1955"/>
      <c r="P786" s="1955"/>
      <c r="Q786" s="1956"/>
      <c r="R786" s="493"/>
      <c r="S786" s="493"/>
      <c r="T786" s="493"/>
      <c r="U786" s="493"/>
      <c r="V786" s="298"/>
      <c r="W786" s="298"/>
      <c r="X786" s="298"/>
      <c r="Y786" s="298"/>
      <c r="Z786" s="298"/>
      <c r="AA786" s="298"/>
      <c r="AB786" s="298"/>
      <c r="AC786" s="298"/>
      <c r="AD786" s="298"/>
      <c r="AE786" s="298"/>
      <c r="AF786" s="298"/>
      <c r="AG786" s="298"/>
      <c r="AH786" s="298"/>
      <c r="AI786" s="298"/>
      <c r="AJ786" s="298"/>
      <c r="AK786" s="298"/>
      <c r="AL786" s="298"/>
      <c r="AM786" s="298"/>
    </row>
    <row r="787" spans="1:39" ht="15.75" customHeight="1">
      <c r="A787" s="298"/>
      <c r="B787" s="298"/>
      <c r="C787" s="1901"/>
      <c r="D787" s="1947"/>
      <c r="E787" s="1901"/>
      <c r="F787" s="1954"/>
      <c r="G787" s="1901"/>
      <c r="H787" s="1901"/>
      <c r="I787" s="1901"/>
      <c r="J787" s="1647"/>
      <c r="K787" s="1901"/>
      <c r="L787" s="1901"/>
      <c r="M787" s="1955"/>
      <c r="N787" s="1956"/>
      <c r="O787" s="1955"/>
      <c r="P787" s="1955"/>
      <c r="Q787" s="1956"/>
      <c r="R787" s="493"/>
      <c r="S787" s="493"/>
      <c r="T787" s="493"/>
      <c r="U787" s="493"/>
      <c r="V787" s="298"/>
      <c r="W787" s="298"/>
      <c r="X787" s="298"/>
      <c r="Y787" s="298"/>
      <c r="Z787" s="298"/>
      <c r="AA787" s="298"/>
      <c r="AB787" s="298"/>
      <c r="AC787" s="298"/>
      <c r="AD787" s="298"/>
      <c r="AE787" s="298"/>
      <c r="AF787" s="298"/>
      <c r="AG787" s="298"/>
      <c r="AH787" s="298"/>
      <c r="AI787" s="298"/>
      <c r="AJ787" s="298"/>
      <c r="AK787" s="298"/>
      <c r="AL787" s="298"/>
      <c r="AM787" s="298"/>
    </row>
    <row r="788" spans="1:39" ht="15.75" customHeight="1">
      <c r="A788" s="298"/>
      <c r="B788" s="298"/>
      <c r="C788" s="1901"/>
      <c r="D788" s="1947"/>
      <c r="E788" s="1901"/>
      <c r="F788" s="1954"/>
      <c r="G788" s="1901"/>
      <c r="H788" s="1901"/>
      <c r="I788" s="1901"/>
      <c r="J788" s="1647"/>
      <c r="K788" s="1901"/>
      <c r="L788" s="1901"/>
      <c r="M788" s="1955"/>
      <c r="N788" s="1956"/>
      <c r="O788" s="1955"/>
      <c r="P788" s="1955"/>
      <c r="Q788" s="1956"/>
      <c r="R788" s="493"/>
      <c r="S788" s="493"/>
      <c r="T788" s="493"/>
      <c r="U788" s="493"/>
      <c r="V788" s="298"/>
      <c r="W788" s="298"/>
      <c r="X788" s="298"/>
      <c r="Y788" s="298"/>
      <c r="Z788" s="298"/>
      <c r="AA788" s="298"/>
      <c r="AB788" s="298"/>
      <c r="AC788" s="298"/>
      <c r="AD788" s="298"/>
      <c r="AE788" s="298"/>
      <c r="AF788" s="298"/>
      <c r="AG788" s="298"/>
      <c r="AH788" s="298"/>
      <c r="AI788" s="298"/>
      <c r="AJ788" s="298"/>
      <c r="AK788" s="298"/>
      <c r="AL788" s="298"/>
      <c r="AM788" s="298"/>
    </row>
    <row r="789" spans="1:39" ht="15.75" customHeight="1">
      <c r="A789" s="298"/>
      <c r="B789" s="298"/>
      <c r="C789" s="1901"/>
      <c r="D789" s="1947"/>
      <c r="E789" s="1901"/>
      <c r="F789" s="1954"/>
      <c r="G789" s="1901"/>
      <c r="H789" s="1901"/>
      <c r="I789" s="1901"/>
      <c r="J789" s="1647"/>
      <c r="K789" s="1901"/>
      <c r="L789" s="1901"/>
      <c r="M789" s="1955"/>
      <c r="N789" s="1956"/>
      <c r="O789" s="1955"/>
      <c r="P789" s="1955"/>
      <c r="Q789" s="1956"/>
      <c r="R789" s="493"/>
      <c r="S789" s="493"/>
      <c r="T789" s="493"/>
      <c r="U789" s="493"/>
      <c r="V789" s="298"/>
      <c r="W789" s="298"/>
      <c r="X789" s="298"/>
      <c r="Y789" s="298"/>
      <c r="Z789" s="298"/>
      <c r="AA789" s="298"/>
      <c r="AB789" s="298"/>
      <c r="AC789" s="298"/>
      <c r="AD789" s="298"/>
      <c r="AE789" s="298"/>
      <c r="AF789" s="298"/>
      <c r="AG789" s="298"/>
      <c r="AH789" s="298"/>
      <c r="AI789" s="298"/>
      <c r="AJ789" s="298"/>
      <c r="AK789" s="298"/>
      <c r="AL789" s="298"/>
      <c r="AM789" s="298"/>
    </row>
    <row r="790" spans="1:39" ht="15.75" customHeight="1">
      <c r="A790" s="298"/>
      <c r="B790" s="298"/>
      <c r="C790" s="1901"/>
      <c r="D790" s="1947"/>
      <c r="E790" s="1901"/>
      <c r="F790" s="1954"/>
      <c r="G790" s="1901"/>
      <c r="H790" s="1901"/>
      <c r="I790" s="1901"/>
      <c r="J790" s="1647"/>
      <c r="K790" s="1901"/>
      <c r="L790" s="1901"/>
      <c r="M790" s="1955"/>
      <c r="N790" s="1956"/>
      <c r="O790" s="1955"/>
      <c r="P790" s="1955"/>
      <c r="Q790" s="1956"/>
      <c r="R790" s="493"/>
      <c r="S790" s="493"/>
      <c r="T790" s="493"/>
      <c r="U790" s="493"/>
      <c r="V790" s="298"/>
      <c r="W790" s="298"/>
      <c r="X790" s="298"/>
      <c r="Y790" s="298"/>
      <c r="Z790" s="298"/>
      <c r="AA790" s="298"/>
      <c r="AB790" s="298"/>
      <c r="AC790" s="298"/>
      <c r="AD790" s="298"/>
      <c r="AE790" s="298"/>
      <c r="AF790" s="298"/>
      <c r="AG790" s="298"/>
      <c r="AH790" s="298"/>
      <c r="AI790" s="298"/>
      <c r="AJ790" s="298"/>
      <c r="AK790" s="298"/>
      <c r="AL790" s="298"/>
      <c r="AM790" s="298"/>
    </row>
    <row r="791" spans="1:39" ht="15.75" customHeight="1">
      <c r="A791" s="298"/>
      <c r="B791" s="298"/>
      <c r="C791" s="1901"/>
      <c r="D791" s="1947"/>
      <c r="E791" s="1901"/>
      <c r="F791" s="1954"/>
      <c r="G791" s="1901"/>
      <c r="H791" s="1901"/>
      <c r="I791" s="1901"/>
      <c r="J791" s="1647"/>
      <c r="K791" s="1901"/>
      <c r="L791" s="1901"/>
      <c r="M791" s="1955"/>
      <c r="N791" s="1956"/>
      <c r="O791" s="1955"/>
      <c r="P791" s="1955"/>
      <c r="Q791" s="1956"/>
      <c r="R791" s="493"/>
      <c r="S791" s="493"/>
      <c r="T791" s="493"/>
      <c r="U791" s="493"/>
      <c r="V791" s="298"/>
      <c r="W791" s="298"/>
      <c r="X791" s="298"/>
      <c r="Y791" s="298"/>
      <c r="Z791" s="298"/>
      <c r="AA791" s="298"/>
      <c r="AB791" s="298"/>
      <c r="AC791" s="298"/>
      <c r="AD791" s="298"/>
      <c r="AE791" s="298"/>
      <c r="AF791" s="298"/>
      <c r="AG791" s="298"/>
      <c r="AH791" s="298"/>
      <c r="AI791" s="298"/>
      <c r="AJ791" s="298"/>
      <c r="AK791" s="298"/>
      <c r="AL791" s="298"/>
      <c r="AM791" s="298"/>
    </row>
    <row r="792" spans="1:39" ht="15.75" customHeight="1">
      <c r="A792" s="298"/>
      <c r="B792" s="298"/>
      <c r="C792" s="1901"/>
      <c r="D792" s="1947"/>
      <c r="E792" s="1901"/>
      <c r="F792" s="1954"/>
      <c r="G792" s="1901"/>
      <c r="H792" s="1901"/>
      <c r="I792" s="1901"/>
      <c r="J792" s="1647"/>
      <c r="K792" s="1901"/>
      <c r="L792" s="1901"/>
      <c r="M792" s="1955"/>
      <c r="N792" s="1956"/>
      <c r="O792" s="1955"/>
      <c r="P792" s="1955"/>
      <c r="Q792" s="1956"/>
      <c r="R792" s="493"/>
      <c r="S792" s="493"/>
      <c r="T792" s="493"/>
      <c r="U792" s="493"/>
      <c r="V792" s="298"/>
      <c r="W792" s="298"/>
      <c r="X792" s="298"/>
      <c r="Y792" s="298"/>
      <c r="Z792" s="298"/>
      <c r="AA792" s="298"/>
      <c r="AB792" s="298"/>
      <c r="AC792" s="298"/>
      <c r="AD792" s="298"/>
      <c r="AE792" s="298"/>
      <c r="AF792" s="298"/>
      <c r="AG792" s="298"/>
      <c r="AH792" s="298"/>
      <c r="AI792" s="298"/>
      <c r="AJ792" s="298"/>
      <c r="AK792" s="298"/>
      <c r="AL792" s="298"/>
      <c r="AM792" s="298"/>
    </row>
    <row r="793" spans="1:39" ht="15.75" customHeight="1">
      <c r="A793" s="298"/>
      <c r="B793" s="298"/>
      <c r="C793" s="1901"/>
      <c r="D793" s="1947"/>
      <c r="E793" s="1901"/>
      <c r="F793" s="1954"/>
      <c r="G793" s="1901"/>
      <c r="H793" s="1901"/>
      <c r="I793" s="1901"/>
      <c r="J793" s="1647"/>
      <c r="K793" s="1901"/>
      <c r="L793" s="1901"/>
      <c r="M793" s="1955"/>
      <c r="N793" s="1956"/>
      <c r="O793" s="1955"/>
      <c r="P793" s="1955"/>
      <c r="Q793" s="1956"/>
      <c r="R793" s="493"/>
      <c r="S793" s="493"/>
      <c r="T793" s="493"/>
      <c r="U793" s="493"/>
      <c r="V793" s="298"/>
      <c r="W793" s="298"/>
      <c r="X793" s="298"/>
      <c r="Y793" s="298"/>
      <c r="Z793" s="298"/>
      <c r="AA793" s="298"/>
      <c r="AB793" s="298"/>
      <c r="AC793" s="298"/>
      <c r="AD793" s="298"/>
      <c r="AE793" s="298"/>
      <c r="AF793" s="298"/>
      <c r="AG793" s="298"/>
      <c r="AH793" s="298"/>
      <c r="AI793" s="298"/>
      <c r="AJ793" s="298"/>
      <c r="AK793" s="298"/>
      <c r="AL793" s="298"/>
      <c r="AM793" s="298"/>
    </row>
    <row r="794" spans="1:39" ht="15.75" customHeight="1">
      <c r="A794" s="298"/>
      <c r="B794" s="298"/>
      <c r="C794" s="1901"/>
      <c r="D794" s="1947"/>
      <c r="E794" s="1901"/>
      <c r="F794" s="1954"/>
      <c r="G794" s="1901"/>
      <c r="H794" s="1901"/>
      <c r="I794" s="1901"/>
      <c r="J794" s="1647"/>
      <c r="K794" s="1901"/>
      <c r="L794" s="1901"/>
      <c r="M794" s="1955"/>
      <c r="N794" s="1956"/>
      <c r="O794" s="1955"/>
      <c r="P794" s="1955"/>
      <c r="Q794" s="1956"/>
      <c r="R794" s="493"/>
      <c r="S794" s="493"/>
      <c r="T794" s="493"/>
      <c r="U794" s="493"/>
      <c r="V794" s="298"/>
      <c r="W794" s="298"/>
      <c r="X794" s="298"/>
      <c r="Y794" s="298"/>
      <c r="Z794" s="298"/>
      <c r="AA794" s="298"/>
      <c r="AB794" s="298"/>
      <c r="AC794" s="298"/>
      <c r="AD794" s="298"/>
      <c r="AE794" s="298"/>
      <c r="AF794" s="298"/>
      <c r="AG794" s="298"/>
      <c r="AH794" s="298"/>
      <c r="AI794" s="298"/>
      <c r="AJ794" s="298"/>
      <c r="AK794" s="298"/>
      <c r="AL794" s="298"/>
      <c r="AM794" s="298"/>
    </row>
    <row r="795" spans="1:39" ht="15.75" customHeight="1">
      <c r="A795" s="298"/>
      <c r="B795" s="298"/>
      <c r="C795" s="1901"/>
      <c r="D795" s="1947"/>
      <c r="E795" s="1901"/>
      <c r="F795" s="1954"/>
      <c r="G795" s="1901"/>
      <c r="H795" s="1901"/>
      <c r="I795" s="1901"/>
      <c r="J795" s="1647"/>
      <c r="K795" s="1901"/>
      <c r="L795" s="1901"/>
      <c r="M795" s="1955"/>
      <c r="N795" s="1956"/>
      <c r="O795" s="1955"/>
      <c r="P795" s="1955"/>
      <c r="Q795" s="1956"/>
      <c r="R795" s="493"/>
      <c r="S795" s="493"/>
      <c r="T795" s="493"/>
      <c r="U795" s="493"/>
      <c r="V795" s="298"/>
      <c r="W795" s="298"/>
      <c r="X795" s="298"/>
      <c r="Y795" s="298"/>
      <c r="Z795" s="298"/>
      <c r="AA795" s="298"/>
      <c r="AB795" s="298"/>
      <c r="AC795" s="298"/>
      <c r="AD795" s="298"/>
      <c r="AE795" s="298"/>
      <c r="AF795" s="298"/>
      <c r="AG795" s="298"/>
      <c r="AH795" s="298"/>
      <c r="AI795" s="298"/>
      <c r="AJ795" s="298"/>
      <c r="AK795" s="298"/>
      <c r="AL795" s="298"/>
      <c r="AM795" s="298"/>
    </row>
    <row r="796" spans="1:39" ht="15.75" customHeight="1">
      <c r="A796" s="298"/>
      <c r="B796" s="298"/>
      <c r="C796" s="1901"/>
      <c r="D796" s="1947"/>
      <c r="E796" s="1901"/>
      <c r="F796" s="1954"/>
      <c r="G796" s="1901"/>
      <c r="H796" s="1901"/>
      <c r="I796" s="1901"/>
      <c r="J796" s="1647"/>
      <c r="K796" s="1901"/>
      <c r="L796" s="1901"/>
      <c r="M796" s="1955"/>
      <c r="N796" s="1956"/>
      <c r="O796" s="1955"/>
      <c r="P796" s="1955"/>
      <c r="Q796" s="1956"/>
      <c r="R796" s="493"/>
      <c r="S796" s="493"/>
      <c r="T796" s="493"/>
      <c r="U796" s="493"/>
      <c r="V796" s="298"/>
      <c r="W796" s="298"/>
      <c r="X796" s="298"/>
      <c r="Y796" s="298"/>
      <c r="Z796" s="298"/>
      <c r="AA796" s="298"/>
      <c r="AB796" s="298"/>
      <c r="AC796" s="298"/>
      <c r="AD796" s="298"/>
      <c r="AE796" s="298"/>
      <c r="AF796" s="298"/>
      <c r="AG796" s="298"/>
      <c r="AH796" s="298"/>
      <c r="AI796" s="298"/>
      <c r="AJ796" s="298"/>
      <c r="AK796" s="298"/>
      <c r="AL796" s="298"/>
      <c r="AM796" s="298"/>
    </row>
    <row r="797" spans="1:39" ht="15.75" customHeight="1">
      <c r="A797" s="298"/>
      <c r="B797" s="298"/>
      <c r="C797" s="1901"/>
      <c r="D797" s="1947"/>
      <c r="E797" s="1901"/>
      <c r="F797" s="1954"/>
      <c r="G797" s="1901"/>
      <c r="H797" s="1901"/>
      <c r="I797" s="1901"/>
      <c r="J797" s="1647"/>
      <c r="K797" s="1901"/>
      <c r="L797" s="1901"/>
      <c r="M797" s="1955"/>
      <c r="N797" s="1956"/>
      <c r="O797" s="1955"/>
      <c r="P797" s="1955"/>
      <c r="Q797" s="1956"/>
      <c r="R797" s="493"/>
      <c r="S797" s="493"/>
      <c r="T797" s="493"/>
      <c r="U797" s="493"/>
      <c r="V797" s="298"/>
      <c r="W797" s="298"/>
      <c r="X797" s="298"/>
      <c r="Y797" s="298"/>
      <c r="Z797" s="298"/>
      <c r="AA797" s="298"/>
      <c r="AB797" s="298"/>
      <c r="AC797" s="298"/>
      <c r="AD797" s="298"/>
      <c r="AE797" s="298"/>
      <c r="AF797" s="298"/>
      <c r="AG797" s="298"/>
      <c r="AH797" s="298"/>
      <c r="AI797" s="298"/>
      <c r="AJ797" s="298"/>
      <c r="AK797" s="298"/>
      <c r="AL797" s="298"/>
      <c r="AM797" s="298"/>
    </row>
    <row r="798" spans="1:39" ht="15.75" customHeight="1">
      <c r="A798" s="298"/>
      <c r="B798" s="298"/>
      <c r="C798" s="1901"/>
      <c r="D798" s="1947"/>
      <c r="E798" s="1901"/>
      <c r="F798" s="1954"/>
      <c r="G798" s="1901"/>
      <c r="H798" s="1901"/>
      <c r="I798" s="1901"/>
      <c r="J798" s="1647"/>
      <c r="K798" s="1901"/>
      <c r="L798" s="1901"/>
      <c r="M798" s="1955"/>
      <c r="N798" s="1956"/>
      <c r="O798" s="1955"/>
      <c r="P798" s="1955"/>
      <c r="Q798" s="1956"/>
      <c r="R798" s="493"/>
      <c r="S798" s="493"/>
      <c r="T798" s="493"/>
      <c r="U798" s="493"/>
      <c r="V798" s="298"/>
      <c r="W798" s="298"/>
      <c r="X798" s="298"/>
      <c r="Y798" s="298"/>
      <c r="Z798" s="298"/>
      <c r="AA798" s="298"/>
      <c r="AB798" s="298"/>
      <c r="AC798" s="298"/>
      <c r="AD798" s="298"/>
      <c r="AE798" s="298"/>
      <c r="AF798" s="298"/>
      <c r="AG798" s="298"/>
      <c r="AH798" s="298"/>
      <c r="AI798" s="298"/>
      <c r="AJ798" s="298"/>
      <c r="AK798" s="298"/>
      <c r="AL798" s="298"/>
      <c r="AM798" s="298"/>
    </row>
    <row r="799" spans="1:39" ht="15.75" customHeight="1">
      <c r="A799" s="298"/>
      <c r="B799" s="298"/>
      <c r="C799" s="1901"/>
      <c r="D799" s="1947"/>
      <c r="E799" s="1901"/>
      <c r="F799" s="1954"/>
      <c r="G799" s="1901"/>
      <c r="H799" s="1901"/>
      <c r="I799" s="1901"/>
      <c r="J799" s="1647"/>
      <c r="K799" s="1901"/>
      <c r="L799" s="1901"/>
      <c r="M799" s="1955"/>
      <c r="N799" s="1956"/>
      <c r="O799" s="1955"/>
      <c r="P799" s="1955"/>
      <c r="Q799" s="1956"/>
      <c r="R799" s="493"/>
      <c r="S799" s="493"/>
      <c r="T799" s="493"/>
      <c r="U799" s="493"/>
      <c r="V799" s="298"/>
      <c r="W799" s="298"/>
      <c r="X799" s="298"/>
      <c r="Y799" s="298"/>
      <c r="Z799" s="298"/>
      <c r="AA799" s="298"/>
      <c r="AB799" s="298"/>
      <c r="AC799" s="298"/>
      <c r="AD799" s="298"/>
      <c r="AE799" s="298"/>
      <c r="AF799" s="298"/>
      <c r="AG799" s="298"/>
      <c r="AH799" s="298"/>
      <c r="AI799" s="298"/>
      <c r="AJ799" s="298"/>
      <c r="AK799" s="298"/>
      <c r="AL799" s="298"/>
      <c r="AM799" s="298"/>
    </row>
    <row r="800" spans="1:39" ht="15.75" customHeight="1">
      <c r="A800" s="298"/>
      <c r="B800" s="298"/>
      <c r="C800" s="1901"/>
      <c r="D800" s="1947"/>
      <c r="E800" s="1901"/>
      <c r="F800" s="1954"/>
      <c r="G800" s="1901"/>
      <c r="H800" s="1901"/>
      <c r="I800" s="1901"/>
      <c r="J800" s="1647"/>
      <c r="K800" s="1901"/>
      <c r="L800" s="1901"/>
      <c r="M800" s="1955"/>
      <c r="N800" s="1956"/>
      <c r="O800" s="1955"/>
      <c r="P800" s="1955"/>
      <c r="Q800" s="1956"/>
      <c r="R800" s="493"/>
      <c r="S800" s="493"/>
      <c r="T800" s="493"/>
      <c r="U800" s="493"/>
      <c r="V800" s="298"/>
      <c r="W800" s="298"/>
      <c r="X800" s="298"/>
      <c r="Y800" s="298"/>
      <c r="Z800" s="298"/>
      <c r="AA800" s="298"/>
      <c r="AB800" s="298"/>
      <c r="AC800" s="298"/>
      <c r="AD800" s="298"/>
      <c r="AE800" s="298"/>
      <c r="AF800" s="298"/>
      <c r="AG800" s="298"/>
      <c r="AH800" s="298"/>
      <c r="AI800" s="298"/>
      <c r="AJ800" s="298"/>
      <c r="AK800" s="298"/>
      <c r="AL800" s="298"/>
      <c r="AM800" s="298"/>
    </row>
    <row r="801" spans="1:39" ht="15.75" customHeight="1">
      <c r="A801" s="298"/>
      <c r="B801" s="298"/>
      <c r="C801" s="1901"/>
      <c r="D801" s="1947"/>
      <c r="E801" s="1901"/>
      <c r="F801" s="1954"/>
      <c r="G801" s="1901"/>
      <c r="H801" s="1901"/>
      <c r="I801" s="1901"/>
      <c r="J801" s="1647"/>
      <c r="K801" s="1901"/>
      <c r="L801" s="1901"/>
      <c r="M801" s="1955"/>
      <c r="N801" s="1956"/>
      <c r="O801" s="1955"/>
      <c r="P801" s="1955"/>
      <c r="Q801" s="1956"/>
      <c r="R801" s="493"/>
      <c r="S801" s="493"/>
      <c r="T801" s="493"/>
      <c r="U801" s="493"/>
      <c r="V801" s="298"/>
      <c r="W801" s="298"/>
      <c r="X801" s="298"/>
      <c r="Y801" s="298"/>
      <c r="Z801" s="298"/>
      <c r="AA801" s="298"/>
      <c r="AB801" s="298"/>
      <c r="AC801" s="298"/>
      <c r="AD801" s="298"/>
      <c r="AE801" s="298"/>
      <c r="AF801" s="298"/>
      <c r="AG801" s="298"/>
      <c r="AH801" s="298"/>
      <c r="AI801" s="298"/>
      <c r="AJ801" s="298"/>
      <c r="AK801" s="298"/>
      <c r="AL801" s="298"/>
      <c r="AM801" s="298"/>
    </row>
    <row r="802" spans="1:39" ht="15.75" customHeight="1">
      <c r="A802" s="298"/>
      <c r="B802" s="298"/>
      <c r="C802" s="1901"/>
      <c r="D802" s="1947"/>
      <c r="E802" s="1901"/>
      <c r="F802" s="1954"/>
      <c r="G802" s="1901"/>
      <c r="H802" s="1901"/>
      <c r="I802" s="1901"/>
      <c r="J802" s="1647"/>
      <c r="K802" s="1901"/>
      <c r="L802" s="1901"/>
      <c r="M802" s="1955"/>
      <c r="N802" s="1956"/>
      <c r="O802" s="1955"/>
      <c r="P802" s="1955"/>
      <c r="Q802" s="1956"/>
      <c r="R802" s="493"/>
      <c r="S802" s="493"/>
      <c r="T802" s="493"/>
      <c r="U802" s="493"/>
      <c r="V802" s="298"/>
      <c r="W802" s="298"/>
      <c r="X802" s="298"/>
      <c r="Y802" s="298"/>
      <c r="Z802" s="298"/>
      <c r="AA802" s="298"/>
      <c r="AB802" s="298"/>
      <c r="AC802" s="298"/>
      <c r="AD802" s="298"/>
      <c r="AE802" s="298"/>
      <c r="AF802" s="298"/>
      <c r="AG802" s="298"/>
      <c r="AH802" s="298"/>
      <c r="AI802" s="298"/>
      <c r="AJ802" s="298"/>
      <c r="AK802" s="298"/>
      <c r="AL802" s="298"/>
      <c r="AM802" s="298"/>
    </row>
    <row r="803" spans="1:39" ht="15.75" customHeight="1">
      <c r="A803" s="298"/>
      <c r="B803" s="298"/>
      <c r="C803" s="1901"/>
      <c r="D803" s="1947"/>
      <c r="E803" s="1901"/>
      <c r="F803" s="1954"/>
      <c r="G803" s="1901"/>
      <c r="H803" s="1901"/>
      <c r="I803" s="1901"/>
      <c r="J803" s="1647"/>
      <c r="K803" s="1901"/>
      <c r="L803" s="1901"/>
      <c r="M803" s="1955"/>
      <c r="N803" s="1956"/>
      <c r="O803" s="1955"/>
      <c r="P803" s="1955"/>
      <c r="Q803" s="1956"/>
      <c r="R803" s="493"/>
      <c r="S803" s="493"/>
      <c r="T803" s="493"/>
      <c r="U803" s="493"/>
      <c r="V803" s="298"/>
      <c r="W803" s="298"/>
      <c r="X803" s="298"/>
      <c r="Y803" s="298"/>
      <c r="Z803" s="298"/>
      <c r="AA803" s="298"/>
      <c r="AB803" s="298"/>
      <c r="AC803" s="298"/>
      <c r="AD803" s="298"/>
      <c r="AE803" s="298"/>
      <c r="AF803" s="298"/>
      <c r="AG803" s="298"/>
      <c r="AH803" s="298"/>
      <c r="AI803" s="298"/>
      <c r="AJ803" s="298"/>
      <c r="AK803" s="298"/>
      <c r="AL803" s="298"/>
      <c r="AM803" s="298"/>
    </row>
    <row r="804" spans="1:39" ht="15.75" customHeight="1">
      <c r="A804" s="298"/>
      <c r="B804" s="298"/>
      <c r="C804" s="1901"/>
      <c r="D804" s="1947"/>
      <c r="E804" s="1901"/>
      <c r="F804" s="1954"/>
      <c r="G804" s="1901"/>
      <c r="H804" s="1901"/>
      <c r="I804" s="1901"/>
      <c r="J804" s="1647"/>
      <c r="K804" s="1901"/>
      <c r="L804" s="1901"/>
      <c r="M804" s="1955"/>
      <c r="N804" s="1956"/>
      <c r="O804" s="1955"/>
      <c r="P804" s="1955"/>
      <c r="Q804" s="1956"/>
      <c r="R804" s="493"/>
      <c r="S804" s="493"/>
      <c r="T804" s="493"/>
      <c r="U804" s="493"/>
      <c r="V804" s="298"/>
      <c r="W804" s="298"/>
      <c r="X804" s="298"/>
      <c r="Y804" s="298"/>
      <c r="Z804" s="298"/>
      <c r="AA804" s="298"/>
      <c r="AB804" s="298"/>
      <c r="AC804" s="298"/>
      <c r="AD804" s="298"/>
      <c r="AE804" s="298"/>
      <c r="AF804" s="298"/>
      <c r="AG804" s="298"/>
      <c r="AH804" s="298"/>
      <c r="AI804" s="298"/>
      <c r="AJ804" s="298"/>
      <c r="AK804" s="298"/>
      <c r="AL804" s="298"/>
      <c r="AM804" s="298"/>
    </row>
    <row r="805" spans="1:39" ht="15.75" customHeight="1">
      <c r="A805" s="298"/>
      <c r="B805" s="298"/>
      <c r="C805" s="1901"/>
      <c r="D805" s="1947"/>
      <c r="E805" s="1901"/>
      <c r="F805" s="1954"/>
      <c r="G805" s="1901"/>
      <c r="H805" s="1901"/>
      <c r="I805" s="1901"/>
      <c r="J805" s="1647"/>
      <c r="K805" s="1901"/>
      <c r="L805" s="1901"/>
      <c r="M805" s="1955"/>
      <c r="N805" s="1956"/>
      <c r="O805" s="1955"/>
      <c r="P805" s="1955"/>
      <c r="Q805" s="1956"/>
      <c r="R805" s="493"/>
      <c r="S805" s="493"/>
      <c r="T805" s="493"/>
      <c r="U805" s="493"/>
      <c r="V805" s="298"/>
      <c r="W805" s="298"/>
      <c r="X805" s="298"/>
      <c r="Y805" s="298"/>
      <c r="Z805" s="298"/>
      <c r="AA805" s="298"/>
      <c r="AB805" s="298"/>
      <c r="AC805" s="298"/>
      <c r="AD805" s="298"/>
      <c r="AE805" s="298"/>
      <c r="AF805" s="298"/>
      <c r="AG805" s="298"/>
      <c r="AH805" s="298"/>
      <c r="AI805" s="298"/>
      <c r="AJ805" s="298"/>
      <c r="AK805" s="298"/>
      <c r="AL805" s="298"/>
      <c r="AM805" s="298"/>
    </row>
    <row r="806" spans="1:39" ht="15.75" customHeight="1">
      <c r="A806" s="298"/>
      <c r="B806" s="298"/>
      <c r="C806" s="1901"/>
      <c r="D806" s="1947"/>
      <c r="E806" s="1901"/>
      <c r="F806" s="1954"/>
      <c r="G806" s="1901"/>
      <c r="H806" s="1901"/>
      <c r="I806" s="1901"/>
      <c r="J806" s="1647"/>
      <c r="K806" s="1901"/>
      <c r="L806" s="1901"/>
      <c r="M806" s="1955"/>
      <c r="N806" s="1956"/>
      <c r="O806" s="1955"/>
      <c r="P806" s="1955"/>
      <c r="Q806" s="1956"/>
      <c r="R806" s="493"/>
      <c r="S806" s="493"/>
      <c r="T806" s="493"/>
      <c r="U806" s="493"/>
      <c r="V806" s="298"/>
      <c r="W806" s="298"/>
      <c r="X806" s="298"/>
      <c r="Y806" s="298"/>
      <c r="Z806" s="298"/>
      <c r="AA806" s="298"/>
      <c r="AB806" s="298"/>
      <c r="AC806" s="298"/>
      <c r="AD806" s="298"/>
      <c r="AE806" s="298"/>
      <c r="AF806" s="298"/>
      <c r="AG806" s="298"/>
      <c r="AH806" s="298"/>
      <c r="AI806" s="298"/>
      <c r="AJ806" s="298"/>
      <c r="AK806" s="298"/>
      <c r="AL806" s="298"/>
      <c r="AM806" s="298"/>
    </row>
    <row r="807" spans="1:39" ht="15.75" customHeight="1">
      <c r="A807" s="298"/>
      <c r="B807" s="298"/>
      <c r="C807" s="1901"/>
      <c r="D807" s="1947"/>
      <c r="E807" s="1901"/>
      <c r="F807" s="1954"/>
      <c r="G807" s="1901"/>
      <c r="H807" s="1901"/>
      <c r="I807" s="1901"/>
      <c r="J807" s="1647"/>
      <c r="K807" s="1901"/>
      <c r="L807" s="1901"/>
      <c r="M807" s="1955"/>
      <c r="N807" s="1956"/>
      <c r="O807" s="1955"/>
      <c r="P807" s="1955"/>
      <c r="Q807" s="1956"/>
      <c r="R807" s="493"/>
      <c r="S807" s="493"/>
      <c r="T807" s="493"/>
      <c r="U807" s="493"/>
      <c r="V807" s="298"/>
      <c r="W807" s="298"/>
      <c r="X807" s="298"/>
      <c r="Y807" s="298"/>
      <c r="Z807" s="298"/>
      <c r="AA807" s="298"/>
      <c r="AB807" s="298"/>
      <c r="AC807" s="298"/>
      <c r="AD807" s="298"/>
      <c r="AE807" s="298"/>
      <c r="AF807" s="298"/>
      <c r="AG807" s="298"/>
      <c r="AH807" s="298"/>
      <c r="AI807" s="298"/>
      <c r="AJ807" s="298"/>
      <c r="AK807" s="298"/>
      <c r="AL807" s="298"/>
      <c r="AM807" s="298"/>
    </row>
    <row r="808" spans="1:39" ht="15.75" customHeight="1">
      <c r="A808" s="298"/>
      <c r="B808" s="298"/>
      <c r="C808" s="1901"/>
      <c r="D808" s="1947"/>
      <c r="E808" s="1901"/>
      <c r="F808" s="1954"/>
      <c r="G808" s="1901"/>
      <c r="H808" s="1901"/>
      <c r="I808" s="1901"/>
      <c r="J808" s="1647"/>
      <c r="K808" s="1901"/>
      <c r="L808" s="1901"/>
      <c r="M808" s="1955"/>
      <c r="N808" s="1956"/>
      <c r="O808" s="1955"/>
      <c r="P808" s="1955"/>
      <c r="Q808" s="1956"/>
      <c r="R808" s="493"/>
      <c r="S808" s="493"/>
      <c r="T808" s="493"/>
      <c r="U808" s="493"/>
      <c r="V808" s="298"/>
      <c r="W808" s="298"/>
      <c r="X808" s="298"/>
      <c r="Y808" s="298"/>
      <c r="Z808" s="298"/>
      <c r="AA808" s="298"/>
      <c r="AB808" s="298"/>
      <c r="AC808" s="298"/>
      <c r="AD808" s="298"/>
      <c r="AE808" s="298"/>
      <c r="AF808" s="298"/>
      <c r="AG808" s="298"/>
      <c r="AH808" s="298"/>
      <c r="AI808" s="298"/>
      <c r="AJ808" s="298"/>
      <c r="AK808" s="298"/>
      <c r="AL808" s="298"/>
      <c r="AM808" s="298"/>
    </row>
    <row r="809" spans="1:39" ht="15.75" customHeight="1">
      <c r="A809" s="298"/>
      <c r="B809" s="298"/>
      <c r="C809" s="1901"/>
      <c r="D809" s="1947"/>
      <c r="E809" s="1901"/>
      <c r="F809" s="1954"/>
      <c r="G809" s="1901"/>
      <c r="H809" s="1901"/>
      <c r="I809" s="1901"/>
      <c r="J809" s="1647"/>
      <c r="K809" s="1901"/>
      <c r="L809" s="1901"/>
      <c r="M809" s="1955"/>
      <c r="N809" s="1956"/>
      <c r="O809" s="1955"/>
      <c r="P809" s="1955"/>
      <c r="Q809" s="1956"/>
      <c r="R809" s="493"/>
      <c r="S809" s="493"/>
      <c r="T809" s="493"/>
      <c r="U809" s="493"/>
      <c r="V809" s="298"/>
      <c r="W809" s="298"/>
      <c r="X809" s="298"/>
      <c r="Y809" s="298"/>
      <c r="Z809" s="298"/>
      <c r="AA809" s="298"/>
      <c r="AB809" s="298"/>
      <c r="AC809" s="298"/>
      <c r="AD809" s="298"/>
      <c r="AE809" s="298"/>
      <c r="AF809" s="298"/>
      <c r="AG809" s="298"/>
      <c r="AH809" s="298"/>
      <c r="AI809" s="298"/>
      <c r="AJ809" s="298"/>
      <c r="AK809" s="298"/>
      <c r="AL809" s="298"/>
      <c r="AM809" s="298"/>
    </row>
    <row r="810" spans="1:39" ht="15.75" customHeight="1">
      <c r="A810" s="298"/>
      <c r="B810" s="298"/>
      <c r="C810" s="1901"/>
      <c r="D810" s="1947"/>
      <c r="E810" s="1901"/>
      <c r="F810" s="1954"/>
      <c r="G810" s="1901"/>
      <c r="H810" s="1901"/>
      <c r="I810" s="1901"/>
      <c r="J810" s="1647"/>
      <c r="K810" s="1901"/>
      <c r="L810" s="1901"/>
      <c r="M810" s="1955"/>
      <c r="N810" s="1956"/>
      <c r="O810" s="1955"/>
      <c r="P810" s="1955"/>
      <c r="Q810" s="1956"/>
      <c r="R810" s="493"/>
      <c r="S810" s="493"/>
      <c r="T810" s="493"/>
      <c r="U810" s="493"/>
      <c r="V810" s="298"/>
      <c r="W810" s="298"/>
      <c r="X810" s="298"/>
      <c r="Y810" s="298"/>
      <c r="Z810" s="298"/>
      <c r="AA810" s="298"/>
      <c r="AB810" s="298"/>
      <c r="AC810" s="298"/>
      <c r="AD810" s="298"/>
      <c r="AE810" s="298"/>
      <c r="AF810" s="298"/>
      <c r="AG810" s="298"/>
      <c r="AH810" s="298"/>
      <c r="AI810" s="298"/>
      <c r="AJ810" s="298"/>
      <c r="AK810" s="298"/>
      <c r="AL810" s="298"/>
      <c r="AM810" s="298"/>
    </row>
    <row r="811" spans="1:39" ht="15.75" customHeight="1">
      <c r="A811" s="298"/>
      <c r="B811" s="298"/>
      <c r="C811" s="1901"/>
      <c r="D811" s="1947"/>
      <c r="E811" s="1901"/>
      <c r="F811" s="1954"/>
      <c r="G811" s="1901"/>
      <c r="H811" s="1901"/>
      <c r="I811" s="1901"/>
      <c r="J811" s="1647"/>
      <c r="K811" s="1901"/>
      <c r="L811" s="1901"/>
      <c r="M811" s="1955"/>
      <c r="N811" s="1956"/>
      <c r="O811" s="1955"/>
      <c r="P811" s="1955"/>
      <c r="Q811" s="1956"/>
      <c r="R811" s="493"/>
      <c r="S811" s="493"/>
      <c r="T811" s="493"/>
      <c r="U811" s="493"/>
      <c r="V811" s="298"/>
      <c r="W811" s="298"/>
      <c r="X811" s="298"/>
      <c r="Y811" s="298"/>
      <c r="Z811" s="298"/>
      <c r="AA811" s="298"/>
      <c r="AB811" s="298"/>
      <c r="AC811" s="298"/>
      <c r="AD811" s="298"/>
      <c r="AE811" s="298"/>
      <c r="AF811" s="298"/>
      <c r="AG811" s="298"/>
      <c r="AH811" s="298"/>
      <c r="AI811" s="298"/>
      <c r="AJ811" s="298"/>
      <c r="AK811" s="298"/>
      <c r="AL811" s="298"/>
      <c r="AM811" s="298"/>
    </row>
    <row r="812" spans="1:39" ht="15.75" customHeight="1">
      <c r="A812" s="298"/>
      <c r="B812" s="298"/>
      <c r="C812" s="1901"/>
      <c r="D812" s="1947"/>
      <c r="E812" s="1901"/>
      <c r="F812" s="1954"/>
      <c r="G812" s="1901"/>
      <c r="H812" s="1901"/>
      <c r="I812" s="1901"/>
      <c r="J812" s="1647"/>
      <c r="K812" s="1901"/>
      <c r="L812" s="1901"/>
      <c r="M812" s="1955"/>
      <c r="N812" s="1956"/>
      <c r="O812" s="1955"/>
      <c r="P812" s="1955"/>
      <c r="Q812" s="1956"/>
      <c r="R812" s="493"/>
      <c r="S812" s="493"/>
      <c r="T812" s="493"/>
      <c r="U812" s="493"/>
      <c r="V812" s="298"/>
      <c r="W812" s="298"/>
      <c r="X812" s="298"/>
      <c r="Y812" s="298"/>
      <c r="Z812" s="298"/>
      <c r="AA812" s="298"/>
      <c r="AB812" s="298"/>
      <c r="AC812" s="298"/>
      <c r="AD812" s="298"/>
      <c r="AE812" s="298"/>
      <c r="AF812" s="298"/>
      <c r="AG812" s="298"/>
      <c r="AH812" s="298"/>
      <c r="AI812" s="298"/>
      <c r="AJ812" s="298"/>
      <c r="AK812" s="298"/>
      <c r="AL812" s="298"/>
      <c r="AM812" s="298"/>
    </row>
    <row r="813" spans="1:39" ht="15.75" customHeight="1">
      <c r="A813" s="298"/>
      <c r="B813" s="298"/>
      <c r="C813" s="1901"/>
      <c r="D813" s="1947"/>
      <c r="E813" s="1901"/>
      <c r="F813" s="1954"/>
      <c r="G813" s="1901"/>
      <c r="H813" s="1901"/>
      <c r="I813" s="1901"/>
      <c r="J813" s="1647"/>
      <c r="K813" s="1901"/>
      <c r="L813" s="1901"/>
      <c r="M813" s="1955"/>
      <c r="N813" s="1956"/>
      <c r="O813" s="1955"/>
      <c r="P813" s="1955"/>
      <c r="Q813" s="1956"/>
      <c r="R813" s="493"/>
      <c r="S813" s="493"/>
      <c r="T813" s="493"/>
      <c r="U813" s="493"/>
      <c r="V813" s="298"/>
      <c r="W813" s="298"/>
      <c r="X813" s="298"/>
      <c r="Y813" s="298"/>
      <c r="Z813" s="298"/>
      <c r="AA813" s="298"/>
      <c r="AB813" s="298"/>
      <c r="AC813" s="298"/>
      <c r="AD813" s="298"/>
      <c r="AE813" s="298"/>
      <c r="AF813" s="298"/>
      <c r="AG813" s="298"/>
      <c r="AH813" s="298"/>
      <c r="AI813" s="298"/>
      <c r="AJ813" s="298"/>
      <c r="AK813" s="298"/>
      <c r="AL813" s="298"/>
      <c r="AM813" s="298"/>
    </row>
    <row r="814" spans="1:39" ht="15.75" customHeight="1">
      <c r="A814" s="298"/>
      <c r="B814" s="298"/>
      <c r="C814" s="1901"/>
      <c r="D814" s="1947"/>
      <c r="E814" s="1901"/>
      <c r="F814" s="1954"/>
      <c r="G814" s="1901"/>
      <c r="H814" s="1901"/>
      <c r="I814" s="1901"/>
      <c r="J814" s="1647"/>
      <c r="K814" s="1901"/>
      <c r="L814" s="1901"/>
      <c r="M814" s="1955"/>
      <c r="N814" s="1956"/>
      <c r="O814" s="1955"/>
      <c r="P814" s="1955"/>
      <c r="Q814" s="1956"/>
      <c r="R814" s="493"/>
      <c r="S814" s="493"/>
      <c r="T814" s="493"/>
      <c r="U814" s="493"/>
      <c r="V814" s="298"/>
      <c r="W814" s="298"/>
      <c r="X814" s="298"/>
      <c r="Y814" s="298"/>
      <c r="Z814" s="298"/>
      <c r="AA814" s="298"/>
      <c r="AB814" s="298"/>
      <c r="AC814" s="298"/>
      <c r="AD814" s="298"/>
      <c r="AE814" s="298"/>
      <c r="AF814" s="298"/>
      <c r="AG814" s="298"/>
      <c r="AH814" s="298"/>
      <c r="AI814" s="298"/>
      <c r="AJ814" s="298"/>
      <c r="AK814" s="298"/>
      <c r="AL814" s="298"/>
      <c r="AM814" s="298"/>
    </row>
    <row r="815" spans="1:39" ht="15.75" customHeight="1">
      <c r="A815" s="298"/>
      <c r="B815" s="298"/>
      <c r="C815" s="1901"/>
      <c r="D815" s="1947"/>
      <c r="E815" s="1901"/>
      <c r="F815" s="1954"/>
      <c r="G815" s="1901"/>
      <c r="H815" s="1901"/>
      <c r="I815" s="1901"/>
      <c r="J815" s="1647"/>
      <c r="K815" s="1901"/>
      <c r="L815" s="1901"/>
      <c r="M815" s="1955"/>
      <c r="N815" s="1956"/>
      <c r="O815" s="1955"/>
      <c r="P815" s="1955"/>
      <c r="Q815" s="1956"/>
      <c r="R815" s="493"/>
      <c r="S815" s="493"/>
      <c r="T815" s="493"/>
      <c r="U815" s="493"/>
      <c r="V815" s="298"/>
      <c r="W815" s="298"/>
      <c r="X815" s="298"/>
      <c r="Y815" s="298"/>
      <c r="Z815" s="298"/>
      <c r="AA815" s="298"/>
      <c r="AB815" s="298"/>
      <c r="AC815" s="298"/>
      <c r="AD815" s="298"/>
      <c r="AE815" s="298"/>
      <c r="AF815" s="298"/>
      <c r="AG815" s="298"/>
      <c r="AH815" s="298"/>
      <c r="AI815" s="298"/>
      <c r="AJ815" s="298"/>
      <c r="AK815" s="298"/>
      <c r="AL815" s="298"/>
      <c r="AM815" s="298"/>
    </row>
    <row r="816" spans="1:39" ht="15.75" customHeight="1">
      <c r="A816" s="298"/>
      <c r="B816" s="298"/>
      <c r="C816" s="1901"/>
      <c r="D816" s="1947"/>
      <c r="E816" s="1901"/>
      <c r="F816" s="1954"/>
      <c r="G816" s="1901"/>
      <c r="H816" s="1901"/>
      <c r="I816" s="1901"/>
      <c r="J816" s="1647"/>
      <c r="K816" s="1901"/>
      <c r="L816" s="1901"/>
      <c r="M816" s="1955"/>
      <c r="N816" s="1956"/>
      <c r="O816" s="1955"/>
      <c r="P816" s="1955"/>
      <c r="Q816" s="1956"/>
      <c r="R816" s="493"/>
      <c r="S816" s="493"/>
      <c r="T816" s="493"/>
      <c r="U816" s="493"/>
      <c r="V816" s="298"/>
      <c r="W816" s="298"/>
      <c r="X816" s="298"/>
      <c r="Y816" s="298"/>
      <c r="Z816" s="298"/>
      <c r="AA816" s="298"/>
      <c r="AB816" s="298"/>
      <c r="AC816" s="298"/>
      <c r="AD816" s="298"/>
      <c r="AE816" s="298"/>
      <c r="AF816" s="298"/>
      <c r="AG816" s="298"/>
      <c r="AH816" s="298"/>
      <c r="AI816" s="298"/>
      <c r="AJ816" s="298"/>
      <c r="AK816" s="298"/>
      <c r="AL816" s="298"/>
      <c r="AM816" s="298"/>
    </row>
    <row r="817" spans="1:39" ht="15.75" customHeight="1">
      <c r="A817" s="298"/>
      <c r="B817" s="298"/>
      <c r="C817" s="1901"/>
      <c r="D817" s="1947"/>
      <c r="E817" s="1901"/>
      <c r="F817" s="1954"/>
      <c r="G817" s="1901"/>
      <c r="H817" s="1901"/>
      <c r="I817" s="1901"/>
      <c r="J817" s="1647"/>
      <c r="K817" s="1901"/>
      <c r="L817" s="1901"/>
      <c r="M817" s="1955"/>
      <c r="N817" s="1956"/>
      <c r="O817" s="1955"/>
      <c r="P817" s="1955"/>
      <c r="Q817" s="1956"/>
      <c r="R817" s="493"/>
      <c r="S817" s="493"/>
      <c r="T817" s="493"/>
      <c r="U817" s="493"/>
      <c r="V817" s="298"/>
      <c r="W817" s="298"/>
      <c r="X817" s="298"/>
      <c r="Y817" s="298"/>
      <c r="Z817" s="298"/>
      <c r="AA817" s="298"/>
      <c r="AB817" s="298"/>
      <c r="AC817" s="298"/>
      <c r="AD817" s="298"/>
      <c r="AE817" s="298"/>
      <c r="AF817" s="298"/>
      <c r="AG817" s="298"/>
      <c r="AH817" s="298"/>
      <c r="AI817" s="298"/>
      <c r="AJ817" s="298"/>
      <c r="AK817" s="298"/>
      <c r="AL817" s="298"/>
      <c r="AM817" s="298"/>
    </row>
    <row r="818" spans="1:39" ht="15.75" customHeight="1">
      <c r="A818" s="298"/>
      <c r="B818" s="298"/>
      <c r="C818" s="1901"/>
      <c r="D818" s="1947"/>
      <c r="E818" s="1901"/>
      <c r="F818" s="1954"/>
      <c r="G818" s="1901"/>
      <c r="H818" s="1901"/>
      <c r="I818" s="1901"/>
      <c r="J818" s="1647"/>
      <c r="K818" s="1901"/>
      <c r="L818" s="1901"/>
      <c r="M818" s="1955"/>
      <c r="N818" s="1956"/>
      <c r="O818" s="1955"/>
      <c r="P818" s="1955"/>
      <c r="Q818" s="1956"/>
      <c r="R818" s="493"/>
      <c r="S818" s="493"/>
      <c r="T818" s="493"/>
      <c r="U818" s="493"/>
      <c r="V818" s="298"/>
      <c r="W818" s="298"/>
      <c r="X818" s="298"/>
      <c r="Y818" s="298"/>
      <c r="Z818" s="298"/>
      <c r="AA818" s="298"/>
      <c r="AB818" s="298"/>
      <c r="AC818" s="298"/>
      <c r="AD818" s="298"/>
      <c r="AE818" s="298"/>
      <c r="AF818" s="298"/>
      <c r="AG818" s="298"/>
      <c r="AH818" s="298"/>
      <c r="AI818" s="298"/>
      <c r="AJ818" s="298"/>
      <c r="AK818" s="298"/>
      <c r="AL818" s="298"/>
      <c r="AM818" s="298"/>
    </row>
    <row r="819" spans="1:39" ht="15.75" customHeight="1">
      <c r="A819" s="298"/>
      <c r="B819" s="298"/>
      <c r="C819" s="1901"/>
      <c r="D819" s="1947"/>
      <c r="E819" s="1901"/>
      <c r="F819" s="1954"/>
      <c r="G819" s="1901"/>
      <c r="H819" s="1901"/>
      <c r="I819" s="1901"/>
      <c r="J819" s="1647"/>
      <c r="K819" s="1901"/>
      <c r="L819" s="1901"/>
      <c r="M819" s="1955"/>
      <c r="N819" s="1956"/>
      <c r="O819" s="1955"/>
      <c r="P819" s="1955"/>
      <c r="Q819" s="1956"/>
      <c r="R819" s="493"/>
      <c r="S819" s="493"/>
      <c r="T819" s="493"/>
      <c r="U819" s="493"/>
      <c r="V819" s="298"/>
      <c r="W819" s="298"/>
      <c r="X819" s="298"/>
      <c r="Y819" s="298"/>
      <c r="Z819" s="298"/>
      <c r="AA819" s="298"/>
      <c r="AB819" s="298"/>
      <c r="AC819" s="298"/>
      <c r="AD819" s="298"/>
      <c r="AE819" s="298"/>
      <c r="AF819" s="298"/>
      <c r="AG819" s="298"/>
      <c r="AH819" s="298"/>
      <c r="AI819" s="298"/>
      <c r="AJ819" s="298"/>
      <c r="AK819" s="298"/>
      <c r="AL819" s="298"/>
      <c r="AM819" s="298"/>
    </row>
    <row r="820" spans="1:39" ht="15.75" customHeight="1">
      <c r="A820" s="298"/>
      <c r="B820" s="298"/>
      <c r="C820" s="1901"/>
      <c r="D820" s="1947"/>
      <c r="E820" s="1901"/>
      <c r="F820" s="1954"/>
      <c r="G820" s="1901"/>
      <c r="H820" s="1901"/>
      <c r="I820" s="1901"/>
      <c r="J820" s="1647"/>
      <c r="K820" s="1901"/>
      <c r="L820" s="1901"/>
      <c r="M820" s="1955"/>
      <c r="N820" s="1956"/>
      <c r="O820" s="1955"/>
      <c r="P820" s="1955"/>
      <c r="Q820" s="1956"/>
      <c r="R820" s="493"/>
      <c r="S820" s="493"/>
      <c r="T820" s="493"/>
      <c r="U820" s="493"/>
      <c r="V820" s="298"/>
      <c r="W820" s="298"/>
      <c r="X820" s="298"/>
      <c r="Y820" s="298"/>
      <c r="Z820" s="298"/>
      <c r="AA820" s="298"/>
      <c r="AB820" s="298"/>
      <c r="AC820" s="298"/>
      <c r="AD820" s="298"/>
      <c r="AE820" s="298"/>
      <c r="AF820" s="298"/>
      <c r="AG820" s="298"/>
      <c r="AH820" s="298"/>
      <c r="AI820" s="298"/>
      <c r="AJ820" s="298"/>
      <c r="AK820" s="298"/>
      <c r="AL820" s="298"/>
      <c r="AM820" s="298"/>
    </row>
    <row r="821" spans="1:39" ht="15.75" customHeight="1">
      <c r="A821" s="298"/>
      <c r="B821" s="298"/>
      <c r="C821" s="1901"/>
      <c r="D821" s="1947"/>
      <c r="E821" s="1901"/>
      <c r="F821" s="1954"/>
      <c r="G821" s="1901"/>
      <c r="H821" s="1901"/>
      <c r="I821" s="1901"/>
      <c r="J821" s="1647"/>
      <c r="K821" s="1901"/>
      <c r="L821" s="1901"/>
      <c r="M821" s="1955"/>
      <c r="N821" s="1956"/>
      <c r="O821" s="1955"/>
      <c r="P821" s="1955"/>
      <c r="Q821" s="1956"/>
      <c r="R821" s="493"/>
      <c r="S821" s="493"/>
      <c r="T821" s="493"/>
      <c r="U821" s="493"/>
      <c r="V821" s="298"/>
      <c r="W821" s="298"/>
      <c r="X821" s="298"/>
      <c r="Y821" s="298"/>
      <c r="Z821" s="298"/>
      <c r="AA821" s="298"/>
      <c r="AB821" s="298"/>
      <c r="AC821" s="298"/>
      <c r="AD821" s="298"/>
      <c r="AE821" s="298"/>
      <c r="AF821" s="298"/>
      <c r="AG821" s="298"/>
      <c r="AH821" s="298"/>
      <c r="AI821" s="298"/>
      <c r="AJ821" s="298"/>
      <c r="AK821" s="298"/>
      <c r="AL821" s="298"/>
      <c r="AM821" s="298"/>
    </row>
    <row r="822" spans="1:39" ht="15.75" customHeight="1">
      <c r="A822" s="298"/>
      <c r="B822" s="298"/>
      <c r="C822" s="1901"/>
      <c r="D822" s="1947"/>
      <c r="E822" s="1901"/>
      <c r="F822" s="1954"/>
      <c r="G822" s="1901"/>
      <c r="H822" s="1901"/>
      <c r="I822" s="1901"/>
      <c r="J822" s="1647"/>
      <c r="K822" s="1901"/>
      <c r="L822" s="1901"/>
      <c r="M822" s="1955"/>
      <c r="N822" s="1956"/>
      <c r="O822" s="1955"/>
      <c r="P822" s="1955"/>
      <c r="Q822" s="1956"/>
      <c r="R822" s="493"/>
      <c r="S822" s="493"/>
      <c r="T822" s="493"/>
      <c r="U822" s="493"/>
      <c r="V822" s="298"/>
      <c r="W822" s="298"/>
      <c r="X822" s="298"/>
      <c r="Y822" s="298"/>
      <c r="Z822" s="298"/>
      <c r="AA822" s="298"/>
      <c r="AB822" s="298"/>
      <c r="AC822" s="298"/>
      <c r="AD822" s="298"/>
      <c r="AE822" s="298"/>
      <c r="AF822" s="298"/>
      <c r="AG822" s="298"/>
      <c r="AH822" s="298"/>
      <c r="AI822" s="298"/>
      <c r="AJ822" s="298"/>
      <c r="AK822" s="298"/>
      <c r="AL822" s="298"/>
      <c r="AM822" s="298"/>
    </row>
    <row r="823" spans="1:39" ht="15.75" customHeight="1">
      <c r="A823" s="298"/>
      <c r="B823" s="298"/>
      <c r="C823" s="1901"/>
      <c r="D823" s="1947"/>
      <c r="E823" s="1901"/>
      <c r="F823" s="1954"/>
      <c r="G823" s="1901"/>
      <c r="H823" s="1901"/>
      <c r="I823" s="1901"/>
      <c r="J823" s="1647"/>
      <c r="K823" s="1901"/>
      <c r="L823" s="1901"/>
      <c r="M823" s="1955"/>
      <c r="N823" s="1956"/>
      <c r="O823" s="1955"/>
      <c r="P823" s="1955"/>
      <c r="Q823" s="1956"/>
      <c r="R823" s="493"/>
      <c r="S823" s="493"/>
      <c r="T823" s="493"/>
      <c r="U823" s="493"/>
      <c r="V823" s="298"/>
      <c r="W823" s="298"/>
      <c r="X823" s="298"/>
      <c r="Y823" s="298"/>
      <c r="Z823" s="298"/>
      <c r="AA823" s="298"/>
      <c r="AB823" s="298"/>
      <c r="AC823" s="298"/>
      <c r="AD823" s="298"/>
      <c r="AE823" s="298"/>
      <c r="AF823" s="298"/>
      <c r="AG823" s="298"/>
      <c r="AH823" s="298"/>
      <c r="AI823" s="298"/>
      <c r="AJ823" s="298"/>
      <c r="AK823" s="298"/>
      <c r="AL823" s="298"/>
      <c r="AM823" s="298"/>
    </row>
    <row r="824" spans="1:39" ht="15.75" customHeight="1">
      <c r="A824" s="298"/>
      <c r="B824" s="298"/>
      <c r="C824" s="1901"/>
      <c r="D824" s="1947"/>
      <c r="E824" s="1901"/>
      <c r="F824" s="1954"/>
      <c r="G824" s="1901"/>
      <c r="H824" s="1901"/>
      <c r="I824" s="1901"/>
      <c r="J824" s="1647"/>
      <c r="K824" s="1901"/>
      <c r="L824" s="1901"/>
      <c r="M824" s="1955"/>
      <c r="N824" s="1956"/>
      <c r="O824" s="1955"/>
      <c r="P824" s="1955"/>
      <c r="Q824" s="1956"/>
      <c r="R824" s="493"/>
      <c r="S824" s="493"/>
      <c r="T824" s="493"/>
      <c r="U824" s="493"/>
      <c r="V824" s="298"/>
      <c r="W824" s="298"/>
      <c r="X824" s="298"/>
      <c r="Y824" s="298"/>
      <c r="Z824" s="298"/>
      <c r="AA824" s="298"/>
      <c r="AB824" s="298"/>
      <c r="AC824" s="298"/>
      <c r="AD824" s="298"/>
      <c r="AE824" s="298"/>
      <c r="AF824" s="298"/>
      <c r="AG824" s="298"/>
      <c r="AH824" s="298"/>
      <c r="AI824" s="298"/>
      <c r="AJ824" s="298"/>
      <c r="AK824" s="298"/>
      <c r="AL824" s="298"/>
      <c r="AM824" s="298"/>
    </row>
    <row r="825" spans="1:39" ht="15.75" customHeight="1">
      <c r="A825" s="298"/>
      <c r="B825" s="298"/>
      <c r="C825" s="1901"/>
      <c r="D825" s="1947"/>
      <c r="E825" s="1901"/>
      <c r="F825" s="1954"/>
      <c r="G825" s="1901"/>
      <c r="H825" s="1901"/>
      <c r="I825" s="1901"/>
      <c r="J825" s="1647"/>
      <c r="K825" s="1901"/>
      <c r="L825" s="1901"/>
      <c r="M825" s="1955"/>
      <c r="N825" s="1956"/>
      <c r="O825" s="1955"/>
      <c r="P825" s="1955"/>
      <c r="Q825" s="1956"/>
      <c r="R825" s="493"/>
      <c r="S825" s="493"/>
      <c r="T825" s="493"/>
      <c r="U825" s="493"/>
      <c r="V825" s="298"/>
      <c r="W825" s="298"/>
      <c r="X825" s="298"/>
      <c r="Y825" s="298"/>
      <c r="Z825" s="298"/>
      <c r="AA825" s="298"/>
      <c r="AB825" s="298"/>
      <c r="AC825" s="298"/>
      <c r="AD825" s="298"/>
      <c r="AE825" s="298"/>
      <c r="AF825" s="298"/>
      <c r="AG825" s="298"/>
      <c r="AH825" s="298"/>
      <c r="AI825" s="298"/>
      <c r="AJ825" s="298"/>
      <c r="AK825" s="298"/>
      <c r="AL825" s="298"/>
      <c r="AM825" s="298"/>
    </row>
    <row r="826" spans="1:39" ht="15.75" customHeight="1">
      <c r="A826" s="298"/>
      <c r="B826" s="298"/>
      <c r="C826" s="1901"/>
      <c r="D826" s="1947"/>
      <c r="E826" s="1901"/>
      <c r="F826" s="1954"/>
      <c r="G826" s="1901"/>
      <c r="H826" s="1901"/>
      <c r="I826" s="1901"/>
      <c r="J826" s="1647"/>
      <c r="K826" s="1901"/>
      <c r="L826" s="1901"/>
      <c r="M826" s="1955"/>
      <c r="N826" s="1956"/>
      <c r="O826" s="1955"/>
      <c r="P826" s="1955"/>
      <c r="Q826" s="1956"/>
      <c r="R826" s="493"/>
      <c r="S826" s="493"/>
      <c r="T826" s="493"/>
      <c r="U826" s="493"/>
      <c r="V826" s="298"/>
      <c r="W826" s="298"/>
      <c r="X826" s="298"/>
      <c r="Y826" s="298"/>
      <c r="Z826" s="298"/>
      <c r="AA826" s="298"/>
      <c r="AB826" s="298"/>
      <c r="AC826" s="298"/>
      <c r="AD826" s="298"/>
      <c r="AE826" s="298"/>
      <c r="AF826" s="298"/>
      <c r="AG826" s="298"/>
      <c r="AH826" s="298"/>
      <c r="AI826" s="298"/>
      <c r="AJ826" s="298"/>
      <c r="AK826" s="298"/>
      <c r="AL826" s="298"/>
      <c r="AM826" s="298"/>
    </row>
    <row r="827" spans="1:39" ht="15.75" customHeight="1">
      <c r="A827" s="298"/>
      <c r="B827" s="298"/>
      <c r="C827" s="1901"/>
      <c r="D827" s="1947"/>
      <c r="E827" s="1901"/>
      <c r="F827" s="1954"/>
      <c r="G827" s="1901"/>
      <c r="H827" s="1901"/>
      <c r="I827" s="1901"/>
      <c r="J827" s="1647"/>
      <c r="K827" s="1901"/>
      <c r="L827" s="1901"/>
      <c r="M827" s="1955"/>
      <c r="N827" s="1956"/>
      <c r="O827" s="1955"/>
      <c r="P827" s="1955"/>
      <c r="Q827" s="1956"/>
      <c r="R827" s="493"/>
      <c r="S827" s="493"/>
      <c r="T827" s="493"/>
      <c r="U827" s="493"/>
      <c r="V827" s="298"/>
      <c r="W827" s="298"/>
      <c r="X827" s="298"/>
      <c r="Y827" s="298"/>
      <c r="Z827" s="298"/>
      <c r="AA827" s="298"/>
      <c r="AB827" s="298"/>
      <c r="AC827" s="298"/>
      <c r="AD827" s="298"/>
      <c r="AE827" s="298"/>
      <c r="AF827" s="298"/>
      <c r="AG827" s="298"/>
      <c r="AH827" s="298"/>
      <c r="AI827" s="298"/>
      <c r="AJ827" s="298"/>
      <c r="AK827" s="298"/>
      <c r="AL827" s="298"/>
      <c r="AM827" s="298"/>
    </row>
    <row r="828" spans="1:39" ht="15.75" customHeight="1">
      <c r="A828" s="298"/>
      <c r="B828" s="298"/>
      <c r="C828" s="1901"/>
      <c r="D828" s="1947"/>
      <c r="E828" s="1901"/>
      <c r="F828" s="1954"/>
      <c r="G828" s="1901"/>
      <c r="H828" s="1901"/>
      <c r="I828" s="1901"/>
      <c r="J828" s="1647"/>
      <c r="K828" s="1901"/>
      <c r="L828" s="1901"/>
      <c r="M828" s="1955"/>
      <c r="N828" s="1956"/>
      <c r="O828" s="1955"/>
      <c r="P828" s="1955"/>
      <c r="Q828" s="1956"/>
      <c r="R828" s="493"/>
      <c r="S828" s="493"/>
      <c r="T828" s="493"/>
      <c r="U828" s="493"/>
      <c r="V828" s="298"/>
      <c r="W828" s="298"/>
      <c r="X828" s="298"/>
      <c r="Y828" s="298"/>
      <c r="Z828" s="298"/>
      <c r="AA828" s="298"/>
      <c r="AB828" s="298"/>
      <c r="AC828" s="298"/>
      <c r="AD828" s="298"/>
      <c r="AE828" s="298"/>
      <c r="AF828" s="298"/>
      <c r="AG828" s="298"/>
      <c r="AH828" s="298"/>
      <c r="AI828" s="298"/>
      <c r="AJ828" s="298"/>
      <c r="AK828" s="298"/>
      <c r="AL828" s="298"/>
      <c r="AM828" s="298"/>
    </row>
    <row r="829" spans="1:39" ht="15.75" customHeight="1">
      <c r="A829" s="298"/>
      <c r="B829" s="298"/>
      <c r="C829" s="1901"/>
      <c r="D829" s="1947"/>
      <c r="E829" s="1901"/>
      <c r="F829" s="1954"/>
      <c r="G829" s="1901"/>
      <c r="H829" s="1901"/>
      <c r="I829" s="1901"/>
      <c r="J829" s="1647"/>
      <c r="K829" s="1901"/>
      <c r="L829" s="1901"/>
      <c r="M829" s="1955"/>
      <c r="N829" s="1956"/>
      <c r="O829" s="1955"/>
      <c r="P829" s="1955"/>
      <c r="Q829" s="1956"/>
      <c r="R829" s="493"/>
      <c r="S829" s="493"/>
      <c r="T829" s="493"/>
      <c r="U829" s="493"/>
      <c r="V829" s="298"/>
      <c r="W829" s="298"/>
      <c r="X829" s="298"/>
      <c r="Y829" s="298"/>
      <c r="Z829" s="298"/>
      <c r="AA829" s="298"/>
      <c r="AB829" s="298"/>
      <c r="AC829" s="298"/>
      <c r="AD829" s="298"/>
      <c r="AE829" s="298"/>
      <c r="AF829" s="298"/>
      <c r="AG829" s="298"/>
      <c r="AH829" s="298"/>
      <c r="AI829" s="298"/>
      <c r="AJ829" s="298"/>
      <c r="AK829" s="298"/>
      <c r="AL829" s="298"/>
      <c r="AM829" s="298"/>
    </row>
    <row r="830" spans="1:39" ht="15.75" customHeight="1">
      <c r="A830" s="298"/>
      <c r="B830" s="298"/>
      <c r="C830" s="1901"/>
      <c r="D830" s="1947"/>
      <c r="E830" s="1901"/>
      <c r="F830" s="1954"/>
      <c r="G830" s="1901"/>
      <c r="H830" s="1901"/>
      <c r="I830" s="1901"/>
      <c r="J830" s="1647"/>
      <c r="K830" s="1901"/>
      <c r="L830" s="1901"/>
      <c r="M830" s="1955"/>
      <c r="N830" s="1956"/>
      <c r="O830" s="1955"/>
      <c r="P830" s="1955"/>
      <c r="Q830" s="1956"/>
      <c r="R830" s="493"/>
      <c r="S830" s="493"/>
      <c r="T830" s="493"/>
      <c r="U830" s="493"/>
      <c r="V830" s="298"/>
      <c r="W830" s="298"/>
      <c r="X830" s="298"/>
      <c r="Y830" s="298"/>
      <c r="Z830" s="298"/>
      <c r="AA830" s="298"/>
      <c r="AB830" s="298"/>
      <c r="AC830" s="298"/>
      <c r="AD830" s="298"/>
      <c r="AE830" s="298"/>
      <c r="AF830" s="298"/>
      <c r="AG830" s="298"/>
      <c r="AH830" s="298"/>
      <c r="AI830" s="298"/>
      <c r="AJ830" s="298"/>
      <c r="AK830" s="298"/>
      <c r="AL830" s="298"/>
      <c r="AM830" s="298"/>
    </row>
    <row r="831" spans="1:39" ht="15.75" customHeight="1">
      <c r="A831" s="298"/>
      <c r="B831" s="298"/>
      <c r="C831" s="1901"/>
      <c r="D831" s="1947"/>
      <c r="E831" s="1901"/>
      <c r="F831" s="1954"/>
      <c r="G831" s="1901"/>
      <c r="H831" s="1901"/>
      <c r="I831" s="1901"/>
      <c r="J831" s="1647"/>
      <c r="K831" s="1901"/>
      <c r="L831" s="1901"/>
      <c r="M831" s="1955"/>
      <c r="N831" s="1956"/>
      <c r="O831" s="1955"/>
      <c r="P831" s="1955"/>
      <c r="Q831" s="1956"/>
      <c r="R831" s="493"/>
      <c r="S831" s="493"/>
      <c r="T831" s="493"/>
      <c r="U831" s="493"/>
      <c r="V831" s="298"/>
      <c r="W831" s="298"/>
      <c r="X831" s="298"/>
      <c r="Y831" s="298"/>
      <c r="Z831" s="298"/>
      <c r="AA831" s="298"/>
      <c r="AB831" s="298"/>
      <c r="AC831" s="298"/>
      <c r="AD831" s="298"/>
      <c r="AE831" s="298"/>
      <c r="AF831" s="298"/>
      <c r="AG831" s="298"/>
      <c r="AH831" s="298"/>
      <c r="AI831" s="298"/>
      <c r="AJ831" s="298"/>
      <c r="AK831" s="298"/>
      <c r="AL831" s="298"/>
      <c r="AM831" s="298"/>
    </row>
    <row r="832" spans="1:39" ht="15.75" customHeight="1">
      <c r="A832" s="298"/>
      <c r="B832" s="298"/>
      <c r="C832" s="1901"/>
      <c r="D832" s="1947"/>
      <c r="E832" s="1901"/>
      <c r="F832" s="1954"/>
      <c r="G832" s="1901"/>
      <c r="H832" s="1901"/>
      <c r="I832" s="1901"/>
      <c r="J832" s="1647"/>
      <c r="K832" s="1901"/>
      <c r="L832" s="1901"/>
      <c r="M832" s="1955"/>
      <c r="N832" s="1956"/>
      <c r="O832" s="1955"/>
      <c r="P832" s="1955"/>
      <c r="Q832" s="1956"/>
      <c r="R832" s="493"/>
      <c r="S832" s="493"/>
      <c r="T832" s="493"/>
      <c r="U832" s="493"/>
      <c r="V832" s="298"/>
      <c r="W832" s="298"/>
      <c r="X832" s="298"/>
      <c r="Y832" s="298"/>
      <c r="Z832" s="298"/>
      <c r="AA832" s="298"/>
      <c r="AB832" s="298"/>
      <c r="AC832" s="298"/>
      <c r="AD832" s="298"/>
      <c r="AE832" s="298"/>
      <c r="AF832" s="298"/>
      <c r="AG832" s="298"/>
      <c r="AH832" s="298"/>
      <c r="AI832" s="298"/>
      <c r="AJ832" s="298"/>
      <c r="AK832" s="298"/>
      <c r="AL832" s="298"/>
      <c r="AM832" s="298"/>
    </row>
    <row r="833" spans="1:39" ht="15.75" customHeight="1">
      <c r="A833" s="298"/>
      <c r="B833" s="298"/>
      <c r="C833" s="1901"/>
      <c r="D833" s="1947"/>
      <c r="E833" s="1901"/>
      <c r="F833" s="1954"/>
      <c r="G833" s="1901"/>
      <c r="H833" s="1901"/>
      <c r="I833" s="1901"/>
      <c r="J833" s="1647"/>
      <c r="K833" s="1901"/>
      <c r="L833" s="1901"/>
      <c r="M833" s="1955"/>
      <c r="N833" s="1956"/>
      <c r="O833" s="1955"/>
      <c r="P833" s="1955"/>
      <c r="Q833" s="1956"/>
      <c r="R833" s="493"/>
      <c r="S833" s="493"/>
      <c r="T833" s="493"/>
      <c r="U833" s="493"/>
      <c r="V833" s="298"/>
      <c r="W833" s="298"/>
      <c r="X833" s="298"/>
      <c r="Y833" s="298"/>
      <c r="Z833" s="298"/>
      <c r="AA833" s="298"/>
      <c r="AB833" s="298"/>
      <c r="AC833" s="298"/>
      <c r="AD833" s="298"/>
      <c r="AE833" s="298"/>
      <c r="AF833" s="298"/>
      <c r="AG833" s="298"/>
      <c r="AH833" s="298"/>
      <c r="AI833" s="298"/>
      <c r="AJ833" s="298"/>
      <c r="AK833" s="298"/>
      <c r="AL833" s="298"/>
      <c r="AM833" s="298"/>
    </row>
    <row r="834" spans="1:39" ht="15.75" customHeight="1">
      <c r="A834" s="298"/>
      <c r="B834" s="298"/>
      <c r="C834" s="1901"/>
      <c r="D834" s="1947"/>
      <c r="E834" s="1901"/>
      <c r="F834" s="1954"/>
      <c r="G834" s="1901"/>
      <c r="H834" s="1901"/>
      <c r="I834" s="1901"/>
      <c r="J834" s="1647"/>
      <c r="K834" s="1901"/>
      <c r="L834" s="1901"/>
      <c r="M834" s="1955"/>
      <c r="N834" s="1956"/>
      <c r="O834" s="1955"/>
      <c r="P834" s="1955"/>
      <c r="Q834" s="1956"/>
      <c r="R834" s="493"/>
      <c r="S834" s="493"/>
      <c r="T834" s="493"/>
      <c r="U834" s="493"/>
      <c r="V834" s="298"/>
      <c r="W834" s="298"/>
      <c r="X834" s="298"/>
      <c r="Y834" s="298"/>
      <c r="Z834" s="298"/>
      <c r="AA834" s="298"/>
      <c r="AB834" s="298"/>
      <c r="AC834" s="298"/>
      <c r="AD834" s="298"/>
      <c r="AE834" s="298"/>
      <c r="AF834" s="298"/>
      <c r="AG834" s="298"/>
      <c r="AH834" s="298"/>
      <c r="AI834" s="298"/>
      <c r="AJ834" s="298"/>
      <c r="AK834" s="298"/>
      <c r="AL834" s="298"/>
      <c r="AM834" s="298"/>
    </row>
    <row r="835" spans="1:39" ht="15.75" customHeight="1">
      <c r="A835" s="298"/>
      <c r="B835" s="298"/>
      <c r="C835" s="1901"/>
      <c r="D835" s="1947"/>
      <c r="E835" s="1901"/>
      <c r="F835" s="1954"/>
      <c r="G835" s="1901"/>
      <c r="H835" s="1901"/>
      <c r="I835" s="1901"/>
      <c r="J835" s="1647"/>
      <c r="K835" s="1901"/>
      <c r="L835" s="1901"/>
      <c r="M835" s="1955"/>
      <c r="N835" s="1956"/>
      <c r="O835" s="1955"/>
      <c r="P835" s="1955"/>
      <c r="Q835" s="1956"/>
      <c r="R835" s="493"/>
      <c r="S835" s="493"/>
      <c r="T835" s="493"/>
      <c r="U835" s="493"/>
      <c r="V835" s="298"/>
      <c r="W835" s="298"/>
      <c r="X835" s="298"/>
      <c r="Y835" s="298"/>
      <c r="Z835" s="298"/>
      <c r="AA835" s="298"/>
      <c r="AB835" s="298"/>
      <c r="AC835" s="298"/>
      <c r="AD835" s="298"/>
      <c r="AE835" s="298"/>
      <c r="AF835" s="298"/>
      <c r="AG835" s="298"/>
      <c r="AH835" s="298"/>
      <c r="AI835" s="298"/>
      <c r="AJ835" s="298"/>
      <c r="AK835" s="298"/>
      <c r="AL835" s="298"/>
      <c r="AM835" s="298"/>
    </row>
    <row r="836" spans="1:39" ht="15.75" customHeight="1">
      <c r="A836" s="298"/>
      <c r="B836" s="298"/>
      <c r="C836" s="1901"/>
      <c r="D836" s="1947"/>
      <c r="E836" s="1901"/>
      <c r="F836" s="1954"/>
      <c r="G836" s="1901"/>
      <c r="H836" s="1901"/>
      <c r="I836" s="1901"/>
      <c r="J836" s="1647"/>
      <c r="K836" s="1901"/>
      <c r="L836" s="1901"/>
      <c r="M836" s="1955"/>
      <c r="N836" s="1956"/>
      <c r="O836" s="1955"/>
      <c r="P836" s="1955"/>
      <c r="Q836" s="1956"/>
      <c r="R836" s="493"/>
      <c r="S836" s="493"/>
      <c r="T836" s="493"/>
      <c r="U836" s="493"/>
      <c r="V836" s="298"/>
      <c r="W836" s="298"/>
      <c r="X836" s="298"/>
      <c r="Y836" s="298"/>
      <c r="Z836" s="298"/>
      <c r="AA836" s="298"/>
      <c r="AB836" s="298"/>
      <c r="AC836" s="298"/>
      <c r="AD836" s="298"/>
      <c r="AE836" s="298"/>
      <c r="AF836" s="298"/>
      <c r="AG836" s="298"/>
      <c r="AH836" s="298"/>
      <c r="AI836" s="298"/>
      <c r="AJ836" s="298"/>
      <c r="AK836" s="298"/>
      <c r="AL836" s="298"/>
      <c r="AM836" s="298"/>
    </row>
    <row r="837" spans="1:39" ht="15.75" customHeight="1">
      <c r="A837" s="298"/>
      <c r="B837" s="298"/>
      <c r="C837" s="1901"/>
      <c r="D837" s="1947"/>
      <c r="E837" s="1901"/>
      <c r="F837" s="1954"/>
      <c r="G837" s="1901"/>
      <c r="H837" s="1901"/>
      <c r="I837" s="1901"/>
      <c r="J837" s="1647"/>
      <c r="K837" s="1901"/>
      <c r="L837" s="1901"/>
      <c r="M837" s="1955"/>
      <c r="N837" s="1956"/>
      <c r="O837" s="1955"/>
      <c r="P837" s="1955"/>
      <c r="Q837" s="1956"/>
      <c r="R837" s="493"/>
      <c r="S837" s="493"/>
      <c r="T837" s="493"/>
      <c r="U837" s="493"/>
      <c r="V837" s="298"/>
      <c r="W837" s="298"/>
      <c r="X837" s="298"/>
      <c r="Y837" s="298"/>
      <c r="Z837" s="298"/>
      <c r="AA837" s="298"/>
      <c r="AB837" s="298"/>
      <c r="AC837" s="298"/>
      <c r="AD837" s="298"/>
      <c r="AE837" s="298"/>
      <c r="AF837" s="298"/>
      <c r="AG837" s="298"/>
      <c r="AH837" s="298"/>
      <c r="AI837" s="298"/>
      <c r="AJ837" s="298"/>
      <c r="AK837" s="298"/>
      <c r="AL837" s="298"/>
      <c r="AM837" s="298"/>
    </row>
    <row r="838" spans="1:39" ht="15.75" customHeight="1">
      <c r="A838" s="298"/>
      <c r="B838" s="298"/>
      <c r="C838" s="1901"/>
      <c r="D838" s="1947"/>
      <c r="E838" s="1901"/>
      <c r="F838" s="1954"/>
      <c r="G838" s="1901"/>
      <c r="H838" s="1901"/>
      <c r="I838" s="1901"/>
      <c r="J838" s="1647"/>
      <c r="K838" s="1901"/>
      <c r="L838" s="1901"/>
      <c r="M838" s="1955"/>
      <c r="N838" s="1956"/>
      <c r="O838" s="1955"/>
      <c r="P838" s="1955"/>
      <c r="Q838" s="1956"/>
      <c r="R838" s="493"/>
      <c r="S838" s="493"/>
      <c r="T838" s="493"/>
      <c r="U838" s="493"/>
      <c r="V838" s="298"/>
      <c r="W838" s="298"/>
      <c r="X838" s="298"/>
      <c r="Y838" s="298"/>
      <c r="Z838" s="298"/>
      <c r="AA838" s="298"/>
      <c r="AB838" s="298"/>
      <c r="AC838" s="298"/>
      <c r="AD838" s="298"/>
      <c r="AE838" s="298"/>
      <c r="AF838" s="298"/>
      <c r="AG838" s="298"/>
      <c r="AH838" s="298"/>
      <c r="AI838" s="298"/>
      <c r="AJ838" s="298"/>
      <c r="AK838" s="298"/>
      <c r="AL838" s="298"/>
      <c r="AM838" s="298"/>
    </row>
    <row r="839" spans="1:39" ht="15.75" customHeight="1">
      <c r="A839" s="298"/>
      <c r="B839" s="298"/>
      <c r="C839" s="1901"/>
      <c r="D839" s="1947"/>
      <c r="E839" s="1901"/>
      <c r="F839" s="1954"/>
      <c r="G839" s="1901"/>
      <c r="H839" s="1901"/>
      <c r="I839" s="1901"/>
      <c r="J839" s="1647"/>
      <c r="K839" s="1901"/>
      <c r="L839" s="1901"/>
      <c r="M839" s="1955"/>
      <c r="N839" s="1956"/>
      <c r="O839" s="1955"/>
      <c r="P839" s="1955"/>
      <c r="Q839" s="1956"/>
      <c r="R839" s="493"/>
      <c r="S839" s="493"/>
      <c r="T839" s="493"/>
      <c r="U839" s="493"/>
      <c r="V839" s="298"/>
      <c r="W839" s="298"/>
      <c r="X839" s="298"/>
      <c r="Y839" s="298"/>
      <c r="Z839" s="298"/>
      <c r="AA839" s="298"/>
      <c r="AB839" s="298"/>
      <c r="AC839" s="298"/>
      <c r="AD839" s="298"/>
      <c r="AE839" s="298"/>
      <c r="AF839" s="298"/>
      <c r="AG839" s="298"/>
      <c r="AH839" s="298"/>
      <c r="AI839" s="298"/>
      <c r="AJ839" s="298"/>
      <c r="AK839" s="298"/>
      <c r="AL839" s="298"/>
      <c r="AM839" s="298"/>
    </row>
    <row r="840" spans="1:39" ht="15.75" customHeight="1">
      <c r="A840" s="298"/>
      <c r="B840" s="298"/>
      <c r="C840" s="1901"/>
      <c r="D840" s="1947"/>
      <c r="E840" s="1901"/>
      <c r="F840" s="1954"/>
      <c r="G840" s="1901"/>
      <c r="H840" s="1901"/>
      <c r="I840" s="1901"/>
      <c r="J840" s="1647"/>
      <c r="K840" s="1901"/>
      <c r="L840" s="1901"/>
      <c r="M840" s="1955"/>
      <c r="N840" s="1956"/>
      <c r="O840" s="1955"/>
      <c r="P840" s="1955"/>
      <c r="Q840" s="1956"/>
      <c r="R840" s="493"/>
      <c r="S840" s="493"/>
      <c r="T840" s="493"/>
      <c r="U840" s="493"/>
      <c r="V840" s="298"/>
      <c r="W840" s="298"/>
      <c r="X840" s="298"/>
      <c r="Y840" s="298"/>
      <c r="Z840" s="298"/>
      <c r="AA840" s="298"/>
      <c r="AB840" s="298"/>
      <c r="AC840" s="298"/>
      <c r="AD840" s="298"/>
      <c r="AE840" s="298"/>
      <c r="AF840" s="298"/>
      <c r="AG840" s="298"/>
      <c r="AH840" s="298"/>
      <c r="AI840" s="298"/>
      <c r="AJ840" s="298"/>
      <c r="AK840" s="298"/>
      <c r="AL840" s="298"/>
      <c r="AM840" s="298"/>
    </row>
    <row r="841" spans="1:39" ht="15.75" customHeight="1">
      <c r="A841" s="298"/>
      <c r="B841" s="298"/>
      <c r="C841" s="1901"/>
      <c r="D841" s="1947"/>
      <c r="E841" s="1901"/>
      <c r="F841" s="1954"/>
      <c r="G841" s="1901"/>
      <c r="H841" s="1901"/>
      <c r="I841" s="1901"/>
      <c r="J841" s="1647"/>
      <c r="K841" s="1901"/>
      <c r="L841" s="1901"/>
      <c r="M841" s="1955"/>
      <c r="N841" s="1956"/>
      <c r="O841" s="1955"/>
      <c r="P841" s="1955"/>
      <c r="Q841" s="1956"/>
      <c r="R841" s="493"/>
      <c r="S841" s="493"/>
      <c r="T841" s="493"/>
      <c r="U841" s="493"/>
      <c r="V841" s="298"/>
      <c r="W841" s="298"/>
      <c r="X841" s="298"/>
      <c r="Y841" s="298"/>
      <c r="Z841" s="298"/>
      <c r="AA841" s="298"/>
      <c r="AB841" s="298"/>
      <c r="AC841" s="298"/>
      <c r="AD841" s="298"/>
      <c r="AE841" s="298"/>
      <c r="AF841" s="298"/>
      <c r="AG841" s="298"/>
      <c r="AH841" s="298"/>
      <c r="AI841" s="298"/>
      <c r="AJ841" s="298"/>
      <c r="AK841" s="298"/>
      <c r="AL841" s="298"/>
      <c r="AM841" s="298"/>
    </row>
    <row r="842" spans="1:39" ht="15.75" customHeight="1">
      <c r="A842" s="298"/>
      <c r="B842" s="298"/>
      <c r="C842" s="1901"/>
      <c r="D842" s="1947"/>
      <c r="E842" s="1901"/>
      <c r="F842" s="1954"/>
      <c r="G842" s="1901"/>
      <c r="H842" s="1901"/>
      <c r="I842" s="1901"/>
      <c r="J842" s="1647"/>
      <c r="K842" s="1901"/>
      <c r="L842" s="1901"/>
      <c r="M842" s="1955"/>
      <c r="N842" s="1956"/>
      <c r="O842" s="1955"/>
      <c r="P842" s="1955"/>
      <c r="Q842" s="1956"/>
      <c r="R842" s="493"/>
      <c r="S842" s="493"/>
      <c r="T842" s="493"/>
      <c r="U842" s="493"/>
      <c r="V842" s="298"/>
      <c r="W842" s="298"/>
      <c r="X842" s="298"/>
      <c r="Y842" s="298"/>
      <c r="Z842" s="298"/>
      <c r="AA842" s="298"/>
      <c r="AB842" s="298"/>
      <c r="AC842" s="298"/>
      <c r="AD842" s="298"/>
      <c r="AE842" s="298"/>
      <c r="AF842" s="298"/>
      <c r="AG842" s="298"/>
      <c r="AH842" s="298"/>
      <c r="AI842" s="298"/>
      <c r="AJ842" s="298"/>
      <c r="AK842" s="298"/>
      <c r="AL842" s="298"/>
      <c r="AM842" s="298"/>
    </row>
    <row r="843" spans="1:39" ht="15.75" customHeight="1">
      <c r="A843" s="298"/>
      <c r="B843" s="298"/>
      <c r="C843" s="1901"/>
      <c r="D843" s="1947"/>
      <c r="E843" s="1901"/>
      <c r="F843" s="1954"/>
      <c r="G843" s="1901"/>
      <c r="H843" s="1901"/>
      <c r="I843" s="1901"/>
      <c r="J843" s="1647"/>
      <c r="K843" s="1901"/>
      <c r="L843" s="1901"/>
      <c r="M843" s="1955"/>
      <c r="N843" s="1956"/>
      <c r="O843" s="1955"/>
      <c r="P843" s="1955"/>
      <c r="Q843" s="1956"/>
      <c r="R843" s="493"/>
      <c r="S843" s="493"/>
      <c r="T843" s="493"/>
      <c r="U843" s="493"/>
      <c r="V843" s="298"/>
      <c r="W843" s="298"/>
      <c r="X843" s="298"/>
      <c r="Y843" s="298"/>
      <c r="Z843" s="298"/>
      <c r="AA843" s="298"/>
      <c r="AB843" s="298"/>
      <c r="AC843" s="298"/>
      <c r="AD843" s="298"/>
      <c r="AE843" s="298"/>
      <c r="AF843" s="298"/>
      <c r="AG843" s="298"/>
      <c r="AH843" s="298"/>
      <c r="AI843" s="298"/>
      <c r="AJ843" s="298"/>
      <c r="AK843" s="298"/>
      <c r="AL843" s="298"/>
      <c r="AM843" s="298"/>
    </row>
    <row r="844" spans="1:39" ht="15.75" customHeight="1">
      <c r="A844" s="298"/>
      <c r="B844" s="298"/>
      <c r="C844" s="1901"/>
      <c r="D844" s="1947"/>
      <c r="E844" s="1901"/>
      <c r="F844" s="1954"/>
      <c r="G844" s="1901"/>
      <c r="H844" s="1901"/>
      <c r="I844" s="1901"/>
      <c r="J844" s="1647"/>
      <c r="K844" s="1901"/>
      <c r="L844" s="1901"/>
      <c r="M844" s="1955"/>
      <c r="N844" s="1956"/>
      <c r="O844" s="1955"/>
      <c r="P844" s="1955"/>
      <c r="Q844" s="1956"/>
      <c r="R844" s="493"/>
      <c r="S844" s="493"/>
      <c r="T844" s="493"/>
      <c r="U844" s="493"/>
      <c r="V844" s="298"/>
      <c r="W844" s="298"/>
      <c r="X844" s="298"/>
      <c r="Y844" s="298"/>
      <c r="Z844" s="298"/>
      <c r="AA844" s="298"/>
      <c r="AB844" s="298"/>
      <c r="AC844" s="298"/>
      <c r="AD844" s="298"/>
      <c r="AE844" s="298"/>
      <c r="AF844" s="298"/>
      <c r="AG844" s="298"/>
      <c r="AH844" s="298"/>
      <c r="AI844" s="298"/>
      <c r="AJ844" s="298"/>
      <c r="AK844" s="298"/>
      <c r="AL844" s="298"/>
      <c r="AM844" s="298"/>
    </row>
    <row r="845" spans="1:39" ht="15.75" customHeight="1">
      <c r="A845" s="298"/>
      <c r="B845" s="298"/>
      <c r="C845" s="1901"/>
      <c r="D845" s="1947"/>
      <c r="E845" s="1901"/>
      <c r="F845" s="1954"/>
      <c r="G845" s="1901"/>
      <c r="H845" s="1901"/>
      <c r="I845" s="1901"/>
      <c r="J845" s="1647"/>
      <c r="K845" s="1901"/>
      <c r="L845" s="1901"/>
      <c r="M845" s="1955"/>
      <c r="N845" s="1956"/>
      <c r="O845" s="1955"/>
      <c r="P845" s="1955"/>
      <c r="Q845" s="1956"/>
      <c r="R845" s="493"/>
      <c r="S845" s="493"/>
      <c r="T845" s="493"/>
      <c r="U845" s="493"/>
      <c r="V845" s="298"/>
      <c r="W845" s="298"/>
      <c r="X845" s="298"/>
      <c r="Y845" s="298"/>
      <c r="Z845" s="298"/>
      <c r="AA845" s="298"/>
      <c r="AB845" s="298"/>
      <c r="AC845" s="298"/>
      <c r="AD845" s="298"/>
      <c r="AE845" s="298"/>
      <c r="AF845" s="298"/>
      <c r="AG845" s="298"/>
      <c r="AH845" s="298"/>
      <c r="AI845" s="298"/>
      <c r="AJ845" s="298"/>
      <c r="AK845" s="298"/>
      <c r="AL845" s="298"/>
      <c r="AM845" s="298"/>
    </row>
    <row r="846" spans="1:39" ht="15.75" customHeight="1">
      <c r="A846" s="298"/>
      <c r="B846" s="298"/>
      <c r="C846" s="1901"/>
      <c r="D846" s="1947"/>
      <c r="E846" s="1901"/>
      <c r="F846" s="1954"/>
      <c r="G846" s="1901"/>
      <c r="H846" s="1901"/>
      <c r="I846" s="1901"/>
      <c r="J846" s="1647"/>
      <c r="K846" s="1901"/>
      <c r="L846" s="1901"/>
      <c r="M846" s="1955"/>
      <c r="N846" s="1956"/>
      <c r="O846" s="1955"/>
      <c r="P846" s="1955"/>
      <c r="Q846" s="1956"/>
      <c r="R846" s="493"/>
      <c r="S846" s="493"/>
      <c r="T846" s="493"/>
      <c r="U846" s="493"/>
      <c r="V846" s="298"/>
      <c r="W846" s="298"/>
      <c r="X846" s="298"/>
      <c r="Y846" s="298"/>
      <c r="Z846" s="298"/>
      <c r="AA846" s="298"/>
      <c r="AB846" s="298"/>
      <c r="AC846" s="298"/>
      <c r="AD846" s="298"/>
      <c r="AE846" s="298"/>
      <c r="AF846" s="298"/>
      <c r="AG846" s="298"/>
      <c r="AH846" s="298"/>
      <c r="AI846" s="298"/>
      <c r="AJ846" s="298"/>
      <c r="AK846" s="298"/>
      <c r="AL846" s="298"/>
      <c r="AM846" s="298"/>
    </row>
    <row r="847" spans="1:39" ht="15.75" customHeight="1">
      <c r="A847" s="298"/>
      <c r="B847" s="298"/>
      <c r="C847" s="1901"/>
      <c r="D847" s="1947"/>
      <c r="E847" s="1901"/>
      <c r="F847" s="1954"/>
      <c r="G847" s="1901"/>
      <c r="H847" s="1901"/>
      <c r="I847" s="1901"/>
      <c r="J847" s="1647"/>
      <c r="K847" s="1901"/>
      <c r="L847" s="1901"/>
      <c r="M847" s="1955"/>
      <c r="N847" s="1956"/>
      <c r="O847" s="1955"/>
      <c r="P847" s="1955"/>
      <c r="Q847" s="1956"/>
      <c r="R847" s="493"/>
      <c r="S847" s="493"/>
      <c r="T847" s="493"/>
      <c r="U847" s="493"/>
      <c r="V847" s="298"/>
      <c r="W847" s="298"/>
      <c r="X847" s="298"/>
      <c r="Y847" s="298"/>
      <c r="Z847" s="298"/>
      <c r="AA847" s="298"/>
      <c r="AB847" s="298"/>
      <c r="AC847" s="298"/>
      <c r="AD847" s="298"/>
      <c r="AE847" s="298"/>
      <c r="AF847" s="298"/>
      <c r="AG847" s="298"/>
      <c r="AH847" s="298"/>
      <c r="AI847" s="298"/>
      <c r="AJ847" s="298"/>
      <c r="AK847" s="298"/>
      <c r="AL847" s="298"/>
      <c r="AM847" s="298"/>
    </row>
    <row r="848" spans="1:39" ht="15.75" customHeight="1">
      <c r="A848" s="298"/>
      <c r="B848" s="298"/>
      <c r="C848" s="1901"/>
      <c r="D848" s="1947"/>
      <c r="E848" s="1901"/>
      <c r="F848" s="1954"/>
      <c r="G848" s="1901"/>
      <c r="H848" s="1901"/>
      <c r="I848" s="1901"/>
      <c r="J848" s="1647"/>
      <c r="K848" s="1901"/>
      <c r="L848" s="1901"/>
      <c r="M848" s="1955"/>
      <c r="N848" s="1956"/>
      <c r="O848" s="1955"/>
      <c r="P848" s="1955"/>
      <c r="Q848" s="1956"/>
      <c r="R848" s="493"/>
      <c r="S848" s="493"/>
      <c r="T848" s="493"/>
      <c r="U848" s="493"/>
      <c r="V848" s="298"/>
      <c r="W848" s="298"/>
      <c r="X848" s="298"/>
      <c r="Y848" s="298"/>
      <c r="Z848" s="298"/>
      <c r="AA848" s="298"/>
      <c r="AB848" s="298"/>
      <c r="AC848" s="298"/>
      <c r="AD848" s="298"/>
      <c r="AE848" s="298"/>
      <c r="AF848" s="298"/>
      <c r="AG848" s="298"/>
      <c r="AH848" s="298"/>
      <c r="AI848" s="298"/>
      <c r="AJ848" s="298"/>
      <c r="AK848" s="298"/>
      <c r="AL848" s="298"/>
      <c r="AM848" s="298"/>
    </row>
    <row r="849" spans="1:39" ht="15.75" customHeight="1">
      <c r="A849" s="298"/>
      <c r="B849" s="298"/>
      <c r="C849" s="1901"/>
      <c r="D849" s="1947"/>
      <c r="E849" s="1901"/>
      <c r="F849" s="1954"/>
      <c r="G849" s="1901"/>
      <c r="H849" s="1901"/>
      <c r="I849" s="1901"/>
      <c r="J849" s="1647"/>
      <c r="K849" s="1901"/>
      <c r="L849" s="1901"/>
      <c r="M849" s="1955"/>
      <c r="N849" s="1956"/>
      <c r="O849" s="1955"/>
      <c r="P849" s="1955"/>
      <c r="Q849" s="1956"/>
      <c r="R849" s="493"/>
      <c r="S849" s="493"/>
      <c r="T849" s="493"/>
      <c r="U849" s="493"/>
      <c r="V849" s="298"/>
      <c r="W849" s="298"/>
      <c r="X849" s="298"/>
      <c r="Y849" s="298"/>
      <c r="Z849" s="298"/>
      <c r="AA849" s="298"/>
      <c r="AB849" s="298"/>
      <c r="AC849" s="298"/>
      <c r="AD849" s="298"/>
      <c r="AE849" s="298"/>
      <c r="AF849" s="298"/>
      <c r="AG849" s="298"/>
      <c r="AH849" s="298"/>
      <c r="AI849" s="298"/>
      <c r="AJ849" s="298"/>
      <c r="AK849" s="298"/>
      <c r="AL849" s="298"/>
      <c r="AM849" s="298"/>
    </row>
    <row r="850" spans="1:39" ht="15.75" customHeight="1">
      <c r="A850" s="298"/>
      <c r="B850" s="298"/>
      <c r="C850" s="1901"/>
      <c r="D850" s="1947"/>
      <c r="E850" s="1901"/>
      <c r="F850" s="1954"/>
      <c r="G850" s="1901"/>
      <c r="H850" s="1901"/>
      <c r="I850" s="1901"/>
      <c r="J850" s="1647"/>
      <c r="K850" s="1901"/>
      <c r="L850" s="1901"/>
      <c r="M850" s="1955"/>
      <c r="N850" s="1956"/>
      <c r="O850" s="1955"/>
      <c r="P850" s="1955"/>
      <c r="Q850" s="1956"/>
      <c r="R850" s="493"/>
      <c r="S850" s="493"/>
      <c r="T850" s="493"/>
      <c r="U850" s="493"/>
      <c r="V850" s="298"/>
      <c r="W850" s="298"/>
      <c r="X850" s="298"/>
      <c r="Y850" s="298"/>
      <c r="Z850" s="298"/>
      <c r="AA850" s="298"/>
      <c r="AB850" s="298"/>
      <c r="AC850" s="298"/>
      <c r="AD850" s="298"/>
      <c r="AE850" s="298"/>
      <c r="AF850" s="298"/>
      <c r="AG850" s="298"/>
      <c r="AH850" s="298"/>
      <c r="AI850" s="298"/>
      <c r="AJ850" s="298"/>
      <c r="AK850" s="298"/>
      <c r="AL850" s="298"/>
      <c r="AM850" s="298"/>
    </row>
    <row r="851" spans="1:39" ht="15.75" customHeight="1">
      <c r="A851" s="298"/>
      <c r="B851" s="298"/>
      <c r="C851" s="1901"/>
      <c r="D851" s="1947"/>
      <c r="E851" s="1901"/>
      <c r="F851" s="1954"/>
      <c r="G851" s="1901"/>
      <c r="H851" s="1901"/>
      <c r="I851" s="1901"/>
      <c r="J851" s="1647"/>
      <c r="K851" s="1901"/>
      <c r="L851" s="1901"/>
      <c r="M851" s="1955"/>
      <c r="N851" s="1956"/>
      <c r="O851" s="1955"/>
      <c r="P851" s="1955"/>
      <c r="Q851" s="1956"/>
      <c r="R851" s="493"/>
      <c r="S851" s="493"/>
      <c r="T851" s="493"/>
      <c r="U851" s="493"/>
      <c r="V851" s="298"/>
      <c r="W851" s="298"/>
      <c r="X851" s="298"/>
      <c r="Y851" s="298"/>
      <c r="Z851" s="298"/>
      <c r="AA851" s="298"/>
      <c r="AB851" s="298"/>
      <c r="AC851" s="298"/>
      <c r="AD851" s="298"/>
      <c r="AE851" s="298"/>
      <c r="AF851" s="298"/>
      <c r="AG851" s="298"/>
      <c r="AH851" s="298"/>
      <c r="AI851" s="298"/>
      <c r="AJ851" s="298"/>
      <c r="AK851" s="298"/>
      <c r="AL851" s="298"/>
      <c r="AM851" s="298"/>
    </row>
    <row r="852" spans="1:39" ht="15.75" customHeight="1">
      <c r="A852" s="298"/>
      <c r="B852" s="298"/>
      <c r="C852" s="1901"/>
      <c r="D852" s="1947"/>
      <c r="E852" s="1901"/>
      <c r="F852" s="1954"/>
      <c r="G852" s="1901"/>
      <c r="H852" s="1901"/>
      <c r="I852" s="1901"/>
      <c r="J852" s="1647"/>
      <c r="K852" s="1901"/>
      <c r="L852" s="1901"/>
      <c r="M852" s="1955"/>
      <c r="N852" s="1956"/>
      <c r="O852" s="1955"/>
      <c r="P852" s="1955"/>
      <c r="Q852" s="1956"/>
      <c r="R852" s="493"/>
      <c r="S852" s="493"/>
      <c r="T852" s="493"/>
      <c r="U852" s="493"/>
      <c r="V852" s="298"/>
      <c r="W852" s="298"/>
      <c r="X852" s="298"/>
      <c r="Y852" s="298"/>
      <c r="Z852" s="298"/>
      <c r="AA852" s="298"/>
      <c r="AB852" s="298"/>
      <c r="AC852" s="298"/>
      <c r="AD852" s="298"/>
      <c r="AE852" s="298"/>
      <c r="AF852" s="298"/>
      <c r="AG852" s="298"/>
      <c r="AH852" s="298"/>
      <c r="AI852" s="298"/>
      <c r="AJ852" s="298"/>
      <c r="AK852" s="298"/>
      <c r="AL852" s="298"/>
      <c r="AM852" s="298"/>
    </row>
    <row r="853" spans="1:39" ht="15.75" customHeight="1">
      <c r="A853" s="298"/>
      <c r="B853" s="298"/>
      <c r="C853" s="1901"/>
      <c r="D853" s="1947"/>
      <c r="E853" s="1901"/>
      <c r="F853" s="1954"/>
      <c r="G853" s="1901"/>
      <c r="H853" s="1901"/>
      <c r="I853" s="1901"/>
      <c r="J853" s="1647"/>
      <c r="K853" s="1901"/>
      <c r="L853" s="1901"/>
      <c r="M853" s="1955"/>
      <c r="N853" s="1956"/>
      <c r="O853" s="1955"/>
      <c r="P853" s="1955"/>
      <c r="Q853" s="1956"/>
      <c r="R853" s="493"/>
      <c r="S853" s="493"/>
      <c r="T853" s="493"/>
      <c r="U853" s="493"/>
      <c r="V853" s="298"/>
      <c r="W853" s="298"/>
      <c r="X853" s="298"/>
      <c r="Y853" s="298"/>
      <c r="Z853" s="298"/>
      <c r="AA853" s="298"/>
      <c r="AB853" s="298"/>
      <c r="AC853" s="298"/>
      <c r="AD853" s="298"/>
      <c r="AE853" s="298"/>
      <c r="AF853" s="298"/>
      <c r="AG853" s="298"/>
      <c r="AH853" s="298"/>
      <c r="AI853" s="298"/>
      <c r="AJ853" s="298"/>
      <c r="AK853" s="298"/>
      <c r="AL853" s="298"/>
      <c r="AM853" s="298"/>
    </row>
    <row r="854" spans="1:39" ht="15.75" customHeight="1">
      <c r="A854" s="298"/>
      <c r="B854" s="298"/>
      <c r="C854" s="1901"/>
      <c r="D854" s="1947"/>
      <c r="E854" s="1901"/>
      <c r="F854" s="1954"/>
      <c r="G854" s="1901"/>
      <c r="H854" s="1901"/>
      <c r="I854" s="1901"/>
      <c r="J854" s="1647"/>
      <c r="K854" s="1901"/>
      <c r="L854" s="1901"/>
      <c r="M854" s="1955"/>
      <c r="N854" s="1956"/>
      <c r="O854" s="1955"/>
      <c r="P854" s="1955"/>
      <c r="Q854" s="1956"/>
      <c r="R854" s="493"/>
      <c r="S854" s="493"/>
      <c r="T854" s="493"/>
      <c r="U854" s="493"/>
      <c r="V854" s="298"/>
      <c r="W854" s="298"/>
      <c r="X854" s="298"/>
      <c r="Y854" s="298"/>
      <c r="Z854" s="298"/>
      <c r="AA854" s="298"/>
      <c r="AB854" s="298"/>
      <c r="AC854" s="298"/>
      <c r="AD854" s="298"/>
      <c r="AE854" s="298"/>
      <c r="AF854" s="298"/>
      <c r="AG854" s="298"/>
      <c r="AH854" s="298"/>
      <c r="AI854" s="298"/>
      <c r="AJ854" s="298"/>
      <c r="AK854" s="298"/>
      <c r="AL854" s="298"/>
      <c r="AM854" s="298"/>
    </row>
    <row r="855" spans="1:39" ht="15.75" customHeight="1">
      <c r="A855" s="298"/>
      <c r="B855" s="298"/>
      <c r="C855" s="1901"/>
      <c r="D855" s="1947"/>
      <c r="E855" s="1901"/>
      <c r="F855" s="1954"/>
      <c r="G855" s="1901"/>
      <c r="H855" s="1901"/>
      <c r="I855" s="1901"/>
      <c r="J855" s="1647"/>
      <c r="K855" s="1901"/>
      <c r="L855" s="1901"/>
      <c r="M855" s="1955"/>
      <c r="N855" s="1956"/>
      <c r="O855" s="1955"/>
      <c r="P855" s="1955"/>
      <c r="Q855" s="1956"/>
      <c r="R855" s="493"/>
      <c r="S855" s="493"/>
      <c r="T855" s="493"/>
      <c r="U855" s="493"/>
      <c r="V855" s="298"/>
      <c r="W855" s="298"/>
      <c r="X855" s="298"/>
      <c r="Y855" s="298"/>
      <c r="Z855" s="298"/>
      <c r="AA855" s="298"/>
      <c r="AB855" s="298"/>
      <c r="AC855" s="298"/>
      <c r="AD855" s="298"/>
      <c r="AE855" s="298"/>
      <c r="AF855" s="298"/>
      <c r="AG855" s="298"/>
      <c r="AH855" s="298"/>
      <c r="AI855" s="298"/>
      <c r="AJ855" s="298"/>
      <c r="AK855" s="298"/>
      <c r="AL855" s="298"/>
      <c r="AM855" s="298"/>
    </row>
    <row r="856" spans="1:39" ht="15.75" customHeight="1">
      <c r="A856" s="298"/>
      <c r="B856" s="298"/>
      <c r="C856" s="1901"/>
      <c r="D856" s="1947"/>
      <c r="E856" s="1901"/>
      <c r="F856" s="1954"/>
      <c r="G856" s="1901"/>
      <c r="H856" s="1901"/>
      <c r="I856" s="1901"/>
      <c r="J856" s="1647"/>
      <c r="K856" s="1901"/>
      <c r="L856" s="1901"/>
      <c r="M856" s="1955"/>
      <c r="N856" s="1956"/>
      <c r="O856" s="1955"/>
      <c r="P856" s="1955"/>
      <c r="Q856" s="1956"/>
      <c r="R856" s="493"/>
      <c r="S856" s="493"/>
      <c r="T856" s="493"/>
      <c r="U856" s="493"/>
      <c r="V856" s="298"/>
      <c r="W856" s="298"/>
      <c r="X856" s="298"/>
      <c r="Y856" s="298"/>
      <c r="Z856" s="298"/>
      <c r="AA856" s="298"/>
      <c r="AB856" s="298"/>
      <c r="AC856" s="298"/>
      <c r="AD856" s="298"/>
      <c r="AE856" s="298"/>
      <c r="AF856" s="298"/>
      <c r="AG856" s="298"/>
      <c r="AH856" s="298"/>
      <c r="AI856" s="298"/>
      <c r="AJ856" s="298"/>
      <c r="AK856" s="298"/>
      <c r="AL856" s="298"/>
      <c r="AM856" s="298"/>
    </row>
    <row r="857" spans="1:39" ht="15.75" customHeight="1">
      <c r="A857" s="298"/>
      <c r="B857" s="298"/>
      <c r="C857" s="1901"/>
      <c r="D857" s="1947"/>
      <c r="E857" s="1901"/>
      <c r="F857" s="1954"/>
      <c r="G857" s="1901"/>
      <c r="H857" s="1901"/>
      <c r="I857" s="1901"/>
      <c r="J857" s="1647"/>
      <c r="K857" s="1901"/>
      <c r="L857" s="1901"/>
      <c r="M857" s="1955"/>
      <c r="N857" s="1956"/>
      <c r="O857" s="1955"/>
      <c r="P857" s="1955"/>
      <c r="Q857" s="1956"/>
      <c r="R857" s="493"/>
      <c r="S857" s="493"/>
      <c r="T857" s="493"/>
      <c r="U857" s="493"/>
      <c r="V857" s="298"/>
      <c r="W857" s="298"/>
      <c r="X857" s="298"/>
      <c r="Y857" s="298"/>
      <c r="Z857" s="298"/>
      <c r="AA857" s="298"/>
      <c r="AB857" s="298"/>
      <c r="AC857" s="298"/>
      <c r="AD857" s="298"/>
      <c r="AE857" s="298"/>
      <c r="AF857" s="298"/>
      <c r="AG857" s="298"/>
      <c r="AH857" s="298"/>
      <c r="AI857" s="298"/>
      <c r="AJ857" s="298"/>
      <c r="AK857" s="298"/>
      <c r="AL857" s="298"/>
      <c r="AM857" s="298"/>
    </row>
    <row r="858" spans="1:39" ht="15.75" customHeight="1">
      <c r="A858" s="298"/>
      <c r="B858" s="298"/>
      <c r="C858" s="1901"/>
      <c r="D858" s="1947"/>
      <c r="E858" s="1901"/>
      <c r="F858" s="1954"/>
      <c r="G858" s="1901"/>
      <c r="H858" s="1901"/>
      <c r="I858" s="1901"/>
      <c r="J858" s="1647"/>
      <c r="K858" s="1901"/>
      <c r="L858" s="1901"/>
      <c r="M858" s="1955"/>
      <c r="N858" s="1956"/>
      <c r="O858" s="1955"/>
      <c r="P858" s="1955"/>
      <c r="Q858" s="1956"/>
      <c r="R858" s="493"/>
      <c r="S858" s="493"/>
      <c r="T858" s="493"/>
      <c r="U858" s="493"/>
      <c r="V858" s="298"/>
      <c r="W858" s="298"/>
      <c r="X858" s="298"/>
      <c r="Y858" s="298"/>
      <c r="Z858" s="298"/>
      <c r="AA858" s="298"/>
      <c r="AB858" s="298"/>
      <c r="AC858" s="298"/>
      <c r="AD858" s="298"/>
      <c r="AE858" s="298"/>
      <c r="AF858" s="298"/>
      <c r="AG858" s="298"/>
      <c r="AH858" s="298"/>
      <c r="AI858" s="298"/>
      <c r="AJ858" s="298"/>
      <c r="AK858" s="298"/>
      <c r="AL858" s="298"/>
      <c r="AM858" s="298"/>
    </row>
    <row r="859" spans="1:39" ht="15.75" customHeight="1">
      <c r="A859" s="298"/>
      <c r="B859" s="298"/>
      <c r="C859" s="1901"/>
      <c r="D859" s="1947"/>
      <c r="E859" s="1901"/>
      <c r="F859" s="1954"/>
      <c r="G859" s="1901"/>
      <c r="H859" s="1901"/>
      <c r="I859" s="1901"/>
      <c r="J859" s="1647"/>
      <c r="K859" s="1901"/>
      <c r="L859" s="1901"/>
      <c r="M859" s="1955"/>
      <c r="N859" s="1956"/>
      <c r="O859" s="1955"/>
      <c r="P859" s="1955"/>
      <c r="Q859" s="1956"/>
      <c r="R859" s="493"/>
      <c r="S859" s="493"/>
      <c r="T859" s="493"/>
      <c r="U859" s="493"/>
      <c r="V859" s="298"/>
      <c r="W859" s="298"/>
      <c r="X859" s="298"/>
      <c r="Y859" s="298"/>
      <c r="Z859" s="298"/>
      <c r="AA859" s="298"/>
      <c r="AB859" s="298"/>
      <c r="AC859" s="298"/>
      <c r="AD859" s="298"/>
      <c r="AE859" s="298"/>
      <c r="AF859" s="298"/>
      <c r="AG859" s="298"/>
      <c r="AH859" s="298"/>
      <c r="AI859" s="298"/>
      <c r="AJ859" s="298"/>
      <c r="AK859" s="298"/>
      <c r="AL859" s="298"/>
      <c r="AM859" s="298"/>
    </row>
    <row r="860" spans="1:39" ht="15.75" customHeight="1">
      <c r="A860" s="298"/>
      <c r="B860" s="298"/>
      <c r="C860" s="1901"/>
      <c r="D860" s="1947"/>
      <c r="E860" s="1901"/>
      <c r="F860" s="1954"/>
      <c r="G860" s="1901"/>
      <c r="H860" s="1901"/>
      <c r="I860" s="1901"/>
      <c r="J860" s="1647"/>
      <c r="K860" s="1901"/>
      <c r="L860" s="1901"/>
      <c r="M860" s="1955"/>
      <c r="N860" s="1956"/>
      <c r="O860" s="1955"/>
      <c r="P860" s="1955"/>
      <c r="Q860" s="1956"/>
      <c r="R860" s="493"/>
      <c r="S860" s="493"/>
      <c r="T860" s="493"/>
      <c r="U860" s="493"/>
      <c r="V860" s="298"/>
      <c r="W860" s="298"/>
      <c r="X860" s="298"/>
      <c r="Y860" s="298"/>
      <c r="Z860" s="298"/>
      <c r="AA860" s="298"/>
      <c r="AB860" s="298"/>
      <c r="AC860" s="298"/>
      <c r="AD860" s="298"/>
      <c r="AE860" s="298"/>
      <c r="AF860" s="298"/>
      <c r="AG860" s="298"/>
      <c r="AH860" s="298"/>
      <c r="AI860" s="298"/>
      <c r="AJ860" s="298"/>
      <c r="AK860" s="298"/>
      <c r="AL860" s="298"/>
      <c r="AM860" s="298"/>
    </row>
    <row r="861" spans="1:39" ht="15.75" customHeight="1">
      <c r="A861" s="298"/>
      <c r="B861" s="298"/>
      <c r="C861" s="1901"/>
      <c r="D861" s="1947"/>
      <c r="E861" s="1901"/>
      <c r="F861" s="1954"/>
      <c r="G861" s="1901"/>
      <c r="H861" s="1901"/>
      <c r="I861" s="1901"/>
      <c r="J861" s="1647"/>
      <c r="K861" s="1901"/>
      <c r="L861" s="1901"/>
      <c r="M861" s="1955"/>
      <c r="N861" s="1956"/>
      <c r="O861" s="1955"/>
      <c r="P861" s="1955"/>
      <c r="Q861" s="1956"/>
      <c r="R861" s="493"/>
      <c r="S861" s="493"/>
      <c r="T861" s="493"/>
      <c r="U861" s="493"/>
      <c r="V861" s="298"/>
      <c r="W861" s="298"/>
      <c r="X861" s="298"/>
      <c r="Y861" s="298"/>
      <c r="Z861" s="298"/>
      <c r="AA861" s="298"/>
      <c r="AB861" s="298"/>
      <c r="AC861" s="298"/>
      <c r="AD861" s="298"/>
      <c r="AE861" s="298"/>
      <c r="AF861" s="298"/>
      <c r="AG861" s="298"/>
      <c r="AH861" s="298"/>
      <c r="AI861" s="298"/>
      <c r="AJ861" s="298"/>
      <c r="AK861" s="298"/>
      <c r="AL861" s="298"/>
      <c r="AM861" s="298"/>
    </row>
    <row r="862" spans="1:39" ht="15.75" customHeight="1">
      <c r="A862" s="298"/>
      <c r="B862" s="298"/>
      <c r="C862" s="1901"/>
      <c r="D862" s="1947"/>
      <c r="E862" s="1901"/>
      <c r="F862" s="1954"/>
      <c r="G862" s="1901"/>
      <c r="H862" s="1901"/>
      <c r="I862" s="1901"/>
      <c r="J862" s="1647"/>
      <c r="K862" s="1901"/>
      <c r="L862" s="1901"/>
      <c r="M862" s="1955"/>
      <c r="N862" s="1956"/>
      <c r="O862" s="1955"/>
      <c r="P862" s="1955"/>
      <c r="Q862" s="1956"/>
      <c r="R862" s="493"/>
      <c r="S862" s="493"/>
      <c r="T862" s="493"/>
      <c r="U862" s="493"/>
      <c r="V862" s="298"/>
      <c r="W862" s="298"/>
      <c r="X862" s="298"/>
      <c r="Y862" s="298"/>
      <c r="Z862" s="298"/>
      <c r="AA862" s="298"/>
      <c r="AB862" s="298"/>
      <c r="AC862" s="298"/>
      <c r="AD862" s="298"/>
      <c r="AE862" s="298"/>
      <c r="AF862" s="298"/>
      <c r="AG862" s="298"/>
      <c r="AH862" s="298"/>
      <c r="AI862" s="298"/>
      <c r="AJ862" s="298"/>
      <c r="AK862" s="298"/>
      <c r="AL862" s="298"/>
      <c r="AM862" s="298"/>
    </row>
    <row r="863" spans="1:39" ht="15.75" customHeight="1">
      <c r="A863" s="298"/>
      <c r="B863" s="298"/>
      <c r="C863" s="1901"/>
      <c r="D863" s="1947"/>
      <c r="E863" s="1901"/>
      <c r="F863" s="1954"/>
      <c r="G863" s="1901"/>
      <c r="H863" s="1901"/>
      <c r="I863" s="1901"/>
      <c r="J863" s="1647"/>
      <c r="K863" s="1901"/>
      <c r="L863" s="1901"/>
      <c r="M863" s="1955"/>
      <c r="N863" s="1956"/>
      <c r="O863" s="1955"/>
      <c r="P863" s="1955"/>
      <c r="Q863" s="1956"/>
      <c r="R863" s="493"/>
      <c r="S863" s="493"/>
      <c r="T863" s="493"/>
      <c r="U863" s="493"/>
      <c r="V863" s="298"/>
      <c r="W863" s="298"/>
      <c r="X863" s="298"/>
      <c r="Y863" s="298"/>
      <c r="Z863" s="298"/>
      <c r="AA863" s="298"/>
      <c r="AB863" s="298"/>
      <c r="AC863" s="298"/>
      <c r="AD863" s="298"/>
      <c r="AE863" s="298"/>
      <c r="AF863" s="298"/>
      <c r="AG863" s="298"/>
      <c r="AH863" s="298"/>
      <c r="AI863" s="298"/>
      <c r="AJ863" s="298"/>
      <c r="AK863" s="298"/>
      <c r="AL863" s="298"/>
      <c r="AM863" s="298"/>
    </row>
    <row r="864" spans="1:39" ht="15.75" customHeight="1">
      <c r="A864" s="298"/>
      <c r="B864" s="298"/>
      <c r="C864" s="1901"/>
      <c r="D864" s="1947"/>
      <c r="E864" s="1901"/>
      <c r="F864" s="1954"/>
      <c r="G864" s="1901"/>
      <c r="H864" s="1901"/>
      <c r="I864" s="1901"/>
      <c r="J864" s="1647"/>
      <c r="K864" s="1901"/>
      <c r="L864" s="1901"/>
      <c r="M864" s="1955"/>
      <c r="N864" s="1956"/>
      <c r="O864" s="1955"/>
      <c r="P864" s="1955"/>
      <c r="Q864" s="1956"/>
      <c r="R864" s="493"/>
      <c r="S864" s="493"/>
      <c r="T864" s="493"/>
      <c r="U864" s="493"/>
      <c r="V864" s="298"/>
      <c r="W864" s="298"/>
      <c r="X864" s="298"/>
      <c r="Y864" s="298"/>
      <c r="Z864" s="298"/>
      <c r="AA864" s="298"/>
      <c r="AB864" s="298"/>
      <c r="AC864" s="298"/>
      <c r="AD864" s="298"/>
      <c r="AE864" s="298"/>
      <c r="AF864" s="298"/>
      <c r="AG864" s="298"/>
      <c r="AH864" s="298"/>
      <c r="AI864" s="298"/>
      <c r="AJ864" s="298"/>
      <c r="AK864" s="298"/>
      <c r="AL864" s="298"/>
      <c r="AM864" s="298"/>
    </row>
    <row r="865" spans="1:39" ht="15.75" customHeight="1">
      <c r="A865" s="298"/>
      <c r="B865" s="298"/>
      <c r="C865" s="1901"/>
      <c r="D865" s="1947"/>
      <c r="E865" s="1901"/>
      <c r="F865" s="1954"/>
      <c r="G865" s="1901"/>
      <c r="H865" s="1901"/>
      <c r="I865" s="1901"/>
      <c r="J865" s="1647"/>
      <c r="K865" s="1901"/>
      <c r="L865" s="1901"/>
      <c r="M865" s="1955"/>
      <c r="N865" s="1956"/>
      <c r="O865" s="1955"/>
      <c r="P865" s="1955"/>
      <c r="Q865" s="1956"/>
      <c r="R865" s="493"/>
      <c r="S865" s="493"/>
      <c r="T865" s="493"/>
      <c r="U865" s="493"/>
      <c r="V865" s="298"/>
      <c r="W865" s="298"/>
      <c r="X865" s="298"/>
      <c r="Y865" s="298"/>
      <c r="Z865" s="298"/>
      <c r="AA865" s="298"/>
      <c r="AB865" s="298"/>
      <c r="AC865" s="298"/>
      <c r="AD865" s="298"/>
      <c r="AE865" s="298"/>
      <c r="AF865" s="298"/>
      <c r="AG865" s="298"/>
      <c r="AH865" s="298"/>
      <c r="AI865" s="298"/>
      <c r="AJ865" s="298"/>
      <c r="AK865" s="298"/>
      <c r="AL865" s="298"/>
      <c r="AM865" s="298"/>
    </row>
    <row r="866" spans="1:39" ht="15.75" customHeight="1">
      <c r="A866" s="298"/>
      <c r="B866" s="298"/>
      <c r="C866" s="1901"/>
      <c r="D866" s="1947"/>
      <c r="E866" s="1901"/>
      <c r="F866" s="1954"/>
      <c r="G866" s="1901"/>
      <c r="H866" s="1901"/>
      <c r="I866" s="1901"/>
      <c r="J866" s="1647"/>
      <c r="K866" s="1901"/>
      <c r="L866" s="1901"/>
      <c r="M866" s="1955"/>
      <c r="N866" s="1956"/>
      <c r="O866" s="1955"/>
      <c r="P866" s="1955"/>
      <c r="Q866" s="1956"/>
      <c r="R866" s="493"/>
      <c r="S866" s="493"/>
      <c r="T866" s="493"/>
      <c r="U866" s="493"/>
      <c r="V866" s="298"/>
      <c r="W866" s="298"/>
      <c r="X866" s="298"/>
      <c r="Y866" s="298"/>
      <c r="Z866" s="298"/>
      <c r="AA866" s="298"/>
      <c r="AB866" s="298"/>
      <c r="AC866" s="298"/>
      <c r="AD866" s="298"/>
      <c r="AE866" s="298"/>
      <c r="AF866" s="298"/>
      <c r="AG866" s="298"/>
      <c r="AH866" s="298"/>
      <c r="AI866" s="298"/>
      <c r="AJ866" s="298"/>
      <c r="AK866" s="298"/>
      <c r="AL866" s="298"/>
      <c r="AM866" s="298"/>
    </row>
    <row r="867" spans="1:39" ht="15.75" customHeight="1">
      <c r="A867" s="298"/>
      <c r="B867" s="298"/>
      <c r="C867" s="1901"/>
      <c r="D867" s="1947"/>
      <c r="E867" s="1901"/>
      <c r="F867" s="1954"/>
      <c r="G867" s="1901"/>
      <c r="H867" s="1901"/>
      <c r="I867" s="1901"/>
      <c r="J867" s="1647"/>
      <c r="K867" s="1901"/>
      <c r="L867" s="1901"/>
      <c r="M867" s="1955"/>
      <c r="N867" s="1956"/>
      <c r="O867" s="1955"/>
      <c r="P867" s="1955"/>
      <c r="Q867" s="1956"/>
      <c r="R867" s="493"/>
      <c r="S867" s="493"/>
      <c r="T867" s="493"/>
      <c r="U867" s="493"/>
      <c r="V867" s="298"/>
      <c r="W867" s="298"/>
      <c r="X867" s="298"/>
      <c r="Y867" s="298"/>
      <c r="Z867" s="298"/>
      <c r="AA867" s="298"/>
      <c r="AB867" s="298"/>
      <c r="AC867" s="298"/>
      <c r="AD867" s="298"/>
      <c r="AE867" s="298"/>
      <c r="AF867" s="298"/>
      <c r="AG867" s="298"/>
      <c r="AH867" s="298"/>
      <c r="AI867" s="298"/>
      <c r="AJ867" s="298"/>
      <c r="AK867" s="298"/>
      <c r="AL867" s="298"/>
      <c r="AM867" s="298"/>
    </row>
    <row r="868" spans="1:39" ht="15.75" customHeight="1">
      <c r="A868" s="298"/>
      <c r="B868" s="298"/>
      <c r="C868" s="1901"/>
      <c r="D868" s="1947"/>
      <c r="E868" s="1901"/>
      <c r="F868" s="1954"/>
      <c r="G868" s="1901"/>
      <c r="H868" s="1901"/>
      <c r="I868" s="1901"/>
      <c r="J868" s="1647"/>
      <c r="K868" s="1901"/>
      <c r="L868" s="1901"/>
      <c r="M868" s="1955"/>
      <c r="N868" s="1956"/>
      <c r="O868" s="1955"/>
      <c r="P868" s="1955"/>
      <c r="Q868" s="1956"/>
      <c r="R868" s="493"/>
      <c r="S868" s="493"/>
      <c r="T868" s="493"/>
      <c r="U868" s="493"/>
      <c r="V868" s="298"/>
      <c r="W868" s="298"/>
      <c r="X868" s="298"/>
      <c r="Y868" s="298"/>
      <c r="Z868" s="298"/>
      <c r="AA868" s="298"/>
      <c r="AB868" s="298"/>
      <c r="AC868" s="298"/>
      <c r="AD868" s="298"/>
      <c r="AE868" s="298"/>
      <c r="AF868" s="298"/>
      <c r="AG868" s="298"/>
      <c r="AH868" s="298"/>
      <c r="AI868" s="298"/>
      <c r="AJ868" s="298"/>
      <c r="AK868" s="298"/>
      <c r="AL868" s="298"/>
      <c r="AM868" s="298"/>
    </row>
    <row r="869" spans="1:39" ht="15.75" customHeight="1">
      <c r="A869" s="298"/>
      <c r="B869" s="298"/>
      <c r="C869" s="1901"/>
      <c r="D869" s="1947"/>
      <c r="E869" s="1901"/>
      <c r="F869" s="1954"/>
      <c r="G869" s="1901"/>
      <c r="H869" s="1901"/>
      <c r="I869" s="1901"/>
      <c r="J869" s="1647"/>
      <c r="K869" s="1901"/>
      <c r="L869" s="1901"/>
      <c r="M869" s="1955"/>
      <c r="N869" s="1956"/>
      <c r="O869" s="1955"/>
      <c r="P869" s="1955"/>
      <c r="Q869" s="1956"/>
      <c r="R869" s="493"/>
      <c r="S869" s="493"/>
      <c r="T869" s="493"/>
      <c r="U869" s="493"/>
      <c r="V869" s="298"/>
      <c r="W869" s="298"/>
      <c r="X869" s="298"/>
      <c r="Y869" s="298"/>
      <c r="Z869" s="298"/>
      <c r="AA869" s="298"/>
      <c r="AB869" s="298"/>
      <c r="AC869" s="298"/>
      <c r="AD869" s="298"/>
      <c r="AE869" s="298"/>
      <c r="AF869" s="298"/>
      <c r="AG869" s="298"/>
      <c r="AH869" s="298"/>
      <c r="AI869" s="298"/>
      <c r="AJ869" s="298"/>
      <c r="AK869" s="298"/>
      <c r="AL869" s="298"/>
      <c r="AM869" s="298"/>
    </row>
    <row r="870" spans="1:39" ht="15.75" customHeight="1">
      <c r="A870" s="298"/>
      <c r="B870" s="298"/>
      <c r="C870" s="1901"/>
      <c r="D870" s="1947"/>
      <c r="E870" s="1901"/>
      <c r="F870" s="1954"/>
      <c r="G870" s="1901"/>
      <c r="H870" s="1901"/>
      <c r="I870" s="1901"/>
      <c r="J870" s="1647"/>
      <c r="K870" s="1901"/>
      <c r="L870" s="1901"/>
      <c r="M870" s="1955"/>
      <c r="N870" s="1956"/>
      <c r="O870" s="1955"/>
      <c r="P870" s="1955"/>
      <c r="Q870" s="1956"/>
      <c r="R870" s="493"/>
      <c r="S870" s="493"/>
      <c r="T870" s="493"/>
      <c r="U870" s="493"/>
      <c r="V870" s="298"/>
      <c r="W870" s="298"/>
      <c r="X870" s="298"/>
      <c r="Y870" s="298"/>
      <c r="Z870" s="298"/>
      <c r="AA870" s="298"/>
      <c r="AB870" s="298"/>
      <c r="AC870" s="298"/>
      <c r="AD870" s="298"/>
      <c r="AE870" s="298"/>
      <c r="AF870" s="298"/>
      <c r="AG870" s="298"/>
      <c r="AH870" s="298"/>
      <c r="AI870" s="298"/>
      <c r="AJ870" s="298"/>
      <c r="AK870" s="298"/>
      <c r="AL870" s="298"/>
      <c r="AM870" s="298"/>
    </row>
    <row r="871" spans="1:39" ht="15.75" customHeight="1">
      <c r="A871" s="298"/>
      <c r="B871" s="298"/>
      <c r="C871" s="1901"/>
      <c r="D871" s="1947"/>
      <c r="E871" s="1901"/>
      <c r="F871" s="1954"/>
      <c r="G871" s="1901"/>
      <c r="H871" s="1901"/>
      <c r="I871" s="1901"/>
      <c r="J871" s="1647"/>
      <c r="K871" s="1901"/>
      <c r="L871" s="1901"/>
      <c r="M871" s="1955"/>
      <c r="N871" s="1956"/>
      <c r="O871" s="1955"/>
      <c r="P871" s="1955"/>
      <c r="Q871" s="1956"/>
      <c r="R871" s="493"/>
      <c r="S871" s="493"/>
      <c r="T871" s="493"/>
      <c r="U871" s="493"/>
      <c r="V871" s="298"/>
      <c r="W871" s="298"/>
      <c r="X871" s="298"/>
      <c r="Y871" s="298"/>
      <c r="Z871" s="298"/>
      <c r="AA871" s="298"/>
      <c r="AB871" s="298"/>
      <c r="AC871" s="298"/>
      <c r="AD871" s="298"/>
      <c r="AE871" s="298"/>
      <c r="AF871" s="298"/>
      <c r="AG871" s="298"/>
      <c r="AH871" s="298"/>
      <c r="AI871" s="298"/>
      <c r="AJ871" s="298"/>
      <c r="AK871" s="298"/>
      <c r="AL871" s="298"/>
      <c r="AM871" s="298"/>
    </row>
    <row r="872" spans="1:39" ht="15.75" customHeight="1">
      <c r="A872" s="298"/>
      <c r="B872" s="298"/>
      <c r="C872" s="1901"/>
      <c r="D872" s="1947"/>
      <c r="E872" s="1901"/>
      <c r="F872" s="1954"/>
      <c r="G872" s="1901"/>
      <c r="H872" s="1901"/>
      <c r="I872" s="1901"/>
      <c r="J872" s="1647"/>
      <c r="K872" s="1901"/>
      <c r="L872" s="1901"/>
      <c r="M872" s="1955"/>
      <c r="N872" s="1956"/>
      <c r="O872" s="1955"/>
      <c r="P872" s="1955"/>
      <c r="Q872" s="1956"/>
      <c r="R872" s="493"/>
      <c r="S872" s="493"/>
      <c r="T872" s="493"/>
      <c r="U872" s="493"/>
      <c r="V872" s="298"/>
      <c r="W872" s="298"/>
      <c r="X872" s="298"/>
      <c r="Y872" s="298"/>
      <c r="Z872" s="298"/>
      <c r="AA872" s="298"/>
      <c r="AB872" s="298"/>
      <c r="AC872" s="298"/>
      <c r="AD872" s="298"/>
      <c r="AE872" s="298"/>
      <c r="AF872" s="298"/>
      <c r="AG872" s="298"/>
      <c r="AH872" s="298"/>
      <c r="AI872" s="298"/>
      <c r="AJ872" s="298"/>
      <c r="AK872" s="298"/>
      <c r="AL872" s="298"/>
      <c r="AM872" s="298"/>
    </row>
    <row r="873" spans="1:39" ht="15.75" customHeight="1">
      <c r="A873" s="298"/>
      <c r="B873" s="298"/>
      <c r="C873" s="1901"/>
      <c r="D873" s="1947"/>
      <c r="E873" s="1901"/>
      <c r="F873" s="1954"/>
      <c r="G873" s="1901"/>
      <c r="H873" s="1901"/>
      <c r="I873" s="1901"/>
      <c r="J873" s="1647"/>
      <c r="K873" s="1901"/>
      <c r="L873" s="1901"/>
      <c r="M873" s="1955"/>
      <c r="N873" s="1956"/>
      <c r="O873" s="1955"/>
      <c r="P873" s="1955"/>
      <c r="Q873" s="1956"/>
      <c r="R873" s="493"/>
      <c r="S873" s="493"/>
      <c r="T873" s="493"/>
      <c r="U873" s="493"/>
      <c r="V873" s="298"/>
      <c r="W873" s="298"/>
      <c r="X873" s="298"/>
      <c r="Y873" s="298"/>
      <c r="Z873" s="298"/>
      <c r="AA873" s="298"/>
      <c r="AB873" s="298"/>
      <c r="AC873" s="298"/>
      <c r="AD873" s="298"/>
      <c r="AE873" s="298"/>
      <c r="AF873" s="298"/>
      <c r="AG873" s="298"/>
      <c r="AH873" s="298"/>
      <c r="AI873" s="298"/>
      <c r="AJ873" s="298"/>
      <c r="AK873" s="298"/>
      <c r="AL873" s="298"/>
      <c r="AM873" s="298"/>
    </row>
    <row r="874" spans="1:39" ht="15.75" customHeight="1">
      <c r="A874" s="298"/>
      <c r="B874" s="298"/>
      <c r="C874" s="1901"/>
      <c r="D874" s="1947"/>
      <c r="E874" s="1901"/>
      <c r="F874" s="1954"/>
      <c r="G874" s="1901"/>
      <c r="H874" s="1901"/>
      <c r="I874" s="1901"/>
      <c r="J874" s="1647"/>
      <c r="K874" s="1901"/>
      <c r="L874" s="1901"/>
      <c r="M874" s="1955"/>
      <c r="N874" s="1956"/>
      <c r="O874" s="1955"/>
      <c r="P874" s="1955"/>
      <c r="Q874" s="1956"/>
      <c r="R874" s="493"/>
      <c r="S874" s="493"/>
      <c r="T874" s="493"/>
      <c r="U874" s="493"/>
      <c r="V874" s="298"/>
      <c r="W874" s="298"/>
      <c r="X874" s="298"/>
      <c r="Y874" s="298"/>
      <c r="Z874" s="298"/>
      <c r="AA874" s="298"/>
      <c r="AB874" s="298"/>
      <c r="AC874" s="298"/>
      <c r="AD874" s="298"/>
      <c r="AE874" s="298"/>
      <c r="AF874" s="298"/>
      <c r="AG874" s="298"/>
      <c r="AH874" s="298"/>
      <c r="AI874" s="298"/>
      <c r="AJ874" s="298"/>
      <c r="AK874" s="298"/>
      <c r="AL874" s="298"/>
      <c r="AM874" s="298"/>
    </row>
    <row r="875" spans="1:39" ht="15.75" customHeight="1">
      <c r="A875" s="298"/>
      <c r="B875" s="298"/>
      <c r="C875" s="1901"/>
      <c r="D875" s="1947"/>
      <c r="E875" s="1901"/>
      <c r="F875" s="1954"/>
      <c r="G875" s="1901"/>
      <c r="H875" s="1901"/>
      <c r="I875" s="1901"/>
      <c r="J875" s="1647"/>
      <c r="K875" s="1901"/>
      <c r="L875" s="1901"/>
      <c r="M875" s="1955"/>
      <c r="N875" s="1956"/>
      <c r="O875" s="1955"/>
      <c r="P875" s="1955"/>
      <c r="Q875" s="1956"/>
      <c r="R875" s="493"/>
      <c r="S875" s="493"/>
      <c r="T875" s="493"/>
      <c r="U875" s="493"/>
      <c r="V875" s="298"/>
      <c r="W875" s="298"/>
      <c r="X875" s="298"/>
      <c r="Y875" s="298"/>
      <c r="Z875" s="298"/>
      <c r="AA875" s="298"/>
      <c r="AB875" s="298"/>
      <c r="AC875" s="298"/>
      <c r="AD875" s="298"/>
      <c r="AE875" s="298"/>
      <c r="AF875" s="298"/>
      <c r="AG875" s="298"/>
      <c r="AH875" s="298"/>
      <c r="AI875" s="298"/>
      <c r="AJ875" s="298"/>
      <c r="AK875" s="298"/>
      <c r="AL875" s="298"/>
      <c r="AM875" s="298"/>
    </row>
    <row r="876" spans="1:39" ht="15.75" customHeight="1">
      <c r="A876" s="298"/>
      <c r="B876" s="298"/>
      <c r="C876" s="1901"/>
      <c r="D876" s="1947"/>
      <c r="E876" s="1901"/>
      <c r="F876" s="1954"/>
      <c r="G876" s="1901"/>
      <c r="H876" s="1901"/>
      <c r="I876" s="1901"/>
      <c r="J876" s="1647"/>
      <c r="K876" s="1901"/>
      <c r="L876" s="1901"/>
      <c r="M876" s="1955"/>
      <c r="N876" s="1956"/>
      <c r="O876" s="1955"/>
      <c r="P876" s="1955"/>
      <c r="Q876" s="1956"/>
      <c r="R876" s="493"/>
      <c r="S876" s="493"/>
      <c r="T876" s="493"/>
      <c r="U876" s="493"/>
      <c r="V876" s="298"/>
      <c r="W876" s="298"/>
      <c r="X876" s="298"/>
      <c r="Y876" s="298"/>
      <c r="Z876" s="298"/>
      <c r="AA876" s="298"/>
      <c r="AB876" s="298"/>
      <c r="AC876" s="298"/>
      <c r="AD876" s="298"/>
      <c r="AE876" s="298"/>
      <c r="AF876" s="298"/>
      <c r="AG876" s="298"/>
      <c r="AH876" s="298"/>
      <c r="AI876" s="298"/>
      <c r="AJ876" s="298"/>
      <c r="AK876" s="298"/>
      <c r="AL876" s="298"/>
      <c r="AM876" s="298"/>
    </row>
    <row r="877" spans="1:39" ht="15.75" customHeight="1">
      <c r="A877" s="298"/>
      <c r="B877" s="298"/>
      <c r="C877" s="1901"/>
      <c r="D877" s="1947"/>
      <c r="E877" s="1901"/>
      <c r="F877" s="1954"/>
      <c r="G877" s="1901"/>
      <c r="H877" s="1901"/>
      <c r="I877" s="1901"/>
      <c r="J877" s="1647"/>
      <c r="K877" s="1901"/>
      <c r="L877" s="1901"/>
      <c r="M877" s="1955"/>
      <c r="N877" s="1956"/>
      <c r="O877" s="1955"/>
      <c r="P877" s="1955"/>
      <c r="Q877" s="1956"/>
      <c r="R877" s="493"/>
      <c r="S877" s="493"/>
      <c r="T877" s="493"/>
      <c r="U877" s="493"/>
      <c r="V877" s="298"/>
      <c r="W877" s="298"/>
      <c r="X877" s="298"/>
      <c r="Y877" s="298"/>
      <c r="Z877" s="298"/>
      <c r="AA877" s="298"/>
      <c r="AB877" s="298"/>
      <c r="AC877" s="298"/>
      <c r="AD877" s="298"/>
      <c r="AE877" s="298"/>
      <c r="AF877" s="298"/>
      <c r="AG877" s="298"/>
      <c r="AH877" s="298"/>
      <c r="AI877" s="298"/>
      <c r="AJ877" s="298"/>
      <c r="AK877" s="298"/>
      <c r="AL877" s="298"/>
      <c r="AM877" s="298"/>
    </row>
    <row r="878" spans="1:39" ht="15.75" customHeight="1">
      <c r="A878" s="298"/>
      <c r="B878" s="298"/>
      <c r="C878" s="1901"/>
      <c r="D878" s="1947"/>
      <c r="E878" s="1901"/>
      <c r="F878" s="1954"/>
      <c r="G878" s="1901"/>
      <c r="H878" s="1901"/>
      <c r="I878" s="1901"/>
      <c r="J878" s="1647"/>
      <c r="K878" s="1901"/>
      <c r="L878" s="1901"/>
      <c r="M878" s="1955"/>
      <c r="N878" s="1956"/>
      <c r="O878" s="1955"/>
      <c r="P878" s="1955"/>
      <c r="Q878" s="1956"/>
      <c r="R878" s="493"/>
      <c r="S878" s="493"/>
      <c r="T878" s="493"/>
      <c r="U878" s="493"/>
      <c r="V878" s="298"/>
      <c r="W878" s="298"/>
      <c r="X878" s="298"/>
      <c r="Y878" s="298"/>
      <c r="Z878" s="298"/>
      <c r="AA878" s="298"/>
      <c r="AB878" s="298"/>
      <c r="AC878" s="298"/>
      <c r="AD878" s="298"/>
      <c r="AE878" s="298"/>
      <c r="AF878" s="298"/>
      <c r="AG878" s="298"/>
      <c r="AH878" s="298"/>
      <c r="AI878" s="298"/>
      <c r="AJ878" s="298"/>
      <c r="AK878" s="298"/>
      <c r="AL878" s="298"/>
      <c r="AM878" s="298"/>
    </row>
    <row r="879" spans="1:39" ht="15.75" customHeight="1">
      <c r="A879" s="298"/>
      <c r="B879" s="298"/>
      <c r="C879" s="1901"/>
      <c r="D879" s="1947"/>
      <c r="E879" s="1901"/>
      <c r="F879" s="1954"/>
      <c r="G879" s="1901"/>
      <c r="H879" s="1901"/>
      <c r="I879" s="1901"/>
      <c r="J879" s="1647"/>
      <c r="K879" s="1901"/>
      <c r="L879" s="1901"/>
      <c r="M879" s="1955"/>
      <c r="N879" s="1956"/>
      <c r="O879" s="1955"/>
      <c r="P879" s="1955"/>
      <c r="Q879" s="1956"/>
      <c r="R879" s="493"/>
      <c r="S879" s="493"/>
      <c r="T879" s="493"/>
      <c r="U879" s="493"/>
      <c r="V879" s="298"/>
      <c r="W879" s="298"/>
      <c r="X879" s="298"/>
      <c r="Y879" s="298"/>
      <c r="Z879" s="298"/>
      <c r="AA879" s="298"/>
      <c r="AB879" s="298"/>
      <c r="AC879" s="298"/>
      <c r="AD879" s="298"/>
      <c r="AE879" s="298"/>
      <c r="AF879" s="298"/>
      <c r="AG879" s="298"/>
      <c r="AH879" s="298"/>
      <c r="AI879" s="298"/>
      <c r="AJ879" s="298"/>
      <c r="AK879" s="298"/>
      <c r="AL879" s="298"/>
      <c r="AM879" s="298"/>
    </row>
    <row r="880" spans="1:39" ht="15.75" customHeight="1">
      <c r="A880" s="298"/>
      <c r="B880" s="298"/>
      <c r="C880" s="1901"/>
      <c r="D880" s="1947"/>
      <c r="E880" s="1901"/>
      <c r="F880" s="1954"/>
      <c r="G880" s="1901"/>
      <c r="H880" s="1901"/>
      <c r="I880" s="1901"/>
      <c r="J880" s="1647"/>
      <c r="K880" s="1901"/>
      <c r="L880" s="1901"/>
      <c r="M880" s="1955"/>
      <c r="N880" s="1956"/>
      <c r="O880" s="1955"/>
      <c r="P880" s="1955"/>
      <c r="Q880" s="1956"/>
      <c r="R880" s="493"/>
      <c r="S880" s="493"/>
      <c r="T880" s="493"/>
      <c r="U880" s="493"/>
      <c r="V880" s="298"/>
      <c r="W880" s="298"/>
      <c r="X880" s="298"/>
      <c r="Y880" s="298"/>
      <c r="Z880" s="298"/>
      <c r="AA880" s="298"/>
      <c r="AB880" s="298"/>
      <c r="AC880" s="298"/>
      <c r="AD880" s="298"/>
      <c r="AE880" s="298"/>
      <c r="AF880" s="298"/>
      <c r="AG880" s="298"/>
      <c r="AH880" s="298"/>
      <c r="AI880" s="298"/>
      <c r="AJ880" s="298"/>
      <c r="AK880" s="298"/>
      <c r="AL880" s="298"/>
      <c r="AM880" s="298"/>
    </row>
    <row r="881" spans="1:39" ht="15.75" customHeight="1">
      <c r="A881" s="298"/>
      <c r="B881" s="298"/>
      <c r="C881" s="1901"/>
      <c r="D881" s="1947"/>
      <c r="E881" s="1901"/>
      <c r="F881" s="1954"/>
      <c r="G881" s="1901"/>
      <c r="H881" s="1901"/>
      <c r="I881" s="1901"/>
      <c r="J881" s="1647"/>
      <c r="K881" s="1901"/>
      <c r="L881" s="1901"/>
      <c r="M881" s="1955"/>
      <c r="N881" s="1956"/>
      <c r="O881" s="1955"/>
      <c r="P881" s="1955"/>
      <c r="Q881" s="1956"/>
      <c r="R881" s="493"/>
      <c r="S881" s="493"/>
      <c r="T881" s="493"/>
      <c r="U881" s="493"/>
      <c r="V881" s="298"/>
      <c r="W881" s="298"/>
      <c r="X881" s="298"/>
      <c r="Y881" s="298"/>
      <c r="Z881" s="298"/>
      <c r="AA881" s="298"/>
      <c r="AB881" s="298"/>
      <c r="AC881" s="298"/>
      <c r="AD881" s="298"/>
      <c r="AE881" s="298"/>
      <c r="AF881" s="298"/>
      <c r="AG881" s="298"/>
      <c r="AH881" s="298"/>
      <c r="AI881" s="298"/>
      <c r="AJ881" s="298"/>
      <c r="AK881" s="298"/>
      <c r="AL881" s="298"/>
      <c r="AM881" s="298"/>
    </row>
    <row r="882" spans="1:39" ht="15.75" customHeight="1">
      <c r="A882" s="298"/>
      <c r="B882" s="298"/>
      <c r="C882" s="1901"/>
      <c r="D882" s="1947"/>
      <c r="E882" s="1901"/>
      <c r="F882" s="1954"/>
      <c r="G882" s="1901"/>
      <c r="H882" s="1901"/>
      <c r="I882" s="1901"/>
      <c r="J882" s="1647"/>
      <c r="K882" s="1901"/>
      <c r="L882" s="1901"/>
      <c r="M882" s="1955"/>
      <c r="N882" s="1956"/>
      <c r="O882" s="1955"/>
      <c r="P882" s="1955"/>
      <c r="Q882" s="1956"/>
      <c r="R882" s="493"/>
      <c r="S882" s="493"/>
      <c r="T882" s="493"/>
      <c r="U882" s="493"/>
      <c r="V882" s="298"/>
      <c r="W882" s="298"/>
      <c r="X882" s="298"/>
      <c r="Y882" s="298"/>
      <c r="Z882" s="298"/>
      <c r="AA882" s="298"/>
      <c r="AB882" s="298"/>
      <c r="AC882" s="298"/>
      <c r="AD882" s="298"/>
      <c r="AE882" s="298"/>
      <c r="AF882" s="298"/>
      <c r="AG882" s="298"/>
      <c r="AH882" s="298"/>
      <c r="AI882" s="298"/>
      <c r="AJ882" s="298"/>
      <c r="AK882" s="298"/>
      <c r="AL882" s="298"/>
      <c r="AM882" s="298"/>
    </row>
    <row r="883" spans="1:39" ht="15.75" customHeight="1">
      <c r="A883" s="298"/>
      <c r="B883" s="298"/>
      <c r="C883" s="1901"/>
      <c r="D883" s="1947"/>
      <c r="E883" s="1901"/>
      <c r="F883" s="1954"/>
      <c r="G883" s="1901"/>
      <c r="H883" s="1901"/>
      <c r="I883" s="1901"/>
      <c r="J883" s="1647"/>
      <c r="K883" s="1901"/>
      <c r="L883" s="1901"/>
      <c r="M883" s="1955"/>
      <c r="N883" s="1956"/>
      <c r="O883" s="1955"/>
      <c r="P883" s="1955"/>
      <c r="Q883" s="1956"/>
      <c r="R883" s="493"/>
      <c r="S883" s="493"/>
      <c r="T883" s="493"/>
      <c r="U883" s="493"/>
      <c r="V883" s="298"/>
      <c r="W883" s="298"/>
      <c r="X883" s="298"/>
      <c r="Y883" s="298"/>
      <c r="Z883" s="298"/>
      <c r="AA883" s="298"/>
      <c r="AB883" s="298"/>
      <c r="AC883" s="298"/>
      <c r="AD883" s="298"/>
      <c r="AE883" s="298"/>
      <c r="AF883" s="298"/>
      <c r="AG883" s="298"/>
      <c r="AH883" s="298"/>
      <c r="AI883" s="298"/>
      <c r="AJ883" s="298"/>
      <c r="AK883" s="298"/>
      <c r="AL883" s="298"/>
      <c r="AM883" s="298"/>
    </row>
    <row r="884" spans="1:39" ht="15.75" customHeight="1">
      <c r="A884" s="298"/>
      <c r="B884" s="298"/>
      <c r="C884" s="1901"/>
      <c r="D884" s="1947"/>
      <c r="E884" s="1901"/>
      <c r="F884" s="1954"/>
      <c r="G884" s="1901"/>
      <c r="H884" s="1901"/>
      <c r="I884" s="1901"/>
      <c r="J884" s="1647"/>
      <c r="K884" s="1901"/>
      <c r="L884" s="1901"/>
      <c r="M884" s="1955"/>
      <c r="N884" s="1956"/>
      <c r="O884" s="1955"/>
      <c r="P884" s="1955"/>
      <c r="Q884" s="1956"/>
      <c r="R884" s="493"/>
      <c r="S884" s="493"/>
      <c r="T884" s="493"/>
      <c r="U884" s="493"/>
      <c r="V884" s="298"/>
      <c r="W884" s="298"/>
      <c r="X884" s="298"/>
      <c r="Y884" s="298"/>
      <c r="Z884" s="298"/>
      <c r="AA884" s="298"/>
      <c r="AB884" s="298"/>
      <c r="AC884" s="298"/>
      <c r="AD884" s="298"/>
      <c r="AE884" s="298"/>
      <c r="AF884" s="298"/>
      <c r="AG884" s="298"/>
      <c r="AH884" s="298"/>
      <c r="AI884" s="298"/>
      <c r="AJ884" s="298"/>
      <c r="AK884" s="298"/>
      <c r="AL884" s="298"/>
      <c r="AM884" s="298"/>
    </row>
    <row r="885" spans="1:39" ht="15.75" customHeight="1">
      <c r="A885" s="298"/>
      <c r="B885" s="298"/>
      <c r="C885" s="1901"/>
      <c r="D885" s="1947"/>
      <c r="E885" s="1901"/>
      <c r="F885" s="1954"/>
      <c r="G885" s="1901"/>
      <c r="H885" s="1901"/>
      <c r="I885" s="1901"/>
      <c r="J885" s="1647"/>
      <c r="K885" s="1901"/>
      <c r="L885" s="1901"/>
      <c r="M885" s="1955"/>
      <c r="N885" s="1956"/>
      <c r="O885" s="1955"/>
      <c r="P885" s="1955"/>
      <c r="Q885" s="1956"/>
      <c r="R885" s="493"/>
      <c r="S885" s="493"/>
      <c r="T885" s="493"/>
      <c r="U885" s="493"/>
      <c r="V885" s="298"/>
      <c r="W885" s="298"/>
      <c r="X885" s="298"/>
      <c r="Y885" s="298"/>
      <c r="Z885" s="298"/>
      <c r="AA885" s="298"/>
      <c r="AB885" s="298"/>
      <c r="AC885" s="298"/>
      <c r="AD885" s="298"/>
      <c r="AE885" s="298"/>
      <c r="AF885" s="298"/>
      <c r="AG885" s="298"/>
      <c r="AH885" s="298"/>
      <c r="AI885" s="298"/>
      <c r="AJ885" s="298"/>
      <c r="AK885" s="298"/>
      <c r="AL885" s="298"/>
      <c r="AM885" s="298"/>
    </row>
    <row r="886" spans="1:39" ht="15.75" customHeight="1">
      <c r="A886" s="298"/>
      <c r="B886" s="298"/>
      <c r="C886" s="1901"/>
      <c r="D886" s="1947"/>
      <c r="E886" s="1901"/>
      <c r="F886" s="1954"/>
      <c r="G886" s="1901"/>
      <c r="H886" s="1901"/>
      <c r="I886" s="1901"/>
      <c r="J886" s="1647"/>
      <c r="K886" s="1901"/>
      <c r="L886" s="1901"/>
      <c r="M886" s="1955"/>
      <c r="N886" s="1956"/>
      <c r="O886" s="1955"/>
      <c r="P886" s="1955"/>
      <c r="Q886" s="1956"/>
      <c r="R886" s="493"/>
      <c r="S886" s="493"/>
      <c r="T886" s="493"/>
      <c r="U886" s="493"/>
      <c r="V886" s="298"/>
      <c r="W886" s="298"/>
      <c r="X886" s="298"/>
      <c r="Y886" s="298"/>
      <c r="Z886" s="298"/>
      <c r="AA886" s="298"/>
      <c r="AB886" s="298"/>
      <c r="AC886" s="298"/>
      <c r="AD886" s="298"/>
      <c r="AE886" s="298"/>
      <c r="AF886" s="298"/>
      <c r="AG886" s="298"/>
      <c r="AH886" s="298"/>
      <c r="AI886" s="298"/>
      <c r="AJ886" s="298"/>
      <c r="AK886" s="298"/>
      <c r="AL886" s="298"/>
      <c r="AM886" s="298"/>
    </row>
    <row r="887" spans="1:39" ht="15.75" customHeight="1">
      <c r="A887" s="298"/>
      <c r="B887" s="298"/>
      <c r="C887" s="1901"/>
      <c r="D887" s="1947"/>
      <c r="E887" s="1901"/>
      <c r="F887" s="1954"/>
      <c r="G887" s="1901"/>
      <c r="H887" s="1901"/>
      <c r="I887" s="1901"/>
      <c r="J887" s="1647"/>
      <c r="K887" s="1901"/>
      <c r="L887" s="1901"/>
      <c r="M887" s="1955"/>
      <c r="N887" s="1956"/>
      <c r="O887" s="1955"/>
      <c r="P887" s="1955"/>
      <c r="Q887" s="1956"/>
      <c r="R887" s="493"/>
      <c r="S887" s="493"/>
      <c r="T887" s="493"/>
      <c r="U887" s="493"/>
      <c r="V887" s="298"/>
      <c r="W887" s="298"/>
      <c r="X887" s="298"/>
      <c r="Y887" s="298"/>
      <c r="Z887" s="298"/>
      <c r="AA887" s="298"/>
      <c r="AB887" s="298"/>
      <c r="AC887" s="298"/>
      <c r="AD887" s="298"/>
      <c r="AE887" s="298"/>
      <c r="AF887" s="298"/>
      <c r="AG887" s="298"/>
      <c r="AH887" s="298"/>
      <c r="AI887" s="298"/>
      <c r="AJ887" s="298"/>
      <c r="AK887" s="298"/>
      <c r="AL887" s="298"/>
      <c r="AM887" s="298"/>
    </row>
    <row r="888" spans="1:39" ht="15.75" customHeight="1">
      <c r="A888" s="298"/>
      <c r="B888" s="298"/>
      <c r="C888" s="1901"/>
      <c r="D888" s="1947"/>
      <c r="E888" s="1901"/>
      <c r="F888" s="1954"/>
      <c r="G888" s="1901"/>
      <c r="H888" s="1901"/>
      <c r="I888" s="1901"/>
      <c r="J888" s="1647"/>
      <c r="K888" s="1901"/>
      <c r="L888" s="1901"/>
      <c r="M888" s="1955"/>
      <c r="N888" s="1956"/>
      <c r="O888" s="1955"/>
      <c r="P888" s="1955"/>
      <c r="Q888" s="1956"/>
      <c r="R888" s="493"/>
      <c r="S888" s="493"/>
      <c r="T888" s="493"/>
      <c r="U888" s="493"/>
      <c r="V888" s="298"/>
      <c r="W888" s="298"/>
      <c r="X888" s="298"/>
      <c r="Y888" s="298"/>
      <c r="Z888" s="298"/>
      <c r="AA888" s="298"/>
      <c r="AB888" s="298"/>
      <c r="AC888" s="298"/>
      <c r="AD888" s="298"/>
      <c r="AE888" s="298"/>
      <c r="AF888" s="298"/>
      <c r="AG888" s="298"/>
      <c r="AH888" s="298"/>
      <c r="AI888" s="298"/>
      <c r="AJ888" s="298"/>
      <c r="AK888" s="298"/>
      <c r="AL888" s="298"/>
      <c r="AM888" s="298"/>
    </row>
    <row r="889" spans="1:39" ht="15.75" customHeight="1">
      <c r="A889" s="298"/>
      <c r="B889" s="298"/>
      <c r="C889" s="1901"/>
      <c r="D889" s="1947"/>
      <c r="E889" s="1901"/>
      <c r="F889" s="1954"/>
      <c r="G889" s="1901"/>
      <c r="H889" s="1901"/>
      <c r="I889" s="1901"/>
      <c r="J889" s="1647"/>
      <c r="K889" s="1901"/>
      <c r="L889" s="1901"/>
      <c r="M889" s="1955"/>
      <c r="N889" s="1956"/>
      <c r="O889" s="1955"/>
      <c r="P889" s="1955"/>
      <c r="Q889" s="1956"/>
      <c r="R889" s="493"/>
      <c r="S889" s="493"/>
      <c r="T889" s="493"/>
      <c r="U889" s="493"/>
      <c r="V889" s="298"/>
      <c r="W889" s="298"/>
      <c r="X889" s="298"/>
      <c r="Y889" s="298"/>
      <c r="Z889" s="298"/>
      <c r="AA889" s="298"/>
      <c r="AB889" s="298"/>
      <c r="AC889" s="298"/>
      <c r="AD889" s="298"/>
      <c r="AE889" s="298"/>
      <c r="AF889" s="298"/>
      <c r="AG889" s="298"/>
      <c r="AH889" s="298"/>
      <c r="AI889" s="298"/>
      <c r="AJ889" s="298"/>
      <c r="AK889" s="298"/>
      <c r="AL889" s="298"/>
      <c r="AM889" s="298"/>
    </row>
    <row r="890" spans="1:39" ht="15.75" customHeight="1">
      <c r="A890" s="298"/>
      <c r="B890" s="298"/>
      <c r="C890" s="1901"/>
      <c r="D890" s="1947"/>
      <c r="E890" s="1901"/>
      <c r="F890" s="1954"/>
      <c r="G890" s="1901"/>
      <c r="H890" s="1901"/>
      <c r="I890" s="1901"/>
      <c r="J890" s="1647"/>
      <c r="K890" s="1901"/>
      <c r="L890" s="1901"/>
      <c r="M890" s="1955"/>
      <c r="N890" s="1956"/>
      <c r="O890" s="1955"/>
      <c r="P890" s="1955"/>
      <c r="Q890" s="1956"/>
      <c r="R890" s="493"/>
      <c r="S890" s="493"/>
      <c r="T890" s="493"/>
      <c r="U890" s="493"/>
      <c r="V890" s="298"/>
      <c r="W890" s="298"/>
      <c r="X890" s="298"/>
      <c r="Y890" s="298"/>
      <c r="Z890" s="298"/>
      <c r="AA890" s="298"/>
      <c r="AB890" s="298"/>
      <c r="AC890" s="298"/>
      <c r="AD890" s="298"/>
      <c r="AE890" s="298"/>
      <c r="AF890" s="298"/>
      <c r="AG890" s="298"/>
      <c r="AH890" s="298"/>
      <c r="AI890" s="298"/>
      <c r="AJ890" s="298"/>
      <c r="AK890" s="298"/>
      <c r="AL890" s="298"/>
      <c r="AM890" s="298"/>
    </row>
    <row r="891" spans="1:39" ht="15.75" customHeight="1">
      <c r="A891" s="298"/>
      <c r="B891" s="298"/>
      <c r="C891" s="1901"/>
      <c r="D891" s="1947"/>
      <c r="E891" s="1901"/>
      <c r="F891" s="1954"/>
      <c r="G891" s="1901"/>
      <c r="H891" s="1901"/>
      <c r="I891" s="1901"/>
      <c r="J891" s="1647"/>
      <c r="K891" s="1901"/>
      <c r="L891" s="1901"/>
      <c r="M891" s="1955"/>
      <c r="N891" s="1956"/>
      <c r="O891" s="1955"/>
      <c r="P891" s="1955"/>
      <c r="Q891" s="1956"/>
      <c r="R891" s="493"/>
      <c r="S891" s="493"/>
      <c r="T891" s="493"/>
      <c r="U891" s="493"/>
      <c r="V891" s="298"/>
      <c r="W891" s="298"/>
      <c r="X891" s="298"/>
      <c r="Y891" s="298"/>
      <c r="Z891" s="298"/>
      <c r="AA891" s="298"/>
      <c r="AB891" s="298"/>
      <c r="AC891" s="298"/>
      <c r="AD891" s="298"/>
      <c r="AE891" s="298"/>
      <c r="AF891" s="298"/>
      <c r="AG891" s="298"/>
      <c r="AH891" s="298"/>
      <c r="AI891" s="298"/>
      <c r="AJ891" s="298"/>
      <c r="AK891" s="298"/>
      <c r="AL891" s="298"/>
      <c r="AM891" s="298"/>
    </row>
    <row r="892" spans="1:39" ht="15.75" customHeight="1">
      <c r="A892" s="298"/>
      <c r="B892" s="298"/>
      <c r="C892" s="1901"/>
      <c r="D892" s="1947"/>
      <c r="E892" s="1901"/>
      <c r="F892" s="1954"/>
      <c r="G892" s="1901"/>
      <c r="H892" s="1901"/>
      <c r="I892" s="1901"/>
      <c r="J892" s="1647"/>
      <c r="K892" s="1901"/>
      <c r="L892" s="1901"/>
      <c r="M892" s="1955"/>
      <c r="N892" s="1956"/>
      <c r="O892" s="1955"/>
      <c r="P892" s="1955"/>
      <c r="Q892" s="1956"/>
      <c r="R892" s="493"/>
      <c r="S892" s="493"/>
      <c r="T892" s="493"/>
      <c r="U892" s="493"/>
      <c r="V892" s="298"/>
      <c r="W892" s="298"/>
      <c r="X892" s="298"/>
      <c r="Y892" s="298"/>
      <c r="Z892" s="298"/>
      <c r="AA892" s="298"/>
      <c r="AB892" s="298"/>
      <c r="AC892" s="298"/>
      <c r="AD892" s="298"/>
      <c r="AE892" s="298"/>
      <c r="AF892" s="298"/>
      <c r="AG892" s="298"/>
      <c r="AH892" s="298"/>
      <c r="AI892" s="298"/>
      <c r="AJ892" s="298"/>
      <c r="AK892" s="298"/>
      <c r="AL892" s="298"/>
      <c r="AM892" s="298"/>
    </row>
    <row r="893" spans="1:39" ht="15.75" customHeight="1">
      <c r="A893" s="298"/>
      <c r="B893" s="298"/>
      <c r="C893" s="1901"/>
      <c r="D893" s="1947"/>
      <c r="E893" s="1901"/>
      <c r="F893" s="1954"/>
      <c r="G893" s="1901"/>
      <c r="H893" s="1901"/>
      <c r="I893" s="1901"/>
      <c r="J893" s="1647"/>
      <c r="K893" s="1901"/>
      <c r="L893" s="1901"/>
      <c r="M893" s="1955"/>
      <c r="N893" s="1956"/>
      <c r="O893" s="1955"/>
      <c r="P893" s="1955"/>
      <c r="Q893" s="1956"/>
      <c r="R893" s="493"/>
      <c r="S893" s="493"/>
      <c r="T893" s="493"/>
      <c r="U893" s="493"/>
      <c r="V893" s="298"/>
      <c r="W893" s="298"/>
      <c r="X893" s="298"/>
      <c r="Y893" s="298"/>
      <c r="Z893" s="298"/>
      <c r="AA893" s="298"/>
      <c r="AB893" s="298"/>
      <c r="AC893" s="298"/>
      <c r="AD893" s="298"/>
      <c r="AE893" s="298"/>
      <c r="AF893" s="298"/>
      <c r="AG893" s="298"/>
      <c r="AH893" s="298"/>
      <c r="AI893" s="298"/>
      <c r="AJ893" s="298"/>
      <c r="AK893" s="298"/>
      <c r="AL893" s="298"/>
      <c r="AM893" s="298"/>
    </row>
    <row r="894" spans="1:39" ht="15.75" customHeight="1">
      <c r="A894" s="298"/>
      <c r="B894" s="298"/>
      <c r="C894" s="1901"/>
      <c r="D894" s="1947"/>
      <c r="E894" s="1901"/>
      <c r="F894" s="1954"/>
      <c r="G894" s="1901"/>
      <c r="H894" s="1901"/>
      <c r="I894" s="1901"/>
      <c r="J894" s="1647"/>
      <c r="K894" s="1901"/>
      <c r="L894" s="1901"/>
      <c r="M894" s="1955"/>
      <c r="N894" s="1956"/>
      <c r="O894" s="1955"/>
      <c r="P894" s="1955"/>
      <c r="Q894" s="1956"/>
      <c r="R894" s="493"/>
      <c r="S894" s="493"/>
      <c r="T894" s="493"/>
      <c r="U894" s="493"/>
      <c r="V894" s="298"/>
      <c r="W894" s="298"/>
      <c r="X894" s="298"/>
      <c r="Y894" s="298"/>
      <c r="Z894" s="298"/>
      <c r="AA894" s="298"/>
      <c r="AB894" s="298"/>
      <c r="AC894" s="298"/>
      <c r="AD894" s="298"/>
      <c r="AE894" s="298"/>
      <c r="AF894" s="298"/>
      <c r="AG894" s="298"/>
      <c r="AH894" s="298"/>
      <c r="AI894" s="298"/>
      <c r="AJ894" s="298"/>
      <c r="AK894" s="298"/>
      <c r="AL894" s="298"/>
      <c r="AM894" s="298"/>
    </row>
    <row r="895" spans="1:39" ht="15.75" customHeight="1">
      <c r="A895" s="298"/>
      <c r="B895" s="298"/>
      <c r="C895" s="1901"/>
      <c r="D895" s="1947"/>
      <c r="E895" s="1901"/>
      <c r="F895" s="1954"/>
      <c r="G895" s="1901"/>
      <c r="H895" s="1901"/>
      <c r="I895" s="1901"/>
      <c r="J895" s="1647"/>
      <c r="K895" s="1901"/>
      <c r="L895" s="1901"/>
      <c r="M895" s="1955"/>
      <c r="N895" s="1956"/>
      <c r="O895" s="1955"/>
      <c r="P895" s="1955"/>
      <c r="Q895" s="1956"/>
      <c r="R895" s="493"/>
      <c r="S895" s="493"/>
      <c r="T895" s="493"/>
      <c r="U895" s="493"/>
      <c r="V895" s="298"/>
      <c r="W895" s="298"/>
      <c r="X895" s="298"/>
      <c r="Y895" s="298"/>
      <c r="Z895" s="298"/>
      <c r="AA895" s="298"/>
      <c r="AB895" s="298"/>
      <c r="AC895" s="298"/>
      <c r="AD895" s="298"/>
      <c r="AE895" s="298"/>
      <c r="AF895" s="298"/>
      <c r="AG895" s="298"/>
      <c r="AH895" s="298"/>
      <c r="AI895" s="298"/>
      <c r="AJ895" s="298"/>
      <c r="AK895" s="298"/>
      <c r="AL895" s="298"/>
      <c r="AM895" s="298"/>
    </row>
    <row r="896" spans="1:39" ht="15.75" customHeight="1">
      <c r="A896" s="298"/>
      <c r="B896" s="298"/>
      <c r="C896" s="1901"/>
      <c r="D896" s="1947"/>
      <c r="E896" s="1901"/>
      <c r="F896" s="1954"/>
      <c r="G896" s="1901"/>
      <c r="H896" s="1901"/>
      <c r="I896" s="1901"/>
      <c r="J896" s="1647"/>
      <c r="K896" s="1901"/>
      <c r="L896" s="1901"/>
      <c r="M896" s="1955"/>
      <c r="N896" s="1956"/>
      <c r="O896" s="1955"/>
      <c r="P896" s="1955"/>
      <c r="Q896" s="1956"/>
      <c r="R896" s="493"/>
      <c r="S896" s="493"/>
      <c r="T896" s="493"/>
      <c r="U896" s="493"/>
      <c r="V896" s="298"/>
      <c r="W896" s="298"/>
      <c r="X896" s="298"/>
      <c r="Y896" s="298"/>
      <c r="Z896" s="298"/>
      <c r="AA896" s="298"/>
      <c r="AB896" s="298"/>
      <c r="AC896" s="298"/>
      <c r="AD896" s="298"/>
      <c r="AE896" s="298"/>
      <c r="AF896" s="298"/>
      <c r="AG896" s="298"/>
      <c r="AH896" s="298"/>
      <c r="AI896" s="298"/>
      <c r="AJ896" s="298"/>
      <c r="AK896" s="298"/>
      <c r="AL896" s="298"/>
      <c r="AM896" s="298"/>
    </row>
    <row r="897" spans="1:39" ht="15.75" customHeight="1">
      <c r="A897" s="298"/>
      <c r="B897" s="298"/>
      <c r="C897" s="1901"/>
      <c r="D897" s="1947"/>
      <c r="E897" s="1901"/>
      <c r="F897" s="1954"/>
      <c r="G897" s="1901"/>
      <c r="H897" s="1901"/>
      <c r="I897" s="1901"/>
      <c r="J897" s="1647"/>
      <c r="K897" s="1901"/>
      <c r="L897" s="1901"/>
      <c r="M897" s="1955"/>
      <c r="N897" s="1956"/>
      <c r="O897" s="1955"/>
      <c r="P897" s="1955"/>
      <c r="Q897" s="1956"/>
      <c r="R897" s="493"/>
      <c r="S897" s="493"/>
      <c r="T897" s="493"/>
      <c r="U897" s="493"/>
      <c r="V897" s="298"/>
      <c r="W897" s="298"/>
      <c r="X897" s="298"/>
      <c r="Y897" s="298"/>
      <c r="Z897" s="298"/>
      <c r="AA897" s="298"/>
      <c r="AB897" s="298"/>
      <c r="AC897" s="298"/>
      <c r="AD897" s="298"/>
      <c r="AE897" s="298"/>
      <c r="AF897" s="298"/>
      <c r="AG897" s="298"/>
      <c r="AH897" s="298"/>
      <c r="AI897" s="298"/>
      <c r="AJ897" s="298"/>
      <c r="AK897" s="298"/>
      <c r="AL897" s="298"/>
      <c r="AM897" s="298"/>
    </row>
    <row r="898" spans="1:39" ht="15.75" customHeight="1">
      <c r="A898" s="298"/>
      <c r="B898" s="298"/>
      <c r="C898" s="1901"/>
      <c r="D898" s="1947"/>
      <c r="E898" s="1901"/>
      <c r="F898" s="1954"/>
      <c r="G898" s="1901"/>
      <c r="H898" s="1901"/>
      <c r="I898" s="1901"/>
      <c r="J898" s="1647"/>
      <c r="K898" s="1901"/>
      <c r="L898" s="1901"/>
      <c r="M898" s="1955"/>
      <c r="N898" s="1956"/>
      <c r="O898" s="1955"/>
      <c r="P898" s="1955"/>
      <c r="Q898" s="1956"/>
      <c r="R898" s="493"/>
      <c r="S898" s="493"/>
      <c r="T898" s="493"/>
      <c r="U898" s="493"/>
      <c r="V898" s="298"/>
      <c r="W898" s="298"/>
      <c r="X898" s="298"/>
      <c r="Y898" s="298"/>
      <c r="Z898" s="298"/>
      <c r="AA898" s="298"/>
      <c r="AB898" s="298"/>
      <c r="AC898" s="298"/>
      <c r="AD898" s="298"/>
      <c r="AE898" s="298"/>
      <c r="AF898" s="298"/>
      <c r="AG898" s="298"/>
      <c r="AH898" s="298"/>
      <c r="AI898" s="298"/>
      <c r="AJ898" s="298"/>
      <c r="AK898" s="298"/>
      <c r="AL898" s="298"/>
      <c r="AM898" s="298"/>
    </row>
    <row r="899" spans="1:39" ht="15.75" customHeight="1">
      <c r="A899" s="298"/>
      <c r="B899" s="298"/>
      <c r="C899" s="1901"/>
      <c r="D899" s="1947"/>
      <c r="E899" s="1901"/>
      <c r="F899" s="1954"/>
      <c r="G899" s="1901"/>
      <c r="H899" s="1901"/>
      <c r="I899" s="1901"/>
      <c r="J899" s="1647"/>
      <c r="K899" s="1901"/>
      <c r="L899" s="1901"/>
      <c r="M899" s="1955"/>
      <c r="N899" s="1956"/>
      <c r="O899" s="1955"/>
      <c r="P899" s="1955"/>
      <c r="Q899" s="1956"/>
      <c r="R899" s="493"/>
      <c r="S899" s="493"/>
      <c r="T899" s="493"/>
      <c r="U899" s="493"/>
      <c r="V899" s="298"/>
      <c r="W899" s="298"/>
      <c r="X899" s="298"/>
      <c r="Y899" s="298"/>
      <c r="Z899" s="298"/>
      <c r="AA899" s="298"/>
      <c r="AB899" s="298"/>
      <c r="AC899" s="298"/>
      <c r="AD899" s="298"/>
      <c r="AE899" s="298"/>
      <c r="AF899" s="298"/>
      <c r="AG899" s="298"/>
      <c r="AH899" s="298"/>
      <c r="AI899" s="298"/>
      <c r="AJ899" s="298"/>
      <c r="AK899" s="298"/>
      <c r="AL899" s="298"/>
      <c r="AM899" s="298"/>
    </row>
    <row r="900" spans="1:39" ht="15.75" customHeight="1">
      <c r="A900" s="298"/>
      <c r="B900" s="298"/>
      <c r="C900" s="1901"/>
      <c r="D900" s="1947"/>
      <c r="E900" s="1901"/>
      <c r="F900" s="1954"/>
      <c r="G900" s="1901"/>
      <c r="H900" s="1901"/>
      <c r="I900" s="1901"/>
      <c r="J900" s="1647"/>
      <c r="K900" s="1901"/>
      <c r="L900" s="1901"/>
      <c r="M900" s="1955"/>
      <c r="N900" s="1956"/>
      <c r="O900" s="1955"/>
      <c r="P900" s="1955"/>
      <c r="Q900" s="1956"/>
      <c r="R900" s="493"/>
      <c r="S900" s="493"/>
      <c r="T900" s="493"/>
      <c r="U900" s="493"/>
      <c r="V900" s="298"/>
      <c r="W900" s="298"/>
      <c r="X900" s="298"/>
      <c r="Y900" s="298"/>
      <c r="Z900" s="298"/>
      <c r="AA900" s="298"/>
      <c r="AB900" s="298"/>
      <c r="AC900" s="298"/>
      <c r="AD900" s="298"/>
      <c r="AE900" s="298"/>
      <c r="AF900" s="298"/>
      <c r="AG900" s="298"/>
      <c r="AH900" s="298"/>
      <c r="AI900" s="298"/>
      <c r="AJ900" s="298"/>
      <c r="AK900" s="298"/>
      <c r="AL900" s="298"/>
      <c r="AM900" s="298"/>
    </row>
    <row r="901" spans="1:39" ht="15.75" customHeight="1">
      <c r="A901" s="298"/>
      <c r="B901" s="298"/>
      <c r="C901" s="1901"/>
      <c r="D901" s="1947"/>
      <c r="E901" s="1901"/>
      <c r="F901" s="1954"/>
      <c r="G901" s="1901"/>
      <c r="H901" s="1901"/>
      <c r="I901" s="1901"/>
      <c r="J901" s="1647"/>
      <c r="K901" s="1901"/>
      <c r="L901" s="1901"/>
      <c r="M901" s="1955"/>
      <c r="N901" s="1956"/>
      <c r="O901" s="1955"/>
      <c r="P901" s="1955"/>
      <c r="Q901" s="1956"/>
      <c r="R901" s="493"/>
      <c r="S901" s="493"/>
      <c r="T901" s="493"/>
      <c r="U901" s="493"/>
      <c r="V901" s="298"/>
      <c r="W901" s="298"/>
      <c r="X901" s="298"/>
      <c r="Y901" s="298"/>
      <c r="Z901" s="298"/>
      <c r="AA901" s="298"/>
      <c r="AB901" s="298"/>
      <c r="AC901" s="298"/>
      <c r="AD901" s="298"/>
      <c r="AE901" s="298"/>
      <c r="AF901" s="298"/>
      <c r="AG901" s="298"/>
      <c r="AH901" s="298"/>
      <c r="AI901" s="298"/>
      <c r="AJ901" s="298"/>
      <c r="AK901" s="298"/>
      <c r="AL901" s="298"/>
      <c r="AM901" s="298"/>
    </row>
    <row r="902" spans="1:39" ht="15.75" customHeight="1">
      <c r="A902" s="298"/>
      <c r="B902" s="298"/>
      <c r="C902" s="1901"/>
      <c r="D902" s="1947"/>
      <c r="E902" s="1901"/>
      <c r="F902" s="1954"/>
      <c r="G902" s="1901"/>
      <c r="H902" s="1901"/>
      <c r="I902" s="1901"/>
      <c r="J902" s="1647"/>
      <c r="K902" s="1901"/>
      <c r="L902" s="1901"/>
      <c r="M902" s="1955"/>
      <c r="N902" s="1956"/>
      <c r="O902" s="1955"/>
      <c r="P902" s="1955"/>
      <c r="Q902" s="1956"/>
      <c r="R902" s="493"/>
      <c r="S902" s="493"/>
      <c r="T902" s="493"/>
      <c r="U902" s="493"/>
      <c r="V902" s="298"/>
      <c r="W902" s="298"/>
      <c r="X902" s="298"/>
      <c r="Y902" s="298"/>
      <c r="Z902" s="298"/>
      <c r="AA902" s="298"/>
      <c r="AB902" s="298"/>
      <c r="AC902" s="298"/>
      <c r="AD902" s="298"/>
      <c r="AE902" s="298"/>
      <c r="AF902" s="298"/>
      <c r="AG902" s="298"/>
      <c r="AH902" s="298"/>
      <c r="AI902" s="298"/>
      <c r="AJ902" s="298"/>
      <c r="AK902" s="298"/>
      <c r="AL902" s="298"/>
      <c r="AM902" s="298"/>
    </row>
    <row r="903" spans="1:39" ht="15.75" customHeight="1">
      <c r="A903" s="298"/>
      <c r="B903" s="298"/>
      <c r="C903" s="1901"/>
      <c r="D903" s="1947"/>
      <c r="E903" s="1901"/>
      <c r="F903" s="1954"/>
      <c r="G903" s="1901"/>
      <c r="H903" s="1901"/>
      <c r="I903" s="1901"/>
      <c r="J903" s="1647"/>
      <c r="K903" s="1901"/>
      <c r="L903" s="1901"/>
      <c r="M903" s="1955"/>
      <c r="N903" s="1956"/>
      <c r="O903" s="1955"/>
      <c r="P903" s="1955"/>
      <c r="Q903" s="1956"/>
      <c r="R903" s="493"/>
      <c r="S903" s="493"/>
      <c r="T903" s="493"/>
      <c r="U903" s="493"/>
      <c r="V903" s="298"/>
      <c r="W903" s="298"/>
      <c r="X903" s="298"/>
      <c r="Y903" s="298"/>
      <c r="Z903" s="298"/>
      <c r="AA903" s="298"/>
      <c r="AB903" s="298"/>
      <c r="AC903" s="298"/>
      <c r="AD903" s="298"/>
      <c r="AE903" s="298"/>
      <c r="AF903" s="298"/>
      <c r="AG903" s="298"/>
      <c r="AH903" s="298"/>
      <c r="AI903" s="298"/>
      <c r="AJ903" s="298"/>
      <c r="AK903" s="298"/>
      <c r="AL903" s="298"/>
      <c r="AM903" s="298"/>
    </row>
    <row r="904" spans="1:39" ht="15.75" customHeight="1">
      <c r="A904" s="298"/>
      <c r="B904" s="298"/>
      <c r="C904" s="1901"/>
      <c r="D904" s="1947"/>
      <c r="E904" s="1901"/>
      <c r="F904" s="1954"/>
      <c r="G904" s="1901"/>
      <c r="H904" s="1901"/>
      <c r="I904" s="1901"/>
      <c r="J904" s="1647"/>
      <c r="K904" s="1901"/>
      <c r="L904" s="1901"/>
      <c r="M904" s="1955"/>
      <c r="N904" s="1956"/>
      <c r="O904" s="1955"/>
      <c r="P904" s="1955"/>
      <c r="Q904" s="1956"/>
      <c r="R904" s="493"/>
      <c r="S904" s="493"/>
      <c r="T904" s="493"/>
      <c r="U904" s="493"/>
      <c r="V904" s="298"/>
      <c r="W904" s="298"/>
      <c r="X904" s="298"/>
      <c r="Y904" s="298"/>
      <c r="Z904" s="298"/>
      <c r="AA904" s="298"/>
      <c r="AB904" s="298"/>
      <c r="AC904" s="298"/>
      <c r="AD904" s="298"/>
      <c r="AE904" s="298"/>
      <c r="AF904" s="298"/>
      <c r="AG904" s="298"/>
      <c r="AH904" s="298"/>
      <c r="AI904" s="298"/>
      <c r="AJ904" s="298"/>
      <c r="AK904" s="298"/>
      <c r="AL904" s="298"/>
      <c r="AM904" s="298"/>
    </row>
    <row r="905" spans="1:39" ht="15.75" customHeight="1">
      <c r="A905" s="298"/>
      <c r="B905" s="298"/>
      <c r="C905" s="1901"/>
      <c r="D905" s="1947"/>
      <c r="E905" s="1901"/>
      <c r="F905" s="1954"/>
      <c r="G905" s="1901"/>
      <c r="H905" s="1901"/>
      <c r="I905" s="1901"/>
      <c r="J905" s="1647"/>
      <c r="K905" s="1901"/>
      <c r="L905" s="1901"/>
      <c r="M905" s="1955"/>
      <c r="N905" s="1956"/>
      <c r="O905" s="1955"/>
      <c r="P905" s="1955"/>
      <c r="Q905" s="1956"/>
      <c r="R905" s="493"/>
      <c r="S905" s="493"/>
      <c r="T905" s="493"/>
      <c r="U905" s="493"/>
      <c r="V905" s="298"/>
      <c r="W905" s="298"/>
      <c r="X905" s="298"/>
      <c r="Y905" s="298"/>
      <c r="Z905" s="298"/>
      <c r="AA905" s="298"/>
      <c r="AB905" s="298"/>
      <c r="AC905" s="298"/>
      <c r="AD905" s="298"/>
      <c r="AE905" s="298"/>
      <c r="AF905" s="298"/>
      <c r="AG905" s="298"/>
      <c r="AH905" s="298"/>
      <c r="AI905" s="298"/>
      <c r="AJ905" s="298"/>
      <c r="AK905" s="298"/>
      <c r="AL905" s="298"/>
      <c r="AM905" s="298"/>
    </row>
    <row r="906" spans="1:39" ht="15.75" customHeight="1">
      <c r="A906" s="298"/>
      <c r="B906" s="298"/>
      <c r="C906" s="1901"/>
      <c r="D906" s="1947"/>
      <c r="E906" s="1901"/>
      <c r="F906" s="1954"/>
      <c r="G906" s="1901"/>
      <c r="H906" s="1901"/>
      <c r="I906" s="1901"/>
      <c r="J906" s="1647"/>
      <c r="K906" s="1901"/>
      <c r="L906" s="1901"/>
      <c r="M906" s="1955"/>
      <c r="N906" s="1956"/>
      <c r="O906" s="1955"/>
      <c r="P906" s="1955"/>
      <c r="Q906" s="1956"/>
      <c r="R906" s="493"/>
      <c r="S906" s="493"/>
      <c r="T906" s="493"/>
      <c r="U906" s="493"/>
      <c r="V906" s="298"/>
      <c r="W906" s="298"/>
      <c r="X906" s="298"/>
      <c r="Y906" s="298"/>
      <c r="Z906" s="298"/>
      <c r="AA906" s="298"/>
      <c r="AB906" s="298"/>
      <c r="AC906" s="298"/>
      <c r="AD906" s="298"/>
      <c r="AE906" s="298"/>
      <c r="AF906" s="298"/>
      <c r="AG906" s="298"/>
      <c r="AH906" s="298"/>
      <c r="AI906" s="298"/>
      <c r="AJ906" s="298"/>
      <c r="AK906" s="298"/>
      <c r="AL906" s="298"/>
      <c r="AM906" s="298"/>
    </row>
    <row r="907" spans="1:39" ht="15.75" customHeight="1">
      <c r="A907" s="298"/>
      <c r="B907" s="298"/>
      <c r="C907" s="1901"/>
      <c r="D907" s="1947"/>
      <c r="E907" s="1901"/>
      <c r="F907" s="1954"/>
      <c r="G907" s="1901"/>
      <c r="H907" s="1901"/>
      <c r="I907" s="1901"/>
      <c r="J907" s="1647"/>
      <c r="K907" s="1901"/>
      <c r="L907" s="1901"/>
      <c r="M907" s="1955"/>
      <c r="N907" s="1956"/>
      <c r="O907" s="1955"/>
      <c r="P907" s="1955"/>
      <c r="Q907" s="1956"/>
      <c r="R907" s="493"/>
      <c r="S907" s="493"/>
      <c r="T907" s="493"/>
      <c r="U907" s="493"/>
      <c r="V907" s="298"/>
      <c r="W907" s="298"/>
      <c r="X907" s="298"/>
      <c r="Y907" s="298"/>
      <c r="Z907" s="298"/>
      <c r="AA907" s="298"/>
      <c r="AB907" s="298"/>
      <c r="AC907" s="298"/>
      <c r="AD907" s="298"/>
      <c r="AE907" s="298"/>
      <c r="AF907" s="298"/>
      <c r="AG907" s="298"/>
      <c r="AH907" s="298"/>
      <c r="AI907" s="298"/>
      <c r="AJ907" s="298"/>
      <c r="AK907" s="298"/>
      <c r="AL907" s="298"/>
      <c r="AM907" s="298"/>
    </row>
    <row r="908" spans="1:39" ht="15.75" customHeight="1">
      <c r="A908" s="298"/>
      <c r="B908" s="298"/>
      <c r="C908" s="1901"/>
      <c r="D908" s="1947"/>
      <c r="E908" s="1901"/>
      <c r="F908" s="1954"/>
      <c r="G908" s="1901"/>
      <c r="H908" s="1901"/>
      <c r="I908" s="1901"/>
      <c r="J908" s="1647"/>
      <c r="K908" s="1901"/>
      <c r="L908" s="1901"/>
      <c r="M908" s="1955"/>
      <c r="N908" s="1956"/>
      <c r="O908" s="1955"/>
      <c r="P908" s="1955"/>
      <c r="Q908" s="1956"/>
      <c r="R908" s="493"/>
      <c r="S908" s="493"/>
      <c r="T908" s="493"/>
      <c r="U908" s="493"/>
      <c r="V908" s="298"/>
      <c r="W908" s="298"/>
      <c r="X908" s="298"/>
      <c r="Y908" s="298"/>
      <c r="Z908" s="298"/>
      <c r="AA908" s="298"/>
      <c r="AB908" s="298"/>
      <c r="AC908" s="298"/>
      <c r="AD908" s="298"/>
      <c r="AE908" s="298"/>
      <c r="AF908" s="298"/>
      <c r="AG908" s="298"/>
      <c r="AH908" s="298"/>
      <c r="AI908" s="298"/>
      <c r="AJ908" s="298"/>
      <c r="AK908" s="298"/>
      <c r="AL908" s="298"/>
      <c r="AM908" s="298"/>
    </row>
    <row r="909" spans="1:39" ht="15.75" customHeight="1">
      <c r="A909" s="298"/>
      <c r="B909" s="298"/>
      <c r="C909" s="1901"/>
      <c r="D909" s="1947"/>
      <c r="E909" s="1901"/>
      <c r="F909" s="1954"/>
      <c r="G909" s="1901"/>
      <c r="H909" s="1901"/>
      <c r="I909" s="1901"/>
      <c r="J909" s="1647"/>
      <c r="K909" s="1901"/>
      <c r="L909" s="1901"/>
      <c r="M909" s="1955"/>
      <c r="N909" s="1956"/>
      <c r="O909" s="1955"/>
      <c r="P909" s="1955"/>
      <c r="Q909" s="1956"/>
      <c r="R909" s="493"/>
      <c r="S909" s="493"/>
      <c r="T909" s="493"/>
      <c r="U909" s="493"/>
      <c r="V909" s="298"/>
      <c r="W909" s="298"/>
      <c r="X909" s="298"/>
      <c r="Y909" s="298"/>
      <c r="Z909" s="298"/>
      <c r="AA909" s="298"/>
      <c r="AB909" s="298"/>
      <c r="AC909" s="298"/>
      <c r="AD909" s="298"/>
      <c r="AE909" s="298"/>
      <c r="AF909" s="298"/>
      <c r="AG909" s="298"/>
      <c r="AH909" s="298"/>
      <c r="AI909" s="298"/>
      <c r="AJ909" s="298"/>
      <c r="AK909" s="298"/>
      <c r="AL909" s="298"/>
      <c r="AM909" s="298"/>
    </row>
    <row r="910" spans="1:39" ht="15.75" customHeight="1">
      <c r="A910" s="298"/>
      <c r="B910" s="298"/>
      <c r="C910" s="1901"/>
      <c r="D910" s="1947"/>
      <c r="E910" s="1901"/>
      <c r="F910" s="1954"/>
      <c r="G910" s="1901"/>
      <c r="H910" s="1901"/>
      <c r="I910" s="1901"/>
      <c r="J910" s="1647"/>
      <c r="K910" s="1901"/>
      <c r="L910" s="1901"/>
      <c r="M910" s="1955"/>
      <c r="N910" s="1956"/>
      <c r="O910" s="1955"/>
      <c r="P910" s="1955"/>
      <c r="Q910" s="1956"/>
      <c r="R910" s="493"/>
      <c r="S910" s="493"/>
      <c r="T910" s="493"/>
      <c r="U910" s="493"/>
      <c r="V910" s="298"/>
      <c r="W910" s="298"/>
      <c r="X910" s="298"/>
      <c r="Y910" s="298"/>
      <c r="Z910" s="298"/>
      <c r="AA910" s="298"/>
      <c r="AB910" s="298"/>
      <c r="AC910" s="298"/>
      <c r="AD910" s="298"/>
      <c r="AE910" s="298"/>
      <c r="AF910" s="298"/>
      <c r="AG910" s="298"/>
      <c r="AH910" s="298"/>
      <c r="AI910" s="298"/>
      <c r="AJ910" s="298"/>
      <c r="AK910" s="298"/>
      <c r="AL910" s="298"/>
      <c r="AM910" s="298"/>
    </row>
    <row r="911" spans="1:39" ht="15.75" customHeight="1">
      <c r="A911" s="298"/>
      <c r="B911" s="298"/>
      <c r="C911" s="1901"/>
      <c r="D911" s="1947"/>
      <c r="E911" s="1901"/>
      <c r="F911" s="1954"/>
      <c r="G911" s="1901"/>
      <c r="H911" s="1901"/>
      <c r="I911" s="1901"/>
      <c r="J911" s="1647"/>
      <c r="K911" s="1901"/>
      <c r="L911" s="1901"/>
      <c r="M911" s="1955"/>
      <c r="N911" s="1956"/>
      <c r="O911" s="1955"/>
      <c r="P911" s="1955"/>
      <c r="Q911" s="1956"/>
      <c r="R911" s="493"/>
      <c r="S911" s="493"/>
      <c r="T911" s="493"/>
      <c r="U911" s="493"/>
      <c r="V911" s="298"/>
      <c r="W911" s="298"/>
      <c r="X911" s="298"/>
      <c r="Y911" s="298"/>
      <c r="Z911" s="298"/>
      <c r="AA911" s="298"/>
      <c r="AB911" s="298"/>
      <c r="AC911" s="298"/>
      <c r="AD911" s="298"/>
      <c r="AE911" s="298"/>
      <c r="AF911" s="298"/>
      <c r="AG911" s="298"/>
      <c r="AH911" s="298"/>
      <c r="AI911" s="298"/>
      <c r="AJ911" s="298"/>
      <c r="AK911" s="298"/>
      <c r="AL911" s="298"/>
      <c r="AM911" s="298"/>
    </row>
    <row r="912" spans="1:39" ht="15.75" customHeight="1">
      <c r="A912" s="298"/>
      <c r="B912" s="298"/>
      <c r="C912" s="1901"/>
      <c r="D912" s="1947"/>
      <c r="E912" s="1901"/>
      <c r="F912" s="1954"/>
      <c r="G912" s="1901"/>
      <c r="H912" s="1901"/>
      <c r="I912" s="1901"/>
      <c r="J912" s="1647"/>
      <c r="K912" s="1901"/>
      <c r="L912" s="1901"/>
      <c r="M912" s="1955"/>
      <c r="N912" s="1956"/>
      <c r="O912" s="1955"/>
      <c r="P912" s="1955"/>
      <c r="Q912" s="1956"/>
      <c r="R912" s="493"/>
      <c r="S912" s="493"/>
      <c r="T912" s="493"/>
      <c r="U912" s="493"/>
      <c r="V912" s="298"/>
      <c r="W912" s="298"/>
      <c r="X912" s="298"/>
      <c r="Y912" s="298"/>
      <c r="Z912" s="298"/>
      <c r="AA912" s="298"/>
      <c r="AB912" s="298"/>
      <c r="AC912" s="298"/>
      <c r="AD912" s="298"/>
      <c r="AE912" s="298"/>
      <c r="AF912" s="298"/>
      <c r="AG912" s="298"/>
      <c r="AH912" s="298"/>
      <c r="AI912" s="298"/>
      <c r="AJ912" s="298"/>
      <c r="AK912" s="298"/>
      <c r="AL912" s="298"/>
      <c r="AM912" s="298"/>
    </row>
    <row r="913" spans="1:39" ht="15.75" customHeight="1">
      <c r="A913" s="298"/>
      <c r="B913" s="298"/>
      <c r="C913" s="1901"/>
      <c r="D913" s="1947"/>
      <c r="E913" s="1901"/>
      <c r="F913" s="1954"/>
      <c r="G913" s="1901"/>
      <c r="H913" s="1901"/>
      <c r="I913" s="1901"/>
      <c r="J913" s="1647"/>
      <c r="K913" s="1901"/>
      <c r="L913" s="1901"/>
      <c r="M913" s="1955"/>
      <c r="N913" s="1956"/>
      <c r="O913" s="1955"/>
      <c r="P913" s="1955"/>
      <c r="Q913" s="1956"/>
      <c r="R913" s="493"/>
      <c r="S913" s="493"/>
      <c r="T913" s="493"/>
      <c r="U913" s="493"/>
      <c r="V913" s="298"/>
      <c r="W913" s="298"/>
      <c r="X913" s="298"/>
      <c r="Y913" s="298"/>
      <c r="Z913" s="298"/>
      <c r="AA913" s="298"/>
      <c r="AB913" s="298"/>
      <c r="AC913" s="298"/>
      <c r="AD913" s="298"/>
      <c r="AE913" s="298"/>
      <c r="AF913" s="298"/>
      <c r="AG913" s="298"/>
      <c r="AH913" s="298"/>
      <c r="AI913" s="298"/>
      <c r="AJ913" s="298"/>
      <c r="AK913" s="298"/>
      <c r="AL913" s="298"/>
      <c r="AM913" s="298"/>
    </row>
    <row r="914" spans="1:39" ht="15.75" customHeight="1">
      <c r="A914" s="298"/>
      <c r="B914" s="298"/>
      <c r="C914" s="1901"/>
      <c r="D914" s="1947"/>
      <c r="E914" s="1901"/>
      <c r="F914" s="1954"/>
      <c r="G914" s="1901"/>
      <c r="H914" s="1901"/>
      <c r="I914" s="1901"/>
      <c r="J914" s="1647"/>
      <c r="K914" s="1901"/>
      <c r="L914" s="1901"/>
      <c r="M914" s="1955"/>
      <c r="N914" s="1956"/>
      <c r="O914" s="1955"/>
      <c r="P914" s="1955"/>
      <c r="Q914" s="1956"/>
      <c r="R914" s="493"/>
      <c r="S914" s="493"/>
      <c r="T914" s="493"/>
      <c r="U914" s="493"/>
      <c r="V914" s="298"/>
      <c r="W914" s="298"/>
      <c r="X914" s="298"/>
      <c r="Y914" s="298"/>
      <c r="Z914" s="298"/>
      <c r="AA914" s="298"/>
      <c r="AB914" s="298"/>
      <c r="AC914" s="298"/>
      <c r="AD914" s="298"/>
      <c r="AE914" s="298"/>
      <c r="AF914" s="298"/>
      <c r="AG914" s="298"/>
      <c r="AH914" s="298"/>
      <c r="AI914" s="298"/>
      <c r="AJ914" s="298"/>
      <c r="AK914" s="298"/>
      <c r="AL914" s="298"/>
      <c r="AM914" s="298"/>
    </row>
    <row r="915" spans="1:39" ht="15.75" customHeight="1">
      <c r="A915" s="298"/>
      <c r="B915" s="298"/>
      <c r="C915" s="1901"/>
      <c r="D915" s="1947"/>
      <c r="E915" s="1901"/>
      <c r="F915" s="1954"/>
      <c r="G915" s="1901"/>
      <c r="H915" s="1901"/>
      <c r="I915" s="1901"/>
      <c r="J915" s="1647"/>
      <c r="K915" s="1901"/>
      <c r="L915" s="1901"/>
      <c r="M915" s="1955"/>
      <c r="N915" s="1956"/>
      <c r="O915" s="1955"/>
      <c r="P915" s="1955"/>
      <c r="Q915" s="1956"/>
      <c r="R915" s="493"/>
      <c r="S915" s="493"/>
      <c r="T915" s="493"/>
      <c r="U915" s="493"/>
      <c r="V915" s="298"/>
      <c r="W915" s="298"/>
      <c r="X915" s="298"/>
      <c r="Y915" s="298"/>
      <c r="Z915" s="298"/>
      <c r="AA915" s="298"/>
      <c r="AB915" s="298"/>
      <c r="AC915" s="298"/>
      <c r="AD915" s="298"/>
      <c r="AE915" s="298"/>
      <c r="AF915" s="298"/>
      <c r="AG915" s="298"/>
      <c r="AH915" s="298"/>
      <c r="AI915" s="298"/>
      <c r="AJ915" s="298"/>
      <c r="AK915" s="298"/>
      <c r="AL915" s="298"/>
      <c r="AM915" s="298"/>
    </row>
    <row r="916" spans="1:39" ht="15.75" customHeight="1">
      <c r="A916" s="298"/>
      <c r="B916" s="298"/>
      <c r="C916" s="1901"/>
      <c r="D916" s="1947"/>
      <c r="E916" s="1901"/>
      <c r="F916" s="1954"/>
      <c r="G916" s="1901"/>
      <c r="H916" s="1901"/>
      <c r="I916" s="1901"/>
      <c r="J916" s="1647"/>
      <c r="K916" s="1901"/>
      <c r="L916" s="1901"/>
      <c r="M916" s="1955"/>
      <c r="N916" s="1956"/>
      <c r="O916" s="1955"/>
      <c r="P916" s="1955"/>
      <c r="Q916" s="1956"/>
      <c r="R916" s="493"/>
      <c r="S916" s="493"/>
      <c r="T916" s="493"/>
      <c r="U916" s="493"/>
      <c r="V916" s="298"/>
      <c r="W916" s="298"/>
      <c r="X916" s="298"/>
      <c r="Y916" s="298"/>
      <c r="Z916" s="298"/>
      <c r="AA916" s="298"/>
      <c r="AB916" s="298"/>
      <c r="AC916" s="298"/>
      <c r="AD916" s="298"/>
      <c r="AE916" s="298"/>
      <c r="AF916" s="298"/>
      <c r="AG916" s="298"/>
      <c r="AH916" s="298"/>
      <c r="AI916" s="298"/>
      <c r="AJ916" s="298"/>
      <c r="AK916" s="298"/>
      <c r="AL916" s="298"/>
      <c r="AM916" s="298"/>
    </row>
    <row r="917" spans="1:39" ht="15.75" customHeight="1">
      <c r="A917" s="298"/>
      <c r="B917" s="298"/>
      <c r="C917" s="1901"/>
      <c r="D917" s="1947"/>
      <c r="E917" s="1901"/>
      <c r="F917" s="1954"/>
      <c r="G917" s="1901"/>
      <c r="H917" s="1901"/>
      <c r="I917" s="1901"/>
      <c r="J917" s="1647"/>
      <c r="K917" s="1901"/>
      <c r="L917" s="1901"/>
      <c r="M917" s="1955"/>
      <c r="N917" s="1956"/>
      <c r="O917" s="1955"/>
      <c r="P917" s="1955"/>
      <c r="Q917" s="1956"/>
      <c r="R917" s="493"/>
      <c r="S917" s="493"/>
      <c r="T917" s="493"/>
      <c r="U917" s="493"/>
      <c r="V917" s="298"/>
      <c r="W917" s="298"/>
      <c r="X917" s="298"/>
      <c r="Y917" s="298"/>
      <c r="Z917" s="298"/>
      <c r="AA917" s="298"/>
      <c r="AB917" s="298"/>
      <c r="AC917" s="298"/>
      <c r="AD917" s="298"/>
      <c r="AE917" s="298"/>
      <c r="AF917" s="298"/>
      <c r="AG917" s="298"/>
      <c r="AH917" s="298"/>
      <c r="AI917" s="298"/>
      <c r="AJ917" s="298"/>
      <c r="AK917" s="298"/>
      <c r="AL917" s="298"/>
      <c r="AM917" s="298"/>
    </row>
    <row r="918" spans="1:39" ht="15.75" customHeight="1">
      <c r="A918" s="298"/>
      <c r="B918" s="298"/>
      <c r="C918" s="1901"/>
      <c r="D918" s="1947"/>
      <c r="E918" s="1901"/>
      <c r="F918" s="1954"/>
      <c r="G918" s="1901"/>
      <c r="H918" s="1901"/>
      <c r="I918" s="1901"/>
      <c r="J918" s="1647"/>
      <c r="K918" s="1901"/>
      <c r="L918" s="1901"/>
      <c r="M918" s="1955"/>
      <c r="N918" s="1956"/>
      <c r="O918" s="1955"/>
      <c r="P918" s="1955"/>
      <c r="Q918" s="1956"/>
      <c r="R918" s="493"/>
      <c r="S918" s="493"/>
      <c r="T918" s="493"/>
      <c r="U918" s="493"/>
      <c r="V918" s="298"/>
      <c r="W918" s="298"/>
      <c r="X918" s="298"/>
      <c r="Y918" s="298"/>
      <c r="Z918" s="298"/>
      <c r="AA918" s="298"/>
      <c r="AB918" s="298"/>
      <c r="AC918" s="298"/>
      <c r="AD918" s="298"/>
      <c r="AE918" s="298"/>
      <c r="AF918" s="298"/>
      <c r="AG918" s="298"/>
      <c r="AH918" s="298"/>
      <c r="AI918" s="298"/>
      <c r="AJ918" s="298"/>
      <c r="AK918" s="298"/>
      <c r="AL918" s="298"/>
      <c r="AM918" s="298"/>
    </row>
    <row r="919" spans="1:39" ht="15.75" customHeight="1">
      <c r="A919" s="298"/>
      <c r="B919" s="298"/>
      <c r="C919" s="1901"/>
      <c r="D919" s="1947"/>
      <c r="E919" s="1901"/>
      <c r="F919" s="1954"/>
      <c r="G919" s="1901"/>
      <c r="H919" s="1901"/>
      <c r="I919" s="1901"/>
      <c r="J919" s="1647"/>
      <c r="K919" s="1901"/>
      <c r="L919" s="1901"/>
      <c r="M919" s="1955"/>
      <c r="N919" s="1956"/>
      <c r="O919" s="1955"/>
      <c r="P919" s="1955"/>
      <c r="Q919" s="1956"/>
      <c r="R919" s="493"/>
      <c r="S919" s="493"/>
      <c r="T919" s="493"/>
      <c r="U919" s="493"/>
      <c r="V919" s="298"/>
      <c r="W919" s="298"/>
      <c r="X919" s="298"/>
      <c r="Y919" s="298"/>
      <c r="Z919" s="298"/>
      <c r="AA919" s="298"/>
      <c r="AB919" s="298"/>
      <c r="AC919" s="298"/>
      <c r="AD919" s="298"/>
      <c r="AE919" s="298"/>
      <c r="AF919" s="298"/>
      <c r="AG919" s="298"/>
      <c r="AH919" s="298"/>
      <c r="AI919" s="298"/>
      <c r="AJ919" s="298"/>
      <c r="AK919" s="298"/>
      <c r="AL919" s="298"/>
      <c r="AM919" s="298"/>
    </row>
    <row r="920" spans="1:39" ht="15.75" customHeight="1">
      <c r="A920" s="298"/>
      <c r="B920" s="298"/>
      <c r="C920" s="1901"/>
      <c r="D920" s="1947"/>
      <c r="E920" s="1901"/>
      <c r="F920" s="1954"/>
      <c r="G920" s="1901"/>
      <c r="H920" s="1901"/>
      <c r="I920" s="1901"/>
      <c r="J920" s="1647"/>
      <c r="K920" s="1901"/>
      <c r="L920" s="1901"/>
      <c r="M920" s="1955"/>
      <c r="N920" s="1956"/>
      <c r="O920" s="1955"/>
      <c r="P920" s="1955"/>
      <c r="Q920" s="1956"/>
      <c r="R920" s="493"/>
      <c r="S920" s="493"/>
      <c r="T920" s="493"/>
      <c r="U920" s="493"/>
      <c r="V920" s="298"/>
      <c r="W920" s="298"/>
      <c r="X920" s="298"/>
      <c r="Y920" s="298"/>
      <c r="Z920" s="298"/>
      <c r="AA920" s="298"/>
      <c r="AB920" s="298"/>
      <c r="AC920" s="298"/>
      <c r="AD920" s="298"/>
      <c r="AE920" s="298"/>
      <c r="AF920" s="298"/>
      <c r="AG920" s="298"/>
      <c r="AH920" s="298"/>
      <c r="AI920" s="298"/>
      <c r="AJ920" s="298"/>
      <c r="AK920" s="298"/>
      <c r="AL920" s="298"/>
      <c r="AM920" s="298"/>
    </row>
    <row r="921" spans="1:39" ht="15.75" customHeight="1">
      <c r="A921" s="298"/>
      <c r="B921" s="298"/>
      <c r="C921" s="1901"/>
      <c r="D921" s="1947"/>
      <c r="E921" s="1901"/>
      <c r="F921" s="1954"/>
      <c r="G921" s="1901"/>
      <c r="H921" s="1901"/>
      <c r="I921" s="1901"/>
      <c r="J921" s="1647"/>
      <c r="K921" s="1901"/>
      <c r="L921" s="1901"/>
      <c r="M921" s="1955"/>
      <c r="N921" s="1956"/>
      <c r="O921" s="1955"/>
      <c r="P921" s="1955"/>
      <c r="Q921" s="1956"/>
      <c r="R921" s="493"/>
      <c r="S921" s="493"/>
      <c r="T921" s="493"/>
      <c r="U921" s="493"/>
      <c r="V921" s="298"/>
      <c r="W921" s="298"/>
      <c r="X921" s="298"/>
      <c r="Y921" s="298"/>
      <c r="Z921" s="298"/>
      <c r="AA921" s="298"/>
      <c r="AB921" s="298"/>
      <c r="AC921" s="298"/>
      <c r="AD921" s="298"/>
      <c r="AE921" s="298"/>
      <c r="AF921" s="298"/>
      <c r="AG921" s="298"/>
      <c r="AH921" s="298"/>
      <c r="AI921" s="298"/>
      <c r="AJ921" s="298"/>
      <c r="AK921" s="298"/>
      <c r="AL921" s="298"/>
      <c r="AM921" s="298"/>
    </row>
    <row r="922" spans="1:39" ht="15.75" customHeight="1">
      <c r="A922" s="298"/>
      <c r="B922" s="298"/>
      <c r="C922" s="1901"/>
      <c r="D922" s="1947"/>
      <c r="E922" s="1901"/>
      <c r="F922" s="1954"/>
      <c r="G922" s="1901"/>
      <c r="H922" s="1901"/>
      <c r="I922" s="1901"/>
      <c r="J922" s="1647"/>
      <c r="K922" s="1901"/>
      <c r="L922" s="1901"/>
      <c r="M922" s="1955"/>
      <c r="N922" s="1956"/>
      <c r="O922" s="1955"/>
      <c r="P922" s="1955"/>
      <c r="Q922" s="1956"/>
      <c r="R922" s="493"/>
      <c r="S922" s="493"/>
      <c r="T922" s="493"/>
      <c r="U922" s="493"/>
      <c r="V922" s="298"/>
      <c r="W922" s="298"/>
      <c r="X922" s="298"/>
      <c r="Y922" s="298"/>
      <c r="Z922" s="298"/>
      <c r="AA922" s="298"/>
      <c r="AB922" s="298"/>
      <c r="AC922" s="298"/>
      <c r="AD922" s="298"/>
      <c r="AE922" s="298"/>
      <c r="AF922" s="298"/>
      <c r="AG922" s="298"/>
      <c r="AH922" s="298"/>
      <c r="AI922" s="298"/>
      <c r="AJ922" s="298"/>
      <c r="AK922" s="298"/>
      <c r="AL922" s="298"/>
      <c r="AM922" s="298"/>
    </row>
    <row r="923" spans="1:39" ht="15.75" customHeight="1">
      <c r="A923" s="298"/>
      <c r="B923" s="298"/>
      <c r="C923" s="1901"/>
      <c r="D923" s="1947"/>
      <c r="E923" s="1901"/>
      <c r="F923" s="1954"/>
      <c r="G923" s="1901"/>
      <c r="H923" s="1901"/>
      <c r="I923" s="1901"/>
      <c r="J923" s="1647"/>
      <c r="K923" s="1901"/>
      <c r="L923" s="1901"/>
      <c r="M923" s="1955"/>
      <c r="N923" s="1956"/>
      <c r="O923" s="1955"/>
      <c r="P923" s="1955"/>
      <c r="Q923" s="1956"/>
      <c r="R923" s="493"/>
      <c r="S923" s="493"/>
      <c r="T923" s="493"/>
      <c r="U923" s="493"/>
      <c r="V923" s="298"/>
      <c r="W923" s="298"/>
      <c r="X923" s="298"/>
      <c r="Y923" s="298"/>
      <c r="Z923" s="298"/>
      <c r="AA923" s="298"/>
      <c r="AB923" s="298"/>
      <c r="AC923" s="298"/>
      <c r="AD923" s="298"/>
      <c r="AE923" s="298"/>
      <c r="AF923" s="298"/>
      <c r="AG923" s="298"/>
      <c r="AH923" s="298"/>
      <c r="AI923" s="298"/>
      <c r="AJ923" s="298"/>
      <c r="AK923" s="298"/>
      <c r="AL923" s="298"/>
      <c r="AM923" s="298"/>
    </row>
    <row r="924" spans="1:39" ht="15.75" customHeight="1">
      <c r="A924" s="298"/>
      <c r="B924" s="298"/>
      <c r="C924" s="1901"/>
      <c r="D924" s="1947"/>
      <c r="E924" s="1901"/>
      <c r="F924" s="1954"/>
      <c r="G924" s="1901"/>
      <c r="H924" s="1901"/>
      <c r="I924" s="1901"/>
      <c r="J924" s="1647"/>
      <c r="K924" s="1901"/>
      <c r="L924" s="1901"/>
      <c r="M924" s="1955"/>
      <c r="N924" s="1956"/>
      <c r="O924" s="1955"/>
      <c r="P924" s="1955"/>
      <c r="Q924" s="1956"/>
      <c r="R924" s="493"/>
      <c r="S924" s="493"/>
      <c r="T924" s="493"/>
      <c r="U924" s="493"/>
      <c r="V924" s="298"/>
      <c r="W924" s="298"/>
      <c r="X924" s="298"/>
      <c r="Y924" s="298"/>
      <c r="Z924" s="298"/>
      <c r="AA924" s="298"/>
      <c r="AB924" s="298"/>
      <c r="AC924" s="298"/>
      <c r="AD924" s="298"/>
      <c r="AE924" s="298"/>
      <c r="AF924" s="298"/>
      <c r="AG924" s="298"/>
      <c r="AH924" s="298"/>
      <c r="AI924" s="298"/>
      <c r="AJ924" s="298"/>
      <c r="AK924" s="298"/>
      <c r="AL924" s="298"/>
      <c r="AM924" s="298"/>
    </row>
    <row r="925" spans="1:39" ht="15.75" customHeight="1">
      <c r="A925" s="298"/>
      <c r="B925" s="298"/>
      <c r="C925" s="1901"/>
      <c r="D925" s="1947"/>
      <c r="E925" s="1901"/>
      <c r="F925" s="1954"/>
      <c r="G925" s="1901"/>
      <c r="H925" s="1901"/>
      <c r="I925" s="1901"/>
      <c r="J925" s="1647"/>
      <c r="K925" s="1901"/>
      <c r="L925" s="1901"/>
      <c r="M925" s="1955"/>
      <c r="N925" s="1956"/>
      <c r="O925" s="1955"/>
      <c r="P925" s="1955"/>
      <c r="Q925" s="1956"/>
      <c r="R925" s="493"/>
      <c r="S925" s="493"/>
      <c r="T925" s="493"/>
      <c r="U925" s="493"/>
      <c r="V925" s="298"/>
      <c r="W925" s="298"/>
      <c r="X925" s="298"/>
      <c r="Y925" s="298"/>
      <c r="Z925" s="298"/>
      <c r="AA925" s="298"/>
      <c r="AB925" s="298"/>
      <c r="AC925" s="298"/>
      <c r="AD925" s="298"/>
      <c r="AE925" s="298"/>
      <c r="AF925" s="298"/>
      <c r="AG925" s="298"/>
      <c r="AH925" s="298"/>
      <c r="AI925" s="298"/>
      <c r="AJ925" s="298"/>
      <c r="AK925" s="298"/>
      <c r="AL925" s="298"/>
      <c r="AM925" s="298"/>
    </row>
    <row r="926" spans="1:39" ht="15.75" customHeight="1">
      <c r="A926" s="298"/>
      <c r="B926" s="298"/>
      <c r="C926" s="1901"/>
      <c r="D926" s="1947"/>
      <c r="E926" s="1901"/>
      <c r="F926" s="1954"/>
      <c r="G926" s="1901"/>
      <c r="H926" s="1901"/>
      <c r="I926" s="1901"/>
      <c r="J926" s="1647"/>
      <c r="K926" s="1901"/>
      <c r="L926" s="1901"/>
      <c r="M926" s="1955"/>
      <c r="N926" s="1956"/>
      <c r="O926" s="1955"/>
      <c r="P926" s="1955"/>
      <c r="Q926" s="1956"/>
      <c r="R926" s="493"/>
      <c r="S926" s="493"/>
      <c r="T926" s="493"/>
      <c r="U926" s="493"/>
      <c r="V926" s="298"/>
      <c r="W926" s="298"/>
      <c r="X926" s="298"/>
      <c r="Y926" s="298"/>
      <c r="Z926" s="298"/>
      <c r="AA926" s="298"/>
      <c r="AB926" s="298"/>
      <c r="AC926" s="298"/>
      <c r="AD926" s="298"/>
      <c r="AE926" s="298"/>
      <c r="AF926" s="298"/>
      <c r="AG926" s="298"/>
      <c r="AH926" s="298"/>
      <c r="AI926" s="298"/>
      <c r="AJ926" s="298"/>
      <c r="AK926" s="298"/>
      <c r="AL926" s="298"/>
      <c r="AM926" s="298"/>
    </row>
    <row r="927" spans="1:39" ht="15.75" customHeight="1">
      <c r="A927" s="298"/>
      <c r="B927" s="298"/>
      <c r="C927" s="1901"/>
      <c r="D927" s="1947"/>
      <c r="E927" s="1901"/>
      <c r="F927" s="1954"/>
      <c r="G927" s="1901"/>
      <c r="H927" s="1901"/>
      <c r="I927" s="1901"/>
      <c r="J927" s="1647"/>
      <c r="K927" s="1901"/>
      <c r="L927" s="1901"/>
      <c r="M927" s="1955"/>
      <c r="N927" s="1956"/>
      <c r="O927" s="1955"/>
      <c r="P927" s="1955"/>
      <c r="Q927" s="1956"/>
      <c r="R927" s="493"/>
      <c r="S927" s="493"/>
      <c r="T927" s="493"/>
      <c r="U927" s="493"/>
      <c r="V927" s="298"/>
      <c r="W927" s="298"/>
      <c r="X927" s="298"/>
      <c r="Y927" s="298"/>
      <c r="Z927" s="298"/>
      <c r="AA927" s="298"/>
      <c r="AB927" s="298"/>
      <c r="AC927" s="298"/>
      <c r="AD927" s="298"/>
      <c r="AE927" s="298"/>
      <c r="AF927" s="298"/>
      <c r="AG927" s="298"/>
      <c r="AH927" s="298"/>
      <c r="AI927" s="298"/>
      <c r="AJ927" s="298"/>
      <c r="AK927" s="298"/>
      <c r="AL927" s="298"/>
      <c r="AM927" s="298"/>
    </row>
    <row r="928" spans="1:39" ht="15.75" customHeight="1">
      <c r="A928" s="298"/>
      <c r="B928" s="298"/>
      <c r="C928" s="1901"/>
      <c r="D928" s="1947"/>
      <c r="E928" s="1901"/>
      <c r="F928" s="1954"/>
      <c r="G928" s="1901"/>
      <c r="H928" s="1901"/>
      <c r="I928" s="1901"/>
      <c r="J928" s="1647"/>
      <c r="K928" s="1901"/>
      <c r="L928" s="1901"/>
      <c r="M928" s="1955"/>
      <c r="N928" s="1956"/>
      <c r="O928" s="1955"/>
      <c r="P928" s="1955"/>
      <c r="Q928" s="1956"/>
      <c r="R928" s="493"/>
      <c r="S928" s="493"/>
      <c r="T928" s="493"/>
      <c r="U928" s="493"/>
      <c r="V928" s="298"/>
      <c r="W928" s="298"/>
      <c r="X928" s="298"/>
      <c r="Y928" s="298"/>
      <c r="Z928" s="298"/>
      <c r="AA928" s="298"/>
      <c r="AB928" s="298"/>
      <c r="AC928" s="298"/>
      <c r="AD928" s="298"/>
      <c r="AE928" s="298"/>
      <c r="AF928" s="298"/>
      <c r="AG928" s="298"/>
      <c r="AH928" s="298"/>
      <c r="AI928" s="298"/>
      <c r="AJ928" s="298"/>
      <c r="AK928" s="298"/>
      <c r="AL928" s="298"/>
      <c r="AM928" s="298"/>
    </row>
    <row r="929" spans="1:39" ht="15.75" customHeight="1">
      <c r="A929" s="298"/>
      <c r="B929" s="298"/>
      <c r="C929" s="1901"/>
      <c r="D929" s="1947"/>
      <c r="E929" s="1901"/>
      <c r="F929" s="1954"/>
      <c r="G929" s="1901"/>
      <c r="H929" s="1901"/>
      <c r="I929" s="1901"/>
      <c r="J929" s="1647"/>
      <c r="K929" s="1901"/>
      <c r="L929" s="1901"/>
      <c r="M929" s="1955"/>
      <c r="N929" s="1956"/>
      <c r="O929" s="1955"/>
      <c r="P929" s="1955"/>
      <c r="Q929" s="1956"/>
      <c r="R929" s="493"/>
      <c r="S929" s="493"/>
      <c r="T929" s="493"/>
      <c r="U929" s="493"/>
      <c r="V929" s="298"/>
      <c r="W929" s="298"/>
      <c r="X929" s="298"/>
      <c r="Y929" s="298"/>
      <c r="Z929" s="298"/>
      <c r="AA929" s="298"/>
      <c r="AB929" s="298"/>
      <c r="AC929" s="298"/>
      <c r="AD929" s="298"/>
      <c r="AE929" s="298"/>
      <c r="AF929" s="298"/>
      <c r="AG929" s="298"/>
      <c r="AH929" s="298"/>
      <c r="AI929" s="298"/>
      <c r="AJ929" s="298"/>
      <c r="AK929" s="298"/>
      <c r="AL929" s="298"/>
      <c r="AM929" s="298"/>
    </row>
    <row r="930" spans="1:39" ht="15.75" customHeight="1">
      <c r="A930" s="298"/>
      <c r="B930" s="298"/>
      <c r="C930" s="1901"/>
      <c r="D930" s="1947"/>
      <c r="E930" s="1901"/>
      <c r="F930" s="1954"/>
      <c r="G930" s="1901"/>
      <c r="H930" s="1901"/>
      <c r="I930" s="1901"/>
      <c r="J930" s="1647"/>
      <c r="K930" s="1901"/>
      <c r="L930" s="1901"/>
      <c r="M930" s="1955"/>
      <c r="N930" s="1956"/>
      <c r="O930" s="1955"/>
      <c r="P930" s="1955"/>
      <c r="Q930" s="1956"/>
      <c r="R930" s="493"/>
      <c r="S930" s="493"/>
      <c r="T930" s="493"/>
      <c r="U930" s="493"/>
      <c r="V930" s="298"/>
      <c r="W930" s="298"/>
      <c r="X930" s="298"/>
      <c r="Y930" s="298"/>
      <c r="Z930" s="298"/>
      <c r="AA930" s="298"/>
      <c r="AB930" s="298"/>
      <c r="AC930" s="298"/>
      <c r="AD930" s="298"/>
      <c r="AE930" s="298"/>
      <c r="AF930" s="298"/>
      <c r="AG930" s="298"/>
      <c r="AH930" s="298"/>
      <c r="AI930" s="298"/>
      <c r="AJ930" s="298"/>
      <c r="AK930" s="298"/>
      <c r="AL930" s="298"/>
      <c r="AM930" s="298"/>
    </row>
    <row r="931" spans="1:39" ht="15.75" customHeight="1">
      <c r="A931" s="298"/>
      <c r="B931" s="298"/>
      <c r="C931" s="1901"/>
      <c r="D931" s="1947"/>
      <c r="E931" s="1901"/>
      <c r="F931" s="1954"/>
      <c r="G931" s="1901"/>
      <c r="H931" s="1901"/>
      <c r="I931" s="1901"/>
      <c r="J931" s="1647"/>
      <c r="K931" s="1901"/>
      <c r="L931" s="1901"/>
      <c r="M931" s="1955"/>
      <c r="N931" s="1956"/>
      <c r="O931" s="1955"/>
      <c r="P931" s="1955"/>
      <c r="Q931" s="1956"/>
      <c r="R931" s="493"/>
      <c r="S931" s="493"/>
      <c r="T931" s="493"/>
      <c r="U931" s="493"/>
      <c r="V931" s="298"/>
      <c r="W931" s="298"/>
      <c r="X931" s="298"/>
      <c r="Y931" s="298"/>
      <c r="Z931" s="298"/>
      <c r="AA931" s="298"/>
      <c r="AB931" s="298"/>
      <c r="AC931" s="298"/>
      <c r="AD931" s="298"/>
      <c r="AE931" s="298"/>
      <c r="AF931" s="298"/>
      <c r="AG931" s="298"/>
      <c r="AH931" s="298"/>
      <c r="AI931" s="298"/>
      <c r="AJ931" s="298"/>
      <c r="AK931" s="298"/>
      <c r="AL931" s="298"/>
      <c r="AM931" s="298"/>
    </row>
    <row r="932" spans="1:39" ht="15.75" customHeight="1">
      <c r="A932" s="298"/>
      <c r="B932" s="298"/>
      <c r="C932" s="1901"/>
      <c r="D932" s="1947"/>
      <c r="E932" s="1901"/>
      <c r="F932" s="1954"/>
      <c r="G932" s="1901"/>
      <c r="H932" s="1901"/>
      <c r="I932" s="1901"/>
      <c r="J932" s="1647"/>
      <c r="K932" s="1901"/>
      <c r="L932" s="1901"/>
      <c r="M932" s="1955"/>
      <c r="N932" s="1956"/>
      <c r="O932" s="1955"/>
      <c r="P932" s="1955"/>
      <c r="Q932" s="1956"/>
      <c r="R932" s="493"/>
      <c r="S932" s="493"/>
      <c r="T932" s="493"/>
      <c r="U932" s="493"/>
      <c r="V932" s="298"/>
      <c r="W932" s="298"/>
      <c r="X932" s="298"/>
      <c r="Y932" s="298"/>
      <c r="Z932" s="298"/>
      <c r="AA932" s="298"/>
      <c r="AB932" s="298"/>
      <c r="AC932" s="298"/>
      <c r="AD932" s="298"/>
      <c r="AE932" s="298"/>
      <c r="AF932" s="298"/>
      <c r="AG932" s="298"/>
      <c r="AH932" s="298"/>
      <c r="AI932" s="298"/>
      <c r="AJ932" s="298"/>
      <c r="AK932" s="298"/>
      <c r="AL932" s="298"/>
      <c r="AM932" s="298"/>
    </row>
    <row r="933" spans="1:39" ht="15.75" customHeight="1">
      <c r="A933" s="298"/>
      <c r="B933" s="298"/>
      <c r="C933" s="1901"/>
      <c r="D933" s="1947"/>
      <c r="E933" s="1901"/>
      <c r="F933" s="1954"/>
      <c r="G933" s="1901"/>
      <c r="H933" s="1901"/>
      <c r="I933" s="1901"/>
      <c r="J933" s="1647"/>
      <c r="K933" s="1901"/>
      <c r="L933" s="1901"/>
      <c r="M933" s="1955"/>
      <c r="N933" s="1956"/>
      <c r="O933" s="1955"/>
      <c r="P933" s="1955"/>
      <c r="Q933" s="1956"/>
      <c r="R933" s="493"/>
      <c r="S933" s="493"/>
      <c r="T933" s="493"/>
      <c r="U933" s="493"/>
      <c r="V933" s="298"/>
      <c r="W933" s="298"/>
      <c r="X933" s="298"/>
      <c r="Y933" s="298"/>
      <c r="Z933" s="298"/>
      <c r="AA933" s="298"/>
      <c r="AB933" s="298"/>
      <c r="AC933" s="298"/>
      <c r="AD933" s="298"/>
      <c r="AE933" s="298"/>
      <c r="AF933" s="298"/>
      <c r="AG933" s="298"/>
      <c r="AH933" s="298"/>
      <c r="AI933" s="298"/>
      <c r="AJ933" s="298"/>
      <c r="AK933" s="298"/>
      <c r="AL933" s="298"/>
      <c r="AM933" s="298"/>
    </row>
    <row r="934" spans="1:39" ht="15.75" customHeight="1">
      <c r="A934" s="298"/>
      <c r="B934" s="298"/>
      <c r="C934" s="1901"/>
      <c r="D934" s="1947"/>
      <c r="E934" s="1901"/>
      <c r="F934" s="1954"/>
      <c r="G934" s="1901"/>
      <c r="H934" s="1901"/>
      <c r="I934" s="1901"/>
      <c r="J934" s="1647"/>
      <c r="K934" s="1901"/>
      <c r="L934" s="1901"/>
      <c r="M934" s="1955"/>
      <c r="N934" s="1956"/>
      <c r="O934" s="1955"/>
      <c r="P934" s="1955"/>
      <c r="Q934" s="1956"/>
      <c r="R934" s="493"/>
      <c r="S934" s="493"/>
      <c r="T934" s="493"/>
      <c r="U934" s="493"/>
      <c r="V934" s="298"/>
      <c r="W934" s="298"/>
      <c r="X934" s="298"/>
      <c r="Y934" s="298"/>
      <c r="Z934" s="298"/>
      <c r="AA934" s="298"/>
      <c r="AB934" s="298"/>
      <c r="AC934" s="298"/>
      <c r="AD934" s="298"/>
      <c r="AE934" s="298"/>
      <c r="AF934" s="298"/>
      <c r="AG934" s="298"/>
      <c r="AH934" s="298"/>
      <c r="AI934" s="298"/>
      <c r="AJ934" s="298"/>
      <c r="AK934" s="298"/>
      <c r="AL934" s="298"/>
      <c r="AM934" s="298"/>
    </row>
    <row r="935" spans="1:39" ht="15.75" customHeight="1">
      <c r="A935" s="298"/>
      <c r="B935" s="298"/>
      <c r="C935" s="1901"/>
      <c r="D935" s="1947"/>
      <c r="E935" s="1901"/>
      <c r="F935" s="1954"/>
      <c r="G935" s="1901"/>
      <c r="H935" s="1901"/>
      <c r="I935" s="1901"/>
      <c r="J935" s="1647"/>
      <c r="K935" s="1901"/>
      <c r="L935" s="1901"/>
      <c r="M935" s="1955"/>
      <c r="N935" s="1956"/>
      <c r="O935" s="1955"/>
      <c r="P935" s="1955"/>
      <c r="Q935" s="1956"/>
      <c r="R935" s="493"/>
      <c r="S935" s="493"/>
      <c r="T935" s="493"/>
      <c r="U935" s="493"/>
      <c r="V935" s="298"/>
      <c r="W935" s="298"/>
      <c r="X935" s="298"/>
      <c r="Y935" s="298"/>
      <c r="Z935" s="298"/>
      <c r="AA935" s="298"/>
      <c r="AB935" s="298"/>
      <c r="AC935" s="298"/>
      <c r="AD935" s="298"/>
      <c r="AE935" s="298"/>
      <c r="AF935" s="298"/>
      <c r="AG935" s="298"/>
      <c r="AH935" s="298"/>
      <c r="AI935" s="298"/>
      <c r="AJ935" s="298"/>
      <c r="AK935" s="298"/>
      <c r="AL935" s="298"/>
      <c r="AM935" s="298"/>
    </row>
    <row r="936" spans="1:39" ht="15.75" customHeight="1">
      <c r="A936" s="298"/>
      <c r="B936" s="298"/>
      <c r="C936" s="1901"/>
      <c r="D936" s="1947"/>
      <c r="E936" s="1901"/>
      <c r="F936" s="1954"/>
      <c r="G936" s="1901"/>
      <c r="H936" s="1901"/>
      <c r="I936" s="1901"/>
      <c r="J936" s="1647"/>
      <c r="K936" s="1901"/>
      <c r="L936" s="1901"/>
      <c r="M936" s="1955"/>
      <c r="N936" s="1956"/>
      <c r="O936" s="1955"/>
      <c r="P936" s="1955"/>
      <c r="Q936" s="1956"/>
      <c r="R936" s="493"/>
      <c r="S936" s="493"/>
      <c r="T936" s="493"/>
      <c r="U936" s="493"/>
      <c r="V936" s="298"/>
      <c r="W936" s="298"/>
      <c r="X936" s="298"/>
      <c r="Y936" s="298"/>
      <c r="Z936" s="298"/>
      <c r="AA936" s="298"/>
      <c r="AB936" s="298"/>
      <c r="AC936" s="298"/>
      <c r="AD936" s="298"/>
      <c r="AE936" s="298"/>
      <c r="AF936" s="298"/>
      <c r="AG936" s="298"/>
      <c r="AH936" s="298"/>
      <c r="AI936" s="298"/>
      <c r="AJ936" s="298"/>
      <c r="AK936" s="298"/>
      <c r="AL936" s="298"/>
      <c r="AM936" s="298"/>
    </row>
    <row r="937" spans="1:39" ht="15.75" customHeight="1">
      <c r="A937" s="298"/>
      <c r="B937" s="298"/>
      <c r="C937" s="1901"/>
      <c r="D937" s="1947"/>
      <c r="E937" s="1901"/>
      <c r="F937" s="1954"/>
      <c r="G937" s="1901"/>
      <c r="H937" s="1901"/>
      <c r="I937" s="1901"/>
      <c r="J937" s="1647"/>
      <c r="K937" s="1901"/>
      <c r="L937" s="1901"/>
      <c r="M937" s="1955"/>
      <c r="N937" s="1956"/>
      <c r="O937" s="1955"/>
      <c r="P937" s="1955"/>
      <c r="Q937" s="1956"/>
      <c r="R937" s="493"/>
      <c r="S937" s="493"/>
      <c r="T937" s="493"/>
      <c r="U937" s="493"/>
      <c r="V937" s="298"/>
      <c r="W937" s="298"/>
      <c r="X937" s="298"/>
      <c r="Y937" s="298"/>
      <c r="Z937" s="298"/>
      <c r="AA937" s="298"/>
      <c r="AB937" s="298"/>
      <c r="AC937" s="298"/>
      <c r="AD937" s="298"/>
      <c r="AE937" s="298"/>
      <c r="AF937" s="298"/>
      <c r="AG937" s="298"/>
      <c r="AH937" s="298"/>
      <c r="AI937" s="298"/>
      <c r="AJ937" s="298"/>
      <c r="AK937" s="298"/>
      <c r="AL937" s="298"/>
      <c r="AM937" s="298"/>
    </row>
    <row r="938" spans="1:39" ht="15.75" customHeight="1">
      <c r="A938" s="298"/>
      <c r="B938" s="298"/>
      <c r="C938" s="1901"/>
      <c r="D938" s="1947"/>
      <c r="E938" s="1901"/>
      <c r="F938" s="1954"/>
      <c r="G938" s="1901"/>
      <c r="H938" s="1901"/>
      <c r="I938" s="1901"/>
      <c r="J938" s="1647"/>
      <c r="K938" s="1901"/>
      <c r="L938" s="1901"/>
      <c r="M938" s="1955"/>
      <c r="N938" s="1956"/>
      <c r="O938" s="1955"/>
      <c r="P938" s="1955"/>
      <c r="Q938" s="1956"/>
      <c r="R938" s="493"/>
      <c r="S938" s="493"/>
      <c r="T938" s="493"/>
      <c r="U938" s="493"/>
      <c r="V938" s="298"/>
      <c r="W938" s="298"/>
      <c r="X938" s="298"/>
      <c r="Y938" s="298"/>
      <c r="Z938" s="298"/>
      <c r="AA938" s="298"/>
      <c r="AB938" s="298"/>
      <c r="AC938" s="298"/>
      <c r="AD938" s="298"/>
      <c r="AE938" s="298"/>
      <c r="AF938" s="298"/>
      <c r="AG938" s="298"/>
      <c r="AH938" s="298"/>
      <c r="AI938" s="298"/>
      <c r="AJ938" s="298"/>
      <c r="AK938" s="298"/>
      <c r="AL938" s="298"/>
      <c r="AM938" s="298"/>
    </row>
    <row r="939" spans="1:39" ht="15.75" customHeight="1">
      <c r="A939" s="298"/>
      <c r="B939" s="298"/>
      <c r="C939" s="1901"/>
      <c r="D939" s="1947"/>
      <c r="E939" s="1901"/>
      <c r="F939" s="1954"/>
      <c r="G939" s="1901"/>
      <c r="H939" s="1901"/>
      <c r="I939" s="1901"/>
      <c r="J939" s="1647"/>
      <c r="K939" s="1901"/>
      <c r="L939" s="1901"/>
      <c r="M939" s="1955"/>
      <c r="N939" s="1956"/>
      <c r="O939" s="1955"/>
      <c r="P939" s="1955"/>
      <c r="Q939" s="1956"/>
      <c r="R939" s="493"/>
      <c r="S939" s="493"/>
      <c r="T939" s="493"/>
      <c r="U939" s="493"/>
      <c r="V939" s="298"/>
      <c r="W939" s="298"/>
      <c r="X939" s="298"/>
      <c r="Y939" s="298"/>
      <c r="Z939" s="298"/>
      <c r="AA939" s="298"/>
      <c r="AB939" s="298"/>
      <c r="AC939" s="298"/>
      <c r="AD939" s="298"/>
      <c r="AE939" s="298"/>
      <c r="AF939" s="298"/>
      <c r="AG939" s="298"/>
      <c r="AH939" s="298"/>
      <c r="AI939" s="298"/>
      <c r="AJ939" s="298"/>
      <c r="AK939" s="298"/>
      <c r="AL939" s="298"/>
      <c r="AM939" s="298"/>
    </row>
    <row r="940" spans="1:39" ht="15.75" customHeight="1">
      <c r="A940" s="298"/>
      <c r="B940" s="298"/>
      <c r="C940" s="1901"/>
      <c r="D940" s="1947"/>
      <c r="E940" s="1901"/>
      <c r="F940" s="1954"/>
      <c r="G940" s="1901"/>
      <c r="H940" s="1901"/>
      <c r="I940" s="1901"/>
      <c r="J940" s="1647"/>
      <c r="K940" s="1901"/>
      <c r="L940" s="1901"/>
      <c r="M940" s="1955"/>
      <c r="N940" s="1956"/>
      <c r="O940" s="1955"/>
      <c r="P940" s="1955"/>
      <c r="Q940" s="1956"/>
      <c r="R940" s="493"/>
      <c r="S940" s="493"/>
      <c r="T940" s="493"/>
      <c r="U940" s="493"/>
      <c r="V940" s="298"/>
      <c r="W940" s="298"/>
      <c r="X940" s="298"/>
      <c r="Y940" s="298"/>
      <c r="Z940" s="298"/>
      <c r="AA940" s="298"/>
      <c r="AB940" s="298"/>
      <c r="AC940" s="298"/>
      <c r="AD940" s="298"/>
      <c r="AE940" s="298"/>
      <c r="AF940" s="298"/>
      <c r="AG940" s="298"/>
      <c r="AH940" s="298"/>
      <c r="AI940" s="298"/>
      <c r="AJ940" s="298"/>
      <c r="AK940" s="298"/>
      <c r="AL940" s="298"/>
      <c r="AM940" s="298"/>
    </row>
    <row r="941" spans="1:39" ht="15.75" customHeight="1">
      <c r="A941" s="298"/>
      <c r="B941" s="298"/>
      <c r="C941" s="1901"/>
      <c r="D941" s="1947"/>
      <c r="E941" s="1901"/>
      <c r="F941" s="1954"/>
      <c r="G941" s="1901"/>
      <c r="H941" s="1901"/>
      <c r="I941" s="1901"/>
      <c r="J941" s="1647"/>
      <c r="K941" s="1901"/>
      <c r="L941" s="1901"/>
      <c r="M941" s="1955"/>
      <c r="N941" s="1956"/>
      <c r="O941" s="1955"/>
      <c r="P941" s="1955"/>
      <c r="Q941" s="1956"/>
      <c r="R941" s="493"/>
      <c r="S941" s="493"/>
      <c r="T941" s="493"/>
      <c r="U941" s="493"/>
      <c r="V941" s="298"/>
      <c r="W941" s="298"/>
      <c r="X941" s="298"/>
      <c r="Y941" s="298"/>
      <c r="Z941" s="298"/>
      <c r="AA941" s="298"/>
      <c r="AB941" s="298"/>
      <c r="AC941" s="298"/>
      <c r="AD941" s="298"/>
      <c r="AE941" s="298"/>
      <c r="AF941" s="298"/>
      <c r="AG941" s="298"/>
      <c r="AH941" s="298"/>
      <c r="AI941" s="298"/>
      <c r="AJ941" s="298"/>
      <c r="AK941" s="298"/>
      <c r="AL941" s="298"/>
      <c r="AM941" s="298"/>
    </row>
    <row r="942" spans="1:39" ht="15.75" customHeight="1">
      <c r="A942" s="298"/>
      <c r="B942" s="298"/>
      <c r="C942" s="1901"/>
      <c r="D942" s="1947"/>
      <c r="E942" s="1901"/>
      <c r="F942" s="1954"/>
      <c r="G942" s="1901"/>
      <c r="H942" s="1901"/>
      <c r="I942" s="1901"/>
      <c r="J942" s="1647"/>
      <c r="K942" s="1901"/>
      <c r="L942" s="1901"/>
      <c r="M942" s="1955"/>
      <c r="N942" s="1956"/>
      <c r="O942" s="1955"/>
      <c r="P942" s="1955"/>
      <c r="Q942" s="1956"/>
      <c r="R942" s="493"/>
      <c r="S942" s="493"/>
      <c r="T942" s="493"/>
      <c r="U942" s="493"/>
      <c r="V942" s="298"/>
      <c r="W942" s="298"/>
      <c r="X942" s="298"/>
      <c r="Y942" s="298"/>
      <c r="Z942" s="298"/>
      <c r="AA942" s="298"/>
      <c r="AB942" s="298"/>
      <c r="AC942" s="298"/>
      <c r="AD942" s="298"/>
      <c r="AE942" s="298"/>
      <c r="AF942" s="298"/>
      <c r="AG942" s="298"/>
      <c r="AH942" s="298"/>
      <c r="AI942" s="298"/>
      <c r="AJ942" s="298"/>
      <c r="AK942" s="298"/>
      <c r="AL942" s="298"/>
      <c r="AM942" s="298"/>
    </row>
    <row r="943" spans="1:39" ht="15.75" customHeight="1">
      <c r="A943" s="298"/>
      <c r="B943" s="298"/>
      <c r="C943" s="1901"/>
      <c r="D943" s="1947"/>
      <c r="E943" s="1901"/>
      <c r="F943" s="1954"/>
      <c r="G943" s="1901"/>
      <c r="H943" s="1901"/>
      <c r="I943" s="1901"/>
      <c r="J943" s="1647"/>
      <c r="K943" s="1901"/>
      <c r="L943" s="1901"/>
      <c r="M943" s="1955"/>
      <c r="N943" s="1956"/>
      <c r="O943" s="1955"/>
      <c r="P943" s="1955"/>
      <c r="Q943" s="1956"/>
      <c r="R943" s="493"/>
      <c r="S943" s="493"/>
      <c r="T943" s="493"/>
      <c r="U943" s="493"/>
      <c r="V943" s="298"/>
      <c r="W943" s="298"/>
      <c r="X943" s="298"/>
      <c r="Y943" s="298"/>
      <c r="Z943" s="298"/>
      <c r="AA943" s="298"/>
      <c r="AB943" s="298"/>
      <c r="AC943" s="298"/>
      <c r="AD943" s="298"/>
      <c r="AE943" s="298"/>
      <c r="AF943" s="298"/>
      <c r="AG943" s="298"/>
      <c r="AH943" s="298"/>
      <c r="AI943" s="298"/>
      <c r="AJ943" s="298"/>
      <c r="AK943" s="298"/>
      <c r="AL943" s="298"/>
      <c r="AM943" s="298"/>
    </row>
    <row r="944" spans="1:39" ht="15.75" customHeight="1">
      <c r="A944" s="298"/>
      <c r="B944" s="298"/>
      <c r="C944" s="1901"/>
      <c r="D944" s="1947"/>
      <c r="E944" s="1901"/>
      <c r="F944" s="1954"/>
      <c r="G944" s="1901"/>
      <c r="H944" s="1901"/>
      <c r="I944" s="1901"/>
      <c r="J944" s="1647"/>
      <c r="K944" s="1901"/>
      <c r="L944" s="1901"/>
      <c r="M944" s="1955"/>
      <c r="N944" s="1956"/>
      <c r="O944" s="1955"/>
      <c r="P944" s="1955"/>
      <c r="Q944" s="1956"/>
      <c r="R944" s="493"/>
      <c r="S944" s="493"/>
      <c r="T944" s="493"/>
      <c r="U944" s="493"/>
      <c r="V944" s="298"/>
      <c r="W944" s="298"/>
      <c r="X944" s="298"/>
      <c r="Y944" s="298"/>
      <c r="Z944" s="298"/>
      <c r="AA944" s="298"/>
      <c r="AB944" s="298"/>
      <c r="AC944" s="298"/>
      <c r="AD944" s="298"/>
      <c r="AE944" s="298"/>
      <c r="AF944" s="298"/>
      <c r="AG944" s="298"/>
      <c r="AH944" s="298"/>
      <c r="AI944" s="298"/>
      <c r="AJ944" s="298"/>
      <c r="AK944" s="298"/>
      <c r="AL944" s="298"/>
      <c r="AM944" s="298"/>
    </row>
    <row r="945" spans="1:39" ht="15.75" customHeight="1">
      <c r="A945" s="298"/>
      <c r="B945" s="298"/>
      <c r="C945" s="1901"/>
      <c r="D945" s="1947"/>
      <c r="E945" s="1901"/>
      <c r="F945" s="1954"/>
      <c r="G945" s="1901"/>
      <c r="H945" s="1901"/>
      <c r="I945" s="1901"/>
      <c r="J945" s="1647"/>
      <c r="K945" s="1901"/>
      <c r="L945" s="1901"/>
      <c r="M945" s="1955"/>
      <c r="N945" s="1956"/>
      <c r="O945" s="1955"/>
      <c r="P945" s="1955"/>
      <c r="Q945" s="1956"/>
      <c r="R945" s="493"/>
      <c r="S945" s="493"/>
      <c r="T945" s="493"/>
      <c r="U945" s="493"/>
      <c r="V945" s="298"/>
      <c r="W945" s="298"/>
      <c r="X945" s="298"/>
      <c r="Y945" s="298"/>
      <c r="Z945" s="298"/>
      <c r="AA945" s="298"/>
      <c r="AB945" s="298"/>
      <c r="AC945" s="298"/>
      <c r="AD945" s="298"/>
      <c r="AE945" s="298"/>
      <c r="AF945" s="298"/>
      <c r="AG945" s="298"/>
      <c r="AH945" s="298"/>
      <c r="AI945" s="298"/>
      <c r="AJ945" s="298"/>
      <c r="AK945" s="298"/>
      <c r="AL945" s="298"/>
      <c r="AM945" s="298"/>
    </row>
    <row r="946" spans="1:39" ht="15.75" customHeight="1">
      <c r="A946" s="298"/>
      <c r="B946" s="298"/>
      <c r="C946" s="1901"/>
      <c r="D946" s="1947"/>
      <c r="E946" s="1901"/>
      <c r="F946" s="1954"/>
      <c r="G946" s="1901"/>
      <c r="H946" s="1901"/>
      <c r="I946" s="1901"/>
      <c r="J946" s="1647"/>
      <c r="K946" s="1901"/>
      <c r="L946" s="1901"/>
      <c r="M946" s="1955"/>
      <c r="N946" s="1956"/>
      <c r="O946" s="1955"/>
      <c r="P946" s="1955"/>
      <c r="Q946" s="1956"/>
      <c r="R946" s="493"/>
      <c r="S946" s="493"/>
      <c r="T946" s="493"/>
      <c r="U946" s="493"/>
      <c r="V946" s="298"/>
      <c r="W946" s="298"/>
      <c r="X946" s="298"/>
      <c r="Y946" s="298"/>
      <c r="Z946" s="298"/>
      <c r="AA946" s="298"/>
      <c r="AB946" s="298"/>
      <c r="AC946" s="298"/>
      <c r="AD946" s="298"/>
      <c r="AE946" s="298"/>
      <c r="AF946" s="298"/>
      <c r="AG946" s="298"/>
      <c r="AH946" s="298"/>
      <c r="AI946" s="298"/>
      <c r="AJ946" s="298"/>
      <c r="AK946" s="298"/>
      <c r="AL946" s="298"/>
      <c r="AM946" s="298"/>
    </row>
    <row r="947" spans="1:39" ht="15.75" customHeight="1">
      <c r="A947" s="298"/>
      <c r="B947" s="298"/>
      <c r="C947" s="1901"/>
      <c r="D947" s="1947"/>
      <c r="E947" s="1901"/>
      <c r="F947" s="1954"/>
      <c r="G947" s="1901"/>
      <c r="H947" s="1901"/>
      <c r="I947" s="1901"/>
      <c r="J947" s="1647"/>
      <c r="K947" s="1901"/>
      <c r="L947" s="1901"/>
      <c r="M947" s="1955"/>
      <c r="N947" s="1956"/>
      <c r="O947" s="1955"/>
      <c r="P947" s="1955"/>
      <c r="Q947" s="1956"/>
      <c r="R947" s="493"/>
      <c r="S947" s="493"/>
      <c r="T947" s="493"/>
      <c r="U947" s="493"/>
      <c r="V947" s="298"/>
      <c r="W947" s="298"/>
      <c r="X947" s="298"/>
      <c r="Y947" s="298"/>
      <c r="Z947" s="298"/>
      <c r="AA947" s="298"/>
      <c r="AB947" s="298"/>
      <c r="AC947" s="298"/>
      <c r="AD947" s="298"/>
      <c r="AE947" s="298"/>
      <c r="AF947" s="298"/>
      <c r="AG947" s="298"/>
      <c r="AH947" s="298"/>
      <c r="AI947" s="298"/>
      <c r="AJ947" s="298"/>
      <c r="AK947" s="298"/>
      <c r="AL947" s="298"/>
      <c r="AM947" s="298"/>
    </row>
    <row r="948" spans="1:39" ht="15.75" customHeight="1">
      <c r="A948" s="298"/>
      <c r="B948" s="298"/>
      <c r="C948" s="1901"/>
      <c r="D948" s="1947"/>
      <c r="E948" s="1901"/>
      <c r="F948" s="1954"/>
      <c r="G948" s="1901"/>
      <c r="H948" s="1901"/>
      <c r="I948" s="1901"/>
      <c r="J948" s="1647"/>
      <c r="K948" s="1901"/>
      <c r="L948" s="1901"/>
      <c r="M948" s="1955"/>
      <c r="N948" s="1956"/>
      <c r="O948" s="1955"/>
      <c r="P948" s="1955"/>
      <c r="Q948" s="1956"/>
      <c r="R948" s="493"/>
      <c r="S948" s="493"/>
      <c r="T948" s="493"/>
      <c r="U948" s="493"/>
      <c r="V948" s="298"/>
      <c r="W948" s="298"/>
      <c r="X948" s="298"/>
      <c r="Y948" s="298"/>
      <c r="Z948" s="298"/>
      <c r="AA948" s="298"/>
      <c r="AB948" s="298"/>
      <c r="AC948" s="298"/>
      <c r="AD948" s="298"/>
      <c r="AE948" s="298"/>
      <c r="AF948" s="298"/>
      <c r="AG948" s="298"/>
      <c r="AH948" s="298"/>
      <c r="AI948" s="298"/>
      <c r="AJ948" s="298"/>
      <c r="AK948" s="298"/>
      <c r="AL948" s="298"/>
      <c r="AM948" s="298"/>
    </row>
    <row r="949" spans="1:39" ht="15.75" customHeight="1">
      <c r="A949" s="298"/>
      <c r="B949" s="298"/>
      <c r="C949" s="1901"/>
      <c r="D949" s="1947"/>
      <c r="E949" s="1901"/>
      <c r="F949" s="1954"/>
      <c r="G949" s="1901"/>
      <c r="H949" s="1901"/>
      <c r="I949" s="1901"/>
      <c r="J949" s="1647"/>
      <c r="K949" s="1901"/>
      <c r="L949" s="1901"/>
      <c r="M949" s="1955"/>
      <c r="N949" s="1956"/>
      <c r="O949" s="1955"/>
      <c r="P949" s="1955"/>
      <c r="Q949" s="1956"/>
      <c r="R949" s="493"/>
      <c r="S949" s="493"/>
      <c r="T949" s="493"/>
      <c r="U949" s="493"/>
      <c r="V949" s="298"/>
      <c r="W949" s="298"/>
      <c r="X949" s="298"/>
      <c r="Y949" s="298"/>
      <c r="Z949" s="298"/>
      <c r="AA949" s="298"/>
      <c r="AB949" s="298"/>
      <c r="AC949" s="298"/>
      <c r="AD949" s="298"/>
      <c r="AE949" s="298"/>
      <c r="AF949" s="298"/>
      <c r="AG949" s="298"/>
      <c r="AH949" s="298"/>
      <c r="AI949" s="298"/>
      <c r="AJ949" s="298"/>
      <c r="AK949" s="298"/>
      <c r="AL949" s="298"/>
      <c r="AM949" s="298"/>
    </row>
    <row r="950" spans="1:39" ht="15.75" customHeight="1">
      <c r="A950" s="298"/>
      <c r="B950" s="298"/>
      <c r="C950" s="1901"/>
      <c r="D950" s="1947"/>
      <c r="E950" s="1901"/>
      <c r="F950" s="1954"/>
      <c r="G950" s="1901"/>
      <c r="H950" s="1901"/>
      <c r="I950" s="1901"/>
      <c r="J950" s="1647"/>
      <c r="K950" s="1901"/>
      <c r="L950" s="1901"/>
      <c r="M950" s="1955"/>
      <c r="N950" s="1956"/>
      <c r="O950" s="1955"/>
      <c r="P950" s="1955"/>
      <c r="Q950" s="1956"/>
      <c r="R950" s="493"/>
      <c r="S950" s="493"/>
      <c r="T950" s="493"/>
      <c r="U950" s="493"/>
      <c r="V950" s="298"/>
      <c r="W950" s="298"/>
      <c r="X950" s="298"/>
      <c r="Y950" s="298"/>
      <c r="Z950" s="298"/>
      <c r="AA950" s="298"/>
      <c r="AB950" s="298"/>
      <c r="AC950" s="298"/>
      <c r="AD950" s="298"/>
      <c r="AE950" s="298"/>
      <c r="AF950" s="298"/>
      <c r="AG950" s="298"/>
      <c r="AH950" s="298"/>
      <c r="AI950" s="298"/>
      <c r="AJ950" s="298"/>
      <c r="AK950" s="298"/>
      <c r="AL950" s="298"/>
      <c r="AM950" s="298"/>
    </row>
    <row r="951" spans="1:39" ht="15.75" customHeight="1">
      <c r="A951" s="298"/>
      <c r="B951" s="298"/>
      <c r="C951" s="1901"/>
      <c r="D951" s="1947"/>
      <c r="E951" s="1901"/>
      <c r="F951" s="1954"/>
      <c r="G951" s="1901"/>
      <c r="H951" s="1901"/>
      <c r="I951" s="1901"/>
      <c r="J951" s="1647"/>
      <c r="K951" s="1901"/>
      <c r="L951" s="1901"/>
      <c r="M951" s="1955"/>
      <c r="N951" s="1956"/>
      <c r="O951" s="1955"/>
      <c r="P951" s="1955"/>
      <c r="Q951" s="1956"/>
      <c r="R951" s="493"/>
      <c r="S951" s="493"/>
      <c r="T951" s="493"/>
      <c r="U951" s="493"/>
      <c r="V951" s="298"/>
      <c r="W951" s="298"/>
      <c r="X951" s="298"/>
      <c r="Y951" s="298"/>
      <c r="Z951" s="298"/>
      <c r="AA951" s="298"/>
      <c r="AB951" s="298"/>
      <c r="AC951" s="298"/>
      <c r="AD951" s="298"/>
      <c r="AE951" s="298"/>
      <c r="AF951" s="298"/>
      <c r="AG951" s="298"/>
      <c r="AH951" s="298"/>
      <c r="AI951" s="298"/>
      <c r="AJ951" s="298"/>
      <c r="AK951" s="298"/>
      <c r="AL951" s="298"/>
      <c r="AM951" s="298"/>
    </row>
    <row r="952" spans="1:39" ht="15.75" customHeight="1">
      <c r="A952" s="298"/>
      <c r="B952" s="298"/>
      <c r="C952" s="1901"/>
      <c r="D952" s="1947"/>
      <c r="E952" s="1901"/>
      <c r="F952" s="1954"/>
      <c r="G952" s="1901"/>
      <c r="H952" s="1901"/>
      <c r="I952" s="1901"/>
      <c r="J952" s="1647"/>
      <c r="K952" s="1901"/>
      <c r="L952" s="1901"/>
      <c r="M952" s="1955"/>
      <c r="N952" s="1956"/>
      <c r="O952" s="1955"/>
      <c r="P952" s="1955"/>
      <c r="Q952" s="1956"/>
      <c r="R952" s="493"/>
      <c r="S952" s="493"/>
      <c r="T952" s="493"/>
      <c r="U952" s="493"/>
      <c r="V952" s="298"/>
      <c r="W952" s="298"/>
      <c r="X952" s="298"/>
      <c r="Y952" s="298"/>
      <c r="Z952" s="298"/>
      <c r="AA952" s="298"/>
      <c r="AB952" s="298"/>
      <c r="AC952" s="298"/>
      <c r="AD952" s="298"/>
      <c r="AE952" s="298"/>
      <c r="AF952" s="298"/>
      <c r="AG952" s="298"/>
      <c r="AH952" s="298"/>
      <c r="AI952" s="298"/>
      <c r="AJ952" s="298"/>
      <c r="AK952" s="298"/>
      <c r="AL952" s="298"/>
      <c r="AM952" s="298"/>
    </row>
    <row r="953" spans="1:39" ht="15.75" customHeight="1">
      <c r="A953" s="298"/>
      <c r="B953" s="298"/>
      <c r="C953" s="1901"/>
      <c r="D953" s="1947"/>
      <c r="E953" s="1901"/>
      <c r="F953" s="1954"/>
      <c r="G953" s="1901"/>
      <c r="H953" s="1901"/>
      <c r="I953" s="1901"/>
      <c r="J953" s="1647"/>
      <c r="K953" s="1901"/>
      <c r="L953" s="1901"/>
      <c r="M953" s="1955"/>
      <c r="N953" s="1956"/>
      <c r="O953" s="1955"/>
      <c r="P953" s="1955"/>
      <c r="Q953" s="1956"/>
      <c r="R953" s="493"/>
      <c r="S953" s="493"/>
      <c r="T953" s="493"/>
      <c r="U953" s="493"/>
      <c r="V953" s="298"/>
      <c r="W953" s="298"/>
      <c r="X953" s="298"/>
      <c r="Y953" s="298"/>
      <c r="Z953" s="298"/>
      <c r="AA953" s="298"/>
      <c r="AB953" s="298"/>
      <c r="AC953" s="298"/>
      <c r="AD953" s="298"/>
      <c r="AE953" s="298"/>
      <c r="AF953" s="298"/>
      <c r="AG953" s="298"/>
      <c r="AH953" s="298"/>
      <c r="AI953" s="298"/>
      <c r="AJ953" s="298"/>
      <c r="AK953" s="298"/>
      <c r="AL953" s="298"/>
      <c r="AM953" s="298"/>
    </row>
    <row r="954" spans="1:39" ht="15.75" customHeight="1">
      <c r="A954" s="298"/>
      <c r="B954" s="298"/>
      <c r="C954" s="1901"/>
      <c r="D954" s="1947"/>
      <c r="E954" s="1901"/>
      <c r="F954" s="1954"/>
      <c r="G954" s="1901"/>
      <c r="H954" s="1901"/>
      <c r="I954" s="1901"/>
      <c r="J954" s="1647"/>
      <c r="K954" s="1901"/>
      <c r="L954" s="1901"/>
      <c r="M954" s="1955"/>
      <c r="N954" s="1956"/>
      <c r="O954" s="1955"/>
      <c r="P954" s="1955"/>
      <c r="Q954" s="1956"/>
      <c r="R954" s="493"/>
      <c r="S954" s="493"/>
      <c r="T954" s="493"/>
      <c r="U954" s="493"/>
      <c r="V954" s="298"/>
      <c r="W954" s="298"/>
      <c r="X954" s="298"/>
      <c r="Y954" s="298"/>
      <c r="Z954" s="298"/>
      <c r="AA954" s="298"/>
      <c r="AB954" s="298"/>
      <c r="AC954" s="298"/>
      <c r="AD954" s="298"/>
      <c r="AE954" s="298"/>
      <c r="AF954" s="298"/>
      <c r="AG954" s="298"/>
      <c r="AH954" s="298"/>
      <c r="AI954" s="298"/>
      <c r="AJ954" s="298"/>
      <c r="AK954" s="298"/>
      <c r="AL954" s="298"/>
      <c r="AM954" s="298"/>
    </row>
    <row r="955" spans="1:39" ht="15.75" customHeight="1">
      <c r="A955" s="298"/>
      <c r="B955" s="298"/>
      <c r="C955" s="1901"/>
      <c r="D955" s="1947"/>
      <c r="E955" s="1901"/>
      <c r="F955" s="1954"/>
      <c r="G955" s="1901"/>
      <c r="H955" s="1901"/>
      <c r="I955" s="1901"/>
      <c r="J955" s="1647"/>
      <c r="K955" s="1901"/>
      <c r="L955" s="1901"/>
      <c r="M955" s="1955"/>
      <c r="N955" s="1956"/>
      <c r="O955" s="1955"/>
      <c r="P955" s="1955"/>
      <c r="Q955" s="1956"/>
      <c r="R955" s="493"/>
      <c r="S955" s="493"/>
      <c r="T955" s="493"/>
      <c r="U955" s="493"/>
      <c r="V955" s="298"/>
      <c r="W955" s="298"/>
      <c r="X955" s="298"/>
      <c r="Y955" s="298"/>
      <c r="Z955" s="298"/>
      <c r="AA955" s="298"/>
      <c r="AB955" s="298"/>
      <c r="AC955" s="298"/>
      <c r="AD955" s="298"/>
      <c r="AE955" s="298"/>
      <c r="AF955" s="298"/>
      <c r="AG955" s="298"/>
      <c r="AH955" s="298"/>
      <c r="AI955" s="298"/>
      <c r="AJ955" s="298"/>
      <c r="AK955" s="298"/>
      <c r="AL955" s="298"/>
      <c r="AM955" s="298"/>
    </row>
    <row r="956" spans="1:39" ht="15.75" customHeight="1">
      <c r="A956" s="298"/>
      <c r="B956" s="298"/>
      <c r="C956" s="1901"/>
      <c r="D956" s="1947"/>
      <c r="E956" s="1901"/>
      <c r="F956" s="1954"/>
      <c r="G956" s="1901"/>
      <c r="H956" s="1901"/>
      <c r="I956" s="1901"/>
      <c r="J956" s="1647"/>
      <c r="K956" s="1901"/>
      <c r="L956" s="1901"/>
      <c r="M956" s="1955"/>
      <c r="N956" s="1956"/>
      <c r="O956" s="1955"/>
      <c r="P956" s="1955"/>
      <c r="Q956" s="1956"/>
      <c r="R956" s="493"/>
      <c r="S956" s="493"/>
      <c r="T956" s="493"/>
      <c r="U956" s="493"/>
      <c r="V956" s="298"/>
      <c r="W956" s="298"/>
      <c r="X956" s="298"/>
      <c r="Y956" s="298"/>
      <c r="Z956" s="298"/>
      <c r="AA956" s="298"/>
      <c r="AB956" s="298"/>
      <c r="AC956" s="298"/>
      <c r="AD956" s="298"/>
      <c r="AE956" s="298"/>
      <c r="AF956" s="298"/>
      <c r="AG956" s="298"/>
      <c r="AH956" s="298"/>
      <c r="AI956" s="298"/>
      <c r="AJ956" s="298"/>
      <c r="AK956" s="298"/>
      <c r="AL956" s="298"/>
      <c r="AM956" s="298"/>
    </row>
    <row r="957" spans="1:39" ht="15.75" customHeight="1">
      <c r="A957" s="298"/>
      <c r="B957" s="298"/>
      <c r="C957" s="1901"/>
      <c r="D957" s="1947"/>
      <c r="E957" s="1901"/>
      <c r="F957" s="1954"/>
      <c r="G957" s="1901"/>
      <c r="H957" s="1901"/>
      <c r="I957" s="1901"/>
      <c r="J957" s="1647"/>
      <c r="K957" s="1901"/>
      <c r="L957" s="1901"/>
      <c r="M957" s="1955"/>
      <c r="N957" s="1956"/>
      <c r="O957" s="1955"/>
      <c r="P957" s="1955"/>
      <c r="Q957" s="1956"/>
      <c r="R957" s="493"/>
      <c r="S957" s="493"/>
      <c r="T957" s="493"/>
      <c r="U957" s="493"/>
      <c r="V957" s="298"/>
      <c r="W957" s="298"/>
      <c r="X957" s="298"/>
      <c r="Y957" s="298"/>
      <c r="Z957" s="298"/>
      <c r="AA957" s="298"/>
      <c r="AB957" s="298"/>
      <c r="AC957" s="298"/>
      <c r="AD957" s="298"/>
      <c r="AE957" s="298"/>
      <c r="AF957" s="298"/>
      <c r="AG957" s="298"/>
      <c r="AH957" s="298"/>
      <c r="AI957" s="298"/>
      <c r="AJ957" s="298"/>
      <c r="AK957" s="298"/>
      <c r="AL957" s="298"/>
      <c r="AM957" s="298"/>
    </row>
    <row r="958" spans="1:39" ht="15.75" customHeight="1">
      <c r="A958" s="298"/>
      <c r="B958" s="298"/>
      <c r="C958" s="1901"/>
      <c r="D958" s="1947"/>
      <c r="E958" s="1901"/>
      <c r="F958" s="1954"/>
      <c r="G958" s="1901"/>
      <c r="H958" s="1901"/>
      <c r="I958" s="1901"/>
      <c r="J958" s="1647"/>
      <c r="K958" s="1901"/>
      <c r="L958" s="1901"/>
      <c r="M958" s="1955"/>
      <c r="N958" s="1956"/>
      <c r="O958" s="1955"/>
      <c r="P958" s="1955"/>
      <c r="Q958" s="1956"/>
      <c r="R958" s="493"/>
      <c r="S958" s="493"/>
      <c r="T958" s="493"/>
      <c r="U958" s="493"/>
      <c r="V958" s="298"/>
      <c r="W958" s="298"/>
      <c r="X958" s="298"/>
      <c r="Y958" s="298"/>
      <c r="Z958" s="298"/>
      <c r="AA958" s="298"/>
      <c r="AB958" s="298"/>
      <c r="AC958" s="298"/>
      <c r="AD958" s="298"/>
      <c r="AE958" s="298"/>
      <c r="AF958" s="298"/>
      <c r="AG958" s="298"/>
      <c r="AH958" s="298"/>
      <c r="AI958" s="298"/>
      <c r="AJ958" s="298"/>
      <c r="AK958" s="298"/>
      <c r="AL958" s="298"/>
      <c r="AM958" s="298"/>
    </row>
    <row r="959" spans="1:39" ht="15.75" customHeight="1">
      <c r="A959" s="298"/>
      <c r="B959" s="298"/>
      <c r="C959" s="1901"/>
      <c r="D959" s="1947"/>
      <c r="E959" s="1901"/>
      <c r="F959" s="1954"/>
      <c r="G959" s="1901"/>
      <c r="H959" s="1901"/>
      <c r="I959" s="1901"/>
      <c r="J959" s="1647"/>
      <c r="K959" s="1901"/>
      <c r="L959" s="1901"/>
      <c r="M959" s="1955"/>
      <c r="N959" s="1956"/>
      <c r="O959" s="1955"/>
      <c r="P959" s="1955"/>
      <c r="Q959" s="1956"/>
      <c r="R959" s="493"/>
      <c r="S959" s="493"/>
      <c r="T959" s="493"/>
      <c r="U959" s="493"/>
      <c r="V959" s="298"/>
      <c r="W959" s="298"/>
      <c r="X959" s="298"/>
      <c r="Y959" s="298"/>
      <c r="Z959" s="298"/>
      <c r="AA959" s="298"/>
      <c r="AB959" s="298"/>
      <c r="AC959" s="298"/>
      <c r="AD959" s="298"/>
      <c r="AE959" s="298"/>
      <c r="AF959" s="298"/>
      <c r="AG959" s="298"/>
      <c r="AH959" s="298"/>
      <c r="AI959" s="298"/>
      <c r="AJ959" s="298"/>
      <c r="AK959" s="298"/>
      <c r="AL959" s="298"/>
      <c r="AM959" s="298"/>
    </row>
    <row r="960" spans="1:39" ht="15.75" customHeight="1">
      <c r="A960" s="298"/>
      <c r="B960" s="298"/>
      <c r="C960" s="1901"/>
      <c r="D960" s="1947"/>
      <c r="E960" s="1901"/>
      <c r="F960" s="1954"/>
      <c r="G960" s="1901"/>
      <c r="H960" s="1901"/>
      <c r="I960" s="1901"/>
      <c r="J960" s="1647"/>
      <c r="K960" s="1901"/>
      <c r="L960" s="1901"/>
      <c r="M960" s="1955"/>
      <c r="N960" s="1956"/>
      <c r="O960" s="1955"/>
      <c r="P960" s="1955"/>
      <c r="Q960" s="1956"/>
      <c r="R960" s="493"/>
      <c r="S960" s="493"/>
      <c r="T960" s="493"/>
      <c r="U960" s="493"/>
      <c r="V960" s="298"/>
      <c r="W960" s="298"/>
      <c r="X960" s="298"/>
      <c r="Y960" s="298"/>
      <c r="Z960" s="298"/>
      <c r="AA960" s="298"/>
      <c r="AB960" s="298"/>
      <c r="AC960" s="298"/>
      <c r="AD960" s="298"/>
      <c r="AE960" s="298"/>
      <c r="AF960" s="298"/>
      <c r="AG960" s="298"/>
      <c r="AH960" s="298"/>
      <c r="AI960" s="298"/>
      <c r="AJ960" s="298"/>
      <c r="AK960" s="298"/>
      <c r="AL960" s="298"/>
      <c r="AM960" s="298"/>
    </row>
    <row r="961" spans="1:39" ht="15.75" customHeight="1">
      <c r="A961" s="298"/>
      <c r="B961" s="298"/>
      <c r="C961" s="1901"/>
      <c r="D961" s="1947"/>
      <c r="E961" s="1901"/>
      <c r="F961" s="1954"/>
      <c r="G961" s="1901"/>
      <c r="H961" s="1901"/>
      <c r="I961" s="1901"/>
      <c r="J961" s="1647"/>
      <c r="K961" s="1901"/>
      <c r="L961" s="1901"/>
      <c r="M961" s="1955"/>
      <c r="N961" s="1956"/>
      <c r="O961" s="1955"/>
      <c r="P961" s="1955"/>
      <c r="Q961" s="1956"/>
      <c r="R961" s="493"/>
      <c r="S961" s="493"/>
      <c r="T961" s="493"/>
      <c r="U961" s="493"/>
      <c r="V961" s="298"/>
      <c r="W961" s="298"/>
      <c r="X961" s="298"/>
      <c r="Y961" s="298"/>
      <c r="Z961" s="298"/>
      <c r="AA961" s="298"/>
      <c r="AB961" s="298"/>
      <c r="AC961" s="298"/>
      <c r="AD961" s="298"/>
      <c r="AE961" s="298"/>
      <c r="AF961" s="298"/>
      <c r="AG961" s="298"/>
      <c r="AH961" s="298"/>
      <c r="AI961" s="298"/>
      <c r="AJ961" s="298"/>
      <c r="AK961" s="298"/>
      <c r="AL961" s="298"/>
      <c r="AM961" s="298"/>
    </row>
    <row r="962" spans="1:39" ht="15.75" customHeight="1">
      <c r="A962" s="298"/>
      <c r="B962" s="298"/>
      <c r="C962" s="1901"/>
      <c r="D962" s="1947"/>
      <c r="E962" s="1901"/>
      <c r="F962" s="1954"/>
      <c r="G962" s="1901"/>
      <c r="H962" s="1901"/>
      <c r="I962" s="1901"/>
      <c r="J962" s="1647"/>
      <c r="K962" s="1901"/>
      <c r="L962" s="1901"/>
      <c r="M962" s="1955"/>
      <c r="N962" s="1956"/>
      <c r="O962" s="1955"/>
      <c r="P962" s="1955"/>
      <c r="Q962" s="1956"/>
      <c r="R962" s="493"/>
      <c r="S962" s="493"/>
      <c r="T962" s="493"/>
      <c r="U962" s="493"/>
      <c r="V962" s="298"/>
      <c r="W962" s="298"/>
      <c r="X962" s="298"/>
      <c r="Y962" s="298"/>
      <c r="Z962" s="298"/>
      <c r="AA962" s="298"/>
      <c r="AB962" s="298"/>
      <c r="AC962" s="298"/>
      <c r="AD962" s="298"/>
      <c r="AE962" s="298"/>
      <c r="AF962" s="298"/>
      <c r="AG962" s="298"/>
      <c r="AH962" s="298"/>
      <c r="AI962" s="298"/>
      <c r="AJ962" s="298"/>
      <c r="AK962" s="298"/>
      <c r="AL962" s="298"/>
      <c r="AM962" s="298"/>
    </row>
    <row r="963" spans="1:39" ht="15.75" customHeight="1">
      <c r="A963" s="298"/>
      <c r="B963" s="298"/>
      <c r="C963" s="1901"/>
      <c r="D963" s="1947"/>
      <c r="E963" s="1901"/>
      <c r="F963" s="1954"/>
      <c r="G963" s="1901"/>
      <c r="H963" s="1901"/>
      <c r="I963" s="1901"/>
      <c r="J963" s="1647"/>
      <c r="K963" s="1901"/>
      <c r="L963" s="1901"/>
      <c r="M963" s="1955"/>
      <c r="N963" s="1956"/>
      <c r="O963" s="1955"/>
      <c r="P963" s="1955"/>
      <c r="Q963" s="1956"/>
      <c r="R963" s="493"/>
      <c r="S963" s="493"/>
      <c r="T963" s="493"/>
      <c r="U963" s="493"/>
      <c r="V963" s="298"/>
      <c r="W963" s="298"/>
      <c r="X963" s="298"/>
      <c r="Y963" s="298"/>
      <c r="Z963" s="298"/>
      <c r="AA963" s="298"/>
      <c r="AB963" s="298"/>
      <c r="AC963" s="298"/>
      <c r="AD963" s="298"/>
      <c r="AE963" s="298"/>
      <c r="AF963" s="298"/>
      <c r="AG963" s="298"/>
      <c r="AH963" s="298"/>
      <c r="AI963" s="298"/>
      <c r="AJ963" s="298"/>
      <c r="AK963" s="298"/>
      <c r="AL963" s="298"/>
      <c r="AM963" s="298"/>
    </row>
    <row r="964" spans="1:39" ht="15.75" customHeight="1">
      <c r="A964" s="298"/>
      <c r="B964" s="298"/>
      <c r="C964" s="1901"/>
      <c r="D964" s="1947"/>
      <c r="E964" s="1901"/>
      <c r="F964" s="1954"/>
      <c r="G964" s="1901"/>
      <c r="H964" s="1901"/>
      <c r="I964" s="1901"/>
      <c r="J964" s="1647"/>
      <c r="K964" s="1901"/>
      <c r="L964" s="1901"/>
      <c r="M964" s="1955"/>
      <c r="N964" s="1956"/>
      <c r="O964" s="1955"/>
      <c r="P964" s="1955"/>
      <c r="Q964" s="1956"/>
      <c r="R964" s="493"/>
      <c r="S964" s="493"/>
      <c r="T964" s="493"/>
      <c r="U964" s="493"/>
      <c r="V964" s="298"/>
      <c r="W964" s="298"/>
      <c r="X964" s="298"/>
      <c r="Y964" s="298"/>
      <c r="Z964" s="298"/>
      <c r="AA964" s="298"/>
      <c r="AB964" s="298"/>
      <c r="AC964" s="298"/>
      <c r="AD964" s="298"/>
      <c r="AE964" s="298"/>
      <c r="AF964" s="298"/>
      <c r="AG964" s="298"/>
      <c r="AH964" s="298"/>
      <c r="AI964" s="298"/>
      <c r="AJ964" s="298"/>
      <c r="AK964" s="298"/>
      <c r="AL964" s="298"/>
      <c r="AM964" s="298"/>
    </row>
    <row r="965" spans="1:39" ht="15.75" customHeight="1">
      <c r="A965" s="298"/>
      <c r="B965" s="298"/>
      <c r="C965" s="1901"/>
      <c r="D965" s="1947"/>
      <c r="E965" s="1901"/>
      <c r="F965" s="1954"/>
      <c r="G965" s="1901"/>
      <c r="H965" s="1901"/>
      <c r="I965" s="1901"/>
      <c r="J965" s="1647"/>
      <c r="K965" s="1901"/>
      <c r="L965" s="1901"/>
      <c r="M965" s="1955"/>
      <c r="N965" s="1956"/>
      <c r="O965" s="1955"/>
      <c r="P965" s="1955"/>
      <c r="Q965" s="1956"/>
      <c r="R965" s="493"/>
      <c r="S965" s="493"/>
      <c r="T965" s="493"/>
      <c r="U965" s="493"/>
      <c r="V965" s="298"/>
      <c r="W965" s="298"/>
      <c r="X965" s="298"/>
      <c r="Y965" s="298"/>
      <c r="Z965" s="298"/>
      <c r="AA965" s="298"/>
      <c r="AB965" s="298"/>
      <c r="AC965" s="298"/>
      <c r="AD965" s="298"/>
      <c r="AE965" s="298"/>
      <c r="AF965" s="298"/>
      <c r="AG965" s="298"/>
      <c r="AH965" s="298"/>
      <c r="AI965" s="298"/>
      <c r="AJ965" s="298"/>
      <c r="AK965" s="298"/>
      <c r="AL965" s="298"/>
      <c r="AM965" s="298"/>
    </row>
    <row r="966" spans="1:39" ht="15.75" customHeight="1">
      <c r="A966" s="298"/>
      <c r="B966" s="298"/>
      <c r="C966" s="1901"/>
      <c r="D966" s="1947"/>
      <c r="E966" s="1901"/>
      <c r="F966" s="1954"/>
      <c r="G966" s="1901"/>
      <c r="H966" s="1901"/>
      <c r="I966" s="1901"/>
      <c r="J966" s="1647"/>
      <c r="K966" s="1901"/>
      <c r="L966" s="1901"/>
      <c r="M966" s="1955"/>
      <c r="N966" s="1956"/>
      <c r="O966" s="1955"/>
      <c r="P966" s="1955"/>
      <c r="Q966" s="1956"/>
      <c r="R966" s="493"/>
      <c r="S966" s="493"/>
      <c r="T966" s="493"/>
      <c r="U966" s="493"/>
      <c r="V966" s="298"/>
      <c r="W966" s="298"/>
      <c r="X966" s="298"/>
      <c r="Y966" s="298"/>
      <c r="Z966" s="298"/>
      <c r="AA966" s="298"/>
      <c r="AB966" s="298"/>
      <c r="AC966" s="298"/>
      <c r="AD966" s="298"/>
      <c r="AE966" s="298"/>
      <c r="AF966" s="298"/>
      <c r="AG966" s="298"/>
      <c r="AH966" s="298"/>
      <c r="AI966" s="298"/>
      <c r="AJ966" s="298"/>
      <c r="AK966" s="298"/>
      <c r="AL966" s="298"/>
      <c r="AM966" s="298"/>
    </row>
    <row r="967" spans="1:39" ht="15.75" customHeight="1">
      <c r="A967" s="298"/>
      <c r="B967" s="298"/>
      <c r="C967" s="1901"/>
      <c r="D967" s="1947"/>
      <c r="E967" s="1901"/>
      <c r="F967" s="1954"/>
      <c r="G967" s="1901"/>
      <c r="H967" s="1901"/>
      <c r="I967" s="1901"/>
      <c r="J967" s="1647"/>
      <c r="K967" s="1901"/>
      <c r="L967" s="1901"/>
      <c r="M967" s="1955"/>
      <c r="N967" s="1956"/>
      <c r="O967" s="1955"/>
      <c r="P967" s="1955"/>
      <c r="Q967" s="1956"/>
      <c r="R967" s="493"/>
      <c r="S967" s="493"/>
      <c r="T967" s="493"/>
      <c r="U967" s="493"/>
      <c r="V967" s="298"/>
      <c r="W967" s="298"/>
      <c r="X967" s="298"/>
      <c r="Y967" s="298"/>
      <c r="Z967" s="298"/>
      <c r="AA967" s="298"/>
      <c r="AB967" s="298"/>
      <c r="AC967" s="298"/>
      <c r="AD967" s="298"/>
      <c r="AE967" s="298"/>
      <c r="AF967" s="298"/>
      <c r="AG967" s="298"/>
      <c r="AH967" s="298"/>
      <c r="AI967" s="298"/>
      <c r="AJ967" s="298"/>
      <c r="AK967" s="298"/>
      <c r="AL967" s="298"/>
      <c r="AM967" s="298"/>
    </row>
    <row r="968" spans="1:39" ht="15.75" customHeight="1">
      <c r="A968" s="298"/>
      <c r="B968" s="298"/>
      <c r="C968" s="1901"/>
      <c r="D968" s="1947"/>
      <c r="E968" s="1901"/>
      <c r="F968" s="1954"/>
      <c r="G968" s="1901"/>
      <c r="H968" s="1901"/>
      <c r="I968" s="1901"/>
      <c r="J968" s="1647"/>
      <c r="K968" s="1901"/>
      <c r="L968" s="1901"/>
      <c r="M968" s="1955"/>
      <c r="N968" s="1956"/>
      <c r="O968" s="1955"/>
      <c r="P968" s="1955"/>
      <c r="Q968" s="1956"/>
      <c r="R968" s="493"/>
      <c r="S968" s="493"/>
      <c r="T968" s="493"/>
      <c r="U968" s="493"/>
      <c r="V968" s="298"/>
      <c r="W968" s="298"/>
      <c r="X968" s="298"/>
      <c r="Y968" s="298"/>
      <c r="Z968" s="298"/>
      <c r="AA968" s="298"/>
      <c r="AB968" s="298"/>
      <c r="AC968" s="298"/>
      <c r="AD968" s="298"/>
      <c r="AE968" s="298"/>
      <c r="AF968" s="298"/>
      <c r="AG968" s="298"/>
      <c r="AH968" s="298"/>
      <c r="AI968" s="298"/>
      <c r="AJ968" s="298"/>
      <c r="AK968" s="298"/>
      <c r="AL968" s="298"/>
      <c r="AM968" s="298"/>
    </row>
    <row r="969" spans="1:39" ht="15.75" customHeight="1">
      <c r="A969" s="298"/>
      <c r="B969" s="298"/>
      <c r="C969" s="1901"/>
      <c r="D969" s="1947"/>
      <c r="E969" s="1901"/>
      <c r="F969" s="1954"/>
      <c r="G969" s="1901"/>
      <c r="H969" s="1901"/>
      <c r="I969" s="1901"/>
      <c r="J969" s="1647"/>
      <c r="K969" s="1901"/>
      <c r="L969" s="1901"/>
      <c r="M969" s="1955"/>
      <c r="N969" s="1956"/>
      <c r="O969" s="1955"/>
      <c r="P969" s="1955"/>
      <c r="Q969" s="1956"/>
      <c r="R969" s="493"/>
      <c r="S969" s="493"/>
      <c r="T969" s="493"/>
      <c r="U969" s="493"/>
      <c r="V969" s="298"/>
      <c r="W969" s="298"/>
      <c r="X969" s="298"/>
      <c r="Y969" s="298"/>
      <c r="Z969" s="298"/>
      <c r="AA969" s="298"/>
      <c r="AB969" s="298"/>
      <c r="AC969" s="298"/>
      <c r="AD969" s="298"/>
      <c r="AE969" s="298"/>
      <c r="AF969" s="298"/>
      <c r="AG969" s="298"/>
      <c r="AH969" s="298"/>
      <c r="AI969" s="298"/>
      <c r="AJ969" s="298"/>
      <c r="AK969" s="298"/>
      <c r="AL969" s="298"/>
      <c r="AM969" s="298"/>
    </row>
    <row r="970" spans="1:39" ht="15.75" customHeight="1">
      <c r="A970" s="298"/>
      <c r="B970" s="298"/>
      <c r="C970" s="1901"/>
      <c r="D970" s="1947"/>
      <c r="E970" s="1901"/>
      <c r="F970" s="1954"/>
      <c r="G970" s="1901"/>
      <c r="H970" s="1901"/>
      <c r="I970" s="1901"/>
      <c r="J970" s="1647"/>
      <c r="K970" s="1901"/>
      <c r="L970" s="1901"/>
      <c r="M970" s="1955"/>
      <c r="N970" s="1956"/>
      <c r="O970" s="1955"/>
      <c r="P970" s="1955"/>
      <c r="Q970" s="1956"/>
      <c r="R970" s="493"/>
      <c r="S970" s="493"/>
      <c r="T970" s="493"/>
      <c r="U970" s="493"/>
      <c r="V970" s="298"/>
      <c r="W970" s="298"/>
      <c r="X970" s="298"/>
      <c r="Y970" s="298"/>
      <c r="Z970" s="298"/>
      <c r="AA970" s="298"/>
      <c r="AB970" s="298"/>
      <c r="AC970" s="298"/>
      <c r="AD970" s="298"/>
      <c r="AE970" s="298"/>
      <c r="AF970" s="298"/>
      <c r="AG970" s="298"/>
      <c r="AH970" s="298"/>
      <c r="AI970" s="298"/>
      <c r="AJ970" s="298"/>
      <c r="AK970" s="298"/>
      <c r="AL970" s="298"/>
      <c r="AM970" s="298"/>
    </row>
    <row r="971" spans="1:39" ht="15.75" customHeight="1">
      <c r="A971" s="298"/>
      <c r="B971" s="298"/>
      <c r="C971" s="1901"/>
      <c r="D971" s="1947"/>
      <c r="E971" s="1901"/>
      <c r="F971" s="1954"/>
      <c r="G971" s="1901"/>
      <c r="H971" s="1901"/>
      <c r="I971" s="1901"/>
      <c r="J971" s="1647"/>
      <c r="K971" s="1901"/>
      <c r="L971" s="1901"/>
      <c r="M971" s="1955"/>
      <c r="N971" s="1956"/>
      <c r="O971" s="1955"/>
      <c r="P971" s="1955"/>
      <c r="Q971" s="1956"/>
      <c r="R971" s="493"/>
      <c r="S971" s="493"/>
      <c r="T971" s="493"/>
      <c r="U971" s="493"/>
      <c r="V971" s="298"/>
      <c r="W971" s="298"/>
      <c r="X971" s="298"/>
      <c r="Y971" s="298"/>
      <c r="Z971" s="298"/>
      <c r="AA971" s="298"/>
      <c r="AB971" s="298"/>
      <c r="AC971" s="298"/>
      <c r="AD971" s="298"/>
      <c r="AE971" s="298"/>
      <c r="AF971" s="298"/>
      <c r="AG971" s="298"/>
      <c r="AH971" s="298"/>
      <c r="AI971" s="298"/>
      <c r="AJ971" s="298"/>
      <c r="AK971" s="298"/>
      <c r="AL971" s="298"/>
      <c r="AM971" s="298"/>
    </row>
    <row r="972" spans="1:39" ht="15.75" customHeight="1">
      <c r="A972" s="298"/>
      <c r="B972" s="298"/>
      <c r="C972" s="1901"/>
      <c r="D972" s="1947"/>
      <c r="E972" s="1901"/>
      <c r="F972" s="1954"/>
      <c r="G972" s="1901"/>
      <c r="H972" s="1901"/>
      <c r="I972" s="1901"/>
      <c r="J972" s="1647"/>
      <c r="K972" s="1901"/>
      <c r="L972" s="1901"/>
      <c r="M972" s="1955"/>
      <c r="N972" s="1956"/>
      <c r="O972" s="1955"/>
      <c r="P972" s="1955"/>
      <c r="Q972" s="1956"/>
      <c r="R972" s="493"/>
      <c r="S972" s="493"/>
      <c r="T972" s="493"/>
      <c r="U972" s="493"/>
      <c r="V972" s="298"/>
      <c r="W972" s="298"/>
      <c r="X972" s="298"/>
      <c r="Y972" s="298"/>
      <c r="Z972" s="298"/>
      <c r="AA972" s="298"/>
      <c r="AB972" s="298"/>
      <c r="AC972" s="298"/>
      <c r="AD972" s="298"/>
      <c r="AE972" s="298"/>
      <c r="AF972" s="298"/>
      <c r="AG972" s="298"/>
      <c r="AH972" s="298"/>
      <c r="AI972" s="298"/>
      <c r="AJ972" s="298"/>
      <c r="AK972" s="298"/>
      <c r="AL972" s="298"/>
      <c r="AM972" s="298"/>
    </row>
    <row r="973" spans="1:39" ht="15.75" customHeight="1">
      <c r="A973" s="298"/>
      <c r="B973" s="298"/>
      <c r="C973" s="1901"/>
      <c r="D973" s="1947"/>
      <c r="E973" s="1901"/>
      <c r="F973" s="1954"/>
      <c r="G973" s="1901"/>
      <c r="H973" s="1901"/>
      <c r="I973" s="1901"/>
      <c r="J973" s="1647"/>
      <c r="K973" s="1901"/>
      <c r="L973" s="1901"/>
      <c r="M973" s="1955"/>
      <c r="N973" s="1956"/>
      <c r="O973" s="1955"/>
      <c r="P973" s="1955"/>
      <c r="Q973" s="1956"/>
      <c r="R973" s="493"/>
      <c r="S973" s="493"/>
      <c r="T973" s="493"/>
      <c r="U973" s="493"/>
      <c r="V973" s="298"/>
      <c r="W973" s="298"/>
      <c r="X973" s="298"/>
      <c r="Y973" s="298"/>
      <c r="Z973" s="298"/>
      <c r="AA973" s="298"/>
      <c r="AB973" s="298"/>
      <c r="AC973" s="298"/>
      <c r="AD973" s="298"/>
      <c r="AE973" s="298"/>
      <c r="AF973" s="298"/>
      <c r="AG973" s="298"/>
      <c r="AH973" s="298"/>
      <c r="AI973" s="298"/>
      <c r="AJ973" s="298"/>
      <c r="AK973" s="298"/>
      <c r="AL973" s="298"/>
      <c r="AM973" s="298"/>
    </row>
    <row r="974" spans="1:39" ht="15.75" customHeight="1">
      <c r="A974" s="298"/>
      <c r="B974" s="298"/>
      <c r="C974" s="1901"/>
      <c r="D974" s="1947"/>
      <c r="E974" s="1901"/>
      <c r="F974" s="1954"/>
      <c r="G974" s="1901"/>
      <c r="H974" s="1901"/>
      <c r="I974" s="1901"/>
      <c r="J974" s="1647"/>
      <c r="K974" s="1901"/>
      <c r="L974" s="1901"/>
      <c r="M974" s="1955"/>
      <c r="N974" s="1956"/>
      <c r="O974" s="1955"/>
      <c r="P974" s="1955"/>
      <c r="Q974" s="1956"/>
      <c r="R974" s="493"/>
      <c r="S974" s="493"/>
      <c r="T974" s="493"/>
      <c r="U974" s="493"/>
      <c r="V974" s="298"/>
      <c r="W974" s="298"/>
      <c r="X974" s="298"/>
      <c r="Y974" s="298"/>
      <c r="Z974" s="298"/>
      <c r="AA974" s="298"/>
      <c r="AB974" s="298"/>
      <c r="AC974" s="298"/>
      <c r="AD974" s="298"/>
      <c r="AE974" s="298"/>
      <c r="AF974" s="298"/>
      <c r="AG974" s="298"/>
      <c r="AH974" s="298"/>
      <c r="AI974" s="298"/>
      <c r="AJ974" s="298"/>
      <c r="AK974" s="298"/>
      <c r="AL974" s="298"/>
      <c r="AM974" s="298"/>
    </row>
    <row r="975" spans="1:39" ht="15.75" customHeight="1">
      <c r="A975" s="298"/>
      <c r="B975" s="298"/>
      <c r="C975" s="1901"/>
      <c r="D975" s="1947"/>
      <c r="E975" s="1901"/>
      <c r="F975" s="1954"/>
      <c r="G975" s="1901"/>
      <c r="H975" s="1901"/>
      <c r="I975" s="1901"/>
      <c r="J975" s="1647"/>
      <c r="K975" s="1901"/>
      <c r="L975" s="1901"/>
      <c r="M975" s="1955"/>
      <c r="N975" s="1956"/>
      <c r="O975" s="1955"/>
      <c r="P975" s="1955"/>
      <c r="Q975" s="1956"/>
      <c r="R975" s="493"/>
      <c r="S975" s="493"/>
      <c r="T975" s="493"/>
      <c r="U975" s="493"/>
      <c r="V975" s="298"/>
      <c r="W975" s="298"/>
      <c r="X975" s="298"/>
      <c r="Y975" s="298"/>
      <c r="Z975" s="298"/>
      <c r="AA975" s="298"/>
      <c r="AB975" s="298"/>
      <c r="AC975" s="298"/>
      <c r="AD975" s="298"/>
      <c r="AE975" s="298"/>
      <c r="AF975" s="298"/>
      <c r="AG975" s="298"/>
      <c r="AH975" s="298"/>
      <c r="AI975" s="298"/>
      <c r="AJ975" s="298"/>
      <c r="AK975" s="298"/>
      <c r="AL975" s="298"/>
      <c r="AM975" s="298"/>
    </row>
    <row r="976" spans="1:39" ht="15.75" customHeight="1">
      <c r="A976" s="298"/>
      <c r="B976" s="298"/>
      <c r="C976" s="1901"/>
      <c r="D976" s="1947"/>
      <c r="E976" s="1901"/>
      <c r="F976" s="1954"/>
      <c r="G976" s="1901"/>
      <c r="H976" s="1901"/>
      <c r="I976" s="1901"/>
      <c r="J976" s="1647"/>
      <c r="K976" s="1901"/>
      <c r="L976" s="1901"/>
      <c r="M976" s="1955"/>
      <c r="N976" s="1956"/>
      <c r="O976" s="1955"/>
      <c r="P976" s="1955"/>
      <c r="Q976" s="1956"/>
      <c r="R976" s="493"/>
      <c r="S976" s="493"/>
      <c r="T976" s="493"/>
      <c r="U976" s="493"/>
      <c r="V976" s="298"/>
      <c r="W976" s="298"/>
      <c r="X976" s="298"/>
      <c r="Y976" s="298"/>
      <c r="Z976" s="298"/>
      <c r="AA976" s="298"/>
      <c r="AB976" s="298"/>
      <c r="AC976" s="298"/>
      <c r="AD976" s="298"/>
      <c r="AE976" s="298"/>
      <c r="AF976" s="298"/>
      <c r="AG976" s="298"/>
      <c r="AH976" s="298"/>
      <c r="AI976" s="298"/>
      <c r="AJ976" s="298"/>
      <c r="AK976" s="298"/>
      <c r="AL976" s="298"/>
      <c r="AM976" s="298"/>
    </row>
    <row r="977" spans="1:39" ht="15.75" customHeight="1">
      <c r="A977" s="298"/>
      <c r="B977" s="298"/>
      <c r="C977" s="1901"/>
      <c r="D977" s="1947"/>
      <c r="E977" s="1901"/>
      <c r="F977" s="1954"/>
      <c r="G977" s="1901"/>
      <c r="H977" s="1901"/>
      <c r="I977" s="1901"/>
      <c r="J977" s="1647"/>
      <c r="K977" s="1901"/>
      <c r="L977" s="1901"/>
      <c r="M977" s="1955"/>
      <c r="N977" s="1956"/>
      <c r="O977" s="1955"/>
      <c r="P977" s="1955"/>
      <c r="Q977" s="1956"/>
      <c r="R977" s="493"/>
      <c r="S977" s="493"/>
      <c r="T977" s="493"/>
      <c r="U977" s="493"/>
      <c r="V977" s="298"/>
      <c r="W977" s="298"/>
      <c r="X977" s="298"/>
      <c r="Y977" s="298"/>
      <c r="Z977" s="298"/>
      <c r="AA977" s="298"/>
      <c r="AB977" s="298"/>
      <c r="AC977" s="298"/>
      <c r="AD977" s="298"/>
      <c r="AE977" s="298"/>
      <c r="AF977" s="298"/>
      <c r="AG977" s="298"/>
      <c r="AH977" s="298"/>
      <c r="AI977" s="298"/>
      <c r="AJ977" s="298"/>
      <c r="AK977" s="298"/>
      <c r="AL977" s="298"/>
      <c r="AM977" s="298"/>
    </row>
  </sheetData>
  <customSheetViews>
    <customSheetView guid="{E35DC7DC-3457-48C8-A5BC-48210E8789BE}" filter="1" showAutoFilter="1">
      <pageMargins left="0.7" right="0.7" top="0.75" bottom="0.75" header="0.3" footer="0.3"/>
      <autoFilter ref="L1:L934"/>
    </customSheetView>
  </customSheetViews>
  <conditionalFormatting sqref="F163">
    <cfRule type="containsText" dxfId="1492" priority="1" operator="containsText" text="F">
      <formula>NOT(ISERROR(SEARCH(("F"),(F163))))</formula>
    </cfRule>
  </conditionalFormatting>
  <conditionalFormatting sqref="Q163">
    <cfRule type="expression" dxfId="1491" priority="2">
      <formula>AND(ISNUMBER(Q163),TRUNC(Q163)&lt;TODAY())</formula>
    </cfRule>
  </conditionalFormatting>
  <conditionalFormatting sqref="P163">
    <cfRule type="expression" dxfId="1490" priority="3">
      <formula>AND(ISNUMBER(P163),TRUNC(P163)&lt;TODAY())</formula>
    </cfRule>
  </conditionalFormatting>
  <conditionalFormatting sqref="O163">
    <cfRule type="expression" dxfId="1489" priority="4">
      <formula>AND(ISNUMBER(O163),TRUNC(O163)&lt;TODAY())</formula>
    </cfRule>
  </conditionalFormatting>
  <conditionalFormatting sqref="O162:Q162">
    <cfRule type="expression" dxfId="1488" priority="5">
      <formula>AND(ISNUMBER(O162),TRUNC(O162)&lt;TODAY())</formula>
    </cfRule>
  </conditionalFormatting>
  <conditionalFormatting sqref="P162">
    <cfRule type="expression" dxfId="1487" priority="6">
      <formula>AND(ISNUMBER(P162),TRUNC(P162)&lt;TODAY())</formula>
    </cfRule>
  </conditionalFormatting>
  <conditionalFormatting sqref="F162">
    <cfRule type="containsText" dxfId="1486" priority="7" operator="containsText" text="F">
      <formula>NOT(ISERROR(SEARCH(("F"),(F162))))</formula>
    </cfRule>
  </conditionalFormatting>
  <conditionalFormatting sqref="F134">
    <cfRule type="containsText" dxfId="1485" priority="8" operator="containsText" text="F">
      <formula>NOT(ISERROR(SEARCH(("F"),(F134))))</formula>
    </cfRule>
  </conditionalFormatting>
  <conditionalFormatting sqref="O134:Q134">
    <cfRule type="expression" dxfId="1484" priority="9">
      <formula>AND(ISNUMBER(O134),TRUNC(O134)&lt;TODAY())</formula>
    </cfRule>
  </conditionalFormatting>
  <conditionalFormatting sqref="O133:Q133">
    <cfRule type="expression" dxfId="1483" priority="10">
      <formula>AND(ISNUMBER(O133),TRUNC(O133)&lt;TODAY())</formula>
    </cfRule>
  </conditionalFormatting>
  <conditionalFormatting sqref="F133">
    <cfRule type="containsText" dxfId="1482" priority="11" operator="containsText" text="F">
      <formula>NOT(ISERROR(SEARCH(("F"),(F133))))</formula>
    </cfRule>
  </conditionalFormatting>
  <conditionalFormatting sqref="F132">
    <cfRule type="containsText" dxfId="1481" priority="12" operator="containsText" text="F">
      <formula>NOT(ISERROR(SEARCH(("F"),(F132))))</formula>
    </cfRule>
  </conditionalFormatting>
  <conditionalFormatting sqref="O132">
    <cfRule type="expression" dxfId="1480" priority="13">
      <formula>AND(ISNUMBER(O132),TRUNC(O132)&lt;TODAY())</formula>
    </cfRule>
  </conditionalFormatting>
  <conditionalFormatting sqref="P132">
    <cfRule type="expression" dxfId="1479" priority="14">
      <formula>AND(ISNUMBER(P132),TRUNC(P132)&lt;TODAY())</formula>
    </cfRule>
  </conditionalFormatting>
  <conditionalFormatting sqref="Q132">
    <cfRule type="expression" dxfId="1478" priority="15">
      <formula>AND(ISNUMBER(Q132),TRUNC(Q132)&lt;TODAY())</formula>
    </cfRule>
  </conditionalFormatting>
  <conditionalFormatting sqref="Q131">
    <cfRule type="expression" dxfId="1477" priority="16">
      <formula>AND(ISNUMBER(Q131),TRUNC(Q131)&lt;TODAY())</formula>
    </cfRule>
  </conditionalFormatting>
  <conditionalFormatting sqref="P131">
    <cfRule type="expression" dxfId="1476" priority="17">
      <formula>AND(ISNUMBER(P131),TRUNC(P131)&lt;TODAY())</formula>
    </cfRule>
  </conditionalFormatting>
  <conditionalFormatting sqref="O131">
    <cfRule type="expression" dxfId="1475" priority="18">
      <formula>AND(ISNUMBER(O131),TRUNC(O131)&lt;TODAY())</formula>
    </cfRule>
  </conditionalFormatting>
  <conditionalFormatting sqref="O130">
    <cfRule type="expression" dxfId="1474" priority="19">
      <formula>AND(ISNUMBER(O130),TRUNC(O130)&lt;TODAY())</formula>
    </cfRule>
  </conditionalFormatting>
  <conditionalFormatting sqref="P130">
    <cfRule type="expression" dxfId="1473" priority="20">
      <formula>AND(ISNUMBER(P130),TRUNC(P130)&lt;TODAY())</formula>
    </cfRule>
  </conditionalFormatting>
  <conditionalFormatting sqref="Q130">
    <cfRule type="expression" dxfId="1472" priority="21">
      <formula>AND(ISNUMBER(Q130),TRUNC(Q130)&lt;TODAY())</formula>
    </cfRule>
  </conditionalFormatting>
  <conditionalFormatting sqref="F131">
    <cfRule type="containsText" dxfId="1471" priority="22" operator="containsText" text="F">
      <formula>NOT(ISERROR(SEARCH(("F"),(F131))))</formula>
    </cfRule>
  </conditionalFormatting>
  <conditionalFormatting sqref="F130">
    <cfRule type="containsText" dxfId="1470" priority="23" operator="containsText" text="F">
      <formula>NOT(ISERROR(SEARCH(("F"),(F130))))</formula>
    </cfRule>
  </conditionalFormatting>
  <conditionalFormatting sqref="F129">
    <cfRule type="containsText" dxfId="1469" priority="24" operator="containsText" text="F">
      <formula>NOT(ISERROR(SEARCH(("F"),(F129))))</formula>
    </cfRule>
  </conditionalFormatting>
  <conditionalFormatting sqref="O129:Q129">
    <cfRule type="expression" dxfId="1468" priority="25">
      <formula>AND(ISNUMBER(O129),TRUNC(O129)&lt;TODAY())</formula>
    </cfRule>
  </conditionalFormatting>
  <conditionalFormatting sqref="Q128">
    <cfRule type="expression" dxfId="1467" priority="26">
      <formula>AND(ISNUMBER(Q128),TRUNC(Q128)&lt;TODAY())</formula>
    </cfRule>
  </conditionalFormatting>
  <conditionalFormatting sqref="O128">
    <cfRule type="expression" dxfId="1466" priority="27">
      <formula>AND(ISNUMBER(O128),TRUNC(O128)&lt;TODAY())</formula>
    </cfRule>
  </conditionalFormatting>
  <conditionalFormatting sqref="P128">
    <cfRule type="expression" dxfId="1465" priority="28">
      <formula>AND(ISNUMBER(P128),TRUNC(P128)&lt;TODAY())</formula>
    </cfRule>
  </conditionalFormatting>
  <conditionalFormatting sqref="F128">
    <cfRule type="containsText" dxfId="1464" priority="29" operator="containsText" text="F">
      <formula>NOT(ISERROR(SEARCH(("F"),(F128))))</formula>
    </cfRule>
  </conditionalFormatting>
  <conditionalFormatting sqref="F127">
    <cfRule type="containsText" dxfId="1463" priority="30" operator="containsText" text="F">
      <formula>NOT(ISERROR(SEARCH(("F"),(F127))))</formula>
    </cfRule>
  </conditionalFormatting>
  <conditionalFormatting sqref="O127:Q127">
    <cfRule type="expression" dxfId="1462" priority="31">
      <formula>AND(ISNUMBER(O127),TRUNC(O127)&lt;TODAY())</formula>
    </cfRule>
  </conditionalFormatting>
  <conditionalFormatting sqref="F126">
    <cfRule type="containsText" dxfId="1461" priority="32" operator="containsText" text="F">
      <formula>NOT(ISERROR(SEARCH(("F"),(F126))))</formula>
    </cfRule>
  </conditionalFormatting>
  <conditionalFormatting sqref="O126:Q126">
    <cfRule type="expression" dxfId="1460" priority="33">
      <formula>AND(ISNUMBER(O126),TRUNC(O126)&lt;TODAY())</formula>
    </cfRule>
  </conditionalFormatting>
  <conditionalFormatting sqref="O125:Q125">
    <cfRule type="expression" dxfId="1459" priority="34">
      <formula>AND(ISNUMBER(O125),TRUNC(O125)&lt;TODAY())</formula>
    </cfRule>
  </conditionalFormatting>
  <conditionalFormatting sqref="F125">
    <cfRule type="containsText" dxfId="1458" priority="35" operator="containsText" text="F">
      <formula>NOT(ISERROR(SEARCH(("F"),(F125))))</formula>
    </cfRule>
  </conditionalFormatting>
  <conditionalFormatting sqref="F124">
    <cfRule type="containsText" dxfId="1457" priority="36" operator="containsText" text="F">
      <formula>NOT(ISERROR(SEARCH(("F"),(F124))))</formula>
    </cfRule>
  </conditionalFormatting>
  <conditionalFormatting sqref="O124:Q124">
    <cfRule type="expression" dxfId="1456" priority="37">
      <formula>AND(ISNUMBER(O124),TRUNC(O124)&lt;TODAY())</formula>
    </cfRule>
  </conditionalFormatting>
  <conditionalFormatting sqref="F123">
    <cfRule type="containsText" dxfId="1455" priority="38" operator="containsText" text="F">
      <formula>NOT(ISERROR(SEARCH(("F"),(F123))))</formula>
    </cfRule>
  </conditionalFormatting>
  <conditionalFormatting sqref="O123:Q123">
    <cfRule type="expression" dxfId="1454" priority="39">
      <formula>AND(ISNUMBER(O123),TRUNC(O123)&lt;TODAY())</formula>
    </cfRule>
  </conditionalFormatting>
  <conditionalFormatting sqref="O122:Q122">
    <cfRule type="expression" dxfId="1453" priority="40">
      <formula>AND(ISNUMBER(O122),TRUNC(O122)&lt;TODAY())</formula>
    </cfRule>
  </conditionalFormatting>
  <conditionalFormatting sqref="F122">
    <cfRule type="containsText" dxfId="1452" priority="41" operator="containsText" text="F">
      <formula>NOT(ISERROR(SEARCH(("F"),(F122))))</formula>
    </cfRule>
  </conditionalFormatting>
  <conditionalFormatting sqref="O121:Q121">
    <cfRule type="expression" dxfId="1451" priority="42">
      <formula>AND(ISNUMBER(O121),TRUNC(O121)&lt;TODAY())</formula>
    </cfRule>
  </conditionalFormatting>
  <conditionalFormatting sqref="F121">
    <cfRule type="containsText" dxfId="1450" priority="43" operator="containsText" text="F">
      <formula>NOT(ISERROR(SEARCH(("F"),(F121))))</formula>
    </cfRule>
  </conditionalFormatting>
  <conditionalFormatting sqref="O120:Q120">
    <cfRule type="expression" dxfId="1449" priority="44">
      <formula>AND(ISNUMBER(O120),TRUNC(O120)&lt;TODAY())</formula>
    </cfRule>
  </conditionalFormatting>
  <conditionalFormatting sqref="F120">
    <cfRule type="containsText" dxfId="1448" priority="45" operator="containsText" text="F">
      <formula>NOT(ISERROR(SEARCH(("F"),(F120))))</formula>
    </cfRule>
  </conditionalFormatting>
  <conditionalFormatting sqref="O119:Q119">
    <cfRule type="expression" dxfId="1447" priority="46">
      <formula>AND(ISNUMBER(O119),TRUNC(O119)&lt;TODAY())</formula>
    </cfRule>
  </conditionalFormatting>
  <conditionalFormatting sqref="F119">
    <cfRule type="containsText" dxfId="1446" priority="47" operator="containsText" text="F">
      <formula>NOT(ISERROR(SEARCH(("F"),(F119))))</formula>
    </cfRule>
  </conditionalFormatting>
  <conditionalFormatting sqref="F118">
    <cfRule type="containsText" dxfId="1445" priority="48" operator="containsText" text="F">
      <formula>NOT(ISERROR(SEARCH(("F"),(F118))))</formula>
    </cfRule>
  </conditionalFormatting>
  <conditionalFormatting sqref="O118:Q118">
    <cfRule type="expression" dxfId="1444" priority="49">
      <formula>AND(ISNUMBER(O118),TRUNC(O118)&lt;TODAY())</formula>
    </cfRule>
  </conditionalFormatting>
  <conditionalFormatting sqref="P118">
    <cfRule type="expression" dxfId="1443" priority="50">
      <formula>AND(ISNUMBER(P118),TRUNC(P118)&lt;TODAY())</formula>
    </cfRule>
  </conditionalFormatting>
  <conditionalFormatting sqref="F117">
    <cfRule type="containsText" dxfId="1442" priority="51" operator="containsText" text="F">
      <formula>NOT(ISERROR(SEARCH(("F"),(F117))))</formula>
    </cfRule>
  </conditionalFormatting>
  <conditionalFormatting sqref="O117:Q117">
    <cfRule type="expression" dxfId="1441" priority="52">
      <formula>AND(ISNUMBER(O117),TRUNC(O117)&lt;TODAY())</formula>
    </cfRule>
  </conditionalFormatting>
  <conditionalFormatting sqref="F116">
    <cfRule type="containsText" dxfId="1440" priority="53" operator="containsText" text="F">
      <formula>NOT(ISERROR(SEARCH(("F"),(F116))))</formula>
    </cfRule>
  </conditionalFormatting>
  <conditionalFormatting sqref="O116:Q116">
    <cfRule type="expression" dxfId="1439" priority="54">
      <formula>AND(ISNUMBER(O116),TRUNC(O116)&lt;TODAY())</formula>
    </cfRule>
  </conditionalFormatting>
  <conditionalFormatting sqref="O40:Q40">
    <cfRule type="expression" dxfId="1438" priority="55">
      <formula>AND(ISNUMBER(O40),TRUNC(O40)&lt;TODAY())</formula>
    </cfRule>
  </conditionalFormatting>
  <conditionalFormatting sqref="P40">
    <cfRule type="expression" dxfId="1437" priority="56">
      <formula>AND(ISNUMBER(P40),TRUNC(P40)&lt;TODAY())</formula>
    </cfRule>
  </conditionalFormatting>
  <conditionalFormatting sqref="O115:Q115">
    <cfRule type="expression" dxfId="1436" priority="57">
      <formula>AND(ISNUMBER(O115),TRUNC(O115)&lt;TODAY())</formula>
    </cfRule>
  </conditionalFormatting>
  <conditionalFormatting sqref="F114">
    <cfRule type="containsText" dxfId="1435" priority="58" operator="containsText" text="F">
      <formula>NOT(ISERROR(SEARCH(("F"),(F114))))</formula>
    </cfRule>
  </conditionalFormatting>
  <conditionalFormatting sqref="P114">
    <cfRule type="expression" dxfId="1434" priority="59">
      <formula>AND(ISNUMBER(P114),TRUNC(P114)&lt;TODAY())</formula>
    </cfRule>
  </conditionalFormatting>
  <conditionalFormatting sqref="P114">
    <cfRule type="expression" dxfId="1433" priority="60">
      <formula>AND(ISNUMBER(P114),TRUNC(P114)&lt;TODAY())</formula>
    </cfRule>
  </conditionalFormatting>
  <conditionalFormatting sqref="O114">
    <cfRule type="expression" dxfId="1432" priority="61">
      <formula>AND(ISNUMBER(O114),TRUNC(O114)&lt;TODAY())</formula>
    </cfRule>
  </conditionalFormatting>
  <conditionalFormatting sqref="Q114">
    <cfRule type="expression" dxfId="1431" priority="62">
      <formula>AND(ISNUMBER(Q114),TRUNC(Q114)&lt;TODAY())</formula>
    </cfRule>
  </conditionalFormatting>
  <conditionalFormatting sqref="F113">
    <cfRule type="containsText" dxfId="1430" priority="63" operator="containsText" text="F">
      <formula>NOT(ISERROR(SEARCH(("F"),(F113))))</formula>
    </cfRule>
  </conditionalFormatting>
  <conditionalFormatting sqref="O113">
    <cfRule type="expression" dxfId="1429" priority="64">
      <formula>AND(ISNUMBER(O113),TRUNC(O113)&lt;TODAY())</formula>
    </cfRule>
  </conditionalFormatting>
  <conditionalFormatting sqref="P113">
    <cfRule type="expression" dxfId="1428" priority="65">
      <formula>AND(ISNUMBER(P113),TRUNC(P113)&lt;TODAY())</formula>
    </cfRule>
  </conditionalFormatting>
  <conditionalFormatting sqref="Q113">
    <cfRule type="expression" dxfId="1427" priority="66">
      <formula>AND(ISNUMBER(Q113),TRUNC(Q113)&lt;TODAY())</formula>
    </cfRule>
  </conditionalFormatting>
  <conditionalFormatting sqref="O112:Q112">
    <cfRule type="expression" dxfId="1426" priority="67">
      <formula>AND(ISNUMBER(O112),TRUNC(O112)&lt;TODAY())</formula>
    </cfRule>
  </conditionalFormatting>
  <conditionalFormatting sqref="F112">
    <cfRule type="containsText" dxfId="1425" priority="68" operator="containsText" text="F">
      <formula>NOT(ISERROR(SEARCH(("F"),(F112))))</formula>
    </cfRule>
  </conditionalFormatting>
  <conditionalFormatting sqref="O111">
    <cfRule type="expression" dxfId="1424" priority="69">
      <formula>AND(ISNUMBER(O111),TRUNC(O111)&lt;TODAY())</formula>
    </cfRule>
  </conditionalFormatting>
  <conditionalFormatting sqref="P111">
    <cfRule type="expression" dxfId="1423" priority="70">
      <formula>AND(ISNUMBER(P111),TRUNC(P111)&lt;TODAY())</formula>
    </cfRule>
  </conditionalFormatting>
  <conditionalFormatting sqref="Q111">
    <cfRule type="expression" dxfId="1422" priority="71">
      <formula>AND(ISNUMBER(Q111),TRUNC(Q111)&lt;TODAY())</formula>
    </cfRule>
  </conditionalFormatting>
  <conditionalFormatting sqref="Q111">
    <cfRule type="expression" dxfId="1421" priority="72">
      <formula>AND(ISNUMBER(Q111),TRUNC(Q111)&lt;TODAY())</formula>
    </cfRule>
  </conditionalFormatting>
  <conditionalFormatting sqref="V111">
    <cfRule type="notContainsBlanks" dxfId="1420" priority="73">
      <formula>LEN(TRIM(V111))&gt;0</formula>
    </cfRule>
  </conditionalFormatting>
  <conditionalFormatting sqref="F111">
    <cfRule type="containsText" dxfId="1419" priority="74" operator="containsText" text="F">
      <formula>NOT(ISERROR(SEARCH(("F"),(F111))))</formula>
    </cfRule>
  </conditionalFormatting>
  <conditionalFormatting sqref="O110:Q110">
    <cfRule type="expression" dxfId="1418" priority="75">
      <formula>AND(ISNUMBER(O110),TRUNC(O110)&lt;TODAY())</formula>
    </cfRule>
  </conditionalFormatting>
  <conditionalFormatting sqref="F110">
    <cfRule type="containsText" dxfId="1417" priority="76" operator="containsText" text="F">
      <formula>NOT(ISERROR(SEARCH(("F"),(F110))))</formula>
    </cfRule>
  </conditionalFormatting>
  <conditionalFormatting sqref="F109">
    <cfRule type="containsText" dxfId="1416" priority="77" operator="containsText" text="F">
      <formula>NOT(ISERROR(SEARCH(("F"),(F109))))</formula>
    </cfRule>
  </conditionalFormatting>
  <conditionalFormatting sqref="O109:Q109">
    <cfRule type="expression" dxfId="1415" priority="78">
      <formula>AND(ISNUMBER(O109),TRUNC(O109)&lt;TODAY())</formula>
    </cfRule>
  </conditionalFormatting>
  <conditionalFormatting sqref="O161:Q161">
    <cfRule type="expression" dxfId="1414" priority="79">
      <formula>AND(ISNUMBER(O161),TRUNC(O161)&lt;TODAY())</formula>
    </cfRule>
  </conditionalFormatting>
  <conditionalFormatting sqref="F161">
    <cfRule type="containsText" dxfId="1413" priority="80" operator="containsText" text="F">
      <formula>NOT(ISERROR(SEARCH(("F"),(F161))))</formula>
    </cfRule>
  </conditionalFormatting>
  <conditionalFormatting sqref="O108:Q108">
    <cfRule type="expression" dxfId="1412" priority="81">
      <formula>AND(ISNUMBER(O108),TRUNC(O108)&lt;TODAY())</formula>
    </cfRule>
  </conditionalFormatting>
  <conditionalFormatting sqref="F108">
    <cfRule type="containsText" dxfId="1411" priority="82" operator="containsText" text="F">
      <formula>NOT(ISERROR(SEARCH(("F"),(F108))))</formula>
    </cfRule>
  </conditionalFormatting>
  <conditionalFormatting sqref="O107:Q107">
    <cfRule type="expression" dxfId="1410" priority="83">
      <formula>AND(ISNUMBER(O107),TRUNC(O107)&lt;TODAY())</formula>
    </cfRule>
  </conditionalFormatting>
  <conditionalFormatting sqref="F107">
    <cfRule type="containsText" dxfId="1409" priority="84" operator="containsText" text="F">
      <formula>NOT(ISERROR(SEARCH(("F"),(F107))))</formula>
    </cfRule>
  </conditionalFormatting>
  <conditionalFormatting sqref="F106">
    <cfRule type="containsText" dxfId="1408" priority="85" operator="containsText" text="F">
      <formula>NOT(ISERROR(SEARCH(("F"),(F106))))</formula>
    </cfRule>
  </conditionalFormatting>
  <conditionalFormatting sqref="O106:Q106">
    <cfRule type="expression" dxfId="1407" priority="86">
      <formula>AND(ISNUMBER(O106),TRUNC(O106)&lt;TODAY())</formula>
    </cfRule>
  </conditionalFormatting>
  <conditionalFormatting sqref="O160">
    <cfRule type="expression" dxfId="1406" priority="87">
      <formula>AND(ISNUMBER(O160),TRUNC(O160)&lt;TODAY())</formula>
    </cfRule>
  </conditionalFormatting>
  <conditionalFormatting sqref="Q160">
    <cfRule type="expression" dxfId="1405" priority="88">
      <formula>AND(ISNUMBER(Q160),TRUNC(Q160)&lt;TODAY())</formula>
    </cfRule>
  </conditionalFormatting>
  <conditionalFormatting sqref="P160">
    <cfRule type="expression" dxfId="1404" priority="89">
      <formula>AND(ISNUMBER(P160),TRUNC(P160)&lt;TODAY())</formula>
    </cfRule>
  </conditionalFormatting>
  <conditionalFormatting sqref="F160">
    <cfRule type="containsText" dxfId="1403" priority="90" operator="containsText" text="F">
      <formula>NOT(ISERROR(SEARCH(("F"),(F160))))</formula>
    </cfRule>
  </conditionalFormatting>
  <conditionalFormatting sqref="O159">
    <cfRule type="expression" dxfId="1402" priority="91">
      <formula>AND(ISNUMBER(O159),TRUNC(O159)&lt;TODAY())</formula>
    </cfRule>
  </conditionalFormatting>
  <conditionalFormatting sqref="P159">
    <cfRule type="expression" dxfId="1401" priority="92">
      <formula>P159&lt;44165</formula>
    </cfRule>
  </conditionalFormatting>
  <conditionalFormatting sqref="P159">
    <cfRule type="expression" dxfId="1400" priority="93">
      <formula>AND(ISNUMBER(P159),TRUNC(P159)&lt;TODAY())</formula>
    </cfRule>
  </conditionalFormatting>
  <conditionalFormatting sqref="V159">
    <cfRule type="notContainsBlanks" dxfId="1399" priority="94">
      <formula>LEN(TRIM(V159))&gt;0</formula>
    </cfRule>
  </conditionalFormatting>
  <conditionalFormatting sqref="Q159">
    <cfRule type="expression" dxfId="1398" priority="95">
      <formula>AND(ISNUMBER(Q159),TRUNC(Q159)&lt;TODAY())</formula>
    </cfRule>
  </conditionalFormatting>
  <conditionalFormatting sqref="F159">
    <cfRule type="containsText" dxfId="1397" priority="96" operator="containsText" text="F">
      <formula>NOT(ISERROR(SEARCH(("F"),(F159))))</formula>
    </cfRule>
  </conditionalFormatting>
  <conditionalFormatting sqref="F105">
    <cfRule type="containsText" dxfId="1396" priority="97" operator="containsText" text="F">
      <formula>NOT(ISERROR(SEARCH(("F"),(F105))))</formula>
    </cfRule>
  </conditionalFormatting>
  <conditionalFormatting sqref="O105:Q105">
    <cfRule type="expression" dxfId="1395" priority="98">
      <formula>AND(ISNUMBER(O105),TRUNC(O105)&lt;TODAY())</formula>
    </cfRule>
  </conditionalFormatting>
  <conditionalFormatting sqref="F158">
    <cfRule type="containsText" dxfId="1394" priority="99" operator="containsText" text="F">
      <formula>NOT(ISERROR(SEARCH(("F"),(F158))))</formula>
    </cfRule>
  </conditionalFormatting>
  <conditionalFormatting sqref="O158:Q158">
    <cfRule type="expression" dxfId="1393" priority="100">
      <formula>AND(ISNUMBER(O158),TRUNC(O158)&lt;TODAY())</formula>
    </cfRule>
  </conditionalFormatting>
  <conditionalFormatting sqref="O104:Q104">
    <cfRule type="expression" dxfId="1392" priority="101">
      <formula>AND(ISNUMBER(O104),TRUNC(O104)&lt;TODAY())</formula>
    </cfRule>
  </conditionalFormatting>
  <conditionalFormatting sqref="F104">
    <cfRule type="containsText" dxfId="1391" priority="102" operator="containsText" text="F">
      <formula>NOT(ISERROR(SEARCH(("F"),(F104))))</formula>
    </cfRule>
  </conditionalFormatting>
  <conditionalFormatting sqref="F103">
    <cfRule type="containsText" dxfId="1390" priority="103" operator="containsText" text="F">
      <formula>NOT(ISERROR(SEARCH(("F"),(F103))))</formula>
    </cfRule>
  </conditionalFormatting>
  <conditionalFormatting sqref="P103">
    <cfRule type="expression" dxfId="1389" priority="104">
      <formula>AND(ISNUMBER(P103),TRUNC(P103)&lt;TODAY())</formula>
    </cfRule>
  </conditionalFormatting>
  <conditionalFormatting sqref="O103">
    <cfRule type="expression" dxfId="1388" priority="105">
      <formula>AND(ISNUMBER(O103),TRUNC(O103)&lt;TODAY())</formula>
    </cfRule>
  </conditionalFormatting>
  <conditionalFormatting sqref="Q103">
    <cfRule type="expression" dxfId="1387" priority="106">
      <formula>AND(ISNUMBER(Q103),TRUNC(Q103)&lt;TODAY())</formula>
    </cfRule>
  </conditionalFormatting>
  <conditionalFormatting sqref="F157">
    <cfRule type="containsText" dxfId="1386" priority="107" operator="containsText" text="F">
      <formula>NOT(ISERROR(SEARCH(("F"),(F157))))</formula>
    </cfRule>
  </conditionalFormatting>
  <conditionalFormatting sqref="Q157">
    <cfRule type="expression" dxfId="1385" priority="108">
      <formula>AND(ISNUMBER(Q157),TRUNC(Q157)&lt;TODAY())</formula>
    </cfRule>
  </conditionalFormatting>
  <conditionalFormatting sqref="O157">
    <cfRule type="expression" dxfId="1384" priority="109">
      <formula>AND(ISNUMBER(O157),TRUNC(O157)&lt;TODAY())</formula>
    </cfRule>
  </conditionalFormatting>
  <conditionalFormatting sqref="P157">
    <cfRule type="expression" dxfId="1383" priority="110">
      <formula>AND(ISNUMBER(P157),TRUNC(P157)&lt;TODAY())</formula>
    </cfRule>
  </conditionalFormatting>
  <conditionalFormatting sqref="Q156">
    <cfRule type="expression" dxfId="1382" priority="111">
      <formula>AND(ISNUMBER(Q156),TRUNC(Q156)&lt;TODAY())</formula>
    </cfRule>
  </conditionalFormatting>
  <conditionalFormatting sqref="F156">
    <cfRule type="containsText" dxfId="1381" priority="112" operator="containsText" text="F">
      <formula>NOT(ISERROR(SEARCH(("F"),(F156))))</formula>
    </cfRule>
  </conditionalFormatting>
  <conditionalFormatting sqref="P156">
    <cfRule type="expression" dxfId="1380" priority="113">
      <formula>AND(ISNUMBER(P156),TRUNC(P156)&lt;TODAY())</formula>
    </cfRule>
  </conditionalFormatting>
  <conditionalFormatting sqref="O156">
    <cfRule type="expression" dxfId="1379" priority="114">
      <formula>AND(ISNUMBER(O156),TRUNC(O156)&lt;TODAY())</formula>
    </cfRule>
  </conditionalFormatting>
  <conditionalFormatting sqref="O101:Q101">
    <cfRule type="expression" dxfId="1378" priority="115">
      <formula>AND(ISNUMBER(O101),TRUNC(O101)&lt;TODAY())</formula>
    </cfRule>
  </conditionalFormatting>
  <conditionalFormatting sqref="F101">
    <cfRule type="containsText" dxfId="1377" priority="116" operator="containsText" text="F">
      <formula>NOT(ISERROR(SEARCH(("F"),(F101))))</formula>
    </cfRule>
  </conditionalFormatting>
  <conditionalFormatting sqref="O100:Q100">
    <cfRule type="expression" dxfId="1376" priority="117">
      <formula>AND(ISNUMBER(O100),TRUNC(O100)&lt;TODAY())</formula>
    </cfRule>
  </conditionalFormatting>
  <conditionalFormatting sqref="F100">
    <cfRule type="containsText" dxfId="1375" priority="118" operator="containsText" text="F">
      <formula>NOT(ISERROR(SEARCH(("F"),(F100))))</formula>
    </cfRule>
  </conditionalFormatting>
  <conditionalFormatting sqref="O99:Q99">
    <cfRule type="expression" dxfId="1374" priority="119">
      <formula>AND(ISNUMBER(O99),TRUNC(O99)&lt;TODAY())</formula>
    </cfRule>
  </conditionalFormatting>
  <conditionalFormatting sqref="F99">
    <cfRule type="containsText" dxfId="1373" priority="120" operator="containsText" text="F">
      <formula>NOT(ISERROR(SEARCH(("F"),(F99))))</formula>
    </cfRule>
  </conditionalFormatting>
  <conditionalFormatting sqref="F97">
    <cfRule type="containsText" dxfId="1372" priority="121" operator="containsText" text="F">
      <formula>NOT(ISERROR(SEARCH(("F"),(F97))))</formula>
    </cfRule>
  </conditionalFormatting>
  <conditionalFormatting sqref="O97">
    <cfRule type="expression" dxfId="1371" priority="122">
      <formula>AND(ISNUMBER(O97),TRUNC(O97)&lt;TODAY())</formula>
    </cfRule>
  </conditionalFormatting>
  <conditionalFormatting sqref="P97">
    <cfRule type="expression" dxfId="1370" priority="123">
      <formula>AND(ISNUMBER(P97),TRUNC(P97)&lt;TODAY())</formula>
    </cfRule>
  </conditionalFormatting>
  <conditionalFormatting sqref="Q97">
    <cfRule type="expression" dxfId="1369" priority="124">
      <formula>AND(ISNUMBER(Q97),TRUNC(Q97)&lt;TODAY())</formula>
    </cfRule>
  </conditionalFormatting>
  <conditionalFormatting sqref="Q97">
    <cfRule type="expression" dxfId="1368" priority="125">
      <formula>AND(ISNUMBER(Q97),TRUNC(Q97)&lt;TODAY())</formula>
    </cfRule>
  </conditionalFormatting>
  <conditionalFormatting sqref="F98">
    <cfRule type="containsText" dxfId="1367" priority="126" operator="containsText" text="F">
      <formula>NOT(ISERROR(SEARCH(("F"),(F98))))</formula>
    </cfRule>
  </conditionalFormatting>
  <conditionalFormatting sqref="P98:Q98">
    <cfRule type="expression" dxfId="1366" priority="127">
      <formula>AND(ISNUMBER(P98),TRUNC(P98)&lt;TODAY())</formula>
    </cfRule>
  </conditionalFormatting>
  <conditionalFormatting sqref="O98:Q98">
    <cfRule type="expression" dxfId="1365" priority="128">
      <formula>AND(ISNUMBER(O98),TRUNC(O98)&lt;TODAY())</formula>
    </cfRule>
  </conditionalFormatting>
  <conditionalFormatting sqref="F155">
    <cfRule type="containsText" dxfId="1364" priority="129" operator="containsText" text="F">
      <formula>NOT(ISERROR(SEARCH(("F"),(F155))))</formula>
    </cfRule>
  </conditionalFormatting>
  <conditionalFormatting sqref="O155:Q155">
    <cfRule type="expression" dxfId="1363" priority="130">
      <formula>AND(ISNUMBER(O155),TRUNC(O155)&lt;TODAY())</formula>
    </cfRule>
  </conditionalFormatting>
  <conditionalFormatting sqref="O135:Q135">
    <cfRule type="expression" dxfId="1362" priority="131">
      <formula>AND(ISNUMBER(O135),TRUNC(O135)&lt;TODAY())</formula>
    </cfRule>
  </conditionalFormatting>
  <conditionalFormatting sqref="F135">
    <cfRule type="containsText" dxfId="1361" priority="132" operator="containsText" text="F">
      <formula>NOT(ISERROR(SEARCH(("F"),(F135))))</formula>
    </cfRule>
  </conditionalFormatting>
  <conditionalFormatting sqref="O96:Q96">
    <cfRule type="expression" dxfId="1360" priority="133">
      <formula>AND(ISNUMBER(O96),TRUNC(O96)&lt;TODAY())</formula>
    </cfRule>
  </conditionalFormatting>
  <conditionalFormatting sqref="O95:Q95">
    <cfRule type="expression" dxfId="1359" priority="134">
      <formula>AND(ISNUMBER(O95),TRUNC(O95)&lt;TODAY())</formula>
    </cfRule>
  </conditionalFormatting>
  <conditionalFormatting sqref="F95">
    <cfRule type="containsText" dxfId="1358" priority="135" operator="containsText" text="F">
      <formula>NOT(ISERROR(SEARCH(("F"),(F95))))</formula>
    </cfRule>
  </conditionalFormatting>
  <conditionalFormatting sqref="F94">
    <cfRule type="containsText" dxfId="1357" priority="136" operator="containsText" text="F">
      <formula>NOT(ISERROR(SEARCH(("F"),(F94))))</formula>
    </cfRule>
  </conditionalFormatting>
  <conditionalFormatting sqref="O94:Q94">
    <cfRule type="expression" dxfId="1356" priority="137">
      <formula>AND(ISNUMBER(O94),TRUNC(O94)&lt;TODAY())</formula>
    </cfRule>
  </conditionalFormatting>
  <conditionalFormatting sqref="F93">
    <cfRule type="containsText" dxfId="1355" priority="138" operator="containsText" text="F">
      <formula>NOT(ISERROR(SEARCH(("F"),(F93))))</formula>
    </cfRule>
  </conditionalFormatting>
  <conditionalFormatting sqref="O93:Q93">
    <cfRule type="expression" dxfId="1354" priority="139">
      <formula>AND(ISNUMBER(O93),TRUNC(O93)&lt;TODAY())</formula>
    </cfRule>
  </conditionalFormatting>
  <conditionalFormatting sqref="O92:Q92">
    <cfRule type="expression" dxfId="1353" priority="140">
      <formula>AND(ISNUMBER(O92),TRUNC(O92)&lt;TODAY())</formula>
    </cfRule>
  </conditionalFormatting>
  <conditionalFormatting sqref="F92">
    <cfRule type="containsText" dxfId="1352" priority="141" operator="containsText" text="F">
      <formula>NOT(ISERROR(SEARCH(("F"),(F92))))</formula>
    </cfRule>
  </conditionalFormatting>
  <conditionalFormatting sqref="F91">
    <cfRule type="containsText" dxfId="1351" priority="142" operator="containsText" text="F">
      <formula>NOT(ISERROR(SEARCH(("F"),(F91))))</formula>
    </cfRule>
  </conditionalFormatting>
  <conditionalFormatting sqref="O91:Q91">
    <cfRule type="expression" dxfId="1350" priority="143">
      <formula>AND(ISNUMBER(O91),TRUNC(O91)&lt;TODAY())</formula>
    </cfRule>
  </conditionalFormatting>
  <conditionalFormatting sqref="F90">
    <cfRule type="containsText" dxfId="1349" priority="144" operator="containsText" text="F">
      <formula>NOT(ISERROR(SEARCH(("F"),(F90))))</formula>
    </cfRule>
  </conditionalFormatting>
  <conditionalFormatting sqref="O90:Q90">
    <cfRule type="expression" dxfId="1348" priority="145">
      <formula>AND(ISNUMBER(O90),TRUNC(O90)&lt;TODAY())</formula>
    </cfRule>
  </conditionalFormatting>
  <conditionalFormatting sqref="F89">
    <cfRule type="containsText" dxfId="1347" priority="146" operator="containsText" text="F">
      <formula>NOT(ISERROR(SEARCH(("F"),(F89))))</formula>
    </cfRule>
  </conditionalFormatting>
  <conditionalFormatting sqref="O89:Q89">
    <cfRule type="expression" dxfId="1346" priority="147">
      <formula>AND(ISNUMBER(O89),TRUNC(O89)&lt;TODAY())</formula>
    </cfRule>
  </conditionalFormatting>
  <conditionalFormatting sqref="F102">
    <cfRule type="containsText" dxfId="1345" priority="148" operator="containsText" text="F">
      <formula>NOT(ISERROR(SEARCH(("F"),(F102))))</formula>
    </cfRule>
  </conditionalFormatting>
  <conditionalFormatting sqref="O102:Q102">
    <cfRule type="expression" dxfId="1344" priority="149">
      <formula>AND(ISNUMBER(O102),TRUNC(O102)&lt;TODAY())</formula>
    </cfRule>
  </conditionalFormatting>
  <conditionalFormatting sqref="Q102">
    <cfRule type="expression" dxfId="1343" priority="150">
      <formula>AND(ISNUMBER(Q102),TRUNC(Q102)&lt;TODAY())</formula>
    </cfRule>
  </conditionalFormatting>
  <conditionalFormatting sqref="P154">
    <cfRule type="expression" dxfId="1342" priority="151">
      <formula>AND(ISNUMBER(P154),TRUNC(P154)&lt;TODAY())</formula>
    </cfRule>
  </conditionalFormatting>
  <conditionalFormatting sqref="P154">
    <cfRule type="expression" dxfId="1341" priority="152">
      <formula>AND(ISNUMBER(P154),TRUNC(P154)&lt;TODAY())</formula>
    </cfRule>
  </conditionalFormatting>
  <conditionalFormatting sqref="Q154">
    <cfRule type="expression" dxfId="1340" priority="153">
      <formula>AND(ISNUMBER(Q154),TRUNC(Q154)&lt;TODAY())</formula>
    </cfRule>
  </conditionalFormatting>
  <conditionalFormatting sqref="O154">
    <cfRule type="expression" dxfId="1339" priority="154">
      <formula>AND(ISNUMBER(O154),TRUNC(O154)&lt;TODAY())</formula>
    </cfRule>
  </conditionalFormatting>
  <conditionalFormatting sqref="F154">
    <cfRule type="containsText" dxfId="1338" priority="155" operator="containsText" text="F">
      <formula>NOT(ISERROR(SEARCH(("F"),(F154))))</formula>
    </cfRule>
  </conditionalFormatting>
  <conditionalFormatting sqref="O88:Q88">
    <cfRule type="expression" dxfId="1337" priority="156">
      <formula>AND(ISNUMBER(O88),TRUNC(O88)&lt;TODAY())</formula>
    </cfRule>
  </conditionalFormatting>
  <conditionalFormatting sqref="F88">
    <cfRule type="containsText" dxfId="1336" priority="157" operator="containsText" text="F">
      <formula>NOT(ISERROR(SEARCH(("F"),(F88))))</formula>
    </cfRule>
  </conditionalFormatting>
  <conditionalFormatting sqref="F87">
    <cfRule type="containsText" dxfId="1335" priority="158" operator="containsText" text="F">
      <formula>NOT(ISERROR(SEARCH(("F"),(F87))))</formula>
    </cfRule>
  </conditionalFormatting>
  <conditionalFormatting sqref="O87:Q87">
    <cfRule type="expression" dxfId="1334" priority="159">
      <formula>AND(ISNUMBER(O87),TRUNC(O87)&lt;TODAY())</formula>
    </cfRule>
  </conditionalFormatting>
  <conditionalFormatting sqref="O86:Q86">
    <cfRule type="expression" dxfId="1333" priority="160">
      <formula>AND(ISNUMBER(O86),TRUNC(O86)&lt;TODAY())</formula>
    </cfRule>
  </conditionalFormatting>
  <conditionalFormatting sqref="F86">
    <cfRule type="containsText" dxfId="1332" priority="161" operator="containsText" text="F">
      <formula>NOT(ISERROR(SEARCH(("F"),(F86))))</formula>
    </cfRule>
  </conditionalFormatting>
  <conditionalFormatting sqref="O85:Q85">
    <cfRule type="expression" dxfId="1331" priority="162">
      <formula>AND(ISNUMBER(O85),TRUNC(O85)&lt;TODAY())</formula>
    </cfRule>
  </conditionalFormatting>
  <conditionalFormatting sqref="F85">
    <cfRule type="containsText" dxfId="1330" priority="163" operator="containsText" text="F">
      <formula>NOT(ISERROR(SEARCH(("F"),(F85))))</formula>
    </cfRule>
  </conditionalFormatting>
  <conditionalFormatting sqref="F84">
    <cfRule type="containsText" dxfId="1329" priority="164" operator="containsText" text="F">
      <formula>NOT(ISERROR(SEARCH(("F"),(F84))))</formula>
    </cfRule>
  </conditionalFormatting>
  <conditionalFormatting sqref="O84:Q84">
    <cfRule type="expression" dxfId="1328" priority="165">
      <formula>AND(ISNUMBER(O84),TRUNC(O84)&lt;TODAY())</formula>
    </cfRule>
  </conditionalFormatting>
  <conditionalFormatting sqref="O83:Q83">
    <cfRule type="expression" dxfId="1327" priority="166">
      <formula>AND(ISNUMBER(O83),TRUNC(O83)&lt;TODAY())</formula>
    </cfRule>
  </conditionalFormatting>
  <conditionalFormatting sqref="F83">
    <cfRule type="containsText" dxfId="1326" priority="167" operator="containsText" text="F">
      <formula>NOT(ISERROR(SEARCH(("F"),(F83))))</formula>
    </cfRule>
  </conditionalFormatting>
  <conditionalFormatting sqref="F153">
    <cfRule type="containsText" dxfId="1325" priority="168" operator="containsText" text="F">
      <formula>NOT(ISERROR(SEARCH(("F"),(F153))))</formula>
    </cfRule>
  </conditionalFormatting>
  <conditionalFormatting sqref="O153:Q153">
    <cfRule type="expression" dxfId="1324" priority="169">
      <formula>AND(ISNUMBER(O153),TRUNC(O153)&lt;TODAY())</formula>
    </cfRule>
  </conditionalFormatting>
  <conditionalFormatting sqref="V153">
    <cfRule type="notContainsBlanks" dxfId="1323" priority="170">
      <formula>LEN(TRIM(V153))&gt;0</formula>
    </cfRule>
  </conditionalFormatting>
  <conditionalFormatting sqref="F152">
    <cfRule type="containsText" dxfId="1322" priority="171" operator="containsText" text="F">
      <formula>NOT(ISERROR(SEARCH(("F"),(F152))))</formula>
    </cfRule>
  </conditionalFormatting>
  <conditionalFormatting sqref="O152:Q152">
    <cfRule type="expression" dxfId="1321" priority="172">
      <formula>AND(ISNUMBER(O152),TRUNC(O152)&lt;TODAY())</formula>
    </cfRule>
  </conditionalFormatting>
  <conditionalFormatting sqref="O151:Q151">
    <cfRule type="expression" dxfId="1320" priority="173">
      <formula>AND(ISNUMBER(O151),TRUNC(O151)&lt;TODAY())</formula>
    </cfRule>
  </conditionalFormatting>
  <conditionalFormatting sqref="F151">
    <cfRule type="containsText" dxfId="1319" priority="174" operator="containsText" text="F">
      <formula>NOT(ISERROR(SEARCH(("F"),(F151))))</formula>
    </cfRule>
  </conditionalFormatting>
  <conditionalFormatting sqref="V151">
    <cfRule type="notContainsBlanks" dxfId="1318" priority="175">
      <formula>LEN(TRIM(V151))&gt;0</formula>
    </cfRule>
  </conditionalFormatting>
  <conditionalFormatting sqref="F150">
    <cfRule type="containsText" dxfId="1317" priority="176" operator="containsText" text="F">
      <formula>NOT(ISERROR(SEARCH(("F"),(F150))))</formula>
    </cfRule>
  </conditionalFormatting>
  <conditionalFormatting sqref="O150:Q150">
    <cfRule type="expression" dxfId="1316" priority="177">
      <formula>AND(ISNUMBER(O150),TRUNC(O150)&lt;TODAY())</formula>
    </cfRule>
  </conditionalFormatting>
  <conditionalFormatting sqref="F82">
    <cfRule type="containsText" dxfId="1315" priority="178" operator="containsText" text="F">
      <formula>NOT(ISERROR(SEARCH(("F"),(F82))))</formula>
    </cfRule>
  </conditionalFormatting>
  <conditionalFormatting sqref="O82:Q82">
    <cfRule type="expression" dxfId="1314" priority="179">
      <formula>AND(ISNUMBER(O82),TRUNC(O82)&lt;TODAY())</formula>
    </cfRule>
  </conditionalFormatting>
  <conditionalFormatting sqref="F149">
    <cfRule type="containsText" dxfId="1313" priority="180" operator="containsText" text="F">
      <formula>NOT(ISERROR(SEARCH(("F"),(F149))))</formula>
    </cfRule>
  </conditionalFormatting>
  <conditionalFormatting sqref="O149:Q149">
    <cfRule type="expression" dxfId="1312" priority="181">
      <formula>AND(ISNUMBER(O149),TRUNC(O149)&lt;TODAY())</formula>
    </cfRule>
  </conditionalFormatting>
  <conditionalFormatting sqref="O81:Q81">
    <cfRule type="expression" dxfId="1311" priority="182">
      <formula>AND(ISNUMBER(O81),TRUNC(O81)&lt;TODAY())</formula>
    </cfRule>
  </conditionalFormatting>
  <conditionalFormatting sqref="F81">
    <cfRule type="containsText" dxfId="1310" priority="183" operator="containsText" text="F">
      <formula>NOT(ISERROR(SEARCH(("F"),(F81))))</formula>
    </cfRule>
  </conditionalFormatting>
  <conditionalFormatting sqref="O80:Q80">
    <cfRule type="expression" dxfId="1309" priority="184">
      <formula>AND(ISNUMBER(O80),TRUNC(O80)&lt;TODAY())</formula>
    </cfRule>
  </conditionalFormatting>
  <conditionalFormatting sqref="F80">
    <cfRule type="containsText" dxfId="1308" priority="185" operator="containsText" text="F">
      <formula>NOT(ISERROR(SEARCH(("F"),(F80))))</formula>
    </cfRule>
  </conditionalFormatting>
  <conditionalFormatting sqref="O79:Q79">
    <cfRule type="expression" dxfId="1307" priority="186">
      <formula>AND(ISNUMBER(O79),TRUNC(O79)&lt;TODAY())</formula>
    </cfRule>
  </conditionalFormatting>
  <conditionalFormatting sqref="F79">
    <cfRule type="containsText" dxfId="1306" priority="187" operator="containsText" text="F">
      <formula>NOT(ISERROR(SEARCH(("F"),(F79))))</formula>
    </cfRule>
  </conditionalFormatting>
  <conditionalFormatting sqref="O78:Q78">
    <cfRule type="expression" dxfId="1305" priority="188">
      <formula>AND(ISNUMBER(O78),TRUNC(O78)&lt;TODAY())</formula>
    </cfRule>
  </conditionalFormatting>
  <conditionalFormatting sqref="F78">
    <cfRule type="containsText" dxfId="1304" priority="189" operator="containsText" text="F">
      <formula>NOT(ISERROR(SEARCH(("F"),(F78))))</formula>
    </cfRule>
  </conditionalFormatting>
  <conditionalFormatting sqref="O77:Q77">
    <cfRule type="expression" dxfId="1303" priority="190">
      <formula>AND(ISNUMBER(O77),TRUNC(O77)&lt;TODAY())</formula>
    </cfRule>
  </conditionalFormatting>
  <conditionalFormatting sqref="F77">
    <cfRule type="containsText" dxfId="1302" priority="191" operator="containsText" text="F">
      <formula>NOT(ISERROR(SEARCH(("F"),(F77))))</formula>
    </cfRule>
  </conditionalFormatting>
  <conditionalFormatting sqref="O76:Q76">
    <cfRule type="expression" dxfId="1301" priority="192">
      <formula>AND(ISNUMBER(O76),TRUNC(O76)&lt;TODAY())</formula>
    </cfRule>
  </conditionalFormatting>
  <conditionalFormatting sqref="F76">
    <cfRule type="containsText" dxfId="1300" priority="193" operator="containsText" text="F">
      <formula>NOT(ISERROR(SEARCH(("F"),(F76))))</formula>
    </cfRule>
  </conditionalFormatting>
  <conditionalFormatting sqref="O75:Q75">
    <cfRule type="expression" dxfId="1299" priority="194">
      <formula>AND(ISNUMBER(O75),TRUNC(O75)&lt;TODAY())</formula>
    </cfRule>
  </conditionalFormatting>
  <conditionalFormatting sqref="F75">
    <cfRule type="containsText" dxfId="1298" priority="195" operator="containsText" text="F">
      <formula>NOT(ISERROR(SEARCH(("F"),(F75))))</formula>
    </cfRule>
  </conditionalFormatting>
  <conditionalFormatting sqref="F74">
    <cfRule type="containsText" dxfId="1297" priority="196" operator="containsText" text="F">
      <formula>NOT(ISERROR(SEARCH(("F"),(F74))))</formula>
    </cfRule>
  </conditionalFormatting>
  <conditionalFormatting sqref="O74:Q74">
    <cfRule type="expression" dxfId="1296" priority="197">
      <formula>AND(ISNUMBER(O74),TRUNC(O74)&lt;TODAY())</formula>
    </cfRule>
  </conditionalFormatting>
  <conditionalFormatting sqref="F73">
    <cfRule type="containsText" dxfId="1295" priority="198" operator="containsText" text="F">
      <formula>NOT(ISERROR(SEARCH(("F"),(F73))))</formula>
    </cfRule>
  </conditionalFormatting>
  <conditionalFormatting sqref="O73:Q73">
    <cfRule type="expression" dxfId="1294" priority="199">
      <formula>AND(ISNUMBER(O73),TRUNC(O73)&lt;TODAY())</formula>
    </cfRule>
  </conditionalFormatting>
  <conditionalFormatting sqref="F72">
    <cfRule type="containsText" dxfId="1293" priority="200" operator="containsText" text="F">
      <formula>NOT(ISERROR(SEARCH(("F"),(F72))))</formula>
    </cfRule>
  </conditionalFormatting>
  <conditionalFormatting sqref="O72:Q72">
    <cfRule type="expression" dxfId="1292" priority="201">
      <formula>AND(ISNUMBER(O72),TRUNC(O72)&lt;TODAY())</formula>
    </cfRule>
  </conditionalFormatting>
  <conditionalFormatting sqref="P26 P29 P34 P43 P50 P61 P139">
    <cfRule type="expression" dxfId="1291" priority="202">
      <formula>AND(ISNUMBER(P26),TRUNC(P26)&lt;TODAY())</formula>
    </cfRule>
  </conditionalFormatting>
  <conditionalFormatting sqref="F71">
    <cfRule type="containsText" dxfId="1290" priority="203" operator="containsText" text="F">
      <formula>NOT(ISERROR(SEARCH(("F"),(F71))))</formula>
    </cfRule>
  </conditionalFormatting>
  <conditionalFormatting sqref="O71:Q71 P137">
    <cfRule type="expression" dxfId="1289" priority="204">
      <formula>AND(ISNUMBER(O71),TRUNC(O71)&lt;TODAY())</formula>
    </cfRule>
  </conditionalFormatting>
  <conditionalFormatting sqref="O70:Q70">
    <cfRule type="expression" dxfId="1288" priority="205">
      <formula>AND(ISNUMBER(O70),TRUNC(O70)&lt;TODAY())</formula>
    </cfRule>
  </conditionalFormatting>
  <conditionalFormatting sqref="F70">
    <cfRule type="containsText" dxfId="1287" priority="206" operator="containsText" text="F">
      <formula>NOT(ISERROR(SEARCH(("F"),(F70))))</formula>
    </cfRule>
  </conditionalFormatting>
  <conditionalFormatting sqref="O68:Q68">
    <cfRule type="expression" dxfId="1286" priority="207">
      <formula>AND(ISNUMBER(O68),TRUNC(O68)&lt;TODAY())</formula>
    </cfRule>
  </conditionalFormatting>
  <conditionalFormatting sqref="O69:Q69">
    <cfRule type="expression" dxfId="1285" priority="208">
      <formula>AND(ISNUMBER(O69),TRUNC(O69)&lt;TODAY())</formula>
    </cfRule>
  </conditionalFormatting>
  <conditionalFormatting sqref="F68">
    <cfRule type="containsText" dxfId="1284" priority="209" operator="containsText" text="F">
      <formula>NOT(ISERROR(SEARCH(("F"),(F68))))</formula>
    </cfRule>
  </conditionalFormatting>
  <conditionalFormatting sqref="F69">
    <cfRule type="containsText" dxfId="1283" priority="210" operator="containsText" text="F">
      <formula>NOT(ISERROR(SEARCH(("F"),(F69))))</formula>
    </cfRule>
  </conditionalFormatting>
  <conditionalFormatting sqref="F67">
    <cfRule type="containsText" dxfId="1282" priority="211" operator="containsText" text="F">
      <formula>NOT(ISERROR(SEARCH(("F"),(F67))))</formula>
    </cfRule>
  </conditionalFormatting>
  <conditionalFormatting sqref="O67:Q67">
    <cfRule type="expression" dxfId="1281" priority="212">
      <formula>AND(ISNUMBER(O67),TRUNC(O67)&lt;TODAY())</formula>
    </cfRule>
  </conditionalFormatting>
  <conditionalFormatting sqref="F66">
    <cfRule type="containsText" dxfId="1280" priority="213" operator="containsText" text="F">
      <formula>NOT(ISERROR(SEARCH(("F"),(F66))))</formula>
    </cfRule>
  </conditionalFormatting>
  <conditionalFormatting sqref="O66:Q66">
    <cfRule type="expression" dxfId="1279" priority="214">
      <formula>AND(ISNUMBER(O66),TRUNC(O66)&lt;TODAY())</formula>
    </cfRule>
  </conditionalFormatting>
  <conditionalFormatting sqref="Q10 Q28 Q38 Q41 Q62">
    <cfRule type="expression" dxfId="1278" priority="215">
      <formula>AND(ISNUMBER(Q10),TRUNC(Q10)&lt;TODAY())</formula>
    </cfRule>
  </conditionalFormatting>
  <conditionalFormatting sqref="O15">
    <cfRule type="expression" dxfId="1277" priority="216">
      <formula>AND(ISNUMBER(O15),TRUNC(O15)&lt;TODAY())</formula>
    </cfRule>
  </conditionalFormatting>
  <conditionalFormatting sqref="Q15">
    <cfRule type="expression" dxfId="1276" priority="217">
      <formula>AND(ISNUMBER(Q15),TRUNC(Q15)&lt;TODAY())</formula>
    </cfRule>
  </conditionalFormatting>
  <conditionalFormatting sqref="P15">
    <cfRule type="expression" dxfId="1275" priority="218">
      <formula>AND(ISNUMBER(P15),TRUNC(P15)&lt;TODAY())</formula>
    </cfRule>
  </conditionalFormatting>
  <conditionalFormatting sqref="F15">
    <cfRule type="containsText" dxfId="1274" priority="219" operator="containsText" text="F">
      <formula>NOT(ISERROR(SEARCH(("F"),(F15))))</formula>
    </cfRule>
  </conditionalFormatting>
  <conditionalFormatting sqref="P2 P19 P34 P145 P148">
    <cfRule type="expression" dxfId="1273" priority="220">
      <formula>AND(ISNUMBER(P2),TRUNC(P2)&lt;TODAY())</formula>
    </cfRule>
  </conditionalFormatting>
  <conditionalFormatting sqref="P148">
    <cfRule type="expression" dxfId="1272" priority="221">
      <formula>AND(ISNUMBER(P148),TRUNC(P148)&lt;TODAY())</formula>
    </cfRule>
  </conditionalFormatting>
  <conditionalFormatting sqref="Q148">
    <cfRule type="expression" dxfId="1271" priority="222">
      <formula>AND(ISNUMBER(Q148),TRUNC(Q148)&lt;TODAY())</formula>
    </cfRule>
  </conditionalFormatting>
  <conditionalFormatting sqref="O148">
    <cfRule type="expression" dxfId="1270" priority="223">
      <formula>AND(ISNUMBER(O148),TRUNC(O148)&lt;TODAY())</formula>
    </cfRule>
  </conditionalFormatting>
  <conditionalFormatting sqref="F148">
    <cfRule type="containsText" dxfId="1269" priority="224" operator="containsText" text="F">
      <formula>NOT(ISERROR(SEARCH(("F"),(F148))))</formula>
    </cfRule>
  </conditionalFormatting>
  <conditionalFormatting sqref="F147">
    <cfRule type="containsText" dxfId="1268" priority="225" operator="containsText" text="F">
      <formula>NOT(ISERROR(SEARCH(("F"),(F147))))</formula>
    </cfRule>
  </conditionalFormatting>
  <conditionalFormatting sqref="Q147">
    <cfRule type="expression" dxfId="1267" priority="226">
      <formula>AND(ISNUMBER(Q147),TRUNC(Q147)&lt;TODAY())</formula>
    </cfRule>
  </conditionalFormatting>
  <conditionalFormatting sqref="P147">
    <cfRule type="expression" dxfId="1266" priority="227">
      <formula>AND(ISNUMBER(P147),TRUNC(P147)&lt;TODAY())</formula>
    </cfRule>
  </conditionalFormatting>
  <conditionalFormatting sqref="O147">
    <cfRule type="expression" dxfId="1265" priority="228">
      <formula>AND(ISNUMBER(O147),TRUNC(O147)&lt;TODAY())</formula>
    </cfRule>
  </conditionalFormatting>
  <conditionalFormatting sqref="P63">
    <cfRule type="expression" dxfId="1264" priority="229">
      <formula>AND(ISNUMBER(P63),TRUNC(P63)&lt;TODAY())</formula>
    </cfRule>
  </conditionalFormatting>
  <conditionalFormatting sqref="M3">
    <cfRule type="notContainsBlanks" dxfId="1263" priority="230">
      <formula>LEN(TRIM(M3))&gt;0</formula>
    </cfRule>
  </conditionalFormatting>
  <conditionalFormatting sqref="O1:Q14 O16:Q39 O41:Q65 O136:Q146 P164:Q977 O165:O977 N166:N167">
    <cfRule type="expression" dxfId="1262" priority="231">
      <formula>AND(ISNUMBER(O1),TRUNC(O1)&lt;TODAY())</formula>
    </cfRule>
  </conditionalFormatting>
  <dataValidations count="7">
    <dataValidation type="list" allowBlank="1" sqref="H2:H163">
      <formula1>"A,B,C"</formula1>
    </dataValidation>
    <dataValidation type="list" allowBlank="1" showInputMessage="1" showErrorMessage="1" prompt="Either M or F" sqref="F1:F977">
      <formula1>"M,F"</formula1>
    </dataValidation>
    <dataValidation type="custom" allowBlank="1" showDropDown="1" showInputMessage="1" showErrorMessage="1" prompt="Enter a valid date" sqref="M1:Q1 M2:O2 Q2 M3:Q4 M5:O5 Q5 M6:P6 M7:O7 Q7 M8:Q8 M9:O9 Q9 M10:Q12 M13:O13 Q13 M14:Q14 M15:O15 Q15 M16:P16 M17:Q17 M18:O18 Q18 M19:Q20 M21:O21 Q21 M22:Q22 M23:O23 Q23 M24:Q24 M25:O26 Q25:Q26 M27:Q28 M29:O29 Q29 M30:Q30 M31:O31 Q31 M32:Q38 M39:O39 Q39 M40:Q41 M42:P42 M43:O43 Q43 M44:Q47 M48:O48 Q48 M49:Q59 M60:O62 Q60:Q62 M63:Q63 M64:P65 M66:Q70 M71:O71 Q71 M72:Q74 M75:O78 Q75:Q78 M79:Q79 M80:O80 Q80 M81:Q84 M85 P85:Q85 M86:Q89 P90:Q90 M90:M91 M92:O92 Q91:Q92 M93:Q93 M94 Q94 M95:Q96 M97:O97 Q97 M98:Q98 M99 M100:O100 M101 Q99:Q101 M102:Q102 M103 Q103 M104:Q106 M107 P107:Q107 M108:Q108 M109:O109 Q109 M110:Q111 P112:Q113 M112:M114 M115:O115 Q114:Q115 M116:Q117 M118 Q118 M119:Q121 M122 Q122 M123:Q124 M125 M126:O127 M128:M129 Q125:Q129 M130:Q130 M131:O131 Q131 M132:Q133 M134 P134:Q134 M135:Q145 M146:O148 Q146:Q148 M149:Q149 M150:O150 Q150 M151:Q152 M153:O154 Q153:Q154 M155:Q158 M159 Q159 M160:Q163 M165:M166 P164:Q166 M167:Q977">
      <formula1>OR(NOT(ISERROR(DATEVALUE(M1))), AND(ISNUMBER(M1), LEFT(CELL("format", M1))="D"))</formula1>
    </dataValidation>
    <dataValidation type="list" allowBlank="1" sqref="G9 G12:G13 G15 G19:G20 G23 G31 G33:G35 G39 G41 G43 G45 G47 G51 G56 G61 G70 G72:G82 G89 G98 G100 G109:G110 G123:G124 G126:G127 G132:G133 G149:G150 G152:G158 G160:G163">
      <formula1>"UR,SC,ST"</formula1>
    </dataValidation>
    <dataValidation type="list" allowBlank="1" sqref="V149 V152:V154 V158:V159">
      <formula1>"YES,NO,DW"</formula1>
    </dataValidation>
    <dataValidation type="list" allowBlank="1" showErrorMessage="1" sqref="G1:G8 G10:G11 G14 G16:G18 G21:G22 G24:G30 G32 G36:G38 G40 G42 G44 G46 G48:G50 G52:G55 G57:G60 G62:G69 G71 G83:G88 G90:G97 G99 G101:G108 G111:G122 G125 G128:G131 G134:G148 G151 G159 G164:G977">
      <formula1>"UR,SC,ST"</formula1>
    </dataValidation>
    <dataValidation type="custom" allowBlank="1" showDropDown="1" showErrorMessage="1" sqref="P2 P5 P7 P9 P13 P15 P18 P21 P23 P25:P26 P29 P31 P39 P43 P48 P61:P62 P71 P75:P78 P80 N85:O85 N90:O90 N91:P91 P92 N94:P94 P97 N99:P99 P100 N101:P101 N103:P103 N107:O107 P109 N112:O113 N114:P114 P115 N118:P118 N122:P122 N125:P125 P126:P127 N128:P129 P131 N134:O134 P146:P148 P150 P153:P154 N159:P159">
      <formula1>OR(NOT(ISERROR(DATEVALUE(N2))), AND(ISNUMBER(N2), LEFT(CELL("format", N2))="D"))</formula1>
    </dataValidation>
  </dataValidations>
  <hyperlinks>
    <hyperlink ref="T2" r:id="rId1"/>
    <hyperlink ref="U2" r:id="rId2"/>
    <hyperlink ref="T3" r:id="rId3"/>
    <hyperlink ref="U3" r:id="rId4"/>
    <hyperlink ref="T4" r:id="rId5"/>
    <hyperlink ref="U4" r:id="rId6"/>
    <hyperlink ref="T5" r:id="rId7"/>
    <hyperlink ref="U5" r:id="rId8"/>
    <hyperlink ref="T6" r:id="rId9"/>
    <hyperlink ref="U6" r:id="rId10"/>
    <hyperlink ref="T7" r:id="rId11"/>
    <hyperlink ref="U7" r:id="rId12"/>
    <hyperlink ref="T8" r:id="rId13"/>
    <hyperlink ref="U8" r:id="rId14"/>
    <hyperlink ref="R9" r:id="rId15"/>
    <hyperlink ref="S9" r:id="rId16"/>
    <hyperlink ref="T9" r:id="rId17"/>
    <hyperlink ref="U9" r:id="rId18"/>
    <hyperlink ref="T10" r:id="rId19"/>
    <hyperlink ref="U10" r:id="rId20"/>
    <hyperlink ref="T11" r:id="rId21"/>
    <hyperlink ref="U11" r:id="rId22"/>
    <hyperlink ref="T12" r:id="rId23"/>
    <hyperlink ref="U12" r:id="rId24"/>
    <hyperlink ref="T13" r:id="rId25"/>
    <hyperlink ref="U13" r:id="rId26"/>
    <hyperlink ref="T14" r:id="rId27"/>
    <hyperlink ref="U14" r:id="rId28"/>
    <hyperlink ref="T15" r:id="rId29"/>
    <hyperlink ref="U15" r:id="rId30"/>
    <hyperlink ref="T16" r:id="rId31"/>
    <hyperlink ref="U16" r:id="rId32"/>
    <hyperlink ref="T17" r:id="rId33"/>
    <hyperlink ref="U17" r:id="rId34"/>
    <hyperlink ref="T18" r:id="rId35"/>
    <hyperlink ref="U18" r:id="rId36"/>
    <hyperlink ref="T19" r:id="rId37"/>
    <hyperlink ref="U19" r:id="rId38"/>
    <hyperlink ref="T20" r:id="rId39"/>
    <hyperlink ref="U21" r:id="rId40"/>
    <hyperlink ref="T22" r:id="rId41"/>
    <hyperlink ref="U22" r:id="rId42"/>
    <hyperlink ref="T23" r:id="rId43"/>
    <hyperlink ref="U23" r:id="rId44"/>
    <hyperlink ref="T24" r:id="rId45"/>
    <hyperlink ref="U24" r:id="rId46"/>
    <hyperlink ref="T25" r:id="rId47"/>
    <hyperlink ref="U25" r:id="rId48"/>
    <hyperlink ref="T26" r:id="rId49"/>
    <hyperlink ref="U26" r:id="rId50"/>
    <hyperlink ref="T27" r:id="rId51"/>
    <hyperlink ref="U27" r:id="rId52"/>
    <hyperlink ref="T28" r:id="rId53"/>
    <hyperlink ref="U28" r:id="rId54"/>
    <hyperlink ref="T29" r:id="rId55"/>
    <hyperlink ref="U29" r:id="rId56"/>
    <hyperlink ref="T30" r:id="rId57"/>
    <hyperlink ref="U30" r:id="rId58"/>
    <hyperlink ref="T31" r:id="rId59"/>
    <hyperlink ref="U31" r:id="rId60"/>
    <hyperlink ref="T32" r:id="rId61"/>
    <hyperlink ref="U32" r:id="rId62"/>
    <hyperlink ref="T33" r:id="rId63"/>
    <hyperlink ref="U33" r:id="rId64"/>
    <hyperlink ref="T34" r:id="rId65"/>
    <hyperlink ref="U34" r:id="rId66"/>
    <hyperlink ref="T35" r:id="rId67"/>
    <hyperlink ref="T36" r:id="rId68"/>
    <hyperlink ref="U36" r:id="rId69"/>
    <hyperlink ref="T37" r:id="rId70"/>
    <hyperlink ref="U37" r:id="rId71"/>
    <hyperlink ref="U38" r:id="rId72"/>
    <hyperlink ref="T39" r:id="rId73"/>
    <hyperlink ref="U39" r:id="rId74"/>
    <hyperlink ref="T40" r:id="rId75"/>
    <hyperlink ref="U40" r:id="rId76"/>
    <hyperlink ref="T41" r:id="rId77"/>
    <hyperlink ref="U41" r:id="rId78"/>
    <hyperlink ref="T42" r:id="rId79"/>
    <hyperlink ref="U42" r:id="rId80"/>
    <hyperlink ref="T43" r:id="rId81"/>
    <hyperlink ref="U43" r:id="rId82"/>
    <hyperlink ref="T44" r:id="rId83"/>
    <hyperlink ref="U44" r:id="rId84"/>
    <hyperlink ref="T45" r:id="rId85"/>
    <hyperlink ref="U45" r:id="rId86"/>
    <hyperlink ref="T46" r:id="rId87"/>
    <hyperlink ref="U46" r:id="rId88"/>
    <hyperlink ref="T47" r:id="rId89"/>
    <hyperlink ref="U47" r:id="rId90"/>
    <hyperlink ref="U48" r:id="rId91"/>
    <hyperlink ref="T49" r:id="rId92"/>
    <hyperlink ref="U49" r:id="rId93"/>
    <hyperlink ref="T50" r:id="rId94"/>
    <hyperlink ref="U50" r:id="rId95"/>
    <hyperlink ref="T51" r:id="rId96"/>
    <hyperlink ref="U51" r:id="rId97"/>
    <hyperlink ref="T52" r:id="rId98"/>
    <hyperlink ref="U52" r:id="rId99"/>
    <hyperlink ref="T53" r:id="rId100"/>
    <hyperlink ref="U53" r:id="rId101"/>
    <hyperlink ref="U54" r:id="rId102"/>
    <hyperlink ref="T55" r:id="rId103"/>
    <hyperlink ref="U55" r:id="rId104"/>
    <hyperlink ref="T56" r:id="rId105"/>
    <hyperlink ref="U56" r:id="rId106"/>
    <hyperlink ref="T57" r:id="rId107"/>
    <hyperlink ref="U57" r:id="rId108"/>
    <hyperlink ref="T58" r:id="rId109"/>
    <hyperlink ref="U58" r:id="rId110"/>
    <hyperlink ref="T59" r:id="rId111"/>
    <hyperlink ref="U59" r:id="rId112"/>
    <hyperlink ref="T60" r:id="rId113"/>
    <hyperlink ref="U60" r:id="rId114"/>
    <hyperlink ref="T61" r:id="rId115"/>
    <hyperlink ref="U61" r:id="rId116"/>
    <hyperlink ref="T62" r:id="rId117"/>
    <hyperlink ref="U62" r:id="rId118"/>
    <hyperlink ref="T63" r:id="rId119"/>
    <hyperlink ref="U63" r:id="rId120"/>
    <hyperlink ref="T64" r:id="rId121"/>
    <hyperlink ref="U64" r:id="rId122"/>
    <hyperlink ref="T65" r:id="rId123"/>
    <hyperlink ref="U65" r:id="rId124"/>
    <hyperlink ref="T66" r:id="rId125"/>
    <hyperlink ref="U66" r:id="rId126"/>
    <hyperlink ref="T67" r:id="rId127"/>
    <hyperlink ref="U67" r:id="rId128"/>
    <hyperlink ref="T68" r:id="rId129"/>
    <hyperlink ref="U68" r:id="rId130"/>
    <hyperlink ref="T69" r:id="rId131"/>
    <hyperlink ref="U69" r:id="rId132"/>
    <hyperlink ref="T70" r:id="rId133"/>
    <hyperlink ref="T71" r:id="rId134"/>
    <hyperlink ref="U71" r:id="rId135"/>
    <hyperlink ref="T72" r:id="rId136"/>
    <hyperlink ref="U72" r:id="rId137"/>
    <hyperlink ref="R73" r:id="rId138"/>
    <hyperlink ref="S73" r:id="rId139"/>
    <hyperlink ref="T73" r:id="rId140"/>
    <hyperlink ref="U73" r:id="rId141"/>
    <hyperlink ref="R74" r:id="rId142"/>
    <hyperlink ref="T74" r:id="rId143"/>
    <hyperlink ref="U74" r:id="rId144"/>
    <hyperlink ref="S75" r:id="rId145"/>
    <hyperlink ref="T75" r:id="rId146"/>
    <hyperlink ref="T76" r:id="rId147"/>
    <hyperlink ref="U76" r:id="rId148"/>
    <hyperlink ref="T77" r:id="rId149"/>
    <hyperlink ref="U77" r:id="rId150"/>
    <hyperlink ref="T78" r:id="rId151"/>
    <hyperlink ref="U78" r:id="rId152"/>
    <hyperlink ref="R79" r:id="rId153"/>
    <hyperlink ref="S79" r:id="rId154"/>
    <hyperlink ref="T79" r:id="rId155"/>
    <hyperlink ref="U79" r:id="rId156"/>
    <hyperlink ref="T80" r:id="rId157"/>
    <hyperlink ref="U80" r:id="rId158"/>
    <hyperlink ref="T81" r:id="rId159"/>
    <hyperlink ref="U81" r:id="rId160"/>
    <hyperlink ref="T82" r:id="rId161"/>
    <hyperlink ref="U82" r:id="rId162"/>
    <hyperlink ref="S83" r:id="rId163"/>
    <hyperlink ref="S84" r:id="rId164"/>
    <hyperlink ref="T84" r:id="rId165"/>
    <hyperlink ref="U84" r:id="rId166"/>
    <hyperlink ref="S85" r:id="rId167"/>
    <hyperlink ref="T85" r:id="rId168"/>
    <hyperlink ref="T86" r:id="rId169"/>
    <hyperlink ref="R87" r:id="rId170"/>
    <hyperlink ref="S87" r:id="rId171"/>
    <hyperlink ref="T87" r:id="rId172"/>
    <hyperlink ref="S88" r:id="rId173"/>
    <hyperlink ref="T88" r:id="rId174"/>
    <hyperlink ref="U88" r:id="rId175"/>
    <hyperlink ref="T89" r:id="rId176"/>
    <hyperlink ref="S90" r:id="rId177"/>
    <hyperlink ref="T90" r:id="rId178"/>
    <hyperlink ref="S91" r:id="rId179"/>
    <hyperlink ref="T91" r:id="rId180"/>
    <hyperlink ref="T92" r:id="rId181"/>
    <hyperlink ref="U92" r:id="rId182"/>
    <hyperlink ref="T93" r:id="rId183"/>
    <hyperlink ref="U93" r:id="rId184"/>
    <hyperlink ref="T94" r:id="rId185"/>
    <hyperlink ref="U94" r:id="rId186"/>
    <hyperlink ref="S95" r:id="rId187"/>
    <hyperlink ref="T95" r:id="rId188"/>
    <hyperlink ref="U95" r:id="rId189"/>
    <hyperlink ref="T96" r:id="rId190"/>
    <hyperlink ref="T97" r:id="rId191"/>
    <hyperlink ref="T98" r:id="rId192"/>
    <hyperlink ref="U98" r:id="rId193"/>
    <hyperlink ref="T99" r:id="rId194"/>
    <hyperlink ref="U99" r:id="rId195"/>
    <hyperlink ref="T100" r:id="rId196"/>
    <hyperlink ref="T101" r:id="rId197"/>
    <hyperlink ref="S102" r:id="rId198"/>
    <hyperlink ref="T102" r:id="rId199"/>
    <hyperlink ref="S103" r:id="rId200"/>
    <hyperlink ref="T103" r:id="rId201"/>
    <hyperlink ref="T104" r:id="rId202"/>
    <hyperlink ref="T105" r:id="rId203"/>
    <hyperlink ref="U105" r:id="rId204"/>
    <hyperlink ref="T106" r:id="rId205"/>
    <hyperlink ref="U106" r:id="rId206"/>
    <hyperlink ref="T107" r:id="rId207"/>
    <hyperlink ref="U107" r:id="rId208"/>
    <hyperlink ref="R108" r:id="rId209"/>
    <hyperlink ref="T108" r:id="rId210"/>
    <hyperlink ref="U108" r:id="rId211"/>
    <hyperlink ref="T109" r:id="rId212"/>
    <hyperlink ref="S110" r:id="rId213"/>
    <hyperlink ref="T110" r:id="rId214"/>
    <hyperlink ref="T111" r:id="rId215"/>
    <hyperlink ref="U111" r:id="rId216"/>
    <hyperlink ref="R112" r:id="rId217"/>
    <hyperlink ref="T112" r:id="rId218"/>
    <hyperlink ref="U112" r:id="rId219"/>
    <hyperlink ref="T113" r:id="rId220"/>
    <hyperlink ref="U113" r:id="rId221"/>
    <hyperlink ref="T114" r:id="rId222"/>
    <hyperlink ref="U114" r:id="rId223"/>
    <hyperlink ref="T115" r:id="rId224"/>
    <hyperlink ref="U115" r:id="rId225"/>
    <hyperlink ref="T116" r:id="rId226"/>
    <hyperlink ref="U116" r:id="rId227"/>
    <hyperlink ref="R117" r:id="rId228"/>
    <hyperlink ref="S117" r:id="rId229"/>
    <hyperlink ref="T117" r:id="rId230"/>
    <hyperlink ref="U117" r:id="rId231"/>
    <hyperlink ref="S118" r:id="rId232"/>
    <hyperlink ref="T118" r:id="rId233"/>
    <hyperlink ref="U118" r:id="rId234"/>
    <hyperlink ref="T119" r:id="rId235"/>
    <hyperlink ref="U119" r:id="rId236"/>
    <hyperlink ref="T120" r:id="rId237"/>
    <hyperlink ref="U120" r:id="rId238"/>
    <hyperlink ref="T121" r:id="rId239"/>
    <hyperlink ref="U121" r:id="rId240"/>
    <hyperlink ref="T122" r:id="rId241"/>
    <hyperlink ref="U122" r:id="rId242"/>
    <hyperlink ref="R123" r:id="rId243"/>
    <hyperlink ref="S123" r:id="rId244"/>
    <hyperlink ref="T123" r:id="rId245"/>
    <hyperlink ref="U123" r:id="rId246"/>
    <hyperlink ref="R124" r:id="rId247"/>
    <hyperlink ref="T124" r:id="rId248"/>
    <hyperlink ref="U124" r:id="rId249"/>
    <hyperlink ref="R125" r:id="rId250"/>
    <hyperlink ref="S125" r:id="rId251"/>
    <hyperlink ref="T125" r:id="rId252"/>
    <hyperlink ref="U125" r:id="rId253"/>
    <hyperlink ref="R126" r:id="rId254"/>
    <hyperlink ref="S126" r:id="rId255"/>
    <hyperlink ref="T126" r:id="rId256"/>
    <hyperlink ref="U126" r:id="rId257"/>
    <hyperlink ref="R127" r:id="rId258"/>
    <hyperlink ref="T127" r:id="rId259"/>
    <hyperlink ref="R128" r:id="rId260"/>
    <hyperlink ref="S128" r:id="rId261"/>
    <hyperlink ref="T128" r:id="rId262"/>
    <hyperlink ref="U128" r:id="rId263"/>
    <hyperlink ref="R129" r:id="rId264"/>
    <hyperlink ref="T129" r:id="rId265"/>
    <hyperlink ref="U129" r:id="rId266"/>
    <hyperlink ref="S130" r:id="rId267"/>
    <hyperlink ref="T130" r:id="rId268"/>
    <hyperlink ref="U130" r:id="rId269"/>
    <hyperlink ref="S131" r:id="rId270"/>
    <hyperlink ref="T131" r:id="rId271"/>
    <hyperlink ref="U131" r:id="rId272"/>
    <hyperlink ref="R132" r:id="rId273"/>
    <hyperlink ref="S132" r:id="rId274"/>
    <hyperlink ref="T132" r:id="rId275"/>
    <hyperlink ref="U132" r:id="rId276"/>
    <hyperlink ref="R133" r:id="rId277"/>
    <hyperlink ref="S133" r:id="rId278"/>
    <hyperlink ref="T133" r:id="rId279"/>
    <hyperlink ref="U133" r:id="rId280"/>
    <hyperlink ref="R134" r:id="rId281"/>
    <hyperlink ref="S134" r:id="rId282"/>
    <hyperlink ref="T134" r:id="rId283"/>
    <hyperlink ref="U134" r:id="rId284"/>
    <hyperlink ref="S135" r:id="rId285"/>
    <hyperlink ref="S136" r:id="rId286"/>
    <hyperlink ref="S137" r:id="rId287"/>
    <hyperlink ref="S138" r:id="rId288"/>
    <hyperlink ref="S139" r:id="rId289"/>
    <hyperlink ref="S140" r:id="rId290"/>
    <hyperlink ref="S141" r:id="rId291"/>
    <hyperlink ref="S142" r:id="rId292"/>
    <hyperlink ref="S143" r:id="rId293"/>
    <hyperlink ref="S144" r:id="rId294"/>
    <hyperlink ref="S146" r:id="rId295"/>
    <hyperlink ref="S147" r:id="rId296"/>
    <hyperlink ref="S148" r:id="rId297"/>
    <hyperlink ref="R149" r:id="rId298"/>
    <hyperlink ref="S149" r:id="rId299"/>
    <hyperlink ref="R150" r:id="rId300"/>
    <hyperlink ref="S150" r:id="rId301"/>
    <hyperlink ref="R151" r:id="rId302"/>
    <hyperlink ref="R152" r:id="rId303"/>
    <hyperlink ref="S152" r:id="rId304"/>
    <hyperlink ref="R153" r:id="rId305"/>
    <hyperlink ref="S153" r:id="rId306"/>
    <hyperlink ref="R154" r:id="rId307"/>
    <hyperlink ref="R155" r:id="rId308"/>
    <hyperlink ref="S155" r:id="rId309"/>
    <hyperlink ref="R156" r:id="rId310"/>
    <hyperlink ref="R157" r:id="rId311"/>
    <hyperlink ref="R158" r:id="rId312"/>
    <hyperlink ref="T158" r:id="rId313"/>
    <hyperlink ref="S159" r:id="rId314"/>
    <hyperlink ref="R160" r:id="rId315"/>
    <hyperlink ref="S160" r:id="rId316"/>
    <hyperlink ref="R161" r:id="rId317"/>
    <hyperlink ref="R162" r:id="rId318"/>
    <hyperlink ref="S162" r:id="rId319"/>
    <hyperlink ref="R163" r:id="rId320"/>
    <hyperlink ref="S163" r:id="rId321"/>
  </hyperlink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97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ColWidth="14.42578125" defaultRowHeight="15" customHeight="1"/>
  <cols>
    <col min="1" max="1" width="8.7109375" customWidth="1"/>
    <col min="2" max="2" width="28.85546875" customWidth="1"/>
    <col min="3" max="3" width="14.28515625" customWidth="1"/>
    <col min="4" max="4" width="17.140625" customWidth="1"/>
    <col min="5" max="5" width="12" customWidth="1"/>
    <col min="6" max="6" width="10.5703125" customWidth="1"/>
    <col min="7" max="7" width="10.85546875" customWidth="1"/>
    <col min="8" max="8" width="12.140625" customWidth="1"/>
    <col min="9" max="9" width="14.7109375" customWidth="1"/>
    <col min="10" max="10" width="15.28515625" customWidth="1"/>
    <col min="11" max="11" width="14.140625" customWidth="1"/>
    <col min="12" max="12" width="27.28515625" customWidth="1"/>
    <col min="13" max="13" width="12.85546875" customWidth="1"/>
    <col min="14" max="14" width="13.140625" customWidth="1"/>
    <col min="15" max="15" width="12.140625" customWidth="1"/>
    <col min="16" max="16" width="16.28515625" customWidth="1"/>
    <col min="17" max="17" width="17" customWidth="1"/>
    <col min="18" max="18" width="10.85546875" customWidth="1"/>
    <col min="19" max="19" width="10.7109375" customWidth="1"/>
    <col min="20" max="20" width="16.7109375" customWidth="1"/>
    <col min="21" max="21" width="17.7109375" customWidth="1"/>
    <col min="22" max="22" width="9.28515625" customWidth="1"/>
    <col min="23" max="23" width="19.42578125" customWidth="1"/>
    <col min="24" max="24" width="20.28515625" customWidth="1"/>
    <col min="25" max="25" width="22.42578125" customWidth="1"/>
    <col min="26" max="26" width="17.5703125" customWidth="1"/>
    <col min="27" max="27" width="21.42578125" customWidth="1"/>
  </cols>
  <sheetData>
    <row r="1" spans="1:39" ht="15.75">
      <c r="A1" s="1905" t="s">
        <v>86</v>
      </c>
      <c r="B1" s="1957" t="s">
        <v>430</v>
      </c>
      <c r="C1" s="1958" t="s">
        <v>431</v>
      </c>
      <c r="D1" s="1959" t="s">
        <v>432</v>
      </c>
      <c r="E1" s="1007" t="s">
        <v>433</v>
      </c>
      <c r="F1" s="1951" t="s">
        <v>2759</v>
      </c>
      <c r="G1" s="78" t="s">
        <v>15</v>
      </c>
      <c r="H1" s="1960" t="s">
        <v>2760</v>
      </c>
      <c r="I1" s="1961" t="s">
        <v>1005</v>
      </c>
      <c r="J1" s="1960" t="s">
        <v>1006</v>
      </c>
      <c r="K1" s="1957" t="s">
        <v>678</v>
      </c>
      <c r="L1" s="39" t="s">
        <v>23</v>
      </c>
      <c r="M1" s="390" t="s">
        <v>435</v>
      </c>
      <c r="N1" s="390" t="s">
        <v>130</v>
      </c>
      <c r="O1" s="1962" t="s">
        <v>1007</v>
      </c>
      <c r="P1" s="289" t="s">
        <v>1008</v>
      </c>
      <c r="Q1" s="289" t="s">
        <v>1009</v>
      </c>
      <c r="R1" s="403" t="s">
        <v>5626</v>
      </c>
      <c r="S1" s="403" t="s">
        <v>5627</v>
      </c>
      <c r="T1" s="403" t="s">
        <v>2764</v>
      </c>
      <c r="U1" s="403" t="s">
        <v>5628</v>
      </c>
      <c r="V1" s="1137" t="s">
        <v>5629</v>
      </c>
      <c r="W1" s="18" t="s">
        <v>2767</v>
      </c>
      <c r="X1" s="12" t="s">
        <v>2768</v>
      </c>
      <c r="Y1" s="1758" t="s">
        <v>2769</v>
      </c>
      <c r="Z1" s="1759" t="s">
        <v>2770</v>
      </c>
      <c r="AA1" s="1759" t="s">
        <v>2771</v>
      </c>
      <c r="AB1" s="384"/>
      <c r="AC1" s="384"/>
      <c r="AD1" s="384"/>
      <c r="AE1" s="384"/>
      <c r="AF1" s="384"/>
      <c r="AG1" s="384"/>
      <c r="AH1" s="384"/>
      <c r="AI1" s="384"/>
      <c r="AJ1" s="384"/>
      <c r="AK1" s="384"/>
      <c r="AL1" s="384"/>
      <c r="AM1" s="384"/>
    </row>
    <row r="2" spans="1:39" ht="15.75" customHeight="1">
      <c r="A2" s="944">
        <v>1</v>
      </c>
      <c r="B2" s="422" t="s">
        <v>4295</v>
      </c>
      <c r="C2" s="1121" t="s">
        <v>22</v>
      </c>
      <c r="D2" s="423" t="s">
        <v>6399</v>
      </c>
      <c r="E2" s="681" t="s">
        <v>6400</v>
      </c>
      <c r="F2" s="946" t="s">
        <v>759</v>
      </c>
      <c r="G2" s="337" t="s">
        <v>77</v>
      </c>
      <c r="H2" s="307"/>
      <c r="I2" s="303">
        <v>9804656179</v>
      </c>
      <c r="J2" s="303">
        <v>9804656179</v>
      </c>
      <c r="K2" s="351" t="s">
        <v>334</v>
      </c>
      <c r="L2" s="125" t="s">
        <v>67</v>
      </c>
      <c r="M2" s="315">
        <v>32296</v>
      </c>
      <c r="N2" s="315">
        <v>54239</v>
      </c>
      <c r="O2" s="315">
        <v>45992</v>
      </c>
      <c r="P2" s="272">
        <v>45791</v>
      </c>
      <c r="Q2" s="272">
        <v>45804</v>
      </c>
      <c r="R2" s="318" t="s">
        <v>6401</v>
      </c>
      <c r="S2" s="285"/>
      <c r="T2" s="318" t="s">
        <v>6402</v>
      </c>
      <c r="U2" s="285"/>
      <c r="V2" s="285"/>
      <c r="W2" s="3"/>
      <c r="X2" s="3"/>
      <c r="Y2" s="3"/>
      <c r="Z2" s="79"/>
      <c r="AA2" s="79"/>
      <c r="AB2" s="311"/>
    </row>
    <row r="3" spans="1:39" ht="18.75">
      <c r="A3" s="944">
        <v>5</v>
      </c>
      <c r="B3" s="305" t="s">
        <v>6403</v>
      </c>
      <c r="C3" s="303" t="s">
        <v>22</v>
      </c>
      <c r="D3" s="420" t="s">
        <v>6404</v>
      </c>
      <c r="E3" s="681" t="s">
        <v>6405</v>
      </c>
      <c r="F3" s="1024" t="s">
        <v>759</v>
      </c>
      <c r="G3" s="337" t="s">
        <v>77</v>
      </c>
      <c r="H3" s="307"/>
      <c r="I3" s="303">
        <v>8917620664</v>
      </c>
      <c r="J3" s="303">
        <v>8917620664</v>
      </c>
      <c r="K3" s="351" t="s">
        <v>334</v>
      </c>
      <c r="L3" s="18" t="s">
        <v>62</v>
      </c>
      <c r="M3" s="315">
        <v>32470</v>
      </c>
      <c r="N3" s="315">
        <v>54392</v>
      </c>
      <c r="O3" s="315">
        <v>46014</v>
      </c>
      <c r="P3" s="272">
        <v>45791</v>
      </c>
      <c r="Q3" s="272">
        <v>45804</v>
      </c>
      <c r="R3" s="318" t="s">
        <v>6406</v>
      </c>
      <c r="S3" s="285"/>
      <c r="T3" s="317"/>
      <c r="U3" s="285"/>
      <c r="V3" s="285"/>
      <c r="W3" s="90"/>
      <c r="X3" s="3"/>
      <c r="Y3" s="3"/>
      <c r="Z3" s="79"/>
      <c r="AA3" s="79"/>
      <c r="AB3" s="382"/>
      <c r="AC3" s="79"/>
      <c r="AD3" s="79"/>
      <c r="AE3" s="79"/>
      <c r="AF3" s="79"/>
      <c r="AG3" s="79"/>
      <c r="AH3" s="79"/>
    </row>
    <row r="4" spans="1:39" ht="15.75" customHeight="1">
      <c r="A4" s="944">
        <v>6</v>
      </c>
      <c r="B4" s="305" t="s">
        <v>6407</v>
      </c>
      <c r="C4" s="303" t="s">
        <v>22</v>
      </c>
      <c r="D4" s="420" t="s">
        <v>6408</v>
      </c>
      <c r="E4" s="681" t="s">
        <v>6409</v>
      </c>
      <c r="F4" s="946" t="s">
        <v>759</v>
      </c>
      <c r="G4" s="337" t="s">
        <v>76</v>
      </c>
      <c r="H4" s="307"/>
      <c r="I4" s="303">
        <v>8653220670</v>
      </c>
      <c r="J4" s="303">
        <v>8653220670</v>
      </c>
      <c r="K4" s="351" t="s">
        <v>334</v>
      </c>
      <c r="L4" s="274" t="s">
        <v>351</v>
      </c>
      <c r="M4" s="315">
        <v>30809</v>
      </c>
      <c r="N4" s="315">
        <v>52748</v>
      </c>
      <c r="O4" s="315">
        <v>45866</v>
      </c>
      <c r="P4" s="272">
        <v>45529</v>
      </c>
      <c r="Q4" s="272">
        <v>45476</v>
      </c>
      <c r="R4" s="317"/>
      <c r="S4" s="285"/>
      <c r="T4" s="317"/>
      <c r="U4" s="285"/>
      <c r="V4" s="285"/>
      <c r="W4" s="90"/>
      <c r="X4" s="90"/>
      <c r="Y4" s="90"/>
      <c r="AB4" s="311"/>
    </row>
    <row r="5" spans="1:39" ht="15.75" customHeight="1">
      <c r="A5" s="944">
        <v>7</v>
      </c>
      <c r="B5" s="305" t="s">
        <v>6410</v>
      </c>
      <c r="C5" s="303" t="s">
        <v>22</v>
      </c>
      <c r="D5" s="420" t="s">
        <v>6411</v>
      </c>
      <c r="E5" s="681" t="s">
        <v>6412</v>
      </c>
      <c r="F5" s="946" t="s">
        <v>759</v>
      </c>
      <c r="G5" s="337" t="s">
        <v>76</v>
      </c>
      <c r="H5" s="307"/>
      <c r="I5" s="303">
        <v>8100605414</v>
      </c>
      <c r="J5" s="303">
        <v>9040905556</v>
      </c>
      <c r="K5" s="351" t="s">
        <v>334</v>
      </c>
      <c r="L5" s="274" t="s">
        <v>50</v>
      </c>
      <c r="M5" s="315">
        <v>30249</v>
      </c>
      <c r="N5" s="315">
        <v>52170</v>
      </c>
      <c r="O5" s="315">
        <v>45518</v>
      </c>
      <c r="P5" s="272">
        <v>46107</v>
      </c>
      <c r="Q5" s="272">
        <v>45916</v>
      </c>
      <c r="R5" s="441"/>
      <c r="S5" s="425"/>
      <c r="T5" s="441"/>
      <c r="U5" s="425"/>
      <c r="V5" s="425"/>
      <c r="W5" s="90"/>
      <c r="X5" s="90"/>
      <c r="Y5" s="90"/>
      <c r="AB5" s="311"/>
    </row>
    <row r="6" spans="1:39" ht="15.75" customHeight="1">
      <c r="A6" s="944">
        <v>12</v>
      </c>
      <c r="B6" s="305" t="s">
        <v>6413</v>
      </c>
      <c r="C6" s="303" t="s">
        <v>22</v>
      </c>
      <c r="D6" s="1963" t="s">
        <v>6414</v>
      </c>
      <c r="E6" s="681" t="s">
        <v>6415</v>
      </c>
      <c r="F6" s="946" t="s">
        <v>759</v>
      </c>
      <c r="G6" s="337" t="s">
        <v>76</v>
      </c>
      <c r="H6" s="307"/>
      <c r="I6" s="303">
        <v>7890529588</v>
      </c>
      <c r="J6" s="303">
        <v>7890529588</v>
      </c>
      <c r="K6" s="351" t="s">
        <v>334</v>
      </c>
      <c r="L6" s="274" t="s">
        <v>256</v>
      </c>
      <c r="M6" s="315">
        <v>32281</v>
      </c>
      <c r="N6" s="315">
        <v>54209</v>
      </c>
      <c r="O6" s="315">
        <v>45985</v>
      </c>
      <c r="P6" s="272">
        <v>45549</v>
      </c>
      <c r="Q6" s="272">
        <v>45497</v>
      </c>
      <c r="R6" s="339" t="s">
        <v>6416</v>
      </c>
      <c r="S6" s="425"/>
      <c r="T6" s="441"/>
      <c r="U6" s="425"/>
      <c r="V6" s="425"/>
      <c r="W6" s="90"/>
      <c r="X6" s="90"/>
      <c r="Y6" s="90"/>
      <c r="AB6" s="311"/>
    </row>
    <row r="7" spans="1:39" ht="15.75" customHeight="1">
      <c r="A7" s="944">
        <v>18</v>
      </c>
      <c r="B7" s="426" t="s">
        <v>6417</v>
      </c>
      <c r="C7" s="18" t="s">
        <v>21</v>
      </c>
      <c r="D7" s="427" t="s">
        <v>6418</v>
      </c>
      <c r="E7" s="18" t="s">
        <v>6419</v>
      </c>
      <c r="F7" s="970" t="s">
        <v>759</v>
      </c>
      <c r="G7" s="18" t="s">
        <v>77</v>
      </c>
      <c r="H7" s="275"/>
      <c r="I7" s="18">
        <v>8101867844</v>
      </c>
      <c r="J7" s="433"/>
      <c r="K7" s="351" t="s">
        <v>334</v>
      </c>
      <c r="L7" s="274" t="s">
        <v>56</v>
      </c>
      <c r="M7" s="418">
        <v>32983</v>
      </c>
      <c r="N7" s="418">
        <v>54908</v>
      </c>
      <c r="O7" s="428">
        <v>45964</v>
      </c>
      <c r="P7" s="418">
        <v>45211</v>
      </c>
      <c r="Q7" s="1683">
        <v>46117</v>
      </c>
      <c r="R7" s="429" t="s">
        <v>6420</v>
      </c>
      <c r="S7" s="429" t="s">
        <v>6421</v>
      </c>
      <c r="T7" s="430"/>
      <c r="U7" s="430"/>
      <c r="V7" s="430"/>
      <c r="X7" s="208">
        <f t="shared" ref="X7:X8" ca="1" si="0">INT((TODAY()-M7)/365)</f>
        <v>35</v>
      </c>
    </row>
    <row r="8" spans="1:39" ht="15.75" customHeight="1">
      <c r="A8" s="944">
        <v>19</v>
      </c>
      <c r="B8" s="426" t="s">
        <v>6422</v>
      </c>
      <c r="C8" s="18" t="s">
        <v>21</v>
      </c>
      <c r="D8" s="427" t="s">
        <v>6423</v>
      </c>
      <c r="E8" s="18" t="s">
        <v>6424</v>
      </c>
      <c r="F8" s="970" t="s">
        <v>759</v>
      </c>
      <c r="G8" s="18" t="s">
        <v>77</v>
      </c>
      <c r="H8" s="275"/>
      <c r="I8" s="18">
        <v>7001575770</v>
      </c>
      <c r="J8" s="433"/>
      <c r="K8" s="351" t="s">
        <v>334</v>
      </c>
      <c r="L8" s="274" t="s">
        <v>55</v>
      </c>
      <c r="M8" s="418">
        <v>32057</v>
      </c>
      <c r="N8" s="418">
        <v>53996</v>
      </c>
      <c r="O8" s="428">
        <v>45957</v>
      </c>
      <c r="P8" s="418">
        <v>45165</v>
      </c>
      <c r="Q8" s="418">
        <v>46117</v>
      </c>
      <c r="R8" s="429" t="s">
        <v>6425</v>
      </c>
      <c r="S8" s="429" t="s">
        <v>6426</v>
      </c>
      <c r="T8" s="430"/>
      <c r="U8" s="430"/>
      <c r="V8" s="430"/>
      <c r="X8" s="208">
        <f t="shared" ca="1" si="0"/>
        <v>38</v>
      </c>
    </row>
    <row r="9" spans="1:39" ht="15.75" customHeight="1">
      <c r="A9" s="944">
        <v>24</v>
      </c>
      <c r="B9" s="301" t="s">
        <v>5726</v>
      </c>
      <c r="C9" s="284" t="s">
        <v>22</v>
      </c>
      <c r="D9" s="564" t="s">
        <v>6427</v>
      </c>
      <c r="E9" s="1136" t="s">
        <v>6428</v>
      </c>
      <c r="F9" s="274" t="s">
        <v>759</v>
      </c>
      <c r="G9" s="284" t="s">
        <v>76</v>
      </c>
      <c r="H9" s="391"/>
      <c r="I9" s="284"/>
      <c r="J9" s="284"/>
      <c r="K9" s="351" t="s">
        <v>334</v>
      </c>
      <c r="L9" s="18" t="s">
        <v>64</v>
      </c>
      <c r="M9" s="272">
        <v>33984</v>
      </c>
      <c r="N9" s="272">
        <v>55915</v>
      </c>
      <c r="O9" s="400">
        <v>45145</v>
      </c>
      <c r="P9" s="279">
        <v>45562</v>
      </c>
      <c r="Q9" s="302">
        <v>45562</v>
      </c>
      <c r="R9" s="394" t="s">
        <v>6429</v>
      </c>
      <c r="S9" s="393"/>
      <c r="T9" s="403"/>
      <c r="U9" s="393"/>
      <c r="V9" s="383"/>
      <c r="W9" s="395"/>
      <c r="Y9" s="3"/>
      <c r="Z9" s="79"/>
      <c r="AA9" s="79"/>
      <c r="AB9" s="311"/>
    </row>
    <row r="10" spans="1:39" ht="15.75" customHeight="1">
      <c r="A10" s="944">
        <v>25</v>
      </c>
      <c r="B10" s="301" t="s">
        <v>6430</v>
      </c>
      <c r="C10" s="284" t="s">
        <v>22</v>
      </c>
      <c r="D10" s="564" t="s">
        <v>6431</v>
      </c>
      <c r="E10" s="681" t="s">
        <v>6432</v>
      </c>
      <c r="F10" s="686" t="s">
        <v>759</v>
      </c>
      <c r="G10" s="284" t="s">
        <v>76</v>
      </c>
      <c r="H10" s="391"/>
      <c r="I10" s="284"/>
      <c r="J10" s="284"/>
      <c r="K10" s="351" t="s">
        <v>334</v>
      </c>
      <c r="L10" s="274" t="s">
        <v>50</v>
      </c>
      <c r="M10" s="272">
        <v>34501</v>
      </c>
      <c r="N10" s="272">
        <v>56430</v>
      </c>
      <c r="O10" s="400">
        <v>45143</v>
      </c>
      <c r="P10" s="279">
        <v>45609</v>
      </c>
      <c r="Q10" s="302">
        <v>45609</v>
      </c>
      <c r="R10" s="403"/>
      <c r="S10" s="393"/>
      <c r="T10" s="403"/>
      <c r="U10" s="393"/>
      <c r="V10" s="383"/>
      <c r="W10" s="563"/>
      <c r="X10" s="79"/>
      <c r="Y10" s="3"/>
      <c r="Z10" s="79"/>
      <c r="AA10" s="79"/>
      <c r="AB10" s="382"/>
      <c r="AC10" s="79"/>
      <c r="AD10" s="79"/>
      <c r="AE10" s="79"/>
    </row>
    <row r="11" spans="1:39" ht="15.75">
      <c r="A11" s="944">
        <v>26</v>
      </c>
      <c r="B11" s="426" t="s">
        <v>6433</v>
      </c>
      <c r="C11" s="18" t="s">
        <v>22</v>
      </c>
      <c r="D11" s="427" t="s">
        <v>6434</v>
      </c>
      <c r="E11" s="681" t="s">
        <v>6435</v>
      </c>
      <c r="F11" s="943" t="s">
        <v>759</v>
      </c>
      <c r="G11" s="18" t="s">
        <v>77</v>
      </c>
      <c r="H11" s="275"/>
      <c r="I11" s="3"/>
      <c r="J11" s="3"/>
      <c r="K11" s="351" t="s">
        <v>334</v>
      </c>
      <c r="L11" s="274" t="s">
        <v>55</v>
      </c>
      <c r="M11" s="418">
        <v>32165</v>
      </c>
      <c r="N11" s="418">
        <v>54088</v>
      </c>
      <c r="O11" s="428">
        <v>46154</v>
      </c>
      <c r="P11" s="272">
        <v>45566</v>
      </c>
      <c r="Q11" s="418">
        <v>45605</v>
      </c>
      <c r="R11" s="281" t="s">
        <v>6436</v>
      </c>
      <c r="S11" s="280"/>
      <c r="T11" s="280"/>
      <c r="U11" s="280"/>
      <c r="V11" s="280"/>
      <c r="W11" s="208">
        <f ca="1">INT((TODAY()-M11)/365)</f>
        <v>38</v>
      </c>
      <c r="X11" s="79"/>
      <c r="Y11" s="395"/>
      <c r="Z11" s="79"/>
      <c r="AA11" s="383"/>
      <c r="AB11" s="282"/>
      <c r="AC11" s="383"/>
      <c r="AD11" s="383"/>
      <c r="AE11" s="383"/>
      <c r="AF11" s="383"/>
      <c r="AG11" s="383"/>
      <c r="AH11" s="383"/>
      <c r="AI11" s="384"/>
      <c r="AJ11" s="384"/>
      <c r="AK11" s="384"/>
      <c r="AL11" s="384"/>
      <c r="AM11" s="384"/>
    </row>
    <row r="12" spans="1:39" ht="15.75" customHeight="1">
      <c r="A12" s="944">
        <v>79</v>
      </c>
      <c r="B12" s="305" t="s">
        <v>6437</v>
      </c>
      <c r="C12" s="303" t="s">
        <v>22</v>
      </c>
      <c r="D12" s="1633" t="s">
        <v>6438</v>
      </c>
      <c r="E12" s="595" t="s">
        <v>6439</v>
      </c>
      <c r="F12" s="946" t="s">
        <v>759</v>
      </c>
      <c r="G12" s="337" t="s">
        <v>76</v>
      </c>
      <c r="H12" s="307"/>
      <c r="I12" s="1964">
        <v>9547575547</v>
      </c>
      <c r="J12" s="1674">
        <v>9547575547</v>
      </c>
      <c r="K12" s="351" t="s">
        <v>334</v>
      </c>
      <c r="L12" s="274" t="s">
        <v>351</v>
      </c>
      <c r="M12" s="315">
        <v>33794</v>
      </c>
      <c r="N12" s="315">
        <v>55731</v>
      </c>
      <c r="O12" s="315">
        <v>45111</v>
      </c>
      <c r="P12" s="272">
        <v>45139</v>
      </c>
      <c r="Q12" s="272">
        <v>46007</v>
      </c>
      <c r="R12" s="318" t="s">
        <v>6440</v>
      </c>
      <c r="S12" s="285"/>
      <c r="T12" s="317"/>
      <c r="U12" s="285"/>
      <c r="V12" s="285"/>
      <c r="W12" s="90"/>
      <c r="X12" s="3"/>
      <c r="Y12" s="395"/>
      <c r="Z12" s="79"/>
      <c r="AA12" s="383"/>
      <c r="AB12" s="282"/>
      <c r="AC12" s="383"/>
      <c r="AD12" s="383"/>
      <c r="AE12" s="383"/>
      <c r="AF12" s="383"/>
      <c r="AG12" s="383"/>
      <c r="AH12" s="383"/>
      <c r="AI12" s="384"/>
      <c r="AJ12" s="384"/>
      <c r="AK12" s="384"/>
      <c r="AL12" s="384"/>
      <c r="AM12" s="384"/>
    </row>
    <row r="13" spans="1:39" ht="15.75" customHeight="1">
      <c r="A13" s="1006">
        <v>51</v>
      </c>
      <c r="B13" s="305" t="s">
        <v>6441</v>
      </c>
      <c r="C13" s="303" t="s">
        <v>22</v>
      </c>
      <c r="D13" s="1460" t="s">
        <v>6442</v>
      </c>
      <c r="E13" s="681" t="s">
        <v>6443</v>
      </c>
      <c r="F13" s="1024" t="s">
        <v>759</v>
      </c>
      <c r="G13" s="337" t="s">
        <v>76</v>
      </c>
      <c r="H13" s="307"/>
      <c r="I13" s="1303">
        <v>9147918120</v>
      </c>
      <c r="J13" s="307"/>
      <c r="K13" s="351" t="s">
        <v>334</v>
      </c>
      <c r="L13" s="303" t="s">
        <v>43</v>
      </c>
      <c r="M13" s="315">
        <v>31108</v>
      </c>
      <c r="N13" s="315">
        <v>53052</v>
      </c>
      <c r="O13" s="315">
        <v>45970</v>
      </c>
      <c r="P13" s="272">
        <v>45199</v>
      </c>
      <c r="Q13" s="272">
        <v>45980</v>
      </c>
      <c r="R13" s="339" t="s">
        <v>6444</v>
      </c>
      <c r="S13" s="425"/>
      <c r="T13" s="441"/>
      <c r="U13" s="425"/>
      <c r="V13" s="425"/>
      <c r="W13" s="90"/>
      <c r="X13" s="90"/>
      <c r="Y13" s="90"/>
      <c r="AB13" s="311"/>
    </row>
    <row r="14" spans="1:39" ht="15.75" customHeight="1">
      <c r="A14" s="1006">
        <v>66</v>
      </c>
      <c r="B14" s="305" t="s">
        <v>6445</v>
      </c>
      <c r="C14" s="303" t="s">
        <v>22</v>
      </c>
      <c r="D14" s="1645" t="s">
        <v>6446</v>
      </c>
      <c r="E14" s="681" t="s">
        <v>6447</v>
      </c>
      <c r="F14" s="946" t="s">
        <v>759</v>
      </c>
      <c r="G14" s="337" t="s">
        <v>76</v>
      </c>
      <c r="H14" s="307"/>
      <c r="I14" s="1295">
        <v>917326868170</v>
      </c>
      <c r="J14" s="303">
        <v>7326868170</v>
      </c>
      <c r="K14" s="351" t="s">
        <v>334</v>
      </c>
      <c r="L14" s="1217" t="s">
        <v>43</v>
      </c>
      <c r="M14" s="315">
        <v>32072</v>
      </c>
      <c r="N14" s="315">
        <v>53996</v>
      </c>
      <c r="O14" s="315">
        <v>45977</v>
      </c>
      <c r="P14" s="272">
        <v>45565</v>
      </c>
      <c r="Q14" s="272">
        <v>45504</v>
      </c>
      <c r="R14" s="318" t="s">
        <v>6448</v>
      </c>
      <c r="S14" s="285"/>
      <c r="T14" s="317"/>
      <c r="U14" s="285"/>
      <c r="V14" s="285"/>
      <c r="W14" s="3"/>
      <c r="X14" s="3"/>
      <c r="Y14" s="3"/>
      <c r="Z14" s="3"/>
      <c r="AA14" s="3"/>
      <c r="AB14" s="90"/>
      <c r="AC14" s="90"/>
      <c r="AD14" s="90"/>
      <c r="AL14" s="384"/>
      <c r="AM14" s="384"/>
    </row>
    <row r="15" spans="1:39" ht="15.75" customHeight="1">
      <c r="A15" s="980">
        <v>84</v>
      </c>
      <c r="B15" s="305" t="s">
        <v>426</v>
      </c>
      <c r="C15" s="303" t="s">
        <v>22</v>
      </c>
      <c r="D15" s="1645" t="s">
        <v>6449</v>
      </c>
      <c r="E15" s="681" t="s">
        <v>6450</v>
      </c>
      <c r="F15" s="946" t="s">
        <v>759</v>
      </c>
      <c r="G15" s="337" t="s">
        <v>76</v>
      </c>
      <c r="H15" s="307"/>
      <c r="I15" s="703">
        <v>7980102986</v>
      </c>
      <c r="J15" s="303">
        <v>7980102986</v>
      </c>
      <c r="K15" s="351" t="s">
        <v>334</v>
      </c>
      <c r="L15" s="398" t="s">
        <v>56</v>
      </c>
      <c r="M15" s="315">
        <v>31983</v>
      </c>
      <c r="N15" s="315">
        <v>53904</v>
      </c>
      <c r="O15" s="315">
        <v>46013</v>
      </c>
      <c r="P15" s="418">
        <v>45905</v>
      </c>
      <c r="Q15" s="272">
        <v>45497</v>
      </c>
      <c r="R15" s="318" t="s">
        <v>6451</v>
      </c>
      <c r="S15" s="285"/>
      <c r="T15" s="317"/>
      <c r="U15" s="285"/>
      <c r="V15" s="285"/>
      <c r="W15" s="3"/>
      <c r="X15" s="3"/>
      <c r="Y15" s="395"/>
      <c r="Z15" s="79"/>
      <c r="AA15" s="383"/>
      <c r="AB15" s="282"/>
      <c r="AC15" s="383"/>
      <c r="AD15" s="383"/>
      <c r="AE15" s="383"/>
      <c r="AF15" s="383"/>
      <c r="AG15" s="383"/>
      <c r="AH15" s="383"/>
      <c r="AI15" s="384"/>
      <c r="AJ15" s="384"/>
      <c r="AK15" s="384"/>
      <c r="AL15" s="384"/>
      <c r="AM15" s="384"/>
    </row>
    <row r="16" spans="1:39" ht="15.75" customHeight="1">
      <c r="A16" s="980">
        <v>28</v>
      </c>
      <c r="B16" s="305" t="s">
        <v>6452</v>
      </c>
      <c r="C16" s="303" t="s">
        <v>22</v>
      </c>
      <c r="D16" s="1645" t="s">
        <v>6453</v>
      </c>
      <c r="E16" s="681" t="s">
        <v>6454</v>
      </c>
      <c r="F16" s="946" t="s">
        <v>759</v>
      </c>
      <c r="G16" s="337" t="s">
        <v>76</v>
      </c>
      <c r="H16" s="307"/>
      <c r="I16" s="703">
        <v>9475972028</v>
      </c>
      <c r="J16" s="303">
        <v>9475972028</v>
      </c>
      <c r="K16" s="351" t="s">
        <v>334</v>
      </c>
      <c r="L16" s="18" t="s">
        <v>64</v>
      </c>
      <c r="M16" s="315">
        <v>32052</v>
      </c>
      <c r="N16" s="315">
        <v>53996</v>
      </c>
      <c r="O16" s="315">
        <v>46314</v>
      </c>
      <c r="P16" s="272">
        <v>45681</v>
      </c>
      <c r="Q16" s="272">
        <v>45595</v>
      </c>
      <c r="R16" s="318" t="s">
        <v>6455</v>
      </c>
      <c r="S16" s="285"/>
      <c r="T16" s="317"/>
      <c r="U16" s="285"/>
      <c r="V16" s="285"/>
      <c r="W16" s="3"/>
      <c r="X16" s="90"/>
      <c r="Y16" s="90"/>
      <c r="AB16" s="311"/>
    </row>
    <row r="17" spans="1:39" ht="15.75" customHeight="1">
      <c r="A17" s="980">
        <v>71</v>
      </c>
      <c r="B17" s="301" t="s">
        <v>6456</v>
      </c>
      <c r="C17" s="284" t="s">
        <v>22</v>
      </c>
      <c r="D17" s="1646" t="s">
        <v>6457</v>
      </c>
      <c r="E17" s="1120" t="s">
        <v>6458</v>
      </c>
      <c r="F17" s="274" t="s">
        <v>3258</v>
      </c>
      <c r="G17" s="284" t="s">
        <v>76</v>
      </c>
      <c r="H17" s="391"/>
      <c r="I17" s="1295">
        <v>919230881624</v>
      </c>
      <c r="J17" s="284"/>
      <c r="K17" s="351" t="s">
        <v>334</v>
      </c>
      <c r="L17" s="18" t="s">
        <v>62</v>
      </c>
      <c r="M17" s="272">
        <v>34287</v>
      </c>
      <c r="N17" s="272">
        <v>56218</v>
      </c>
      <c r="O17" s="400">
        <v>45262</v>
      </c>
      <c r="P17" s="279">
        <v>46151</v>
      </c>
      <c r="Q17" s="302">
        <v>46366</v>
      </c>
      <c r="R17" s="394" t="s">
        <v>6459</v>
      </c>
      <c r="S17" s="393"/>
      <c r="T17" s="403"/>
      <c r="U17" s="393"/>
      <c r="V17" s="383"/>
      <c r="W17" s="395"/>
      <c r="X17" s="79"/>
      <c r="Y17" s="395"/>
      <c r="Z17" s="79"/>
      <c r="AA17" s="383"/>
      <c r="AB17" s="282"/>
      <c r="AC17" s="383"/>
      <c r="AD17" s="383"/>
      <c r="AE17" s="383"/>
      <c r="AF17" s="383"/>
      <c r="AG17" s="383"/>
      <c r="AH17" s="383"/>
      <c r="AI17" s="384"/>
      <c r="AJ17" s="384"/>
      <c r="AK17" s="384"/>
      <c r="AL17" s="384"/>
      <c r="AM17" s="384"/>
    </row>
    <row r="18" spans="1:39" ht="15.75">
      <c r="A18" s="980">
        <v>59</v>
      </c>
      <c r="B18" s="301" t="s">
        <v>6460</v>
      </c>
      <c r="C18" s="284" t="s">
        <v>22</v>
      </c>
      <c r="D18" s="1646" t="s">
        <v>6461</v>
      </c>
      <c r="E18" s="1120" t="s">
        <v>6462</v>
      </c>
      <c r="F18" s="274" t="s">
        <v>759</v>
      </c>
      <c r="G18" s="284" t="s">
        <v>76</v>
      </c>
      <c r="H18" s="391"/>
      <c r="I18" s="1295">
        <v>919088383702</v>
      </c>
      <c r="J18" s="284"/>
      <c r="K18" s="351" t="s">
        <v>334</v>
      </c>
      <c r="L18" s="398" t="s">
        <v>43</v>
      </c>
      <c r="M18" s="272">
        <v>33821</v>
      </c>
      <c r="N18" s="272">
        <v>55762</v>
      </c>
      <c r="O18" s="400">
        <v>45262</v>
      </c>
      <c r="P18" s="279">
        <v>46151</v>
      </c>
      <c r="Q18" s="302">
        <v>46366</v>
      </c>
      <c r="R18" s="394" t="s">
        <v>6463</v>
      </c>
      <c r="S18" s="393"/>
      <c r="T18" s="403"/>
      <c r="U18" s="393"/>
      <c r="V18" s="383"/>
      <c r="W18" s="395"/>
      <c r="X18" s="79"/>
      <c r="Y18" s="395"/>
      <c r="Z18" s="79"/>
      <c r="AA18" s="383"/>
      <c r="AB18" s="282"/>
      <c r="AC18" s="383"/>
      <c r="AD18" s="383"/>
      <c r="AE18" s="383"/>
      <c r="AF18" s="383"/>
      <c r="AG18" s="383"/>
      <c r="AH18" s="383"/>
      <c r="AI18" s="384"/>
      <c r="AJ18" s="384"/>
      <c r="AK18" s="384"/>
      <c r="AL18" s="384"/>
      <c r="AM18" s="384"/>
    </row>
    <row r="19" spans="1:39" ht="18.75">
      <c r="A19" s="980">
        <v>78</v>
      </c>
      <c r="B19" s="305" t="s">
        <v>6464</v>
      </c>
      <c r="C19" s="303" t="s">
        <v>22</v>
      </c>
      <c r="D19" s="1645" t="s">
        <v>6465</v>
      </c>
      <c r="E19" s="1010" t="s">
        <v>6466</v>
      </c>
      <c r="F19" s="946" t="s">
        <v>759</v>
      </c>
      <c r="G19" s="337" t="s">
        <v>76</v>
      </c>
      <c r="H19" s="307"/>
      <c r="I19" s="1295">
        <v>917384761559</v>
      </c>
      <c r="J19" s="307"/>
      <c r="K19" s="274" t="s">
        <v>334</v>
      </c>
      <c r="L19" s="125" t="s">
        <v>67</v>
      </c>
      <c r="M19" s="315">
        <v>31448</v>
      </c>
      <c r="N19" s="315">
        <v>53386</v>
      </c>
      <c r="O19" s="315">
        <v>46067</v>
      </c>
      <c r="P19" s="315">
        <v>45996</v>
      </c>
      <c r="Q19" s="315">
        <v>46007</v>
      </c>
      <c r="R19" s="1965"/>
      <c r="S19" s="285"/>
      <c r="T19" s="317"/>
      <c r="U19" s="285"/>
      <c r="V19" s="285"/>
      <c r="W19" s="3"/>
      <c r="X19" s="3"/>
      <c r="Y19" s="395"/>
      <c r="Z19" s="79"/>
      <c r="AA19" s="383"/>
      <c r="AB19" s="282"/>
      <c r="AC19" s="383"/>
      <c r="AD19" s="383"/>
      <c r="AE19" s="383"/>
      <c r="AF19" s="383"/>
      <c r="AG19" s="383"/>
      <c r="AH19" s="383"/>
      <c r="AI19" s="384"/>
      <c r="AJ19" s="384"/>
      <c r="AK19" s="384"/>
      <c r="AL19" s="384"/>
      <c r="AM19" s="384"/>
    </row>
    <row r="20" spans="1:39" ht="15.75" customHeight="1">
      <c r="A20" s="1066">
        <v>4</v>
      </c>
      <c r="B20" s="1966" t="s">
        <v>6467</v>
      </c>
      <c r="C20" s="274" t="s">
        <v>14</v>
      </c>
      <c r="D20" s="1448" t="s">
        <v>6468</v>
      </c>
      <c r="E20" s="274" t="s">
        <v>6469</v>
      </c>
      <c r="F20" s="686" t="s">
        <v>759</v>
      </c>
      <c r="G20" s="274" t="s">
        <v>77</v>
      </c>
      <c r="H20" s="274" t="s">
        <v>279</v>
      </c>
      <c r="I20" s="293">
        <v>9002071725</v>
      </c>
      <c r="J20" s="284">
        <v>9002071725</v>
      </c>
      <c r="K20" s="351" t="s">
        <v>334</v>
      </c>
      <c r="L20" s="125" t="s">
        <v>69</v>
      </c>
      <c r="M20" s="272">
        <v>28501</v>
      </c>
      <c r="N20" s="289">
        <v>50436</v>
      </c>
      <c r="O20" s="272">
        <v>45346</v>
      </c>
      <c r="P20" s="315">
        <v>45222</v>
      </c>
      <c r="Q20" s="272">
        <v>45258</v>
      </c>
      <c r="R20" s="79"/>
      <c r="S20" s="295"/>
      <c r="T20" s="603" t="s">
        <v>6470</v>
      </c>
      <c r="U20" s="603" t="s">
        <v>6470</v>
      </c>
      <c r="V20" s="297">
        <f>LEN(TEXT(D20,0))</f>
        <v>11</v>
      </c>
      <c r="W20" s="282">
        <f ca="1">INT((TODAY()-M20)/365)</f>
        <v>48</v>
      </c>
      <c r="X20" s="297"/>
      <c r="Y20" s="297"/>
      <c r="Z20" s="297"/>
      <c r="AA20" s="297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</row>
    <row r="21" spans="1:39" ht="15.75" customHeight="1">
      <c r="A21" s="1162">
        <v>18</v>
      </c>
      <c r="B21" s="287" t="s">
        <v>6471</v>
      </c>
      <c r="C21" s="274" t="s">
        <v>14</v>
      </c>
      <c r="D21" s="562" t="s">
        <v>6472</v>
      </c>
      <c r="E21" s="620" t="s">
        <v>6473</v>
      </c>
      <c r="F21" s="685" t="s">
        <v>759</v>
      </c>
      <c r="G21" s="274" t="s">
        <v>76</v>
      </c>
      <c r="H21" s="303" t="s">
        <v>279</v>
      </c>
      <c r="I21" s="275">
        <v>9002079698</v>
      </c>
      <c r="J21" s="690"/>
      <c r="K21" s="351" t="s">
        <v>334</v>
      </c>
      <c r="L21" s="398" t="s">
        <v>50</v>
      </c>
      <c r="M21" s="272">
        <v>32257</v>
      </c>
      <c r="N21" s="272">
        <v>54178</v>
      </c>
      <c r="O21" s="272">
        <v>45886</v>
      </c>
      <c r="P21" s="424">
        <v>45257</v>
      </c>
      <c r="Q21" s="272">
        <v>45242</v>
      </c>
      <c r="R21" s="425"/>
      <c r="S21" s="309"/>
      <c r="T21" s="310" t="s">
        <v>6474</v>
      </c>
      <c r="U21" s="310" t="s">
        <v>6475</v>
      </c>
      <c r="V21" s="382">
        <f>LEN(D21)</f>
        <v>11</v>
      </c>
      <c r="W21" s="311"/>
      <c r="X21" s="311"/>
      <c r="Y21" s="311"/>
      <c r="Z21" s="311"/>
      <c r="AA21" s="311"/>
      <c r="AB21" s="311">
        <f ca="1">INT((TODAY()-M21)/365)</f>
        <v>37</v>
      </c>
    </row>
    <row r="22" spans="1:39" ht="15.75" customHeight="1">
      <c r="A22" s="1066">
        <v>7</v>
      </c>
      <c r="B22" s="1967" t="s">
        <v>6476</v>
      </c>
      <c r="C22" s="1968" t="s">
        <v>14</v>
      </c>
      <c r="D22" s="1969" t="s">
        <v>6477</v>
      </c>
      <c r="E22" s="1935" t="s">
        <v>6478</v>
      </c>
      <c r="F22" s="686" t="s">
        <v>759</v>
      </c>
      <c r="G22" s="1970" t="s">
        <v>78</v>
      </c>
      <c r="H22" s="1968"/>
      <c r="I22" s="1968">
        <v>9002071849</v>
      </c>
      <c r="J22" s="1968"/>
      <c r="K22" s="351" t="s">
        <v>334</v>
      </c>
      <c r="L22" s="1971"/>
      <c r="M22" s="1972">
        <v>25808</v>
      </c>
      <c r="N22" s="1937">
        <v>47726</v>
      </c>
      <c r="O22" s="1973"/>
      <c r="P22" s="1937"/>
      <c r="Q22" s="1937"/>
      <c r="R22" s="1974" t="s">
        <v>6479</v>
      </c>
      <c r="S22" s="1046"/>
      <c r="T22" s="1975" t="s">
        <v>6480</v>
      </c>
      <c r="U22" s="1974"/>
      <c r="V22" s="1047">
        <f t="shared" ref="V22:V23" si="1">LEN(TEXT(D22,0))</f>
        <v>11</v>
      </c>
      <c r="W22" s="1976" t="s">
        <v>6481</v>
      </c>
      <c r="X22" s="1049"/>
      <c r="Y22" s="1048"/>
      <c r="Z22" s="1977" t="s">
        <v>85</v>
      </c>
      <c r="AA22" s="1047"/>
      <c r="AB22" s="1050"/>
      <c r="AC22" s="1050"/>
      <c r="AD22" s="1050"/>
      <c r="AE22" s="1050"/>
      <c r="AF22" s="1050"/>
      <c r="AG22" s="1050"/>
      <c r="AH22" s="1050"/>
      <c r="AI22" s="1050"/>
      <c r="AJ22" s="1050"/>
      <c r="AK22" s="1050"/>
      <c r="AL22" s="1050"/>
      <c r="AM22" s="1050"/>
    </row>
    <row r="23" spans="1:39" ht="15.75" customHeight="1">
      <c r="A23" s="1066">
        <v>15</v>
      </c>
      <c r="B23" s="293" t="s">
        <v>6482</v>
      </c>
      <c r="C23" s="391" t="s">
        <v>14</v>
      </c>
      <c r="D23" s="1466" t="s">
        <v>6483</v>
      </c>
      <c r="E23" s="18" t="s">
        <v>6484</v>
      </c>
      <c r="F23" s="274" t="s">
        <v>759</v>
      </c>
      <c r="G23" s="303" t="s">
        <v>76</v>
      </c>
      <c r="H23" s="274" t="s">
        <v>279</v>
      </c>
      <c r="I23" s="293">
        <v>9002071759</v>
      </c>
      <c r="J23" s="275"/>
      <c r="K23" s="351" t="s">
        <v>334</v>
      </c>
      <c r="L23" s="274" t="s">
        <v>299</v>
      </c>
      <c r="M23" s="272">
        <v>24413</v>
      </c>
      <c r="N23" s="289">
        <v>46356</v>
      </c>
      <c r="O23" s="272">
        <v>45233</v>
      </c>
      <c r="P23" s="278">
        <v>45667</v>
      </c>
      <c r="Q23" s="272">
        <v>46118</v>
      </c>
      <c r="R23" s="294"/>
      <c r="S23" s="295"/>
      <c r="T23" s="296" t="s">
        <v>6485</v>
      </c>
      <c r="U23" s="296" t="s">
        <v>6486</v>
      </c>
      <c r="V23" s="383">
        <f t="shared" si="1"/>
        <v>11</v>
      </c>
      <c r="W23" s="282">
        <f ca="1">INT((TODAY()-M23)/365)</f>
        <v>59</v>
      </c>
      <c r="X23" s="297"/>
      <c r="Y23" s="382"/>
      <c r="Z23" s="382"/>
      <c r="AA23" s="382"/>
      <c r="AB23" s="382"/>
      <c r="AC23" s="382"/>
      <c r="AD23" s="382"/>
      <c r="AE23" s="382"/>
      <c r="AF23" s="382"/>
      <c r="AG23" s="382"/>
      <c r="AH23" s="382"/>
      <c r="AI23" s="311"/>
      <c r="AJ23" s="311"/>
      <c r="AK23" s="311"/>
      <c r="AL23" s="311"/>
      <c r="AM23" s="311"/>
    </row>
    <row r="24" spans="1:39" ht="15.75" customHeight="1">
      <c r="A24" s="1066">
        <v>22</v>
      </c>
      <c r="B24" s="276" t="s">
        <v>6487</v>
      </c>
      <c r="C24" s="391" t="s">
        <v>14</v>
      </c>
      <c r="D24" s="1460" t="s">
        <v>6488</v>
      </c>
      <c r="E24" s="674" t="s">
        <v>6489</v>
      </c>
      <c r="F24" s="958" t="s">
        <v>759</v>
      </c>
      <c r="G24" s="385" t="s">
        <v>77</v>
      </c>
      <c r="H24" s="303" t="s">
        <v>279</v>
      </c>
      <c r="I24" s="307">
        <v>9002079034</v>
      </c>
      <c r="J24" s="405"/>
      <c r="K24" s="351" t="s">
        <v>334</v>
      </c>
      <c r="L24" s="18" t="s">
        <v>299</v>
      </c>
      <c r="M24" s="278">
        <v>31308</v>
      </c>
      <c r="N24" s="315">
        <v>53235</v>
      </c>
      <c r="O24" s="278">
        <v>45199</v>
      </c>
      <c r="P24" s="279">
        <v>45361</v>
      </c>
      <c r="Q24" s="272">
        <v>45258</v>
      </c>
      <c r="R24" s="425"/>
      <c r="S24" s="425"/>
      <c r="T24" s="425"/>
      <c r="U24" s="339" t="s">
        <v>6490</v>
      </c>
      <c r="V24" s="90"/>
      <c r="W24" s="90"/>
      <c r="X24" s="90"/>
      <c r="AA24" s="311">
        <f ca="1">INT((TODAY()-M24)/365)</f>
        <v>40</v>
      </c>
    </row>
    <row r="25" spans="1:39" ht="18.75">
      <c r="A25" s="1066">
        <v>23</v>
      </c>
      <c r="B25" s="276" t="s">
        <v>6491</v>
      </c>
      <c r="C25" s="391" t="s">
        <v>14</v>
      </c>
      <c r="D25" s="1460" t="s">
        <v>6492</v>
      </c>
      <c r="E25" s="303" t="s">
        <v>6493</v>
      </c>
      <c r="F25" s="685" t="s">
        <v>759</v>
      </c>
      <c r="G25" s="337" t="s">
        <v>76</v>
      </c>
      <c r="H25" s="303" t="s">
        <v>266</v>
      </c>
      <c r="I25" s="307">
        <v>9002079016</v>
      </c>
      <c r="J25" s="307"/>
      <c r="K25" s="351" t="s">
        <v>334</v>
      </c>
      <c r="L25" s="18" t="s">
        <v>299</v>
      </c>
      <c r="M25" s="278">
        <v>29000</v>
      </c>
      <c r="N25" s="315">
        <v>50921</v>
      </c>
      <c r="O25" s="278">
        <v>45437</v>
      </c>
      <c r="P25" s="278">
        <v>46165</v>
      </c>
      <c r="Q25" s="302">
        <v>46017</v>
      </c>
      <c r="R25" s="338"/>
      <c r="S25" s="285"/>
      <c r="T25" s="982" t="s">
        <v>6494</v>
      </c>
      <c r="U25" s="318" t="s">
        <v>6495</v>
      </c>
      <c r="V25" s="285">
        <f>LEN(D25)</f>
        <v>11</v>
      </c>
      <c r="W25" s="3"/>
      <c r="X25" s="3"/>
      <c r="Y25" s="3"/>
      <c r="Z25" s="79"/>
      <c r="AA25" s="79"/>
      <c r="AB25" s="311">
        <f ca="1">INT((TODAY()-M25)/365)</f>
        <v>46</v>
      </c>
      <c r="AD25" s="79"/>
      <c r="AE25" s="79"/>
      <c r="AF25" s="79"/>
      <c r="AG25" s="79"/>
      <c r="AH25" s="79"/>
    </row>
    <row r="26" spans="1:39" ht="15.75" customHeight="1">
      <c r="A26" s="231">
        <v>43</v>
      </c>
      <c r="B26" s="252" t="s">
        <v>6496</v>
      </c>
      <c r="C26" s="391" t="s">
        <v>14</v>
      </c>
      <c r="D26" s="1978" t="s">
        <v>6497</v>
      </c>
      <c r="E26" s="253" t="s">
        <v>6498</v>
      </c>
      <c r="F26" s="345" t="s">
        <v>759</v>
      </c>
      <c r="G26" s="344" t="s">
        <v>77</v>
      </c>
      <c r="H26" s="303" t="s">
        <v>266</v>
      </c>
      <c r="I26" s="137">
        <v>9002071240</v>
      </c>
      <c r="J26" s="245"/>
      <c r="K26" s="351" t="s">
        <v>334</v>
      </c>
      <c r="L26" s="18" t="s">
        <v>299</v>
      </c>
      <c r="M26" s="1979">
        <v>27702</v>
      </c>
      <c r="N26" s="1980">
        <v>49643</v>
      </c>
    </row>
    <row r="27" spans="1:39" ht="15.75" customHeight="1">
      <c r="A27" s="1125">
        <v>78</v>
      </c>
      <c r="B27" s="293" t="s">
        <v>6499</v>
      </c>
      <c r="C27" s="1365" t="s">
        <v>14</v>
      </c>
      <c r="D27" s="1448" t="s">
        <v>6500</v>
      </c>
      <c r="E27" s="303" t="s">
        <v>6501</v>
      </c>
      <c r="F27" s="674" t="s">
        <v>759</v>
      </c>
      <c r="G27" s="303" t="s">
        <v>76</v>
      </c>
      <c r="H27" s="274" t="s">
        <v>279</v>
      </c>
      <c r="I27" s="275">
        <v>9002079778</v>
      </c>
      <c r="J27" s="275"/>
      <c r="K27" s="351" t="s">
        <v>334</v>
      </c>
      <c r="L27" s="18" t="s">
        <v>299</v>
      </c>
      <c r="M27" s="272">
        <v>27361</v>
      </c>
      <c r="N27" s="272">
        <v>49278</v>
      </c>
      <c r="O27" s="272">
        <v>45502</v>
      </c>
      <c r="P27" s="279">
        <v>45487</v>
      </c>
      <c r="Q27" s="272">
        <v>45450</v>
      </c>
      <c r="R27" s="79"/>
      <c r="S27" s="485"/>
      <c r="T27" s="603" t="s">
        <v>6502</v>
      </c>
      <c r="U27" s="603" t="s">
        <v>6503</v>
      </c>
      <c r="V27" s="382">
        <f t="shared" ref="V27:V28" si="2">LEN(D27)</f>
        <v>11</v>
      </c>
      <c r="W27" s="311"/>
      <c r="X27" s="208">
        <f ca="1">INT((TODAY()-M27)/365)</f>
        <v>51</v>
      </c>
      <c r="Y27" s="311"/>
      <c r="Z27" s="311"/>
      <c r="AA27" s="311"/>
      <c r="AB27" s="311"/>
      <c r="AC27" s="311"/>
      <c r="AD27" s="311"/>
      <c r="AE27" s="311"/>
      <c r="AF27" s="311"/>
      <c r="AG27" s="311"/>
      <c r="AH27" s="311"/>
      <c r="AI27" s="311"/>
      <c r="AJ27" s="311"/>
      <c r="AK27" s="311"/>
      <c r="AL27" s="311"/>
      <c r="AM27" s="311"/>
    </row>
    <row r="28" spans="1:39" ht="15.75" customHeight="1">
      <c r="A28" s="898">
        <v>87</v>
      </c>
      <c r="B28" s="276" t="s">
        <v>6504</v>
      </c>
      <c r="C28" s="1365" t="s">
        <v>14</v>
      </c>
      <c r="D28" s="1460" t="s">
        <v>6505</v>
      </c>
      <c r="E28" s="303" t="s">
        <v>6506</v>
      </c>
      <c r="F28" s="685" t="s">
        <v>759</v>
      </c>
      <c r="G28" s="337" t="s">
        <v>76</v>
      </c>
      <c r="H28" s="303" t="s">
        <v>279</v>
      </c>
      <c r="I28" s="307">
        <v>8420320042</v>
      </c>
      <c r="J28" s="303"/>
      <c r="K28" s="351" t="s">
        <v>334</v>
      </c>
      <c r="L28" s="18" t="s">
        <v>299</v>
      </c>
      <c r="M28" s="278">
        <v>28248</v>
      </c>
      <c r="N28" s="315">
        <v>50191</v>
      </c>
      <c r="O28" s="278">
        <v>45359</v>
      </c>
      <c r="P28" s="278">
        <v>44708</v>
      </c>
      <c r="Q28" s="302">
        <v>45817</v>
      </c>
      <c r="R28" s="285"/>
      <c r="S28" s="285"/>
      <c r="T28" s="318" t="s">
        <v>6507</v>
      </c>
      <c r="U28" s="318" t="s">
        <v>6508</v>
      </c>
      <c r="V28" s="285">
        <f t="shared" si="2"/>
        <v>11</v>
      </c>
      <c r="W28" s="3"/>
      <c r="X28" s="3"/>
      <c r="Y28" s="3"/>
      <c r="Z28" s="79"/>
      <c r="AA28" s="79"/>
      <c r="AB28" s="311">
        <f t="shared" ref="AB28:AB30" ca="1" si="3">INT((TODAY()-M28)/365)</f>
        <v>48</v>
      </c>
      <c r="AC28" s="311"/>
      <c r="AD28" s="311"/>
      <c r="AE28" s="311"/>
      <c r="AF28" s="311"/>
      <c r="AG28" s="311"/>
      <c r="AH28" s="311"/>
      <c r="AI28" s="311"/>
      <c r="AJ28" s="311"/>
      <c r="AK28" s="311"/>
      <c r="AL28" s="311"/>
      <c r="AM28" s="311"/>
    </row>
    <row r="29" spans="1:39" ht="15.75" customHeight="1">
      <c r="A29" s="898">
        <v>31</v>
      </c>
      <c r="B29" s="276" t="s">
        <v>6509</v>
      </c>
      <c r="C29" s="1365" t="s">
        <v>14</v>
      </c>
      <c r="D29" s="1460" t="s">
        <v>6510</v>
      </c>
      <c r="E29" s="303" t="s">
        <v>6511</v>
      </c>
      <c r="F29" s="958" t="s">
        <v>759</v>
      </c>
      <c r="G29" s="337" t="s">
        <v>76</v>
      </c>
      <c r="H29" s="303" t="s">
        <v>279</v>
      </c>
      <c r="I29" s="307">
        <v>8420320021</v>
      </c>
      <c r="J29" s="307">
        <v>8420320021</v>
      </c>
      <c r="K29" s="351" t="s">
        <v>334</v>
      </c>
      <c r="L29" s="274" t="s">
        <v>299</v>
      </c>
      <c r="M29" s="278">
        <v>30635</v>
      </c>
      <c r="N29" s="315">
        <v>52565</v>
      </c>
      <c r="O29" s="278">
        <v>45909</v>
      </c>
      <c r="P29" s="278">
        <v>46192</v>
      </c>
      <c r="Q29" s="856">
        <v>46150</v>
      </c>
      <c r="R29" s="338"/>
      <c r="S29" s="285"/>
      <c r="T29" s="318" t="s">
        <v>6512</v>
      </c>
      <c r="U29" s="318" t="s">
        <v>6513</v>
      </c>
      <c r="V29" s="79"/>
      <c r="W29" s="3"/>
      <c r="X29" s="3"/>
      <c r="Y29" s="3"/>
      <c r="Z29" s="79"/>
      <c r="AA29" s="79"/>
      <c r="AB29" s="311">
        <f t="shared" ca="1" si="3"/>
        <v>42</v>
      </c>
    </row>
    <row r="30" spans="1:39" ht="15.75" customHeight="1">
      <c r="A30" s="898">
        <v>53</v>
      </c>
      <c r="B30" s="276" t="s">
        <v>6514</v>
      </c>
      <c r="C30" s="1365" t="s">
        <v>14</v>
      </c>
      <c r="D30" s="1458" t="s">
        <v>6515</v>
      </c>
      <c r="E30" s="303" t="s">
        <v>6516</v>
      </c>
      <c r="F30" s="685" t="s">
        <v>759</v>
      </c>
      <c r="G30" s="337" t="s">
        <v>76</v>
      </c>
      <c r="H30" s="303" t="s">
        <v>279</v>
      </c>
      <c r="I30" s="307">
        <v>9002071121</v>
      </c>
      <c r="J30" s="307">
        <v>9002071121</v>
      </c>
      <c r="K30" s="351" t="s">
        <v>334</v>
      </c>
      <c r="L30" s="125" t="s">
        <v>69</v>
      </c>
      <c r="M30" s="278">
        <v>28451</v>
      </c>
      <c r="N30" s="315">
        <v>50374</v>
      </c>
      <c r="O30" s="278">
        <v>45618</v>
      </c>
      <c r="P30" s="278">
        <v>45501</v>
      </c>
      <c r="Q30" s="915">
        <v>45453</v>
      </c>
      <c r="R30" s="285"/>
      <c r="S30" s="285"/>
      <c r="T30" s="318" t="s">
        <v>6517</v>
      </c>
      <c r="U30" s="318" t="s">
        <v>6517</v>
      </c>
      <c r="V30" s="285">
        <f>LEN(D30)</f>
        <v>11</v>
      </c>
      <c r="W30" s="90"/>
      <c r="X30" s="90"/>
      <c r="Y30" s="90"/>
      <c r="AB30" s="311">
        <f t="shared" ca="1" si="3"/>
        <v>48</v>
      </c>
      <c r="AC30" s="199"/>
      <c r="AD30" s="199"/>
      <c r="AE30" s="199"/>
      <c r="AF30" s="199"/>
      <c r="AG30" s="199"/>
      <c r="AH30" s="199"/>
      <c r="AI30" s="199"/>
      <c r="AJ30" s="199"/>
      <c r="AK30" s="199"/>
      <c r="AL30" s="199"/>
      <c r="AM30" s="199"/>
    </row>
    <row r="31" spans="1:39" ht="15.75" customHeight="1">
      <c r="A31" s="936">
        <v>55</v>
      </c>
      <c r="B31" s="293" t="s">
        <v>6518</v>
      </c>
      <c r="C31" s="274" t="s">
        <v>14</v>
      </c>
      <c r="D31" s="562" t="s">
        <v>6519</v>
      </c>
      <c r="E31" s="274" t="s">
        <v>6520</v>
      </c>
      <c r="F31" s="274" t="s">
        <v>759</v>
      </c>
      <c r="G31" s="274" t="s">
        <v>77</v>
      </c>
      <c r="H31" s="274" t="s">
        <v>279</v>
      </c>
      <c r="I31" s="275">
        <v>9002079002</v>
      </c>
      <c r="J31" s="1909">
        <v>7439089494</v>
      </c>
      <c r="K31" s="351" t="s">
        <v>334</v>
      </c>
      <c r="L31" s="445" t="s">
        <v>61</v>
      </c>
      <c r="M31" s="289">
        <v>32294</v>
      </c>
      <c r="N31" s="289">
        <v>54209</v>
      </c>
      <c r="O31" s="272">
        <v>45886</v>
      </c>
      <c r="P31" s="279">
        <v>45720</v>
      </c>
      <c r="Q31" s="302">
        <v>45705</v>
      </c>
      <c r="R31" s="294"/>
      <c r="S31" s="295"/>
      <c r="T31" s="1858" t="s">
        <v>6521</v>
      </c>
      <c r="U31" s="296" t="s">
        <v>6522</v>
      </c>
      <c r="V31" s="297">
        <f>LEN(TEXT(D31,0))</f>
        <v>11</v>
      </c>
      <c r="W31" s="208">
        <f ca="1">INT((TODAY()-M31)/365)</f>
        <v>37</v>
      </c>
      <c r="X31" s="298"/>
      <c r="Y31" s="298"/>
      <c r="Z31" s="298"/>
      <c r="AA31" s="298"/>
      <c r="AB31" s="298"/>
      <c r="AC31" s="298"/>
      <c r="AD31" s="298"/>
      <c r="AE31" s="298"/>
      <c r="AF31" s="298"/>
      <c r="AG31" s="298"/>
      <c r="AH31" s="298"/>
      <c r="AI31" s="298"/>
      <c r="AJ31" s="298"/>
      <c r="AK31" s="298"/>
      <c r="AL31" s="298"/>
      <c r="AM31" s="298"/>
    </row>
    <row r="32" spans="1:39" ht="15.75" customHeight="1">
      <c r="A32" s="1162">
        <v>4</v>
      </c>
      <c r="B32" s="276" t="s">
        <v>6523</v>
      </c>
      <c r="C32" s="274" t="s">
        <v>14</v>
      </c>
      <c r="D32" s="1458" t="s">
        <v>6524</v>
      </c>
      <c r="E32" s="303" t="s">
        <v>6525</v>
      </c>
      <c r="F32" s="685" t="s">
        <v>759</v>
      </c>
      <c r="G32" s="337" t="s">
        <v>77</v>
      </c>
      <c r="H32" s="303" t="s">
        <v>279</v>
      </c>
      <c r="I32" s="307">
        <v>9002079060</v>
      </c>
      <c r="J32" s="703">
        <v>9002079060</v>
      </c>
      <c r="K32" s="351" t="s">
        <v>334</v>
      </c>
      <c r="L32" s="475" t="s">
        <v>351</v>
      </c>
      <c r="M32" s="278">
        <v>29678</v>
      </c>
      <c r="N32" s="315">
        <v>51621</v>
      </c>
      <c r="O32" s="278">
        <v>45933</v>
      </c>
      <c r="P32" s="279">
        <v>45720</v>
      </c>
      <c r="Q32" s="302">
        <v>45649</v>
      </c>
      <c r="R32" s="425"/>
      <c r="S32" s="285"/>
      <c r="T32" s="318" t="s">
        <v>6526</v>
      </c>
      <c r="U32" s="318" t="s">
        <v>6526</v>
      </c>
      <c r="V32" s="285"/>
      <c r="W32" s="90"/>
      <c r="X32" s="90"/>
      <c r="Y32" s="90"/>
      <c r="AB32" s="311">
        <f ca="1">INT((TODAY()-M32)/365)</f>
        <v>44</v>
      </c>
    </row>
    <row r="33" spans="1:39" ht="15.75" customHeight="1">
      <c r="A33" s="898">
        <v>146</v>
      </c>
      <c r="B33" s="270" t="s">
        <v>6527</v>
      </c>
      <c r="C33" s="274" t="s">
        <v>14</v>
      </c>
      <c r="D33" s="1820" t="s">
        <v>6528</v>
      </c>
      <c r="E33" s="491" t="s">
        <v>6529</v>
      </c>
      <c r="F33" s="900" t="s">
        <v>759</v>
      </c>
      <c r="G33" s="274" t="s">
        <v>76</v>
      </c>
      <c r="H33" s="274" t="s">
        <v>266</v>
      </c>
      <c r="I33" s="275">
        <v>9002071174</v>
      </c>
      <c r="J33" s="284">
        <v>7003565982</v>
      </c>
      <c r="K33" s="351" t="s">
        <v>334</v>
      </c>
      <c r="L33" s="274" t="s">
        <v>299</v>
      </c>
      <c r="M33" s="272">
        <v>31066</v>
      </c>
      <c r="N33" s="272">
        <v>52993</v>
      </c>
      <c r="O33" s="320">
        <v>45936</v>
      </c>
      <c r="P33" s="272">
        <v>45305</v>
      </c>
      <c r="Q33" s="302">
        <v>45284</v>
      </c>
      <c r="R33" s="280"/>
      <c r="S33" s="280"/>
      <c r="T33" s="281" t="s">
        <v>6530</v>
      </c>
      <c r="U33" s="280"/>
      <c r="V33" s="280">
        <f t="shared" ref="V33:V35" si="4">LEN(D33)</f>
        <v>11</v>
      </c>
      <c r="W33" s="208">
        <f t="shared" ref="W33:W34" ca="1" si="5">INT((TODAY()-M33)/365)</f>
        <v>41</v>
      </c>
      <c r="Y33" s="298"/>
      <c r="Z33" s="298"/>
      <c r="AA33" s="298"/>
      <c r="AB33" s="298"/>
      <c r="AC33" s="298"/>
      <c r="AD33" s="298"/>
      <c r="AE33" s="298"/>
      <c r="AF33" s="298"/>
      <c r="AG33" s="298"/>
      <c r="AH33" s="298"/>
      <c r="AI33" s="298"/>
      <c r="AJ33" s="298"/>
      <c r="AK33" s="298"/>
      <c r="AL33" s="298"/>
      <c r="AM33" s="298"/>
    </row>
    <row r="34" spans="1:39" ht="15.75" customHeight="1">
      <c r="A34" s="898">
        <v>25</v>
      </c>
      <c r="B34" s="270" t="s">
        <v>6531</v>
      </c>
      <c r="C34" s="274" t="s">
        <v>14</v>
      </c>
      <c r="D34" s="1820" t="s">
        <v>6532</v>
      </c>
      <c r="E34" s="303" t="s">
        <v>6533</v>
      </c>
      <c r="F34" s="274" t="s">
        <v>759</v>
      </c>
      <c r="G34" s="274" t="s">
        <v>76</v>
      </c>
      <c r="H34" s="274" t="s">
        <v>279</v>
      </c>
      <c r="I34" s="275">
        <v>9002071234</v>
      </c>
      <c r="J34" s="275"/>
      <c r="K34" s="351" t="s">
        <v>334</v>
      </c>
      <c r="L34" s="274" t="s">
        <v>299</v>
      </c>
      <c r="M34" s="272">
        <v>30357</v>
      </c>
      <c r="N34" s="272">
        <v>52290</v>
      </c>
      <c r="O34" s="277">
        <v>45902</v>
      </c>
      <c r="P34" s="272">
        <v>45305</v>
      </c>
      <c r="Q34" s="302">
        <v>45284</v>
      </c>
      <c r="R34" s="285"/>
      <c r="S34" s="280"/>
      <c r="T34" s="281" t="s">
        <v>6534</v>
      </c>
      <c r="U34" s="281" t="s">
        <v>5562</v>
      </c>
      <c r="V34" s="280">
        <f t="shared" si="4"/>
        <v>11</v>
      </c>
      <c r="W34" s="208">
        <f t="shared" ca="1" si="5"/>
        <v>43</v>
      </c>
    </row>
    <row r="35" spans="1:39" ht="15.75" customHeight="1">
      <c r="A35" s="1162">
        <v>85</v>
      </c>
      <c r="B35" s="276" t="s">
        <v>6535</v>
      </c>
      <c r="C35" s="274" t="s">
        <v>14</v>
      </c>
      <c r="D35" s="1493" t="s">
        <v>6536</v>
      </c>
      <c r="E35" s="303" t="s">
        <v>6537</v>
      </c>
      <c r="F35" s="685" t="s">
        <v>759</v>
      </c>
      <c r="G35" s="337" t="s">
        <v>77</v>
      </c>
      <c r="H35" s="303" t="s">
        <v>279</v>
      </c>
      <c r="I35" s="307">
        <v>9002071880</v>
      </c>
      <c r="J35" s="307"/>
      <c r="K35" s="351" t="s">
        <v>334</v>
      </c>
      <c r="L35" s="274" t="s">
        <v>50</v>
      </c>
      <c r="M35" s="278">
        <v>24291</v>
      </c>
      <c r="N35" s="315">
        <v>46112</v>
      </c>
      <c r="O35" s="278">
        <v>45362</v>
      </c>
      <c r="P35" s="278">
        <v>46165</v>
      </c>
      <c r="Q35" s="302">
        <v>46073</v>
      </c>
      <c r="R35" s="285"/>
      <c r="S35" s="285"/>
      <c r="T35" s="318" t="s">
        <v>6538</v>
      </c>
      <c r="U35" s="318" t="s">
        <v>6539</v>
      </c>
      <c r="V35" s="285">
        <f t="shared" si="4"/>
        <v>11</v>
      </c>
      <c r="W35" s="90"/>
      <c r="X35" s="3"/>
      <c r="Y35" s="90"/>
      <c r="AA35" s="79"/>
      <c r="AB35" s="311">
        <f ca="1">INT((TODAY()-M35)/365)</f>
        <v>59</v>
      </c>
    </row>
    <row r="36" spans="1:39" ht="15.75" customHeight="1">
      <c r="A36" s="936">
        <v>115</v>
      </c>
      <c r="B36" s="688" t="s">
        <v>6540</v>
      </c>
      <c r="C36" s="274" t="s">
        <v>14</v>
      </c>
      <c r="D36" s="1912" t="s">
        <v>6541</v>
      </c>
      <c r="E36" s="303" t="s">
        <v>6542</v>
      </c>
      <c r="F36" s="274" t="s">
        <v>759</v>
      </c>
      <c r="G36" s="303" t="s">
        <v>76</v>
      </c>
      <c r="H36" s="274" t="s">
        <v>279</v>
      </c>
      <c r="I36" s="275">
        <v>9002079794</v>
      </c>
      <c r="J36" s="275">
        <v>9002079794</v>
      </c>
      <c r="K36" s="351" t="s">
        <v>334</v>
      </c>
      <c r="L36" s="274" t="s">
        <v>299</v>
      </c>
      <c r="M36" s="289">
        <v>24364</v>
      </c>
      <c r="N36" s="289">
        <v>46295</v>
      </c>
      <c r="O36" s="272">
        <v>45205</v>
      </c>
      <c r="P36" s="279">
        <v>45487</v>
      </c>
      <c r="Q36" s="272">
        <v>45563</v>
      </c>
      <c r="R36" s="79"/>
      <c r="S36" s="295"/>
      <c r="T36" s="296" t="s">
        <v>6543</v>
      </c>
      <c r="U36" s="296" t="s">
        <v>6544</v>
      </c>
      <c r="V36" s="297">
        <f t="shared" ref="V36:V38" si="6">LEN(TEXT(D36,0))</f>
        <v>11</v>
      </c>
      <c r="W36" s="208">
        <f t="shared" ref="W36:W38" ca="1" si="7">INT((TODAY()-M36)/365)</f>
        <v>59</v>
      </c>
      <c r="X36" s="298"/>
    </row>
    <row r="37" spans="1:39" ht="15.75" customHeight="1">
      <c r="A37" s="936">
        <v>54</v>
      </c>
      <c r="B37" s="293" t="s">
        <v>6545</v>
      </c>
      <c r="C37" s="323" t="s">
        <v>14</v>
      </c>
      <c r="D37" s="562" t="s">
        <v>6546</v>
      </c>
      <c r="E37" s="303" t="s">
        <v>6547</v>
      </c>
      <c r="F37" s="274" t="s">
        <v>759</v>
      </c>
      <c r="G37" s="303" t="s">
        <v>76</v>
      </c>
      <c r="H37" s="274" t="s">
        <v>266</v>
      </c>
      <c r="I37" s="275">
        <v>9002079089</v>
      </c>
      <c r="J37" s="275"/>
      <c r="K37" s="351" t="s">
        <v>334</v>
      </c>
      <c r="L37" s="274" t="s">
        <v>50</v>
      </c>
      <c r="M37" s="289">
        <v>29355</v>
      </c>
      <c r="N37" s="289">
        <v>51287</v>
      </c>
      <c r="O37" s="272">
        <v>45791</v>
      </c>
      <c r="P37" s="302">
        <v>45695</v>
      </c>
      <c r="Q37" s="302">
        <v>45705</v>
      </c>
      <c r="R37" s="294"/>
      <c r="S37" s="295"/>
      <c r="T37" s="296" t="s">
        <v>6548</v>
      </c>
      <c r="U37" s="296" t="s">
        <v>6549</v>
      </c>
      <c r="V37" s="297">
        <f t="shared" si="6"/>
        <v>11</v>
      </c>
      <c r="W37" s="208">
        <f t="shared" ca="1" si="7"/>
        <v>45</v>
      </c>
      <c r="X37" s="298"/>
      <c r="AH37" s="298"/>
      <c r="AI37" s="298"/>
      <c r="AJ37" s="298"/>
      <c r="AK37" s="298"/>
      <c r="AL37" s="298"/>
      <c r="AM37" s="298"/>
    </row>
    <row r="38" spans="1:39" ht="15.75" customHeight="1">
      <c r="A38" s="936">
        <v>114</v>
      </c>
      <c r="B38" s="293" t="s">
        <v>6550</v>
      </c>
      <c r="C38" s="323" t="s">
        <v>14</v>
      </c>
      <c r="D38" s="562" t="s">
        <v>6551</v>
      </c>
      <c r="E38" s="274" t="s">
        <v>6552</v>
      </c>
      <c r="F38" s="274" t="s">
        <v>759</v>
      </c>
      <c r="G38" s="274" t="s">
        <v>77</v>
      </c>
      <c r="H38" s="274" t="s">
        <v>279</v>
      </c>
      <c r="I38" s="275">
        <v>9002071645</v>
      </c>
      <c r="J38" s="275">
        <v>9002071645</v>
      </c>
      <c r="K38" s="351" t="s">
        <v>334</v>
      </c>
      <c r="L38" s="274" t="s">
        <v>50</v>
      </c>
      <c r="M38" s="289">
        <v>25489</v>
      </c>
      <c r="N38" s="289">
        <v>47422</v>
      </c>
      <c r="O38" s="272">
        <v>45417</v>
      </c>
      <c r="P38" s="279">
        <v>45212</v>
      </c>
      <c r="Q38" s="302">
        <v>45177</v>
      </c>
      <c r="R38" s="79"/>
      <c r="S38" s="295"/>
      <c r="T38" s="494" t="s">
        <v>6553</v>
      </c>
      <c r="U38" s="494" t="s">
        <v>6554</v>
      </c>
      <c r="V38" s="298">
        <f t="shared" si="6"/>
        <v>11</v>
      </c>
      <c r="W38" s="208">
        <f t="shared" ca="1" si="7"/>
        <v>56</v>
      </c>
      <c r="X38" s="298"/>
      <c r="Y38" s="311"/>
      <c r="Z38" s="311"/>
      <c r="AA38" s="311"/>
      <c r="AB38" s="311"/>
      <c r="AC38" s="311"/>
      <c r="AD38" s="311"/>
      <c r="AE38" s="311"/>
      <c r="AF38" s="311"/>
      <c r="AG38" s="311"/>
      <c r="AH38" s="311"/>
      <c r="AI38" s="311"/>
      <c r="AJ38" s="311"/>
      <c r="AK38" s="311"/>
      <c r="AL38" s="311"/>
      <c r="AM38" s="311"/>
    </row>
    <row r="39" spans="1:39" ht="15.75" customHeight="1">
      <c r="A39" s="1191">
        <v>32</v>
      </c>
      <c r="B39" s="293" t="s">
        <v>6555</v>
      </c>
      <c r="C39" s="323" t="s">
        <v>14</v>
      </c>
      <c r="D39" s="1448" t="s">
        <v>6556</v>
      </c>
      <c r="E39" s="303" t="s">
        <v>6557</v>
      </c>
      <c r="F39" s="284" t="s">
        <v>759</v>
      </c>
      <c r="G39" s="385" t="s">
        <v>76</v>
      </c>
      <c r="H39" s="274" t="s">
        <v>279</v>
      </c>
      <c r="I39" s="275">
        <v>8420320004</v>
      </c>
      <c r="J39" s="690"/>
      <c r="K39" s="351" t="s">
        <v>334</v>
      </c>
      <c r="L39" s="445" t="s">
        <v>61</v>
      </c>
      <c r="M39" s="272">
        <v>26670</v>
      </c>
      <c r="N39" s="272">
        <v>48610</v>
      </c>
      <c r="O39" s="272">
        <v>45316</v>
      </c>
      <c r="P39" s="279">
        <v>45807</v>
      </c>
      <c r="Q39" s="279">
        <v>45814</v>
      </c>
      <c r="T39" s="310" t="s">
        <v>6558</v>
      </c>
      <c r="U39" s="310" t="s">
        <v>6559</v>
      </c>
      <c r="V39" s="388">
        <f ca="1">INT((TODAY()-M39)/365)</f>
        <v>53</v>
      </c>
      <c r="W39" s="311"/>
      <c r="X39" s="311"/>
      <c r="Y39" s="311"/>
      <c r="Z39" s="311"/>
      <c r="AA39" s="311"/>
      <c r="AB39" s="311"/>
      <c r="AC39" s="311"/>
      <c r="AD39" s="311"/>
      <c r="AE39" s="311"/>
      <c r="AF39" s="311"/>
      <c r="AG39" s="311"/>
      <c r="AH39" s="311"/>
      <c r="AI39" s="311"/>
      <c r="AJ39" s="311"/>
      <c r="AK39" s="311"/>
      <c r="AL39" s="311"/>
      <c r="AM39" s="311"/>
    </row>
    <row r="40" spans="1:39" ht="30">
      <c r="A40" s="936">
        <v>1</v>
      </c>
      <c r="B40" s="293" t="s">
        <v>6560</v>
      </c>
      <c r="C40" s="323" t="s">
        <v>14</v>
      </c>
      <c r="D40" s="562" t="s">
        <v>6561</v>
      </c>
      <c r="E40" s="303" t="s">
        <v>6562</v>
      </c>
      <c r="F40" s="274" t="s">
        <v>759</v>
      </c>
      <c r="G40" s="303" t="s">
        <v>76</v>
      </c>
      <c r="H40" s="274" t="s">
        <v>266</v>
      </c>
      <c r="I40" s="275">
        <v>9002071195</v>
      </c>
      <c r="J40" s="275"/>
      <c r="K40" s="351" t="s">
        <v>334</v>
      </c>
      <c r="L40" s="274" t="s">
        <v>299</v>
      </c>
      <c r="M40" s="289">
        <v>32711</v>
      </c>
      <c r="N40" s="289">
        <v>54635</v>
      </c>
      <c r="O40" s="289">
        <v>45211</v>
      </c>
      <c r="P40" s="279">
        <v>45527</v>
      </c>
      <c r="Q40" s="915">
        <v>45453</v>
      </c>
      <c r="R40" s="294"/>
      <c r="S40" s="295"/>
      <c r="T40" s="296" t="s">
        <v>6563</v>
      </c>
      <c r="U40" s="296" t="s">
        <v>6563</v>
      </c>
      <c r="V40" s="297">
        <f t="shared" ref="V40:V42" si="8">LEN(TEXT(D40,0))</f>
        <v>11</v>
      </c>
      <c r="W40" s="208">
        <f t="shared" ref="W40:W42" ca="1" si="9">INT((TODAY()-M40)/365)</f>
        <v>36</v>
      </c>
      <c r="X40" s="298"/>
      <c r="Y40" s="298"/>
      <c r="Z40" s="298"/>
      <c r="AA40" s="298"/>
      <c r="AB40" s="298"/>
      <c r="AC40" s="298"/>
      <c r="AD40" s="298"/>
      <c r="AE40" s="298"/>
      <c r="AF40" s="298"/>
      <c r="AG40" s="298"/>
      <c r="AH40" s="298"/>
      <c r="AI40" s="298"/>
      <c r="AJ40" s="298"/>
      <c r="AK40" s="298"/>
      <c r="AL40" s="298"/>
      <c r="AM40" s="298"/>
    </row>
    <row r="41" spans="1:39" ht="15.75" customHeight="1">
      <c r="A41" s="936">
        <v>31</v>
      </c>
      <c r="B41" s="293" t="s">
        <v>6564</v>
      </c>
      <c r="C41" s="323" t="s">
        <v>14</v>
      </c>
      <c r="D41" s="1466" t="s">
        <v>6565</v>
      </c>
      <c r="E41" s="303" t="s">
        <v>6566</v>
      </c>
      <c r="F41" s="274" t="s">
        <v>759</v>
      </c>
      <c r="G41" s="303" t="s">
        <v>76</v>
      </c>
      <c r="H41" s="274" t="s">
        <v>279</v>
      </c>
      <c r="I41" s="275">
        <v>9002071390</v>
      </c>
      <c r="J41" s="275"/>
      <c r="K41" s="351" t="s">
        <v>334</v>
      </c>
      <c r="L41" s="274" t="s">
        <v>50</v>
      </c>
      <c r="M41" s="289">
        <v>31130</v>
      </c>
      <c r="N41" s="289">
        <v>53052</v>
      </c>
      <c r="O41" s="272">
        <v>45174</v>
      </c>
      <c r="P41" s="279">
        <v>45720</v>
      </c>
      <c r="Q41" s="302">
        <v>45705</v>
      </c>
      <c r="R41" s="294"/>
      <c r="S41" s="295"/>
      <c r="T41" s="296" t="s">
        <v>6567</v>
      </c>
      <c r="U41" s="296" t="s">
        <v>6568</v>
      </c>
      <c r="V41" s="297">
        <f t="shared" si="8"/>
        <v>11</v>
      </c>
      <c r="W41" s="208">
        <f t="shared" ca="1" si="9"/>
        <v>41</v>
      </c>
      <c r="X41" s="298"/>
      <c r="Y41" s="298"/>
      <c r="Z41" s="298"/>
      <c r="AA41" s="298"/>
      <c r="AB41" s="298"/>
      <c r="AC41" s="298"/>
      <c r="AD41" s="298"/>
      <c r="AE41" s="298"/>
      <c r="AF41" s="298"/>
      <c r="AG41" s="298"/>
      <c r="AH41" s="298"/>
      <c r="AI41" s="298"/>
      <c r="AJ41" s="298"/>
      <c r="AK41" s="298"/>
      <c r="AL41" s="298"/>
      <c r="AM41" s="298"/>
    </row>
    <row r="42" spans="1:39" ht="20.25" customHeight="1">
      <c r="A42" s="1566">
        <v>2</v>
      </c>
      <c r="B42" s="401" t="s">
        <v>6569</v>
      </c>
      <c r="C42" s="323" t="s">
        <v>14</v>
      </c>
      <c r="D42" s="690">
        <v>27309400503</v>
      </c>
      <c r="E42" s="284" t="s">
        <v>6570</v>
      </c>
      <c r="F42" s="1700" t="s">
        <v>759</v>
      </c>
      <c r="G42" s="284" t="s">
        <v>77</v>
      </c>
      <c r="H42" s="274" t="s">
        <v>279</v>
      </c>
      <c r="I42" s="1644">
        <v>9002071632</v>
      </c>
      <c r="J42" s="284">
        <v>6203441206</v>
      </c>
      <c r="K42" s="351" t="s">
        <v>334</v>
      </c>
      <c r="L42" s="18" t="s">
        <v>299</v>
      </c>
      <c r="M42" s="272">
        <v>25163</v>
      </c>
      <c r="N42" s="272">
        <v>47087</v>
      </c>
      <c r="O42" s="272">
        <v>45248</v>
      </c>
      <c r="P42" s="302">
        <v>45695</v>
      </c>
      <c r="Q42" s="279">
        <v>45927</v>
      </c>
      <c r="R42" s="280"/>
      <c r="S42" s="295"/>
      <c r="T42" s="296" t="s">
        <v>6571</v>
      </c>
      <c r="U42" s="296" t="s">
        <v>6572</v>
      </c>
      <c r="V42" s="297">
        <f t="shared" si="8"/>
        <v>11</v>
      </c>
      <c r="W42" s="282">
        <f t="shared" ca="1" si="9"/>
        <v>57</v>
      </c>
      <c r="X42" s="297"/>
      <c r="Y42" s="382"/>
      <c r="Z42" s="382"/>
      <c r="AA42" s="311"/>
      <c r="AB42" s="311"/>
      <c r="AC42" s="311"/>
      <c r="AD42" s="311"/>
      <c r="AE42" s="311"/>
      <c r="AF42" s="311"/>
      <c r="AG42" s="311"/>
      <c r="AH42" s="311"/>
      <c r="AI42" s="311"/>
      <c r="AJ42" s="311"/>
      <c r="AK42" s="311"/>
      <c r="AL42" s="311"/>
      <c r="AM42" s="311"/>
    </row>
    <row r="43" spans="1:39" ht="15.75" customHeight="1">
      <c r="A43" s="1162">
        <v>28</v>
      </c>
      <c r="B43" s="840" t="s">
        <v>6573</v>
      </c>
      <c r="C43" s="323" t="s">
        <v>14</v>
      </c>
      <c r="D43" s="1448" t="s">
        <v>6574</v>
      </c>
      <c r="E43" s="303" t="s">
        <v>6575</v>
      </c>
      <c r="F43" s="18" t="s">
        <v>759</v>
      </c>
      <c r="G43" s="303" t="s">
        <v>76</v>
      </c>
      <c r="H43" s="274" t="s">
        <v>279</v>
      </c>
      <c r="I43" s="1923">
        <v>9002071828</v>
      </c>
      <c r="J43" s="1923"/>
      <c r="K43" s="351" t="s">
        <v>334</v>
      </c>
      <c r="L43" s="18" t="s">
        <v>61</v>
      </c>
      <c r="M43" s="272">
        <v>31646</v>
      </c>
      <c r="N43" s="272">
        <v>53570</v>
      </c>
      <c r="O43" s="272">
        <v>45881</v>
      </c>
      <c r="P43" s="279">
        <v>45720</v>
      </c>
      <c r="Q43" s="302">
        <v>45705</v>
      </c>
      <c r="R43" s="79"/>
      <c r="S43" s="485"/>
      <c r="T43" s="486" t="s">
        <v>6576</v>
      </c>
      <c r="U43" s="486" t="s">
        <v>6577</v>
      </c>
      <c r="V43" s="382">
        <f t="shared" ref="V43:V45" si="10">LEN(D43)</f>
        <v>11</v>
      </c>
      <c r="W43" s="311"/>
      <c r="X43" s="208">
        <f ca="1">INT((TODAY()-M43)/365)</f>
        <v>39</v>
      </c>
      <c r="Y43" s="311"/>
      <c r="Z43" s="311"/>
      <c r="AA43" s="311"/>
      <c r="AB43" s="311"/>
      <c r="AC43" s="311"/>
      <c r="AD43" s="311"/>
      <c r="AE43" s="311"/>
      <c r="AF43" s="311"/>
      <c r="AG43" s="311"/>
      <c r="AH43" s="311"/>
      <c r="AI43" s="311"/>
      <c r="AJ43" s="311"/>
      <c r="AK43" s="311"/>
      <c r="AL43" s="311"/>
      <c r="AM43" s="311"/>
    </row>
    <row r="44" spans="1:39" ht="15.75" customHeight="1">
      <c r="A44" s="936">
        <v>79</v>
      </c>
      <c r="B44" s="351" t="s">
        <v>6578</v>
      </c>
      <c r="C44" s="323" t="s">
        <v>14</v>
      </c>
      <c r="D44" s="1820" t="s">
        <v>6579</v>
      </c>
      <c r="E44" s="491" t="s">
        <v>6580</v>
      </c>
      <c r="F44" s="686" t="s">
        <v>759</v>
      </c>
      <c r="G44" s="274" t="s">
        <v>76</v>
      </c>
      <c r="H44" s="274" t="s">
        <v>266</v>
      </c>
      <c r="I44" s="275">
        <v>9002071146</v>
      </c>
      <c r="J44" s="275"/>
      <c r="K44" s="351" t="s">
        <v>334</v>
      </c>
      <c r="L44" s="18" t="s">
        <v>55</v>
      </c>
      <c r="M44" s="272">
        <v>32174</v>
      </c>
      <c r="N44" s="272">
        <v>54088</v>
      </c>
      <c r="O44" s="320">
        <v>46012</v>
      </c>
      <c r="P44" s="272">
        <v>45776</v>
      </c>
      <c r="Q44" s="272">
        <v>45766</v>
      </c>
      <c r="R44" s="280"/>
      <c r="S44" s="280"/>
      <c r="T44" s="281" t="s">
        <v>6581</v>
      </c>
      <c r="U44" s="281" t="s">
        <v>6582</v>
      </c>
      <c r="V44" s="538">
        <f t="shared" si="10"/>
        <v>11</v>
      </c>
      <c r="W44" s="208">
        <f t="shared" ref="W44:W45" ca="1" si="11">INT((TODAY()-M44)/365)</f>
        <v>38</v>
      </c>
    </row>
    <row r="45" spans="1:39" ht="15.75" customHeight="1">
      <c r="A45" s="1162">
        <v>98</v>
      </c>
      <c r="B45" s="351" t="s">
        <v>6583</v>
      </c>
      <c r="C45" s="323" t="s">
        <v>14</v>
      </c>
      <c r="D45" s="1820" t="s">
        <v>6584</v>
      </c>
      <c r="E45" s="491" t="s">
        <v>6585</v>
      </c>
      <c r="F45" s="18" t="s">
        <v>759</v>
      </c>
      <c r="G45" s="274" t="s">
        <v>76</v>
      </c>
      <c r="H45" s="274" t="s">
        <v>266</v>
      </c>
      <c r="I45" s="275">
        <v>9002079692</v>
      </c>
      <c r="J45" s="275"/>
      <c r="K45" s="351" t="s">
        <v>334</v>
      </c>
      <c r="L45" s="18" t="s">
        <v>64</v>
      </c>
      <c r="M45" s="272">
        <v>30968</v>
      </c>
      <c r="N45" s="272">
        <v>52900</v>
      </c>
      <c r="O45" s="320">
        <v>46062</v>
      </c>
      <c r="P45" s="315">
        <v>45825</v>
      </c>
      <c r="Q45" s="272">
        <v>45842</v>
      </c>
      <c r="R45" s="280"/>
      <c r="S45" s="280"/>
      <c r="T45" s="281" t="s">
        <v>310</v>
      </c>
      <c r="U45" s="281" t="s">
        <v>6586</v>
      </c>
      <c r="V45" s="280">
        <f t="shared" si="10"/>
        <v>11</v>
      </c>
      <c r="W45" s="208">
        <f t="shared" ca="1" si="11"/>
        <v>41</v>
      </c>
    </row>
    <row r="46" spans="1:39" ht="15.75" customHeight="1">
      <c r="A46" s="1430">
        <v>15</v>
      </c>
      <c r="B46" s="1981" t="s">
        <v>6587</v>
      </c>
      <c r="C46" s="1982" t="s">
        <v>14</v>
      </c>
      <c r="D46" s="1983">
        <v>50208343810</v>
      </c>
      <c r="E46" s="1984" t="s">
        <v>6588</v>
      </c>
      <c r="F46" s="1430" t="s">
        <v>759</v>
      </c>
      <c r="G46" s="1436"/>
      <c r="H46" s="1435" t="s">
        <v>266</v>
      </c>
      <c r="I46" s="1985">
        <v>9002079043</v>
      </c>
      <c r="J46" s="1405" t="s">
        <v>76</v>
      </c>
      <c r="K46" s="1407" t="s">
        <v>334</v>
      </c>
      <c r="L46" s="1435" t="s">
        <v>664</v>
      </c>
      <c r="M46" s="1408">
        <v>24451</v>
      </c>
      <c r="N46" s="1408">
        <v>46387</v>
      </c>
      <c r="O46" s="1408">
        <v>44982</v>
      </c>
      <c r="P46" s="1986">
        <v>45274</v>
      </c>
      <c r="Q46" s="1438">
        <v>45537</v>
      </c>
      <c r="R46" s="1987"/>
      <c r="S46" s="1987"/>
      <c r="T46" s="1988" t="s">
        <v>6589</v>
      </c>
      <c r="U46" s="1987"/>
      <c r="V46" s="1987"/>
      <c r="W46" s="1989"/>
      <c r="X46" s="1430" t="s">
        <v>1986</v>
      </c>
      <c r="Y46" s="1430">
        <v>1</v>
      </c>
      <c r="Z46" s="1990" t="s">
        <v>84</v>
      </c>
      <c r="AA46" s="1437"/>
      <c r="AB46" s="1991">
        <f ca="1">INT((TODAY()-M46)/365)</f>
        <v>59</v>
      </c>
      <c r="AC46" s="1436"/>
      <c r="AD46" s="1436"/>
      <c r="AE46" s="1436"/>
      <c r="AF46" s="1436"/>
      <c r="AG46" s="1436"/>
      <c r="AH46" s="1436"/>
      <c r="AI46" s="1436"/>
      <c r="AJ46" s="1436"/>
      <c r="AK46" s="1436"/>
      <c r="AL46" s="1436"/>
      <c r="AM46" s="1436"/>
    </row>
    <row r="47" spans="1:39" ht="15.75" customHeight="1">
      <c r="A47" s="1036">
        <v>1</v>
      </c>
      <c r="B47" s="426" t="s">
        <v>6590</v>
      </c>
      <c r="C47" s="307" t="s">
        <v>21</v>
      </c>
      <c r="D47" s="427" t="s">
        <v>6591</v>
      </c>
      <c r="E47" s="620" t="s">
        <v>6592</v>
      </c>
      <c r="F47" s="18" t="s">
        <v>759</v>
      </c>
      <c r="G47" s="18" t="s">
        <v>76</v>
      </c>
      <c r="H47" s="275"/>
      <c r="I47" s="18">
        <v>9002071540</v>
      </c>
      <c r="J47" s="3"/>
      <c r="K47" s="351" t="s">
        <v>334</v>
      </c>
      <c r="L47" s="18" t="s">
        <v>62</v>
      </c>
      <c r="M47" s="418">
        <v>30372</v>
      </c>
      <c r="N47" s="418">
        <v>52290</v>
      </c>
      <c r="O47" s="428">
        <v>45581</v>
      </c>
      <c r="P47" s="272">
        <v>45485</v>
      </c>
      <c r="Q47" s="418">
        <v>45804</v>
      </c>
      <c r="R47" s="281" t="s">
        <v>6593</v>
      </c>
      <c r="S47" s="280"/>
      <c r="T47" s="280"/>
      <c r="U47" s="280"/>
      <c r="V47" s="285"/>
      <c r="W47" s="282">
        <f ca="1">INT((TODAY()-M47)/365)</f>
        <v>43</v>
      </c>
      <c r="X47" s="79"/>
      <c r="Y47" s="79"/>
      <c r="Z47" s="79"/>
      <c r="AA47" s="79"/>
    </row>
    <row r="48" spans="1:39" ht="15.75" customHeight="1">
      <c r="A48" s="1036">
        <v>3</v>
      </c>
      <c r="B48" s="351" t="s">
        <v>6594</v>
      </c>
      <c r="C48" s="391" t="s">
        <v>21</v>
      </c>
      <c r="D48" s="1822" t="s">
        <v>6595</v>
      </c>
      <c r="E48" s="674" t="s">
        <v>6596</v>
      </c>
      <c r="F48" s="274" t="s">
        <v>759</v>
      </c>
      <c r="G48" s="303" t="s">
        <v>76</v>
      </c>
      <c r="H48" s="391"/>
      <c r="I48" s="351">
        <v>9002071054</v>
      </c>
      <c r="J48" s="391"/>
      <c r="K48" s="351" t="s">
        <v>334</v>
      </c>
      <c r="L48" s="125" t="s">
        <v>67</v>
      </c>
      <c r="M48" s="390">
        <v>29134</v>
      </c>
      <c r="N48" s="390">
        <v>51074</v>
      </c>
      <c r="O48" s="1962">
        <v>45188</v>
      </c>
      <c r="P48" s="279">
        <v>45204</v>
      </c>
      <c r="Q48" s="302">
        <v>45188</v>
      </c>
      <c r="R48" s="393"/>
      <c r="S48" s="394" t="s">
        <v>6597</v>
      </c>
      <c r="T48" s="393"/>
      <c r="U48" s="393"/>
      <c r="V48" s="383">
        <f t="shared" ref="V48:V51" si="12">LEN(TEXT(D48,0))</f>
        <v>11</v>
      </c>
      <c r="W48" s="395"/>
      <c r="X48" s="79"/>
      <c r="Y48" s="395"/>
      <c r="Z48" s="79"/>
      <c r="AA48" s="383"/>
      <c r="AB48" s="208">
        <f ca="1">INT((TODAY()-M48)/365)</f>
        <v>46</v>
      </c>
      <c r="AC48" s="384"/>
      <c r="AD48" s="384"/>
      <c r="AE48" s="384"/>
      <c r="AF48" s="384"/>
      <c r="AG48" s="384"/>
      <c r="AH48" s="384"/>
      <c r="AI48" s="384"/>
      <c r="AJ48" s="384"/>
      <c r="AK48" s="384"/>
      <c r="AL48" s="384"/>
      <c r="AM48" s="384"/>
    </row>
    <row r="49" spans="1:39" ht="15.75" customHeight="1">
      <c r="A49" s="1036">
        <v>4</v>
      </c>
      <c r="B49" s="351" t="s">
        <v>6598</v>
      </c>
      <c r="C49" s="539" t="s">
        <v>21</v>
      </c>
      <c r="D49" s="1822" t="s">
        <v>6599</v>
      </c>
      <c r="E49" s="582" t="s">
        <v>6600</v>
      </c>
      <c r="F49" s="18" t="s">
        <v>759</v>
      </c>
      <c r="G49" s="284" t="s">
        <v>77</v>
      </c>
      <c r="H49" s="274"/>
      <c r="I49" s="351">
        <v>8420320019</v>
      </c>
      <c r="J49" s="391">
        <v>8420320019</v>
      </c>
      <c r="K49" s="351" t="s">
        <v>334</v>
      </c>
      <c r="L49" s="18" t="s">
        <v>61</v>
      </c>
      <c r="M49" s="390">
        <v>30290</v>
      </c>
      <c r="N49" s="867">
        <v>52231</v>
      </c>
      <c r="O49" s="1962">
        <v>45340</v>
      </c>
      <c r="P49" s="279">
        <v>45204</v>
      </c>
      <c r="Q49" s="302">
        <v>45188</v>
      </c>
      <c r="R49" s="393"/>
      <c r="S49" s="394" t="s">
        <v>6601</v>
      </c>
      <c r="T49" s="393"/>
      <c r="U49" s="393"/>
      <c r="V49" s="383">
        <f t="shared" si="12"/>
        <v>11</v>
      </c>
      <c r="W49" s="395"/>
      <c r="X49" s="382"/>
      <c r="Y49" s="382"/>
      <c r="Z49" s="382"/>
      <c r="AA49" s="382"/>
      <c r="AB49" s="311"/>
      <c r="AC49" s="384"/>
      <c r="AD49" s="384"/>
      <c r="AE49" s="384"/>
      <c r="AF49" s="384"/>
      <c r="AG49" s="384"/>
      <c r="AH49" s="384"/>
      <c r="AI49" s="384"/>
      <c r="AJ49" s="384"/>
      <c r="AK49" s="384"/>
      <c r="AL49" s="384"/>
      <c r="AM49" s="384"/>
    </row>
    <row r="50" spans="1:39" ht="15.75">
      <c r="A50" s="1036">
        <v>12</v>
      </c>
      <c r="B50" s="351" t="s">
        <v>6602</v>
      </c>
      <c r="C50" s="323" t="s">
        <v>21</v>
      </c>
      <c r="D50" s="564" t="s">
        <v>6603</v>
      </c>
      <c r="E50" s="674" t="s">
        <v>6604</v>
      </c>
      <c r="F50" s="274" t="s">
        <v>759</v>
      </c>
      <c r="G50" s="303" t="s">
        <v>76</v>
      </c>
      <c r="H50" s="391"/>
      <c r="I50" s="351">
        <v>9002079307</v>
      </c>
      <c r="J50" s="391">
        <v>9002079307</v>
      </c>
      <c r="K50" s="351" t="s">
        <v>334</v>
      </c>
      <c r="L50" s="274" t="s">
        <v>351</v>
      </c>
      <c r="M50" s="390">
        <v>27307</v>
      </c>
      <c r="N50" s="390">
        <v>49248</v>
      </c>
      <c r="O50" s="392">
        <v>45498</v>
      </c>
      <c r="P50" s="272">
        <v>45849</v>
      </c>
      <c r="Q50" s="272">
        <v>45860</v>
      </c>
      <c r="S50" s="1016" t="s">
        <v>6605</v>
      </c>
      <c r="T50" s="482"/>
      <c r="U50" s="482"/>
      <c r="V50" s="383">
        <f t="shared" si="12"/>
        <v>11</v>
      </c>
      <c r="W50" s="563"/>
      <c r="Y50" s="563"/>
      <c r="AA50" s="384"/>
      <c r="AB50" s="208">
        <f t="shared" ref="AB50:AB54" ca="1" si="13">INT((TODAY()-M50)/365)</f>
        <v>51</v>
      </c>
      <c r="AC50" s="384"/>
      <c r="AD50" s="384"/>
      <c r="AE50" s="384"/>
      <c r="AF50" s="384"/>
      <c r="AG50" s="384"/>
      <c r="AH50" s="384"/>
      <c r="AI50" s="384"/>
      <c r="AJ50" s="384"/>
      <c r="AK50" s="384"/>
      <c r="AL50" s="384"/>
      <c r="AM50" s="384"/>
    </row>
    <row r="51" spans="1:39" ht="15.75" customHeight="1">
      <c r="A51" s="1036">
        <v>14</v>
      </c>
      <c r="B51" s="351" t="s">
        <v>6606</v>
      </c>
      <c r="C51" s="323" t="s">
        <v>21</v>
      </c>
      <c r="D51" s="1822" t="s">
        <v>6607</v>
      </c>
      <c r="E51" s="674" t="s">
        <v>6608</v>
      </c>
      <c r="F51" s="274" t="s">
        <v>759</v>
      </c>
      <c r="G51" s="303" t="s">
        <v>76</v>
      </c>
      <c r="H51" s="391"/>
      <c r="I51" s="351">
        <v>9002079770</v>
      </c>
      <c r="J51" s="284">
        <v>9002079770</v>
      </c>
      <c r="K51" s="351" t="s">
        <v>334</v>
      </c>
      <c r="L51" s="274" t="s">
        <v>69</v>
      </c>
      <c r="M51" s="390">
        <v>25869</v>
      </c>
      <c r="N51" s="390">
        <v>47787</v>
      </c>
      <c r="O51" s="392">
        <v>45228</v>
      </c>
      <c r="P51" s="279">
        <v>45204</v>
      </c>
      <c r="Q51" s="302">
        <v>45188</v>
      </c>
      <c r="R51" s="393"/>
      <c r="S51" s="394" t="s">
        <v>1559</v>
      </c>
      <c r="T51" s="393"/>
      <c r="U51" s="393"/>
      <c r="V51" s="383">
        <f t="shared" si="12"/>
        <v>11</v>
      </c>
      <c r="W51" s="563"/>
      <c r="Y51" s="563"/>
      <c r="AA51" s="384"/>
      <c r="AB51" s="208">
        <f t="shared" ca="1" si="13"/>
        <v>55</v>
      </c>
    </row>
    <row r="52" spans="1:39" ht="15.75" customHeight="1">
      <c r="A52" s="1036">
        <v>16</v>
      </c>
      <c r="B52" s="276" t="s">
        <v>6609</v>
      </c>
      <c r="C52" s="405" t="s">
        <v>21</v>
      </c>
      <c r="D52" s="1458" t="s">
        <v>6610</v>
      </c>
      <c r="E52" s="1992" t="s">
        <v>6611</v>
      </c>
      <c r="F52" s="685" t="s">
        <v>759</v>
      </c>
      <c r="G52" s="875" t="s">
        <v>76</v>
      </c>
      <c r="H52" s="307"/>
      <c r="I52" s="703">
        <v>9002079781</v>
      </c>
      <c r="J52" s="703">
        <v>9002079781</v>
      </c>
      <c r="K52" s="351" t="s">
        <v>334</v>
      </c>
      <c r="L52" s="274" t="s">
        <v>65</v>
      </c>
      <c r="M52" s="921">
        <v>28014</v>
      </c>
      <c r="N52" s="315">
        <v>50009</v>
      </c>
      <c r="O52" s="315">
        <v>45239</v>
      </c>
      <c r="P52" s="315">
        <v>45340</v>
      </c>
      <c r="Q52" s="419">
        <v>45299</v>
      </c>
      <c r="R52" s="285"/>
      <c r="S52" s="318" t="s">
        <v>6612</v>
      </c>
      <c r="T52" s="285"/>
      <c r="U52" s="285"/>
      <c r="V52" s="285">
        <f>LEN(D52)</f>
        <v>11</v>
      </c>
      <c r="W52" s="90"/>
      <c r="X52" s="3"/>
      <c r="Y52" s="3"/>
      <c r="Z52" s="79"/>
      <c r="AA52" s="79"/>
      <c r="AB52" s="311">
        <f t="shared" ca="1" si="13"/>
        <v>49</v>
      </c>
    </row>
    <row r="53" spans="1:39" ht="15.75" customHeight="1">
      <c r="A53" s="1036">
        <v>17</v>
      </c>
      <c r="B53" s="351" t="s">
        <v>6613</v>
      </c>
      <c r="C53" s="323" t="s">
        <v>21</v>
      </c>
      <c r="D53" s="564" t="s">
        <v>6614</v>
      </c>
      <c r="E53" s="674" t="s">
        <v>6615</v>
      </c>
      <c r="F53" s="274" t="s">
        <v>759</v>
      </c>
      <c r="G53" s="303" t="s">
        <v>76</v>
      </c>
      <c r="H53" s="391"/>
      <c r="I53" s="351">
        <v>9002079782</v>
      </c>
      <c r="J53" s="284">
        <v>7980923307</v>
      </c>
      <c r="K53" s="351" t="s">
        <v>334</v>
      </c>
      <c r="L53" s="274" t="s">
        <v>256</v>
      </c>
      <c r="M53" s="390">
        <v>26247</v>
      </c>
      <c r="N53" s="390">
        <v>48182</v>
      </c>
      <c r="O53" s="392">
        <v>45326</v>
      </c>
      <c r="P53" s="315">
        <v>45340</v>
      </c>
      <c r="Q53" s="272">
        <v>45271</v>
      </c>
      <c r="R53" s="393"/>
      <c r="S53" s="394" t="s">
        <v>6616</v>
      </c>
      <c r="T53" s="393"/>
      <c r="U53" s="393"/>
      <c r="V53" s="383">
        <f>LEN(TEXT(D53,0))</f>
        <v>11</v>
      </c>
      <c r="W53" s="395"/>
      <c r="X53" s="79"/>
      <c r="Y53" s="395"/>
      <c r="Z53" s="79"/>
      <c r="AA53" s="383"/>
      <c r="AB53" s="208">
        <f t="shared" ca="1" si="13"/>
        <v>54</v>
      </c>
    </row>
    <row r="54" spans="1:39" ht="15.75" customHeight="1">
      <c r="A54" s="1036">
        <v>22</v>
      </c>
      <c r="B54" s="351" t="s">
        <v>6617</v>
      </c>
      <c r="C54" s="405" t="s">
        <v>21</v>
      </c>
      <c r="D54" s="1820" t="s">
        <v>6618</v>
      </c>
      <c r="E54" s="274" t="s">
        <v>6619</v>
      </c>
      <c r="F54" s="1007" t="s">
        <v>3258</v>
      </c>
      <c r="G54" s="274" t="s">
        <v>76</v>
      </c>
      <c r="H54" s="275"/>
      <c r="I54" s="275">
        <v>7044154062</v>
      </c>
      <c r="J54" s="275">
        <v>7044154062</v>
      </c>
      <c r="K54" s="351" t="s">
        <v>334</v>
      </c>
      <c r="L54" s="274" t="s">
        <v>256</v>
      </c>
      <c r="M54" s="272">
        <v>33442</v>
      </c>
      <c r="N54" s="272">
        <v>55365</v>
      </c>
      <c r="O54" s="277">
        <v>45495</v>
      </c>
      <c r="P54" s="272">
        <v>46038</v>
      </c>
      <c r="Q54" s="419">
        <v>45833</v>
      </c>
      <c r="R54" s="429" t="s">
        <v>6620</v>
      </c>
      <c r="S54" s="430"/>
      <c r="T54" s="430"/>
      <c r="U54" s="280"/>
      <c r="V54" s="79">
        <f t="shared" ref="V54:V69" si="14">LEN(D54)</f>
        <v>10</v>
      </c>
      <c r="AB54" s="208">
        <f t="shared" ca="1" si="13"/>
        <v>34</v>
      </c>
    </row>
    <row r="55" spans="1:39" ht="15.75" customHeight="1">
      <c r="A55" s="1036">
        <v>23</v>
      </c>
      <c r="B55" s="293" t="s">
        <v>6621</v>
      </c>
      <c r="C55" s="405" t="s">
        <v>21</v>
      </c>
      <c r="D55" s="1781" t="s">
        <v>6622</v>
      </c>
      <c r="E55" s="540" t="s">
        <v>6623</v>
      </c>
      <c r="F55" s="674" t="s">
        <v>759</v>
      </c>
      <c r="G55" s="274" t="s">
        <v>76</v>
      </c>
      <c r="H55" s="275"/>
      <c r="I55" s="275">
        <v>8013654703</v>
      </c>
      <c r="J55" s="275">
        <v>8013654703</v>
      </c>
      <c r="K55" s="351" t="s">
        <v>334</v>
      </c>
      <c r="L55" s="18" t="s">
        <v>256</v>
      </c>
      <c r="M55" s="272">
        <v>32877</v>
      </c>
      <c r="N55" s="272">
        <v>54819</v>
      </c>
      <c r="O55" s="320">
        <v>45475</v>
      </c>
      <c r="P55" s="272">
        <v>46019</v>
      </c>
      <c r="Q55" s="1993">
        <v>45913</v>
      </c>
      <c r="R55" s="281" t="s">
        <v>6624</v>
      </c>
      <c r="S55" s="280"/>
      <c r="T55" s="280"/>
      <c r="U55" s="280"/>
      <c r="V55" s="280">
        <f t="shared" si="14"/>
        <v>10</v>
      </c>
      <c r="W55" s="208">
        <f ca="1">INT((TODAY()-M55)/365)</f>
        <v>36</v>
      </c>
      <c r="X55" s="79"/>
      <c r="AA55" s="79"/>
    </row>
    <row r="56" spans="1:39" ht="15.75" customHeight="1">
      <c r="A56" s="944">
        <v>6</v>
      </c>
      <c r="B56" s="351" t="s">
        <v>6625</v>
      </c>
      <c r="C56" s="405" t="s">
        <v>21</v>
      </c>
      <c r="D56" s="1994" t="s">
        <v>6626</v>
      </c>
      <c r="E56" s="274" t="s">
        <v>6627</v>
      </c>
      <c r="F56" s="946" t="s">
        <v>759</v>
      </c>
      <c r="G56" s="274" t="s">
        <v>76</v>
      </c>
      <c r="H56" s="275"/>
      <c r="I56" s="275">
        <v>9474422428</v>
      </c>
      <c r="J56" s="284">
        <v>9474422428</v>
      </c>
      <c r="K56" s="351" t="s">
        <v>334</v>
      </c>
      <c r="L56" s="18" t="s">
        <v>61</v>
      </c>
      <c r="M56" s="272">
        <v>26210</v>
      </c>
      <c r="N56" s="272">
        <v>48152</v>
      </c>
      <c r="O56" s="320">
        <v>45267</v>
      </c>
      <c r="P56" s="315">
        <v>45222</v>
      </c>
      <c r="Q56" s="419">
        <v>45248</v>
      </c>
      <c r="R56" s="281" t="s">
        <v>6628</v>
      </c>
      <c r="S56" s="281" t="s">
        <v>6629</v>
      </c>
      <c r="T56" s="280"/>
      <c r="U56" s="280"/>
      <c r="V56" s="280">
        <f t="shared" si="14"/>
        <v>11</v>
      </c>
      <c r="W56" s="79"/>
      <c r="X56" s="79"/>
      <c r="Y56" s="79"/>
      <c r="Z56" s="79"/>
      <c r="AA56" s="79"/>
      <c r="AB56" s="311">
        <f ca="1">INT((TODAY()-M56)/365)</f>
        <v>54</v>
      </c>
    </row>
    <row r="57" spans="1:39" ht="15.75">
      <c r="A57" s="944">
        <v>36</v>
      </c>
      <c r="B57" s="351" t="s">
        <v>6630</v>
      </c>
      <c r="C57" s="405" t="s">
        <v>21</v>
      </c>
      <c r="D57" s="1820" t="s">
        <v>6631</v>
      </c>
      <c r="E57" s="274" t="s">
        <v>6632</v>
      </c>
      <c r="F57" s="674" t="s">
        <v>759</v>
      </c>
      <c r="G57" s="274" t="s">
        <v>76</v>
      </c>
      <c r="H57" s="275"/>
      <c r="I57" s="275">
        <v>8017278148</v>
      </c>
      <c r="J57" s="284">
        <v>8017278418</v>
      </c>
      <c r="K57" s="351" t="s">
        <v>334</v>
      </c>
      <c r="L57" s="125" t="s">
        <v>67</v>
      </c>
      <c r="M57" s="272">
        <v>34683</v>
      </c>
      <c r="N57" s="272">
        <v>56614</v>
      </c>
      <c r="O57" s="320">
        <v>45105</v>
      </c>
      <c r="P57" s="272">
        <v>45905</v>
      </c>
      <c r="Q57" s="419">
        <v>45951</v>
      </c>
      <c r="R57" s="281" t="s">
        <v>6633</v>
      </c>
      <c r="S57" s="280"/>
      <c r="T57" s="280"/>
      <c r="U57" s="280"/>
      <c r="V57" s="382">
        <f t="shared" si="14"/>
        <v>11</v>
      </c>
      <c r="W57" s="208">
        <f ca="1">INT((TODAY()-M57)/365)</f>
        <v>31</v>
      </c>
    </row>
    <row r="58" spans="1:39">
      <c r="A58" s="944">
        <v>12</v>
      </c>
      <c r="B58" s="293" t="s">
        <v>6634</v>
      </c>
      <c r="C58" s="405" t="s">
        <v>21</v>
      </c>
      <c r="D58" s="833" t="s">
        <v>6635</v>
      </c>
      <c r="E58" s="686" t="s">
        <v>6636</v>
      </c>
      <c r="F58" s="274" t="s">
        <v>759</v>
      </c>
      <c r="G58" s="274" t="s">
        <v>76</v>
      </c>
      <c r="H58" s="275"/>
      <c r="I58" s="275">
        <v>8961249205</v>
      </c>
      <c r="J58" s="963">
        <v>8961249205</v>
      </c>
      <c r="K58" s="351" t="s">
        <v>334</v>
      </c>
      <c r="L58" s="274" t="s">
        <v>44</v>
      </c>
      <c r="M58" s="272">
        <v>33960</v>
      </c>
      <c r="N58" s="272">
        <v>55884</v>
      </c>
      <c r="O58" s="272">
        <v>45115</v>
      </c>
      <c r="P58" s="279">
        <v>46038</v>
      </c>
      <c r="Q58" s="279">
        <v>45860</v>
      </c>
      <c r="R58" s="603" t="s">
        <v>6637</v>
      </c>
      <c r="S58" s="485"/>
      <c r="T58" s="485"/>
      <c r="U58" s="485"/>
      <c r="V58" s="382">
        <f t="shared" si="14"/>
        <v>11</v>
      </c>
      <c r="W58" s="311"/>
      <c r="X58" s="208">
        <f ca="1">INT((TODAY()-M58)/365)</f>
        <v>33</v>
      </c>
      <c r="Y58" s="311"/>
      <c r="Z58" s="311"/>
      <c r="AA58" s="311"/>
      <c r="AB58" s="311"/>
      <c r="AC58" s="311"/>
      <c r="AD58" s="311"/>
      <c r="AE58" s="311"/>
      <c r="AF58" s="311"/>
      <c r="AG58" s="311"/>
      <c r="AH58" s="311"/>
      <c r="AI58" s="311"/>
      <c r="AJ58" s="311"/>
      <c r="AK58" s="311"/>
      <c r="AL58" s="311"/>
      <c r="AM58" s="311"/>
    </row>
    <row r="59" spans="1:39" ht="15.75" customHeight="1">
      <c r="A59" s="944">
        <v>31</v>
      </c>
      <c r="B59" s="351" t="s">
        <v>6638</v>
      </c>
      <c r="C59" s="405" t="s">
        <v>21</v>
      </c>
      <c r="D59" s="1781" t="s">
        <v>6639</v>
      </c>
      <c r="E59" s="491" t="s">
        <v>6640</v>
      </c>
      <c r="F59" s="943" t="s">
        <v>759</v>
      </c>
      <c r="G59" s="274" t="s">
        <v>76</v>
      </c>
      <c r="H59" s="275"/>
      <c r="I59" s="275">
        <v>8981558337</v>
      </c>
      <c r="J59" s="1995">
        <v>8910437586</v>
      </c>
      <c r="K59" s="351" t="s">
        <v>334</v>
      </c>
      <c r="L59" s="18" t="s">
        <v>64</v>
      </c>
      <c r="M59" s="272">
        <v>34331</v>
      </c>
      <c r="N59" s="272">
        <v>56249</v>
      </c>
      <c r="O59" s="320">
        <v>46518</v>
      </c>
      <c r="P59" s="272">
        <v>46038</v>
      </c>
      <c r="Q59" s="419">
        <v>45891</v>
      </c>
      <c r="R59" s="281" t="s">
        <v>6641</v>
      </c>
      <c r="S59" s="281" t="s">
        <v>6642</v>
      </c>
      <c r="T59" s="280"/>
      <c r="U59" s="280"/>
      <c r="V59" s="382">
        <f t="shared" si="14"/>
        <v>11</v>
      </c>
      <c r="W59" s="208">
        <f t="shared" ref="W59:W63" ca="1" si="15">INT((TODAY()-M59)/365)</f>
        <v>32</v>
      </c>
      <c r="AC59" s="311"/>
      <c r="AD59" s="311"/>
      <c r="AE59" s="311"/>
      <c r="AF59" s="311"/>
      <c r="AG59" s="311"/>
      <c r="AH59" s="311"/>
      <c r="AI59" s="311"/>
      <c r="AJ59" s="311"/>
      <c r="AK59" s="311"/>
      <c r="AL59" s="311"/>
      <c r="AM59" s="311"/>
    </row>
    <row r="60" spans="1:39" ht="15.75" customHeight="1">
      <c r="A60" s="944">
        <v>66</v>
      </c>
      <c r="B60" s="688" t="s">
        <v>6643</v>
      </c>
      <c r="C60" s="274" t="s">
        <v>21</v>
      </c>
      <c r="D60" s="1781" t="s">
        <v>6644</v>
      </c>
      <c r="E60" s="421" t="s">
        <v>6645</v>
      </c>
      <c r="F60" s="674" t="s">
        <v>759</v>
      </c>
      <c r="G60" s="274" t="s">
        <v>76</v>
      </c>
      <c r="H60" s="275"/>
      <c r="I60" s="275">
        <v>8334012834</v>
      </c>
      <c r="K60" s="351" t="s">
        <v>334</v>
      </c>
      <c r="L60" s="274" t="s">
        <v>64</v>
      </c>
      <c r="M60" s="272">
        <v>34350</v>
      </c>
      <c r="N60" s="272">
        <v>56280</v>
      </c>
      <c r="O60" s="320">
        <v>45111</v>
      </c>
      <c r="P60" s="272">
        <v>44941</v>
      </c>
      <c r="Q60" s="419">
        <v>45916</v>
      </c>
      <c r="R60" s="281" t="s">
        <v>6646</v>
      </c>
      <c r="S60" s="280"/>
      <c r="T60" s="338"/>
      <c r="U60" s="280"/>
      <c r="V60" s="280">
        <f t="shared" si="14"/>
        <v>11</v>
      </c>
      <c r="W60" s="282">
        <f t="shared" ca="1" si="15"/>
        <v>32</v>
      </c>
      <c r="X60" s="79"/>
      <c r="Y60" s="79"/>
      <c r="Z60" s="79"/>
      <c r="AA60" s="79"/>
    </row>
    <row r="61" spans="1:39" ht="15.75" customHeight="1">
      <c r="A61" s="944">
        <v>15</v>
      </c>
      <c r="B61" s="351" t="s">
        <v>6647</v>
      </c>
      <c r="C61" s="274" t="s">
        <v>21</v>
      </c>
      <c r="D61" s="1781" t="s">
        <v>6648</v>
      </c>
      <c r="E61" s="491" t="s">
        <v>6649</v>
      </c>
      <c r="F61" s="18" t="s">
        <v>759</v>
      </c>
      <c r="G61" s="274" t="s">
        <v>76</v>
      </c>
      <c r="H61" s="275"/>
      <c r="I61" s="275">
        <v>9831454653</v>
      </c>
      <c r="J61" s="1996"/>
      <c r="K61" s="351" t="s">
        <v>334</v>
      </c>
      <c r="L61" s="18" t="s">
        <v>55</v>
      </c>
      <c r="M61" s="272">
        <v>32848</v>
      </c>
      <c r="N61" s="272">
        <v>54788</v>
      </c>
      <c r="O61" s="320">
        <v>45111</v>
      </c>
      <c r="P61" s="272">
        <v>46038</v>
      </c>
      <c r="Q61" s="419">
        <v>45891</v>
      </c>
      <c r="R61" s="429" t="s">
        <v>6650</v>
      </c>
      <c r="S61" s="430"/>
      <c r="T61" s="430"/>
      <c r="U61" s="280"/>
      <c r="V61" s="280">
        <f t="shared" si="14"/>
        <v>11</v>
      </c>
      <c r="W61" s="208">
        <f t="shared" ca="1" si="15"/>
        <v>36</v>
      </c>
    </row>
    <row r="62" spans="1:39" ht="15.75" customHeight="1">
      <c r="A62" s="944">
        <v>25</v>
      </c>
      <c r="B62" s="293" t="s">
        <v>6651</v>
      </c>
      <c r="C62" s="274" t="s">
        <v>21</v>
      </c>
      <c r="D62" s="1781" t="s">
        <v>6652</v>
      </c>
      <c r="E62" s="303" t="s">
        <v>6653</v>
      </c>
      <c r="F62" s="943" t="s">
        <v>759</v>
      </c>
      <c r="G62" s="274" t="s">
        <v>77</v>
      </c>
      <c r="H62" s="275"/>
      <c r="I62" s="275">
        <v>8910611532</v>
      </c>
      <c r="J62" s="284">
        <v>8961637661</v>
      </c>
      <c r="K62" s="351" t="s">
        <v>334</v>
      </c>
      <c r="L62" s="274" t="s">
        <v>55</v>
      </c>
      <c r="M62" s="272">
        <v>32978</v>
      </c>
      <c r="N62" s="272">
        <v>54908</v>
      </c>
      <c r="O62" s="320">
        <v>45113</v>
      </c>
      <c r="P62" s="272">
        <v>46019</v>
      </c>
      <c r="Q62" s="419">
        <v>45916</v>
      </c>
      <c r="R62" s="281" t="s">
        <v>6654</v>
      </c>
      <c r="S62" s="280"/>
      <c r="T62" s="430"/>
      <c r="U62" s="280"/>
      <c r="V62" s="280">
        <f t="shared" si="14"/>
        <v>11</v>
      </c>
      <c r="W62" s="208">
        <f t="shared" ca="1" si="15"/>
        <v>35</v>
      </c>
    </row>
    <row r="63" spans="1:39" ht="15.75" customHeight="1">
      <c r="A63" s="944">
        <v>2</v>
      </c>
      <c r="B63" s="351" t="s">
        <v>6655</v>
      </c>
      <c r="C63" s="274" t="s">
        <v>21</v>
      </c>
      <c r="D63" s="1781" t="s">
        <v>6656</v>
      </c>
      <c r="E63" s="303" t="s">
        <v>6657</v>
      </c>
      <c r="F63" s="18" t="s">
        <v>759</v>
      </c>
      <c r="G63" s="274" t="s">
        <v>76</v>
      </c>
      <c r="H63" s="275"/>
      <c r="I63" s="275">
        <v>9681478337</v>
      </c>
      <c r="J63" s="1851"/>
      <c r="K63" s="351" t="s">
        <v>334</v>
      </c>
      <c r="L63" s="18" t="s">
        <v>64</v>
      </c>
      <c r="M63" s="272">
        <v>34060</v>
      </c>
      <c r="N63" s="272">
        <v>55974</v>
      </c>
      <c r="O63" s="320">
        <v>45117</v>
      </c>
      <c r="P63" s="272">
        <v>46019</v>
      </c>
      <c r="Q63" s="419">
        <v>45916</v>
      </c>
      <c r="R63" s="281" t="s">
        <v>6658</v>
      </c>
      <c r="S63" s="280"/>
      <c r="T63" s="280"/>
      <c r="U63" s="280"/>
      <c r="V63" s="280">
        <f t="shared" si="14"/>
        <v>11</v>
      </c>
      <c r="W63" s="282">
        <f t="shared" ca="1" si="15"/>
        <v>32</v>
      </c>
      <c r="X63" s="79"/>
      <c r="Y63" s="79"/>
      <c r="Z63" s="79"/>
      <c r="AA63" s="79"/>
    </row>
    <row r="64" spans="1:39" ht="15.75" customHeight="1">
      <c r="A64" s="1006">
        <v>70</v>
      </c>
      <c r="B64" s="301" t="s">
        <v>6659</v>
      </c>
      <c r="C64" s="405" t="s">
        <v>21</v>
      </c>
      <c r="D64" s="1781" t="s">
        <v>6660</v>
      </c>
      <c r="E64" s="274" t="s">
        <v>6661</v>
      </c>
      <c r="F64" s="946" t="s">
        <v>759</v>
      </c>
      <c r="G64" s="274" t="s">
        <v>76</v>
      </c>
      <c r="H64" s="275"/>
      <c r="I64" s="293">
        <v>8754490711</v>
      </c>
      <c r="J64" s="284">
        <v>9875471419</v>
      </c>
      <c r="K64" s="351" t="s">
        <v>334</v>
      </c>
      <c r="L64" s="125" t="s">
        <v>69</v>
      </c>
      <c r="M64" s="272">
        <v>27832</v>
      </c>
      <c r="N64" s="272">
        <v>49765</v>
      </c>
      <c r="O64" s="277">
        <v>45458</v>
      </c>
      <c r="P64" s="272">
        <v>46106</v>
      </c>
      <c r="Q64" s="419">
        <v>46117</v>
      </c>
      <c r="R64" s="281" t="s">
        <v>6662</v>
      </c>
      <c r="S64" s="281" t="s">
        <v>6663</v>
      </c>
      <c r="T64" s="280"/>
      <c r="U64" s="280"/>
      <c r="V64" s="382">
        <f t="shared" si="14"/>
        <v>11</v>
      </c>
      <c r="W64" s="79"/>
      <c r="X64" s="79"/>
      <c r="Y64" s="79"/>
      <c r="Z64" s="79"/>
      <c r="AA64" s="79"/>
      <c r="AB64" s="311">
        <f ca="1">INT((TODAY()-M64)/365)</f>
        <v>50</v>
      </c>
    </row>
    <row r="65" spans="1:39" ht="15.75" customHeight="1">
      <c r="A65" s="944">
        <v>29</v>
      </c>
      <c r="B65" s="293" t="s">
        <v>6664</v>
      </c>
      <c r="C65" s="405" t="s">
        <v>21</v>
      </c>
      <c r="D65" s="1781" t="s">
        <v>6665</v>
      </c>
      <c r="E65" s="491" t="s">
        <v>6666</v>
      </c>
      <c r="F65" s="943" t="s">
        <v>759</v>
      </c>
      <c r="G65" s="274" t="s">
        <v>76</v>
      </c>
      <c r="H65" s="275"/>
      <c r="I65" s="275">
        <v>7278527079</v>
      </c>
      <c r="J65" s="275"/>
      <c r="K65" s="351" t="s">
        <v>334</v>
      </c>
      <c r="L65" s="445" t="s">
        <v>57</v>
      </c>
      <c r="M65" s="272">
        <v>35166</v>
      </c>
      <c r="N65" s="272">
        <v>57100</v>
      </c>
      <c r="O65" s="320">
        <v>45120</v>
      </c>
      <c r="P65" s="272">
        <v>46019</v>
      </c>
      <c r="Q65" s="419">
        <v>45916</v>
      </c>
      <c r="R65" s="281" t="s">
        <v>6667</v>
      </c>
      <c r="S65" s="280"/>
      <c r="T65" s="280"/>
      <c r="U65" s="280"/>
      <c r="V65" s="280">
        <f t="shared" si="14"/>
        <v>11</v>
      </c>
      <c r="W65" s="282">
        <f t="shared" ref="W65:W69" ca="1" si="16">INT((TODAY()-M65)/365)</f>
        <v>29</v>
      </c>
      <c r="X65" s="79"/>
      <c r="Y65" s="79"/>
      <c r="Z65" s="79"/>
      <c r="AA65" s="79"/>
    </row>
    <row r="66" spans="1:39" ht="15.75" customHeight="1">
      <c r="A66" s="944">
        <v>24</v>
      </c>
      <c r="B66" s="351" t="s">
        <v>6668</v>
      </c>
      <c r="C66" s="405" t="s">
        <v>21</v>
      </c>
      <c r="D66" s="1781" t="s">
        <v>6669</v>
      </c>
      <c r="E66" s="274" t="s">
        <v>6670</v>
      </c>
      <c r="F66" s="666" t="s">
        <v>3258</v>
      </c>
      <c r="G66" s="274" t="s">
        <v>76</v>
      </c>
      <c r="H66" s="275"/>
      <c r="I66" s="293">
        <v>8100524733</v>
      </c>
      <c r="J66" s="275"/>
      <c r="K66" s="351" t="s">
        <v>334</v>
      </c>
      <c r="L66" s="274" t="s">
        <v>59</v>
      </c>
      <c r="M66" s="272">
        <v>32662</v>
      </c>
      <c r="N66" s="272">
        <v>54604</v>
      </c>
      <c r="O66" s="320">
        <v>45111</v>
      </c>
      <c r="P66" s="272">
        <v>46019</v>
      </c>
      <c r="Q66" s="419">
        <v>45860</v>
      </c>
      <c r="R66" s="281" t="s">
        <v>6671</v>
      </c>
      <c r="S66" s="280"/>
      <c r="T66" s="280"/>
      <c r="U66" s="280"/>
      <c r="V66" s="382">
        <f t="shared" si="14"/>
        <v>11</v>
      </c>
      <c r="W66" s="208">
        <f t="shared" ca="1" si="16"/>
        <v>36</v>
      </c>
    </row>
    <row r="67" spans="1:39" ht="15.75" customHeight="1">
      <c r="A67" s="937">
        <v>11</v>
      </c>
      <c r="B67" s="301" t="s">
        <v>6672</v>
      </c>
      <c r="C67" s="303" t="s">
        <v>21</v>
      </c>
      <c r="D67" s="1781" t="s">
        <v>6673</v>
      </c>
      <c r="E67" s="857" t="s">
        <v>6674</v>
      </c>
      <c r="F67" s="18" t="s">
        <v>759</v>
      </c>
      <c r="G67" s="284" t="s">
        <v>76</v>
      </c>
      <c r="H67" s="275"/>
      <c r="I67" s="391">
        <v>9563463045</v>
      </c>
      <c r="J67" s="391">
        <v>9563463045</v>
      </c>
      <c r="K67" s="351" t="s">
        <v>334</v>
      </c>
      <c r="L67" s="274" t="s">
        <v>64</v>
      </c>
      <c r="M67" s="272">
        <v>34692</v>
      </c>
      <c r="N67" s="272">
        <v>56614</v>
      </c>
      <c r="O67" s="320">
        <v>46524</v>
      </c>
      <c r="P67" s="272">
        <v>45905</v>
      </c>
      <c r="Q67" s="419">
        <v>45948</v>
      </c>
      <c r="R67" s="1592" t="s">
        <v>6675</v>
      </c>
      <c r="S67" s="1778"/>
      <c r="T67" s="1778"/>
      <c r="U67" s="1778"/>
      <c r="V67" s="1778">
        <f t="shared" si="14"/>
        <v>11</v>
      </c>
      <c r="W67" s="282">
        <f t="shared" ca="1" si="16"/>
        <v>31</v>
      </c>
      <c r="X67" s="704"/>
      <c r="Y67" s="704"/>
      <c r="Z67" s="704"/>
      <c r="AA67" s="704"/>
      <c r="AB67" s="705"/>
    </row>
    <row r="68" spans="1:39" ht="15.75" customHeight="1">
      <c r="A68" s="937">
        <v>76</v>
      </c>
      <c r="B68" s="688" t="s">
        <v>6676</v>
      </c>
      <c r="C68" s="405" t="s">
        <v>21</v>
      </c>
      <c r="D68" s="1781" t="s">
        <v>6677</v>
      </c>
      <c r="E68" s="491" t="s">
        <v>6678</v>
      </c>
      <c r="F68" s="674" t="s">
        <v>759</v>
      </c>
      <c r="G68" s="274" t="s">
        <v>76</v>
      </c>
      <c r="H68" s="275"/>
      <c r="I68" s="275">
        <v>8981730914</v>
      </c>
      <c r="J68" s="284">
        <v>8981730914</v>
      </c>
      <c r="K68" s="351" t="s">
        <v>334</v>
      </c>
      <c r="L68" s="274" t="s">
        <v>256</v>
      </c>
      <c r="M68" s="272">
        <v>32829</v>
      </c>
      <c r="N68" s="272">
        <v>54757</v>
      </c>
      <c r="O68" s="320">
        <v>46536</v>
      </c>
      <c r="P68" s="272">
        <v>44941</v>
      </c>
      <c r="Q68" s="419">
        <v>45891</v>
      </c>
      <c r="R68" s="281" t="s">
        <v>2917</v>
      </c>
      <c r="S68" s="280"/>
      <c r="T68" s="280"/>
      <c r="U68" s="280"/>
      <c r="V68" s="280">
        <f t="shared" si="14"/>
        <v>11</v>
      </c>
      <c r="W68" s="208">
        <f t="shared" ca="1" si="16"/>
        <v>36</v>
      </c>
    </row>
    <row r="69" spans="1:39" ht="15.75" customHeight="1">
      <c r="A69" s="944">
        <v>33</v>
      </c>
      <c r="B69" s="301" t="s">
        <v>6679</v>
      </c>
      <c r="C69" s="274" t="s">
        <v>21</v>
      </c>
      <c r="D69" s="1781" t="s">
        <v>6680</v>
      </c>
      <c r="E69" s="491" t="s">
        <v>6681</v>
      </c>
      <c r="F69" s="674" t="s">
        <v>759</v>
      </c>
      <c r="G69" s="274" t="s">
        <v>76</v>
      </c>
      <c r="H69" s="275"/>
      <c r="I69" s="275">
        <v>9804815457</v>
      </c>
      <c r="J69" s="3"/>
      <c r="K69" s="351" t="s">
        <v>334</v>
      </c>
      <c r="L69" s="275" t="s">
        <v>44</v>
      </c>
      <c r="M69" s="272">
        <v>32131</v>
      </c>
      <c r="N69" s="272">
        <v>54057</v>
      </c>
      <c r="O69" s="320">
        <v>46536</v>
      </c>
      <c r="P69" s="272">
        <v>45287</v>
      </c>
      <c r="Q69" s="419">
        <v>45980</v>
      </c>
      <c r="R69" s="281" t="s">
        <v>6682</v>
      </c>
      <c r="S69" s="280"/>
      <c r="T69" s="280"/>
      <c r="U69" s="280"/>
      <c r="V69" s="280">
        <f t="shared" si="14"/>
        <v>11</v>
      </c>
      <c r="W69" s="208">
        <f t="shared" ca="1" si="16"/>
        <v>38</v>
      </c>
    </row>
    <row r="71" spans="1:39" ht="15.75" customHeight="1">
      <c r="A71" s="563"/>
      <c r="B71" s="384"/>
      <c r="C71" s="563"/>
      <c r="D71" s="1997"/>
      <c r="E71" s="1998"/>
      <c r="F71" s="965"/>
      <c r="G71" s="563"/>
      <c r="H71" s="563"/>
      <c r="K71" s="384"/>
      <c r="L71" s="1901"/>
      <c r="M71" s="1823"/>
      <c r="N71" s="1823"/>
      <c r="O71" s="1999"/>
      <c r="P71" s="481"/>
      <c r="Q71" s="481"/>
      <c r="R71" s="482"/>
      <c r="S71" s="482"/>
      <c r="T71" s="482"/>
      <c r="U71" s="482"/>
      <c r="V71" s="384"/>
      <c r="W71" s="563"/>
      <c r="Y71" s="563"/>
      <c r="AA71" s="384"/>
      <c r="AB71" s="384"/>
      <c r="AC71" s="384"/>
      <c r="AD71" s="384"/>
      <c r="AE71" s="384"/>
      <c r="AF71" s="384"/>
      <c r="AG71" s="384"/>
      <c r="AH71" s="384"/>
      <c r="AI71" s="384"/>
      <c r="AJ71" s="384"/>
      <c r="AK71" s="384"/>
      <c r="AL71" s="384"/>
      <c r="AM71" s="384"/>
    </row>
    <row r="72" spans="1:39" ht="15.75" customHeight="1">
      <c r="A72" s="563"/>
      <c r="B72" s="384"/>
      <c r="C72" s="563"/>
      <c r="D72" s="1997"/>
      <c r="E72" s="1998"/>
      <c r="F72" s="137"/>
      <c r="G72" s="563"/>
      <c r="H72" s="563"/>
      <c r="K72" s="384"/>
      <c r="L72" s="1901"/>
      <c r="M72" s="1823"/>
      <c r="N72" s="1823"/>
      <c r="O72" s="1999"/>
      <c r="P72" s="481"/>
      <c r="Q72" s="481"/>
      <c r="R72" s="482"/>
      <c r="S72" s="482"/>
      <c r="T72" s="482"/>
      <c r="U72" s="482"/>
      <c r="V72" s="384"/>
      <c r="W72" s="563"/>
      <c r="Y72" s="563"/>
      <c r="AA72" s="384"/>
      <c r="AB72" s="384"/>
      <c r="AC72" s="384"/>
      <c r="AD72" s="384"/>
      <c r="AE72" s="384"/>
      <c r="AF72" s="384"/>
      <c r="AG72" s="384"/>
      <c r="AH72" s="384"/>
      <c r="AI72" s="384"/>
      <c r="AJ72" s="384"/>
      <c r="AK72" s="384"/>
      <c r="AL72" s="384"/>
      <c r="AM72" s="384"/>
    </row>
    <row r="73" spans="1:39" ht="15.75" customHeight="1">
      <c r="A73" s="563"/>
      <c r="B73" s="384"/>
      <c r="C73" s="563"/>
      <c r="D73" s="1997"/>
      <c r="E73" s="1998"/>
      <c r="F73" s="686"/>
      <c r="G73" s="563"/>
      <c r="H73" s="563"/>
      <c r="J73" s="2000"/>
      <c r="K73" s="1823"/>
      <c r="L73" s="1901"/>
      <c r="M73" s="1823"/>
      <c r="N73" s="1823"/>
      <c r="O73" s="1999"/>
      <c r="P73" s="481"/>
      <c r="Q73" s="481"/>
      <c r="R73" s="482"/>
      <c r="S73" s="482"/>
      <c r="T73" s="482"/>
      <c r="U73" s="482"/>
      <c r="V73" s="384"/>
      <c r="W73" s="563"/>
      <c r="Y73" s="563"/>
      <c r="AA73" s="384"/>
      <c r="AB73" s="384"/>
      <c r="AC73" s="384"/>
      <c r="AD73" s="384"/>
      <c r="AE73" s="384"/>
      <c r="AF73" s="384"/>
      <c r="AG73" s="384"/>
      <c r="AH73" s="384"/>
      <c r="AI73" s="384"/>
      <c r="AJ73" s="384"/>
      <c r="AK73" s="384"/>
      <c r="AL73" s="384"/>
      <c r="AM73" s="384"/>
    </row>
    <row r="74" spans="1:39" ht="15.75" customHeight="1">
      <c r="A74" s="563"/>
      <c r="B74" s="384"/>
      <c r="C74" s="563"/>
      <c r="D74" s="1997"/>
      <c r="E74" s="1998"/>
      <c r="F74" s="137"/>
      <c r="G74" s="563"/>
      <c r="H74" s="563"/>
      <c r="J74" s="2000"/>
      <c r="K74" s="563"/>
      <c r="L74" s="1901"/>
      <c r="O74" s="1999"/>
      <c r="P74" s="481"/>
      <c r="Q74" s="481"/>
      <c r="R74" s="482"/>
      <c r="S74" s="482"/>
      <c r="T74" s="482"/>
      <c r="U74" s="482"/>
      <c r="V74" s="384"/>
      <c r="W74" s="563"/>
      <c r="Y74" s="563"/>
      <c r="AA74" s="384"/>
      <c r="AB74" s="384"/>
      <c r="AC74" s="384"/>
      <c r="AD74" s="384"/>
      <c r="AE74" s="384"/>
      <c r="AF74" s="384"/>
      <c r="AG74" s="384"/>
      <c r="AH74" s="384"/>
      <c r="AI74" s="384"/>
      <c r="AJ74" s="384"/>
      <c r="AK74" s="384"/>
      <c r="AL74" s="384"/>
      <c r="AM74" s="384"/>
    </row>
    <row r="75" spans="1:39" ht="15.75" customHeight="1">
      <c r="A75" s="563"/>
      <c r="B75" s="384"/>
      <c r="C75" s="563"/>
      <c r="D75" s="1997"/>
      <c r="E75" s="1998"/>
      <c r="F75" s="965"/>
      <c r="G75" s="563"/>
      <c r="H75" s="563"/>
      <c r="J75" s="2000"/>
      <c r="K75" s="563"/>
      <c r="L75" s="1901"/>
      <c r="O75" s="1999"/>
      <c r="P75" s="481"/>
      <c r="Q75" s="481"/>
      <c r="R75" s="482"/>
      <c r="S75" s="482"/>
      <c r="T75" s="482"/>
      <c r="U75" s="482"/>
      <c r="V75" s="384"/>
      <c r="W75" s="563"/>
      <c r="Y75" s="563"/>
      <c r="AA75" s="384"/>
      <c r="AB75" s="384"/>
      <c r="AC75" s="384"/>
      <c r="AD75" s="384"/>
      <c r="AE75" s="384"/>
      <c r="AF75" s="384"/>
      <c r="AG75" s="384"/>
      <c r="AH75" s="384"/>
      <c r="AI75" s="384"/>
      <c r="AJ75" s="384"/>
      <c r="AK75" s="384"/>
      <c r="AL75" s="384"/>
      <c r="AM75" s="384"/>
    </row>
    <row r="76" spans="1:39" ht="15.75" customHeight="1">
      <c r="A76" s="563"/>
      <c r="B76" s="384"/>
      <c r="C76" s="563"/>
      <c r="D76" s="1997"/>
      <c r="E76" s="1998"/>
      <c r="F76" s="965"/>
      <c r="G76" s="563"/>
      <c r="H76" s="563"/>
      <c r="J76" s="2000"/>
      <c r="K76" s="563"/>
      <c r="L76" s="1901"/>
      <c r="O76" s="1999"/>
      <c r="P76" s="481"/>
      <c r="Q76" s="481"/>
      <c r="R76" s="482"/>
      <c r="S76" s="482"/>
      <c r="T76" s="482"/>
      <c r="U76" s="482"/>
      <c r="V76" s="384"/>
      <c r="W76" s="563"/>
      <c r="Y76" s="563"/>
      <c r="AA76" s="384"/>
      <c r="AB76" s="384"/>
      <c r="AC76" s="384"/>
      <c r="AD76" s="384"/>
      <c r="AE76" s="384"/>
      <c r="AF76" s="384"/>
      <c r="AG76" s="384"/>
      <c r="AH76" s="384"/>
      <c r="AI76" s="384"/>
      <c r="AJ76" s="384"/>
      <c r="AK76" s="384"/>
      <c r="AL76" s="384"/>
      <c r="AM76" s="384"/>
    </row>
    <row r="77" spans="1:39" ht="15.75" customHeight="1">
      <c r="A77" s="563"/>
      <c r="B77" s="384"/>
      <c r="C77" s="563"/>
      <c r="D77" s="1997"/>
      <c r="E77" s="1998"/>
      <c r="F77" s="137"/>
      <c r="G77" s="563"/>
      <c r="H77" s="563"/>
      <c r="I77" s="2000"/>
      <c r="J77" s="2000"/>
      <c r="K77" s="563"/>
      <c r="L77" s="1901"/>
      <c r="O77" s="1999"/>
      <c r="P77" s="481"/>
      <c r="Q77" s="481"/>
      <c r="R77" s="482"/>
      <c r="S77" s="482"/>
      <c r="T77" s="482"/>
      <c r="U77" s="482"/>
      <c r="V77" s="384"/>
      <c r="W77" s="563"/>
      <c r="Y77" s="563"/>
      <c r="AA77" s="384"/>
      <c r="AB77" s="384"/>
      <c r="AC77" s="384"/>
      <c r="AD77" s="384"/>
      <c r="AE77" s="384"/>
      <c r="AF77" s="384"/>
      <c r="AG77" s="384"/>
      <c r="AH77" s="384"/>
      <c r="AI77" s="384"/>
      <c r="AJ77" s="384"/>
      <c r="AK77" s="384"/>
      <c r="AL77" s="384"/>
      <c r="AM77" s="384"/>
    </row>
    <row r="78" spans="1:39" ht="15.75" customHeight="1">
      <c r="A78" s="563"/>
      <c r="B78" s="384"/>
      <c r="C78" s="563"/>
      <c r="D78" s="1997"/>
      <c r="E78" s="1998"/>
      <c r="F78" s="137"/>
      <c r="G78" s="563"/>
      <c r="H78" s="563"/>
      <c r="I78" s="2000"/>
      <c r="J78" s="2000"/>
      <c r="K78" s="563"/>
      <c r="L78" s="1901"/>
      <c r="O78" s="1999"/>
      <c r="P78" s="481"/>
      <c r="Q78" s="481"/>
      <c r="R78" s="482"/>
      <c r="S78" s="482"/>
      <c r="T78" s="482"/>
      <c r="U78" s="482"/>
      <c r="V78" s="384"/>
      <c r="W78" s="563"/>
      <c r="Y78" s="563"/>
      <c r="AA78" s="384"/>
      <c r="AB78" s="384"/>
      <c r="AC78" s="384"/>
      <c r="AD78" s="384"/>
      <c r="AE78" s="384"/>
      <c r="AF78" s="384"/>
      <c r="AG78" s="384"/>
      <c r="AH78" s="384"/>
      <c r="AI78" s="384"/>
      <c r="AJ78" s="384"/>
      <c r="AK78" s="384"/>
      <c r="AL78" s="384"/>
      <c r="AM78" s="384"/>
    </row>
    <row r="79" spans="1:39" ht="15.75" customHeight="1">
      <c r="A79" s="563"/>
      <c r="B79" s="384"/>
      <c r="C79" s="563"/>
      <c r="D79" s="1997"/>
      <c r="E79" s="1998"/>
      <c r="F79" s="137"/>
      <c r="G79" s="563"/>
      <c r="H79" s="563"/>
      <c r="I79" s="2000"/>
      <c r="J79" s="2000"/>
      <c r="K79" s="563"/>
      <c r="L79" s="1901"/>
      <c r="O79" s="1999"/>
      <c r="P79" s="481"/>
      <c r="Q79" s="481"/>
      <c r="R79" s="482"/>
      <c r="S79" s="482"/>
      <c r="T79" s="482"/>
      <c r="U79" s="482"/>
      <c r="V79" s="384"/>
      <c r="W79" s="563"/>
      <c r="Y79" s="563"/>
      <c r="AA79" s="384"/>
      <c r="AB79" s="384"/>
      <c r="AC79" s="384"/>
      <c r="AD79" s="384"/>
      <c r="AE79" s="384"/>
      <c r="AF79" s="384"/>
      <c r="AG79" s="384"/>
      <c r="AH79" s="384"/>
      <c r="AI79" s="384"/>
      <c r="AJ79" s="384"/>
      <c r="AK79" s="384"/>
      <c r="AL79" s="384"/>
      <c r="AM79" s="384"/>
    </row>
    <row r="80" spans="1:39" ht="15.75" customHeight="1">
      <c r="A80" s="563"/>
      <c r="B80" s="384"/>
      <c r="C80" s="563"/>
      <c r="D80" s="1997"/>
      <c r="E80" s="1998"/>
      <c r="F80" s="965"/>
      <c r="G80" s="563"/>
      <c r="H80" s="563"/>
      <c r="I80" s="2000"/>
      <c r="J80" s="2000"/>
      <c r="K80" s="563"/>
      <c r="L80" s="1901"/>
      <c r="O80" s="1999"/>
      <c r="P80" s="481"/>
      <c r="Q80" s="481"/>
      <c r="R80" s="482"/>
      <c r="S80" s="482"/>
      <c r="T80" s="482"/>
      <c r="U80" s="482"/>
      <c r="V80" s="384"/>
      <c r="W80" s="563"/>
      <c r="Y80" s="563"/>
      <c r="AA80" s="384"/>
      <c r="AB80" s="384"/>
      <c r="AC80" s="384"/>
      <c r="AD80" s="384"/>
      <c r="AE80" s="384"/>
      <c r="AF80" s="384"/>
      <c r="AG80" s="384"/>
      <c r="AH80" s="384"/>
      <c r="AI80" s="384"/>
      <c r="AJ80" s="384"/>
      <c r="AK80" s="384"/>
      <c r="AL80" s="384"/>
      <c r="AM80" s="384"/>
    </row>
    <row r="81" spans="1:39" ht="15.75" customHeight="1">
      <c r="A81" s="563"/>
      <c r="B81" s="384"/>
      <c r="C81" s="563"/>
      <c r="D81" s="1997"/>
      <c r="E81" s="1998"/>
      <c r="F81" s="965"/>
      <c r="G81" s="563"/>
      <c r="H81" s="563"/>
      <c r="I81" s="2000"/>
      <c r="J81" s="2000"/>
      <c r="K81" s="563"/>
      <c r="L81" s="1901"/>
      <c r="M81" s="1823"/>
      <c r="N81" s="1823"/>
      <c r="O81" s="1999"/>
      <c r="P81" s="481"/>
      <c r="Q81" s="481"/>
      <c r="R81" s="482"/>
      <c r="S81" s="482"/>
      <c r="T81" s="482"/>
      <c r="U81" s="482"/>
      <c r="V81" s="384"/>
      <c r="W81" s="563"/>
      <c r="Y81" s="563"/>
      <c r="AA81" s="384"/>
      <c r="AB81" s="384"/>
      <c r="AC81" s="384"/>
      <c r="AD81" s="384"/>
      <c r="AE81" s="384"/>
      <c r="AF81" s="384"/>
      <c r="AG81" s="384"/>
      <c r="AH81" s="384"/>
      <c r="AI81" s="384"/>
      <c r="AJ81" s="384"/>
      <c r="AK81" s="384"/>
      <c r="AL81" s="384"/>
      <c r="AM81" s="384"/>
    </row>
    <row r="82" spans="1:39" ht="15.75" customHeight="1">
      <c r="A82" s="563"/>
      <c r="B82" s="384"/>
      <c r="C82" s="563"/>
      <c r="D82" s="1997"/>
      <c r="E82" s="1998"/>
      <c r="F82" s="137"/>
      <c r="G82" s="563"/>
      <c r="H82" s="563"/>
      <c r="I82" s="2000"/>
      <c r="J82" s="563"/>
      <c r="K82" s="384"/>
      <c r="L82" s="1901"/>
      <c r="M82" s="1823"/>
      <c r="N82" s="1823"/>
      <c r="O82" s="1823"/>
      <c r="P82" s="481"/>
      <c r="Q82" s="481"/>
      <c r="R82" s="482"/>
      <c r="S82" s="482"/>
      <c r="T82" s="482"/>
      <c r="U82" s="482"/>
      <c r="V82" s="384"/>
      <c r="W82" s="563"/>
      <c r="Y82" s="563"/>
      <c r="AA82" s="384"/>
      <c r="AB82" s="384"/>
      <c r="AC82" s="384"/>
      <c r="AD82" s="384"/>
      <c r="AE82" s="384"/>
      <c r="AF82" s="384"/>
      <c r="AG82" s="384"/>
      <c r="AH82" s="384"/>
      <c r="AI82" s="384"/>
      <c r="AJ82" s="384"/>
      <c r="AK82" s="384"/>
      <c r="AL82" s="384"/>
      <c r="AM82" s="384"/>
    </row>
    <row r="83" spans="1:39" ht="15.75" customHeight="1">
      <c r="A83" s="563"/>
      <c r="B83" s="384"/>
      <c r="C83" s="563"/>
      <c r="D83" s="1997"/>
      <c r="E83" s="1998"/>
      <c r="F83" s="1889"/>
      <c r="G83" s="563"/>
      <c r="H83" s="563"/>
      <c r="I83" s="2000"/>
      <c r="J83" s="563"/>
      <c r="K83" s="384"/>
      <c r="L83" s="1901"/>
      <c r="M83" s="1823"/>
      <c r="N83" s="1823"/>
      <c r="O83" s="1823"/>
      <c r="P83" s="481"/>
      <c r="Q83" s="481"/>
      <c r="R83" s="482"/>
      <c r="S83" s="482"/>
      <c r="T83" s="482"/>
      <c r="U83" s="482"/>
      <c r="V83" s="384"/>
      <c r="W83" s="563"/>
      <c r="Y83" s="563"/>
      <c r="AA83" s="384"/>
      <c r="AB83" s="384"/>
      <c r="AC83" s="384"/>
      <c r="AD83" s="384"/>
      <c r="AE83" s="384"/>
      <c r="AF83" s="384"/>
      <c r="AG83" s="384"/>
      <c r="AH83" s="384"/>
      <c r="AI83" s="384"/>
      <c r="AJ83" s="384"/>
      <c r="AK83" s="384"/>
      <c r="AL83" s="384"/>
      <c r="AM83" s="384"/>
    </row>
    <row r="84" spans="1:39" ht="15.75" customHeight="1">
      <c r="A84" s="563"/>
      <c r="B84" s="384"/>
      <c r="C84" s="563"/>
      <c r="D84" s="1997"/>
      <c r="E84" s="1998"/>
      <c r="F84" s="137"/>
      <c r="G84" s="563"/>
      <c r="H84" s="563"/>
      <c r="I84" s="2000"/>
      <c r="J84" s="563"/>
      <c r="K84" s="384"/>
      <c r="L84" s="1901"/>
      <c r="M84" s="1823"/>
      <c r="N84" s="1823"/>
      <c r="O84" s="1823"/>
      <c r="P84" s="481"/>
      <c r="Q84" s="481"/>
      <c r="R84" s="482"/>
      <c r="S84" s="482"/>
      <c r="T84" s="482"/>
      <c r="U84" s="482"/>
      <c r="V84" s="384"/>
      <c r="W84" s="563"/>
      <c r="Y84" s="563"/>
      <c r="AA84" s="384"/>
      <c r="AB84" s="384"/>
      <c r="AC84" s="384"/>
      <c r="AD84" s="384"/>
      <c r="AE84" s="384"/>
      <c r="AF84" s="384"/>
      <c r="AG84" s="384"/>
      <c r="AH84" s="384"/>
      <c r="AI84" s="384"/>
      <c r="AJ84" s="384"/>
      <c r="AK84" s="384"/>
      <c r="AL84" s="384"/>
      <c r="AM84" s="384"/>
    </row>
    <row r="85" spans="1:39" ht="15.75" customHeight="1">
      <c r="A85" s="563"/>
      <c r="B85" s="384"/>
      <c r="C85" s="563"/>
      <c r="D85" s="1997"/>
      <c r="E85" s="1998"/>
      <c r="F85" s="965"/>
      <c r="G85" s="563"/>
      <c r="H85" s="563"/>
      <c r="I85" s="2000"/>
      <c r="J85" s="563"/>
      <c r="K85" s="384"/>
      <c r="L85" s="1901"/>
      <c r="M85" s="1823"/>
      <c r="N85" s="1823"/>
      <c r="O85" s="1823"/>
      <c r="P85" s="481"/>
      <c r="Q85" s="481"/>
      <c r="R85" s="482"/>
      <c r="S85" s="482"/>
      <c r="T85" s="482"/>
      <c r="U85" s="482"/>
      <c r="V85" s="384"/>
      <c r="W85" s="563"/>
      <c r="Y85" s="563"/>
      <c r="AA85" s="384"/>
      <c r="AB85" s="384"/>
      <c r="AC85" s="384"/>
      <c r="AD85" s="384"/>
      <c r="AE85" s="384"/>
      <c r="AF85" s="384"/>
      <c r="AG85" s="384"/>
      <c r="AH85" s="384"/>
      <c r="AI85" s="384"/>
      <c r="AJ85" s="384"/>
      <c r="AK85" s="384"/>
      <c r="AL85" s="384"/>
      <c r="AM85" s="384"/>
    </row>
    <row r="86" spans="1:39" ht="15.75" customHeight="1">
      <c r="A86" s="563"/>
      <c r="B86" s="384"/>
      <c r="C86" s="563"/>
      <c r="D86" s="1997"/>
      <c r="E86" s="1998"/>
      <c r="F86" s="2001"/>
      <c r="G86" s="563"/>
      <c r="H86" s="563"/>
      <c r="I86" s="2000"/>
      <c r="J86" s="563"/>
      <c r="K86" s="384"/>
      <c r="L86" s="1901"/>
      <c r="M86" s="1823"/>
      <c r="N86" s="1823"/>
      <c r="O86" s="1823"/>
      <c r="P86" s="481"/>
      <c r="Q86" s="481"/>
      <c r="R86" s="482"/>
      <c r="S86" s="482"/>
      <c r="T86" s="482"/>
      <c r="U86" s="482"/>
      <c r="V86" s="384"/>
      <c r="W86" s="563"/>
      <c r="Y86" s="563"/>
      <c r="AA86" s="384"/>
      <c r="AB86" s="384"/>
      <c r="AC86" s="384"/>
      <c r="AD86" s="384"/>
      <c r="AE86" s="384"/>
      <c r="AF86" s="384"/>
      <c r="AG86" s="384"/>
      <c r="AH86" s="384"/>
      <c r="AI86" s="384"/>
      <c r="AJ86" s="384"/>
      <c r="AK86" s="384"/>
      <c r="AL86" s="384"/>
      <c r="AM86" s="384"/>
    </row>
    <row r="87" spans="1:39" ht="15.75" customHeight="1">
      <c r="A87" s="563"/>
      <c r="B87" s="384"/>
      <c r="C87" s="563"/>
      <c r="D87" s="1997"/>
      <c r="E87" s="1998"/>
      <c r="F87" s="943"/>
      <c r="G87" s="563"/>
      <c r="H87" s="563"/>
      <c r="I87" s="2000"/>
      <c r="J87" s="563"/>
      <c r="K87" s="384"/>
      <c r="L87" s="1901"/>
      <c r="M87" s="1823"/>
      <c r="N87" s="1823"/>
      <c r="O87" s="1823"/>
      <c r="P87" s="481"/>
      <c r="Q87" s="481"/>
      <c r="R87" s="482"/>
      <c r="S87" s="482"/>
      <c r="T87" s="482"/>
      <c r="U87" s="482"/>
      <c r="V87" s="384"/>
      <c r="W87" s="563"/>
      <c r="Y87" s="563"/>
      <c r="AA87" s="384"/>
      <c r="AB87" s="384"/>
      <c r="AC87" s="384"/>
      <c r="AD87" s="384"/>
      <c r="AE87" s="384"/>
      <c r="AF87" s="384"/>
      <c r="AG87" s="384"/>
      <c r="AH87" s="384"/>
      <c r="AI87" s="384"/>
      <c r="AJ87" s="384"/>
      <c r="AK87" s="384"/>
      <c r="AL87" s="384"/>
      <c r="AM87" s="384"/>
    </row>
    <row r="88" spans="1:39" ht="15.75" customHeight="1">
      <c r="A88" s="563"/>
      <c r="B88" s="384"/>
      <c r="C88" s="563"/>
      <c r="D88" s="1997"/>
      <c r="E88" s="1998"/>
      <c r="F88" s="137"/>
      <c r="G88" s="563"/>
      <c r="H88" s="563"/>
      <c r="I88" s="2000"/>
      <c r="J88" s="563"/>
      <c r="K88" s="384"/>
      <c r="L88" s="1901"/>
      <c r="M88" s="1823"/>
      <c r="N88" s="1823"/>
      <c r="O88" s="1823"/>
      <c r="P88" s="481"/>
      <c r="Q88" s="481"/>
      <c r="R88" s="482"/>
      <c r="S88" s="482"/>
      <c r="T88" s="482"/>
      <c r="U88" s="482"/>
      <c r="V88" s="384"/>
      <c r="W88" s="563"/>
      <c r="Y88" s="563"/>
      <c r="AA88" s="384"/>
      <c r="AB88" s="384"/>
      <c r="AC88" s="384"/>
      <c r="AD88" s="384"/>
      <c r="AE88" s="384"/>
      <c r="AF88" s="384"/>
      <c r="AG88" s="384"/>
      <c r="AH88" s="384"/>
      <c r="AI88" s="384"/>
      <c r="AJ88" s="384"/>
      <c r="AK88" s="384"/>
      <c r="AL88" s="384"/>
      <c r="AM88" s="384"/>
    </row>
    <row r="89" spans="1:39" ht="15.75" customHeight="1">
      <c r="A89" s="563"/>
      <c r="B89" s="384"/>
      <c r="C89" s="563"/>
      <c r="D89" s="1997"/>
      <c r="E89" s="1998"/>
      <c r="F89" s="965"/>
      <c r="G89" s="563"/>
      <c r="H89" s="563"/>
      <c r="I89" s="2000"/>
      <c r="J89" s="563"/>
      <c r="K89" s="384"/>
      <c r="L89" s="1901"/>
      <c r="M89" s="1823"/>
      <c r="N89" s="1823"/>
      <c r="O89" s="1999"/>
      <c r="P89" s="481"/>
      <c r="Q89" s="481"/>
      <c r="R89" s="482"/>
      <c r="S89" s="482"/>
      <c r="T89" s="482"/>
      <c r="U89" s="482"/>
      <c r="V89" s="384"/>
      <c r="W89" s="563"/>
      <c r="Y89" s="563"/>
      <c r="AA89" s="384"/>
      <c r="AB89" s="384"/>
      <c r="AC89" s="384"/>
      <c r="AD89" s="384"/>
      <c r="AE89" s="384"/>
      <c r="AF89" s="384"/>
      <c r="AG89" s="384"/>
      <c r="AH89" s="384"/>
      <c r="AI89" s="384"/>
      <c r="AJ89" s="384"/>
      <c r="AK89" s="384"/>
      <c r="AL89" s="384"/>
      <c r="AM89" s="384"/>
    </row>
    <row r="90" spans="1:39" ht="15.75" customHeight="1">
      <c r="A90" s="563"/>
      <c r="B90" s="384"/>
      <c r="C90" s="563"/>
      <c r="D90" s="1997"/>
      <c r="E90" s="1998"/>
      <c r="F90" s="1948"/>
      <c r="G90" s="563"/>
      <c r="H90" s="563"/>
      <c r="I90" s="2000"/>
      <c r="J90" s="563"/>
      <c r="K90" s="384"/>
      <c r="L90" s="1901"/>
      <c r="M90" s="1823"/>
      <c r="N90" s="1823"/>
      <c r="O90" s="1999"/>
      <c r="P90" s="481"/>
      <c r="Q90" s="481"/>
      <c r="R90" s="482"/>
      <c r="S90" s="482"/>
      <c r="T90" s="482"/>
      <c r="U90" s="482"/>
      <c r="V90" s="384"/>
      <c r="W90" s="563"/>
      <c r="Y90" s="563"/>
      <c r="AA90" s="384"/>
      <c r="AB90" s="384"/>
      <c r="AC90" s="384"/>
      <c r="AD90" s="384"/>
      <c r="AE90" s="384"/>
      <c r="AF90" s="384"/>
      <c r="AG90" s="384"/>
      <c r="AH90" s="384"/>
      <c r="AI90" s="384"/>
      <c r="AJ90" s="384"/>
      <c r="AK90" s="384"/>
      <c r="AL90" s="384"/>
      <c r="AM90" s="384"/>
    </row>
    <row r="91" spans="1:39" ht="15.75" customHeight="1">
      <c r="A91" s="563"/>
      <c r="B91" s="384"/>
      <c r="C91" s="563"/>
      <c r="D91" s="1997"/>
      <c r="E91" s="1998"/>
      <c r="F91" s="943"/>
      <c r="G91" s="563"/>
      <c r="H91" s="563"/>
      <c r="I91" s="2000"/>
      <c r="J91" s="563"/>
      <c r="K91" s="384"/>
      <c r="L91" s="1901"/>
      <c r="M91" s="1823"/>
      <c r="N91" s="1823"/>
      <c r="O91" s="1999"/>
      <c r="P91" s="481"/>
      <c r="Q91" s="481"/>
      <c r="R91" s="482"/>
      <c r="S91" s="482"/>
      <c r="T91" s="482"/>
      <c r="U91" s="482"/>
      <c r="V91" s="384"/>
      <c r="W91" s="563"/>
      <c r="Y91" s="563"/>
      <c r="AA91" s="384"/>
      <c r="AB91" s="384"/>
      <c r="AC91" s="384"/>
      <c r="AD91" s="384"/>
      <c r="AE91" s="384"/>
      <c r="AF91" s="384"/>
      <c r="AG91" s="384"/>
      <c r="AH91" s="384"/>
      <c r="AI91" s="384"/>
      <c r="AJ91" s="384"/>
      <c r="AK91" s="384"/>
      <c r="AL91" s="384"/>
      <c r="AM91" s="384"/>
    </row>
    <row r="92" spans="1:39" ht="15.75" customHeight="1">
      <c r="A92" s="563"/>
      <c r="B92" s="384"/>
      <c r="C92" s="563"/>
      <c r="D92" s="1997"/>
      <c r="E92" s="1998"/>
      <c r="F92" s="2001"/>
      <c r="G92" s="563"/>
      <c r="H92" s="563"/>
      <c r="I92" s="2000"/>
      <c r="J92" s="563"/>
      <c r="K92" s="384"/>
      <c r="L92" s="1901"/>
      <c r="M92" s="1823"/>
      <c r="N92" s="1823"/>
      <c r="O92" s="1999"/>
      <c r="P92" s="481"/>
      <c r="Q92" s="481"/>
      <c r="R92" s="482"/>
      <c r="S92" s="482"/>
      <c r="T92" s="482"/>
      <c r="U92" s="482"/>
      <c r="V92" s="384"/>
      <c r="W92" s="563"/>
      <c r="Y92" s="563"/>
      <c r="AA92" s="384"/>
      <c r="AB92" s="384"/>
      <c r="AC92" s="384"/>
      <c r="AD92" s="384"/>
      <c r="AE92" s="384"/>
      <c r="AF92" s="384"/>
      <c r="AG92" s="384"/>
      <c r="AH92" s="384"/>
      <c r="AI92" s="384"/>
      <c r="AJ92" s="384"/>
      <c r="AK92" s="384"/>
      <c r="AL92" s="384"/>
      <c r="AM92" s="384"/>
    </row>
    <row r="93" spans="1:39" ht="15.75" customHeight="1">
      <c r="A93" s="563"/>
      <c r="B93" s="384"/>
      <c r="C93" s="563"/>
      <c r="D93" s="1997"/>
      <c r="E93" s="1998"/>
      <c r="F93" s="137"/>
      <c r="G93" s="563"/>
      <c r="H93" s="563"/>
      <c r="I93" s="2000"/>
      <c r="J93" s="563"/>
      <c r="K93" s="384"/>
      <c r="L93" s="1901"/>
      <c r="M93" s="1823"/>
      <c r="N93" s="1823"/>
      <c r="O93" s="1999"/>
      <c r="P93" s="481"/>
      <c r="Q93" s="481"/>
      <c r="R93" s="482"/>
      <c r="S93" s="482"/>
      <c r="T93" s="482"/>
      <c r="U93" s="482"/>
      <c r="V93" s="384"/>
      <c r="W93" s="563"/>
      <c r="Y93" s="563"/>
      <c r="AA93" s="384"/>
      <c r="AB93" s="384"/>
      <c r="AC93" s="384"/>
      <c r="AD93" s="384"/>
      <c r="AE93" s="384"/>
      <c r="AF93" s="384"/>
      <c r="AG93" s="384"/>
      <c r="AH93" s="384"/>
      <c r="AI93" s="384"/>
      <c r="AJ93" s="384"/>
      <c r="AK93" s="384"/>
      <c r="AL93" s="384"/>
      <c r="AM93" s="384"/>
    </row>
    <row r="94" spans="1:39" ht="15.75" customHeight="1">
      <c r="A94" s="563"/>
      <c r="B94" s="384"/>
      <c r="C94" s="563"/>
      <c r="D94" s="1997"/>
      <c r="E94" s="1998"/>
      <c r="F94" s="1948"/>
      <c r="G94" s="563"/>
      <c r="H94" s="563"/>
      <c r="I94" s="2000"/>
      <c r="J94" s="563"/>
      <c r="K94" s="384"/>
      <c r="L94" s="1901"/>
      <c r="M94" s="1823"/>
      <c r="N94" s="1823"/>
      <c r="O94" s="1999"/>
      <c r="P94" s="481"/>
      <c r="Q94" s="481"/>
      <c r="R94" s="482"/>
      <c r="S94" s="482"/>
      <c r="T94" s="482"/>
      <c r="U94" s="482"/>
      <c r="V94" s="384"/>
      <c r="W94" s="563"/>
      <c r="Y94" s="563"/>
      <c r="AA94" s="384"/>
      <c r="AB94" s="384"/>
      <c r="AC94" s="384"/>
      <c r="AD94" s="384"/>
      <c r="AE94" s="384"/>
      <c r="AF94" s="384"/>
      <c r="AG94" s="384"/>
      <c r="AH94" s="384"/>
      <c r="AI94" s="384"/>
      <c r="AJ94" s="384"/>
      <c r="AK94" s="384"/>
      <c r="AL94" s="384"/>
      <c r="AM94" s="384"/>
    </row>
    <row r="95" spans="1:39" ht="15.75" customHeight="1">
      <c r="A95" s="563"/>
      <c r="B95" s="384"/>
      <c r="C95" s="563"/>
      <c r="D95" s="1997"/>
      <c r="E95" s="1998"/>
      <c r="F95" s="943"/>
      <c r="G95" s="563"/>
      <c r="H95" s="563"/>
      <c r="I95" s="2000"/>
      <c r="J95" s="563"/>
      <c r="K95" s="384"/>
      <c r="L95" s="1901"/>
      <c r="M95" s="1823"/>
      <c r="N95" s="1823"/>
      <c r="O95" s="1999"/>
      <c r="P95" s="481"/>
      <c r="Q95" s="481"/>
      <c r="R95" s="482"/>
      <c r="S95" s="482"/>
      <c r="T95" s="482"/>
      <c r="U95" s="482"/>
      <c r="V95" s="384"/>
      <c r="W95" s="563"/>
      <c r="Y95" s="563"/>
      <c r="AA95" s="384"/>
      <c r="AB95" s="384"/>
      <c r="AC95" s="384"/>
      <c r="AD95" s="384"/>
      <c r="AE95" s="384"/>
      <c r="AF95" s="384"/>
      <c r="AG95" s="384"/>
      <c r="AH95" s="384"/>
      <c r="AI95" s="384"/>
      <c r="AJ95" s="384"/>
      <c r="AK95" s="384"/>
      <c r="AL95" s="384"/>
      <c r="AM95" s="384"/>
    </row>
    <row r="96" spans="1:39" ht="15.75" customHeight="1">
      <c r="A96" s="563"/>
      <c r="B96" s="384"/>
      <c r="C96" s="563"/>
      <c r="D96" s="1997"/>
      <c r="E96" s="1998"/>
      <c r="F96" s="965"/>
      <c r="G96" s="563"/>
      <c r="H96" s="563"/>
      <c r="I96" s="2000"/>
      <c r="J96" s="563"/>
      <c r="K96" s="384"/>
      <c r="L96" s="1901"/>
      <c r="M96" s="1823"/>
      <c r="N96" s="1823"/>
      <c r="O96" s="1999"/>
      <c r="P96" s="481"/>
      <c r="Q96" s="481"/>
      <c r="R96" s="482"/>
      <c r="S96" s="482"/>
      <c r="T96" s="482"/>
      <c r="U96" s="482"/>
      <c r="V96" s="384"/>
      <c r="W96" s="563"/>
      <c r="Y96" s="563"/>
      <c r="AA96" s="384"/>
      <c r="AB96" s="384"/>
      <c r="AC96" s="384"/>
      <c r="AD96" s="384"/>
      <c r="AE96" s="384"/>
      <c r="AF96" s="384"/>
      <c r="AG96" s="384"/>
      <c r="AH96" s="384"/>
      <c r="AI96" s="384"/>
      <c r="AJ96" s="384"/>
      <c r="AK96" s="384"/>
      <c r="AL96" s="384"/>
      <c r="AM96" s="384"/>
    </row>
    <row r="97" spans="1:39" ht="15.75" customHeight="1">
      <c r="A97" s="563"/>
      <c r="B97" s="384"/>
      <c r="C97" s="563"/>
      <c r="D97" s="1997"/>
      <c r="E97" s="1998"/>
      <c r="F97" s="965"/>
      <c r="G97" s="563"/>
      <c r="H97" s="563"/>
      <c r="I97" s="2000"/>
      <c r="J97" s="563"/>
      <c r="K97" s="384"/>
      <c r="L97" s="1901"/>
      <c r="M97" s="1823"/>
      <c r="N97" s="1823"/>
      <c r="O97" s="1999"/>
      <c r="P97" s="481"/>
      <c r="Q97" s="481"/>
      <c r="R97" s="482"/>
      <c r="S97" s="482"/>
      <c r="T97" s="482"/>
      <c r="U97" s="482"/>
      <c r="V97" s="384"/>
      <c r="W97" s="563"/>
      <c r="Y97" s="563"/>
      <c r="AA97" s="384"/>
      <c r="AB97" s="384"/>
      <c r="AC97" s="384"/>
      <c r="AD97" s="384"/>
      <c r="AE97" s="384"/>
      <c r="AF97" s="384"/>
      <c r="AG97" s="384"/>
      <c r="AH97" s="384"/>
      <c r="AI97" s="384"/>
      <c r="AJ97" s="384"/>
      <c r="AK97" s="384"/>
      <c r="AL97" s="384"/>
      <c r="AM97" s="384"/>
    </row>
    <row r="98" spans="1:39" ht="15.75" customHeight="1">
      <c r="A98" s="563"/>
      <c r="B98" s="384"/>
      <c r="C98" s="563"/>
      <c r="D98" s="1997"/>
      <c r="E98" s="1998"/>
      <c r="F98" s="624"/>
      <c r="G98" s="563"/>
      <c r="H98" s="563"/>
      <c r="I98" s="2000"/>
      <c r="J98" s="563"/>
      <c r="K98" s="384"/>
      <c r="L98" s="1901"/>
      <c r="M98" s="1823"/>
      <c r="N98" s="1823"/>
      <c r="O98" s="1999"/>
      <c r="P98" s="481"/>
      <c r="Q98" s="481"/>
      <c r="R98" s="482"/>
      <c r="S98" s="482"/>
      <c r="T98" s="482"/>
      <c r="U98" s="482"/>
      <c r="V98" s="384"/>
      <c r="W98" s="563"/>
      <c r="Y98" s="563"/>
      <c r="AA98" s="384"/>
      <c r="AB98" s="384"/>
      <c r="AC98" s="384"/>
      <c r="AD98" s="384"/>
      <c r="AE98" s="384"/>
      <c r="AF98" s="384"/>
      <c r="AG98" s="384"/>
      <c r="AH98" s="384"/>
      <c r="AI98" s="384"/>
      <c r="AJ98" s="384"/>
      <c r="AK98" s="384"/>
      <c r="AL98" s="384"/>
      <c r="AM98" s="384"/>
    </row>
    <row r="99" spans="1:39" ht="15.75" customHeight="1">
      <c r="A99" s="563"/>
      <c r="B99" s="384"/>
      <c r="C99" s="563"/>
      <c r="D99" s="1997"/>
      <c r="E99" s="1998"/>
      <c r="F99" s="965"/>
      <c r="G99" s="563"/>
      <c r="H99" s="563"/>
      <c r="I99" s="2000"/>
      <c r="J99" s="563"/>
      <c r="K99" s="384"/>
      <c r="L99" s="1901"/>
      <c r="M99" s="1823"/>
      <c r="N99" s="1823"/>
      <c r="O99" s="1999"/>
      <c r="P99" s="481"/>
      <c r="Q99" s="481"/>
      <c r="R99" s="482"/>
      <c r="S99" s="482"/>
      <c r="T99" s="482"/>
      <c r="U99" s="482"/>
      <c r="V99" s="384"/>
      <c r="W99" s="563"/>
      <c r="Y99" s="563"/>
      <c r="AA99" s="384"/>
      <c r="AB99" s="384"/>
      <c r="AC99" s="384"/>
      <c r="AD99" s="384"/>
      <c r="AE99" s="384"/>
      <c r="AF99" s="384"/>
      <c r="AG99" s="384"/>
      <c r="AH99" s="384"/>
      <c r="AI99" s="384"/>
      <c r="AJ99" s="384"/>
      <c r="AK99" s="384"/>
      <c r="AL99" s="384"/>
      <c r="AM99" s="384"/>
    </row>
    <row r="100" spans="1:39" ht="15.75" customHeight="1">
      <c r="A100" s="563"/>
      <c r="B100" s="384"/>
      <c r="C100" s="563"/>
      <c r="D100" s="1997"/>
      <c r="E100" s="1998"/>
      <c r="F100" s="137"/>
      <c r="G100" s="563"/>
      <c r="H100" s="563"/>
      <c r="I100" s="2000"/>
      <c r="J100" s="563"/>
      <c r="K100" s="384"/>
      <c r="L100" s="1901"/>
      <c r="M100" s="1823"/>
      <c r="N100" s="1823"/>
      <c r="O100" s="1999"/>
      <c r="P100" s="481"/>
      <c r="Q100" s="481"/>
      <c r="R100" s="482"/>
      <c r="S100" s="482"/>
      <c r="T100" s="482"/>
      <c r="U100" s="482"/>
      <c r="V100" s="384"/>
      <c r="W100" s="563"/>
      <c r="Y100" s="563"/>
      <c r="AA100" s="384"/>
      <c r="AB100" s="384"/>
      <c r="AC100" s="384"/>
      <c r="AD100" s="384"/>
      <c r="AE100" s="384"/>
      <c r="AF100" s="384"/>
      <c r="AG100" s="384"/>
      <c r="AH100" s="384"/>
      <c r="AI100" s="384"/>
      <c r="AJ100" s="384"/>
      <c r="AK100" s="384"/>
      <c r="AL100" s="384"/>
      <c r="AM100" s="384"/>
    </row>
    <row r="101" spans="1:39" ht="15.75" customHeight="1">
      <c r="A101" s="563"/>
      <c r="B101" s="384"/>
      <c r="C101" s="563"/>
      <c r="D101" s="1997"/>
      <c r="E101" s="1998"/>
      <c r="F101" s="965"/>
      <c r="G101" s="563"/>
      <c r="H101" s="563"/>
      <c r="I101" s="2000"/>
      <c r="J101" s="563"/>
      <c r="K101" s="384"/>
      <c r="L101" s="1901"/>
      <c r="M101" s="1823"/>
      <c r="N101" s="1823"/>
      <c r="O101" s="1999"/>
      <c r="P101" s="481"/>
      <c r="Q101" s="481"/>
      <c r="R101" s="482"/>
      <c r="S101" s="482"/>
      <c r="T101" s="482"/>
      <c r="U101" s="482"/>
      <c r="V101" s="384"/>
      <c r="W101" s="563"/>
      <c r="Y101" s="563"/>
      <c r="AA101" s="384"/>
      <c r="AB101" s="384"/>
      <c r="AC101" s="384"/>
      <c r="AD101" s="384"/>
      <c r="AE101" s="384"/>
      <c r="AF101" s="384"/>
      <c r="AG101" s="384"/>
      <c r="AH101" s="384"/>
      <c r="AI101" s="384"/>
      <c r="AJ101" s="384"/>
      <c r="AK101" s="384"/>
      <c r="AL101" s="384"/>
      <c r="AM101" s="384"/>
    </row>
    <row r="102" spans="1:39" ht="15.75" customHeight="1">
      <c r="A102" s="563"/>
      <c r="B102" s="384"/>
      <c r="C102" s="563"/>
      <c r="D102" s="1997"/>
      <c r="E102" s="1998"/>
      <c r="F102" s="965"/>
      <c r="G102" s="563"/>
      <c r="H102" s="563"/>
      <c r="I102" s="2000"/>
      <c r="J102" s="563"/>
      <c r="K102" s="384"/>
      <c r="L102" s="1901"/>
      <c r="M102" s="1823"/>
      <c r="N102" s="1823"/>
      <c r="O102" s="1999"/>
      <c r="P102" s="481"/>
      <c r="Q102" s="481"/>
      <c r="R102" s="482"/>
      <c r="S102" s="482"/>
      <c r="T102" s="482"/>
      <c r="U102" s="482"/>
      <c r="V102" s="384"/>
      <c r="W102" s="563"/>
      <c r="Y102" s="563"/>
      <c r="AA102" s="384"/>
      <c r="AB102" s="384"/>
      <c r="AC102" s="384"/>
      <c r="AD102" s="384"/>
      <c r="AE102" s="384"/>
      <c r="AF102" s="384"/>
      <c r="AG102" s="384"/>
      <c r="AH102" s="384"/>
      <c r="AI102" s="384"/>
      <c r="AJ102" s="384"/>
      <c r="AK102" s="384"/>
      <c r="AL102" s="384"/>
      <c r="AM102" s="384"/>
    </row>
    <row r="103" spans="1:39" ht="15.75" customHeight="1">
      <c r="A103" s="563"/>
      <c r="B103" s="384"/>
      <c r="C103" s="563"/>
      <c r="D103" s="1997"/>
      <c r="E103" s="1998"/>
      <c r="F103" s="965"/>
      <c r="G103" s="563"/>
      <c r="H103" s="563"/>
      <c r="I103" s="2000"/>
      <c r="J103" s="563"/>
      <c r="K103" s="384"/>
      <c r="L103" s="1901"/>
      <c r="M103" s="1823"/>
      <c r="N103" s="1823"/>
      <c r="O103" s="1999"/>
      <c r="P103" s="481"/>
      <c r="Q103" s="481"/>
      <c r="R103" s="482"/>
      <c r="S103" s="482"/>
      <c r="T103" s="482"/>
      <c r="U103" s="482"/>
      <c r="V103" s="384"/>
      <c r="W103" s="563"/>
      <c r="Y103" s="563"/>
      <c r="AA103" s="384"/>
      <c r="AB103" s="384"/>
      <c r="AC103" s="384"/>
      <c r="AD103" s="384"/>
      <c r="AE103" s="384"/>
      <c r="AF103" s="384"/>
      <c r="AG103" s="384"/>
      <c r="AH103" s="384"/>
      <c r="AI103" s="384"/>
      <c r="AJ103" s="384"/>
      <c r="AK103" s="384"/>
      <c r="AL103" s="384"/>
      <c r="AM103" s="384"/>
    </row>
    <row r="104" spans="1:39" ht="15.75" customHeight="1">
      <c r="A104" s="563"/>
      <c r="B104" s="384"/>
      <c r="C104" s="563"/>
      <c r="D104" s="1997"/>
      <c r="E104" s="1998"/>
      <c r="F104" s="943"/>
      <c r="G104" s="563"/>
      <c r="H104" s="563"/>
      <c r="I104" s="2000"/>
      <c r="J104" s="563"/>
      <c r="K104" s="384"/>
      <c r="L104" s="1901"/>
      <c r="M104" s="1823"/>
      <c r="N104" s="1823"/>
      <c r="O104" s="1999"/>
      <c r="P104" s="481"/>
      <c r="Q104" s="481"/>
      <c r="R104" s="482"/>
      <c r="S104" s="482"/>
      <c r="T104" s="482"/>
      <c r="U104" s="482"/>
      <c r="V104" s="384"/>
      <c r="W104" s="563"/>
      <c r="Y104" s="563"/>
      <c r="AA104" s="384"/>
      <c r="AB104" s="384"/>
      <c r="AC104" s="384"/>
      <c r="AD104" s="384"/>
      <c r="AE104" s="384"/>
      <c r="AF104" s="384"/>
      <c r="AG104" s="384"/>
      <c r="AH104" s="384"/>
      <c r="AI104" s="384"/>
      <c r="AJ104" s="384"/>
      <c r="AK104" s="384"/>
      <c r="AL104" s="384"/>
      <c r="AM104" s="384"/>
    </row>
    <row r="105" spans="1:39" ht="15.75" customHeight="1">
      <c r="A105" s="563"/>
      <c r="B105" s="384"/>
      <c r="C105" s="563"/>
      <c r="D105" s="1997"/>
      <c r="E105" s="1998"/>
      <c r="F105" s="137"/>
      <c r="G105" s="563"/>
      <c r="H105" s="563"/>
      <c r="I105" s="2000"/>
      <c r="J105" s="563"/>
      <c r="K105" s="384"/>
      <c r="L105" s="1901"/>
      <c r="M105" s="1823"/>
      <c r="N105" s="1823"/>
      <c r="O105" s="1999"/>
      <c r="P105" s="481"/>
      <c r="Q105" s="481"/>
      <c r="R105" s="482"/>
      <c r="S105" s="482"/>
      <c r="T105" s="482"/>
      <c r="U105" s="482"/>
      <c r="V105" s="384"/>
      <c r="W105" s="563"/>
      <c r="Y105" s="563"/>
      <c r="AA105" s="384"/>
      <c r="AB105" s="384"/>
      <c r="AC105" s="384"/>
      <c r="AD105" s="384"/>
      <c r="AE105" s="384"/>
      <c r="AF105" s="384"/>
      <c r="AG105" s="384"/>
      <c r="AH105" s="384"/>
      <c r="AI105" s="384"/>
      <c r="AJ105" s="384"/>
      <c r="AK105" s="384"/>
      <c r="AL105" s="384"/>
      <c r="AM105" s="384"/>
    </row>
    <row r="106" spans="1:39" ht="15.75" customHeight="1">
      <c r="A106" s="563"/>
      <c r="B106" s="384"/>
      <c r="C106" s="563"/>
      <c r="D106" s="1997"/>
      <c r="E106" s="1998"/>
      <c r="F106" s="943"/>
      <c r="G106" s="563"/>
      <c r="H106" s="563"/>
      <c r="I106" s="2000"/>
      <c r="J106" s="563"/>
      <c r="K106" s="384"/>
      <c r="L106" s="1901"/>
      <c r="M106" s="1823"/>
      <c r="N106" s="1823"/>
      <c r="O106" s="1999"/>
      <c r="P106" s="481"/>
      <c r="Q106" s="481"/>
      <c r="R106" s="482"/>
      <c r="S106" s="482"/>
      <c r="T106" s="482"/>
      <c r="U106" s="482"/>
      <c r="V106" s="384"/>
      <c r="W106" s="563"/>
      <c r="Y106" s="563"/>
      <c r="AA106" s="384"/>
      <c r="AB106" s="384"/>
      <c r="AC106" s="384"/>
      <c r="AD106" s="384"/>
      <c r="AE106" s="384"/>
      <c r="AF106" s="384"/>
      <c r="AG106" s="384"/>
      <c r="AH106" s="384"/>
      <c r="AI106" s="384"/>
      <c r="AJ106" s="384"/>
      <c r="AK106" s="384"/>
      <c r="AL106" s="384"/>
      <c r="AM106" s="384"/>
    </row>
    <row r="107" spans="1:39" ht="15.75" customHeight="1">
      <c r="A107" s="563"/>
      <c r="B107" s="384"/>
      <c r="C107" s="563"/>
      <c r="D107" s="1997"/>
      <c r="E107" s="1998"/>
      <c r="F107" s="137"/>
      <c r="G107" s="563"/>
      <c r="H107" s="563"/>
      <c r="I107" s="2000"/>
      <c r="J107" s="563"/>
      <c r="K107" s="384"/>
      <c r="L107" s="1901"/>
      <c r="M107" s="1823"/>
      <c r="N107" s="1823"/>
      <c r="O107" s="1999"/>
      <c r="P107" s="481"/>
      <c r="Q107" s="481"/>
      <c r="R107" s="482"/>
      <c r="S107" s="482"/>
      <c r="T107" s="482"/>
      <c r="U107" s="482"/>
      <c r="V107" s="384"/>
      <c r="W107" s="563"/>
      <c r="Y107" s="563"/>
      <c r="AA107" s="384"/>
      <c r="AB107" s="384"/>
      <c r="AC107" s="384"/>
      <c r="AD107" s="384"/>
      <c r="AE107" s="384"/>
      <c r="AF107" s="384"/>
      <c r="AG107" s="384"/>
      <c r="AH107" s="384"/>
      <c r="AI107" s="384"/>
      <c r="AJ107" s="384"/>
      <c r="AK107" s="384"/>
      <c r="AL107" s="384"/>
      <c r="AM107" s="384"/>
    </row>
    <row r="108" spans="1:39" ht="15.75" customHeight="1">
      <c r="A108" s="563"/>
      <c r="B108" s="384"/>
      <c r="C108" s="563"/>
      <c r="D108" s="1997"/>
      <c r="E108" s="1998"/>
      <c r="F108" s="137"/>
      <c r="G108" s="563"/>
      <c r="H108" s="563"/>
      <c r="I108" s="2000"/>
      <c r="J108" s="563"/>
      <c r="K108" s="384"/>
      <c r="L108" s="1901"/>
      <c r="M108" s="1823"/>
      <c r="N108" s="1823"/>
      <c r="O108" s="1999"/>
      <c r="P108" s="481"/>
      <c r="Q108" s="481"/>
      <c r="R108" s="482"/>
      <c r="S108" s="482"/>
      <c r="T108" s="482"/>
      <c r="U108" s="482"/>
      <c r="V108" s="384"/>
      <c r="W108" s="563"/>
      <c r="Y108" s="563"/>
      <c r="AA108" s="384"/>
      <c r="AB108" s="384"/>
      <c r="AC108" s="384"/>
      <c r="AD108" s="384"/>
      <c r="AE108" s="384"/>
      <c r="AF108" s="384"/>
      <c r="AG108" s="384"/>
      <c r="AH108" s="384"/>
      <c r="AI108" s="384"/>
      <c r="AJ108" s="384"/>
      <c r="AK108" s="384"/>
      <c r="AL108" s="384"/>
      <c r="AM108" s="384"/>
    </row>
    <row r="109" spans="1:39" ht="15.75" customHeight="1">
      <c r="A109" s="563"/>
      <c r="B109" s="384"/>
      <c r="C109" s="563"/>
      <c r="D109" s="1997"/>
      <c r="E109" s="1998"/>
      <c r="F109" s="965"/>
      <c r="G109" s="563"/>
      <c r="H109" s="563"/>
      <c r="I109" s="2000"/>
      <c r="J109" s="563"/>
      <c r="K109" s="384"/>
      <c r="L109" s="1901"/>
      <c r="M109" s="1823"/>
      <c r="N109" s="1823"/>
      <c r="O109" s="1999"/>
      <c r="P109" s="481"/>
      <c r="Q109" s="481"/>
      <c r="R109" s="482"/>
      <c r="S109" s="482"/>
      <c r="T109" s="482"/>
      <c r="U109" s="482"/>
      <c r="V109" s="384"/>
      <c r="W109" s="563"/>
      <c r="Y109" s="563"/>
      <c r="AA109" s="384"/>
      <c r="AB109" s="384"/>
      <c r="AC109" s="384"/>
      <c r="AD109" s="384"/>
      <c r="AE109" s="384"/>
      <c r="AF109" s="384"/>
      <c r="AG109" s="384"/>
      <c r="AH109" s="384"/>
      <c r="AI109" s="384"/>
      <c r="AJ109" s="384"/>
      <c r="AK109" s="384"/>
      <c r="AL109" s="384"/>
      <c r="AM109" s="384"/>
    </row>
    <row r="110" spans="1:39" ht="15.75" customHeight="1">
      <c r="A110" s="563"/>
      <c r="B110" s="384"/>
      <c r="C110" s="563"/>
      <c r="D110" s="1997"/>
      <c r="E110" s="1998"/>
      <c r="F110" s="965"/>
      <c r="G110" s="563"/>
      <c r="H110" s="563"/>
      <c r="I110" s="2000"/>
      <c r="J110" s="563"/>
      <c r="K110" s="384"/>
      <c r="L110" s="1901"/>
      <c r="M110" s="1823"/>
      <c r="N110" s="1823"/>
      <c r="O110" s="1999"/>
      <c r="P110" s="481"/>
      <c r="Q110" s="481"/>
      <c r="R110" s="482"/>
      <c r="S110" s="482"/>
      <c r="T110" s="482"/>
      <c r="U110" s="482"/>
      <c r="V110" s="384"/>
      <c r="W110" s="563"/>
      <c r="Y110" s="563"/>
      <c r="AA110" s="384"/>
      <c r="AB110" s="384"/>
      <c r="AC110" s="384"/>
      <c r="AD110" s="384"/>
      <c r="AE110" s="384"/>
      <c r="AF110" s="384"/>
      <c r="AG110" s="384"/>
      <c r="AH110" s="384"/>
      <c r="AI110" s="384"/>
      <c r="AJ110" s="384"/>
      <c r="AK110" s="384"/>
      <c r="AL110" s="384"/>
      <c r="AM110" s="384"/>
    </row>
    <row r="111" spans="1:39" ht="15.75" customHeight="1">
      <c r="A111" s="563"/>
      <c r="B111" s="384"/>
      <c r="C111" s="563"/>
      <c r="D111" s="1997"/>
      <c r="E111" s="1998"/>
      <c r="F111" s="197"/>
      <c r="G111" s="563"/>
      <c r="H111" s="563"/>
      <c r="I111" s="2000"/>
      <c r="J111" s="563"/>
      <c r="K111" s="384"/>
      <c r="L111" s="1901"/>
      <c r="M111" s="1823"/>
      <c r="N111" s="1823"/>
      <c r="O111" s="1999"/>
      <c r="P111" s="481"/>
      <c r="Q111" s="481"/>
      <c r="R111" s="482"/>
      <c r="S111" s="482"/>
      <c r="T111" s="482"/>
      <c r="U111" s="482"/>
      <c r="V111" s="384"/>
      <c r="W111" s="563"/>
      <c r="Y111" s="563"/>
      <c r="AA111" s="384"/>
      <c r="AB111" s="384"/>
      <c r="AC111" s="384"/>
      <c r="AD111" s="384"/>
      <c r="AE111" s="384"/>
      <c r="AF111" s="384"/>
      <c r="AG111" s="384"/>
      <c r="AH111" s="384"/>
      <c r="AI111" s="384"/>
      <c r="AJ111" s="384"/>
      <c r="AK111" s="384"/>
      <c r="AL111" s="384"/>
      <c r="AM111" s="384"/>
    </row>
    <row r="112" spans="1:39" ht="15.75" customHeight="1">
      <c r="A112" s="563"/>
      <c r="B112" s="384"/>
      <c r="C112" s="563"/>
      <c r="D112" s="1997"/>
      <c r="E112" s="1998"/>
      <c r="F112" s="18"/>
      <c r="G112" s="563"/>
      <c r="H112" s="563"/>
      <c r="I112" s="2000"/>
      <c r="J112" s="563"/>
      <c r="K112" s="384"/>
      <c r="L112" s="1901"/>
      <c r="M112" s="1823"/>
      <c r="N112" s="1823"/>
      <c r="O112" s="1999"/>
      <c r="P112" s="481"/>
      <c r="Q112" s="481"/>
      <c r="R112" s="482"/>
      <c r="S112" s="482"/>
      <c r="T112" s="482"/>
      <c r="U112" s="482"/>
      <c r="V112" s="384"/>
      <c r="W112" s="563"/>
      <c r="Y112" s="563"/>
      <c r="AA112" s="384"/>
      <c r="AB112" s="384"/>
      <c r="AC112" s="384"/>
      <c r="AD112" s="384"/>
      <c r="AE112" s="384"/>
      <c r="AF112" s="384"/>
      <c r="AG112" s="384"/>
      <c r="AH112" s="384"/>
      <c r="AI112" s="384"/>
      <c r="AJ112" s="384"/>
      <c r="AK112" s="384"/>
      <c r="AL112" s="384"/>
      <c r="AM112" s="384"/>
    </row>
    <row r="113" spans="1:39" ht="15.75" customHeight="1">
      <c r="A113" s="563"/>
      <c r="B113" s="384"/>
      <c r="C113" s="563"/>
      <c r="D113" s="1997"/>
      <c r="E113" s="1998"/>
      <c r="F113" s="965"/>
      <c r="G113" s="563"/>
      <c r="H113" s="563"/>
      <c r="I113" s="2000"/>
      <c r="J113" s="563"/>
      <c r="K113" s="384"/>
      <c r="L113" s="1901"/>
      <c r="M113" s="1823"/>
      <c r="N113" s="1823"/>
      <c r="O113" s="1999"/>
      <c r="P113" s="481"/>
      <c r="Q113" s="481"/>
      <c r="R113" s="482"/>
      <c r="S113" s="482"/>
      <c r="T113" s="482"/>
      <c r="U113" s="482"/>
      <c r="V113" s="384"/>
      <c r="W113" s="563"/>
      <c r="Y113" s="563"/>
      <c r="AA113" s="384"/>
      <c r="AB113" s="384"/>
      <c r="AC113" s="384"/>
      <c r="AD113" s="384"/>
      <c r="AE113" s="384"/>
      <c r="AF113" s="384"/>
      <c r="AG113" s="384"/>
      <c r="AH113" s="384"/>
      <c r="AI113" s="384"/>
      <c r="AJ113" s="384"/>
      <c r="AK113" s="384"/>
      <c r="AL113" s="384"/>
      <c r="AM113" s="384"/>
    </row>
    <row r="114" spans="1:39" ht="15.75" customHeight="1">
      <c r="A114" s="563"/>
      <c r="B114" s="384"/>
      <c r="C114" s="563"/>
      <c r="D114" s="1997"/>
      <c r="E114" s="1998"/>
      <c r="F114" s="965"/>
      <c r="G114" s="563"/>
      <c r="H114" s="563"/>
      <c r="I114" s="2000"/>
      <c r="J114" s="563"/>
      <c r="K114" s="384"/>
      <c r="L114" s="1901"/>
      <c r="M114" s="1823"/>
      <c r="N114" s="1823"/>
      <c r="O114" s="1999"/>
      <c r="P114" s="481"/>
      <c r="Q114" s="481"/>
      <c r="R114" s="482"/>
      <c r="S114" s="482"/>
      <c r="T114" s="482"/>
      <c r="U114" s="482"/>
      <c r="V114" s="384"/>
      <c r="W114" s="563"/>
      <c r="Y114" s="563"/>
      <c r="AA114" s="384"/>
      <c r="AB114" s="384"/>
      <c r="AC114" s="384"/>
      <c r="AD114" s="384"/>
      <c r="AE114" s="384"/>
      <c r="AF114" s="384"/>
      <c r="AG114" s="384"/>
      <c r="AH114" s="384"/>
      <c r="AI114" s="384"/>
      <c r="AJ114" s="384"/>
      <c r="AK114" s="384"/>
      <c r="AL114" s="384"/>
      <c r="AM114" s="384"/>
    </row>
    <row r="115" spans="1:39" ht="15.75" customHeight="1">
      <c r="A115" s="563"/>
      <c r="B115" s="384"/>
      <c r="C115" s="563"/>
      <c r="D115" s="1997"/>
      <c r="E115" s="1998"/>
      <c r="F115" s="137"/>
      <c r="G115" s="563"/>
      <c r="H115" s="563"/>
      <c r="I115" s="2000"/>
      <c r="J115" s="563"/>
      <c r="K115" s="384"/>
      <c r="L115" s="1901"/>
      <c r="M115" s="1823"/>
      <c r="N115" s="1823"/>
      <c r="O115" s="1999"/>
      <c r="P115" s="481"/>
      <c r="Q115" s="481"/>
      <c r="R115" s="482"/>
      <c r="S115" s="482"/>
      <c r="T115" s="482"/>
      <c r="U115" s="482"/>
      <c r="V115" s="384"/>
      <c r="W115" s="563"/>
      <c r="Y115" s="563"/>
      <c r="AA115" s="384"/>
      <c r="AB115" s="384"/>
      <c r="AC115" s="384"/>
      <c r="AD115" s="384"/>
      <c r="AE115" s="384"/>
      <c r="AF115" s="384"/>
      <c r="AG115" s="384"/>
      <c r="AH115" s="384"/>
      <c r="AI115" s="384"/>
      <c r="AJ115" s="384"/>
      <c r="AK115" s="384"/>
      <c r="AL115" s="384"/>
      <c r="AM115" s="384"/>
    </row>
    <row r="116" spans="1:39" ht="15.75" customHeight="1">
      <c r="A116" s="563"/>
      <c r="B116" s="384"/>
      <c r="C116" s="563"/>
      <c r="D116" s="1997"/>
      <c r="E116" s="1998"/>
      <c r="F116" s="137"/>
      <c r="G116" s="563"/>
      <c r="H116" s="563"/>
      <c r="I116" s="2000"/>
      <c r="J116" s="563"/>
      <c r="K116" s="384"/>
      <c r="L116" s="1901"/>
      <c r="M116" s="1823"/>
      <c r="N116" s="1823"/>
      <c r="O116" s="1999"/>
      <c r="P116" s="481"/>
      <c r="Q116" s="481"/>
      <c r="R116" s="482"/>
      <c r="S116" s="482"/>
      <c r="T116" s="482"/>
      <c r="U116" s="482"/>
      <c r="V116" s="384"/>
      <c r="W116" s="563"/>
      <c r="Y116" s="563"/>
      <c r="AA116" s="384"/>
      <c r="AB116" s="384"/>
      <c r="AC116" s="384"/>
      <c r="AD116" s="384"/>
      <c r="AE116" s="384"/>
      <c r="AF116" s="384"/>
      <c r="AG116" s="384"/>
      <c r="AH116" s="384"/>
      <c r="AI116" s="384"/>
      <c r="AJ116" s="384"/>
      <c r="AK116" s="384"/>
      <c r="AL116" s="384"/>
      <c r="AM116" s="384"/>
    </row>
    <row r="117" spans="1:39" ht="15.75" customHeight="1">
      <c r="A117" s="563"/>
      <c r="B117" s="384"/>
      <c r="C117" s="563"/>
      <c r="D117" s="1997"/>
      <c r="E117" s="1998"/>
      <c r="F117" s="137"/>
      <c r="G117" s="563"/>
      <c r="H117" s="563"/>
      <c r="I117" s="2000"/>
      <c r="J117" s="563"/>
      <c r="K117" s="384"/>
      <c r="L117" s="1901"/>
      <c r="M117" s="1823"/>
      <c r="N117" s="1823"/>
      <c r="O117" s="1999"/>
      <c r="P117" s="481"/>
      <c r="Q117" s="481"/>
      <c r="R117" s="482"/>
      <c r="S117" s="482"/>
      <c r="T117" s="482"/>
      <c r="U117" s="482"/>
      <c r="V117" s="384"/>
      <c r="W117" s="563"/>
      <c r="Y117" s="563"/>
      <c r="AA117" s="384"/>
      <c r="AB117" s="384"/>
      <c r="AC117" s="384"/>
      <c r="AD117" s="384"/>
      <c r="AE117" s="384"/>
      <c r="AF117" s="384"/>
      <c r="AG117" s="384"/>
      <c r="AH117" s="384"/>
      <c r="AI117" s="384"/>
      <c r="AJ117" s="384"/>
      <c r="AK117" s="384"/>
      <c r="AL117" s="384"/>
      <c r="AM117" s="384"/>
    </row>
    <row r="118" spans="1:39" ht="15.75" customHeight="1">
      <c r="A118" s="563"/>
      <c r="B118" s="384"/>
      <c r="C118" s="563"/>
      <c r="D118" s="1997"/>
      <c r="E118" s="1998"/>
      <c r="F118" s="965"/>
      <c r="G118" s="563"/>
      <c r="H118" s="563"/>
      <c r="I118" s="2000"/>
      <c r="J118" s="563"/>
      <c r="K118" s="384"/>
      <c r="L118" s="1901"/>
      <c r="M118" s="1823"/>
      <c r="N118" s="1823"/>
      <c r="O118" s="1999"/>
      <c r="P118" s="481"/>
      <c r="Q118" s="481"/>
      <c r="R118" s="482"/>
      <c r="S118" s="482"/>
      <c r="T118" s="482"/>
      <c r="U118" s="482"/>
      <c r="V118" s="384"/>
      <c r="W118" s="563"/>
      <c r="Y118" s="563"/>
      <c r="AA118" s="384"/>
      <c r="AB118" s="384"/>
      <c r="AC118" s="384"/>
      <c r="AD118" s="384"/>
      <c r="AE118" s="384"/>
      <c r="AF118" s="384"/>
      <c r="AG118" s="384"/>
      <c r="AH118" s="384"/>
      <c r="AI118" s="384"/>
      <c r="AJ118" s="384"/>
      <c r="AK118" s="384"/>
      <c r="AL118" s="384"/>
      <c r="AM118" s="384"/>
    </row>
    <row r="119" spans="1:39" ht="15.75" customHeight="1">
      <c r="A119" s="563"/>
      <c r="B119" s="384"/>
      <c r="C119" s="563"/>
      <c r="D119" s="1997"/>
      <c r="E119" s="1998"/>
      <c r="F119" s="965"/>
      <c r="G119" s="563"/>
      <c r="H119" s="563"/>
      <c r="I119" s="2000"/>
      <c r="J119" s="563"/>
      <c r="K119" s="384"/>
      <c r="L119" s="1901"/>
      <c r="M119" s="1823"/>
      <c r="N119" s="1823"/>
      <c r="O119" s="1999"/>
      <c r="P119" s="481"/>
      <c r="Q119" s="481"/>
      <c r="R119" s="482"/>
      <c r="S119" s="482"/>
      <c r="T119" s="482"/>
      <c r="U119" s="482"/>
      <c r="V119" s="384"/>
      <c r="W119" s="563"/>
      <c r="Y119" s="563"/>
      <c r="AA119" s="384"/>
      <c r="AB119" s="384"/>
      <c r="AC119" s="384"/>
      <c r="AD119" s="384"/>
      <c r="AE119" s="384"/>
      <c r="AF119" s="384"/>
      <c r="AG119" s="384"/>
      <c r="AH119" s="384"/>
      <c r="AI119" s="384"/>
      <c r="AJ119" s="384"/>
      <c r="AK119" s="384"/>
      <c r="AL119" s="384"/>
      <c r="AM119" s="384"/>
    </row>
    <row r="120" spans="1:39" ht="15.75" customHeight="1">
      <c r="A120" s="563"/>
      <c r="B120" s="384"/>
      <c r="C120" s="563"/>
      <c r="D120" s="1997"/>
      <c r="E120" s="1998"/>
      <c r="F120" s="137"/>
      <c r="G120" s="563"/>
      <c r="H120" s="563"/>
      <c r="I120" s="2000"/>
      <c r="J120" s="563"/>
      <c r="K120" s="384"/>
      <c r="L120" s="1901"/>
      <c r="M120" s="1823"/>
      <c r="N120" s="1823"/>
      <c r="O120" s="1999"/>
      <c r="P120" s="481"/>
      <c r="Q120" s="481"/>
      <c r="R120" s="482"/>
      <c r="S120" s="482"/>
      <c r="T120" s="482"/>
      <c r="U120" s="482"/>
      <c r="V120" s="384"/>
      <c r="W120" s="563"/>
      <c r="Y120" s="563"/>
      <c r="AA120" s="384"/>
      <c r="AB120" s="384"/>
      <c r="AC120" s="384"/>
      <c r="AD120" s="384"/>
      <c r="AE120" s="384"/>
      <c r="AF120" s="384"/>
      <c r="AG120" s="384"/>
      <c r="AH120" s="384"/>
      <c r="AI120" s="384"/>
      <c r="AJ120" s="384"/>
      <c r="AK120" s="384"/>
      <c r="AL120" s="384"/>
      <c r="AM120" s="384"/>
    </row>
    <row r="121" spans="1:39" ht="15.75" customHeight="1">
      <c r="A121" s="563"/>
      <c r="B121" s="384"/>
      <c r="C121" s="563"/>
      <c r="D121" s="1997"/>
      <c r="E121" s="1998"/>
      <c r="F121" s="965"/>
      <c r="G121" s="563"/>
      <c r="H121" s="563"/>
      <c r="I121" s="2000"/>
      <c r="J121" s="563"/>
      <c r="K121" s="384"/>
      <c r="L121" s="1901"/>
      <c r="M121" s="1823"/>
      <c r="N121" s="1823"/>
      <c r="O121" s="1999"/>
      <c r="P121" s="481"/>
      <c r="Q121" s="481"/>
      <c r="R121" s="482"/>
      <c r="S121" s="482"/>
      <c r="T121" s="482"/>
      <c r="U121" s="482"/>
      <c r="V121" s="384"/>
      <c r="W121" s="563"/>
      <c r="Y121" s="563"/>
      <c r="AA121" s="384"/>
      <c r="AB121" s="384"/>
      <c r="AC121" s="384"/>
      <c r="AD121" s="384"/>
      <c r="AE121" s="384"/>
      <c r="AF121" s="384"/>
      <c r="AG121" s="384"/>
      <c r="AH121" s="384"/>
      <c r="AI121" s="384"/>
      <c r="AJ121" s="384"/>
      <c r="AK121" s="384"/>
      <c r="AL121" s="384"/>
      <c r="AM121" s="384"/>
    </row>
    <row r="122" spans="1:39" ht="15.75" customHeight="1">
      <c r="A122" s="563"/>
      <c r="B122" s="384"/>
      <c r="C122" s="563"/>
      <c r="D122" s="1997"/>
      <c r="E122" s="1998"/>
      <c r="F122" s="137"/>
      <c r="G122" s="563"/>
      <c r="H122" s="563"/>
      <c r="I122" s="2000"/>
      <c r="J122" s="563"/>
      <c r="K122" s="384"/>
      <c r="L122" s="1901"/>
      <c r="M122" s="1823"/>
      <c r="N122" s="1823"/>
      <c r="O122" s="1999"/>
      <c r="P122" s="481"/>
      <c r="Q122" s="481"/>
      <c r="R122" s="482"/>
      <c r="S122" s="482"/>
      <c r="T122" s="482"/>
      <c r="U122" s="482"/>
      <c r="V122" s="384"/>
      <c r="W122" s="563"/>
      <c r="Y122" s="563"/>
      <c r="AA122" s="384"/>
      <c r="AB122" s="384"/>
      <c r="AC122" s="384"/>
      <c r="AD122" s="384"/>
      <c r="AE122" s="384"/>
      <c r="AF122" s="384"/>
      <c r="AG122" s="384"/>
      <c r="AH122" s="384"/>
      <c r="AI122" s="384"/>
      <c r="AJ122" s="384"/>
      <c r="AK122" s="384"/>
      <c r="AL122" s="384"/>
      <c r="AM122" s="384"/>
    </row>
    <row r="123" spans="1:39" ht="15.75" customHeight="1">
      <c r="A123" s="563"/>
      <c r="B123" s="384"/>
      <c r="C123" s="563"/>
      <c r="D123" s="1997"/>
      <c r="E123" s="1998"/>
      <c r="F123" s="965"/>
      <c r="G123" s="563"/>
      <c r="H123" s="563"/>
      <c r="I123" s="2000"/>
      <c r="J123" s="563"/>
      <c r="K123" s="384"/>
      <c r="L123" s="1901"/>
      <c r="M123" s="1823"/>
      <c r="N123" s="1823"/>
      <c r="O123" s="1999"/>
      <c r="P123" s="481"/>
      <c r="Q123" s="481"/>
      <c r="R123" s="482"/>
      <c r="S123" s="482"/>
      <c r="T123" s="482"/>
      <c r="U123" s="482"/>
      <c r="V123" s="384"/>
      <c r="W123" s="563"/>
      <c r="Y123" s="563"/>
      <c r="AA123" s="384"/>
      <c r="AB123" s="384"/>
      <c r="AC123" s="384"/>
      <c r="AD123" s="384"/>
      <c r="AE123" s="384"/>
      <c r="AF123" s="384"/>
      <c r="AG123" s="384"/>
      <c r="AH123" s="384"/>
      <c r="AI123" s="384"/>
      <c r="AJ123" s="384"/>
      <c r="AK123" s="384"/>
      <c r="AL123" s="384"/>
      <c r="AM123" s="384"/>
    </row>
    <row r="124" spans="1:39" ht="15.75" customHeight="1">
      <c r="A124" s="563"/>
      <c r="B124" s="384"/>
      <c r="C124" s="563"/>
      <c r="D124" s="1997"/>
      <c r="E124" s="1998"/>
      <c r="F124" s="965"/>
      <c r="G124" s="563"/>
      <c r="H124" s="563"/>
      <c r="I124" s="2000"/>
      <c r="J124" s="563"/>
      <c r="K124" s="384"/>
      <c r="L124" s="1901"/>
      <c r="M124" s="1823"/>
      <c r="N124" s="1823"/>
      <c r="O124" s="1999"/>
      <c r="P124" s="481"/>
      <c r="Q124" s="481"/>
      <c r="R124" s="482"/>
      <c r="S124" s="482"/>
      <c r="T124" s="482"/>
      <c r="U124" s="482"/>
      <c r="V124" s="384"/>
      <c r="W124" s="563"/>
      <c r="Y124" s="563"/>
      <c r="AA124" s="384"/>
      <c r="AB124" s="384"/>
      <c r="AC124" s="384"/>
      <c r="AD124" s="384"/>
      <c r="AE124" s="384"/>
      <c r="AF124" s="384"/>
      <c r="AG124" s="384"/>
      <c r="AH124" s="384"/>
      <c r="AI124" s="384"/>
      <c r="AJ124" s="384"/>
      <c r="AK124" s="384"/>
      <c r="AL124" s="384"/>
      <c r="AM124" s="384"/>
    </row>
    <row r="125" spans="1:39" ht="15.75" customHeight="1">
      <c r="A125" s="563"/>
      <c r="B125" s="384"/>
      <c r="C125" s="563"/>
      <c r="D125" s="1997"/>
      <c r="E125" s="1998"/>
      <c r="F125" s="1065"/>
      <c r="G125" s="563"/>
      <c r="H125" s="563"/>
      <c r="I125" s="2000"/>
      <c r="J125" s="563"/>
      <c r="K125" s="384"/>
      <c r="L125" s="1901"/>
      <c r="M125" s="1823"/>
      <c r="N125" s="1823"/>
      <c r="O125" s="1999"/>
      <c r="P125" s="481"/>
      <c r="Q125" s="481"/>
      <c r="R125" s="482"/>
      <c r="S125" s="482"/>
      <c r="T125" s="482"/>
      <c r="U125" s="482"/>
      <c r="V125" s="384"/>
      <c r="W125" s="563"/>
      <c r="Y125" s="563"/>
      <c r="AA125" s="384"/>
      <c r="AB125" s="384"/>
      <c r="AC125" s="384"/>
      <c r="AD125" s="384"/>
      <c r="AE125" s="384"/>
      <c r="AF125" s="384"/>
      <c r="AG125" s="384"/>
      <c r="AH125" s="384"/>
      <c r="AI125" s="384"/>
      <c r="AJ125" s="384"/>
      <c r="AK125" s="384"/>
      <c r="AL125" s="384"/>
      <c r="AM125" s="384"/>
    </row>
    <row r="126" spans="1:39" ht="15.75" customHeight="1">
      <c r="A126" s="563"/>
      <c r="B126" s="384"/>
      <c r="C126" s="563"/>
      <c r="D126" s="1997"/>
      <c r="E126" s="1998"/>
      <c r="F126" s="965"/>
      <c r="G126" s="563"/>
      <c r="H126" s="563"/>
      <c r="I126" s="2000"/>
      <c r="J126" s="563"/>
      <c r="K126" s="384"/>
      <c r="L126" s="1901"/>
      <c r="M126" s="1823"/>
      <c r="N126" s="1823"/>
      <c r="O126" s="1999"/>
      <c r="P126" s="481"/>
      <c r="Q126" s="481"/>
      <c r="R126" s="482"/>
      <c r="S126" s="482"/>
      <c r="T126" s="482"/>
      <c r="U126" s="482"/>
      <c r="V126" s="384"/>
      <c r="W126" s="563"/>
      <c r="Y126" s="563"/>
      <c r="AA126" s="384"/>
      <c r="AB126" s="384"/>
      <c r="AC126" s="384"/>
      <c r="AD126" s="384"/>
      <c r="AE126" s="384"/>
      <c r="AF126" s="384"/>
      <c r="AG126" s="384"/>
      <c r="AH126" s="384"/>
      <c r="AI126" s="384"/>
      <c r="AJ126" s="384"/>
      <c r="AK126" s="384"/>
      <c r="AL126" s="384"/>
      <c r="AM126" s="384"/>
    </row>
    <row r="127" spans="1:39" ht="15.75" customHeight="1">
      <c r="A127" s="563"/>
      <c r="B127" s="384"/>
      <c r="C127" s="563"/>
      <c r="D127" s="1997"/>
      <c r="E127" s="1998"/>
      <c r="F127" s="965"/>
      <c r="G127" s="563"/>
      <c r="H127" s="563"/>
      <c r="I127" s="2000"/>
      <c r="J127" s="563"/>
      <c r="K127" s="384"/>
      <c r="L127" s="1901"/>
      <c r="M127" s="1823"/>
      <c r="N127" s="1823"/>
      <c r="O127" s="1999"/>
      <c r="P127" s="481"/>
      <c r="Q127" s="481"/>
      <c r="R127" s="482"/>
      <c r="S127" s="482"/>
      <c r="T127" s="482"/>
      <c r="U127" s="482"/>
      <c r="V127" s="384"/>
      <c r="W127" s="563"/>
      <c r="Y127" s="563"/>
      <c r="AA127" s="384"/>
      <c r="AB127" s="384"/>
      <c r="AC127" s="384"/>
      <c r="AD127" s="384"/>
      <c r="AE127" s="384"/>
      <c r="AF127" s="384"/>
      <c r="AG127" s="384"/>
      <c r="AH127" s="384"/>
      <c r="AI127" s="384"/>
      <c r="AJ127" s="384"/>
      <c r="AK127" s="384"/>
      <c r="AL127" s="384"/>
      <c r="AM127" s="384"/>
    </row>
    <row r="128" spans="1:39" ht="15.75" customHeight="1">
      <c r="A128" s="563"/>
      <c r="B128" s="384"/>
      <c r="C128" s="563"/>
      <c r="D128" s="1997"/>
      <c r="E128" s="1998"/>
      <c r="F128" s="674"/>
      <c r="G128" s="563"/>
      <c r="H128" s="563"/>
      <c r="I128" s="2000"/>
      <c r="J128" s="563"/>
      <c r="K128" s="384"/>
      <c r="L128" s="1901"/>
      <c r="M128" s="1823"/>
      <c r="N128" s="1823"/>
      <c r="O128" s="1999"/>
      <c r="P128" s="481"/>
      <c r="Q128" s="481"/>
      <c r="R128" s="482"/>
      <c r="S128" s="482"/>
      <c r="T128" s="482"/>
      <c r="U128" s="482"/>
      <c r="V128" s="384"/>
      <c r="W128" s="563"/>
      <c r="Y128" s="563"/>
      <c r="AA128" s="384"/>
      <c r="AB128" s="384"/>
      <c r="AC128" s="384"/>
      <c r="AD128" s="384"/>
      <c r="AE128" s="384"/>
      <c r="AF128" s="384"/>
      <c r="AG128" s="384"/>
      <c r="AH128" s="384"/>
      <c r="AI128" s="384"/>
      <c r="AJ128" s="384"/>
      <c r="AK128" s="384"/>
      <c r="AL128" s="384"/>
      <c r="AM128" s="384"/>
    </row>
    <row r="129" spans="1:39" ht="15.75" customHeight="1">
      <c r="A129" s="563"/>
      <c r="B129" s="384"/>
      <c r="C129" s="563"/>
      <c r="D129" s="1997"/>
      <c r="E129" s="1998"/>
      <c r="F129" s="965"/>
      <c r="G129" s="563"/>
      <c r="H129" s="563"/>
      <c r="I129" s="2000"/>
      <c r="J129" s="563"/>
      <c r="K129" s="384"/>
      <c r="L129" s="1901"/>
      <c r="M129" s="1823"/>
      <c r="N129" s="1823"/>
      <c r="O129" s="1999"/>
      <c r="P129" s="481"/>
      <c r="Q129" s="481"/>
      <c r="R129" s="482"/>
      <c r="S129" s="482"/>
      <c r="T129" s="482"/>
      <c r="U129" s="482"/>
      <c r="V129" s="384"/>
      <c r="W129" s="563"/>
      <c r="Y129" s="563"/>
      <c r="AA129" s="384"/>
      <c r="AB129" s="384"/>
      <c r="AC129" s="384"/>
      <c r="AD129" s="384"/>
      <c r="AE129" s="384"/>
      <c r="AF129" s="384"/>
      <c r="AG129" s="384"/>
      <c r="AH129" s="384"/>
      <c r="AI129" s="384"/>
      <c r="AJ129" s="384"/>
      <c r="AK129" s="384"/>
      <c r="AL129" s="384"/>
      <c r="AM129" s="384"/>
    </row>
    <row r="130" spans="1:39" ht="15.75" customHeight="1">
      <c r="A130" s="563"/>
      <c r="B130" s="384"/>
      <c r="C130" s="563"/>
      <c r="D130" s="1997"/>
      <c r="E130" s="1998"/>
      <c r="F130" s="965"/>
      <c r="G130" s="563"/>
      <c r="H130" s="563"/>
      <c r="I130" s="2000"/>
      <c r="J130" s="563"/>
      <c r="K130" s="384"/>
      <c r="L130" s="1901"/>
      <c r="M130" s="1823"/>
      <c r="N130" s="1823"/>
      <c r="O130" s="1999"/>
      <c r="P130" s="481"/>
      <c r="Q130" s="481"/>
      <c r="R130" s="482"/>
      <c r="S130" s="482"/>
      <c r="T130" s="482"/>
      <c r="U130" s="482"/>
      <c r="V130" s="384"/>
      <c r="W130" s="563"/>
      <c r="Y130" s="563"/>
      <c r="AA130" s="384"/>
      <c r="AB130" s="384"/>
      <c r="AC130" s="384"/>
      <c r="AD130" s="384"/>
      <c r="AE130" s="384"/>
      <c r="AF130" s="384"/>
      <c r="AG130" s="384"/>
      <c r="AH130" s="384"/>
      <c r="AI130" s="384"/>
      <c r="AJ130" s="384"/>
      <c r="AK130" s="384"/>
      <c r="AL130" s="384"/>
      <c r="AM130" s="384"/>
    </row>
    <row r="131" spans="1:39" ht="15.75" customHeight="1">
      <c r="A131" s="563"/>
      <c r="B131" s="384"/>
      <c r="C131" s="563"/>
      <c r="D131" s="1997"/>
      <c r="E131" s="1998"/>
      <c r="F131" s="1065"/>
      <c r="G131" s="563"/>
      <c r="H131" s="563"/>
      <c r="I131" s="2000"/>
      <c r="J131" s="563"/>
      <c r="K131" s="384"/>
      <c r="L131" s="1901"/>
      <c r="M131" s="1823"/>
      <c r="N131" s="1823"/>
      <c r="O131" s="1999"/>
      <c r="P131" s="481"/>
      <c r="Q131" s="481"/>
      <c r="R131" s="482"/>
      <c r="S131" s="482"/>
      <c r="T131" s="482"/>
      <c r="U131" s="482"/>
      <c r="V131" s="384"/>
      <c r="W131" s="563"/>
      <c r="Y131" s="563"/>
      <c r="AA131" s="384"/>
      <c r="AB131" s="384"/>
      <c r="AC131" s="384"/>
      <c r="AD131" s="384"/>
      <c r="AE131" s="384"/>
      <c r="AF131" s="384"/>
      <c r="AG131" s="384"/>
      <c r="AH131" s="384"/>
      <c r="AI131" s="384"/>
      <c r="AJ131" s="384"/>
      <c r="AK131" s="384"/>
      <c r="AL131" s="384"/>
      <c r="AM131" s="384"/>
    </row>
    <row r="132" spans="1:39" ht="15.75" customHeight="1">
      <c r="A132" s="563"/>
      <c r="B132" s="384"/>
      <c r="C132" s="563"/>
      <c r="D132" s="1997"/>
      <c r="E132" s="1998"/>
      <c r="F132" s="674"/>
      <c r="G132" s="563"/>
      <c r="H132" s="563"/>
      <c r="I132" s="2000"/>
      <c r="J132" s="563"/>
      <c r="K132" s="384"/>
      <c r="L132" s="1901"/>
      <c r="M132" s="1823"/>
      <c r="N132" s="1823"/>
      <c r="O132" s="1999"/>
      <c r="P132" s="481"/>
      <c r="Q132" s="481"/>
      <c r="R132" s="482"/>
      <c r="S132" s="482"/>
      <c r="T132" s="482"/>
      <c r="U132" s="482"/>
      <c r="V132" s="384"/>
      <c r="W132" s="563"/>
      <c r="Y132" s="563"/>
      <c r="AA132" s="384"/>
      <c r="AB132" s="384"/>
      <c r="AC132" s="384"/>
      <c r="AD132" s="384"/>
      <c r="AE132" s="384"/>
      <c r="AF132" s="384"/>
      <c r="AG132" s="384"/>
      <c r="AH132" s="384"/>
      <c r="AI132" s="384"/>
      <c r="AJ132" s="384"/>
      <c r="AK132" s="384"/>
      <c r="AL132" s="384"/>
      <c r="AM132" s="384"/>
    </row>
    <row r="133" spans="1:39" ht="15.75" customHeight="1">
      <c r="A133" s="563"/>
      <c r="B133" s="384"/>
      <c r="C133" s="563"/>
      <c r="D133" s="1997"/>
      <c r="E133" s="1998"/>
      <c r="F133" s="674"/>
      <c r="G133" s="563"/>
      <c r="H133" s="563"/>
      <c r="I133" s="2000"/>
      <c r="J133" s="563"/>
      <c r="K133" s="384"/>
      <c r="L133" s="1901"/>
      <c r="M133" s="1823"/>
      <c r="N133" s="1823"/>
      <c r="O133" s="1999"/>
      <c r="P133" s="481"/>
      <c r="Q133" s="481"/>
      <c r="R133" s="482"/>
      <c r="S133" s="482"/>
      <c r="T133" s="482"/>
      <c r="U133" s="482"/>
      <c r="V133" s="384"/>
      <c r="W133" s="563"/>
      <c r="Y133" s="563"/>
      <c r="AA133" s="384"/>
      <c r="AB133" s="384"/>
      <c r="AC133" s="384"/>
      <c r="AD133" s="384"/>
      <c r="AE133" s="384"/>
      <c r="AF133" s="384"/>
      <c r="AG133" s="384"/>
      <c r="AH133" s="384"/>
      <c r="AI133" s="384"/>
      <c r="AJ133" s="384"/>
      <c r="AK133" s="384"/>
      <c r="AL133" s="384"/>
      <c r="AM133" s="384"/>
    </row>
    <row r="134" spans="1:39" ht="15.75" customHeight="1">
      <c r="A134" s="563"/>
      <c r="B134" s="384"/>
      <c r="C134" s="563"/>
      <c r="D134" s="1997"/>
      <c r="E134" s="1998"/>
      <c r="F134" s="943"/>
      <c r="G134" s="563"/>
      <c r="H134" s="563"/>
      <c r="I134" s="2000"/>
      <c r="J134" s="563"/>
      <c r="K134" s="384"/>
      <c r="L134" s="1901"/>
      <c r="M134" s="1823"/>
      <c r="N134" s="1823"/>
      <c r="O134" s="1999"/>
      <c r="P134" s="481"/>
      <c r="Q134" s="481"/>
      <c r="R134" s="482"/>
      <c r="S134" s="482"/>
      <c r="T134" s="482"/>
      <c r="U134" s="482"/>
      <c r="V134" s="384"/>
      <c r="W134" s="563"/>
      <c r="Y134" s="563"/>
      <c r="AA134" s="384"/>
      <c r="AB134" s="384"/>
      <c r="AC134" s="384"/>
      <c r="AD134" s="384"/>
      <c r="AE134" s="384"/>
      <c r="AF134" s="384"/>
      <c r="AG134" s="384"/>
      <c r="AH134" s="384"/>
      <c r="AI134" s="384"/>
      <c r="AJ134" s="384"/>
      <c r="AK134" s="384"/>
      <c r="AL134" s="384"/>
      <c r="AM134" s="384"/>
    </row>
    <row r="135" spans="1:39" ht="15.75" customHeight="1">
      <c r="A135" s="563"/>
      <c r="B135" s="384"/>
      <c r="C135" s="563"/>
      <c r="D135" s="1997"/>
      <c r="E135" s="1998"/>
      <c r="F135" s="943"/>
      <c r="G135" s="563"/>
      <c r="H135" s="563"/>
      <c r="I135" s="2000"/>
      <c r="J135" s="563"/>
      <c r="K135" s="384"/>
      <c r="L135" s="1901"/>
      <c r="M135" s="1823"/>
      <c r="N135" s="1823"/>
      <c r="O135" s="1999"/>
      <c r="P135" s="481"/>
      <c r="Q135" s="481"/>
      <c r="R135" s="482"/>
      <c r="S135" s="482"/>
      <c r="T135" s="482"/>
      <c r="U135" s="482"/>
      <c r="V135" s="384"/>
      <c r="W135" s="563"/>
      <c r="Y135" s="563"/>
      <c r="AA135" s="384"/>
      <c r="AB135" s="384"/>
      <c r="AC135" s="384"/>
      <c r="AD135" s="384"/>
      <c r="AE135" s="384"/>
      <c r="AF135" s="384"/>
      <c r="AG135" s="384"/>
      <c r="AH135" s="384"/>
      <c r="AI135" s="384"/>
      <c r="AJ135" s="384"/>
      <c r="AK135" s="384"/>
      <c r="AL135" s="384"/>
      <c r="AM135" s="384"/>
    </row>
    <row r="136" spans="1:39" ht="15.75" customHeight="1">
      <c r="A136" s="563"/>
      <c r="B136" s="384"/>
      <c r="C136" s="563"/>
      <c r="D136" s="1997"/>
      <c r="E136" s="1998"/>
      <c r="F136" s="943"/>
      <c r="G136" s="563"/>
      <c r="H136" s="563"/>
      <c r="I136" s="2000"/>
      <c r="J136" s="563"/>
      <c r="K136" s="384"/>
      <c r="L136" s="1901"/>
      <c r="M136" s="1823"/>
      <c r="N136" s="1823"/>
      <c r="O136" s="1999"/>
      <c r="P136" s="481"/>
      <c r="Q136" s="481"/>
      <c r="R136" s="482"/>
      <c r="S136" s="482"/>
      <c r="T136" s="482"/>
      <c r="U136" s="482"/>
      <c r="V136" s="384"/>
      <c r="W136" s="563"/>
      <c r="Y136" s="563"/>
      <c r="AA136" s="384"/>
      <c r="AB136" s="384"/>
      <c r="AC136" s="384"/>
      <c r="AD136" s="384"/>
      <c r="AE136" s="384"/>
      <c r="AF136" s="384"/>
      <c r="AG136" s="384"/>
      <c r="AH136" s="384"/>
      <c r="AI136" s="384"/>
      <c r="AJ136" s="384"/>
      <c r="AK136" s="384"/>
      <c r="AL136" s="384"/>
      <c r="AM136" s="384"/>
    </row>
    <row r="137" spans="1:39" ht="15.75" customHeight="1">
      <c r="A137" s="563"/>
      <c r="B137" s="384"/>
      <c r="C137" s="563"/>
      <c r="D137" s="1997"/>
      <c r="E137" s="1998"/>
      <c r="F137" s="943"/>
      <c r="G137" s="563"/>
      <c r="H137" s="563"/>
      <c r="I137" s="2000"/>
      <c r="J137" s="563"/>
      <c r="K137" s="384"/>
      <c r="L137" s="1901"/>
      <c r="M137" s="1823"/>
      <c r="N137" s="1823"/>
      <c r="O137" s="1999"/>
      <c r="P137" s="481"/>
      <c r="Q137" s="481"/>
      <c r="R137" s="482"/>
      <c r="S137" s="482"/>
      <c r="T137" s="482"/>
      <c r="U137" s="482"/>
      <c r="V137" s="384"/>
      <c r="W137" s="563"/>
      <c r="Y137" s="563"/>
      <c r="AA137" s="384"/>
      <c r="AB137" s="384"/>
      <c r="AC137" s="384"/>
      <c r="AD137" s="384"/>
      <c r="AE137" s="384"/>
      <c r="AF137" s="384"/>
      <c r="AG137" s="384"/>
      <c r="AH137" s="384"/>
      <c r="AI137" s="384"/>
      <c r="AJ137" s="384"/>
      <c r="AK137" s="384"/>
      <c r="AL137" s="384"/>
      <c r="AM137" s="384"/>
    </row>
    <row r="138" spans="1:39" ht="15.75" customHeight="1">
      <c r="A138" s="563"/>
      <c r="B138" s="384"/>
      <c r="C138" s="563"/>
      <c r="D138" s="1997"/>
      <c r="E138" s="1998"/>
      <c r="F138" s="943"/>
      <c r="G138" s="563"/>
      <c r="H138" s="563"/>
      <c r="I138" s="2000"/>
      <c r="J138" s="563"/>
      <c r="K138" s="384"/>
      <c r="L138" s="1901"/>
      <c r="M138" s="1823"/>
      <c r="N138" s="1823"/>
      <c r="O138" s="1999"/>
      <c r="P138" s="481"/>
      <c r="Q138" s="481"/>
      <c r="R138" s="482"/>
      <c r="S138" s="482"/>
      <c r="T138" s="482"/>
      <c r="U138" s="482"/>
      <c r="V138" s="384"/>
      <c r="W138" s="563"/>
      <c r="Y138" s="563"/>
      <c r="AA138" s="384"/>
      <c r="AB138" s="384"/>
      <c r="AC138" s="384"/>
      <c r="AD138" s="384"/>
      <c r="AE138" s="384"/>
      <c r="AF138" s="384"/>
      <c r="AG138" s="384"/>
      <c r="AH138" s="384"/>
      <c r="AI138" s="384"/>
      <c r="AJ138" s="384"/>
      <c r="AK138" s="384"/>
      <c r="AL138" s="384"/>
      <c r="AM138" s="384"/>
    </row>
    <row r="139" spans="1:39" ht="15.75" customHeight="1">
      <c r="A139" s="563"/>
      <c r="B139" s="384"/>
      <c r="C139" s="563"/>
      <c r="D139" s="1997"/>
      <c r="E139" s="1998"/>
      <c r="F139" s="943"/>
      <c r="G139" s="563"/>
      <c r="H139" s="563"/>
      <c r="I139" s="2000"/>
      <c r="J139" s="563"/>
      <c r="K139" s="384"/>
      <c r="L139" s="1901"/>
      <c r="M139" s="1823"/>
      <c r="N139" s="1823"/>
      <c r="O139" s="1999"/>
      <c r="P139" s="481"/>
      <c r="Q139" s="481"/>
      <c r="R139" s="482"/>
      <c r="S139" s="482"/>
      <c r="T139" s="482"/>
      <c r="U139" s="482"/>
      <c r="V139" s="384"/>
      <c r="W139" s="563"/>
      <c r="Y139" s="563"/>
      <c r="AA139" s="384"/>
      <c r="AB139" s="384"/>
      <c r="AC139" s="384"/>
      <c r="AD139" s="384"/>
      <c r="AE139" s="384"/>
      <c r="AF139" s="384"/>
      <c r="AG139" s="384"/>
      <c r="AH139" s="384"/>
      <c r="AI139" s="384"/>
      <c r="AJ139" s="384"/>
      <c r="AK139" s="384"/>
      <c r="AL139" s="384"/>
      <c r="AM139" s="384"/>
    </row>
    <row r="140" spans="1:39" ht="15.75" customHeight="1">
      <c r="A140" s="563"/>
      <c r="B140" s="384"/>
      <c r="C140" s="563"/>
      <c r="D140" s="1997"/>
      <c r="E140" s="1998"/>
      <c r="F140" s="943"/>
      <c r="G140" s="563"/>
      <c r="H140" s="563"/>
      <c r="I140" s="2000"/>
      <c r="J140" s="563"/>
      <c r="K140" s="384"/>
      <c r="L140" s="1901"/>
      <c r="M140" s="1823"/>
      <c r="N140" s="1823"/>
      <c r="O140" s="1999"/>
      <c r="P140" s="481"/>
      <c r="Q140" s="481"/>
      <c r="R140" s="482"/>
      <c r="S140" s="482"/>
      <c r="T140" s="482"/>
      <c r="U140" s="482"/>
      <c r="V140" s="384"/>
      <c r="W140" s="563"/>
      <c r="Y140" s="563"/>
      <c r="AA140" s="384"/>
      <c r="AB140" s="384"/>
      <c r="AC140" s="384"/>
      <c r="AD140" s="384"/>
      <c r="AE140" s="384"/>
      <c r="AF140" s="384"/>
      <c r="AG140" s="384"/>
      <c r="AH140" s="384"/>
      <c r="AI140" s="384"/>
      <c r="AJ140" s="384"/>
      <c r="AK140" s="384"/>
      <c r="AL140" s="384"/>
      <c r="AM140" s="384"/>
    </row>
    <row r="141" spans="1:39" ht="15.75" customHeight="1">
      <c r="A141" s="563"/>
      <c r="B141" s="384"/>
      <c r="C141" s="563"/>
      <c r="D141" s="1997"/>
      <c r="E141" s="1998"/>
      <c r="F141" s="137"/>
      <c r="G141" s="563"/>
      <c r="H141" s="563"/>
      <c r="I141" s="2000"/>
      <c r="J141" s="563"/>
      <c r="K141" s="384"/>
      <c r="L141" s="1901"/>
      <c r="M141" s="1823"/>
      <c r="N141" s="1823"/>
      <c r="O141" s="1999"/>
      <c r="P141" s="481"/>
      <c r="Q141" s="481"/>
      <c r="R141" s="482"/>
      <c r="S141" s="482"/>
      <c r="T141" s="482"/>
      <c r="U141" s="482"/>
      <c r="V141" s="384"/>
      <c r="W141" s="563"/>
      <c r="Y141" s="563"/>
      <c r="AA141" s="384"/>
      <c r="AB141" s="384"/>
      <c r="AC141" s="384"/>
      <c r="AD141" s="384"/>
      <c r="AE141" s="384"/>
      <c r="AF141" s="384"/>
      <c r="AG141" s="384"/>
      <c r="AH141" s="384"/>
      <c r="AI141" s="384"/>
      <c r="AJ141" s="384"/>
      <c r="AK141" s="384"/>
      <c r="AL141" s="384"/>
      <c r="AM141" s="384"/>
    </row>
    <row r="142" spans="1:39" ht="15.75" customHeight="1">
      <c r="A142" s="563"/>
      <c r="B142" s="384"/>
      <c r="C142" s="563"/>
      <c r="D142" s="1997"/>
      <c r="E142" s="1998"/>
      <c r="F142" s="943"/>
      <c r="G142" s="563"/>
      <c r="H142" s="563"/>
      <c r="I142" s="2000"/>
      <c r="J142" s="563"/>
      <c r="K142" s="384"/>
      <c r="L142" s="1901"/>
      <c r="M142" s="1823"/>
      <c r="N142" s="1823"/>
      <c r="O142" s="1999"/>
      <c r="P142" s="481"/>
      <c r="Q142" s="481"/>
      <c r="R142" s="482"/>
      <c r="S142" s="482"/>
      <c r="T142" s="482"/>
      <c r="U142" s="482"/>
      <c r="V142" s="384"/>
      <c r="W142" s="563"/>
      <c r="Y142" s="563"/>
      <c r="AA142" s="384"/>
      <c r="AB142" s="384"/>
      <c r="AC142" s="384"/>
      <c r="AD142" s="384"/>
      <c r="AE142" s="384"/>
      <c r="AF142" s="384"/>
      <c r="AG142" s="384"/>
      <c r="AH142" s="384"/>
      <c r="AI142" s="384"/>
      <c r="AJ142" s="384"/>
      <c r="AK142" s="384"/>
      <c r="AL142" s="384"/>
      <c r="AM142" s="384"/>
    </row>
    <row r="143" spans="1:39" ht="15.75" customHeight="1">
      <c r="A143" s="563"/>
      <c r="B143" s="384"/>
      <c r="C143" s="563"/>
      <c r="D143" s="1997"/>
      <c r="E143" s="1998"/>
      <c r="F143" s="943"/>
      <c r="G143" s="563"/>
      <c r="H143" s="563"/>
      <c r="I143" s="2000"/>
      <c r="J143" s="563"/>
      <c r="K143" s="384"/>
      <c r="L143" s="1901"/>
      <c r="M143" s="1823"/>
      <c r="N143" s="1823"/>
      <c r="O143" s="1999"/>
      <c r="P143" s="481"/>
      <c r="Q143" s="481"/>
      <c r="R143" s="482"/>
      <c r="S143" s="482"/>
      <c r="T143" s="482"/>
      <c r="U143" s="482"/>
      <c r="V143" s="384"/>
      <c r="W143" s="563"/>
      <c r="Y143" s="563"/>
      <c r="AA143" s="384"/>
      <c r="AB143" s="384"/>
      <c r="AC143" s="384"/>
      <c r="AD143" s="384"/>
      <c r="AE143" s="384"/>
      <c r="AF143" s="384"/>
      <c r="AG143" s="384"/>
      <c r="AH143" s="384"/>
      <c r="AI143" s="384"/>
      <c r="AJ143" s="384"/>
      <c r="AK143" s="384"/>
      <c r="AL143" s="384"/>
      <c r="AM143" s="384"/>
    </row>
    <row r="144" spans="1:39" ht="15.75" customHeight="1">
      <c r="A144" s="563"/>
      <c r="B144" s="384"/>
      <c r="C144" s="563"/>
      <c r="D144" s="1997"/>
      <c r="E144" s="1998"/>
      <c r="F144" s="943"/>
      <c r="G144" s="563"/>
      <c r="H144" s="563"/>
      <c r="I144" s="2000"/>
      <c r="J144" s="563"/>
      <c r="K144" s="384"/>
      <c r="L144" s="1901"/>
      <c r="M144" s="1823"/>
      <c r="N144" s="1823"/>
      <c r="O144" s="1999"/>
      <c r="P144" s="481"/>
      <c r="Q144" s="481"/>
      <c r="R144" s="482"/>
      <c r="S144" s="482"/>
      <c r="T144" s="482"/>
      <c r="U144" s="482"/>
      <c r="V144" s="384"/>
      <c r="W144" s="563"/>
      <c r="Y144" s="563"/>
      <c r="AA144" s="384"/>
      <c r="AB144" s="384"/>
      <c r="AC144" s="384"/>
      <c r="AD144" s="384"/>
      <c r="AE144" s="384"/>
      <c r="AF144" s="384"/>
      <c r="AG144" s="384"/>
      <c r="AH144" s="384"/>
      <c r="AI144" s="384"/>
      <c r="AJ144" s="384"/>
      <c r="AK144" s="384"/>
      <c r="AL144" s="384"/>
      <c r="AM144" s="384"/>
    </row>
    <row r="145" spans="1:39" ht="15.75" customHeight="1">
      <c r="A145" s="563"/>
      <c r="B145" s="384"/>
      <c r="C145" s="563"/>
      <c r="D145" s="1997"/>
      <c r="E145" s="1998"/>
      <c r="F145" s="1948"/>
      <c r="G145" s="563"/>
      <c r="H145" s="563"/>
      <c r="I145" s="2000"/>
      <c r="J145" s="563"/>
      <c r="K145" s="384"/>
      <c r="L145" s="1901"/>
      <c r="M145" s="1823"/>
      <c r="N145" s="1823"/>
      <c r="O145" s="1999"/>
      <c r="P145" s="481"/>
      <c r="Q145" s="481"/>
      <c r="R145" s="482"/>
      <c r="S145" s="482"/>
      <c r="T145" s="482"/>
      <c r="U145" s="482"/>
      <c r="V145" s="384"/>
      <c r="W145" s="563"/>
      <c r="Y145" s="563"/>
      <c r="AA145" s="384"/>
      <c r="AB145" s="384"/>
      <c r="AC145" s="384"/>
      <c r="AD145" s="384"/>
      <c r="AE145" s="384"/>
      <c r="AF145" s="384"/>
      <c r="AG145" s="384"/>
      <c r="AH145" s="384"/>
      <c r="AI145" s="384"/>
      <c r="AJ145" s="384"/>
      <c r="AK145" s="384"/>
      <c r="AL145" s="384"/>
      <c r="AM145" s="384"/>
    </row>
    <row r="146" spans="1:39" ht="15.75" customHeight="1">
      <c r="A146" s="563"/>
      <c r="B146" s="384"/>
      <c r="C146" s="563"/>
      <c r="D146" s="1997"/>
      <c r="E146" s="1998"/>
      <c r="F146" s="943"/>
      <c r="G146" s="563"/>
      <c r="H146" s="563"/>
      <c r="I146" s="2000"/>
      <c r="J146" s="563"/>
      <c r="K146" s="384"/>
      <c r="L146" s="1901"/>
      <c r="M146" s="1823"/>
      <c r="N146" s="1823"/>
      <c r="O146" s="1999"/>
      <c r="P146" s="481"/>
      <c r="Q146" s="481"/>
      <c r="R146" s="482"/>
      <c r="S146" s="482"/>
      <c r="T146" s="482"/>
      <c r="U146" s="482"/>
      <c r="V146" s="384"/>
      <c r="W146" s="563"/>
      <c r="Y146" s="563"/>
      <c r="AA146" s="384"/>
      <c r="AB146" s="384"/>
      <c r="AC146" s="384"/>
      <c r="AD146" s="384"/>
      <c r="AE146" s="384"/>
      <c r="AF146" s="384"/>
      <c r="AG146" s="384"/>
      <c r="AH146" s="384"/>
      <c r="AI146" s="384"/>
      <c r="AJ146" s="384"/>
      <c r="AK146" s="384"/>
      <c r="AL146" s="384"/>
      <c r="AM146" s="384"/>
    </row>
    <row r="147" spans="1:39" ht="15.75" customHeight="1">
      <c r="A147" s="563"/>
      <c r="B147" s="384"/>
      <c r="C147" s="563"/>
      <c r="D147" s="1997"/>
      <c r="E147" s="1998"/>
      <c r="F147" s="943"/>
      <c r="G147" s="563"/>
      <c r="H147" s="563"/>
      <c r="I147" s="2000"/>
      <c r="J147" s="563"/>
      <c r="K147" s="384"/>
      <c r="L147" s="1901"/>
      <c r="M147" s="1823"/>
      <c r="N147" s="1823"/>
      <c r="O147" s="1999"/>
      <c r="P147" s="481"/>
      <c r="Q147" s="481"/>
      <c r="R147" s="482"/>
      <c r="S147" s="482"/>
      <c r="T147" s="482"/>
      <c r="U147" s="482"/>
      <c r="V147" s="384"/>
      <c r="W147" s="563"/>
      <c r="Y147" s="563"/>
      <c r="AA147" s="384"/>
      <c r="AB147" s="384"/>
      <c r="AC147" s="384"/>
      <c r="AD147" s="384"/>
      <c r="AE147" s="384"/>
      <c r="AF147" s="384"/>
      <c r="AG147" s="384"/>
      <c r="AH147" s="384"/>
      <c r="AI147" s="384"/>
      <c r="AJ147" s="384"/>
      <c r="AK147" s="384"/>
      <c r="AL147" s="384"/>
      <c r="AM147" s="384"/>
    </row>
    <row r="148" spans="1:39" ht="15.75" customHeight="1">
      <c r="A148" s="563"/>
      <c r="B148" s="384"/>
      <c r="C148" s="563"/>
      <c r="D148" s="1997"/>
      <c r="E148" s="1998"/>
      <c r="F148" s="137"/>
      <c r="G148" s="563"/>
      <c r="H148" s="563"/>
      <c r="I148" s="2000"/>
      <c r="J148" s="563"/>
      <c r="K148" s="384"/>
      <c r="L148" s="1901"/>
      <c r="M148" s="1823"/>
      <c r="N148" s="1823"/>
      <c r="O148" s="1999"/>
      <c r="P148" s="481"/>
      <c r="Q148" s="481"/>
      <c r="R148" s="482"/>
      <c r="S148" s="482"/>
      <c r="T148" s="482"/>
      <c r="U148" s="482"/>
      <c r="V148" s="384"/>
      <c r="W148" s="563"/>
      <c r="Y148" s="563"/>
      <c r="AA148" s="384"/>
      <c r="AB148" s="384"/>
      <c r="AC148" s="384"/>
      <c r="AD148" s="384"/>
      <c r="AE148" s="384"/>
      <c r="AF148" s="384"/>
      <c r="AG148" s="384"/>
      <c r="AH148" s="384"/>
      <c r="AI148" s="384"/>
      <c r="AJ148" s="384"/>
      <c r="AK148" s="384"/>
      <c r="AL148" s="384"/>
      <c r="AM148" s="384"/>
    </row>
    <row r="149" spans="1:39" ht="15.75" customHeight="1">
      <c r="A149" s="563"/>
      <c r="B149" s="384"/>
      <c r="C149" s="563"/>
      <c r="D149" s="1997"/>
      <c r="E149" s="1998"/>
      <c r="F149" s="137"/>
      <c r="G149" s="563"/>
      <c r="H149" s="563"/>
      <c r="I149" s="2000"/>
      <c r="J149" s="563"/>
      <c r="K149" s="384"/>
      <c r="L149" s="1901"/>
      <c r="M149" s="1823"/>
      <c r="N149" s="1823"/>
      <c r="O149" s="1999"/>
      <c r="P149" s="481"/>
      <c r="Q149" s="481"/>
      <c r="R149" s="482"/>
      <c r="S149" s="482"/>
      <c r="T149" s="482"/>
      <c r="U149" s="482"/>
      <c r="V149" s="384"/>
      <c r="W149" s="563"/>
      <c r="Y149" s="563"/>
      <c r="AA149" s="384"/>
      <c r="AB149" s="384"/>
      <c r="AC149" s="384"/>
      <c r="AD149" s="384"/>
      <c r="AE149" s="384"/>
      <c r="AF149" s="384"/>
      <c r="AG149" s="384"/>
      <c r="AH149" s="384"/>
      <c r="AI149" s="384"/>
      <c r="AJ149" s="384"/>
      <c r="AK149" s="384"/>
      <c r="AL149" s="384"/>
      <c r="AM149" s="384"/>
    </row>
    <row r="150" spans="1:39" ht="15.75" customHeight="1">
      <c r="A150" s="563"/>
      <c r="B150" s="384"/>
      <c r="C150" s="563"/>
      <c r="D150" s="1997"/>
      <c r="E150" s="1998"/>
      <c r="F150" s="1948"/>
      <c r="G150" s="563"/>
      <c r="H150" s="563"/>
      <c r="I150" s="2000"/>
      <c r="J150" s="563"/>
      <c r="K150" s="384"/>
      <c r="L150" s="1901"/>
      <c r="M150" s="1823"/>
      <c r="N150" s="1823"/>
      <c r="O150" s="1999"/>
      <c r="P150" s="481"/>
      <c r="Q150" s="481"/>
      <c r="R150" s="482"/>
      <c r="S150" s="482"/>
      <c r="T150" s="482"/>
      <c r="U150" s="482"/>
      <c r="V150" s="384"/>
      <c r="W150" s="563"/>
      <c r="Y150" s="563"/>
      <c r="AA150" s="384"/>
      <c r="AB150" s="384"/>
      <c r="AC150" s="384"/>
      <c r="AD150" s="384"/>
      <c r="AE150" s="384"/>
      <c r="AF150" s="384"/>
      <c r="AG150" s="384"/>
      <c r="AH150" s="384"/>
      <c r="AI150" s="384"/>
      <c r="AJ150" s="384"/>
      <c r="AK150" s="384"/>
      <c r="AL150" s="384"/>
      <c r="AM150" s="384"/>
    </row>
    <row r="151" spans="1:39" ht="15.75" customHeight="1">
      <c r="A151" s="563"/>
      <c r="B151" s="384"/>
      <c r="C151" s="563"/>
      <c r="D151" s="1997"/>
      <c r="E151" s="1998"/>
      <c r="F151" s="943"/>
      <c r="G151" s="563"/>
      <c r="H151" s="563"/>
      <c r="I151" s="2000"/>
      <c r="J151" s="563"/>
      <c r="K151" s="384"/>
      <c r="L151" s="1901"/>
      <c r="M151" s="1823"/>
      <c r="N151" s="1823"/>
      <c r="O151" s="1999"/>
      <c r="P151" s="481"/>
      <c r="Q151" s="481"/>
      <c r="R151" s="482"/>
      <c r="S151" s="482"/>
      <c r="T151" s="482"/>
      <c r="U151" s="482"/>
      <c r="V151" s="384"/>
      <c r="W151" s="563"/>
      <c r="Y151" s="563"/>
      <c r="AA151" s="384"/>
      <c r="AB151" s="384"/>
      <c r="AC151" s="384"/>
      <c r="AD151" s="384"/>
      <c r="AE151" s="384"/>
      <c r="AF151" s="384"/>
      <c r="AG151" s="384"/>
      <c r="AH151" s="384"/>
      <c r="AI151" s="384"/>
      <c r="AJ151" s="384"/>
      <c r="AK151" s="384"/>
      <c r="AL151" s="384"/>
      <c r="AM151" s="384"/>
    </row>
    <row r="152" spans="1:39" ht="15.75" customHeight="1">
      <c r="A152" s="563"/>
      <c r="B152" s="384"/>
      <c r="C152" s="563"/>
      <c r="D152" s="1997"/>
      <c r="E152" s="1998"/>
      <c r="F152" s="943"/>
      <c r="G152" s="563"/>
      <c r="H152" s="563"/>
      <c r="I152" s="2000"/>
      <c r="J152" s="563"/>
      <c r="K152" s="384"/>
      <c r="L152" s="1901"/>
      <c r="M152" s="1823"/>
      <c r="N152" s="1823"/>
      <c r="O152" s="1999"/>
      <c r="P152" s="481"/>
      <c r="Q152" s="481"/>
      <c r="R152" s="482"/>
      <c r="S152" s="482"/>
      <c r="T152" s="482"/>
      <c r="U152" s="482"/>
      <c r="V152" s="384"/>
      <c r="W152" s="563"/>
      <c r="Y152" s="563"/>
      <c r="AA152" s="384"/>
      <c r="AB152" s="384"/>
      <c r="AC152" s="384"/>
      <c r="AD152" s="384"/>
      <c r="AE152" s="384"/>
      <c r="AF152" s="384"/>
      <c r="AG152" s="384"/>
      <c r="AH152" s="384"/>
      <c r="AI152" s="384"/>
      <c r="AJ152" s="384"/>
      <c r="AK152" s="384"/>
      <c r="AL152" s="384"/>
      <c r="AM152" s="384"/>
    </row>
    <row r="153" spans="1:39" ht="15.75" customHeight="1">
      <c r="A153" s="563"/>
      <c r="B153" s="384"/>
      <c r="C153" s="563"/>
      <c r="D153" s="1997"/>
      <c r="E153" s="1998"/>
      <c r="F153" s="137"/>
      <c r="G153" s="563"/>
      <c r="H153" s="563"/>
      <c r="I153" s="2000"/>
      <c r="J153" s="563"/>
      <c r="K153" s="384"/>
      <c r="L153" s="1901"/>
      <c r="M153" s="1823"/>
      <c r="N153" s="1823"/>
      <c r="O153" s="1999"/>
      <c r="P153" s="481"/>
      <c r="Q153" s="481"/>
      <c r="R153" s="482"/>
      <c r="S153" s="482"/>
      <c r="T153" s="482"/>
      <c r="U153" s="482"/>
      <c r="V153" s="384"/>
      <c r="W153" s="563"/>
      <c r="Y153" s="563"/>
      <c r="AA153" s="384"/>
      <c r="AB153" s="384"/>
      <c r="AC153" s="384"/>
      <c r="AD153" s="384"/>
      <c r="AE153" s="384"/>
      <c r="AF153" s="384"/>
      <c r="AG153" s="384"/>
      <c r="AH153" s="384"/>
      <c r="AI153" s="384"/>
      <c r="AJ153" s="384"/>
      <c r="AK153" s="384"/>
      <c r="AL153" s="384"/>
      <c r="AM153" s="384"/>
    </row>
    <row r="154" spans="1:39" ht="15.75" customHeight="1">
      <c r="A154" s="563"/>
      <c r="B154" s="384"/>
      <c r="C154" s="563"/>
      <c r="D154" s="1997"/>
      <c r="E154" s="1998"/>
      <c r="F154" s="943"/>
      <c r="G154" s="563"/>
      <c r="H154" s="563"/>
      <c r="I154" s="2000"/>
      <c r="J154" s="563"/>
      <c r="K154" s="384"/>
      <c r="L154" s="1901"/>
      <c r="M154" s="1823"/>
      <c r="N154" s="1823"/>
      <c r="O154" s="1999"/>
      <c r="P154" s="481"/>
      <c r="Q154" s="481"/>
      <c r="R154" s="482"/>
      <c r="S154" s="482"/>
      <c r="T154" s="482"/>
      <c r="U154" s="482"/>
      <c r="V154" s="384"/>
      <c r="W154" s="563"/>
      <c r="Y154" s="563"/>
      <c r="AA154" s="384"/>
      <c r="AB154" s="384"/>
      <c r="AC154" s="384"/>
      <c r="AD154" s="384"/>
      <c r="AE154" s="384"/>
      <c r="AF154" s="384"/>
      <c r="AG154" s="384"/>
      <c r="AH154" s="384"/>
      <c r="AI154" s="384"/>
      <c r="AJ154" s="384"/>
      <c r="AK154" s="384"/>
      <c r="AL154" s="384"/>
      <c r="AM154" s="384"/>
    </row>
    <row r="155" spans="1:39" ht="15.75" customHeight="1">
      <c r="A155" s="563"/>
      <c r="B155" s="384"/>
      <c r="C155" s="563"/>
      <c r="D155" s="1997"/>
      <c r="E155" s="1998"/>
      <c r="F155" s="137"/>
      <c r="G155" s="563"/>
      <c r="H155" s="563"/>
      <c r="I155" s="2000"/>
      <c r="J155" s="563"/>
      <c r="K155" s="384"/>
      <c r="L155" s="1901"/>
      <c r="M155" s="1823"/>
      <c r="N155" s="1823"/>
      <c r="O155" s="1999"/>
      <c r="P155" s="481"/>
      <c r="Q155" s="481"/>
      <c r="R155" s="482"/>
      <c r="S155" s="482"/>
      <c r="T155" s="482"/>
      <c r="U155" s="482"/>
      <c r="V155" s="384"/>
      <c r="W155" s="563"/>
      <c r="Y155" s="563"/>
      <c r="AA155" s="384"/>
      <c r="AB155" s="384"/>
      <c r="AC155" s="384"/>
      <c r="AD155" s="384"/>
      <c r="AE155" s="384"/>
      <c r="AF155" s="384"/>
      <c r="AG155" s="384"/>
      <c r="AH155" s="384"/>
      <c r="AI155" s="384"/>
      <c r="AJ155" s="384"/>
      <c r="AK155" s="384"/>
      <c r="AL155" s="384"/>
      <c r="AM155" s="384"/>
    </row>
    <row r="156" spans="1:39" ht="15.75" customHeight="1">
      <c r="A156" s="563"/>
      <c r="B156" s="384"/>
      <c r="C156" s="563"/>
      <c r="D156" s="1997"/>
      <c r="E156" s="1998"/>
      <c r="F156" s="943"/>
      <c r="G156" s="563"/>
      <c r="H156" s="563"/>
      <c r="I156" s="2000"/>
      <c r="J156" s="563"/>
      <c r="K156" s="384"/>
      <c r="L156" s="1901"/>
      <c r="M156" s="1823"/>
      <c r="N156" s="1823"/>
      <c r="O156" s="1999"/>
      <c r="P156" s="481"/>
      <c r="Q156" s="481"/>
      <c r="R156" s="482"/>
      <c r="S156" s="482"/>
      <c r="T156" s="482"/>
      <c r="U156" s="482"/>
      <c r="V156" s="384"/>
      <c r="W156" s="563"/>
      <c r="Y156" s="563"/>
      <c r="AA156" s="384"/>
      <c r="AB156" s="384"/>
      <c r="AC156" s="384"/>
      <c r="AD156" s="384"/>
      <c r="AE156" s="384"/>
      <c r="AF156" s="384"/>
      <c r="AG156" s="384"/>
      <c r="AH156" s="384"/>
      <c r="AI156" s="384"/>
      <c r="AJ156" s="384"/>
      <c r="AK156" s="384"/>
      <c r="AL156" s="384"/>
      <c r="AM156" s="384"/>
    </row>
    <row r="157" spans="1:39" ht="15.75" customHeight="1">
      <c r="A157" s="563"/>
      <c r="B157" s="384"/>
      <c r="C157" s="563"/>
      <c r="D157" s="1997"/>
      <c r="E157" s="1998"/>
      <c r="F157" s="943"/>
      <c r="G157" s="563"/>
      <c r="H157" s="563"/>
      <c r="I157" s="2000"/>
      <c r="J157" s="563"/>
      <c r="K157" s="384"/>
      <c r="L157" s="1901"/>
      <c r="M157" s="1823"/>
      <c r="N157" s="1823"/>
      <c r="O157" s="1999"/>
      <c r="P157" s="481"/>
      <c r="Q157" s="481"/>
      <c r="R157" s="482"/>
      <c r="S157" s="482"/>
      <c r="T157" s="482"/>
      <c r="U157" s="482"/>
      <c r="V157" s="384"/>
      <c r="W157" s="563"/>
      <c r="Y157" s="563"/>
      <c r="AA157" s="384"/>
      <c r="AB157" s="384"/>
      <c r="AC157" s="384"/>
      <c r="AD157" s="384"/>
      <c r="AE157" s="384"/>
      <c r="AF157" s="384"/>
      <c r="AG157" s="384"/>
      <c r="AH157" s="384"/>
      <c r="AI157" s="384"/>
      <c r="AJ157" s="384"/>
      <c r="AK157" s="384"/>
      <c r="AL157" s="384"/>
      <c r="AM157" s="384"/>
    </row>
    <row r="158" spans="1:39" ht="15.75" customHeight="1">
      <c r="A158" s="563"/>
      <c r="B158" s="384"/>
      <c r="C158" s="563"/>
      <c r="D158" s="1997"/>
      <c r="E158" s="1998"/>
      <c r="F158" s="943"/>
      <c r="G158" s="563"/>
      <c r="H158" s="563"/>
      <c r="I158" s="2000"/>
      <c r="J158" s="563"/>
      <c r="K158" s="384"/>
      <c r="L158" s="1901"/>
      <c r="M158" s="1823"/>
      <c r="N158" s="1823"/>
      <c r="O158" s="1999"/>
      <c r="P158" s="481"/>
      <c r="Q158" s="481"/>
      <c r="R158" s="482"/>
      <c r="S158" s="482"/>
      <c r="T158" s="482"/>
      <c r="U158" s="482"/>
      <c r="V158" s="384"/>
      <c r="W158" s="563"/>
      <c r="Y158" s="563"/>
      <c r="AA158" s="384"/>
      <c r="AB158" s="384"/>
      <c r="AC158" s="384"/>
      <c r="AD158" s="384"/>
      <c r="AE158" s="384"/>
      <c r="AF158" s="384"/>
      <c r="AG158" s="384"/>
      <c r="AH158" s="384"/>
      <c r="AI158" s="384"/>
      <c r="AJ158" s="384"/>
      <c r="AK158" s="384"/>
      <c r="AL158" s="384"/>
      <c r="AM158" s="384"/>
    </row>
    <row r="159" spans="1:39" ht="15.75" customHeight="1">
      <c r="A159" s="563"/>
      <c r="B159" s="384"/>
      <c r="C159" s="563"/>
      <c r="D159" s="1997"/>
      <c r="E159" s="1998"/>
      <c r="F159" s="943"/>
      <c r="G159" s="563"/>
      <c r="H159" s="563"/>
      <c r="I159" s="2000"/>
      <c r="J159" s="563"/>
      <c r="K159" s="384"/>
      <c r="L159" s="1901"/>
      <c r="M159" s="1823"/>
      <c r="N159" s="1823"/>
      <c r="O159" s="1999"/>
      <c r="P159" s="481"/>
      <c r="Q159" s="481"/>
      <c r="R159" s="482"/>
      <c r="S159" s="482"/>
      <c r="T159" s="482"/>
      <c r="U159" s="482"/>
      <c r="V159" s="384"/>
      <c r="W159" s="563"/>
      <c r="Y159" s="563"/>
      <c r="AA159" s="384"/>
      <c r="AB159" s="384"/>
      <c r="AC159" s="384"/>
      <c r="AD159" s="384"/>
      <c r="AE159" s="384"/>
      <c r="AF159" s="384"/>
      <c r="AG159" s="384"/>
      <c r="AH159" s="384"/>
      <c r="AI159" s="384"/>
      <c r="AJ159" s="384"/>
      <c r="AK159" s="384"/>
      <c r="AL159" s="384"/>
      <c r="AM159" s="384"/>
    </row>
    <row r="160" spans="1:39" ht="15.75" customHeight="1">
      <c r="A160" s="563"/>
      <c r="B160" s="384"/>
      <c r="C160" s="563"/>
      <c r="D160" s="1997"/>
      <c r="E160" s="1998"/>
      <c r="F160" s="137"/>
      <c r="G160" s="563"/>
      <c r="H160" s="563"/>
      <c r="I160" s="2000"/>
      <c r="J160" s="563"/>
      <c r="K160" s="384"/>
      <c r="L160" s="1901"/>
      <c r="M160" s="1823"/>
      <c r="N160" s="1823"/>
      <c r="O160" s="1999"/>
      <c r="P160" s="481"/>
      <c r="Q160" s="481"/>
      <c r="R160" s="482"/>
      <c r="S160" s="482"/>
      <c r="T160" s="482"/>
      <c r="U160" s="482"/>
      <c r="V160" s="384"/>
      <c r="W160" s="563"/>
      <c r="Y160" s="563"/>
      <c r="AA160" s="384"/>
      <c r="AB160" s="384"/>
      <c r="AC160" s="384"/>
      <c r="AD160" s="384"/>
      <c r="AE160" s="384"/>
      <c r="AF160" s="384"/>
      <c r="AG160" s="384"/>
      <c r="AH160" s="384"/>
      <c r="AI160" s="384"/>
      <c r="AJ160" s="384"/>
      <c r="AK160" s="384"/>
      <c r="AL160" s="384"/>
      <c r="AM160" s="384"/>
    </row>
    <row r="161" spans="1:39" ht="15.75" customHeight="1">
      <c r="A161" s="563"/>
      <c r="B161" s="384"/>
      <c r="C161" s="563"/>
      <c r="D161" s="1997"/>
      <c r="E161" s="1998"/>
      <c r="F161" s="943"/>
      <c r="G161" s="563"/>
      <c r="H161" s="563"/>
      <c r="I161" s="2000"/>
      <c r="J161" s="563"/>
      <c r="K161" s="384"/>
      <c r="L161" s="1901"/>
      <c r="M161" s="1823"/>
      <c r="N161" s="1823"/>
      <c r="O161" s="1999"/>
      <c r="P161" s="481"/>
      <c r="Q161" s="481"/>
      <c r="R161" s="482"/>
      <c r="S161" s="482"/>
      <c r="T161" s="482"/>
      <c r="U161" s="482"/>
      <c r="V161" s="384"/>
      <c r="W161" s="563"/>
      <c r="Y161" s="563"/>
      <c r="AA161" s="384"/>
      <c r="AB161" s="384"/>
      <c r="AC161" s="384"/>
      <c r="AD161" s="384"/>
      <c r="AE161" s="384"/>
      <c r="AF161" s="384"/>
      <c r="AG161" s="384"/>
      <c r="AH161" s="384"/>
      <c r="AI161" s="384"/>
      <c r="AJ161" s="384"/>
      <c r="AK161" s="384"/>
      <c r="AL161" s="384"/>
      <c r="AM161" s="384"/>
    </row>
    <row r="162" spans="1:39" ht="15.75" customHeight="1">
      <c r="A162" s="563"/>
      <c r="B162" s="384"/>
      <c r="C162" s="563"/>
      <c r="D162" s="1997"/>
      <c r="E162" s="1998"/>
      <c r="F162" s="943"/>
      <c r="G162" s="563"/>
      <c r="H162" s="563"/>
      <c r="I162" s="2000"/>
      <c r="J162" s="563"/>
      <c r="K162" s="384"/>
      <c r="L162" s="1901"/>
      <c r="M162" s="1823"/>
      <c r="N162" s="1823"/>
      <c r="O162" s="1999"/>
      <c r="P162" s="481"/>
      <c r="Q162" s="481"/>
      <c r="R162" s="482"/>
      <c r="S162" s="482"/>
      <c r="T162" s="482"/>
      <c r="U162" s="482"/>
      <c r="V162" s="384"/>
      <c r="W162" s="563"/>
      <c r="Y162" s="563"/>
      <c r="AA162" s="384"/>
      <c r="AB162" s="384"/>
      <c r="AC162" s="384"/>
      <c r="AD162" s="384"/>
      <c r="AE162" s="384"/>
      <c r="AF162" s="384"/>
      <c r="AG162" s="384"/>
      <c r="AH162" s="384"/>
      <c r="AI162" s="384"/>
      <c r="AJ162" s="384"/>
      <c r="AK162" s="384"/>
      <c r="AL162" s="384"/>
      <c r="AM162" s="384"/>
    </row>
    <row r="163" spans="1:39" ht="15.75" customHeight="1">
      <c r="A163" s="563"/>
      <c r="B163" s="384"/>
      <c r="C163" s="563"/>
      <c r="D163" s="1997"/>
      <c r="E163" s="1998"/>
      <c r="F163" s="943"/>
      <c r="G163" s="563"/>
      <c r="H163" s="563"/>
      <c r="I163" s="2000"/>
      <c r="J163" s="563"/>
      <c r="K163" s="384"/>
      <c r="L163" s="1901"/>
      <c r="M163" s="1823"/>
      <c r="N163" s="1823"/>
      <c r="O163" s="1999"/>
      <c r="P163" s="481"/>
      <c r="Q163" s="481"/>
      <c r="R163" s="482"/>
      <c r="S163" s="482"/>
      <c r="T163" s="482"/>
      <c r="U163" s="482"/>
      <c r="V163" s="384"/>
      <c r="W163" s="563"/>
      <c r="Y163" s="563"/>
      <c r="AA163" s="384"/>
      <c r="AB163" s="384"/>
      <c r="AC163" s="384"/>
      <c r="AD163" s="384"/>
      <c r="AE163" s="384"/>
      <c r="AF163" s="384"/>
      <c r="AG163" s="384"/>
      <c r="AH163" s="384"/>
      <c r="AI163" s="384"/>
      <c r="AJ163" s="384"/>
      <c r="AK163" s="384"/>
      <c r="AL163" s="384"/>
      <c r="AM163" s="384"/>
    </row>
    <row r="164" spans="1:39" ht="15.75" customHeight="1">
      <c r="A164" s="563"/>
      <c r="B164" s="384"/>
      <c r="C164" s="563"/>
      <c r="D164" s="1997"/>
      <c r="E164" s="1998"/>
      <c r="F164" s="137"/>
      <c r="G164" s="563"/>
      <c r="H164" s="563"/>
      <c r="I164" s="2000"/>
      <c r="J164" s="563"/>
      <c r="K164" s="384"/>
      <c r="L164" s="1901"/>
      <c r="M164" s="1823"/>
      <c r="N164" s="1823"/>
      <c r="O164" s="1999"/>
      <c r="P164" s="481"/>
      <c r="Q164" s="481"/>
      <c r="R164" s="482"/>
      <c r="S164" s="482"/>
      <c r="T164" s="482"/>
      <c r="U164" s="482"/>
      <c r="V164" s="384"/>
      <c r="W164" s="563"/>
      <c r="Y164" s="563"/>
      <c r="AA164" s="384"/>
      <c r="AB164" s="384"/>
      <c r="AC164" s="384"/>
      <c r="AD164" s="384"/>
      <c r="AE164" s="384"/>
      <c r="AF164" s="384"/>
      <c r="AG164" s="384"/>
      <c r="AH164" s="384"/>
      <c r="AI164" s="384"/>
      <c r="AJ164" s="384"/>
      <c r="AK164" s="384"/>
      <c r="AL164" s="384"/>
      <c r="AM164" s="384"/>
    </row>
    <row r="165" spans="1:39" ht="15.75" customHeight="1">
      <c r="A165" s="563"/>
      <c r="B165" s="384"/>
      <c r="C165" s="563"/>
      <c r="D165" s="1997"/>
      <c r="E165" s="1998"/>
      <c r="F165" s="943"/>
      <c r="G165" s="563"/>
      <c r="H165" s="563"/>
      <c r="I165" s="2000"/>
      <c r="J165" s="563"/>
      <c r="K165" s="384"/>
      <c r="L165" s="1901"/>
      <c r="M165" s="1823"/>
      <c r="N165" s="1823"/>
      <c r="O165" s="1999"/>
      <c r="P165" s="481"/>
      <c r="Q165" s="481"/>
      <c r="R165" s="482"/>
      <c r="S165" s="482"/>
      <c r="T165" s="482"/>
      <c r="U165" s="482"/>
      <c r="V165" s="384"/>
      <c r="W165" s="563"/>
      <c r="Y165" s="563"/>
      <c r="AA165" s="384"/>
      <c r="AB165" s="384"/>
      <c r="AC165" s="384"/>
      <c r="AD165" s="384"/>
      <c r="AE165" s="384"/>
      <c r="AF165" s="384"/>
      <c r="AG165" s="384"/>
      <c r="AH165" s="384"/>
      <c r="AI165" s="384"/>
      <c r="AJ165" s="384"/>
      <c r="AK165" s="384"/>
      <c r="AL165" s="384"/>
      <c r="AM165" s="384"/>
    </row>
    <row r="166" spans="1:39" ht="15.75" customHeight="1">
      <c r="A166" s="563"/>
      <c r="B166" s="384"/>
      <c r="C166" s="563"/>
      <c r="D166" s="1997"/>
      <c r="E166" s="1998"/>
      <c r="F166" s="943"/>
      <c r="G166" s="563"/>
      <c r="H166" s="563"/>
      <c r="I166" s="2000"/>
      <c r="J166" s="563"/>
      <c r="K166" s="384"/>
      <c r="L166" s="1901"/>
      <c r="M166" s="1823"/>
      <c r="N166" s="1823"/>
      <c r="O166" s="1999"/>
      <c r="P166" s="481"/>
      <c r="Q166" s="481"/>
      <c r="R166" s="482"/>
      <c r="S166" s="482"/>
      <c r="T166" s="482"/>
      <c r="U166" s="482"/>
      <c r="V166" s="384"/>
      <c r="W166" s="563"/>
      <c r="Y166" s="563"/>
      <c r="AA166" s="384"/>
      <c r="AB166" s="384"/>
      <c r="AC166" s="384"/>
      <c r="AD166" s="384"/>
      <c r="AE166" s="384"/>
      <c r="AF166" s="384"/>
      <c r="AG166" s="384"/>
      <c r="AH166" s="384"/>
      <c r="AI166" s="384"/>
      <c r="AJ166" s="384"/>
      <c r="AK166" s="384"/>
      <c r="AL166" s="384"/>
      <c r="AM166" s="384"/>
    </row>
    <row r="167" spans="1:39" ht="15.75" customHeight="1">
      <c r="A167" s="563"/>
      <c r="B167" s="384"/>
      <c r="C167" s="563"/>
      <c r="D167" s="1997"/>
      <c r="E167" s="1998"/>
      <c r="F167" s="943"/>
      <c r="G167" s="563"/>
      <c r="H167" s="563"/>
      <c r="I167" s="2000"/>
      <c r="J167" s="563"/>
      <c r="K167" s="384"/>
      <c r="L167" s="1901"/>
      <c r="M167" s="1823"/>
      <c r="N167" s="1823"/>
      <c r="O167" s="1999"/>
      <c r="P167" s="481"/>
      <c r="Q167" s="481"/>
      <c r="R167" s="482"/>
      <c r="S167" s="482"/>
      <c r="T167" s="482"/>
      <c r="U167" s="482"/>
      <c r="V167" s="384"/>
      <c r="W167" s="563"/>
      <c r="Y167" s="563"/>
      <c r="AA167" s="384"/>
      <c r="AB167" s="384"/>
      <c r="AC167" s="384"/>
      <c r="AD167" s="384"/>
      <c r="AE167" s="384"/>
      <c r="AF167" s="384"/>
      <c r="AG167" s="384"/>
      <c r="AH167" s="384"/>
      <c r="AI167" s="384"/>
      <c r="AJ167" s="384"/>
      <c r="AK167" s="384"/>
      <c r="AL167" s="384"/>
      <c r="AM167" s="384"/>
    </row>
    <row r="168" spans="1:39" ht="15.75" customHeight="1">
      <c r="A168" s="563"/>
      <c r="B168" s="384"/>
      <c r="C168" s="563"/>
      <c r="D168" s="1997"/>
      <c r="E168" s="1998"/>
      <c r="F168" s="1948"/>
      <c r="G168" s="563"/>
      <c r="H168" s="563"/>
      <c r="I168" s="2000"/>
      <c r="J168" s="563"/>
      <c r="K168" s="384"/>
      <c r="L168" s="1901"/>
      <c r="M168" s="1823"/>
      <c r="N168" s="1823"/>
      <c r="O168" s="1999"/>
      <c r="P168" s="481"/>
      <c r="Q168" s="481"/>
      <c r="R168" s="482"/>
      <c r="S168" s="482"/>
      <c r="T168" s="482"/>
      <c r="U168" s="482"/>
      <c r="V168" s="384"/>
      <c r="W168" s="563"/>
      <c r="Y168" s="563"/>
      <c r="AA168" s="384"/>
      <c r="AB168" s="384"/>
      <c r="AC168" s="384"/>
      <c r="AD168" s="384"/>
      <c r="AE168" s="384"/>
      <c r="AF168" s="384"/>
      <c r="AG168" s="384"/>
      <c r="AH168" s="384"/>
      <c r="AI168" s="384"/>
      <c r="AJ168" s="384"/>
      <c r="AK168" s="384"/>
      <c r="AL168" s="384"/>
      <c r="AM168" s="384"/>
    </row>
    <row r="169" spans="1:39" ht="15.75" customHeight="1">
      <c r="A169" s="563"/>
      <c r="B169" s="384"/>
      <c r="C169" s="563"/>
      <c r="D169" s="1997"/>
      <c r="E169" s="1998"/>
      <c r="F169" s="943"/>
      <c r="G169" s="563"/>
      <c r="H169" s="563"/>
      <c r="I169" s="2000"/>
      <c r="J169" s="563"/>
      <c r="K169" s="384"/>
      <c r="L169" s="1901"/>
      <c r="M169" s="1823"/>
      <c r="N169" s="1823"/>
      <c r="O169" s="1999"/>
      <c r="P169" s="481"/>
      <c r="Q169" s="481"/>
      <c r="R169" s="482"/>
      <c r="S169" s="482"/>
      <c r="T169" s="482"/>
      <c r="U169" s="482"/>
      <c r="V169" s="384"/>
      <c r="W169" s="563"/>
      <c r="Y169" s="563"/>
      <c r="AA169" s="384"/>
      <c r="AB169" s="384"/>
      <c r="AC169" s="384"/>
      <c r="AD169" s="384"/>
      <c r="AE169" s="384"/>
      <c r="AF169" s="384"/>
      <c r="AG169" s="384"/>
      <c r="AH169" s="384"/>
      <c r="AI169" s="384"/>
      <c r="AJ169" s="384"/>
      <c r="AK169" s="384"/>
      <c r="AL169" s="384"/>
      <c r="AM169" s="384"/>
    </row>
    <row r="170" spans="1:39" ht="15.75" customHeight="1">
      <c r="A170" s="563"/>
      <c r="B170" s="384"/>
      <c r="C170" s="563"/>
      <c r="D170" s="1997"/>
      <c r="E170" s="1998"/>
      <c r="F170" s="943"/>
      <c r="G170" s="563"/>
      <c r="H170" s="563"/>
      <c r="I170" s="2000"/>
      <c r="J170" s="563"/>
      <c r="K170" s="384"/>
      <c r="L170" s="1901"/>
      <c r="M170" s="1823"/>
      <c r="N170" s="1823"/>
      <c r="O170" s="1999"/>
      <c r="P170" s="481"/>
      <c r="Q170" s="481"/>
      <c r="R170" s="482"/>
      <c r="S170" s="482"/>
      <c r="T170" s="482"/>
      <c r="U170" s="482"/>
      <c r="V170" s="384"/>
      <c r="W170" s="563"/>
      <c r="Y170" s="563"/>
      <c r="AA170" s="384"/>
      <c r="AB170" s="384"/>
      <c r="AC170" s="384"/>
      <c r="AD170" s="384"/>
      <c r="AE170" s="384"/>
      <c r="AF170" s="384"/>
      <c r="AG170" s="384"/>
      <c r="AH170" s="384"/>
      <c r="AI170" s="384"/>
      <c r="AJ170" s="384"/>
      <c r="AK170" s="384"/>
      <c r="AL170" s="384"/>
      <c r="AM170" s="384"/>
    </row>
    <row r="171" spans="1:39" ht="15.75" customHeight="1">
      <c r="A171" s="563"/>
      <c r="B171" s="384"/>
      <c r="C171" s="563"/>
      <c r="D171" s="1997"/>
      <c r="E171" s="1998"/>
      <c r="F171" s="943"/>
      <c r="G171" s="563"/>
      <c r="H171" s="563"/>
      <c r="I171" s="2000"/>
      <c r="J171" s="563"/>
      <c r="K171" s="384"/>
      <c r="L171" s="1901"/>
      <c r="M171" s="1823"/>
      <c r="N171" s="1823"/>
      <c r="O171" s="1999"/>
      <c r="P171" s="481"/>
      <c r="Q171" s="481"/>
      <c r="R171" s="482"/>
      <c r="S171" s="482"/>
      <c r="T171" s="482"/>
      <c r="U171" s="482"/>
      <c r="V171" s="384"/>
      <c r="W171" s="563"/>
      <c r="Y171" s="563"/>
      <c r="AA171" s="384"/>
      <c r="AB171" s="384"/>
      <c r="AC171" s="384"/>
      <c r="AD171" s="384"/>
      <c r="AE171" s="384"/>
      <c r="AF171" s="384"/>
      <c r="AG171" s="384"/>
      <c r="AH171" s="384"/>
      <c r="AI171" s="384"/>
      <c r="AJ171" s="384"/>
      <c r="AK171" s="384"/>
      <c r="AL171" s="384"/>
      <c r="AM171" s="384"/>
    </row>
    <row r="172" spans="1:39" ht="15.75" customHeight="1">
      <c r="A172" s="563"/>
      <c r="B172" s="384"/>
      <c r="C172" s="563"/>
      <c r="D172" s="1997"/>
      <c r="E172" s="1998"/>
      <c r="F172" s="943"/>
      <c r="G172" s="563"/>
      <c r="H172" s="563"/>
      <c r="I172" s="2000"/>
      <c r="J172" s="563"/>
      <c r="K172" s="384"/>
      <c r="L172" s="1901"/>
      <c r="M172" s="1823"/>
      <c r="N172" s="1823"/>
      <c r="O172" s="1999"/>
      <c r="P172" s="481"/>
      <c r="Q172" s="481"/>
      <c r="R172" s="482"/>
      <c r="S172" s="482"/>
      <c r="T172" s="482"/>
      <c r="U172" s="482"/>
      <c r="V172" s="384"/>
      <c r="W172" s="563"/>
      <c r="Y172" s="563"/>
      <c r="AA172" s="384"/>
      <c r="AB172" s="384"/>
      <c r="AC172" s="384"/>
      <c r="AD172" s="384"/>
      <c r="AE172" s="384"/>
      <c r="AF172" s="384"/>
      <c r="AG172" s="384"/>
      <c r="AH172" s="384"/>
      <c r="AI172" s="384"/>
      <c r="AJ172" s="384"/>
      <c r="AK172" s="384"/>
      <c r="AL172" s="384"/>
      <c r="AM172" s="384"/>
    </row>
    <row r="173" spans="1:39" ht="15.75" customHeight="1">
      <c r="A173" s="563"/>
      <c r="B173" s="384"/>
      <c r="C173" s="563"/>
      <c r="D173" s="1997"/>
      <c r="E173" s="1998"/>
      <c r="F173" s="943"/>
      <c r="G173" s="563"/>
      <c r="H173" s="563"/>
      <c r="I173" s="2000"/>
      <c r="J173" s="563"/>
      <c r="K173" s="384"/>
      <c r="L173" s="1901"/>
      <c r="M173" s="1823"/>
      <c r="N173" s="1823"/>
      <c r="O173" s="1999"/>
      <c r="P173" s="481"/>
      <c r="Q173" s="481"/>
      <c r="R173" s="482"/>
      <c r="S173" s="482"/>
      <c r="T173" s="482"/>
      <c r="U173" s="482"/>
      <c r="V173" s="384"/>
      <c r="W173" s="563"/>
      <c r="Y173" s="563"/>
      <c r="AA173" s="384"/>
      <c r="AB173" s="384"/>
      <c r="AC173" s="384"/>
      <c r="AD173" s="384"/>
      <c r="AE173" s="384"/>
      <c r="AF173" s="384"/>
      <c r="AG173" s="384"/>
      <c r="AH173" s="384"/>
      <c r="AI173" s="384"/>
      <c r="AJ173" s="384"/>
      <c r="AK173" s="384"/>
      <c r="AL173" s="384"/>
      <c r="AM173" s="384"/>
    </row>
    <row r="174" spans="1:39" ht="15.75" customHeight="1">
      <c r="A174" s="563"/>
      <c r="B174" s="384"/>
      <c r="C174" s="563"/>
      <c r="D174" s="1997"/>
      <c r="E174" s="1998"/>
      <c r="F174" s="943"/>
      <c r="G174" s="563"/>
      <c r="H174" s="563"/>
      <c r="I174" s="2000"/>
      <c r="J174" s="563"/>
      <c r="K174" s="384"/>
      <c r="L174" s="1901"/>
      <c r="M174" s="1823"/>
      <c r="N174" s="1823"/>
      <c r="O174" s="1999"/>
      <c r="P174" s="481"/>
      <c r="Q174" s="481"/>
      <c r="R174" s="482"/>
      <c r="S174" s="482"/>
      <c r="T174" s="482"/>
      <c r="U174" s="482"/>
      <c r="V174" s="384"/>
      <c r="W174" s="563"/>
      <c r="Y174" s="563"/>
      <c r="AA174" s="384"/>
      <c r="AB174" s="384"/>
      <c r="AC174" s="384"/>
      <c r="AD174" s="384"/>
      <c r="AE174" s="384"/>
      <c r="AF174" s="384"/>
      <c r="AG174" s="384"/>
      <c r="AH174" s="384"/>
      <c r="AI174" s="384"/>
      <c r="AJ174" s="384"/>
      <c r="AK174" s="384"/>
      <c r="AL174" s="384"/>
      <c r="AM174" s="384"/>
    </row>
    <row r="175" spans="1:39" ht="15.75" customHeight="1">
      <c r="A175" s="563"/>
      <c r="B175" s="384"/>
      <c r="C175" s="563"/>
      <c r="D175" s="1997"/>
      <c r="E175" s="1998"/>
      <c r="F175" s="943"/>
      <c r="G175" s="563"/>
      <c r="H175" s="563"/>
      <c r="I175" s="2000"/>
      <c r="J175" s="563"/>
      <c r="K175" s="384"/>
      <c r="L175" s="1901"/>
      <c r="M175" s="1823"/>
      <c r="N175" s="1823"/>
      <c r="O175" s="1999"/>
      <c r="P175" s="481"/>
      <c r="Q175" s="481"/>
      <c r="R175" s="482"/>
      <c r="S175" s="482"/>
      <c r="T175" s="482"/>
      <c r="U175" s="482"/>
      <c r="V175" s="384"/>
      <c r="W175" s="563"/>
      <c r="Y175" s="563"/>
      <c r="AA175" s="384"/>
      <c r="AB175" s="384"/>
      <c r="AC175" s="384"/>
      <c r="AD175" s="384"/>
      <c r="AE175" s="384"/>
      <c r="AF175" s="384"/>
      <c r="AG175" s="384"/>
      <c r="AH175" s="384"/>
      <c r="AI175" s="384"/>
      <c r="AJ175" s="384"/>
      <c r="AK175" s="384"/>
      <c r="AL175" s="384"/>
      <c r="AM175" s="384"/>
    </row>
    <row r="176" spans="1:39" ht="15.75" customHeight="1">
      <c r="A176" s="563"/>
      <c r="B176" s="384"/>
      <c r="C176" s="563"/>
      <c r="D176" s="1997"/>
      <c r="E176" s="1998"/>
      <c r="F176" s="943"/>
      <c r="G176" s="563"/>
      <c r="H176" s="563"/>
      <c r="I176" s="2000"/>
      <c r="J176" s="563"/>
      <c r="K176" s="384"/>
      <c r="L176" s="1901"/>
      <c r="M176" s="1823"/>
      <c r="N176" s="1823"/>
      <c r="O176" s="1999"/>
      <c r="P176" s="481"/>
      <c r="Q176" s="481"/>
      <c r="R176" s="482"/>
      <c r="S176" s="482"/>
      <c r="T176" s="482"/>
      <c r="U176" s="482"/>
      <c r="V176" s="384"/>
      <c r="W176" s="563"/>
      <c r="Y176" s="563"/>
      <c r="AA176" s="384"/>
      <c r="AB176" s="384"/>
      <c r="AC176" s="384"/>
      <c r="AD176" s="384"/>
      <c r="AE176" s="384"/>
      <c r="AF176" s="384"/>
      <c r="AG176" s="384"/>
      <c r="AH176" s="384"/>
      <c r="AI176" s="384"/>
      <c r="AJ176" s="384"/>
      <c r="AK176" s="384"/>
      <c r="AL176" s="384"/>
      <c r="AM176" s="384"/>
    </row>
    <row r="177" spans="1:39" ht="15.75" customHeight="1">
      <c r="A177" s="563"/>
      <c r="B177" s="384"/>
      <c r="C177" s="563"/>
      <c r="D177" s="1997"/>
      <c r="E177" s="1998"/>
      <c r="F177" s="943"/>
      <c r="G177" s="563"/>
      <c r="H177" s="563"/>
      <c r="I177" s="2000"/>
      <c r="J177" s="563"/>
      <c r="K177" s="384"/>
      <c r="L177" s="1901"/>
      <c r="M177" s="1823"/>
      <c r="N177" s="1823"/>
      <c r="O177" s="1999"/>
      <c r="P177" s="481"/>
      <c r="Q177" s="481"/>
      <c r="R177" s="482"/>
      <c r="S177" s="482"/>
      <c r="T177" s="482"/>
      <c r="U177" s="482"/>
      <c r="V177" s="384"/>
      <c r="W177" s="563"/>
      <c r="Y177" s="563"/>
      <c r="AA177" s="384"/>
      <c r="AB177" s="384"/>
      <c r="AC177" s="384"/>
      <c r="AD177" s="384"/>
      <c r="AE177" s="384"/>
      <c r="AF177" s="384"/>
      <c r="AG177" s="384"/>
      <c r="AH177" s="384"/>
      <c r="AI177" s="384"/>
      <c r="AJ177" s="384"/>
      <c r="AK177" s="384"/>
      <c r="AL177" s="384"/>
      <c r="AM177" s="384"/>
    </row>
    <row r="178" spans="1:39" ht="15.75" customHeight="1">
      <c r="A178" s="563"/>
      <c r="B178" s="384"/>
      <c r="C178" s="563"/>
      <c r="D178" s="1997"/>
      <c r="E178" s="1998"/>
      <c r="F178" s="943"/>
      <c r="G178" s="563"/>
      <c r="H178" s="563"/>
      <c r="I178" s="2000"/>
      <c r="J178" s="563"/>
      <c r="K178" s="384"/>
      <c r="L178" s="1901"/>
      <c r="M178" s="1823"/>
      <c r="N178" s="1823"/>
      <c r="O178" s="1999"/>
      <c r="P178" s="481"/>
      <c r="Q178" s="481"/>
      <c r="R178" s="482"/>
      <c r="S178" s="482"/>
      <c r="T178" s="482"/>
      <c r="U178" s="482"/>
      <c r="V178" s="384"/>
      <c r="W178" s="563"/>
      <c r="Y178" s="563"/>
      <c r="AA178" s="384"/>
      <c r="AB178" s="384"/>
      <c r="AC178" s="384"/>
      <c r="AD178" s="384"/>
      <c r="AE178" s="384"/>
      <c r="AF178" s="384"/>
      <c r="AG178" s="384"/>
      <c r="AH178" s="384"/>
      <c r="AI178" s="384"/>
      <c r="AJ178" s="384"/>
      <c r="AK178" s="384"/>
      <c r="AL178" s="384"/>
      <c r="AM178" s="384"/>
    </row>
    <row r="179" spans="1:39" ht="15.75" customHeight="1">
      <c r="A179" s="563"/>
      <c r="B179" s="384"/>
      <c r="C179" s="563"/>
      <c r="D179" s="1997"/>
      <c r="E179" s="1998"/>
      <c r="F179" s="1949"/>
      <c r="G179" s="563"/>
      <c r="H179" s="563"/>
      <c r="I179" s="2000"/>
      <c r="J179" s="563"/>
      <c r="K179" s="384"/>
      <c r="L179" s="1901"/>
      <c r="M179" s="1823"/>
      <c r="N179" s="1823"/>
      <c r="O179" s="1999"/>
      <c r="P179" s="481"/>
      <c r="Q179" s="481"/>
      <c r="R179" s="482"/>
      <c r="S179" s="482"/>
      <c r="T179" s="482"/>
      <c r="U179" s="482"/>
      <c r="V179" s="384"/>
      <c r="W179" s="563"/>
      <c r="Y179" s="563"/>
      <c r="AA179" s="384"/>
      <c r="AB179" s="384"/>
      <c r="AC179" s="384"/>
      <c r="AD179" s="384"/>
      <c r="AE179" s="384"/>
      <c r="AF179" s="384"/>
      <c r="AG179" s="384"/>
      <c r="AH179" s="384"/>
      <c r="AI179" s="384"/>
      <c r="AJ179" s="384"/>
      <c r="AK179" s="384"/>
      <c r="AL179" s="384"/>
      <c r="AM179" s="384"/>
    </row>
    <row r="180" spans="1:39" ht="15.75" customHeight="1">
      <c r="A180" s="563"/>
      <c r="B180" s="384"/>
      <c r="C180" s="563"/>
      <c r="D180" s="1997"/>
      <c r="E180" s="1998"/>
      <c r="F180" s="943"/>
      <c r="G180" s="563"/>
      <c r="H180" s="563"/>
      <c r="I180" s="2000"/>
      <c r="J180" s="563"/>
      <c r="K180" s="384"/>
      <c r="L180" s="1901"/>
      <c r="M180" s="1823"/>
      <c r="N180" s="1823"/>
      <c r="O180" s="1999"/>
      <c r="P180" s="481"/>
      <c r="Q180" s="481"/>
      <c r="R180" s="482"/>
      <c r="S180" s="482"/>
      <c r="T180" s="482"/>
      <c r="U180" s="482"/>
      <c r="V180" s="384"/>
      <c r="W180" s="563"/>
      <c r="Y180" s="563"/>
      <c r="AA180" s="384"/>
      <c r="AB180" s="384"/>
      <c r="AC180" s="384"/>
      <c r="AD180" s="384"/>
      <c r="AE180" s="384"/>
      <c r="AF180" s="384"/>
      <c r="AG180" s="384"/>
      <c r="AH180" s="384"/>
      <c r="AI180" s="384"/>
      <c r="AJ180" s="384"/>
      <c r="AK180" s="384"/>
      <c r="AL180" s="384"/>
      <c r="AM180" s="384"/>
    </row>
    <row r="181" spans="1:39" ht="15.75" customHeight="1">
      <c r="A181" s="563"/>
      <c r="B181" s="384"/>
      <c r="C181" s="563"/>
      <c r="D181" s="1997"/>
      <c r="E181" s="1998"/>
      <c r="F181" s="686"/>
      <c r="G181" s="563"/>
      <c r="H181" s="563"/>
      <c r="I181" s="2000"/>
      <c r="J181" s="563"/>
      <c r="K181" s="384"/>
      <c r="L181" s="1901"/>
      <c r="M181" s="1823"/>
      <c r="N181" s="1823"/>
      <c r="O181" s="1999"/>
      <c r="P181" s="481"/>
      <c r="Q181" s="481"/>
      <c r="R181" s="482"/>
      <c r="S181" s="482"/>
      <c r="T181" s="482"/>
      <c r="U181" s="482"/>
      <c r="V181" s="384"/>
      <c r="W181" s="563"/>
      <c r="Y181" s="563"/>
      <c r="AA181" s="384"/>
      <c r="AB181" s="384"/>
      <c r="AC181" s="384"/>
      <c r="AD181" s="384"/>
      <c r="AE181" s="384"/>
      <c r="AF181" s="384"/>
      <c r="AG181" s="384"/>
      <c r="AH181" s="384"/>
      <c r="AI181" s="384"/>
      <c r="AJ181" s="384"/>
      <c r="AK181" s="384"/>
      <c r="AL181" s="384"/>
      <c r="AM181" s="384"/>
    </row>
    <row r="182" spans="1:39" ht="15.75" customHeight="1">
      <c r="A182" s="563"/>
      <c r="B182" s="384"/>
      <c r="C182" s="563"/>
      <c r="D182" s="1997"/>
      <c r="E182" s="1998"/>
      <c r="F182" s="1949"/>
      <c r="G182" s="563"/>
      <c r="H182" s="563"/>
      <c r="I182" s="2000"/>
      <c r="J182" s="563"/>
      <c r="K182" s="384"/>
      <c r="L182" s="1901"/>
      <c r="M182" s="1823"/>
      <c r="N182" s="1823"/>
      <c r="O182" s="1999"/>
      <c r="P182" s="481"/>
      <c r="Q182" s="481"/>
      <c r="R182" s="482"/>
      <c r="S182" s="482"/>
      <c r="T182" s="482"/>
      <c r="U182" s="482"/>
      <c r="V182" s="384"/>
      <c r="W182" s="563"/>
      <c r="Y182" s="563"/>
      <c r="AA182" s="384"/>
      <c r="AB182" s="384"/>
      <c r="AC182" s="384"/>
      <c r="AD182" s="384"/>
      <c r="AE182" s="384"/>
      <c r="AF182" s="384"/>
      <c r="AG182" s="384"/>
      <c r="AH182" s="384"/>
      <c r="AI182" s="384"/>
      <c r="AJ182" s="384"/>
      <c r="AK182" s="384"/>
      <c r="AL182" s="384"/>
      <c r="AM182" s="384"/>
    </row>
    <row r="183" spans="1:39" ht="15.75" customHeight="1">
      <c r="A183" s="563"/>
      <c r="B183" s="384"/>
      <c r="C183" s="563"/>
      <c r="D183" s="1997"/>
      <c r="E183" s="1998"/>
      <c r="F183" s="943"/>
      <c r="G183" s="563"/>
      <c r="H183" s="563"/>
      <c r="I183" s="2000"/>
      <c r="J183" s="563"/>
      <c r="K183" s="384"/>
      <c r="L183" s="1901"/>
      <c r="M183" s="1823"/>
      <c r="N183" s="1823"/>
      <c r="O183" s="1999"/>
      <c r="P183" s="481"/>
      <c r="Q183" s="481"/>
      <c r="R183" s="482"/>
      <c r="S183" s="482"/>
      <c r="T183" s="482"/>
      <c r="U183" s="482"/>
      <c r="V183" s="384"/>
      <c r="W183" s="563"/>
      <c r="Y183" s="563"/>
      <c r="AA183" s="384"/>
      <c r="AB183" s="384"/>
      <c r="AC183" s="384"/>
      <c r="AD183" s="384"/>
      <c r="AE183" s="384"/>
      <c r="AF183" s="384"/>
      <c r="AG183" s="384"/>
      <c r="AH183" s="384"/>
      <c r="AI183" s="384"/>
      <c r="AJ183" s="384"/>
      <c r="AK183" s="384"/>
      <c r="AL183" s="384"/>
      <c r="AM183" s="384"/>
    </row>
    <row r="184" spans="1:39" ht="15.75" customHeight="1">
      <c r="A184" s="563"/>
      <c r="B184" s="384"/>
      <c r="C184" s="563"/>
      <c r="D184" s="1997"/>
      <c r="E184" s="1998"/>
      <c r="F184" s="943"/>
      <c r="G184" s="563"/>
      <c r="H184" s="563"/>
      <c r="I184" s="2000"/>
      <c r="J184" s="563"/>
      <c r="K184" s="384"/>
      <c r="L184" s="1901"/>
      <c r="M184" s="1823"/>
      <c r="N184" s="1823"/>
      <c r="O184" s="1999"/>
      <c r="P184" s="481"/>
      <c r="Q184" s="481"/>
      <c r="R184" s="482"/>
      <c r="S184" s="482"/>
      <c r="T184" s="482"/>
      <c r="U184" s="482"/>
      <c r="V184" s="384"/>
      <c r="W184" s="563"/>
      <c r="Y184" s="563"/>
      <c r="AA184" s="384"/>
      <c r="AB184" s="384"/>
      <c r="AC184" s="384"/>
      <c r="AD184" s="384"/>
      <c r="AE184" s="384"/>
      <c r="AF184" s="384"/>
      <c r="AG184" s="384"/>
      <c r="AH184" s="384"/>
      <c r="AI184" s="384"/>
      <c r="AJ184" s="384"/>
      <c r="AK184" s="384"/>
      <c r="AL184" s="384"/>
      <c r="AM184" s="384"/>
    </row>
    <row r="185" spans="1:39" ht="15.75" customHeight="1">
      <c r="A185" s="563"/>
      <c r="B185" s="384"/>
      <c r="C185" s="563"/>
      <c r="D185" s="1997"/>
      <c r="E185" s="1998"/>
      <c r="F185" s="943"/>
      <c r="G185" s="563"/>
      <c r="H185" s="563"/>
      <c r="I185" s="2000"/>
      <c r="J185" s="563"/>
      <c r="K185" s="384"/>
      <c r="L185" s="1901"/>
      <c r="M185" s="1823"/>
      <c r="N185" s="1823"/>
      <c r="O185" s="1999"/>
      <c r="P185" s="481"/>
      <c r="Q185" s="481"/>
      <c r="R185" s="482"/>
      <c r="S185" s="482"/>
      <c r="T185" s="482"/>
      <c r="U185" s="482"/>
      <c r="V185" s="384"/>
      <c r="W185" s="563"/>
      <c r="Y185" s="563"/>
      <c r="AA185" s="384"/>
      <c r="AB185" s="384"/>
      <c r="AC185" s="384"/>
      <c r="AD185" s="384"/>
      <c r="AE185" s="384"/>
      <c r="AF185" s="384"/>
      <c r="AG185" s="384"/>
      <c r="AH185" s="384"/>
      <c r="AI185" s="384"/>
      <c r="AJ185" s="384"/>
      <c r="AK185" s="384"/>
      <c r="AL185" s="384"/>
      <c r="AM185" s="384"/>
    </row>
    <row r="186" spans="1:39" ht="15.75" customHeight="1">
      <c r="A186" s="563"/>
      <c r="B186" s="384"/>
      <c r="C186" s="563"/>
      <c r="D186" s="1997"/>
      <c r="E186" s="1998"/>
      <c r="F186" s="943"/>
      <c r="G186" s="563"/>
      <c r="H186" s="563"/>
      <c r="I186" s="2000"/>
      <c r="J186" s="563"/>
      <c r="K186" s="384"/>
      <c r="L186" s="1901"/>
      <c r="M186" s="1823"/>
      <c r="N186" s="1823"/>
      <c r="O186" s="1999"/>
      <c r="P186" s="481"/>
      <c r="Q186" s="481"/>
      <c r="R186" s="482"/>
      <c r="S186" s="482"/>
      <c r="T186" s="482"/>
      <c r="U186" s="482"/>
      <c r="V186" s="384"/>
      <c r="W186" s="563"/>
      <c r="Y186" s="563"/>
      <c r="AA186" s="384"/>
      <c r="AB186" s="384"/>
      <c r="AC186" s="384"/>
      <c r="AD186" s="384"/>
      <c r="AE186" s="384"/>
      <c r="AF186" s="384"/>
      <c r="AG186" s="384"/>
      <c r="AH186" s="384"/>
      <c r="AI186" s="384"/>
      <c r="AJ186" s="384"/>
      <c r="AK186" s="384"/>
      <c r="AL186" s="384"/>
      <c r="AM186" s="384"/>
    </row>
    <row r="187" spans="1:39" ht="15.75" customHeight="1">
      <c r="A187" s="563"/>
      <c r="B187" s="384"/>
      <c r="C187" s="563"/>
      <c r="D187" s="1997"/>
      <c r="E187" s="1998"/>
      <c r="F187" s="943"/>
      <c r="G187" s="563"/>
      <c r="H187" s="563"/>
      <c r="I187" s="2000"/>
      <c r="J187" s="563"/>
      <c r="K187" s="384"/>
      <c r="L187" s="1901"/>
      <c r="M187" s="1823"/>
      <c r="N187" s="1823"/>
      <c r="O187" s="1999"/>
      <c r="P187" s="481"/>
      <c r="Q187" s="481"/>
      <c r="R187" s="482"/>
      <c r="S187" s="482"/>
      <c r="T187" s="482"/>
      <c r="U187" s="482"/>
      <c r="V187" s="384"/>
      <c r="W187" s="563"/>
      <c r="Y187" s="563"/>
      <c r="AA187" s="384"/>
      <c r="AB187" s="384"/>
      <c r="AC187" s="384"/>
      <c r="AD187" s="384"/>
      <c r="AE187" s="384"/>
      <c r="AF187" s="384"/>
      <c r="AG187" s="384"/>
      <c r="AH187" s="384"/>
      <c r="AI187" s="384"/>
      <c r="AJ187" s="384"/>
      <c r="AK187" s="384"/>
      <c r="AL187" s="384"/>
      <c r="AM187" s="384"/>
    </row>
    <row r="188" spans="1:39" ht="15.75" customHeight="1">
      <c r="A188" s="563"/>
      <c r="B188" s="384"/>
      <c r="C188" s="563"/>
      <c r="D188" s="1997"/>
      <c r="E188" s="1998"/>
      <c r="F188" s="943"/>
      <c r="G188" s="563"/>
      <c r="H188" s="563"/>
      <c r="I188" s="2000"/>
      <c r="J188" s="563"/>
      <c r="K188" s="384"/>
      <c r="L188" s="1901"/>
      <c r="M188" s="1823"/>
      <c r="N188" s="1823"/>
      <c r="O188" s="1999"/>
      <c r="P188" s="481"/>
      <c r="Q188" s="481"/>
      <c r="R188" s="482"/>
      <c r="S188" s="482"/>
      <c r="T188" s="482"/>
      <c r="U188" s="482"/>
      <c r="V188" s="384"/>
      <c r="W188" s="563"/>
      <c r="Y188" s="563"/>
      <c r="AA188" s="384"/>
      <c r="AB188" s="384"/>
      <c r="AC188" s="384"/>
      <c r="AD188" s="384"/>
      <c r="AE188" s="384"/>
      <c r="AF188" s="384"/>
      <c r="AG188" s="384"/>
      <c r="AH188" s="384"/>
      <c r="AI188" s="384"/>
      <c r="AJ188" s="384"/>
      <c r="AK188" s="384"/>
      <c r="AL188" s="384"/>
      <c r="AM188" s="384"/>
    </row>
    <row r="189" spans="1:39" ht="15.75" customHeight="1">
      <c r="A189" s="563"/>
      <c r="B189" s="384"/>
      <c r="C189" s="563"/>
      <c r="D189" s="1997"/>
      <c r="E189" s="1998"/>
      <c r="F189" s="965"/>
      <c r="G189" s="563"/>
      <c r="H189" s="563"/>
      <c r="I189" s="2000"/>
      <c r="J189" s="563"/>
      <c r="K189" s="384"/>
      <c r="L189" s="1901"/>
      <c r="M189" s="1823"/>
      <c r="N189" s="1823"/>
      <c r="O189" s="1999"/>
      <c r="P189" s="481"/>
      <c r="Q189" s="481"/>
      <c r="R189" s="482"/>
      <c r="S189" s="482"/>
      <c r="T189" s="482"/>
      <c r="U189" s="482"/>
      <c r="V189" s="384"/>
      <c r="W189" s="563"/>
      <c r="Y189" s="563"/>
      <c r="AA189" s="384"/>
      <c r="AB189" s="384"/>
      <c r="AC189" s="384"/>
      <c r="AD189" s="384"/>
      <c r="AE189" s="384"/>
      <c r="AF189" s="384"/>
      <c r="AG189" s="384"/>
      <c r="AH189" s="384"/>
      <c r="AI189" s="384"/>
      <c r="AJ189" s="384"/>
      <c r="AK189" s="384"/>
      <c r="AL189" s="384"/>
      <c r="AM189" s="384"/>
    </row>
    <row r="190" spans="1:39" ht="15.75" customHeight="1">
      <c r="A190" s="563"/>
      <c r="B190" s="384"/>
      <c r="C190" s="563"/>
      <c r="D190" s="1997"/>
      <c r="E190" s="1998"/>
      <c r="F190" s="943"/>
      <c r="G190" s="563"/>
      <c r="H190" s="563"/>
      <c r="I190" s="2000"/>
      <c r="J190" s="563"/>
      <c r="K190" s="384"/>
      <c r="L190" s="1901"/>
      <c r="M190" s="1823"/>
      <c r="N190" s="1823"/>
      <c r="O190" s="1999"/>
      <c r="P190" s="481"/>
      <c r="Q190" s="481"/>
      <c r="R190" s="482"/>
      <c r="S190" s="482"/>
      <c r="T190" s="482"/>
      <c r="U190" s="482"/>
      <c r="V190" s="384"/>
      <c r="W190" s="563"/>
      <c r="Y190" s="563"/>
      <c r="AA190" s="384"/>
      <c r="AB190" s="384"/>
      <c r="AC190" s="384"/>
      <c r="AD190" s="384"/>
      <c r="AE190" s="384"/>
      <c r="AF190" s="384"/>
      <c r="AG190" s="384"/>
      <c r="AH190" s="384"/>
      <c r="AI190" s="384"/>
      <c r="AJ190" s="384"/>
      <c r="AK190" s="384"/>
      <c r="AL190" s="384"/>
      <c r="AM190" s="384"/>
    </row>
    <row r="191" spans="1:39" ht="15.75" customHeight="1">
      <c r="A191" s="563"/>
      <c r="B191" s="384"/>
      <c r="C191" s="563"/>
      <c r="D191" s="1997"/>
      <c r="E191" s="1998"/>
      <c r="F191" s="943"/>
      <c r="G191" s="563"/>
      <c r="H191" s="563"/>
      <c r="I191" s="2000"/>
      <c r="J191" s="563"/>
      <c r="K191" s="384"/>
      <c r="L191" s="1901"/>
      <c r="M191" s="1823"/>
      <c r="N191" s="1823"/>
      <c r="O191" s="1999"/>
      <c r="P191" s="481"/>
      <c r="Q191" s="481"/>
      <c r="R191" s="482"/>
      <c r="S191" s="482"/>
      <c r="T191" s="482"/>
      <c r="U191" s="482"/>
      <c r="V191" s="384"/>
      <c r="W191" s="563"/>
      <c r="Y191" s="563"/>
      <c r="AA191" s="384"/>
      <c r="AB191" s="384"/>
      <c r="AC191" s="384"/>
      <c r="AD191" s="384"/>
      <c r="AE191" s="384"/>
      <c r="AF191" s="384"/>
      <c r="AG191" s="384"/>
      <c r="AH191" s="384"/>
      <c r="AI191" s="384"/>
      <c r="AJ191" s="384"/>
      <c r="AK191" s="384"/>
      <c r="AL191" s="384"/>
      <c r="AM191" s="384"/>
    </row>
    <row r="192" spans="1:39" ht="15.75" customHeight="1">
      <c r="A192" s="563"/>
      <c r="B192" s="384"/>
      <c r="C192" s="563"/>
      <c r="D192" s="1997"/>
      <c r="E192" s="1998"/>
      <c r="F192" s="943"/>
      <c r="G192" s="563"/>
      <c r="H192" s="563"/>
      <c r="I192" s="2000"/>
      <c r="J192" s="563"/>
      <c r="K192" s="384"/>
      <c r="L192" s="1901"/>
      <c r="M192" s="1823"/>
      <c r="N192" s="1823"/>
      <c r="O192" s="1999"/>
      <c r="P192" s="481"/>
      <c r="Q192" s="481"/>
      <c r="R192" s="482"/>
      <c r="S192" s="482"/>
      <c r="T192" s="482"/>
      <c r="U192" s="482"/>
      <c r="V192" s="384"/>
      <c r="W192" s="563"/>
      <c r="Y192" s="563"/>
      <c r="AA192" s="384"/>
      <c r="AB192" s="384"/>
      <c r="AC192" s="384"/>
      <c r="AD192" s="384"/>
      <c r="AE192" s="384"/>
      <c r="AF192" s="384"/>
      <c r="AG192" s="384"/>
      <c r="AH192" s="384"/>
      <c r="AI192" s="384"/>
      <c r="AJ192" s="384"/>
      <c r="AK192" s="384"/>
      <c r="AL192" s="384"/>
      <c r="AM192" s="384"/>
    </row>
    <row r="193" spans="1:39" ht="15.75" customHeight="1">
      <c r="A193" s="563"/>
      <c r="B193" s="384"/>
      <c r="C193" s="563"/>
      <c r="D193" s="1997"/>
      <c r="E193" s="1998"/>
      <c r="F193" s="943"/>
      <c r="G193" s="563"/>
      <c r="H193" s="563"/>
      <c r="I193" s="2000"/>
      <c r="J193" s="563"/>
      <c r="K193" s="384"/>
      <c r="L193" s="1901"/>
      <c r="M193" s="1823"/>
      <c r="N193" s="1823"/>
      <c r="O193" s="1999"/>
      <c r="P193" s="481"/>
      <c r="Q193" s="481"/>
      <c r="R193" s="482"/>
      <c r="S193" s="482"/>
      <c r="T193" s="482"/>
      <c r="U193" s="482"/>
      <c r="V193" s="384"/>
      <c r="W193" s="563"/>
      <c r="Y193" s="563"/>
      <c r="AA193" s="384"/>
      <c r="AB193" s="384"/>
      <c r="AC193" s="384"/>
      <c r="AD193" s="384"/>
      <c r="AE193" s="384"/>
      <c r="AF193" s="384"/>
      <c r="AG193" s="384"/>
      <c r="AH193" s="384"/>
      <c r="AI193" s="384"/>
      <c r="AJ193" s="384"/>
      <c r="AK193" s="384"/>
      <c r="AL193" s="384"/>
      <c r="AM193" s="384"/>
    </row>
    <row r="194" spans="1:39" ht="15.75" customHeight="1">
      <c r="A194" s="563"/>
      <c r="B194" s="384"/>
      <c r="C194" s="563"/>
      <c r="D194" s="1997"/>
      <c r="E194" s="1998"/>
      <c r="F194" s="943"/>
      <c r="G194" s="563"/>
      <c r="H194" s="563"/>
      <c r="I194" s="2000"/>
      <c r="J194" s="563"/>
      <c r="K194" s="384"/>
      <c r="L194" s="1901"/>
      <c r="M194" s="1823"/>
      <c r="N194" s="1823"/>
      <c r="O194" s="1999"/>
      <c r="P194" s="481"/>
      <c r="Q194" s="481"/>
      <c r="R194" s="482"/>
      <c r="S194" s="482"/>
      <c r="T194" s="482"/>
      <c r="U194" s="482"/>
      <c r="V194" s="384"/>
      <c r="W194" s="563"/>
      <c r="Y194" s="563"/>
      <c r="AA194" s="384"/>
      <c r="AB194" s="384"/>
      <c r="AC194" s="384"/>
      <c r="AD194" s="384"/>
      <c r="AE194" s="384"/>
      <c r="AF194" s="384"/>
      <c r="AG194" s="384"/>
      <c r="AH194" s="384"/>
      <c r="AI194" s="384"/>
      <c r="AJ194" s="384"/>
      <c r="AK194" s="384"/>
      <c r="AL194" s="384"/>
      <c r="AM194" s="384"/>
    </row>
    <row r="195" spans="1:39" ht="15.75" customHeight="1">
      <c r="A195" s="563"/>
      <c r="B195" s="384"/>
      <c r="C195" s="563"/>
      <c r="D195" s="1997"/>
      <c r="E195" s="1998"/>
      <c r="F195" s="943"/>
      <c r="G195" s="563"/>
      <c r="H195" s="563"/>
      <c r="I195" s="2000"/>
      <c r="J195" s="563"/>
      <c r="K195" s="384"/>
      <c r="L195" s="1901"/>
      <c r="M195" s="1823"/>
      <c r="N195" s="1823"/>
      <c r="O195" s="1999"/>
      <c r="P195" s="481"/>
      <c r="Q195" s="481"/>
      <c r="R195" s="482"/>
      <c r="S195" s="482"/>
      <c r="T195" s="482"/>
      <c r="U195" s="482"/>
      <c r="V195" s="384"/>
      <c r="W195" s="563"/>
      <c r="Y195" s="563"/>
      <c r="AA195" s="384"/>
      <c r="AB195" s="384"/>
      <c r="AC195" s="384"/>
      <c r="AD195" s="384"/>
      <c r="AE195" s="384"/>
      <c r="AF195" s="384"/>
      <c r="AG195" s="384"/>
      <c r="AH195" s="384"/>
      <c r="AI195" s="384"/>
      <c r="AJ195" s="384"/>
      <c r="AK195" s="384"/>
      <c r="AL195" s="384"/>
      <c r="AM195" s="384"/>
    </row>
    <row r="196" spans="1:39" ht="15.75" customHeight="1">
      <c r="A196" s="563"/>
      <c r="B196" s="384"/>
      <c r="C196" s="563"/>
      <c r="D196" s="1997"/>
      <c r="E196" s="1998"/>
      <c r="F196" s="943"/>
      <c r="G196" s="563"/>
      <c r="H196" s="563"/>
      <c r="I196" s="2000"/>
      <c r="J196" s="563"/>
      <c r="K196" s="384"/>
      <c r="L196" s="1901"/>
      <c r="M196" s="1823"/>
      <c r="N196" s="1823"/>
      <c r="O196" s="1999"/>
      <c r="P196" s="481"/>
      <c r="Q196" s="481"/>
      <c r="R196" s="482"/>
      <c r="S196" s="482"/>
      <c r="T196" s="482"/>
      <c r="U196" s="482"/>
      <c r="V196" s="384"/>
      <c r="W196" s="563"/>
      <c r="Y196" s="563"/>
      <c r="AA196" s="384"/>
      <c r="AB196" s="384"/>
      <c r="AC196" s="384"/>
      <c r="AD196" s="384"/>
      <c r="AE196" s="384"/>
      <c r="AF196" s="384"/>
      <c r="AG196" s="384"/>
      <c r="AH196" s="384"/>
      <c r="AI196" s="384"/>
      <c r="AJ196" s="384"/>
      <c r="AK196" s="384"/>
      <c r="AL196" s="384"/>
      <c r="AM196" s="384"/>
    </row>
    <row r="197" spans="1:39" ht="15.75" customHeight="1">
      <c r="A197" s="563"/>
      <c r="B197" s="384"/>
      <c r="C197" s="563"/>
      <c r="D197" s="1997"/>
      <c r="E197" s="1998"/>
      <c r="F197" s="943"/>
      <c r="G197" s="563"/>
      <c r="H197" s="563"/>
      <c r="I197" s="2000"/>
      <c r="J197" s="563"/>
      <c r="K197" s="384"/>
      <c r="L197" s="1901"/>
      <c r="M197" s="1823"/>
      <c r="N197" s="1823"/>
      <c r="O197" s="1999"/>
      <c r="P197" s="481"/>
      <c r="Q197" s="481"/>
      <c r="R197" s="482"/>
      <c r="S197" s="482"/>
      <c r="T197" s="482"/>
      <c r="U197" s="482"/>
      <c r="V197" s="384"/>
      <c r="W197" s="563"/>
      <c r="Y197" s="563"/>
      <c r="AA197" s="384"/>
      <c r="AB197" s="384"/>
      <c r="AC197" s="384"/>
      <c r="AD197" s="384"/>
      <c r="AE197" s="384"/>
      <c r="AF197" s="384"/>
      <c r="AG197" s="384"/>
      <c r="AH197" s="384"/>
      <c r="AI197" s="384"/>
      <c r="AJ197" s="384"/>
      <c r="AK197" s="384"/>
      <c r="AL197" s="384"/>
      <c r="AM197" s="384"/>
    </row>
    <row r="198" spans="1:39" ht="15.75" customHeight="1">
      <c r="A198" s="563"/>
      <c r="B198" s="384"/>
      <c r="C198" s="563"/>
      <c r="D198" s="1997"/>
      <c r="E198" s="1998"/>
      <c r="F198" s="943"/>
      <c r="G198" s="563"/>
      <c r="H198" s="563"/>
      <c r="I198" s="2000"/>
      <c r="J198" s="563"/>
      <c r="K198" s="384"/>
      <c r="L198" s="1901"/>
      <c r="M198" s="1823"/>
      <c r="N198" s="1823"/>
      <c r="O198" s="1999"/>
      <c r="P198" s="481"/>
      <c r="Q198" s="481"/>
      <c r="R198" s="482"/>
      <c r="S198" s="482"/>
      <c r="T198" s="482"/>
      <c r="U198" s="482"/>
      <c r="V198" s="384"/>
      <c r="W198" s="563"/>
      <c r="Y198" s="563"/>
      <c r="AA198" s="384"/>
      <c r="AB198" s="384"/>
      <c r="AC198" s="384"/>
      <c r="AD198" s="384"/>
      <c r="AE198" s="384"/>
      <c r="AF198" s="384"/>
      <c r="AG198" s="384"/>
      <c r="AH198" s="384"/>
      <c r="AI198" s="384"/>
      <c r="AJ198" s="384"/>
      <c r="AK198" s="384"/>
      <c r="AL198" s="384"/>
      <c r="AM198" s="384"/>
    </row>
    <row r="199" spans="1:39" ht="15.75" customHeight="1">
      <c r="A199" s="563"/>
      <c r="B199" s="384"/>
      <c r="C199" s="563"/>
      <c r="D199" s="1997"/>
      <c r="E199" s="1998"/>
      <c r="F199" s="943"/>
      <c r="G199" s="563"/>
      <c r="H199" s="563"/>
      <c r="I199" s="2000"/>
      <c r="J199" s="563"/>
      <c r="K199" s="384"/>
      <c r="L199" s="1901"/>
      <c r="M199" s="1823"/>
      <c r="N199" s="1823"/>
      <c r="O199" s="1999"/>
      <c r="P199" s="481"/>
      <c r="Q199" s="481"/>
      <c r="R199" s="482"/>
      <c r="S199" s="482"/>
      <c r="T199" s="482"/>
      <c r="U199" s="482"/>
      <c r="V199" s="384"/>
      <c r="W199" s="563"/>
      <c r="Y199" s="563"/>
      <c r="AA199" s="384"/>
      <c r="AB199" s="384"/>
      <c r="AC199" s="384"/>
      <c r="AD199" s="384"/>
      <c r="AE199" s="384"/>
      <c r="AF199" s="384"/>
      <c r="AG199" s="384"/>
      <c r="AH199" s="384"/>
      <c r="AI199" s="384"/>
      <c r="AJ199" s="384"/>
      <c r="AK199" s="384"/>
      <c r="AL199" s="384"/>
      <c r="AM199" s="384"/>
    </row>
    <row r="200" spans="1:39" ht="15.75" customHeight="1">
      <c r="A200" s="563"/>
      <c r="B200" s="384"/>
      <c r="C200" s="563"/>
      <c r="D200" s="1997"/>
      <c r="E200" s="1998"/>
      <c r="F200" s="943"/>
      <c r="G200" s="563"/>
      <c r="H200" s="563"/>
      <c r="I200" s="2000"/>
      <c r="J200" s="563"/>
      <c r="K200" s="384"/>
      <c r="L200" s="1901"/>
      <c r="M200" s="1823"/>
      <c r="N200" s="1823"/>
      <c r="O200" s="1999"/>
      <c r="P200" s="481"/>
      <c r="Q200" s="481"/>
      <c r="R200" s="482"/>
      <c r="S200" s="482"/>
      <c r="T200" s="482"/>
      <c r="U200" s="482"/>
      <c r="V200" s="384"/>
      <c r="W200" s="563"/>
      <c r="Y200" s="563"/>
      <c r="AA200" s="384"/>
      <c r="AB200" s="384"/>
      <c r="AC200" s="384"/>
      <c r="AD200" s="384"/>
      <c r="AE200" s="384"/>
      <c r="AF200" s="384"/>
      <c r="AG200" s="384"/>
      <c r="AH200" s="384"/>
      <c r="AI200" s="384"/>
      <c r="AJ200" s="384"/>
      <c r="AK200" s="384"/>
      <c r="AL200" s="384"/>
      <c r="AM200" s="384"/>
    </row>
    <row r="201" spans="1:39" ht="15.75" customHeight="1">
      <c r="A201" s="563"/>
      <c r="B201" s="384"/>
      <c r="C201" s="563"/>
      <c r="D201" s="1997"/>
      <c r="E201" s="1998"/>
      <c r="F201" s="1950"/>
      <c r="G201" s="563"/>
      <c r="H201" s="563"/>
      <c r="I201" s="2000"/>
      <c r="J201" s="563"/>
      <c r="K201" s="384"/>
      <c r="L201" s="1901"/>
      <c r="M201" s="1823"/>
      <c r="N201" s="1823"/>
      <c r="O201" s="1999"/>
      <c r="P201" s="481"/>
      <c r="Q201" s="481"/>
      <c r="R201" s="482"/>
      <c r="S201" s="482"/>
      <c r="T201" s="482"/>
      <c r="U201" s="482"/>
      <c r="V201" s="384"/>
      <c r="W201" s="563"/>
      <c r="Y201" s="563"/>
      <c r="AA201" s="384"/>
      <c r="AB201" s="384"/>
      <c r="AC201" s="384"/>
      <c r="AD201" s="384"/>
      <c r="AE201" s="384"/>
      <c r="AF201" s="384"/>
      <c r="AG201" s="384"/>
      <c r="AH201" s="384"/>
      <c r="AI201" s="384"/>
      <c r="AJ201" s="384"/>
      <c r="AK201" s="384"/>
      <c r="AL201" s="384"/>
      <c r="AM201" s="384"/>
    </row>
    <row r="202" spans="1:39" ht="15.75" customHeight="1">
      <c r="A202" s="563"/>
      <c r="B202" s="384"/>
      <c r="C202" s="563"/>
      <c r="D202" s="1997"/>
      <c r="E202" s="1998"/>
      <c r="F202" s="1951"/>
      <c r="G202" s="563"/>
      <c r="H202" s="563"/>
      <c r="I202" s="2000"/>
      <c r="J202" s="563"/>
      <c r="K202" s="384"/>
      <c r="L202" s="1901"/>
      <c r="M202" s="1823"/>
      <c r="N202" s="1823"/>
      <c r="O202" s="1999"/>
      <c r="P202" s="481"/>
      <c r="Q202" s="481"/>
      <c r="R202" s="482"/>
      <c r="S202" s="482"/>
      <c r="T202" s="482"/>
      <c r="U202" s="482"/>
      <c r="V202" s="384"/>
      <c r="W202" s="563"/>
      <c r="Y202" s="563"/>
      <c r="AA202" s="384"/>
      <c r="AB202" s="384"/>
      <c r="AC202" s="384"/>
      <c r="AD202" s="384"/>
      <c r="AE202" s="384"/>
      <c r="AF202" s="384"/>
      <c r="AG202" s="384"/>
      <c r="AH202" s="384"/>
      <c r="AI202" s="384"/>
      <c r="AJ202" s="384"/>
      <c r="AK202" s="384"/>
      <c r="AL202" s="384"/>
      <c r="AM202" s="384"/>
    </row>
    <row r="203" spans="1:39" ht="15.75" customHeight="1">
      <c r="A203" s="563"/>
      <c r="B203" s="384"/>
      <c r="C203" s="563"/>
      <c r="D203" s="1997"/>
      <c r="E203" s="1998"/>
      <c r="F203" s="943"/>
      <c r="G203" s="563"/>
      <c r="H203" s="563"/>
      <c r="I203" s="2000"/>
      <c r="J203" s="563"/>
      <c r="K203" s="384"/>
      <c r="L203" s="1901"/>
      <c r="M203" s="1823"/>
      <c r="N203" s="1823"/>
      <c r="O203" s="1999"/>
      <c r="P203" s="481"/>
      <c r="Q203" s="481"/>
      <c r="R203" s="482"/>
      <c r="S203" s="482"/>
      <c r="T203" s="482"/>
      <c r="U203" s="482"/>
      <c r="V203" s="384"/>
      <c r="W203" s="563"/>
      <c r="Y203" s="563"/>
      <c r="AA203" s="384"/>
      <c r="AB203" s="384"/>
      <c r="AC203" s="384"/>
      <c r="AD203" s="384"/>
      <c r="AE203" s="384"/>
      <c r="AF203" s="384"/>
      <c r="AG203" s="384"/>
      <c r="AH203" s="384"/>
      <c r="AI203" s="384"/>
      <c r="AJ203" s="384"/>
      <c r="AK203" s="384"/>
      <c r="AL203" s="384"/>
      <c r="AM203" s="384"/>
    </row>
    <row r="204" spans="1:39" ht="15.75" customHeight="1">
      <c r="A204" s="563"/>
      <c r="B204" s="384"/>
      <c r="C204" s="563"/>
      <c r="D204" s="1997"/>
      <c r="E204" s="1998"/>
      <c r="F204" s="1950"/>
      <c r="G204" s="563"/>
      <c r="H204" s="563"/>
      <c r="I204" s="2000"/>
      <c r="J204" s="563"/>
      <c r="K204" s="384"/>
      <c r="L204" s="1901"/>
      <c r="M204" s="1823"/>
      <c r="N204" s="1823"/>
      <c r="O204" s="1999"/>
      <c r="P204" s="481"/>
      <c r="Q204" s="481"/>
      <c r="R204" s="482"/>
      <c r="S204" s="482"/>
      <c r="T204" s="482"/>
      <c r="U204" s="482"/>
      <c r="V204" s="384"/>
      <c r="W204" s="563"/>
      <c r="Y204" s="563"/>
      <c r="AA204" s="384"/>
      <c r="AB204" s="384"/>
      <c r="AC204" s="384"/>
      <c r="AD204" s="384"/>
      <c r="AE204" s="384"/>
      <c r="AF204" s="384"/>
      <c r="AG204" s="384"/>
      <c r="AH204" s="384"/>
      <c r="AI204" s="384"/>
      <c r="AJ204" s="384"/>
      <c r="AK204" s="384"/>
      <c r="AL204" s="384"/>
      <c r="AM204" s="384"/>
    </row>
    <row r="205" spans="1:39" ht="15.75" customHeight="1">
      <c r="A205" s="563"/>
      <c r="B205" s="384"/>
      <c r="C205" s="563"/>
      <c r="D205" s="1997"/>
      <c r="E205" s="1998"/>
      <c r="F205" s="943"/>
      <c r="G205" s="563"/>
      <c r="H205" s="563"/>
      <c r="I205" s="2000"/>
      <c r="J205" s="563"/>
      <c r="K205" s="384"/>
      <c r="L205" s="1901"/>
      <c r="M205" s="1823"/>
      <c r="N205" s="1823"/>
      <c r="O205" s="1999"/>
      <c r="P205" s="481"/>
      <c r="Q205" s="481"/>
      <c r="R205" s="482"/>
      <c r="S205" s="482"/>
      <c r="T205" s="482"/>
      <c r="U205" s="482"/>
      <c r="V205" s="384"/>
      <c r="W205" s="563"/>
      <c r="Y205" s="563"/>
      <c r="AA205" s="384"/>
      <c r="AB205" s="384"/>
      <c r="AC205" s="384"/>
      <c r="AD205" s="384"/>
      <c r="AE205" s="384"/>
      <c r="AF205" s="384"/>
      <c r="AG205" s="384"/>
      <c r="AH205" s="384"/>
      <c r="AI205" s="384"/>
      <c r="AJ205" s="384"/>
      <c r="AK205" s="384"/>
      <c r="AL205" s="384"/>
      <c r="AM205" s="384"/>
    </row>
    <row r="206" spans="1:39" ht="15.75" customHeight="1">
      <c r="A206" s="563"/>
      <c r="B206" s="384"/>
      <c r="C206" s="563"/>
      <c r="D206" s="1997"/>
      <c r="E206" s="1998"/>
      <c r="F206" s="943"/>
      <c r="G206" s="563"/>
      <c r="H206" s="563"/>
      <c r="I206" s="2000"/>
      <c r="J206" s="563"/>
      <c r="K206" s="384"/>
      <c r="L206" s="1901"/>
      <c r="M206" s="1823"/>
      <c r="N206" s="1823"/>
      <c r="O206" s="1999"/>
      <c r="P206" s="481"/>
      <c r="Q206" s="481"/>
      <c r="R206" s="482"/>
      <c r="S206" s="482"/>
      <c r="T206" s="482"/>
      <c r="U206" s="482"/>
      <c r="V206" s="384"/>
      <c r="W206" s="563"/>
      <c r="Y206" s="563"/>
      <c r="AA206" s="384"/>
      <c r="AB206" s="384"/>
      <c r="AC206" s="384"/>
      <c r="AD206" s="384"/>
      <c r="AE206" s="384"/>
      <c r="AF206" s="384"/>
      <c r="AG206" s="384"/>
      <c r="AH206" s="384"/>
      <c r="AI206" s="384"/>
      <c r="AJ206" s="384"/>
      <c r="AK206" s="384"/>
      <c r="AL206" s="384"/>
      <c r="AM206" s="384"/>
    </row>
    <row r="207" spans="1:39" ht="15.75" customHeight="1">
      <c r="A207" s="563"/>
      <c r="B207" s="384"/>
      <c r="C207" s="563"/>
      <c r="D207" s="1997"/>
      <c r="E207" s="1998"/>
      <c r="F207" s="943"/>
      <c r="G207" s="563"/>
      <c r="H207" s="563"/>
      <c r="I207" s="2000"/>
      <c r="J207" s="563"/>
      <c r="K207" s="384"/>
      <c r="L207" s="1901"/>
      <c r="M207" s="1823"/>
      <c r="N207" s="1823"/>
      <c r="O207" s="1999"/>
      <c r="P207" s="481"/>
      <c r="Q207" s="481"/>
      <c r="R207" s="482"/>
      <c r="S207" s="482"/>
      <c r="T207" s="482"/>
      <c r="U207" s="482"/>
      <c r="V207" s="384"/>
      <c r="W207" s="563"/>
      <c r="Y207" s="563"/>
      <c r="AA207" s="384"/>
      <c r="AB207" s="384"/>
      <c r="AC207" s="384"/>
      <c r="AD207" s="384"/>
      <c r="AE207" s="384"/>
      <c r="AF207" s="384"/>
      <c r="AG207" s="384"/>
      <c r="AH207" s="384"/>
      <c r="AI207" s="384"/>
      <c r="AJ207" s="384"/>
      <c r="AK207" s="384"/>
      <c r="AL207" s="384"/>
      <c r="AM207" s="384"/>
    </row>
    <row r="208" spans="1:39" ht="15.75" customHeight="1">
      <c r="A208" s="563"/>
      <c r="B208" s="384"/>
      <c r="C208" s="563"/>
      <c r="D208" s="1997"/>
      <c r="E208" s="1998"/>
      <c r="F208" s="943"/>
      <c r="G208" s="563"/>
      <c r="H208" s="563"/>
      <c r="I208" s="2000"/>
      <c r="J208" s="563"/>
      <c r="K208" s="384"/>
      <c r="L208" s="1901"/>
      <c r="M208" s="1823"/>
      <c r="N208" s="1823"/>
      <c r="O208" s="1999"/>
      <c r="P208" s="481"/>
      <c r="Q208" s="481"/>
      <c r="R208" s="482"/>
      <c r="S208" s="482"/>
      <c r="T208" s="482"/>
      <c r="U208" s="482"/>
      <c r="V208" s="384"/>
      <c r="W208" s="563"/>
      <c r="Y208" s="563"/>
      <c r="AA208" s="384"/>
      <c r="AB208" s="384"/>
      <c r="AC208" s="384"/>
      <c r="AD208" s="384"/>
      <c r="AE208" s="384"/>
      <c r="AF208" s="384"/>
      <c r="AG208" s="384"/>
      <c r="AH208" s="384"/>
      <c r="AI208" s="384"/>
      <c r="AJ208" s="384"/>
      <c r="AK208" s="384"/>
      <c r="AL208" s="384"/>
      <c r="AM208" s="384"/>
    </row>
    <row r="209" spans="1:39" ht="15.75" customHeight="1">
      <c r="A209" s="563"/>
      <c r="B209" s="384"/>
      <c r="C209" s="563"/>
      <c r="D209" s="1997"/>
      <c r="E209" s="1998"/>
      <c r="F209" s="943"/>
      <c r="G209" s="563"/>
      <c r="H209" s="563"/>
      <c r="I209" s="2000"/>
      <c r="J209" s="563"/>
      <c r="K209" s="384"/>
      <c r="L209" s="1901"/>
      <c r="M209" s="1823"/>
      <c r="N209" s="1823"/>
      <c r="O209" s="1999"/>
      <c r="P209" s="481"/>
      <c r="Q209" s="481"/>
      <c r="R209" s="482"/>
      <c r="S209" s="482"/>
      <c r="T209" s="482"/>
      <c r="U209" s="482"/>
      <c r="V209" s="384"/>
      <c r="W209" s="563"/>
      <c r="Y209" s="563"/>
      <c r="AA209" s="384"/>
      <c r="AB209" s="384"/>
      <c r="AC209" s="384"/>
      <c r="AD209" s="384"/>
      <c r="AE209" s="384"/>
      <c r="AF209" s="384"/>
      <c r="AG209" s="384"/>
      <c r="AH209" s="384"/>
      <c r="AI209" s="384"/>
      <c r="AJ209" s="384"/>
      <c r="AK209" s="384"/>
      <c r="AL209" s="384"/>
      <c r="AM209" s="384"/>
    </row>
    <row r="210" spans="1:39" ht="15.75" customHeight="1">
      <c r="A210" s="563"/>
      <c r="B210" s="384"/>
      <c r="C210" s="563"/>
      <c r="D210" s="1997"/>
      <c r="E210" s="1998"/>
      <c r="F210" s="943"/>
      <c r="G210" s="563"/>
      <c r="H210" s="563"/>
      <c r="I210" s="2000"/>
      <c r="J210" s="563"/>
      <c r="K210" s="384"/>
      <c r="L210" s="1901"/>
      <c r="M210" s="1823"/>
      <c r="N210" s="1823"/>
      <c r="O210" s="1999"/>
      <c r="P210" s="481"/>
      <c r="Q210" s="481"/>
      <c r="R210" s="482"/>
      <c r="S210" s="482"/>
      <c r="T210" s="482"/>
      <c r="U210" s="482"/>
      <c r="V210" s="384"/>
      <c r="W210" s="563"/>
      <c r="Y210" s="563"/>
      <c r="AA210" s="384"/>
      <c r="AB210" s="384"/>
      <c r="AC210" s="384"/>
      <c r="AD210" s="384"/>
      <c r="AE210" s="384"/>
      <c r="AF210" s="384"/>
      <c r="AG210" s="384"/>
      <c r="AH210" s="384"/>
      <c r="AI210" s="384"/>
      <c r="AJ210" s="384"/>
      <c r="AK210" s="384"/>
      <c r="AL210" s="384"/>
      <c r="AM210" s="384"/>
    </row>
    <row r="211" spans="1:39" ht="15.75" customHeight="1">
      <c r="A211" s="563"/>
      <c r="B211" s="384"/>
      <c r="C211" s="563"/>
      <c r="D211" s="1997"/>
      <c r="E211" s="1998"/>
      <c r="F211" s="943"/>
      <c r="G211" s="563"/>
      <c r="H211" s="563"/>
      <c r="I211" s="2000"/>
      <c r="J211" s="563"/>
      <c r="K211" s="384"/>
      <c r="L211" s="1901"/>
      <c r="M211" s="1823"/>
      <c r="N211" s="1823"/>
      <c r="O211" s="1999"/>
      <c r="P211" s="481"/>
      <c r="Q211" s="481"/>
      <c r="R211" s="482"/>
      <c r="S211" s="482"/>
      <c r="T211" s="482"/>
      <c r="U211" s="482"/>
      <c r="V211" s="384"/>
      <c r="W211" s="563"/>
      <c r="Y211" s="563"/>
      <c r="AA211" s="384"/>
      <c r="AB211" s="384"/>
      <c r="AC211" s="384"/>
      <c r="AD211" s="384"/>
      <c r="AE211" s="384"/>
      <c r="AF211" s="384"/>
      <c r="AG211" s="384"/>
      <c r="AH211" s="384"/>
      <c r="AI211" s="384"/>
      <c r="AJ211" s="384"/>
      <c r="AK211" s="384"/>
      <c r="AL211" s="384"/>
      <c r="AM211" s="384"/>
    </row>
    <row r="212" spans="1:39" ht="15.75" customHeight="1">
      <c r="A212" s="563"/>
      <c r="B212" s="384"/>
      <c r="C212" s="563"/>
      <c r="D212" s="1997"/>
      <c r="E212" s="1998"/>
      <c r="F212" s="943"/>
      <c r="G212" s="563"/>
      <c r="H212" s="563"/>
      <c r="I212" s="2000"/>
      <c r="J212" s="563"/>
      <c r="K212" s="384"/>
      <c r="L212" s="1901"/>
      <c r="M212" s="1823"/>
      <c r="N212" s="1823"/>
      <c r="O212" s="1999"/>
      <c r="P212" s="481"/>
      <c r="Q212" s="481"/>
      <c r="R212" s="482"/>
      <c r="S212" s="482"/>
      <c r="T212" s="482"/>
      <c r="U212" s="482"/>
      <c r="V212" s="384"/>
      <c r="W212" s="563"/>
      <c r="Y212" s="563"/>
      <c r="AA212" s="384"/>
      <c r="AB212" s="384"/>
      <c r="AC212" s="384"/>
      <c r="AD212" s="384"/>
      <c r="AE212" s="384"/>
      <c r="AF212" s="384"/>
      <c r="AG212" s="384"/>
      <c r="AH212" s="384"/>
      <c r="AI212" s="384"/>
      <c r="AJ212" s="384"/>
      <c r="AK212" s="384"/>
      <c r="AL212" s="384"/>
      <c r="AM212" s="384"/>
    </row>
    <row r="213" spans="1:39" ht="15.75" customHeight="1">
      <c r="A213" s="563"/>
      <c r="B213" s="384"/>
      <c r="C213" s="563"/>
      <c r="D213" s="1997"/>
      <c r="E213" s="1998"/>
      <c r="F213" s="943"/>
      <c r="G213" s="563"/>
      <c r="H213" s="563"/>
      <c r="I213" s="2000"/>
      <c r="J213" s="563"/>
      <c r="K213" s="384"/>
      <c r="L213" s="1901"/>
      <c r="M213" s="1823"/>
      <c r="N213" s="1823"/>
      <c r="O213" s="1999"/>
      <c r="P213" s="481"/>
      <c r="Q213" s="481"/>
      <c r="R213" s="482"/>
      <c r="S213" s="482"/>
      <c r="T213" s="482"/>
      <c r="U213" s="482"/>
      <c r="V213" s="384"/>
      <c r="W213" s="563"/>
      <c r="Y213" s="563"/>
      <c r="AA213" s="384"/>
      <c r="AB213" s="384"/>
      <c r="AC213" s="384"/>
      <c r="AD213" s="384"/>
      <c r="AE213" s="384"/>
      <c r="AF213" s="384"/>
      <c r="AG213" s="384"/>
      <c r="AH213" s="384"/>
      <c r="AI213" s="384"/>
      <c r="AJ213" s="384"/>
      <c r="AK213" s="384"/>
      <c r="AL213" s="384"/>
      <c r="AM213" s="384"/>
    </row>
    <row r="214" spans="1:39" ht="15.75" customHeight="1">
      <c r="A214" s="563"/>
      <c r="B214" s="384"/>
      <c r="C214" s="563"/>
      <c r="D214" s="1997"/>
      <c r="E214" s="1998"/>
      <c r="F214" s="137"/>
      <c r="G214" s="563"/>
      <c r="H214" s="563"/>
      <c r="I214" s="2000"/>
      <c r="J214" s="563"/>
      <c r="K214" s="384"/>
      <c r="L214" s="1901"/>
      <c r="M214" s="1823"/>
      <c r="N214" s="1823"/>
      <c r="O214" s="1999"/>
      <c r="P214" s="481"/>
      <c r="Q214" s="481"/>
      <c r="R214" s="482"/>
      <c r="S214" s="482"/>
      <c r="T214" s="482"/>
      <c r="U214" s="482"/>
      <c r="V214" s="384"/>
      <c r="W214" s="563"/>
      <c r="Y214" s="563"/>
      <c r="AA214" s="384"/>
      <c r="AB214" s="384"/>
      <c r="AC214" s="384"/>
      <c r="AD214" s="384"/>
      <c r="AE214" s="384"/>
      <c r="AF214" s="384"/>
      <c r="AG214" s="384"/>
      <c r="AH214" s="384"/>
      <c r="AI214" s="384"/>
      <c r="AJ214" s="384"/>
      <c r="AK214" s="384"/>
      <c r="AL214" s="384"/>
      <c r="AM214" s="384"/>
    </row>
    <row r="215" spans="1:39" ht="15.75" customHeight="1">
      <c r="A215" s="563"/>
      <c r="B215" s="384"/>
      <c r="C215" s="563"/>
      <c r="D215" s="1997"/>
      <c r="E215" s="1998"/>
      <c r="F215" s="943"/>
      <c r="G215" s="563"/>
      <c r="H215" s="563"/>
      <c r="I215" s="2000"/>
      <c r="J215" s="563"/>
      <c r="K215" s="384"/>
      <c r="L215" s="1901"/>
      <c r="M215" s="1823"/>
      <c r="N215" s="1823"/>
      <c r="O215" s="1999"/>
      <c r="P215" s="481"/>
      <c r="Q215" s="481"/>
      <c r="R215" s="482"/>
      <c r="S215" s="482"/>
      <c r="T215" s="482"/>
      <c r="U215" s="482"/>
      <c r="V215" s="384"/>
      <c r="W215" s="563"/>
      <c r="Y215" s="563"/>
      <c r="AA215" s="384"/>
      <c r="AB215" s="384"/>
      <c r="AC215" s="384"/>
      <c r="AD215" s="384"/>
      <c r="AE215" s="384"/>
      <c r="AF215" s="384"/>
      <c r="AG215" s="384"/>
      <c r="AH215" s="384"/>
      <c r="AI215" s="384"/>
      <c r="AJ215" s="384"/>
      <c r="AK215" s="384"/>
      <c r="AL215" s="384"/>
      <c r="AM215" s="384"/>
    </row>
    <row r="216" spans="1:39" ht="15.75" customHeight="1">
      <c r="A216" s="563"/>
      <c r="B216" s="384"/>
      <c r="C216" s="563"/>
      <c r="D216" s="1997"/>
      <c r="E216" s="1998"/>
      <c r="F216" s="943"/>
      <c r="G216" s="563"/>
      <c r="H216" s="563"/>
      <c r="I216" s="2000"/>
      <c r="J216" s="563"/>
      <c r="K216" s="384"/>
      <c r="L216" s="1901"/>
      <c r="M216" s="1823"/>
      <c r="N216" s="1823"/>
      <c r="O216" s="1999"/>
      <c r="P216" s="481"/>
      <c r="Q216" s="481"/>
      <c r="R216" s="482"/>
      <c r="S216" s="482"/>
      <c r="T216" s="482"/>
      <c r="U216" s="482"/>
      <c r="V216" s="384"/>
      <c r="W216" s="563"/>
      <c r="Y216" s="563"/>
      <c r="AA216" s="384"/>
      <c r="AB216" s="384"/>
      <c r="AC216" s="384"/>
      <c r="AD216" s="384"/>
      <c r="AE216" s="384"/>
      <c r="AF216" s="384"/>
      <c r="AG216" s="384"/>
      <c r="AH216" s="384"/>
      <c r="AI216" s="384"/>
      <c r="AJ216" s="384"/>
      <c r="AK216" s="384"/>
      <c r="AL216" s="384"/>
      <c r="AM216" s="384"/>
    </row>
    <row r="217" spans="1:39" ht="15.75" customHeight="1">
      <c r="A217" s="563"/>
      <c r="B217" s="384"/>
      <c r="C217" s="563"/>
      <c r="D217" s="1997"/>
      <c r="E217" s="1998"/>
      <c r="F217" s="137"/>
      <c r="G217" s="563"/>
      <c r="H217" s="563"/>
      <c r="I217" s="2000"/>
      <c r="J217" s="563"/>
      <c r="K217" s="384"/>
      <c r="L217" s="1901"/>
      <c r="M217" s="1823"/>
      <c r="N217" s="1823"/>
      <c r="O217" s="1999"/>
      <c r="P217" s="481"/>
      <c r="Q217" s="481"/>
      <c r="R217" s="482"/>
      <c r="S217" s="482"/>
      <c r="T217" s="482"/>
      <c r="U217" s="482"/>
      <c r="V217" s="384"/>
      <c r="W217" s="563"/>
      <c r="Y217" s="563"/>
      <c r="AA217" s="384"/>
      <c r="AB217" s="384"/>
      <c r="AC217" s="384"/>
      <c r="AD217" s="384"/>
      <c r="AE217" s="384"/>
      <c r="AF217" s="384"/>
      <c r="AG217" s="384"/>
      <c r="AH217" s="384"/>
      <c r="AI217" s="384"/>
      <c r="AJ217" s="384"/>
      <c r="AK217" s="384"/>
      <c r="AL217" s="384"/>
      <c r="AM217" s="384"/>
    </row>
    <row r="218" spans="1:39" ht="15.75" customHeight="1">
      <c r="A218" s="563"/>
      <c r="B218" s="384"/>
      <c r="C218" s="563"/>
      <c r="D218" s="1997"/>
      <c r="E218" s="1998"/>
      <c r="F218" s="1948"/>
      <c r="G218" s="563"/>
      <c r="H218" s="563"/>
      <c r="I218" s="2000"/>
      <c r="J218" s="563"/>
      <c r="K218" s="384"/>
      <c r="L218" s="1901"/>
      <c r="M218" s="1823"/>
      <c r="N218" s="1823"/>
      <c r="O218" s="1999"/>
      <c r="P218" s="481"/>
      <c r="Q218" s="481"/>
      <c r="R218" s="482"/>
      <c r="S218" s="482"/>
      <c r="T218" s="482"/>
      <c r="U218" s="482"/>
      <c r="V218" s="384"/>
      <c r="W218" s="563"/>
      <c r="Y218" s="563"/>
      <c r="AA218" s="384"/>
      <c r="AB218" s="384"/>
      <c r="AC218" s="384"/>
      <c r="AD218" s="384"/>
      <c r="AE218" s="384"/>
      <c r="AF218" s="384"/>
      <c r="AG218" s="384"/>
      <c r="AH218" s="384"/>
      <c r="AI218" s="384"/>
      <c r="AJ218" s="384"/>
      <c r="AK218" s="384"/>
      <c r="AL218" s="384"/>
      <c r="AM218" s="384"/>
    </row>
    <row r="219" spans="1:39" ht="15.75" customHeight="1">
      <c r="A219" s="563"/>
      <c r="B219" s="384"/>
      <c r="C219" s="563"/>
      <c r="D219" s="1997"/>
      <c r="E219" s="1998"/>
      <c r="F219" s="943"/>
      <c r="G219" s="563"/>
      <c r="H219" s="563"/>
      <c r="I219" s="2000"/>
      <c r="J219" s="563"/>
      <c r="K219" s="384"/>
      <c r="L219" s="1901"/>
      <c r="M219" s="1823"/>
      <c r="N219" s="1823"/>
      <c r="O219" s="1999"/>
      <c r="P219" s="481"/>
      <c r="Q219" s="481"/>
      <c r="R219" s="482"/>
      <c r="S219" s="482"/>
      <c r="T219" s="482"/>
      <c r="U219" s="482"/>
      <c r="V219" s="384"/>
      <c r="W219" s="563"/>
      <c r="Y219" s="563"/>
      <c r="AA219" s="384"/>
      <c r="AB219" s="384"/>
      <c r="AC219" s="384"/>
      <c r="AD219" s="384"/>
      <c r="AE219" s="384"/>
      <c r="AF219" s="384"/>
      <c r="AG219" s="384"/>
      <c r="AH219" s="384"/>
      <c r="AI219" s="384"/>
      <c r="AJ219" s="384"/>
      <c r="AK219" s="384"/>
      <c r="AL219" s="384"/>
      <c r="AM219" s="384"/>
    </row>
    <row r="220" spans="1:39" ht="15.75" customHeight="1">
      <c r="A220" s="563"/>
      <c r="B220" s="384"/>
      <c r="C220" s="563"/>
      <c r="D220" s="1997"/>
      <c r="E220" s="1998"/>
      <c r="F220" s="943"/>
      <c r="G220" s="563"/>
      <c r="H220" s="563"/>
      <c r="I220" s="2000"/>
      <c r="J220" s="563"/>
      <c r="K220" s="384"/>
      <c r="L220" s="1901"/>
      <c r="M220" s="1823"/>
      <c r="N220" s="1823"/>
      <c r="O220" s="1999"/>
      <c r="P220" s="481"/>
      <c r="Q220" s="481"/>
      <c r="R220" s="482"/>
      <c r="S220" s="482"/>
      <c r="T220" s="482"/>
      <c r="U220" s="482"/>
      <c r="V220" s="384"/>
      <c r="W220" s="563"/>
      <c r="Y220" s="563"/>
      <c r="AA220" s="384"/>
      <c r="AB220" s="384"/>
      <c r="AC220" s="384"/>
      <c r="AD220" s="384"/>
      <c r="AE220" s="384"/>
      <c r="AF220" s="384"/>
      <c r="AG220" s="384"/>
      <c r="AH220" s="384"/>
      <c r="AI220" s="384"/>
      <c r="AJ220" s="384"/>
      <c r="AK220" s="384"/>
      <c r="AL220" s="384"/>
      <c r="AM220" s="384"/>
    </row>
    <row r="221" spans="1:39" ht="15.75" customHeight="1">
      <c r="A221" s="563"/>
      <c r="B221" s="384"/>
      <c r="C221" s="563"/>
      <c r="D221" s="1997"/>
      <c r="E221" s="1998"/>
      <c r="F221" s="943"/>
      <c r="G221" s="563"/>
      <c r="H221" s="563"/>
      <c r="I221" s="2000"/>
      <c r="J221" s="563"/>
      <c r="K221" s="384"/>
      <c r="L221" s="1901"/>
      <c r="M221" s="1823"/>
      <c r="N221" s="1823"/>
      <c r="O221" s="1999"/>
      <c r="P221" s="481"/>
      <c r="Q221" s="481"/>
      <c r="R221" s="482"/>
      <c r="S221" s="482"/>
      <c r="T221" s="482"/>
      <c r="U221" s="482"/>
      <c r="V221" s="384"/>
      <c r="W221" s="563"/>
      <c r="Y221" s="563"/>
      <c r="AA221" s="384"/>
      <c r="AB221" s="384"/>
      <c r="AC221" s="384"/>
      <c r="AD221" s="384"/>
      <c r="AE221" s="384"/>
      <c r="AF221" s="384"/>
      <c r="AG221" s="384"/>
      <c r="AH221" s="384"/>
      <c r="AI221" s="384"/>
      <c r="AJ221" s="384"/>
      <c r="AK221" s="384"/>
      <c r="AL221" s="384"/>
      <c r="AM221" s="384"/>
    </row>
    <row r="222" spans="1:39" ht="15.75" customHeight="1">
      <c r="A222" s="563"/>
      <c r="B222" s="384"/>
      <c r="C222" s="563"/>
      <c r="D222" s="1997"/>
      <c r="E222" s="1998"/>
      <c r="F222" s="137"/>
      <c r="G222" s="563"/>
      <c r="H222" s="563"/>
      <c r="I222" s="2000"/>
      <c r="J222" s="563"/>
      <c r="K222" s="384"/>
      <c r="L222" s="1901"/>
      <c r="M222" s="1823"/>
      <c r="N222" s="1823"/>
      <c r="O222" s="1999"/>
      <c r="P222" s="481"/>
      <c r="Q222" s="481"/>
      <c r="R222" s="482"/>
      <c r="S222" s="482"/>
      <c r="T222" s="482"/>
      <c r="U222" s="482"/>
      <c r="V222" s="384"/>
      <c r="W222" s="563"/>
      <c r="Y222" s="563"/>
      <c r="AA222" s="384"/>
      <c r="AB222" s="384"/>
      <c r="AC222" s="384"/>
      <c r="AD222" s="384"/>
      <c r="AE222" s="384"/>
      <c r="AF222" s="384"/>
      <c r="AG222" s="384"/>
      <c r="AH222" s="384"/>
      <c r="AI222" s="384"/>
      <c r="AJ222" s="384"/>
      <c r="AK222" s="384"/>
      <c r="AL222" s="384"/>
      <c r="AM222" s="384"/>
    </row>
    <row r="223" spans="1:39" ht="15.75" customHeight="1">
      <c r="A223" s="563"/>
      <c r="B223" s="384"/>
      <c r="C223" s="563"/>
      <c r="D223" s="1997"/>
      <c r="E223" s="1998"/>
      <c r="F223" s="943"/>
      <c r="G223" s="563"/>
      <c r="H223" s="563"/>
      <c r="I223" s="2000"/>
      <c r="J223" s="563"/>
      <c r="K223" s="384"/>
      <c r="L223" s="1901"/>
      <c r="M223" s="1823"/>
      <c r="N223" s="1823"/>
      <c r="O223" s="1999"/>
      <c r="P223" s="481"/>
      <c r="Q223" s="481"/>
      <c r="R223" s="482"/>
      <c r="S223" s="482"/>
      <c r="T223" s="482"/>
      <c r="U223" s="482"/>
      <c r="V223" s="384"/>
      <c r="W223" s="563"/>
      <c r="Y223" s="563"/>
      <c r="AA223" s="384"/>
      <c r="AB223" s="384"/>
      <c r="AC223" s="384"/>
      <c r="AD223" s="384"/>
      <c r="AE223" s="384"/>
      <c r="AF223" s="384"/>
      <c r="AG223" s="384"/>
      <c r="AH223" s="384"/>
      <c r="AI223" s="384"/>
      <c r="AJ223" s="384"/>
      <c r="AK223" s="384"/>
      <c r="AL223" s="384"/>
      <c r="AM223" s="384"/>
    </row>
    <row r="224" spans="1:39" ht="15.75" customHeight="1">
      <c r="A224" s="563"/>
      <c r="B224" s="384"/>
      <c r="C224" s="563"/>
      <c r="D224" s="1997"/>
      <c r="E224" s="1998"/>
      <c r="F224" s="943"/>
      <c r="G224" s="563"/>
      <c r="H224" s="563"/>
      <c r="I224" s="2000"/>
      <c r="J224" s="563"/>
      <c r="K224" s="384"/>
      <c r="L224" s="1901"/>
      <c r="M224" s="1823"/>
      <c r="N224" s="1823"/>
      <c r="O224" s="1999"/>
      <c r="P224" s="481"/>
      <c r="Q224" s="481"/>
      <c r="R224" s="482"/>
      <c r="S224" s="482"/>
      <c r="T224" s="482"/>
      <c r="U224" s="482"/>
      <c r="V224" s="384"/>
      <c r="W224" s="563"/>
      <c r="Y224" s="563"/>
      <c r="AA224" s="384"/>
      <c r="AB224" s="384"/>
      <c r="AC224" s="384"/>
      <c r="AD224" s="384"/>
      <c r="AE224" s="384"/>
      <c r="AF224" s="384"/>
      <c r="AG224" s="384"/>
      <c r="AH224" s="384"/>
      <c r="AI224" s="384"/>
      <c r="AJ224" s="384"/>
      <c r="AK224" s="384"/>
      <c r="AL224" s="384"/>
      <c r="AM224" s="384"/>
    </row>
    <row r="225" spans="1:39" ht="15.75" customHeight="1">
      <c r="A225" s="563"/>
      <c r="B225" s="384"/>
      <c r="C225" s="563"/>
      <c r="D225" s="1997"/>
      <c r="E225" s="1998"/>
      <c r="F225" s="943"/>
      <c r="G225" s="563"/>
      <c r="H225" s="563"/>
      <c r="I225" s="2000"/>
      <c r="J225" s="563"/>
      <c r="K225" s="384"/>
      <c r="L225" s="1901"/>
      <c r="M225" s="1823"/>
      <c r="N225" s="1823"/>
      <c r="O225" s="1999"/>
      <c r="P225" s="481"/>
      <c r="Q225" s="481"/>
      <c r="R225" s="482"/>
      <c r="S225" s="482"/>
      <c r="T225" s="482"/>
      <c r="U225" s="482"/>
      <c r="V225" s="384"/>
      <c r="W225" s="563"/>
      <c r="Y225" s="563"/>
      <c r="AA225" s="384"/>
      <c r="AB225" s="384"/>
      <c r="AC225" s="384"/>
      <c r="AD225" s="384"/>
      <c r="AE225" s="384"/>
      <c r="AF225" s="384"/>
      <c r="AG225" s="384"/>
      <c r="AH225" s="384"/>
      <c r="AI225" s="384"/>
      <c r="AJ225" s="384"/>
      <c r="AK225" s="384"/>
      <c r="AL225" s="384"/>
      <c r="AM225" s="384"/>
    </row>
    <row r="226" spans="1:39" ht="15.75" customHeight="1">
      <c r="A226" s="563"/>
      <c r="B226" s="384"/>
      <c r="C226" s="563"/>
      <c r="D226" s="1997"/>
      <c r="E226" s="1998"/>
      <c r="F226" s="943"/>
      <c r="G226" s="563"/>
      <c r="H226" s="563"/>
      <c r="I226" s="2000"/>
      <c r="J226" s="563"/>
      <c r="K226" s="384"/>
      <c r="L226" s="1901"/>
      <c r="M226" s="1999"/>
      <c r="N226" s="1999"/>
      <c r="O226" s="1999"/>
      <c r="P226" s="2002"/>
      <c r="Q226" s="2002"/>
      <c r="R226" s="482"/>
      <c r="S226" s="482"/>
      <c r="T226" s="482"/>
      <c r="U226" s="482"/>
      <c r="V226" s="384"/>
      <c r="W226" s="563"/>
      <c r="Y226" s="563"/>
      <c r="AA226" s="384"/>
      <c r="AB226" s="384"/>
      <c r="AC226" s="384"/>
      <c r="AD226" s="384"/>
      <c r="AE226" s="384"/>
      <c r="AF226" s="384"/>
      <c r="AG226" s="384"/>
      <c r="AH226" s="384"/>
      <c r="AI226" s="384"/>
      <c r="AJ226" s="384"/>
      <c r="AK226" s="384"/>
      <c r="AL226" s="384"/>
      <c r="AM226" s="384"/>
    </row>
    <row r="227" spans="1:39" ht="15.75" customHeight="1">
      <c r="A227" s="563"/>
      <c r="B227" s="384"/>
      <c r="C227" s="563"/>
      <c r="D227" s="1997"/>
      <c r="E227" s="1998"/>
      <c r="F227" s="943"/>
      <c r="G227" s="563"/>
      <c r="H227" s="563"/>
      <c r="I227" s="2000"/>
      <c r="J227" s="563"/>
      <c r="K227" s="384"/>
      <c r="L227" s="1901"/>
      <c r="M227" s="1999"/>
      <c r="N227" s="1999"/>
      <c r="O227" s="1999"/>
      <c r="P227" s="2002"/>
      <c r="Q227" s="2002"/>
      <c r="R227" s="482"/>
      <c r="S227" s="482"/>
      <c r="T227" s="482"/>
      <c r="U227" s="482"/>
      <c r="V227" s="384"/>
      <c r="W227" s="563"/>
      <c r="Y227" s="563"/>
      <c r="AA227" s="384"/>
      <c r="AB227" s="384"/>
      <c r="AC227" s="384"/>
      <c r="AD227" s="384"/>
      <c r="AE227" s="384"/>
      <c r="AF227" s="384"/>
      <c r="AG227" s="384"/>
      <c r="AH227" s="384"/>
      <c r="AI227" s="384"/>
      <c r="AJ227" s="384"/>
      <c r="AK227" s="384"/>
      <c r="AL227" s="384"/>
      <c r="AM227" s="384"/>
    </row>
    <row r="228" spans="1:39" ht="15.75" customHeight="1">
      <c r="A228" s="563"/>
      <c r="B228" s="384"/>
      <c r="C228" s="563"/>
      <c r="D228" s="1997"/>
      <c r="E228" s="1998"/>
      <c r="F228" s="1949"/>
      <c r="G228" s="563"/>
      <c r="H228" s="563"/>
      <c r="I228" s="2000"/>
      <c r="J228" s="563"/>
      <c r="K228" s="384"/>
      <c r="L228" s="1901"/>
      <c r="M228" s="1999"/>
      <c r="N228" s="1999"/>
      <c r="O228" s="1999"/>
      <c r="P228" s="2002"/>
      <c r="Q228" s="2002"/>
      <c r="R228" s="482"/>
      <c r="S228" s="482"/>
      <c r="T228" s="482"/>
      <c r="U228" s="482"/>
      <c r="V228" s="384"/>
      <c r="W228" s="563"/>
      <c r="Y228" s="563"/>
      <c r="AA228" s="384"/>
      <c r="AB228" s="384"/>
      <c r="AC228" s="384"/>
      <c r="AD228" s="384"/>
      <c r="AE228" s="384"/>
      <c r="AF228" s="384"/>
      <c r="AG228" s="384"/>
      <c r="AH228" s="384"/>
      <c r="AI228" s="384"/>
      <c r="AJ228" s="384"/>
      <c r="AK228" s="384"/>
      <c r="AL228" s="384"/>
      <c r="AM228" s="384"/>
    </row>
    <row r="229" spans="1:39" ht="15.75" customHeight="1">
      <c r="A229" s="563"/>
      <c r="B229" s="384"/>
      <c r="C229" s="563"/>
      <c r="D229" s="1997"/>
      <c r="E229" s="1998"/>
      <c r="F229" s="943"/>
      <c r="G229" s="563"/>
      <c r="H229" s="563"/>
      <c r="I229" s="2000"/>
      <c r="J229" s="563"/>
      <c r="K229" s="384"/>
      <c r="L229" s="1901"/>
      <c r="M229" s="1999"/>
      <c r="N229" s="1999"/>
      <c r="O229" s="1999"/>
      <c r="P229" s="2002"/>
      <c r="Q229" s="2002"/>
      <c r="R229" s="482"/>
      <c r="S229" s="482"/>
      <c r="T229" s="482"/>
      <c r="U229" s="482"/>
      <c r="V229" s="384"/>
      <c r="W229" s="563"/>
      <c r="Y229" s="563"/>
      <c r="AA229" s="384"/>
      <c r="AB229" s="384"/>
      <c r="AC229" s="384"/>
      <c r="AD229" s="384"/>
      <c r="AE229" s="384"/>
      <c r="AF229" s="384"/>
      <c r="AG229" s="384"/>
      <c r="AH229" s="384"/>
      <c r="AI229" s="384"/>
      <c r="AJ229" s="384"/>
      <c r="AK229" s="384"/>
      <c r="AL229" s="384"/>
      <c r="AM229" s="384"/>
    </row>
    <row r="230" spans="1:39" ht="15.75" customHeight="1">
      <c r="A230" s="563"/>
      <c r="B230" s="384"/>
      <c r="C230" s="563"/>
      <c r="D230" s="1997"/>
      <c r="E230" s="1998"/>
      <c r="F230" s="943"/>
      <c r="G230" s="563"/>
      <c r="H230" s="563"/>
      <c r="I230" s="2000"/>
      <c r="J230" s="563"/>
      <c r="K230" s="384"/>
      <c r="L230" s="1901"/>
      <c r="M230" s="1999"/>
      <c r="N230" s="1999"/>
      <c r="O230" s="1999"/>
      <c r="P230" s="2002"/>
      <c r="Q230" s="2002"/>
      <c r="R230" s="482"/>
      <c r="S230" s="482"/>
      <c r="T230" s="482"/>
      <c r="U230" s="482"/>
      <c r="V230" s="384"/>
      <c r="W230" s="563"/>
      <c r="Y230" s="563"/>
      <c r="AA230" s="384"/>
      <c r="AB230" s="384"/>
      <c r="AC230" s="384"/>
      <c r="AD230" s="384"/>
      <c r="AE230" s="384"/>
      <c r="AF230" s="384"/>
      <c r="AG230" s="384"/>
      <c r="AH230" s="384"/>
      <c r="AI230" s="384"/>
      <c r="AJ230" s="384"/>
      <c r="AK230" s="384"/>
      <c r="AL230" s="384"/>
      <c r="AM230" s="384"/>
    </row>
    <row r="231" spans="1:39" ht="15.75" customHeight="1">
      <c r="A231" s="563"/>
      <c r="B231" s="384"/>
      <c r="C231" s="563"/>
      <c r="D231" s="1997"/>
      <c r="E231" s="1998"/>
      <c r="F231" s="943"/>
      <c r="G231" s="563"/>
      <c r="H231" s="563"/>
      <c r="I231" s="2000"/>
      <c r="J231" s="563"/>
      <c r="K231" s="384"/>
      <c r="L231" s="1901"/>
      <c r="M231" s="1999"/>
      <c r="N231" s="1999"/>
      <c r="O231" s="1999"/>
      <c r="P231" s="2002"/>
      <c r="Q231" s="2002"/>
      <c r="R231" s="482"/>
      <c r="S231" s="482"/>
      <c r="T231" s="482"/>
      <c r="U231" s="482"/>
      <c r="V231" s="384"/>
      <c r="W231" s="563"/>
      <c r="Y231" s="563"/>
      <c r="AA231" s="384"/>
      <c r="AB231" s="384"/>
      <c r="AC231" s="384"/>
      <c r="AD231" s="384"/>
      <c r="AE231" s="384"/>
      <c r="AF231" s="384"/>
      <c r="AG231" s="384"/>
      <c r="AH231" s="384"/>
      <c r="AI231" s="384"/>
      <c r="AJ231" s="384"/>
      <c r="AK231" s="384"/>
      <c r="AL231" s="384"/>
      <c r="AM231" s="384"/>
    </row>
    <row r="232" spans="1:39" ht="15.75" customHeight="1">
      <c r="A232" s="563"/>
      <c r="B232" s="384"/>
      <c r="C232" s="563"/>
      <c r="D232" s="1997"/>
      <c r="E232" s="1998"/>
      <c r="F232" s="943"/>
      <c r="G232" s="563"/>
      <c r="H232" s="563"/>
      <c r="I232" s="2000"/>
      <c r="J232" s="563"/>
      <c r="K232" s="384"/>
      <c r="L232" s="1901"/>
      <c r="M232" s="1999"/>
      <c r="N232" s="1999"/>
      <c r="O232" s="1999"/>
      <c r="P232" s="2002"/>
      <c r="Q232" s="2002"/>
      <c r="R232" s="482"/>
      <c r="S232" s="482"/>
      <c r="T232" s="482"/>
      <c r="U232" s="482"/>
      <c r="V232" s="384"/>
      <c r="W232" s="563"/>
      <c r="Y232" s="563"/>
      <c r="AA232" s="384"/>
      <c r="AB232" s="384"/>
      <c r="AC232" s="384"/>
      <c r="AD232" s="384"/>
      <c r="AE232" s="384"/>
      <c r="AF232" s="384"/>
      <c r="AG232" s="384"/>
      <c r="AH232" s="384"/>
      <c r="AI232" s="384"/>
      <c r="AJ232" s="384"/>
      <c r="AK232" s="384"/>
      <c r="AL232" s="384"/>
      <c r="AM232" s="384"/>
    </row>
    <row r="233" spans="1:39" ht="15.75" customHeight="1">
      <c r="A233" s="563"/>
      <c r="B233" s="384"/>
      <c r="C233" s="563"/>
      <c r="D233" s="1997"/>
      <c r="E233" s="1998"/>
      <c r="F233" s="943"/>
      <c r="G233" s="563"/>
      <c r="H233" s="563"/>
      <c r="I233" s="2000"/>
      <c r="J233" s="563"/>
      <c r="K233" s="384"/>
      <c r="L233" s="1901"/>
      <c r="M233" s="1999"/>
      <c r="N233" s="1999"/>
      <c r="O233" s="1999"/>
      <c r="P233" s="2002"/>
      <c r="Q233" s="2002"/>
      <c r="R233" s="482"/>
      <c r="S233" s="482"/>
      <c r="T233" s="482"/>
      <c r="U233" s="482"/>
      <c r="V233" s="384"/>
      <c r="W233" s="563"/>
      <c r="Y233" s="563"/>
      <c r="AA233" s="384"/>
      <c r="AB233" s="384"/>
      <c r="AC233" s="384"/>
      <c r="AD233" s="384"/>
      <c r="AE233" s="384"/>
      <c r="AF233" s="384"/>
      <c r="AG233" s="384"/>
      <c r="AH233" s="384"/>
      <c r="AI233" s="384"/>
      <c r="AJ233" s="384"/>
      <c r="AK233" s="384"/>
      <c r="AL233" s="384"/>
      <c r="AM233" s="384"/>
    </row>
    <row r="234" spans="1:39" ht="15.75" customHeight="1">
      <c r="A234" s="563"/>
      <c r="B234" s="384"/>
      <c r="C234" s="563"/>
      <c r="D234" s="1997"/>
      <c r="E234" s="1998"/>
      <c r="F234" s="943"/>
      <c r="G234" s="563"/>
      <c r="H234" s="563"/>
      <c r="I234" s="2000"/>
      <c r="J234" s="563"/>
      <c r="K234" s="384"/>
      <c r="L234" s="1901"/>
      <c r="M234" s="1999"/>
      <c r="N234" s="1999"/>
      <c r="O234" s="1999"/>
      <c r="P234" s="2002"/>
      <c r="Q234" s="2002"/>
      <c r="R234" s="482"/>
      <c r="S234" s="482"/>
      <c r="T234" s="482"/>
      <c r="U234" s="482"/>
      <c r="V234" s="384"/>
      <c r="W234" s="563"/>
      <c r="Y234" s="563"/>
      <c r="AA234" s="384"/>
      <c r="AB234" s="384"/>
      <c r="AC234" s="384"/>
      <c r="AD234" s="384"/>
      <c r="AE234" s="384"/>
      <c r="AF234" s="384"/>
      <c r="AG234" s="384"/>
      <c r="AH234" s="384"/>
      <c r="AI234" s="384"/>
      <c r="AJ234" s="384"/>
      <c r="AK234" s="384"/>
      <c r="AL234" s="384"/>
      <c r="AM234" s="384"/>
    </row>
    <row r="235" spans="1:39" ht="15.75" customHeight="1">
      <c r="A235" s="563"/>
      <c r="B235" s="384"/>
      <c r="C235" s="563"/>
      <c r="D235" s="1997"/>
      <c r="E235" s="1998"/>
      <c r="F235" s="1952"/>
      <c r="G235" s="563"/>
      <c r="H235" s="563"/>
      <c r="I235" s="2000"/>
      <c r="J235" s="563"/>
      <c r="K235" s="384"/>
      <c r="L235" s="1901"/>
      <c r="M235" s="1999"/>
      <c r="N235" s="1999"/>
      <c r="O235" s="1999"/>
      <c r="P235" s="2002"/>
      <c r="Q235" s="2002"/>
      <c r="R235" s="482"/>
      <c r="S235" s="482"/>
      <c r="T235" s="482"/>
      <c r="U235" s="482"/>
      <c r="V235" s="384"/>
      <c r="W235" s="563"/>
      <c r="Y235" s="563"/>
      <c r="AA235" s="384"/>
      <c r="AB235" s="384"/>
      <c r="AC235" s="384"/>
      <c r="AD235" s="384"/>
      <c r="AE235" s="384"/>
      <c r="AF235" s="384"/>
      <c r="AG235" s="384"/>
      <c r="AH235" s="384"/>
      <c r="AI235" s="384"/>
      <c r="AJ235" s="384"/>
      <c r="AK235" s="384"/>
      <c r="AL235" s="384"/>
      <c r="AM235" s="384"/>
    </row>
    <row r="236" spans="1:39" ht="15.75" customHeight="1">
      <c r="A236" s="563"/>
      <c r="B236" s="384"/>
      <c r="C236" s="563"/>
      <c r="D236" s="1997"/>
      <c r="E236" s="1998"/>
      <c r="F236" s="943"/>
      <c r="G236" s="563"/>
      <c r="H236" s="563"/>
      <c r="I236" s="2000"/>
      <c r="J236" s="563"/>
      <c r="K236" s="384"/>
      <c r="L236" s="1901"/>
      <c r="M236" s="1999"/>
      <c r="N236" s="1999"/>
      <c r="O236" s="1999"/>
      <c r="P236" s="2002"/>
      <c r="Q236" s="2002"/>
      <c r="R236" s="482"/>
      <c r="S236" s="482"/>
      <c r="T236" s="482"/>
      <c r="U236" s="482"/>
      <c r="V236" s="384"/>
      <c r="W236" s="563"/>
      <c r="Y236" s="563"/>
      <c r="AA236" s="384"/>
      <c r="AB236" s="384"/>
      <c r="AC236" s="384"/>
      <c r="AD236" s="384"/>
      <c r="AE236" s="384"/>
      <c r="AF236" s="384"/>
      <c r="AG236" s="384"/>
      <c r="AH236" s="384"/>
      <c r="AI236" s="384"/>
      <c r="AJ236" s="384"/>
      <c r="AK236" s="384"/>
      <c r="AL236" s="384"/>
      <c r="AM236" s="384"/>
    </row>
    <row r="237" spans="1:39" ht="15.75" customHeight="1">
      <c r="A237" s="563"/>
      <c r="B237" s="384"/>
      <c r="C237" s="563"/>
      <c r="D237" s="1997"/>
      <c r="E237" s="1998"/>
      <c r="F237" s="943"/>
      <c r="G237" s="563"/>
      <c r="H237" s="563"/>
      <c r="I237" s="2000"/>
      <c r="J237" s="563"/>
      <c r="K237" s="384"/>
      <c r="L237" s="1901"/>
      <c r="M237" s="1999"/>
      <c r="N237" s="1999"/>
      <c r="O237" s="1999"/>
      <c r="P237" s="2002"/>
      <c r="Q237" s="2002"/>
      <c r="R237" s="482"/>
      <c r="S237" s="482"/>
      <c r="T237" s="482"/>
      <c r="U237" s="482"/>
      <c r="V237" s="384"/>
      <c r="W237" s="563"/>
      <c r="Y237" s="563"/>
      <c r="AA237" s="384"/>
      <c r="AB237" s="384"/>
      <c r="AC237" s="384"/>
      <c r="AD237" s="384"/>
      <c r="AE237" s="384"/>
      <c r="AF237" s="384"/>
      <c r="AG237" s="384"/>
      <c r="AH237" s="384"/>
      <c r="AI237" s="384"/>
      <c r="AJ237" s="384"/>
      <c r="AK237" s="384"/>
      <c r="AL237" s="384"/>
      <c r="AM237" s="384"/>
    </row>
    <row r="238" spans="1:39" ht="15.75" customHeight="1">
      <c r="A238" s="563"/>
      <c r="B238" s="384"/>
      <c r="C238" s="563"/>
      <c r="D238" s="1997"/>
      <c r="E238" s="1998"/>
      <c r="F238" s="943"/>
      <c r="G238" s="563"/>
      <c r="H238" s="563"/>
      <c r="I238" s="2000"/>
      <c r="J238" s="563"/>
      <c r="K238" s="384"/>
      <c r="L238" s="1901"/>
      <c r="M238" s="1999"/>
      <c r="N238" s="1999"/>
      <c r="O238" s="1999"/>
      <c r="P238" s="2002"/>
      <c r="Q238" s="2002"/>
      <c r="R238" s="482"/>
      <c r="S238" s="482"/>
      <c r="T238" s="482"/>
      <c r="U238" s="482"/>
      <c r="V238" s="384"/>
      <c r="W238" s="563"/>
      <c r="Y238" s="563"/>
      <c r="AA238" s="384"/>
      <c r="AB238" s="384"/>
      <c r="AC238" s="384"/>
      <c r="AD238" s="384"/>
      <c r="AE238" s="384"/>
      <c r="AF238" s="384"/>
      <c r="AG238" s="384"/>
      <c r="AH238" s="384"/>
      <c r="AI238" s="384"/>
      <c r="AJ238" s="384"/>
      <c r="AK238" s="384"/>
      <c r="AL238" s="384"/>
      <c r="AM238" s="384"/>
    </row>
    <row r="239" spans="1:39" ht="15.75" customHeight="1">
      <c r="A239" s="563"/>
      <c r="B239" s="384"/>
      <c r="C239" s="563"/>
      <c r="D239" s="1997"/>
      <c r="E239" s="1998"/>
      <c r="F239" s="943"/>
      <c r="G239" s="563"/>
      <c r="H239" s="563"/>
      <c r="I239" s="2000"/>
      <c r="J239" s="563"/>
      <c r="K239" s="384"/>
      <c r="L239" s="1901"/>
      <c r="M239" s="1999"/>
      <c r="N239" s="1999"/>
      <c r="O239" s="1999"/>
      <c r="P239" s="2002"/>
      <c r="Q239" s="2002"/>
      <c r="R239" s="482"/>
      <c r="S239" s="482"/>
      <c r="T239" s="482"/>
      <c r="U239" s="482"/>
      <c r="V239" s="384"/>
      <c r="W239" s="563"/>
      <c r="Y239" s="563"/>
      <c r="AA239" s="384"/>
      <c r="AB239" s="384"/>
      <c r="AC239" s="384"/>
      <c r="AD239" s="384"/>
      <c r="AE239" s="384"/>
      <c r="AF239" s="384"/>
      <c r="AG239" s="384"/>
      <c r="AH239" s="384"/>
      <c r="AI239" s="384"/>
      <c r="AJ239" s="384"/>
      <c r="AK239" s="384"/>
      <c r="AL239" s="384"/>
      <c r="AM239" s="384"/>
    </row>
    <row r="240" spans="1:39" ht="15.75" customHeight="1">
      <c r="A240" s="563"/>
      <c r="B240" s="384"/>
      <c r="C240" s="563"/>
      <c r="D240" s="1997"/>
      <c r="E240" s="1998"/>
      <c r="F240" s="943"/>
      <c r="G240" s="563"/>
      <c r="H240" s="563"/>
      <c r="I240" s="2000"/>
      <c r="J240" s="563"/>
      <c r="K240" s="384"/>
      <c r="L240" s="1901"/>
      <c r="M240" s="1999"/>
      <c r="N240" s="1999"/>
      <c r="O240" s="1999"/>
      <c r="P240" s="2002"/>
      <c r="Q240" s="2002"/>
      <c r="R240" s="482"/>
      <c r="S240" s="482"/>
      <c r="T240" s="482"/>
      <c r="U240" s="482"/>
      <c r="V240" s="384"/>
      <c r="W240" s="563"/>
      <c r="Y240" s="563"/>
      <c r="AA240" s="384"/>
      <c r="AB240" s="384"/>
      <c r="AC240" s="384"/>
      <c r="AD240" s="384"/>
      <c r="AE240" s="384"/>
      <c r="AF240" s="384"/>
      <c r="AG240" s="384"/>
      <c r="AH240" s="384"/>
      <c r="AI240" s="384"/>
      <c r="AJ240" s="384"/>
      <c r="AK240" s="384"/>
      <c r="AL240" s="384"/>
      <c r="AM240" s="384"/>
    </row>
    <row r="241" spans="1:39" ht="15.75" customHeight="1">
      <c r="A241" s="563"/>
      <c r="B241" s="384"/>
      <c r="C241" s="563"/>
      <c r="D241" s="1997"/>
      <c r="E241" s="1998"/>
      <c r="F241" s="943"/>
      <c r="G241" s="563"/>
      <c r="H241" s="563"/>
      <c r="I241" s="2000"/>
      <c r="J241" s="563"/>
      <c r="K241" s="384"/>
      <c r="L241" s="1901"/>
      <c r="M241" s="1999"/>
      <c r="N241" s="1999"/>
      <c r="O241" s="1999"/>
      <c r="P241" s="2002"/>
      <c r="Q241" s="2002"/>
      <c r="R241" s="482"/>
      <c r="S241" s="482"/>
      <c r="T241" s="482"/>
      <c r="U241" s="482"/>
      <c r="V241" s="384"/>
      <c r="W241" s="563"/>
      <c r="Y241" s="563"/>
      <c r="AA241" s="384"/>
      <c r="AB241" s="384"/>
      <c r="AC241" s="384"/>
      <c r="AD241" s="384"/>
      <c r="AE241" s="384"/>
      <c r="AF241" s="384"/>
      <c r="AG241" s="384"/>
      <c r="AH241" s="384"/>
      <c r="AI241" s="384"/>
      <c r="AJ241" s="384"/>
      <c r="AK241" s="384"/>
      <c r="AL241" s="384"/>
      <c r="AM241" s="384"/>
    </row>
    <row r="242" spans="1:39" ht="15.75" customHeight="1">
      <c r="A242" s="563"/>
      <c r="B242" s="384"/>
      <c r="C242" s="563"/>
      <c r="D242" s="1997"/>
      <c r="E242" s="1998"/>
      <c r="F242" s="943"/>
      <c r="G242" s="563"/>
      <c r="H242" s="563"/>
      <c r="I242" s="2000"/>
      <c r="J242" s="563"/>
      <c r="K242" s="384"/>
      <c r="L242" s="1901"/>
      <c r="M242" s="1999"/>
      <c r="N242" s="1999"/>
      <c r="O242" s="1999"/>
      <c r="P242" s="2002"/>
      <c r="Q242" s="2002"/>
      <c r="R242" s="482"/>
      <c r="S242" s="482"/>
      <c r="T242" s="482"/>
      <c r="U242" s="482"/>
      <c r="V242" s="384"/>
      <c r="W242" s="563"/>
      <c r="Y242" s="563"/>
      <c r="AA242" s="384"/>
      <c r="AB242" s="384"/>
      <c r="AC242" s="384"/>
      <c r="AD242" s="384"/>
      <c r="AE242" s="384"/>
      <c r="AF242" s="384"/>
      <c r="AG242" s="384"/>
      <c r="AH242" s="384"/>
      <c r="AI242" s="384"/>
      <c r="AJ242" s="384"/>
      <c r="AK242" s="384"/>
      <c r="AL242" s="384"/>
      <c r="AM242" s="384"/>
    </row>
    <row r="243" spans="1:39" ht="15.75" customHeight="1">
      <c r="A243" s="563"/>
      <c r="B243" s="384"/>
      <c r="C243" s="563"/>
      <c r="D243" s="1997"/>
      <c r="E243" s="1998"/>
      <c r="F243" s="943"/>
      <c r="G243" s="563"/>
      <c r="H243" s="563"/>
      <c r="I243" s="2000"/>
      <c r="J243" s="563"/>
      <c r="K243" s="384"/>
      <c r="L243" s="1901"/>
      <c r="M243" s="1999"/>
      <c r="N243" s="1999"/>
      <c r="O243" s="1999"/>
      <c r="P243" s="2002"/>
      <c r="Q243" s="2002"/>
      <c r="R243" s="482"/>
      <c r="S243" s="482"/>
      <c r="T243" s="482"/>
      <c r="U243" s="482"/>
      <c r="V243" s="384"/>
      <c r="W243" s="563"/>
      <c r="Y243" s="563"/>
      <c r="AA243" s="384"/>
      <c r="AB243" s="384"/>
      <c r="AC243" s="384"/>
      <c r="AD243" s="384"/>
      <c r="AE243" s="384"/>
      <c r="AF243" s="384"/>
      <c r="AG243" s="384"/>
      <c r="AH243" s="384"/>
      <c r="AI243" s="384"/>
      <c r="AJ243" s="384"/>
      <c r="AK243" s="384"/>
      <c r="AL243" s="384"/>
      <c r="AM243" s="384"/>
    </row>
    <row r="244" spans="1:39" ht="15.75" customHeight="1">
      <c r="A244" s="563"/>
      <c r="B244" s="384"/>
      <c r="C244" s="563"/>
      <c r="D244" s="1997"/>
      <c r="E244" s="1998"/>
      <c r="F244" s="943"/>
      <c r="G244" s="563"/>
      <c r="H244" s="563"/>
      <c r="I244" s="2000"/>
      <c r="J244" s="563"/>
      <c r="K244" s="384"/>
      <c r="L244" s="1901"/>
      <c r="M244" s="1999"/>
      <c r="N244" s="1999"/>
      <c r="O244" s="1999"/>
      <c r="P244" s="2002"/>
      <c r="Q244" s="2002"/>
      <c r="R244" s="482"/>
      <c r="S244" s="482"/>
      <c r="T244" s="482"/>
      <c r="U244" s="482"/>
      <c r="V244" s="384"/>
      <c r="W244" s="563"/>
      <c r="Y244" s="563"/>
      <c r="AA244" s="384"/>
      <c r="AB244" s="384"/>
      <c r="AC244" s="384"/>
      <c r="AD244" s="384"/>
      <c r="AE244" s="384"/>
      <c r="AF244" s="384"/>
      <c r="AG244" s="384"/>
      <c r="AH244" s="384"/>
      <c r="AI244" s="384"/>
      <c r="AJ244" s="384"/>
      <c r="AK244" s="384"/>
      <c r="AL244" s="384"/>
      <c r="AM244" s="384"/>
    </row>
    <row r="245" spans="1:39" ht="15.75" customHeight="1">
      <c r="A245" s="563"/>
      <c r="B245" s="384"/>
      <c r="C245" s="563"/>
      <c r="D245" s="1997"/>
      <c r="E245" s="1998"/>
      <c r="F245" s="943"/>
      <c r="G245" s="563"/>
      <c r="H245" s="563"/>
      <c r="I245" s="2000"/>
      <c r="J245" s="563"/>
      <c r="K245" s="384"/>
      <c r="L245" s="1901"/>
      <c r="M245" s="1999"/>
      <c r="N245" s="1999"/>
      <c r="O245" s="1999"/>
      <c r="P245" s="2002"/>
      <c r="Q245" s="2002"/>
      <c r="R245" s="482"/>
      <c r="S245" s="482"/>
      <c r="T245" s="482"/>
      <c r="U245" s="482"/>
      <c r="V245" s="384"/>
      <c r="W245" s="563"/>
      <c r="Y245" s="563"/>
      <c r="AA245" s="384"/>
      <c r="AB245" s="384"/>
      <c r="AC245" s="384"/>
      <c r="AD245" s="384"/>
      <c r="AE245" s="384"/>
      <c r="AF245" s="384"/>
      <c r="AG245" s="384"/>
      <c r="AH245" s="384"/>
      <c r="AI245" s="384"/>
      <c r="AJ245" s="384"/>
      <c r="AK245" s="384"/>
      <c r="AL245" s="384"/>
      <c r="AM245" s="384"/>
    </row>
    <row r="246" spans="1:39" ht="15.75" customHeight="1">
      <c r="A246" s="563"/>
      <c r="B246" s="384"/>
      <c r="C246" s="563"/>
      <c r="D246" s="1997"/>
      <c r="E246" s="1998"/>
      <c r="F246" s="943"/>
      <c r="G246" s="563"/>
      <c r="H246" s="563"/>
      <c r="I246" s="2000"/>
      <c r="J246" s="563"/>
      <c r="K246" s="384"/>
      <c r="L246" s="1901"/>
      <c r="M246" s="1999"/>
      <c r="N246" s="1999"/>
      <c r="O246" s="1999"/>
      <c r="P246" s="2002"/>
      <c r="Q246" s="2002"/>
      <c r="R246" s="482"/>
      <c r="S246" s="482"/>
      <c r="T246" s="482"/>
      <c r="U246" s="482"/>
      <c r="V246" s="384"/>
      <c r="W246" s="563"/>
      <c r="Y246" s="563"/>
      <c r="AA246" s="384"/>
      <c r="AB246" s="384"/>
      <c r="AC246" s="384"/>
      <c r="AD246" s="384"/>
      <c r="AE246" s="384"/>
      <c r="AF246" s="384"/>
      <c r="AG246" s="384"/>
      <c r="AH246" s="384"/>
      <c r="AI246" s="384"/>
      <c r="AJ246" s="384"/>
      <c r="AK246" s="384"/>
      <c r="AL246" s="384"/>
      <c r="AM246" s="384"/>
    </row>
    <row r="247" spans="1:39" ht="15.75" customHeight="1">
      <c r="A247" s="563"/>
      <c r="B247" s="384"/>
      <c r="C247" s="563"/>
      <c r="D247" s="1997"/>
      <c r="E247" s="1998"/>
      <c r="F247" s="943"/>
      <c r="G247" s="563"/>
      <c r="H247" s="563"/>
      <c r="I247" s="2000"/>
      <c r="J247" s="563"/>
      <c r="K247" s="384"/>
      <c r="L247" s="1901"/>
      <c r="M247" s="1999"/>
      <c r="N247" s="1999"/>
      <c r="O247" s="1999"/>
      <c r="P247" s="2002"/>
      <c r="Q247" s="2002"/>
      <c r="R247" s="482"/>
      <c r="S247" s="482"/>
      <c r="T247" s="482"/>
      <c r="U247" s="482"/>
      <c r="V247" s="384"/>
      <c r="W247" s="563"/>
      <c r="Y247" s="563"/>
      <c r="AA247" s="384"/>
      <c r="AB247" s="384"/>
      <c r="AC247" s="384"/>
      <c r="AD247" s="384"/>
      <c r="AE247" s="384"/>
      <c r="AF247" s="384"/>
      <c r="AG247" s="384"/>
      <c r="AH247" s="384"/>
      <c r="AI247" s="384"/>
      <c r="AJ247" s="384"/>
      <c r="AK247" s="384"/>
      <c r="AL247" s="384"/>
      <c r="AM247" s="384"/>
    </row>
    <row r="248" spans="1:39" ht="15.75" customHeight="1">
      <c r="A248" s="563"/>
      <c r="B248" s="384"/>
      <c r="C248" s="563"/>
      <c r="D248" s="1997"/>
      <c r="E248" s="1998"/>
      <c r="F248" s="943"/>
      <c r="G248" s="563"/>
      <c r="H248" s="563"/>
      <c r="I248" s="2000"/>
      <c r="J248" s="563"/>
      <c r="K248" s="384"/>
      <c r="L248" s="1901"/>
      <c r="M248" s="1999"/>
      <c r="N248" s="1999"/>
      <c r="O248" s="1999"/>
      <c r="P248" s="2002"/>
      <c r="Q248" s="2002"/>
      <c r="R248" s="482"/>
      <c r="S248" s="482"/>
      <c r="T248" s="482"/>
      <c r="U248" s="482"/>
      <c r="V248" s="384"/>
      <c r="W248" s="563"/>
      <c r="Y248" s="563"/>
      <c r="AA248" s="384"/>
      <c r="AB248" s="384"/>
      <c r="AC248" s="384"/>
      <c r="AD248" s="384"/>
      <c r="AE248" s="384"/>
      <c r="AF248" s="384"/>
      <c r="AG248" s="384"/>
      <c r="AH248" s="384"/>
      <c r="AI248" s="384"/>
      <c r="AJ248" s="384"/>
      <c r="AK248" s="384"/>
      <c r="AL248" s="384"/>
      <c r="AM248" s="384"/>
    </row>
    <row r="249" spans="1:39" ht="15.75" customHeight="1">
      <c r="A249" s="563"/>
      <c r="B249" s="384"/>
      <c r="C249" s="563"/>
      <c r="D249" s="1997"/>
      <c r="E249" s="1998"/>
      <c r="F249" s="943"/>
      <c r="G249" s="563"/>
      <c r="H249" s="563"/>
      <c r="I249" s="2000"/>
      <c r="J249" s="563"/>
      <c r="K249" s="384"/>
      <c r="L249" s="1901"/>
      <c r="M249" s="1999"/>
      <c r="N249" s="1999"/>
      <c r="O249" s="1999"/>
      <c r="P249" s="2002"/>
      <c r="Q249" s="2002"/>
      <c r="R249" s="482"/>
      <c r="S249" s="482"/>
      <c r="T249" s="482"/>
      <c r="U249" s="482"/>
      <c r="V249" s="384"/>
      <c r="W249" s="563"/>
      <c r="Y249" s="563"/>
      <c r="AA249" s="384"/>
      <c r="AB249" s="384"/>
      <c r="AC249" s="384"/>
      <c r="AD249" s="384"/>
      <c r="AE249" s="384"/>
      <c r="AF249" s="384"/>
      <c r="AG249" s="384"/>
      <c r="AH249" s="384"/>
      <c r="AI249" s="384"/>
      <c r="AJ249" s="384"/>
      <c r="AK249" s="384"/>
      <c r="AL249" s="384"/>
      <c r="AM249" s="384"/>
    </row>
    <row r="250" spans="1:39" ht="15.75" customHeight="1">
      <c r="A250" s="563"/>
      <c r="B250" s="384"/>
      <c r="C250" s="563"/>
      <c r="D250" s="1997"/>
      <c r="E250" s="1998"/>
      <c r="F250" s="1948"/>
      <c r="G250" s="563"/>
      <c r="H250" s="563"/>
      <c r="I250" s="2000"/>
      <c r="J250" s="563"/>
      <c r="K250" s="384"/>
      <c r="L250" s="1901"/>
      <c r="M250" s="1999"/>
      <c r="N250" s="1999"/>
      <c r="O250" s="1999"/>
      <c r="P250" s="2002"/>
      <c r="Q250" s="2002"/>
      <c r="R250" s="482"/>
      <c r="S250" s="482"/>
      <c r="T250" s="482"/>
      <c r="U250" s="482"/>
      <c r="V250" s="384"/>
      <c r="W250" s="563"/>
      <c r="Y250" s="563"/>
      <c r="AA250" s="384"/>
      <c r="AB250" s="384"/>
      <c r="AC250" s="384"/>
      <c r="AD250" s="384"/>
      <c r="AE250" s="384"/>
      <c r="AF250" s="384"/>
      <c r="AG250" s="384"/>
      <c r="AH250" s="384"/>
      <c r="AI250" s="384"/>
      <c r="AJ250" s="384"/>
      <c r="AK250" s="384"/>
      <c r="AL250" s="384"/>
      <c r="AM250" s="384"/>
    </row>
    <row r="251" spans="1:39" ht="15.75" customHeight="1">
      <c r="A251" s="563"/>
      <c r="B251" s="384"/>
      <c r="C251" s="563"/>
      <c r="D251" s="1997"/>
      <c r="E251" s="1998"/>
      <c r="F251" s="943"/>
      <c r="G251" s="563"/>
      <c r="H251" s="563"/>
      <c r="I251" s="2000"/>
      <c r="J251" s="563"/>
      <c r="K251" s="384"/>
      <c r="L251" s="1901"/>
      <c r="M251" s="1999"/>
      <c r="N251" s="1999"/>
      <c r="O251" s="1999"/>
      <c r="P251" s="2002"/>
      <c r="Q251" s="2002"/>
      <c r="R251" s="482"/>
      <c r="S251" s="482"/>
      <c r="T251" s="482"/>
      <c r="U251" s="482"/>
      <c r="V251" s="384"/>
      <c r="W251" s="563"/>
      <c r="Y251" s="563"/>
      <c r="AA251" s="384"/>
      <c r="AB251" s="384"/>
      <c r="AC251" s="384"/>
      <c r="AD251" s="384"/>
      <c r="AE251" s="384"/>
      <c r="AF251" s="384"/>
      <c r="AG251" s="384"/>
      <c r="AH251" s="384"/>
      <c r="AI251" s="384"/>
      <c r="AJ251" s="384"/>
      <c r="AK251" s="384"/>
      <c r="AL251" s="384"/>
      <c r="AM251" s="384"/>
    </row>
    <row r="252" spans="1:39" ht="15.75" customHeight="1">
      <c r="A252" s="563"/>
      <c r="B252" s="384"/>
      <c r="C252" s="563"/>
      <c r="D252" s="1997"/>
      <c r="E252" s="1998"/>
      <c r="F252" s="137"/>
      <c r="G252" s="563"/>
      <c r="H252" s="563"/>
      <c r="I252" s="2000"/>
      <c r="J252" s="563"/>
      <c r="K252" s="384"/>
      <c r="L252" s="1901"/>
      <c r="M252" s="1999"/>
      <c r="N252" s="1999"/>
      <c r="O252" s="1999"/>
      <c r="P252" s="2002"/>
      <c r="Q252" s="2002"/>
      <c r="R252" s="482"/>
      <c r="S252" s="482"/>
      <c r="T252" s="482"/>
      <c r="U252" s="482"/>
      <c r="V252" s="384"/>
      <c r="W252" s="563"/>
      <c r="Y252" s="563"/>
      <c r="AA252" s="384"/>
      <c r="AB252" s="384"/>
      <c r="AC252" s="384"/>
      <c r="AD252" s="384"/>
      <c r="AE252" s="384"/>
      <c r="AF252" s="384"/>
      <c r="AG252" s="384"/>
      <c r="AH252" s="384"/>
      <c r="AI252" s="384"/>
      <c r="AJ252" s="384"/>
      <c r="AK252" s="384"/>
      <c r="AL252" s="384"/>
      <c r="AM252" s="384"/>
    </row>
    <row r="253" spans="1:39" ht="15.75" customHeight="1">
      <c r="A253" s="563"/>
      <c r="B253" s="384"/>
      <c r="C253" s="563"/>
      <c r="D253" s="1997"/>
      <c r="E253" s="1998"/>
      <c r="F253" s="975"/>
      <c r="G253" s="563"/>
      <c r="H253" s="563"/>
      <c r="I253" s="2000"/>
      <c r="J253" s="563"/>
      <c r="K253" s="384"/>
      <c r="L253" s="1901"/>
      <c r="M253" s="1999"/>
      <c r="N253" s="1999"/>
      <c r="O253" s="1999"/>
      <c r="P253" s="2002"/>
      <c r="Q253" s="2002"/>
      <c r="R253" s="482"/>
      <c r="S253" s="482"/>
      <c r="T253" s="482"/>
      <c r="U253" s="482"/>
      <c r="V253" s="384"/>
      <c r="W253" s="563"/>
      <c r="Y253" s="563"/>
      <c r="AA253" s="384"/>
      <c r="AB253" s="384"/>
      <c r="AC253" s="384"/>
      <c r="AD253" s="384"/>
      <c r="AE253" s="384"/>
      <c r="AF253" s="384"/>
      <c r="AG253" s="384"/>
      <c r="AH253" s="384"/>
      <c r="AI253" s="384"/>
      <c r="AJ253" s="384"/>
      <c r="AK253" s="384"/>
      <c r="AL253" s="384"/>
      <c r="AM253" s="384"/>
    </row>
    <row r="254" spans="1:39" ht="15.75" customHeight="1">
      <c r="A254" s="563"/>
      <c r="B254" s="384"/>
      <c r="C254" s="563"/>
      <c r="D254" s="1997"/>
      <c r="E254" s="1998"/>
      <c r="F254" s="943"/>
      <c r="G254" s="563"/>
      <c r="H254" s="563"/>
      <c r="I254" s="2000"/>
      <c r="J254" s="563"/>
      <c r="K254" s="384"/>
      <c r="L254" s="1901"/>
      <c r="M254" s="1999"/>
      <c r="N254" s="1999"/>
      <c r="O254" s="1999"/>
      <c r="P254" s="2002"/>
      <c r="Q254" s="2002"/>
      <c r="R254" s="482"/>
      <c r="S254" s="482"/>
      <c r="T254" s="482"/>
      <c r="U254" s="482"/>
      <c r="V254" s="384"/>
      <c r="W254" s="563"/>
      <c r="Y254" s="563"/>
      <c r="AA254" s="384"/>
      <c r="AB254" s="384"/>
      <c r="AC254" s="384"/>
      <c r="AD254" s="384"/>
      <c r="AE254" s="384"/>
      <c r="AF254" s="384"/>
      <c r="AG254" s="384"/>
      <c r="AH254" s="384"/>
      <c r="AI254" s="384"/>
      <c r="AJ254" s="384"/>
      <c r="AK254" s="384"/>
      <c r="AL254" s="384"/>
      <c r="AM254" s="384"/>
    </row>
    <row r="255" spans="1:39" ht="15.75" customHeight="1">
      <c r="A255" s="563"/>
      <c r="B255" s="384"/>
      <c r="C255" s="563"/>
      <c r="D255" s="1997"/>
      <c r="E255" s="1998"/>
      <c r="F255" s="943"/>
      <c r="G255" s="563"/>
      <c r="H255" s="563"/>
      <c r="I255" s="2000"/>
      <c r="J255" s="563"/>
      <c r="K255" s="384"/>
      <c r="L255" s="1901"/>
      <c r="M255" s="1999"/>
      <c r="N255" s="1999"/>
      <c r="O255" s="1999"/>
      <c r="P255" s="2002"/>
      <c r="Q255" s="2002"/>
      <c r="R255" s="482"/>
      <c r="S255" s="482"/>
      <c r="T255" s="482"/>
      <c r="U255" s="482"/>
      <c r="V255" s="384"/>
      <c r="W255" s="563"/>
      <c r="Y255" s="563"/>
      <c r="AA255" s="384"/>
      <c r="AB255" s="384"/>
      <c r="AC255" s="384"/>
      <c r="AD255" s="384"/>
      <c r="AE255" s="384"/>
      <c r="AF255" s="384"/>
      <c r="AG255" s="384"/>
      <c r="AH255" s="384"/>
      <c r="AI255" s="384"/>
      <c r="AJ255" s="384"/>
      <c r="AK255" s="384"/>
      <c r="AL255" s="384"/>
      <c r="AM255" s="384"/>
    </row>
    <row r="256" spans="1:39" ht="15.75" customHeight="1">
      <c r="A256" s="563"/>
      <c r="B256" s="384"/>
      <c r="C256" s="563"/>
      <c r="D256" s="1997"/>
      <c r="E256" s="1998"/>
      <c r="F256" s="943"/>
      <c r="G256" s="563"/>
      <c r="H256" s="563"/>
      <c r="I256" s="2000"/>
      <c r="J256" s="563"/>
      <c r="K256" s="384"/>
      <c r="L256" s="1901"/>
      <c r="M256" s="1999"/>
      <c r="N256" s="1999"/>
      <c r="O256" s="1999"/>
      <c r="P256" s="2002"/>
      <c r="Q256" s="2002"/>
      <c r="R256" s="482"/>
      <c r="S256" s="482"/>
      <c r="T256" s="482"/>
      <c r="U256" s="482"/>
      <c r="V256" s="384"/>
      <c r="W256" s="563"/>
      <c r="Y256" s="563"/>
      <c r="AA256" s="384"/>
      <c r="AB256" s="384"/>
      <c r="AC256" s="384"/>
      <c r="AD256" s="384"/>
      <c r="AE256" s="384"/>
      <c r="AF256" s="384"/>
      <c r="AG256" s="384"/>
      <c r="AH256" s="384"/>
      <c r="AI256" s="384"/>
      <c r="AJ256" s="384"/>
      <c r="AK256" s="384"/>
      <c r="AL256" s="384"/>
      <c r="AM256" s="384"/>
    </row>
    <row r="257" spans="1:39" ht="15.75" customHeight="1">
      <c r="A257" s="563"/>
      <c r="B257" s="384"/>
      <c r="C257" s="563"/>
      <c r="D257" s="1997"/>
      <c r="E257" s="1998"/>
      <c r="F257" s="943"/>
      <c r="G257" s="563"/>
      <c r="H257" s="563"/>
      <c r="I257" s="2000"/>
      <c r="J257" s="563"/>
      <c r="K257" s="384"/>
      <c r="L257" s="1901"/>
      <c r="M257" s="1999"/>
      <c r="N257" s="1999"/>
      <c r="O257" s="1999"/>
      <c r="P257" s="2002"/>
      <c r="Q257" s="2002"/>
      <c r="R257" s="482"/>
      <c r="S257" s="482"/>
      <c r="T257" s="482"/>
      <c r="U257" s="482"/>
      <c r="V257" s="384"/>
      <c r="W257" s="563"/>
      <c r="Y257" s="563"/>
      <c r="AA257" s="384"/>
      <c r="AB257" s="384"/>
      <c r="AC257" s="384"/>
      <c r="AD257" s="384"/>
      <c r="AE257" s="384"/>
      <c r="AF257" s="384"/>
      <c r="AG257" s="384"/>
      <c r="AH257" s="384"/>
      <c r="AI257" s="384"/>
      <c r="AJ257" s="384"/>
      <c r="AK257" s="384"/>
      <c r="AL257" s="384"/>
      <c r="AM257" s="384"/>
    </row>
    <row r="258" spans="1:39" ht="15.75" customHeight="1">
      <c r="A258" s="563"/>
      <c r="B258" s="384"/>
      <c r="C258" s="563"/>
      <c r="D258" s="1997"/>
      <c r="E258" s="1998"/>
      <c r="F258" s="943"/>
      <c r="G258" s="563"/>
      <c r="H258" s="563"/>
      <c r="I258" s="2000"/>
      <c r="J258" s="563"/>
      <c r="K258" s="384"/>
      <c r="L258" s="1901"/>
      <c r="M258" s="1999"/>
      <c r="N258" s="1999"/>
      <c r="O258" s="1999"/>
      <c r="P258" s="2002"/>
      <c r="Q258" s="2002"/>
      <c r="R258" s="482"/>
      <c r="S258" s="482"/>
      <c r="T258" s="482"/>
      <c r="U258" s="482"/>
      <c r="V258" s="384"/>
      <c r="W258" s="563"/>
      <c r="Y258" s="563"/>
      <c r="AA258" s="384"/>
      <c r="AB258" s="384"/>
      <c r="AC258" s="384"/>
      <c r="AD258" s="384"/>
      <c r="AE258" s="384"/>
      <c r="AF258" s="384"/>
      <c r="AG258" s="384"/>
      <c r="AH258" s="384"/>
      <c r="AI258" s="384"/>
      <c r="AJ258" s="384"/>
      <c r="AK258" s="384"/>
      <c r="AL258" s="384"/>
      <c r="AM258" s="384"/>
    </row>
    <row r="259" spans="1:39" ht="15.75" customHeight="1">
      <c r="A259" s="563"/>
      <c r="B259" s="384"/>
      <c r="C259" s="563"/>
      <c r="D259" s="1997"/>
      <c r="E259" s="1998"/>
      <c r="F259" s="943"/>
      <c r="G259" s="563"/>
      <c r="H259" s="563"/>
      <c r="I259" s="2000"/>
      <c r="J259" s="563"/>
      <c r="K259" s="384"/>
      <c r="L259" s="1901"/>
      <c r="M259" s="1999"/>
      <c r="N259" s="1999"/>
      <c r="O259" s="1999"/>
      <c r="P259" s="2002"/>
      <c r="Q259" s="2002"/>
      <c r="R259" s="482"/>
      <c r="S259" s="482"/>
      <c r="T259" s="482"/>
      <c r="U259" s="482"/>
      <c r="V259" s="384"/>
      <c r="W259" s="563"/>
      <c r="Y259" s="563"/>
      <c r="AA259" s="384"/>
      <c r="AB259" s="384"/>
      <c r="AC259" s="384"/>
      <c r="AD259" s="384"/>
      <c r="AE259" s="384"/>
      <c r="AF259" s="384"/>
      <c r="AG259" s="384"/>
      <c r="AH259" s="384"/>
      <c r="AI259" s="384"/>
      <c r="AJ259" s="384"/>
      <c r="AK259" s="384"/>
      <c r="AL259" s="384"/>
      <c r="AM259" s="384"/>
    </row>
    <row r="260" spans="1:39" ht="15.75" customHeight="1">
      <c r="A260" s="563"/>
      <c r="B260" s="384"/>
      <c r="C260" s="563"/>
      <c r="D260" s="1997"/>
      <c r="E260" s="1998"/>
      <c r="F260" s="943"/>
      <c r="G260" s="563"/>
      <c r="H260" s="563"/>
      <c r="I260" s="2000"/>
      <c r="J260" s="563"/>
      <c r="K260" s="384"/>
      <c r="L260" s="1901"/>
      <c r="M260" s="1999"/>
      <c r="N260" s="1999"/>
      <c r="O260" s="1999"/>
      <c r="P260" s="2002"/>
      <c r="Q260" s="2002"/>
      <c r="R260" s="482"/>
      <c r="S260" s="482"/>
      <c r="T260" s="482"/>
      <c r="U260" s="482"/>
      <c r="V260" s="384"/>
      <c r="W260" s="563"/>
      <c r="Y260" s="563"/>
      <c r="AA260" s="384"/>
      <c r="AB260" s="384"/>
      <c r="AC260" s="384"/>
      <c r="AD260" s="384"/>
      <c r="AE260" s="384"/>
      <c r="AF260" s="384"/>
      <c r="AG260" s="384"/>
      <c r="AH260" s="384"/>
      <c r="AI260" s="384"/>
      <c r="AJ260" s="384"/>
      <c r="AK260" s="384"/>
      <c r="AL260" s="384"/>
      <c r="AM260" s="384"/>
    </row>
    <row r="261" spans="1:39" ht="15.75" customHeight="1">
      <c r="A261" s="563"/>
      <c r="B261" s="384"/>
      <c r="C261" s="563"/>
      <c r="D261" s="1997"/>
      <c r="E261" s="1998"/>
      <c r="F261" s="943"/>
      <c r="G261" s="563"/>
      <c r="H261" s="563"/>
      <c r="I261" s="2000"/>
      <c r="J261" s="563"/>
      <c r="K261" s="384"/>
      <c r="L261" s="1901"/>
      <c r="M261" s="1999"/>
      <c r="N261" s="1999"/>
      <c r="O261" s="1999"/>
      <c r="P261" s="2002"/>
      <c r="Q261" s="2002"/>
      <c r="R261" s="482"/>
      <c r="S261" s="482"/>
      <c r="T261" s="482"/>
      <c r="U261" s="482"/>
      <c r="V261" s="384"/>
      <c r="W261" s="563"/>
      <c r="Y261" s="563"/>
      <c r="AA261" s="384"/>
      <c r="AB261" s="384"/>
      <c r="AC261" s="384"/>
      <c r="AD261" s="384"/>
      <c r="AE261" s="384"/>
      <c r="AF261" s="384"/>
      <c r="AG261" s="384"/>
      <c r="AH261" s="384"/>
      <c r="AI261" s="384"/>
      <c r="AJ261" s="384"/>
      <c r="AK261" s="384"/>
      <c r="AL261" s="384"/>
      <c r="AM261" s="384"/>
    </row>
    <row r="262" spans="1:39" ht="15.75" customHeight="1">
      <c r="A262" s="563"/>
      <c r="B262" s="384"/>
      <c r="C262" s="563"/>
      <c r="D262" s="1997"/>
      <c r="E262" s="1998"/>
      <c r="F262" s="943"/>
      <c r="G262" s="563"/>
      <c r="H262" s="563"/>
      <c r="I262" s="2000"/>
      <c r="J262" s="563"/>
      <c r="K262" s="384"/>
      <c r="L262" s="1901"/>
      <c r="M262" s="1999"/>
      <c r="N262" s="1999"/>
      <c r="O262" s="1999"/>
      <c r="P262" s="2002"/>
      <c r="Q262" s="2002"/>
      <c r="R262" s="482"/>
      <c r="S262" s="482"/>
      <c r="T262" s="482"/>
      <c r="U262" s="482"/>
      <c r="V262" s="384"/>
      <c r="W262" s="563"/>
      <c r="Y262" s="563"/>
      <c r="AA262" s="384"/>
      <c r="AB262" s="384"/>
      <c r="AC262" s="384"/>
      <c r="AD262" s="384"/>
      <c r="AE262" s="384"/>
      <c r="AF262" s="384"/>
      <c r="AG262" s="384"/>
      <c r="AH262" s="384"/>
      <c r="AI262" s="384"/>
      <c r="AJ262" s="384"/>
      <c r="AK262" s="384"/>
      <c r="AL262" s="384"/>
      <c r="AM262" s="384"/>
    </row>
    <row r="263" spans="1:39" ht="15.75" customHeight="1">
      <c r="A263" s="563"/>
      <c r="B263" s="384"/>
      <c r="C263" s="563"/>
      <c r="D263" s="1997"/>
      <c r="E263" s="1998"/>
      <c r="F263" s="137"/>
      <c r="G263" s="563"/>
      <c r="H263" s="563"/>
      <c r="I263" s="2000"/>
      <c r="J263" s="563"/>
      <c r="K263" s="384"/>
      <c r="L263" s="1901"/>
      <c r="M263" s="1999"/>
      <c r="N263" s="1999"/>
      <c r="O263" s="1999"/>
      <c r="P263" s="2002"/>
      <c r="Q263" s="2002"/>
      <c r="R263" s="482"/>
      <c r="S263" s="482"/>
      <c r="T263" s="482"/>
      <c r="U263" s="482"/>
      <c r="V263" s="384"/>
      <c r="W263" s="563"/>
      <c r="Y263" s="563"/>
      <c r="AA263" s="384"/>
      <c r="AB263" s="384"/>
      <c r="AC263" s="384"/>
      <c r="AD263" s="384"/>
      <c r="AE263" s="384"/>
      <c r="AF263" s="384"/>
      <c r="AG263" s="384"/>
      <c r="AH263" s="384"/>
      <c r="AI263" s="384"/>
      <c r="AJ263" s="384"/>
      <c r="AK263" s="384"/>
      <c r="AL263" s="384"/>
      <c r="AM263" s="384"/>
    </row>
    <row r="264" spans="1:39" ht="15.75" customHeight="1">
      <c r="A264" s="563"/>
      <c r="B264" s="384"/>
      <c r="C264" s="563"/>
      <c r="D264" s="1997"/>
      <c r="E264" s="1998"/>
      <c r="F264" s="943"/>
      <c r="G264" s="563"/>
      <c r="H264" s="563"/>
      <c r="I264" s="2000"/>
      <c r="J264" s="563"/>
      <c r="K264" s="384"/>
      <c r="L264" s="1901"/>
      <c r="M264" s="1999"/>
      <c r="N264" s="1999"/>
      <c r="O264" s="1999"/>
      <c r="P264" s="2002"/>
      <c r="Q264" s="2002"/>
      <c r="R264" s="482"/>
      <c r="S264" s="482"/>
      <c r="T264" s="482"/>
      <c r="U264" s="482"/>
      <c r="V264" s="384"/>
      <c r="W264" s="563"/>
      <c r="Y264" s="563"/>
      <c r="AA264" s="384"/>
      <c r="AB264" s="384"/>
      <c r="AC264" s="384"/>
      <c r="AD264" s="384"/>
      <c r="AE264" s="384"/>
      <c r="AF264" s="384"/>
      <c r="AG264" s="384"/>
      <c r="AH264" s="384"/>
      <c r="AI264" s="384"/>
      <c r="AJ264" s="384"/>
      <c r="AK264" s="384"/>
      <c r="AL264" s="384"/>
      <c r="AM264" s="384"/>
    </row>
    <row r="265" spans="1:39" ht="15.75" customHeight="1">
      <c r="A265" s="563"/>
      <c r="B265" s="384"/>
      <c r="C265" s="563"/>
      <c r="D265" s="1997"/>
      <c r="E265" s="1998"/>
      <c r="F265" s="943"/>
      <c r="G265" s="563"/>
      <c r="H265" s="563"/>
      <c r="I265" s="2000"/>
      <c r="J265" s="563"/>
      <c r="K265" s="384"/>
      <c r="L265" s="1901"/>
      <c r="M265" s="1999"/>
      <c r="N265" s="1999"/>
      <c r="O265" s="1999"/>
      <c r="P265" s="2002"/>
      <c r="Q265" s="2002"/>
      <c r="R265" s="482"/>
      <c r="S265" s="482"/>
      <c r="T265" s="482"/>
      <c r="U265" s="482"/>
      <c r="V265" s="384"/>
      <c r="W265" s="563"/>
      <c r="Y265" s="563"/>
      <c r="AA265" s="384"/>
      <c r="AB265" s="384"/>
      <c r="AC265" s="384"/>
      <c r="AD265" s="384"/>
      <c r="AE265" s="384"/>
      <c r="AF265" s="384"/>
      <c r="AG265" s="384"/>
      <c r="AH265" s="384"/>
      <c r="AI265" s="384"/>
      <c r="AJ265" s="384"/>
      <c r="AK265" s="384"/>
      <c r="AL265" s="384"/>
      <c r="AM265" s="384"/>
    </row>
    <row r="266" spans="1:39" ht="15.75" customHeight="1">
      <c r="A266" s="563"/>
      <c r="B266" s="384"/>
      <c r="C266" s="563"/>
      <c r="D266" s="1997"/>
      <c r="E266" s="1998"/>
      <c r="F266" s="943"/>
      <c r="G266" s="563"/>
      <c r="H266" s="563"/>
      <c r="I266" s="2000"/>
      <c r="J266" s="563"/>
      <c r="K266" s="384"/>
      <c r="L266" s="1901"/>
      <c r="M266" s="1999"/>
      <c r="N266" s="1999"/>
      <c r="O266" s="1999"/>
      <c r="P266" s="2002"/>
      <c r="Q266" s="2002"/>
      <c r="R266" s="482"/>
      <c r="S266" s="482"/>
      <c r="T266" s="482"/>
      <c r="U266" s="482"/>
      <c r="V266" s="384"/>
      <c r="W266" s="563"/>
      <c r="Y266" s="563"/>
      <c r="AA266" s="384"/>
      <c r="AB266" s="384"/>
      <c r="AC266" s="384"/>
      <c r="AD266" s="384"/>
      <c r="AE266" s="384"/>
      <c r="AF266" s="384"/>
      <c r="AG266" s="384"/>
      <c r="AH266" s="384"/>
      <c r="AI266" s="384"/>
      <c r="AJ266" s="384"/>
      <c r="AK266" s="384"/>
      <c r="AL266" s="384"/>
      <c r="AM266" s="384"/>
    </row>
    <row r="267" spans="1:39" ht="15.75" customHeight="1">
      <c r="A267" s="563"/>
      <c r="B267" s="384"/>
      <c r="C267" s="563"/>
      <c r="D267" s="1997"/>
      <c r="E267" s="1998"/>
      <c r="F267" s="943"/>
      <c r="G267" s="563"/>
      <c r="H267" s="563"/>
      <c r="I267" s="2000"/>
      <c r="J267" s="563"/>
      <c r="K267" s="384"/>
      <c r="L267" s="1901"/>
      <c r="M267" s="1999"/>
      <c r="N267" s="1999"/>
      <c r="O267" s="1999"/>
      <c r="P267" s="2002"/>
      <c r="Q267" s="2002"/>
      <c r="R267" s="482"/>
      <c r="S267" s="482"/>
      <c r="T267" s="482"/>
      <c r="U267" s="482"/>
      <c r="V267" s="384"/>
      <c r="W267" s="563"/>
      <c r="Y267" s="563"/>
      <c r="AA267" s="384"/>
      <c r="AB267" s="384"/>
      <c r="AC267" s="384"/>
      <c r="AD267" s="384"/>
      <c r="AE267" s="384"/>
      <c r="AF267" s="384"/>
      <c r="AG267" s="384"/>
      <c r="AH267" s="384"/>
      <c r="AI267" s="384"/>
      <c r="AJ267" s="384"/>
      <c r="AK267" s="384"/>
      <c r="AL267" s="384"/>
      <c r="AM267" s="384"/>
    </row>
    <row r="268" spans="1:39" ht="15.75" customHeight="1">
      <c r="A268" s="563"/>
      <c r="B268" s="384"/>
      <c r="C268" s="563"/>
      <c r="D268" s="1997"/>
      <c r="E268" s="1998"/>
      <c r="F268" s="943"/>
      <c r="G268" s="563"/>
      <c r="H268" s="563"/>
      <c r="I268" s="2000"/>
      <c r="J268" s="563"/>
      <c r="K268" s="384"/>
      <c r="L268" s="1901"/>
      <c r="M268" s="1999"/>
      <c r="N268" s="1999"/>
      <c r="O268" s="1999"/>
      <c r="P268" s="2002"/>
      <c r="Q268" s="2002"/>
      <c r="R268" s="482"/>
      <c r="S268" s="482"/>
      <c r="T268" s="482"/>
      <c r="U268" s="482"/>
      <c r="V268" s="384"/>
      <c r="W268" s="563"/>
      <c r="Y268" s="563"/>
      <c r="AA268" s="384"/>
      <c r="AB268" s="384"/>
      <c r="AC268" s="384"/>
      <c r="AD268" s="384"/>
      <c r="AE268" s="384"/>
      <c r="AF268" s="384"/>
      <c r="AG268" s="384"/>
      <c r="AH268" s="384"/>
      <c r="AI268" s="384"/>
      <c r="AJ268" s="384"/>
      <c r="AK268" s="384"/>
      <c r="AL268" s="384"/>
      <c r="AM268" s="384"/>
    </row>
    <row r="269" spans="1:39" ht="15.75" customHeight="1">
      <c r="A269" s="563"/>
      <c r="B269" s="384"/>
      <c r="C269" s="563"/>
      <c r="D269" s="1997"/>
      <c r="E269" s="1998"/>
      <c r="F269" s="943"/>
      <c r="G269" s="563"/>
      <c r="H269" s="563"/>
      <c r="I269" s="2000"/>
      <c r="J269" s="563"/>
      <c r="K269" s="384"/>
      <c r="L269" s="1901"/>
      <c r="M269" s="1999"/>
      <c r="N269" s="1999"/>
      <c r="O269" s="1999"/>
      <c r="P269" s="2002"/>
      <c r="Q269" s="2002"/>
      <c r="R269" s="482"/>
      <c r="S269" s="482"/>
      <c r="T269" s="482"/>
      <c r="U269" s="482"/>
      <c r="V269" s="384"/>
      <c r="W269" s="563"/>
      <c r="Y269" s="563"/>
      <c r="AA269" s="384"/>
      <c r="AB269" s="384"/>
      <c r="AC269" s="384"/>
      <c r="AD269" s="384"/>
      <c r="AE269" s="384"/>
      <c r="AF269" s="384"/>
      <c r="AG269" s="384"/>
      <c r="AH269" s="384"/>
      <c r="AI269" s="384"/>
      <c r="AJ269" s="384"/>
      <c r="AK269" s="384"/>
      <c r="AL269" s="384"/>
      <c r="AM269" s="384"/>
    </row>
    <row r="270" spans="1:39" ht="15.75" customHeight="1">
      <c r="A270" s="563"/>
      <c r="B270" s="384"/>
      <c r="C270" s="563"/>
      <c r="D270" s="1997"/>
      <c r="E270" s="1998"/>
      <c r="F270" s="943"/>
      <c r="G270" s="563"/>
      <c r="H270" s="563"/>
      <c r="I270" s="2000"/>
      <c r="J270" s="563"/>
      <c r="K270" s="384"/>
      <c r="L270" s="1901"/>
      <c r="M270" s="1999"/>
      <c r="N270" s="1999"/>
      <c r="O270" s="1999"/>
      <c r="P270" s="2002"/>
      <c r="Q270" s="2002"/>
      <c r="R270" s="482"/>
      <c r="S270" s="482"/>
      <c r="T270" s="482"/>
      <c r="U270" s="482"/>
      <c r="V270" s="384"/>
      <c r="W270" s="563"/>
      <c r="Y270" s="563"/>
      <c r="AA270" s="384"/>
      <c r="AB270" s="384"/>
      <c r="AC270" s="384"/>
      <c r="AD270" s="384"/>
      <c r="AE270" s="384"/>
      <c r="AF270" s="384"/>
      <c r="AG270" s="384"/>
      <c r="AH270" s="384"/>
      <c r="AI270" s="384"/>
      <c r="AJ270" s="384"/>
      <c r="AK270" s="384"/>
      <c r="AL270" s="384"/>
      <c r="AM270" s="384"/>
    </row>
    <row r="271" spans="1:39" ht="15.75" customHeight="1">
      <c r="A271" s="563"/>
      <c r="B271" s="384"/>
      <c r="C271" s="563"/>
      <c r="D271" s="1997"/>
      <c r="E271" s="1998"/>
      <c r="F271" s="943"/>
      <c r="G271" s="563"/>
      <c r="H271" s="563"/>
      <c r="I271" s="2000"/>
      <c r="J271" s="563"/>
      <c r="K271" s="384"/>
      <c r="L271" s="1901"/>
      <c r="M271" s="1999"/>
      <c r="N271" s="1999"/>
      <c r="O271" s="1999"/>
      <c r="P271" s="2002"/>
      <c r="Q271" s="2002"/>
      <c r="R271" s="482"/>
      <c r="S271" s="482"/>
      <c r="T271" s="482"/>
      <c r="U271" s="482"/>
      <c r="V271" s="384"/>
      <c r="W271" s="563"/>
      <c r="Y271" s="563"/>
      <c r="AA271" s="384"/>
      <c r="AB271" s="384"/>
      <c r="AC271" s="384"/>
      <c r="AD271" s="384"/>
      <c r="AE271" s="384"/>
      <c r="AF271" s="384"/>
      <c r="AG271" s="384"/>
      <c r="AH271" s="384"/>
      <c r="AI271" s="384"/>
      <c r="AJ271" s="384"/>
      <c r="AK271" s="384"/>
      <c r="AL271" s="384"/>
      <c r="AM271" s="384"/>
    </row>
    <row r="272" spans="1:39" ht="15.75" customHeight="1">
      <c r="A272" s="563"/>
      <c r="B272" s="384"/>
      <c r="C272" s="563"/>
      <c r="D272" s="1997"/>
      <c r="E272" s="1998"/>
      <c r="F272" s="943"/>
      <c r="G272" s="563"/>
      <c r="H272" s="563"/>
      <c r="I272" s="2000"/>
      <c r="J272" s="563"/>
      <c r="K272" s="384"/>
      <c r="L272" s="1901"/>
      <c r="M272" s="1999"/>
      <c r="N272" s="1999"/>
      <c r="O272" s="1999"/>
      <c r="P272" s="2002"/>
      <c r="Q272" s="2002"/>
      <c r="R272" s="482"/>
      <c r="S272" s="482"/>
      <c r="T272" s="482"/>
      <c r="U272" s="482"/>
      <c r="V272" s="384"/>
      <c r="W272" s="563"/>
      <c r="Y272" s="563"/>
      <c r="AA272" s="384"/>
      <c r="AB272" s="384"/>
      <c r="AC272" s="384"/>
      <c r="AD272" s="384"/>
      <c r="AE272" s="384"/>
      <c r="AF272" s="384"/>
      <c r="AG272" s="384"/>
      <c r="AH272" s="384"/>
      <c r="AI272" s="384"/>
      <c r="AJ272" s="384"/>
      <c r="AK272" s="384"/>
      <c r="AL272" s="384"/>
      <c r="AM272" s="384"/>
    </row>
    <row r="273" spans="1:39" ht="15.75" customHeight="1">
      <c r="A273" s="563"/>
      <c r="B273" s="384"/>
      <c r="C273" s="563"/>
      <c r="D273" s="1997"/>
      <c r="E273" s="1998"/>
      <c r="F273" s="943"/>
      <c r="G273" s="563"/>
      <c r="H273" s="563"/>
      <c r="I273" s="2000"/>
      <c r="J273" s="563"/>
      <c r="K273" s="384"/>
      <c r="L273" s="1901"/>
      <c r="M273" s="1999"/>
      <c r="N273" s="1999"/>
      <c r="O273" s="1999"/>
      <c r="P273" s="2002"/>
      <c r="Q273" s="2002"/>
      <c r="R273" s="482"/>
      <c r="S273" s="482"/>
      <c r="T273" s="482"/>
      <c r="U273" s="482"/>
      <c r="V273" s="384"/>
      <c r="W273" s="563"/>
      <c r="Y273" s="563"/>
      <c r="AA273" s="384"/>
      <c r="AB273" s="384"/>
      <c r="AC273" s="384"/>
      <c r="AD273" s="384"/>
      <c r="AE273" s="384"/>
      <c r="AF273" s="384"/>
      <c r="AG273" s="384"/>
      <c r="AH273" s="384"/>
      <c r="AI273" s="384"/>
      <c r="AJ273" s="384"/>
      <c r="AK273" s="384"/>
      <c r="AL273" s="384"/>
      <c r="AM273" s="384"/>
    </row>
    <row r="274" spans="1:39" ht="15.75" customHeight="1">
      <c r="A274" s="563"/>
      <c r="B274" s="384"/>
      <c r="C274" s="563"/>
      <c r="D274" s="1997"/>
      <c r="E274" s="1998"/>
      <c r="F274" s="1948"/>
      <c r="G274" s="563"/>
      <c r="H274" s="563"/>
      <c r="I274" s="2000"/>
      <c r="J274" s="563"/>
      <c r="K274" s="384"/>
      <c r="L274" s="1901"/>
      <c r="M274" s="1999"/>
      <c r="N274" s="1999"/>
      <c r="O274" s="1999"/>
      <c r="P274" s="2002"/>
      <c r="Q274" s="2002"/>
      <c r="R274" s="482"/>
      <c r="S274" s="482"/>
      <c r="T274" s="482"/>
      <c r="U274" s="482"/>
      <c r="V274" s="384"/>
      <c r="W274" s="563"/>
      <c r="Y274" s="563"/>
      <c r="AA274" s="384"/>
      <c r="AB274" s="384"/>
      <c r="AC274" s="384"/>
      <c r="AD274" s="384"/>
      <c r="AE274" s="384"/>
      <c r="AF274" s="384"/>
      <c r="AG274" s="384"/>
      <c r="AH274" s="384"/>
      <c r="AI274" s="384"/>
      <c r="AJ274" s="384"/>
      <c r="AK274" s="384"/>
      <c r="AL274" s="384"/>
      <c r="AM274" s="384"/>
    </row>
    <row r="275" spans="1:39" ht="15.75" customHeight="1">
      <c r="A275" s="563"/>
      <c r="B275" s="384"/>
      <c r="C275" s="563"/>
      <c r="D275" s="1997"/>
      <c r="E275" s="1998"/>
      <c r="F275" s="137"/>
      <c r="G275" s="563"/>
      <c r="H275" s="563"/>
      <c r="I275" s="2000"/>
      <c r="J275" s="563"/>
      <c r="K275" s="384"/>
      <c r="L275" s="1901"/>
      <c r="M275" s="1999"/>
      <c r="N275" s="1999"/>
      <c r="O275" s="1999"/>
      <c r="P275" s="2002"/>
      <c r="Q275" s="2002"/>
      <c r="R275" s="482"/>
      <c r="S275" s="482"/>
      <c r="T275" s="482"/>
      <c r="U275" s="482"/>
      <c r="V275" s="384"/>
      <c r="W275" s="563"/>
      <c r="Y275" s="563"/>
      <c r="AA275" s="384"/>
      <c r="AB275" s="384"/>
      <c r="AC275" s="384"/>
      <c r="AD275" s="384"/>
      <c r="AE275" s="384"/>
      <c r="AF275" s="384"/>
      <c r="AG275" s="384"/>
      <c r="AH275" s="384"/>
      <c r="AI275" s="384"/>
      <c r="AJ275" s="384"/>
      <c r="AK275" s="384"/>
      <c r="AL275" s="384"/>
      <c r="AM275" s="384"/>
    </row>
    <row r="276" spans="1:39" ht="15.75" customHeight="1">
      <c r="A276" s="563"/>
      <c r="B276" s="384"/>
      <c r="C276" s="563"/>
      <c r="D276" s="1997"/>
      <c r="E276" s="1998"/>
      <c r="F276" s="943"/>
      <c r="G276" s="563"/>
      <c r="H276" s="563"/>
      <c r="I276" s="2000"/>
      <c r="J276" s="563"/>
      <c r="K276" s="384"/>
      <c r="L276" s="1901"/>
      <c r="M276" s="1999"/>
      <c r="N276" s="1999"/>
      <c r="O276" s="1999"/>
      <c r="P276" s="2002"/>
      <c r="Q276" s="2002"/>
      <c r="R276" s="482"/>
      <c r="S276" s="482"/>
      <c r="T276" s="482"/>
      <c r="U276" s="482"/>
      <c r="V276" s="384"/>
      <c r="W276" s="563"/>
      <c r="Y276" s="563"/>
      <c r="AA276" s="384"/>
      <c r="AB276" s="384"/>
      <c r="AC276" s="384"/>
      <c r="AD276" s="384"/>
      <c r="AE276" s="384"/>
      <c r="AF276" s="384"/>
      <c r="AG276" s="384"/>
      <c r="AH276" s="384"/>
      <c r="AI276" s="384"/>
      <c r="AJ276" s="384"/>
      <c r="AK276" s="384"/>
      <c r="AL276" s="384"/>
      <c r="AM276" s="384"/>
    </row>
    <row r="277" spans="1:39" ht="15.75" customHeight="1">
      <c r="A277" s="563"/>
      <c r="B277" s="384"/>
      <c r="C277" s="563"/>
      <c r="D277" s="1997"/>
      <c r="E277" s="1998"/>
      <c r="F277" s="943"/>
      <c r="G277" s="563"/>
      <c r="H277" s="563"/>
      <c r="I277" s="2000"/>
      <c r="J277" s="563"/>
      <c r="K277" s="384"/>
      <c r="L277" s="1901"/>
      <c r="M277" s="1999"/>
      <c r="N277" s="1999"/>
      <c r="O277" s="1999"/>
      <c r="P277" s="2002"/>
      <c r="Q277" s="2002"/>
      <c r="R277" s="482"/>
      <c r="S277" s="482"/>
      <c r="T277" s="482"/>
      <c r="U277" s="482"/>
      <c r="V277" s="384"/>
      <c r="W277" s="563"/>
      <c r="Y277" s="563"/>
      <c r="AA277" s="384"/>
      <c r="AB277" s="384"/>
      <c r="AC277" s="384"/>
      <c r="AD277" s="384"/>
      <c r="AE277" s="384"/>
      <c r="AF277" s="384"/>
      <c r="AG277" s="384"/>
      <c r="AH277" s="384"/>
      <c r="AI277" s="384"/>
      <c r="AJ277" s="384"/>
      <c r="AK277" s="384"/>
      <c r="AL277" s="384"/>
      <c r="AM277" s="384"/>
    </row>
    <row r="278" spans="1:39" ht="15.75" customHeight="1">
      <c r="A278" s="563"/>
      <c r="B278" s="384"/>
      <c r="C278" s="563"/>
      <c r="D278" s="1997"/>
      <c r="E278" s="1998"/>
      <c r="F278" s="137"/>
      <c r="G278" s="563"/>
      <c r="H278" s="563"/>
      <c r="I278" s="2000"/>
      <c r="J278" s="563"/>
      <c r="K278" s="384"/>
      <c r="L278" s="1901"/>
      <c r="M278" s="1999"/>
      <c r="N278" s="1999"/>
      <c r="O278" s="1999"/>
      <c r="P278" s="2002"/>
      <c r="Q278" s="2002"/>
      <c r="R278" s="482"/>
      <c r="S278" s="482"/>
      <c r="T278" s="482"/>
      <c r="U278" s="482"/>
      <c r="V278" s="384"/>
      <c r="W278" s="563"/>
      <c r="Y278" s="563"/>
      <c r="AA278" s="384"/>
      <c r="AB278" s="384"/>
      <c r="AC278" s="384"/>
      <c r="AD278" s="384"/>
      <c r="AE278" s="384"/>
      <c r="AF278" s="384"/>
      <c r="AG278" s="384"/>
      <c r="AH278" s="384"/>
      <c r="AI278" s="384"/>
      <c r="AJ278" s="384"/>
      <c r="AK278" s="384"/>
      <c r="AL278" s="384"/>
      <c r="AM278" s="384"/>
    </row>
    <row r="279" spans="1:39" ht="15.75" customHeight="1">
      <c r="A279" s="563"/>
      <c r="B279" s="384"/>
      <c r="C279" s="563"/>
      <c r="D279" s="1997"/>
      <c r="E279" s="1998"/>
      <c r="F279" s="943"/>
      <c r="G279" s="563"/>
      <c r="H279" s="563"/>
      <c r="I279" s="2000"/>
      <c r="J279" s="563"/>
      <c r="K279" s="384"/>
      <c r="L279" s="1901"/>
      <c r="M279" s="1999"/>
      <c r="N279" s="1999"/>
      <c r="O279" s="1999"/>
      <c r="P279" s="2002"/>
      <c r="Q279" s="2002"/>
      <c r="R279" s="482"/>
      <c r="S279" s="482"/>
      <c r="T279" s="482"/>
      <c r="U279" s="482"/>
      <c r="V279" s="384"/>
      <c r="W279" s="563"/>
      <c r="Y279" s="563"/>
      <c r="AA279" s="384"/>
      <c r="AB279" s="384"/>
      <c r="AC279" s="384"/>
      <c r="AD279" s="384"/>
      <c r="AE279" s="384"/>
      <c r="AF279" s="384"/>
      <c r="AG279" s="384"/>
      <c r="AH279" s="384"/>
      <c r="AI279" s="384"/>
      <c r="AJ279" s="384"/>
      <c r="AK279" s="384"/>
      <c r="AL279" s="384"/>
      <c r="AM279" s="384"/>
    </row>
    <row r="280" spans="1:39" ht="15.75" customHeight="1">
      <c r="A280" s="563"/>
      <c r="B280" s="384"/>
      <c r="C280" s="563"/>
      <c r="D280" s="1997"/>
      <c r="E280" s="1998"/>
      <c r="F280" s="943"/>
      <c r="G280" s="563"/>
      <c r="H280" s="563"/>
      <c r="I280" s="2000"/>
      <c r="J280" s="563"/>
      <c r="K280" s="384"/>
      <c r="L280" s="1901"/>
      <c r="M280" s="1999"/>
      <c r="N280" s="1999"/>
      <c r="O280" s="1999"/>
      <c r="P280" s="2002"/>
      <c r="Q280" s="2002"/>
      <c r="R280" s="482"/>
      <c r="S280" s="482"/>
      <c r="T280" s="482"/>
      <c r="U280" s="482"/>
      <c r="V280" s="384"/>
      <c r="W280" s="563"/>
      <c r="Y280" s="563"/>
      <c r="AA280" s="384"/>
      <c r="AB280" s="384"/>
      <c r="AC280" s="384"/>
      <c r="AD280" s="384"/>
      <c r="AE280" s="384"/>
      <c r="AF280" s="384"/>
      <c r="AG280" s="384"/>
      <c r="AH280" s="384"/>
      <c r="AI280" s="384"/>
      <c r="AJ280" s="384"/>
      <c r="AK280" s="384"/>
      <c r="AL280" s="384"/>
      <c r="AM280" s="384"/>
    </row>
    <row r="281" spans="1:39" ht="15.75" customHeight="1">
      <c r="A281" s="563"/>
      <c r="B281" s="384"/>
      <c r="C281" s="563"/>
      <c r="D281" s="1997"/>
      <c r="E281" s="1998"/>
      <c r="F281" s="1948"/>
      <c r="G281" s="563"/>
      <c r="H281" s="563"/>
      <c r="I281" s="2000"/>
      <c r="J281" s="563"/>
      <c r="K281" s="384"/>
      <c r="L281" s="1901"/>
      <c r="M281" s="1999"/>
      <c r="N281" s="1999"/>
      <c r="O281" s="1999"/>
      <c r="P281" s="2002"/>
      <c r="Q281" s="2002"/>
      <c r="R281" s="482"/>
      <c r="S281" s="482"/>
      <c r="T281" s="482"/>
      <c r="U281" s="482"/>
      <c r="V281" s="384"/>
      <c r="W281" s="563"/>
      <c r="Y281" s="563"/>
      <c r="AA281" s="384"/>
      <c r="AB281" s="384"/>
      <c r="AC281" s="384"/>
      <c r="AD281" s="384"/>
      <c r="AE281" s="384"/>
      <c r="AF281" s="384"/>
      <c r="AG281" s="384"/>
      <c r="AH281" s="384"/>
      <c r="AI281" s="384"/>
      <c r="AJ281" s="384"/>
      <c r="AK281" s="384"/>
      <c r="AL281" s="384"/>
      <c r="AM281" s="384"/>
    </row>
    <row r="282" spans="1:39" ht="15.75" customHeight="1">
      <c r="A282" s="563"/>
      <c r="B282" s="384"/>
      <c r="C282" s="563"/>
      <c r="D282" s="1997"/>
      <c r="E282" s="1998"/>
      <c r="F282" s="943"/>
      <c r="G282" s="563"/>
      <c r="H282" s="563"/>
      <c r="I282" s="2000"/>
      <c r="J282" s="563"/>
      <c r="K282" s="384"/>
      <c r="L282" s="1901"/>
      <c r="M282" s="1999"/>
      <c r="N282" s="1999"/>
      <c r="O282" s="1999"/>
      <c r="P282" s="2002"/>
      <c r="Q282" s="2002"/>
      <c r="R282" s="482"/>
      <c r="S282" s="482"/>
      <c r="T282" s="482"/>
      <c r="U282" s="482"/>
      <c r="V282" s="384"/>
      <c r="W282" s="563"/>
      <c r="Y282" s="563"/>
      <c r="AA282" s="384"/>
      <c r="AB282" s="384"/>
      <c r="AC282" s="384"/>
      <c r="AD282" s="384"/>
      <c r="AE282" s="384"/>
      <c r="AF282" s="384"/>
      <c r="AG282" s="384"/>
      <c r="AH282" s="384"/>
      <c r="AI282" s="384"/>
      <c r="AJ282" s="384"/>
      <c r="AK282" s="384"/>
      <c r="AL282" s="384"/>
      <c r="AM282" s="384"/>
    </row>
    <row r="283" spans="1:39" ht="15.75" customHeight="1">
      <c r="A283" s="563"/>
      <c r="B283" s="384"/>
      <c r="C283" s="563"/>
      <c r="D283" s="1997"/>
      <c r="E283" s="1998"/>
      <c r="F283" s="1948"/>
      <c r="G283" s="563"/>
      <c r="H283" s="563"/>
      <c r="I283" s="2000"/>
      <c r="J283" s="563"/>
      <c r="K283" s="384"/>
      <c r="L283" s="1901"/>
      <c r="M283" s="1999"/>
      <c r="N283" s="1999"/>
      <c r="O283" s="1999"/>
      <c r="P283" s="2002"/>
      <c r="Q283" s="2002"/>
      <c r="R283" s="482"/>
      <c r="S283" s="482"/>
      <c r="T283" s="482"/>
      <c r="U283" s="482"/>
      <c r="V283" s="384"/>
      <c r="W283" s="563"/>
      <c r="Y283" s="563"/>
      <c r="AA283" s="384"/>
      <c r="AB283" s="384"/>
      <c r="AC283" s="384"/>
      <c r="AD283" s="384"/>
      <c r="AE283" s="384"/>
      <c r="AF283" s="384"/>
      <c r="AG283" s="384"/>
      <c r="AH283" s="384"/>
      <c r="AI283" s="384"/>
      <c r="AJ283" s="384"/>
      <c r="AK283" s="384"/>
      <c r="AL283" s="384"/>
      <c r="AM283" s="384"/>
    </row>
    <row r="284" spans="1:39" ht="15.75" customHeight="1">
      <c r="A284" s="563"/>
      <c r="B284" s="384"/>
      <c r="C284" s="563"/>
      <c r="D284" s="1997"/>
      <c r="E284" s="1998"/>
      <c r="F284" s="943"/>
      <c r="G284" s="563"/>
      <c r="H284" s="563"/>
      <c r="I284" s="2000"/>
      <c r="J284" s="563"/>
      <c r="K284" s="384"/>
      <c r="L284" s="1901"/>
      <c r="M284" s="1999"/>
      <c r="N284" s="1999"/>
      <c r="O284" s="1999"/>
      <c r="P284" s="2002"/>
      <c r="Q284" s="2002"/>
      <c r="R284" s="482"/>
      <c r="S284" s="482"/>
      <c r="T284" s="482"/>
      <c r="U284" s="482"/>
      <c r="V284" s="384"/>
      <c r="W284" s="563"/>
      <c r="Y284" s="563"/>
      <c r="AA284" s="384"/>
      <c r="AB284" s="384"/>
      <c r="AC284" s="384"/>
      <c r="AD284" s="384"/>
      <c r="AE284" s="384"/>
      <c r="AF284" s="384"/>
      <c r="AG284" s="384"/>
      <c r="AH284" s="384"/>
      <c r="AI284" s="384"/>
      <c r="AJ284" s="384"/>
      <c r="AK284" s="384"/>
      <c r="AL284" s="384"/>
      <c r="AM284" s="384"/>
    </row>
    <row r="285" spans="1:39" ht="15.75" customHeight="1">
      <c r="A285" s="563"/>
      <c r="B285" s="384"/>
      <c r="C285" s="563"/>
      <c r="D285" s="1997"/>
      <c r="E285" s="1998"/>
      <c r="F285" s="943"/>
      <c r="G285" s="563"/>
      <c r="H285" s="563"/>
      <c r="I285" s="2000"/>
      <c r="J285" s="563"/>
      <c r="K285" s="384"/>
      <c r="L285" s="1901"/>
      <c r="M285" s="1999"/>
      <c r="N285" s="1999"/>
      <c r="O285" s="1999"/>
      <c r="P285" s="2002"/>
      <c r="Q285" s="2002"/>
      <c r="R285" s="482"/>
      <c r="S285" s="482"/>
      <c r="T285" s="482"/>
      <c r="U285" s="482"/>
      <c r="V285" s="384"/>
      <c r="W285" s="563"/>
      <c r="Y285" s="563"/>
      <c r="AA285" s="384"/>
      <c r="AB285" s="384"/>
      <c r="AC285" s="384"/>
      <c r="AD285" s="384"/>
      <c r="AE285" s="384"/>
      <c r="AF285" s="384"/>
      <c r="AG285" s="384"/>
      <c r="AH285" s="384"/>
      <c r="AI285" s="384"/>
      <c r="AJ285" s="384"/>
      <c r="AK285" s="384"/>
      <c r="AL285" s="384"/>
      <c r="AM285" s="384"/>
    </row>
    <row r="286" spans="1:39" ht="15.75" customHeight="1">
      <c r="A286" s="563"/>
      <c r="B286" s="384"/>
      <c r="C286" s="563"/>
      <c r="D286" s="1997"/>
      <c r="E286" s="1998"/>
      <c r="F286" s="943"/>
      <c r="G286" s="563"/>
      <c r="H286" s="563"/>
      <c r="I286" s="2000"/>
      <c r="J286" s="563"/>
      <c r="K286" s="384"/>
      <c r="L286" s="1901"/>
      <c r="M286" s="1999"/>
      <c r="N286" s="1999"/>
      <c r="O286" s="1999"/>
      <c r="P286" s="2002"/>
      <c r="Q286" s="2002"/>
      <c r="R286" s="482"/>
      <c r="S286" s="482"/>
      <c r="T286" s="482"/>
      <c r="U286" s="482"/>
      <c r="V286" s="384"/>
      <c r="W286" s="563"/>
      <c r="Y286" s="563"/>
      <c r="AA286" s="384"/>
      <c r="AB286" s="384"/>
      <c r="AC286" s="384"/>
      <c r="AD286" s="384"/>
      <c r="AE286" s="384"/>
      <c r="AF286" s="384"/>
      <c r="AG286" s="384"/>
      <c r="AH286" s="384"/>
      <c r="AI286" s="384"/>
      <c r="AJ286" s="384"/>
      <c r="AK286" s="384"/>
      <c r="AL286" s="384"/>
      <c r="AM286" s="384"/>
    </row>
    <row r="287" spans="1:39" ht="15.75" customHeight="1">
      <c r="A287" s="563"/>
      <c r="B287" s="384"/>
      <c r="C287" s="563"/>
      <c r="D287" s="1997"/>
      <c r="E287" s="1998"/>
      <c r="F287" s="943"/>
      <c r="G287" s="563"/>
      <c r="H287" s="563"/>
      <c r="I287" s="2000"/>
      <c r="J287" s="563"/>
      <c r="K287" s="384"/>
      <c r="L287" s="1901"/>
      <c r="M287" s="1999"/>
      <c r="N287" s="1999"/>
      <c r="O287" s="1999"/>
      <c r="P287" s="2002"/>
      <c r="Q287" s="2002"/>
      <c r="R287" s="482"/>
      <c r="S287" s="482"/>
      <c r="T287" s="482"/>
      <c r="U287" s="482"/>
      <c r="V287" s="384"/>
      <c r="W287" s="563"/>
      <c r="Y287" s="563"/>
      <c r="AA287" s="384"/>
      <c r="AB287" s="384"/>
      <c r="AC287" s="384"/>
      <c r="AD287" s="384"/>
      <c r="AE287" s="384"/>
      <c r="AF287" s="384"/>
      <c r="AG287" s="384"/>
      <c r="AH287" s="384"/>
      <c r="AI287" s="384"/>
      <c r="AJ287" s="384"/>
      <c r="AK287" s="384"/>
      <c r="AL287" s="384"/>
      <c r="AM287" s="384"/>
    </row>
    <row r="288" spans="1:39" ht="15.75" customHeight="1">
      <c r="A288" s="563"/>
      <c r="B288" s="384"/>
      <c r="C288" s="563"/>
      <c r="D288" s="1997"/>
      <c r="E288" s="1998"/>
      <c r="F288" s="943"/>
      <c r="G288" s="563"/>
      <c r="H288" s="563"/>
      <c r="I288" s="2000"/>
      <c r="J288" s="563"/>
      <c r="K288" s="384"/>
      <c r="L288" s="1901"/>
      <c r="M288" s="1999"/>
      <c r="N288" s="1999"/>
      <c r="O288" s="1999"/>
      <c r="P288" s="2002"/>
      <c r="Q288" s="2002"/>
      <c r="R288" s="482"/>
      <c r="S288" s="482"/>
      <c r="T288" s="482"/>
      <c r="U288" s="482"/>
      <c r="V288" s="384"/>
      <c r="W288" s="563"/>
      <c r="Y288" s="563"/>
      <c r="AA288" s="384"/>
      <c r="AB288" s="384"/>
      <c r="AC288" s="384"/>
      <c r="AD288" s="384"/>
      <c r="AE288" s="384"/>
      <c r="AF288" s="384"/>
      <c r="AG288" s="384"/>
      <c r="AH288" s="384"/>
      <c r="AI288" s="384"/>
      <c r="AJ288" s="384"/>
      <c r="AK288" s="384"/>
      <c r="AL288" s="384"/>
      <c r="AM288" s="384"/>
    </row>
    <row r="289" spans="1:39" ht="15.75" customHeight="1">
      <c r="A289" s="563"/>
      <c r="B289" s="384"/>
      <c r="C289" s="563"/>
      <c r="D289" s="1997"/>
      <c r="E289" s="1998"/>
      <c r="F289" s="943"/>
      <c r="G289" s="563"/>
      <c r="H289" s="563"/>
      <c r="I289" s="2000"/>
      <c r="J289" s="563"/>
      <c r="K289" s="384"/>
      <c r="L289" s="1901"/>
      <c r="M289" s="1999"/>
      <c r="N289" s="1999"/>
      <c r="O289" s="1999"/>
      <c r="P289" s="2002"/>
      <c r="Q289" s="2002"/>
      <c r="R289" s="482"/>
      <c r="S289" s="482"/>
      <c r="T289" s="482"/>
      <c r="U289" s="482"/>
      <c r="V289" s="384"/>
      <c r="W289" s="563"/>
      <c r="Y289" s="563"/>
      <c r="AA289" s="384"/>
      <c r="AB289" s="384"/>
      <c r="AC289" s="384"/>
      <c r="AD289" s="384"/>
      <c r="AE289" s="384"/>
      <c r="AF289" s="384"/>
      <c r="AG289" s="384"/>
      <c r="AH289" s="384"/>
      <c r="AI289" s="384"/>
      <c r="AJ289" s="384"/>
      <c r="AK289" s="384"/>
      <c r="AL289" s="384"/>
      <c r="AM289" s="384"/>
    </row>
    <row r="290" spans="1:39" ht="15.75" customHeight="1">
      <c r="A290" s="563"/>
      <c r="B290" s="384"/>
      <c r="C290" s="563"/>
      <c r="D290" s="1997"/>
      <c r="E290" s="1998"/>
      <c r="F290" s="943"/>
      <c r="G290" s="563"/>
      <c r="H290" s="563"/>
      <c r="I290" s="2000"/>
      <c r="J290" s="563"/>
      <c r="K290" s="384"/>
      <c r="L290" s="1901"/>
      <c r="M290" s="1999"/>
      <c r="N290" s="1999"/>
      <c r="O290" s="1999"/>
      <c r="P290" s="2002"/>
      <c r="Q290" s="2002"/>
      <c r="R290" s="482"/>
      <c r="S290" s="482"/>
      <c r="T290" s="482"/>
      <c r="U290" s="482"/>
      <c r="V290" s="384"/>
      <c r="W290" s="563"/>
      <c r="Y290" s="563"/>
      <c r="AA290" s="384"/>
      <c r="AB290" s="384"/>
      <c r="AC290" s="384"/>
      <c r="AD290" s="384"/>
      <c r="AE290" s="384"/>
      <c r="AF290" s="384"/>
      <c r="AG290" s="384"/>
      <c r="AH290" s="384"/>
      <c r="AI290" s="384"/>
      <c r="AJ290" s="384"/>
      <c r="AK290" s="384"/>
      <c r="AL290" s="384"/>
      <c r="AM290" s="384"/>
    </row>
    <row r="291" spans="1:39" ht="15.75" customHeight="1">
      <c r="A291" s="563"/>
      <c r="B291" s="384"/>
      <c r="C291" s="563"/>
      <c r="D291" s="1997"/>
      <c r="E291" s="1998"/>
      <c r="F291" s="1948"/>
      <c r="G291" s="563"/>
      <c r="H291" s="563"/>
      <c r="I291" s="2000"/>
      <c r="J291" s="563"/>
      <c r="K291" s="384"/>
      <c r="L291" s="1901"/>
      <c r="M291" s="1999"/>
      <c r="N291" s="1999"/>
      <c r="O291" s="1999"/>
      <c r="P291" s="2002"/>
      <c r="Q291" s="2002"/>
      <c r="R291" s="482"/>
      <c r="S291" s="482"/>
      <c r="T291" s="482"/>
      <c r="U291" s="482"/>
      <c r="V291" s="384"/>
      <c r="W291" s="563"/>
      <c r="Y291" s="563"/>
      <c r="AA291" s="384"/>
      <c r="AB291" s="384"/>
      <c r="AC291" s="384"/>
      <c r="AD291" s="384"/>
      <c r="AE291" s="384"/>
      <c r="AF291" s="384"/>
      <c r="AG291" s="384"/>
      <c r="AH291" s="384"/>
      <c r="AI291" s="384"/>
      <c r="AJ291" s="384"/>
      <c r="AK291" s="384"/>
      <c r="AL291" s="384"/>
      <c r="AM291" s="384"/>
    </row>
    <row r="292" spans="1:39" ht="15.75" customHeight="1">
      <c r="A292" s="563"/>
      <c r="B292" s="384"/>
      <c r="C292" s="563"/>
      <c r="D292" s="1997"/>
      <c r="E292" s="1998"/>
      <c r="F292" s="943"/>
      <c r="G292" s="563"/>
      <c r="H292" s="563"/>
      <c r="I292" s="2000"/>
      <c r="J292" s="563"/>
      <c r="K292" s="384"/>
      <c r="L292" s="1901"/>
      <c r="M292" s="1999"/>
      <c r="N292" s="1999"/>
      <c r="O292" s="1999"/>
      <c r="P292" s="2002"/>
      <c r="Q292" s="2002"/>
      <c r="R292" s="482"/>
      <c r="S292" s="482"/>
      <c r="T292" s="482"/>
      <c r="U292" s="482"/>
      <c r="V292" s="384"/>
      <c r="W292" s="563"/>
      <c r="Y292" s="563"/>
      <c r="AA292" s="384"/>
      <c r="AB292" s="384"/>
      <c r="AC292" s="384"/>
      <c r="AD292" s="384"/>
      <c r="AE292" s="384"/>
      <c r="AF292" s="384"/>
      <c r="AG292" s="384"/>
      <c r="AH292" s="384"/>
      <c r="AI292" s="384"/>
      <c r="AJ292" s="384"/>
      <c r="AK292" s="384"/>
      <c r="AL292" s="384"/>
      <c r="AM292" s="384"/>
    </row>
    <row r="293" spans="1:39" ht="15.75" customHeight="1">
      <c r="A293" s="563"/>
      <c r="B293" s="384"/>
      <c r="C293" s="563"/>
      <c r="D293" s="1997"/>
      <c r="E293" s="1998"/>
      <c r="F293" s="943"/>
      <c r="G293" s="563"/>
      <c r="H293" s="563"/>
      <c r="I293" s="2000"/>
      <c r="J293" s="563"/>
      <c r="K293" s="384"/>
      <c r="L293" s="1901"/>
      <c r="M293" s="1999"/>
      <c r="N293" s="1999"/>
      <c r="O293" s="1999"/>
      <c r="P293" s="2002"/>
      <c r="Q293" s="2002"/>
      <c r="R293" s="482"/>
      <c r="S293" s="482"/>
      <c r="T293" s="482"/>
      <c r="U293" s="482"/>
      <c r="V293" s="384"/>
      <c r="W293" s="563"/>
      <c r="Y293" s="563"/>
      <c r="AA293" s="384"/>
      <c r="AB293" s="384"/>
      <c r="AC293" s="384"/>
      <c r="AD293" s="384"/>
      <c r="AE293" s="384"/>
      <c r="AF293" s="384"/>
      <c r="AG293" s="384"/>
      <c r="AH293" s="384"/>
      <c r="AI293" s="384"/>
      <c r="AJ293" s="384"/>
      <c r="AK293" s="384"/>
      <c r="AL293" s="384"/>
      <c r="AM293" s="384"/>
    </row>
    <row r="294" spans="1:39" ht="15.75" customHeight="1">
      <c r="A294" s="563"/>
      <c r="B294" s="384"/>
      <c r="C294" s="563"/>
      <c r="D294" s="1997"/>
      <c r="E294" s="1998"/>
      <c r="F294" s="1953"/>
      <c r="G294" s="563"/>
      <c r="H294" s="563"/>
      <c r="I294" s="2000"/>
      <c r="J294" s="563"/>
      <c r="K294" s="384"/>
      <c r="L294" s="1901"/>
      <c r="M294" s="1999"/>
      <c r="N294" s="1999"/>
      <c r="O294" s="1999"/>
      <c r="P294" s="2002"/>
      <c r="Q294" s="2002"/>
      <c r="R294" s="482"/>
      <c r="S294" s="482"/>
      <c r="T294" s="482"/>
      <c r="U294" s="482"/>
      <c r="V294" s="384"/>
      <c r="W294" s="563"/>
      <c r="Y294" s="563"/>
      <c r="AA294" s="384"/>
      <c r="AB294" s="384"/>
      <c r="AC294" s="384"/>
      <c r="AD294" s="384"/>
      <c r="AE294" s="384"/>
      <c r="AF294" s="384"/>
      <c r="AG294" s="384"/>
      <c r="AH294" s="384"/>
      <c r="AI294" s="384"/>
      <c r="AJ294" s="384"/>
      <c r="AK294" s="384"/>
      <c r="AL294" s="384"/>
      <c r="AM294" s="384"/>
    </row>
    <row r="295" spans="1:39" ht="15.75" customHeight="1">
      <c r="A295" s="563"/>
      <c r="B295" s="384"/>
      <c r="C295" s="563"/>
      <c r="D295" s="1997"/>
      <c r="E295" s="1998"/>
      <c r="F295" s="1954"/>
      <c r="G295" s="563"/>
      <c r="H295" s="563"/>
      <c r="I295" s="2000"/>
      <c r="J295" s="563"/>
      <c r="K295" s="384"/>
      <c r="L295" s="1901"/>
      <c r="M295" s="1999"/>
      <c r="N295" s="1999"/>
      <c r="O295" s="1999"/>
      <c r="P295" s="2002"/>
      <c r="Q295" s="2002"/>
      <c r="R295" s="482"/>
      <c r="S295" s="482"/>
      <c r="T295" s="482"/>
      <c r="U295" s="482"/>
      <c r="V295" s="384"/>
      <c r="W295" s="563"/>
      <c r="Y295" s="563"/>
      <c r="AA295" s="384"/>
      <c r="AB295" s="384"/>
      <c r="AC295" s="384"/>
      <c r="AD295" s="384"/>
      <c r="AE295" s="384"/>
      <c r="AF295" s="384"/>
      <c r="AG295" s="384"/>
      <c r="AH295" s="384"/>
      <c r="AI295" s="384"/>
      <c r="AJ295" s="384"/>
      <c r="AK295" s="384"/>
      <c r="AL295" s="384"/>
      <c r="AM295" s="384"/>
    </row>
    <row r="296" spans="1:39" ht="15.75" customHeight="1">
      <c r="A296" s="563"/>
      <c r="B296" s="384"/>
      <c r="C296" s="563"/>
      <c r="D296" s="1997"/>
      <c r="E296" s="1998"/>
      <c r="F296" s="1954"/>
      <c r="G296" s="563"/>
      <c r="H296" s="563"/>
      <c r="I296" s="2000"/>
      <c r="J296" s="563"/>
      <c r="K296" s="384"/>
      <c r="L296" s="1901"/>
      <c r="M296" s="1999"/>
      <c r="N296" s="1999"/>
      <c r="O296" s="1999"/>
      <c r="P296" s="2002"/>
      <c r="Q296" s="2002"/>
      <c r="R296" s="482"/>
      <c r="S296" s="482"/>
      <c r="T296" s="482"/>
      <c r="U296" s="482"/>
      <c r="V296" s="384"/>
      <c r="W296" s="563"/>
      <c r="Y296" s="563"/>
      <c r="AA296" s="384"/>
      <c r="AB296" s="384"/>
      <c r="AC296" s="384"/>
      <c r="AD296" s="384"/>
      <c r="AE296" s="384"/>
      <c r="AF296" s="384"/>
      <c r="AG296" s="384"/>
      <c r="AH296" s="384"/>
      <c r="AI296" s="384"/>
      <c r="AJ296" s="384"/>
      <c r="AK296" s="384"/>
      <c r="AL296" s="384"/>
      <c r="AM296" s="384"/>
    </row>
    <row r="297" spans="1:39" ht="15.75" customHeight="1">
      <c r="A297" s="563"/>
      <c r="B297" s="384"/>
      <c r="C297" s="563"/>
      <c r="D297" s="1997"/>
      <c r="E297" s="1998"/>
      <c r="F297" s="1954"/>
      <c r="G297" s="563"/>
      <c r="H297" s="563"/>
      <c r="I297" s="2000"/>
      <c r="J297" s="563"/>
      <c r="K297" s="384"/>
      <c r="L297" s="1901"/>
      <c r="M297" s="1999"/>
      <c r="N297" s="1999"/>
      <c r="O297" s="1999"/>
      <c r="P297" s="2002"/>
      <c r="Q297" s="2002"/>
      <c r="R297" s="482"/>
      <c r="S297" s="482"/>
      <c r="T297" s="482"/>
      <c r="U297" s="482"/>
      <c r="V297" s="384"/>
      <c r="W297" s="563"/>
      <c r="Y297" s="563"/>
      <c r="AA297" s="384"/>
      <c r="AB297" s="384"/>
      <c r="AC297" s="384"/>
      <c r="AD297" s="384"/>
      <c r="AE297" s="384"/>
      <c r="AF297" s="384"/>
      <c r="AG297" s="384"/>
      <c r="AH297" s="384"/>
      <c r="AI297" s="384"/>
      <c r="AJ297" s="384"/>
      <c r="AK297" s="384"/>
      <c r="AL297" s="384"/>
      <c r="AM297" s="384"/>
    </row>
    <row r="298" spans="1:39" ht="15.75" customHeight="1">
      <c r="A298" s="563"/>
      <c r="B298" s="384"/>
      <c r="C298" s="563"/>
      <c r="D298" s="1997"/>
      <c r="E298" s="1998"/>
      <c r="F298" s="1954"/>
      <c r="G298" s="563"/>
      <c r="H298" s="563"/>
      <c r="I298" s="2000"/>
      <c r="J298" s="563"/>
      <c r="K298" s="384"/>
      <c r="L298" s="1901"/>
      <c r="M298" s="1999"/>
      <c r="N298" s="1999"/>
      <c r="O298" s="1999"/>
      <c r="P298" s="2002"/>
      <c r="Q298" s="2002"/>
      <c r="R298" s="482"/>
      <c r="S298" s="482"/>
      <c r="T298" s="482"/>
      <c r="U298" s="482"/>
      <c r="V298" s="384"/>
      <c r="W298" s="563"/>
      <c r="Y298" s="563"/>
      <c r="AA298" s="384"/>
      <c r="AB298" s="384"/>
      <c r="AC298" s="384"/>
      <c r="AD298" s="384"/>
      <c r="AE298" s="384"/>
      <c r="AF298" s="384"/>
      <c r="AG298" s="384"/>
      <c r="AH298" s="384"/>
      <c r="AI298" s="384"/>
      <c r="AJ298" s="384"/>
      <c r="AK298" s="384"/>
      <c r="AL298" s="384"/>
      <c r="AM298" s="384"/>
    </row>
    <row r="299" spans="1:39" ht="15.75" customHeight="1">
      <c r="A299" s="563"/>
      <c r="B299" s="384"/>
      <c r="C299" s="563"/>
      <c r="D299" s="1997"/>
      <c r="E299" s="1998"/>
      <c r="F299" s="1954"/>
      <c r="G299" s="563"/>
      <c r="H299" s="563"/>
      <c r="I299" s="2000"/>
      <c r="J299" s="563"/>
      <c r="K299" s="384"/>
      <c r="L299" s="1901"/>
      <c r="M299" s="1999"/>
      <c r="N299" s="1999"/>
      <c r="O299" s="1999"/>
      <c r="P299" s="2002"/>
      <c r="Q299" s="2002"/>
      <c r="R299" s="482"/>
      <c r="S299" s="482"/>
      <c r="T299" s="482"/>
      <c r="U299" s="482"/>
      <c r="V299" s="384"/>
      <c r="W299" s="563"/>
      <c r="Y299" s="563"/>
      <c r="AA299" s="384"/>
      <c r="AB299" s="384"/>
      <c r="AC299" s="384"/>
      <c r="AD299" s="384"/>
      <c r="AE299" s="384"/>
      <c r="AF299" s="384"/>
      <c r="AG299" s="384"/>
      <c r="AH299" s="384"/>
      <c r="AI299" s="384"/>
      <c r="AJ299" s="384"/>
      <c r="AK299" s="384"/>
      <c r="AL299" s="384"/>
      <c r="AM299" s="384"/>
    </row>
    <row r="300" spans="1:39" ht="15.75" customHeight="1">
      <c r="A300" s="563"/>
      <c r="B300" s="384"/>
      <c r="C300" s="563"/>
      <c r="D300" s="1997"/>
      <c r="E300" s="1998"/>
      <c r="F300" s="1954"/>
      <c r="G300" s="563"/>
      <c r="H300" s="563"/>
      <c r="I300" s="2000"/>
      <c r="J300" s="563"/>
      <c r="K300" s="384"/>
      <c r="L300" s="1901"/>
      <c r="M300" s="1999"/>
      <c r="N300" s="1999"/>
      <c r="O300" s="1999"/>
      <c r="P300" s="2002"/>
      <c r="Q300" s="2002"/>
      <c r="R300" s="482"/>
      <c r="S300" s="482"/>
      <c r="T300" s="482"/>
      <c r="U300" s="482"/>
      <c r="V300" s="384"/>
      <c r="W300" s="563"/>
      <c r="Y300" s="563"/>
      <c r="AA300" s="384"/>
      <c r="AB300" s="384"/>
      <c r="AC300" s="384"/>
      <c r="AD300" s="384"/>
      <c r="AE300" s="384"/>
      <c r="AF300" s="384"/>
      <c r="AG300" s="384"/>
      <c r="AH300" s="384"/>
      <c r="AI300" s="384"/>
      <c r="AJ300" s="384"/>
      <c r="AK300" s="384"/>
      <c r="AL300" s="384"/>
      <c r="AM300" s="384"/>
    </row>
    <row r="301" spans="1:39" ht="15.75" customHeight="1">
      <c r="A301" s="563"/>
      <c r="B301" s="384"/>
      <c r="C301" s="563"/>
      <c r="D301" s="1997"/>
      <c r="E301" s="1998"/>
      <c r="F301" s="1954"/>
      <c r="G301" s="563"/>
      <c r="H301" s="563"/>
      <c r="I301" s="2000"/>
      <c r="J301" s="563"/>
      <c r="K301" s="384"/>
      <c r="L301" s="1901"/>
      <c r="M301" s="1999"/>
      <c r="N301" s="1999"/>
      <c r="O301" s="1999"/>
      <c r="P301" s="2002"/>
      <c r="Q301" s="2002"/>
      <c r="R301" s="482"/>
      <c r="S301" s="482"/>
      <c r="T301" s="482"/>
      <c r="U301" s="482"/>
      <c r="V301" s="384"/>
      <c r="W301" s="563"/>
      <c r="Y301" s="563"/>
      <c r="AA301" s="384"/>
      <c r="AB301" s="384"/>
      <c r="AC301" s="384"/>
      <c r="AD301" s="384"/>
      <c r="AE301" s="384"/>
      <c r="AF301" s="384"/>
      <c r="AG301" s="384"/>
      <c r="AH301" s="384"/>
      <c r="AI301" s="384"/>
      <c r="AJ301" s="384"/>
      <c r="AK301" s="384"/>
      <c r="AL301" s="384"/>
      <c r="AM301" s="384"/>
    </row>
    <row r="302" spans="1:39" ht="15.75" customHeight="1">
      <c r="A302" s="563"/>
      <c r="B302" s="384"/>
      <c r="C302" s="563"/>
      <c r="D302" s="1997"/>
      <c r="E302" s="1998"/>
      <c r="F302" s="1954"/>
      <c r="G302" s="563"/>
      <c r="H302" s="563"/>
      <c r="I302" s="2000"/>
      <c r="J302" s="563"/>
      <c r="K302" s="384"/>
      <c r="L302" s="1901"/>
      <c r="M302" s="1999"/>
      <c r="N302" s="1999"/>
      <c r="O302" s="1999"/>
      <c r="P302" s="2002"/>
      <c r="Q302" s="2002"/>
      <c r="R302" s="482"/>
      <c r="S302" s="482"/>
      <c r="T302" s="482"/>
      <c r="U302" s="482"/>
      <c r="V302" s="384"/>
      <c r="W302" s="563"/>
      <c r="Y302" s="563"/>
      <c r="AA302" s="384"/>
      <c r="AB302" s="384"/>
      <c r="AC302" s="384"/>
      <c r="AD302" s="384"/>
      <c r="AE302" s="384"/>
      <c r="AF302" s="384"/>
      <c r="AG302" s="384"/>
      <c r="AH302" s="384"/>
      <c r="AI302" s="384"/>
      <c r="AJ302" s="384"/>
      <c r="AK302" s="384"/>
      <c r="AL302" s="384"/>
      <c r="AM302" s="384"/>
    </row>
    <row r="303" spans="1:39" ht="15.75" customHeight="1">
      <c r="A303" s="563"/>
      <c r="B303" s="384"/>
      <c r="C303" s="563"/>
      <c r="D303" s="1997"/>
      <c r="E303" s="1998"/>
      <c r="F303" s="1954"/>
      <c r="G303" s="563"/>
      <c r="H303" s="563"/>
      <c r="I303" s="2000"/>
      <c r="J303" s="563"/>
      <c r="K303" s="384"/>
      <c r="L303" s="1901"/>
      <c r="M303" s="1999"/>
      <c r="N303" s="1999"/>
      <c r="O303" s="1999"/>
      <c r="P303" s="2002"/>
      <c r="Q303" s="2002"/>
      <c r="R303" s="482"/>
      <c r="S303" s="482"/>
      <c r="T303" s="482"/>
      <c r="U303" s="482"/>
      <c r="V303" s="384"/>
      <c r="W303" s="563"/>
      <c r="Y303" s="563"/>
      <c r="AA303" s="384"/>
      <c r="AB303" s="384"/>
      <c r="AC303" s="384"/>
      <c r="AD303" s="384"/>
      <c r="AE303" s="384"/>
      <c r="AF303" s="384"/>
      <c r="AG303" s="384"/>
      <c r="AH303" s="384"/>
      <c r="AI303" s="384"/>
      <c r="AJ303" s="384"/>
      <c r="AK303" s="384"/>
      <c r="AL303" s="384"/>
      <c r="AM303" s="384"/>
    </row>
    <row r="304" spans="1:39" ht="15.75" customHeight="1">
      <c r="A304" s="563"/>
      <c r="B304" s="384"/>
      <c r="C304" s="563"/>
      <c r="D304" s="1997"/>
      <c r="E304" s="1998"/>
      <c r="F304" s="1954"/>
      <c r="G304" s="563"/>
      <c r="H304" s="563"/>
      <c r="I304" s="2000"/>
      <c r="J304" s="563"/>
      <c r="K304" s="384"/>
      <c r="L304" s="1901"/>
      <c r="M304" s="1999"/>
      <c r="N304" s="1999"/>
      <c r="O304" s="1999"/>
      <c r="P304" s="2002"/>
      <c r="Q304" s="2002"/>
      <c r="R304" s="482"/>
      <c r="S304" s="482"/>
      <c r="T304" s="482"/>
      <c r="U304" s="482"/>
      <c r="V304" s="384"/>
      <c r="W304" s="563"/>
      <c r="Y304" s="563"/>
      <c r="AA304" s="384"/>
      <c r="AB304" s="384"/>
      <c r="AC304" s="384"/>
      <c r="AD304" s="384"/>
      <c r="AE304" s="384"/>
      <c r="AF304" s="384"/>
      <c r="AG304" s="384"/>
      <c r="AH304" s="384"/>
      <c r="AI304" s="384"/>
      <c r="AJ304" s="384"/>
      <c r="AK304" s="384"/>
      <c r="AL304" s="384"/>
      <c r="AM304" s="384"/>
    </row>
    <row r="305" spans="1:39" ht="15.75" customHeight="1">
      <c r="A305" s="563"/>
      <c r="B305" s="384"/>
      <c r="C305" s="563"/>
      <c r="D305" s="1997"/>
      <c r="E305" s="1998"/>
      <c r="F305" s="1954"/>
      <c r="G305" s="563"/>
      <c r="H305" s="563"/>
      <c r="I305" s="2000"/>
      <c r="J305" s="563"/>
      <c r="K305" s="384"/>
      <c r="L305" s="1901"/>
      <c r="M305" s="1999"/>
      <c r="N305" s="1999"/>
      <c r="O305" s="1999"/>
      <c r="P305" s="2002"/>
      <c r="Q305" s="2002"/>
      <c r="R305" s="482"/>
      <c r="S305" s="482"/>
      <c r="T305" s="482"/>
      <c r="U305" s="482"/>
      <c r="V305" s="384"/>
      <c r="W305" s="563"/>
      <c r="Y305" s="563"/>
      <c r="AA305" s="384"/>
      <c r="AB305" s="384"/>
      <c r="AC305" s="384"/>
      <c r="AD305" s="384"/>
      <c r="AE305" s="384"/>
      <c r="AF305" s="384"/>
      <c r="AG305" s="384"/>
      <c r="AH305" s="384"/>
      <c r="AI305" s="384"/>
      <c r="AJ305" s="384"/>
      <c r="AK305" s="384"/>
      <c r="AL305" s="384"/>
      <c r="AM305" s="384"/>
    </row>
    <row r="306" spans="1:39" ht="15.75" customHeight="1">
      <c r="A306" s="563"/>
      <c r="B306" s="384"/>
      <c r="C306" s="563"/>
      <c r="D306" s="1997"/>
      <c r="E306" s="1998"/>
      <c r="F306" s="1954"/>
      <c r="G306" s="563"/>
      <c r="H306" s="563"/>
      <c r="I306" s="2000"/>
      <c r="J306" s="563"/>
      <c r="K306" s="384"/>
      <c r="L306" s="1901"/>
      <c r="M306" s="1999"/>
      <c r="N306" s="1999"/>
      <c r="O306" s="1999"/>
      <c r="P306" s="2002"/>
      <c r="Q306" s="2002"/>
      <c r="R306" s="482"/>
      <c r="S306" s="482"/>
      <c r="T306" s="482"/>
      <c r="U306" s="482"/>
      <c r="V306" s="384"/>
      <c r="W306" s="563"/>
      <c r="Y306" s="563"/>
      <c r="AA306" s="384"/>
      <c r="AB306" s="384"/>
      <c r="AC306" s="384"/>
      <c r="AD306" s="384"/>
      <c r="AE306" s="384"/>
      <c r="AF306" s="384"/>
      <c r="AG306" s="384"/>
      <c r="AH306" s="384"/>
      <c r="AI306" s="384"/>
      <c r="AJ306" s="384"/>
      <c r="AK306" s="384"/>
      <c r="AL306" s="384"/>
      <c r="AM306" s="384"/>
    </row>
    <row r="307" spans="1:39" ht="15.75" customHeight="1">
      <c r="A307" s="563"/>
      <c r="B307" s="384"/>
      <c r="C307" s="563"/>
      <c r="D307" s="1997"/>
      <c r="E307" s="1998"/>
      <c r="F307" s="1954"/>
      <c r="G307" s="563"/>
      <c r="H307" s="563"/>
      <c r="I307" s="2000"/>
      <c r="J307" s="563"/>
      <c r="K307" s="384"/>
      <c r="L307" s="1901"/>
      <c r="M307" s="1999"/>
      <c r="N307" s="1999"/>
      <c r="O307" s="1999"/>
      <c r="P307" s="2002"/>
      <c r="Q307" s="2002"/>
      <c r="R307" s="482"/>
      <c r="S307" s="482"/>
      <c r="T307" s="482"/>
      <c r="U307" s="482"/>
      <c r="V307" s="384"/>
      <c r="W307" s="563"/>
      <c r="Y307" s="563"/>
      <c r="AA307" s="384"/>
      <c r="AB307" s="384"/>
      <c r="AC307" s="384"/>
      <c r="AD307" s="384"/>
      <c r="AE307" s="384"/>
      <c r="AF307" s="384"/>
      <c r="AG307" s="384"/>
      <c r="AH307" s="384"/>
      <c r="AI307" s="384"/>
      <c r="AJ307" s="384"/>
      <c r="AK307" s="384"/>
      <c r="AL307" s="384"/>
      <c r="AM307" s="384"/>
    </row>
    <row r="308" spans="1:39" ht="15.75" customHeight="1">
      <c r="A308" s="563"/>
      <c r="B308" s="384"/>
      <c r="C308" s="563"/>
      <c r="D308" s="1997"/>
      <c r="E308" s="1998"/>
      <c r="F308" s="1954"/>
      <c r="G308" s="563"/>
      <c r="H308" s="563"/>
      <c r="I308" s="2000"/>
      <c r="J308" s="563"/>
      <c r="K308" s="384"/>
      <c r="L308" s="1901"/>
      <c r="M308" s="1999"/>
      <c r="N308" s="1999"/>
      <c r="O308" s="1999"/>
      <c r="P308" s="2002"/>
      <c r="Q308" s="2002"/>
      <c r="R308" s="482"/>
      <c r="S308" s="482"/>
      <c r="T308" s="482"/>
      <c r="U308" s="482"/>
      <c r="V308" s="384"/>
      <c r="W308" s="563"/>
      <c r="Y308" s="563"/>
      <c r="AA308" s="384"/>
      <c r="AB308" s="384"/>
      <c r="AC308" s="384"/>
      <c r="AD308" s="384"/>
      <c r="AE308" s="384"/>
      <c r="AF308" s="384"/>
      <c r="AG308" s="384"/>
      <c r="AH308" s="384"/>
      <c r="AI308" s="384"/>
      <c r="AJ308" s="384"/>
      <c r="AK308" s="384"/>
      <c r="AL308" s="384"/>
      <c r="AM308" s="384"/>
    </row>
    <row r="309" spans="1:39" ht="15.75" customHeight="1">
      <c r="A309" s="563"/>
      <c r="B309" s="384"/>
      <c r="C309" s="563"/>
      <c r="D309" s="1997"/>
      <c r="E309" s="1998"/>
      <c r="F309" s="1954"/>
      <c r="G309" s="563"/>
      <c r="H309" s="563"/>
      <c r="I309" s="2000"/>
      <c r="J309" s="563"/>
      <c r="K309" s="384"/>
      <c r="L309" s="1901"/>
      <c r="M309" s="1999"/>
      <c r="N309" s="1999"/>
      <c r="O309" s="1999"/>
      <c r="P309" s="2002"/>
      <c r="Q309" s="2002"/>
      <c r="R309" s="482"/>
      <c r="S309" s="482"/>
      <c r="T309" s="482"/>
      <c r="U309" s="482"/>
      <c r="V309" s="384"/>
      <c r="W309" s="563"/>
      <c r="Y309" s="563"/>
      <c r="AA309" s="384"/>
      <c r="AB309" s="384"/>
      <c r="AC309" s="384"/>
      <c r="AD309" s="384"/>
      <c r="AE309" s="384"/>
      <c r="AF309" s="384"/>
      <c r="AG309" s="384"/>
      <c r="AH309" s="384"/>
      <c r="AI309" s="384"/>
      <c r="AJ309" s="384"/>
      <c r="AK309" s="384"/>
      <c r="AL309" s="384"/>
      <c r="AM309" s="384"/>
    </row>
    <row r="310" spans="1:39" ht="15.75" customHeight="1">
      <c r="A310" s="563"/>
      <c r="B310" s="384"/>
      <c r="C310" s="563"/>
      <c r="D310" s="1997"/>
      <c r="E310" s="1998"/>
      <c r="F310" s="1954"/>
      <c r="G310" s="563"/>
      <c r="H310" s="563"/>
      <c r="I310" s="2000"/>
      <c r="J310" s="563"/>
      <c r="K310" s="384"/>
      <c r="L310" s="1901"/>
      <c r="M310" s="1999"/>
      <c r="N310" s="1999"/>
      <c r="O310" s="1999"/>
      <c r="P310" s="2002"/>
      <c r="Q310" s="2002"/>
      <c r="R310" s="482"/>
      <c r="S310" s="482"/>
      <c r="T310" s="482"/>
      <c r="U310" s="482"/>
      <c r="V310" s="384"/>
      <c r="W310" s="563"/>
      <c r="Y310" s="563"/>
      <c r="AA310" s="384"/>
      <c r="AB310" s="384"/>
      <c r="AC310" s="384"/>
      <c r="AD310" s="384"/>
      <c r="AE310" s="384"/>
      <c r="AF310" s="384"/>
      <c r="AG310" s="384"/>
      <c r="AH310" s="384"/>
      <c r="AI310" s="384"/>
      <c r="AJ310" s="384"/>
      <c r="AK310" s="384"/>
      <c r="AL310" s="384"/>
      <c r="AM310" s="384"/>
    </row>
    <row r="311" spans="1:39" ht="15.75" customHeight="1">
      <c r="A311" s="563"/>
      <c r="B311" s="384"/>
      <c r="C311" s="563"/>
      <c r="D311" s="1997"/>
      <c r="E311" s="1998"/>
      <c r="F311" s="1954"/>
      <c r="G311" s="563"/>
      <c r="H311" s="563"/>
      <c r="I311" s="2000"/>
      <c r="J311" s="563"/>
      <c r="K311" s="384"/>
      <c r="L311" s="1901"/>
      <c r="M311" s="1999"/>
      <c r="N311" s="1999"/>
      <c r="O311" s="1999"/>
      <c r="P311" s="2002"/>
      <c r="Q311" s="2002"/>
      <c r="R311" s="482"/>
      <c r="S311" s="482"/>
      <c r="T311" s="482"/>
      <c r="U311" s="482"/>
      <c r="V311" s="384"/>
      <c r="W311" s="563"/>
      <c r="Y311" s="563"/>
      <c r="AA311" s="384"/>
      <c r="AB311" s="384"/>
      <c r="AC311" s="384"/>
      <c r="AD311" s="384"/>
      <c r="AE311" s="384"/>
      <c r="AF311" s="384"/>
      <c r="AG311" s="384"/>
      <c r="AH311" s="384"/>
      <c r="AI311" s="384"/>
      <c r="AJ311" s="384"/>
      <c r="AK311" s="384"/>
      <c r="AL311" s="384"/>
      <c r="AM311" s="384"/>
    </row>
    <row r="312" spans="1:39" ht="15.75" customHeight="1">
      <c r="A312" s="563"/>
      <c r="B312" s="384"/>
      <c r="C312" s="563"/>
      <c r="D312" s="1997"/>
      <c r="E312" s="1998"/>
      <c r="F312" s="1954"/>
      <c r="G312" s="563"/>
      <c r="H312" s="563"/>
      <c r="I312" s="2000"/>
      <c r="J312" s="563"/>
      <c r="K312" s="384"/>
      <c r="L312" s="1901"/>
      <c r="M312" s="1999"/>
      <c r="N312" s="1999"/>
      <c r="O312" s="1999"/>
      <c r="P312" s="2002"/>
      <c r="Q312" s="2002"/>
      <c r="R312" s="482"/>
      <c r="S312" s="482"/>
      <c r="T312" s="482"/>
      <c r="U312" s="482"/>
      <c r="V312" s="384"/>
      <c r="W312" s="563"/>
      <c r="Y312" s="563"/>
      <c r="AA312" s="384"/>
      <c r="AB312" s="384"/>
      <c r="AC312" s="384"/>
      <c r="AD312" s="384"/>
      <c r="AE312" s="384"/>
      <c r="AF312" s="384"/>
      <c r="AG312" s="384"/>
      <c r="AH312" s="384"/>
      <c r="AI312" s="384"/>
      <c r="AJ312" s="384"/>
      <c r="AK312" s="384"/>
      <c r="AL312" s="384"/>
      <c r="AM312" s="384"/>
    </row>
    <row r="313" spans="1:39" ht="15.75" customHeight="1">
      <c r="A313" s="563"/>
      <c r="B313" s="384"/>
      <c r="C313" s="563"/>
      <c r="D313" s="1997"/>
      <c r="E313" s="1998"/>
      <c r="F313" s="1954"/>
      <c r="G313" s="563"/>
      <c r="H313" s="563"/>
      <c r="I313" s="2000"/>
      <c r="J313" s="563"/>
      <c r="K313" s="384"/>
      <c r="L313" s="1901"/>
      <c r="M313" s="1999"/>
      <c r="N313" s="1999"/>
      <c r="O313" s="1999"/>
      <c r="P313" s="2002"/>
      <c r="Q313" s="2002"/>
      <c r="R313" s="482"/>
      <c r="S313" s="482"/>
      <c r="T313" s="482"/>
      <c r="U313" s="482"/>
      <c r="V313" s="384"/>
      <c r="W313" s="563"/>
      <c r="Y313" s="563"/>
      <c r="AA313" s="384"/>
      <c r="AB313" s="384"/>
      <c r="AC313" s="384"/>
      <c r="AD313" s="384"/>
      <c r="AE313" s="384"/>
      <c r="AF313" s="384"/>
      <c r="AG313" s="384"/>
      <c r="AH313" s="384"/>
      <c r="AI313" s="384"/>
      <c r="AJ313" s="384"/>
      <c r="AK313" s="384"/>
      <c r="AL313" s="384"/>
      <c r="AM313" s="384"/>
    </row>
    <row r="314" spans="1:39" ht="15.75" customHeight="1">
      <c r="A314" s="563"/>
      <c r="B314" s="384"/>
      <c r="C314" s="563"/>
      <c r="D314" s="1997"/>
      <c r="E314" s="1998"/>
      <c r="F314" s="1954"/>
      <c r="G314" s="563"/>
      <c r="H314" s="563"/>
      <c r="I314" s="2000"/>
      <c r="J314" s="563"/>
      <c r="K314" s="384"/>
      <c r="L314" s="1901"/>
      <c r="M314" s="1999"/>
      <c r="N314" s="1999"/>
      <c r="O314" s="1999"/>
      <c r="P314" s="2002"/>
      <c r="Q314" s="2002"/>
      <c r="R314" s="482"/>
      <c r="S314" s="482"/>
      <c r="T314" s="482"/>
      <c r="U314" s="482"/>
      <c r="V314" s="384"/>
      <c r="W314" s="563"/>
      <c r="Y314" s="563"/>
      <c r="AA314" s="384"/>
      <c r="AB314" s="384"/>
      <c r="AC314" s="384"/>
      <c r="AD314" s="384"/>
      <c r="AE314" s="384"/>
      <c r="AF314" s="384"/>
      <c r="AG314" s="384"/>
      <c r="AH314" s="384"/>
      <c r="AI314" s="384"/>
      <c r="AJ314" s="384"/>
      <c r="AK314" s="384"/>
      <c r="AL314" s="384"/>
      <c r="AM314" s="384"/>
    </row>
    <row r="315" spans="1:39" ht="15.75" customHeight="1">
      <c r="A315" s="563"/>
      <c r="B315" s="384"/>
      <c r="C315" s="563"/>
      <c r="D315" s="1997"/>
      <c r="E315" s="1998"/>
      <c r="F315" s="1954"/>
      <c r="G315" s="563"/>
      <c r="H315" s="563"/>
      <c r="I315" s="2000"/>
      <c r="J315" s="563"/>
      <c r="K315" s="384"/>
      <c r="L315" s="1901"/>
      <c r="M315" s="1999"/>
      <c r="N315" s="1999"/>
      <c r="O315" s="1999"/>
      <c r="P315" s="2002"/>
      <c r="Q315" s="2002"/>
      <c r="R315" s="482"/>
      <c r="S315" s="482"/>
      <c r="T315" s="482"/>
      <c r="U315" s="482"/>
      <c r="V315" s="384"/>
      <c r="W315" s="563"/>
      <c r="Y315" s="563"/>
      <c r="AA315" s="384"/>
      <c r="AB315" s="384"/>
      <c r="AC315" s="384"/>
      <c r="AD315" s="384"/>
      <c r="AE315" s="384"/>
      <c r="AF315" s="384"/>
      <c r="AG315" s="384"/>
      <c r="AH315" s="384"/>
      <c r="AI315" s="384"/>
      <c r="AJ315" s="384"/>
      <c r="AK315" s="384"/>
      <c r="AL315" s="384"/>
      <c r="AM315" s="384"/>
    </row>
    <row r="316" spans="1:39" ht="15.75" customHeight="1">
      <c r="A316" s="563"/>
      <c r="B316" s="384"/>
      <c r="C316" s="563"/>
      <c r="D316" s="1997"/>
      <c r="E316" s="1998"/>
      <c r="F316" s="1954"/>
      <c r="G316" s="563"/>
      <c r="H316" s="563"/>
      <c r="I316" s="2000"/>
      <c r="J316" s="563"/>
      <c r="K316" s="384"/>
      <c r="L316" s="1901"/>
      <c r="M316" s="1999"/>
      <c r="N316" s="1999"/>
      <c r="O316" s="1999"/>
      <c r="P316" s="2002"/>
      <c r="Q316" s="2002"/>
      <c r="R316" s="482"/>
      <c r="S316" s="482"/>
      <c r="T316" s="482"/>
      <c r="U316" s="482"/>
      <c r="V316" s="384"/>
      <c r="W316" s="563"/>
      <c r="Y316" s="563"/>
      <c r="AA316" s="384"/>
      <c r="AB316" s="384"/>
      <c r="AC316" s="384"/>
      <c r="AD316" s="384"/>
      <c r="AE316" s="384"/>
      <c r="AF316" s="384"/>
      <c r="AG316" s="384"/>
      <c r="AH316" s="384"/>
      <c r="AI316" s="384"/>
      <c r="AJ316" s="384"/>
      <c r="AK316" s="384"/>
      <c r="AL316" s="384"/>
      <c r="AM316" s="384"/>
    </row>
    <row r="317" spans="1:39" ht="15.75" customHeight="1">
      <c r="A317" s="563"/>
      <c r="B317" s="384"/>
      <c r="C317" s="563"/>
      <c r="D317" s="1997"/>
      <c r="E317" s="1998"/>
      <c r="F317" s="1954"/>
      <c r="G317" s="563"/>
      <c r="H317" s="563"/>
      <c r="I317" s="2000"/>
      <c r="J317" s="563"/>
      <c r="K317" s="384"/>
      <c r="L317" s="1901"/>
      <c r="M317" s="1999"/>
      <c r="N317" s="1999"/>
      <c r="O317" s="1999"/>
      <c r="P317" s="2002"/>
      <c r="Q317" s="2002"/>
      <c r="R317" s="482"/>
      <c r="S317" s="482"/>
      <c r="T317" s="482"/>
      <c r="U317" s="482"/>
      <c r="V317" s="384"/>
      <c r="W317" s="563"/>
      <c r="Y317" s="563"/>
      <c r="AA317" s="384"/>
      <c r="AB317" s="384"/>
      <c r="AC317" s="384"/>
      <c r="AD317" s="384"/>
      <c r="AE317" s="384"/>
      <c r="AF317" s="384"/>
      <c r="AG317" s="384"/>
      <c r="AH317" s="384"/>
      <c r="AI317" s="384"/>
      <c r="AJ317" s="384"/>
      <c r="AK317" s="384"/>
      <c r="AL317" s="384"/>
      <c r="AM317" s="384"/>
    </row>
    <row r="318" spans="1:39" ht="15.75" customHeight="1">
      <c r="A318" s="563"/>
      <c r="B318" s="384"/>
      <c r="C318" s="563"/>
      <c r="D318" s="1997"/>
      <c r="E318" s="1998"/>
      <c r="F318" s="1954"/>
      <c r="G318" s="563"/>
      <c r="H318" s="563"/>
      <c r="I318" s="2000"/>
      <c r="J318" s="563"/>
      <c r="K318" s="384"/>
      <c r="L318" s="1901"/>
      <c r="M318" s="1999"/>
      <c r="N318" s="1999"/>
      <c r="O318" s="1999"/>
      <c r="P318" s="2002"/>
      <c r="Q318" s="2002"/>
      <c r="R318" s="482"/>
      <c r="S318" s="482"/>
      <c r="T318" s="482"/>
      <c r="U318" s="482"/>
      <c r="V318" s="384"/>
      <c r="W318" s="563"/>
      <c r="Y318" s="563"/>
      <c r="AA318" s="384"/>
      <c r="AB318" s="384"/>
      <c r="AC318" s="384"/>
      <c r="AD318" s="384"/>
      <c r="AE318" s="384"/>
      <c r="AF318" s="384"/>
      <c r="AG318" s="384"/>
      <c r="AH318" s="384"/>
      <c r="AI318" s="384"/>
      <c r="AJ318" s="384"/>
      <c r="AK318" s="384"/>
      <c r="AL318" s="384"/>
      <c r="AM318" s="384"/>
    </row>
    <row r="319" spans="1:39" ht="15.75" customHeight="1">
      <c r="A319" s="563"/>
      <c r="B319" s="384"/>
      <c r="C319" s="563"/>
      <c r="D319" s="1997"/>
      <c r="E319" s="1998"/>
      <c r="F319" s="1954"/>
      <c r="G319" s="563"/>
      <c r="H319" s="563"/>
      <c r="I319" s="2000"/>
      <c r="J319" s="563"/>
      <c r="K319" s="384"/>
      <c r="L319" s="1901"/>
      <c r="M319" s="1999"/>
      <c r="N319" s="1999"/>
      <c r="O319" s="1999"/>
      <c r="P319" s="2002"/>
      <c r="Q319" s="2002"/>
      <c r="R319" s="482"/>
      <c r="S319" s="482"/>
      <c r="T319" s="482"/>
      <c r="U319" s="482"/>
      <c r="V319" s="384"/>
      <c r="W319" s="563"/>
      <c r="Y319" s="563"/>
      <c r="AA319" s="384"/>
      <c r="AB319" s="384"/>
      <c r="AC319" s="384"/>
      <c r="AD319" s="384"/>
      <c r="AE319" s="384"/>
      <c r="AF319" s="384"/>
      <c r="AG319" s="384"/>
      <c r="AH319" s="384"/>
      <c r="AI319" s="384"/>
      <c r="AJ319" s="384"/>
      <c r="AK319" s="384"/>
      <c r="AL319" s="384"/>
      <c r="AM319" s="384"/>
    </row>
    <row r="320" spans="1:39" ht="15.75" customHeight="1">
      <c r="A320" s="563"/>
      <c r="B320" s="384"/>
      <c r="C320" s="563"/>
      <c r="D320" s="1997"/>
      <c r="E320" s="1998"/>
      <c r="F320" s="1954"/>
      <c r="G320" s="563"/>
      <c r="H320" s="563"/>
      <c r="I320" s="2000"/>
      <c r="J320" s="563"/>
      <c r="K320" s="384"/>
      <c r="L320" s="1901"/>
      <c r="M320" s="1999"/>
      <c r="N320" s="1999"/>
      <c r="O320" s="1999"/>
      <c r="P320" s="2002"/>
      <c r="Q320" s="2002"/>
      <c r="R320" s="482"/>
      <c r="S320" s="482"/>
      <c r="T320" s="482"/>
      <c r="U320" s="482"/>
      <c r="V320" s="384"/>
      <c r="W320" s="563"/>
      <c r="Y320" s="563"/>
      <c r="AA320" s="384"/>
      <c r="AB320" s="384"/>
      <c r="AC320" s="384"/>
      <c r="AD320" s="384"/>
      <c r="AE320" s="384"/>
      <c r="AF320" s="384"/>
      <c r="AG320" s="384"/>
      <c r="AH320" s="384"/>
      <c r="AI320" s="384"/>
      <c r="AJ320" s="384"/>
      <c r="AK320" s="384"/>
      <c r="AL320" s="384"/>
      <c r="AM320" s="384"/>
    </row>
    <row r="321" spans="1:39" ht="15.75" customHeight="1">
      <c r="A321" s="563"/>
      <c r="B321" s="384"/>
      <c r="C321" s="563"/>
      <c r="D321" s="1997"/>
      <c r="E321" s="1998"/>
      <c r="F321" s="1954"/>
      <c r="G321" s="563"/>
      <c r="H321" s="563"/>
      <c r="I321" s="2000"/>
      <c r="J321" s="563"/>
      <c r="K321" s="384"/>
      <c r="L321" s="1901"/>
      <c r="M321" s="1999"/>
      <c r="N321" s="1999"/>
      <c r="O321" s="1999"/>
      <c r="P321" s="2002"/>
      <c r="Q321" s="2002"/>
      <c r="R321" s="482"/>
      <c r="S321" s="482"/>
      <c r="T321" s="482"/>
      <c r="U321" s="482"/>
      <c r="V321" s="384"/>
      <c r="W321" s="563"/>
      <c r="Y321" s="563"/>
      <c r="AA321" s="384"/>
      <c r="AB321" s="384"/>
      <c r="AC321" s="384"/>
      <c r="AD321" s="384"/>
      <c r="AE321" s="384"/>
      <c r="AF321" s="384"/>
      <c r="AG321" s="384"/>
      <c r="AH321" s="384"/>
      <c r="AI321" s="384"/>
      <c r="AJ321" s="384"/>
      <c r="AK321" s="384"/>
      <c r="AL321" s="384"/>
      <c r="AM321" s="384"/>
    </row>
    <row r="322" spans="1:39" ht="15.75" customHeight="1">
      <c r="A322" s="563"/>
      <c r="B322" s="384"/>
      <c r="C322" s="563"/>
      <c r="D322" s="1997"/>
      <c r="E322" s="1998"/>
      <c r="F322" s="1954"/>
      <c r="G322" s="563"/>
      <c r="H322" s="563"/>
      <c r="I322" s="2000"/>
      <c r="J322" s="563"/>
      <c r="K322" s="384"/>
      <c r="L322" s="1901"/>
      <c r="M322" s="1999"/>
      <c r="N322" s="1999"/>
      <c r="O322" s="1999"/>
      <c r="P322" s="2002"/>
      <c r="Q322" s="2002"/>
      <c r="R322" s="482"/>
      <c r="S322" s="482"/>
      <c r="T322" s="482"/>
      <c r="U322" s="482"/>
      <c r="V322" s="384"/>
      <c r="W322" s="563"/>
      <c r="Y322" s="563"/>
      <c r="AA322" s="384"/>
      <c r="AB322" s="384"/>
      <c r="AC322" s="384"/>
      <c r="AD322" s="384"/>
      <c r="AE322" s="384"/>
      <c r="AF322" s="384"/>
      <c r="AG322" s="384"/>
      <c r="AH322" s="384"/>
      <c r="AI322" s="384"/>
      <c r="AJ322" s="384"/>
      <c r="AK322" s="384"/>
      <c r="AL322" s="384"/>
      <c r="AM322" s="384"/>
    </row>
    <row r="323" spans="1:39" ht="15.75" customHeight="1">
      <c r="A323" s="563"/>
      <c r="B323" s="384"/>
      <c r="C323" s="563"/>
      <c r="D323" s="1997"/>
      <c r="E323" s="1998"/>
      <c r="F323" s="1954"/>
      <c r="G323" s="563"/>
      <c r="H323" s="563"/>
      <c r="I323" s="2000"/>
      <c r="J323" s="563"/>
      <c r="K323" s="384"/>
      <c r="L323" s="1901"/>
      <c r="M323" s="1999"/>
      <c r="N323" s="1999"/>
      <c r="O323" s="1999"/>
      <c r="P323" s="2002"/>
      <c r="Q323" s="2002"/>
      <c r="R323" s="482"/>
      <c r="S323" s="482"/>
      <c r="T323" s="482"/>
      <c r="U323" s="482"/>
      <c r="V323" s="384"/>
      <c r="W323" s="563"/>
      <c r="Y323" s="563"/>
      <c r="AA323" s="384"/>
      <c r="AB323" s="384"/>
      <c r="AC323" s="384"/>
      <c r="AD323" s="384"/>
      <c r="AE323" s="384"/>
      <c r="AF323" s="384"/>
      <c r="AG323" s="384"/>
      <c r="AH323" s="384"/>
      <c r="AI323" s="384"/>
      <c r="AJ323" s="384"/>
      <c r="AK323" s="384"/>
      <c r="AL323" s="384"/>
      <c r="AM323" s="384"/>
    </row>
    <row r="324" spans="1:39" ht="15.75" customHeight="1">
      <c r="A324" s="563"/>
      <c r="B324" s="384"/>
      <c r="C324" s="563"/>
      <c r="D324" s="1997"/>
      <c r="E324" s="1998"/>
      <c r="F324" s="1954"/>
      <c r="G324" s="563"/>
      <c r="H324" s="563"/>
      <c r="I324" s="2000"/>
      <c r="J324" s="563"/>
      <c r="K324" s="384"/>
      <c r="L324" s="1901"/>
      <c r="M324" s="1999"/>
      <c r="N324" s="1999"/>
      <c r="O324" s="1999"/>
      <c r="P324" s="2002"/>
      <c r="Q324" s="2002"/>
      <c r="R324" s="482"/>
      <c r="S324" s="482"/>
      <c r="T324" s="482"/>
      <c r="U324" s="482"/>
      <c r="V324" s="384"/>
      <c r="W324" s="563"/>
      <c r="Y324" s="563"/>
      <c r="AA324" s="384"/>
      <c r="AB324" s="384"/>
      <c r="AC324" s="384"/>
      <c r="AD324" s="384"/>
      <c r="AE324" s="384"/>
      <c r="AF324" s="384"/>
      <c r="AG324" s="384"/>
      <c r="AH324" s="384"/>
      <c r="AI324" s="384"/>
      <c r="AJ324" s="384"/>
      <c r="AK324" s="384"/>
      <c r="AL324" s="384"/>
      <c r="AM324" s="384"/>
    </row>
    <row r="325" spans="1:39" ht="15.75" customHeight="1">
      <c r="A325" s="563"/>
      <c r="B325" s="384"/>
      <c r="C325" s="563"/>
      <c r="D325" s="1997"/>
      <c r="E325" s="1998"/>
      <c r="F325" s="1954"/>
      <c r="G325" s="563"/>
      <c r="H325" s="563"/>
      <c r="I325" s="2000"/>
      <c r="J325" s="563"/>
      <c r="K325" s="384"/>
      <c r="L325" s="1901"/>
      <c r="M325" s="1999"/>
      <c r="N325" s="1999"/>
      <c r="O325" s="1999"/>
      <c r="P325" s="2002"/>
      <c r="Q325" s="2002"/>
      <c r="R325" s="482"/>
      <c r="S325" s="482"/>
      <c r="T325" s="482"/>
      <c r="U325" s="482"/>
      <c r="V325" s="384"/>
      <c r="W325" s="563"/>
      <c r="Y325" s="563"/>
      <c r="AA325" s="384"/>
      <c r="AB325" s="384"/>
      <c r="AC325" s="384"/>
      <c r="AD325" s="384"/>
      <c r="AE325" s="384"/>
      <c r="AF325" s="384"/>
      <c r="AG325" s="384"/>
      <c r="AH325" s="384"/>
      <c r="AI325" s="384"/>
      <c r="AJ325" s="384"/>
      <c r="AK325" s="384"/>
      <c r="AL325" s="384"/>
      <c r="AM325" s="384"/>
    </row>
    <row r="326" spans="1:39" ht="15.75" customHeight="1">
      <c r="A326" s="563"/>
      <c r="B326" s="384"/>
      <c r="C326" s="563"/>
      <c r="D326" s="1997"/>
      <c r="E326" s="1998"/>
      <c r="F326" s="1954"/>
      <c r="G326" s="563"/>
      <c r="H326" s="563"/>
      <c r="I326" s="2000"/>
      <c r="J326" s="563"/>
      <c r="K326" s="384"/>
      <c r="L326" s="1901"/>
      <c r="M326" s="1999"/>
      <c r="N326" s="1999"/>
      <c r="O326" s="1999"/>
      <c r="P326" s="2002"/>
      <c r="Q326" s="2002"/>
      <c r="R326" s="482"/>
      <c r="S326" s="482"/>
      <c r="T326" s="482"/>
      <c r="U326" s="482"/>
      <c r="V326" s="384"/>
      <c r="W326" s="563"/>
      <c r="Y326" s="563"/>
      <c r="AA326" s="384"/>
      <c r="AB326" s="384"/>
      <c r="AC326" s="384"/>
      <c r="AD326" s="384"/>
      <c r="AE326" s="384"/>
      <c r="AF326" s="384"/>
      <c r="AG326" s="384"/>
      <c r="AH326" s="384"/>
      <c r="AI326" s="384"/>
      <c r="AJ326" s="384"/>
      <c r="AK326" s="384"/>
      <c r="AL326" s="384"/>
      <c r="AM326" s="384"/>
    </row>
    <row r="327" spans="1:39" ht="15.75" customHeight="1">
      <c r="A327" s="563"/>
      <c r="B327" s="384"/>
      <c r="C327" s="563"/>
      <c r="D327" s="1997"/>
      <c r="E327" s="1998"/>
      <c r="F327" s="1954"/>
      <c r="G327" s="563"/>
      <c r="H327" s="563"/>
      <c r="I327" s="2000"/>
      <c r="J327" s="563"/>
      <c r="K327" s="384"/>
      <c r="L327" s="1901"/>
      <c r="M327" s="1999"/>
      <c r="N327" s="1999"/>
      <c r="O327" s="1999"/>
      <c r="P327" s="2002"/>
      <c r="Q327" s="2002"/>
      <c r="R327" s="482"/>
      <c r="S327" s="482"/>
      <c r="T327" s="482"/>
      <c r="U327" s="482"/>
      <c r="V327" s="384"/>
      <c r="W327" s="563"/>
      <c r="Y327" s="563"/>
      <c r="AA327" s="384"/>
      <c r="AB327" s="384"/>
      <c r="AC327" s="384"/>
      <c r="AD327" s="384"/>
      <c r="AE327" s="384"/>
      <c r="AF327" s="384"/>
      <c r="AG327" s="384"/>
      <c r="AH327" s="384"/>
      <c r="AI327" s="384"/>
      <c r="AJ327" s="384"/>
      <c r="AK327" s="384"/>
      <c r="AL327" s="384"/>
      <c r="AM327" s="384"/>
    </row>
    <row r="328" spans="1:39" ht="15.75" customHeight="1">
      <c r="A328" s="563"/>
      <c r="B328" s="384"/>
      <c r="C328" s="563"/>
      <c r="D328" s="1997"/>
      <c r="E328" s="1998"/>
      <c r="F328" s="1954"/>
      <c r="G328" s="563"/>
      <c r="H328" s="563"/>
      <c r="I328" s="2000"/>
      <c r="J328" s="563"/>
      <c r="K328" s="384"/>
      <c r="L328" s="1901"/>
      <c r="M328" s="1999"/>
      <c r="N328" s="1999"/>
      <c r="O328" s="1999"/>
      <c r="P328" s="2002"/>
      <c r="Q328" s="2002"/>
      <c r="R328" s="482"/>
      <c r="S328" s="482"/>
      <c r="T328" s="482"/>
      <c r="U328" s="482"/>
      <c r="V328" s="384"/>
      <c r="W328" s="563"/>
      <c r="Y328" s="563"/>
      <c r="AA328" s="384"/>
      <c r="AB328" s="384"/>
      <c r="AC328" s="384"/>
      <c r="AD328" s="384"/>
      <c r="AE328" s="384"/>
      <c r="AF328" s="384"/>
      <c r="AG328" s="384"/>
      <c r="AH328" s="384"/>
      <c r="AI328" s="384"/>
      <c r="AJ328" s="384"/>
      <c r="AK328" s="384"/>
      <c r="AL328" s="384"/>
      <c r="AM328" s="384"/>
    </row>
    <row r="329" spans="1:39" ht="15.75" customHeight="1">
      <c r="A329" s="563"/>
      <c r="B329" s="384"/>
      <c r="C329" s="563"/>
      <c r="D329" s="1997"/>
      <c r="E329" s="1998"/>
      <c r="F329" s="1954"/>
      <c r="G329" s="563"/>
      <c r="H329" s="563"/>
      <c r="I329" s="2000"/>
      <c r="J329" s="563"/>
      <c r="K329" s="384"/>
      <c r="L329" s="1901"/>
      <c r="M329" s="1999"/>
      <c r="N329" s="1999"/>
      <c r="O329" s="1999"/>
      <c r="P329" s="2002"/>
      <c r="Q329" s="2002"/>
      <c r="R329" s="482"/>
      <c r="S329" s="482"/>
      <c r="T329" s="482"/>
      <c r="U329" s="482"/>
      <c r="V329" s="384"/>
      <c r="W329" s="563"/>
      <c r="Y329" s="563"/>
      <c r="AA329" s="384"/>
      <c r="AB329" s="384"/>
      <c r="AC329" s="384"/>
      <c r="AD329" s="384"/>
      <c r="AE329" s="384"/>
      <c r="AF329" s="384"/>
      <c r="AG329" s="384"/>
      <c r="AH329" s="384"/>
      <c r="AI329" s="384"/>
      <c r="AJ329" s="384"/>
      <c r="AK329" s="384"/>
      <c r="AL329" s="384"/>
      <c r="AM329" s="384"/>
    </row>
    <row r="330" spans="1:39" ht="15.75" customHeight="1">
      <c r="A330" s="563"/>
      <c r="B330" s="384"/>
      <c r="C330" s="563"/>
      <c r="D330" s="1997"/>
      <c r="E330" s="1998"/>
      <c r="F330" s="1954"/>
      <c r="G330" s="563"/>
      <c r="H330" s="563"/>
      <c r="I330" s="2000"/>
      <c r="J330" s="563"/>
      <c r="K330" s="384"/>
      <c r="L330" s="1901"/>
      <c r="M330" s="1999"/>
      <c r="N330" s="1999"/>
      <c r="O330" s="1999"/>
      <c r="P330" s="2002"/>
      <c r="Q330" s="2002"/>
      <c r="R330" s="482"/>
      <c r="S330" s="482"/>
      <c r="T330" s="482"/>
      <c r="U330" s="482"/>
      <c r="V330" s="384"/>
      <c r="W330" s="563"/>
      <c r="Y330" s="563"/>
      <c r="AA330" s="384"/>
      <c r="AB330" s="384"/>
      <c r="AC330" s="384"/>
      <c r="AD330" s="384"/>
      <c r="AE330" s="384"/>
      <c r="AF330" s="384"/>
      <c r="AG330" s="384"/>
      <c r="AH330" s="384"/>
      <c r="AI330" s="384"/>
      <c r="AJ330" s="384"/>
      <c r="AK330" s="384"/>
      <c r="AL330" s="384"/>
      <c r="AM330" s="384"/>
    </row>
    <row r="331" spans="1:39" ht="15.75" customHeight="1">
      <c r="A331" s="563"/>
      <c r="B331" s="384"/>
      <c r="C331" s="563"/>
      <c r="D331" s="1997"/>
      <c r="E331" s="1998"/>
      <c r="F331" s="1954"/>
      <c r="G331" s="563"/>
      <c r="H331" s="563"/>
      <c r="I331" s="2000"/>
      <c r="J331" s="563"/>
      <c r="K331" s="384"/>
      <c r="L331" s="1901"/>
      <c r="M331" s="1999"/>
      <c r="N331" s="1999"/>
      <c r="O331" s="1999"/>
      <c r="P331" s="2002"/>
      <c r="Q331" s="2002"/>
      <c r="R331" s="482"/>
      <c r="S331" s="482"/>
      <c r="T331" s="482"/>
      <c r="U331" s="482"/>
      <c r="V331" s="384"/>
      <c r="W331" s="563"/>
      <c r="Y331" s="563"/>
      <c r="AA331" s="384"/>
      <c r="AB331" s="384"/>
      <c r="AC331" s="384"/>
      <c r="AD331" s="384"/>
      <c r="AE331" s="384"/>
      <c r="AF331" s="384"/>
      <c r="AG331" s="384"/>
      <c r="AH331" s="384"/>
      <c r="AI331" s="384"/>
      <c r="AJ331" s="384"/>
      <c r="AK331" s="384"/>
      <c r="AL331" s="384"/>
      <c r="AM331" s="384"/>
    </row>
    <row r="332" spans="1:39" ht="15.75" customHeight="1">
      <c r="A332" s="563"/>
      <c r="B332" s="384"/>
      <c r="C332" s="563"/>
      <c r="D332" s="1997"/>
      <c r="E332" s="1998"/>
      <c r="F332" s="1954"/>
      <c r="G332" s="563"/>
      <c r="H332" s="563"/>
      <c r="I332" s="2000"/>
      <c r="J332" s="563"/>
      <c r="K332" s="384"/>
      <c r="L332" s="1901"/>
      <c r="M332" s="1999"/>
      <c r="N332" s="1999"/>
      <c r="O332" s="1999"/>
      <c r="P332" s="2002"/>
      <c r="Q332" s="2002"/>
      <c r="R332" s="482"/>
      <c r="S332" s="482"/>
      <c r="T332" s="482"/>
      <c r="U332" s="482"/>
      <c r="V332" s="384"/>
      <c r="W332" s="563"/>
      <c r="Y332" s="563"/>
      <c r="AA332" s="384"/>
      <c r="AB332" s="384"/>
      <c r="AC332" s="384"/>
      <c r="AD332" s="384"/>
      <c r="AE332" s="384"/>
      <c r="AF332" s="384"/>
      <c r="AG332" s="384"/>
      <c r="AH332" s="384"/>
      <c r="AI332" s="384"/>
      <c r="AJ332" s="384"/>
      <c r="AK332" s="384"/>
      <c r="AL332" s="384"/>
      <c r="AM332" s="384"/>
    </row>
    <row r="333" spans="1:39" ht="15.75" customHeight="1">
      <c r="A333" s="563"/>
      <c r="B333" s="384"/>
      <c r="C333" s="563"/>
      <c r="D333" s="1997"/>
      <c r="E333" s="1998"/>
      <c r="F333" s="1954"/>
      <c r="G333" s="563"/>
      <c r="H333" s="563"/>
      <c r="I333" s="2000"/>
      <c r="J333" s="563"/>
      <c r="K333" s="384"/>
      <c r="L333" s="1901"/>
      <c r="M333" s="1999"/>
      <c r="N333" s="1999"/>
      <c r="O333" s="1999"/>
      <c r="P333" s="2002"/>
      <c r="Q333" s="2002"/>
      <c r="R333" s="482"/>
      <c r="S333" s="482"/>
      <c r="T333" s="482"/>
      <c r="U333" s="482"/>
      <c r="V333" s="384"/>
      <c r="W333" s="563"/>
      <c r="Y333" s="563"/>
      <c r="AA333" s="384"/>
      <c r="AB333" s="384"/>
      <c r="AC333" s="384"/>
      <c r="AD333" s="384"/>
      <c r="AE333" s="384"/>
      <c r="AF333" s="384"/>
      <c r="AG333" s="384"/>
      <c r="AH333" s="384"/>
      <c r="AI333" s="384"/>
      <c r="AJ333" s="384"/>
      <c r="AK333" s="384"/>
      <c r="AL333" s="384"/>
      <c r="AM333" s="384"/>
    </row>
    <row r="334" spans="1:39" ht="15.75" customHeight="1">
      <c r="A334" s="563"/>
      <c r="B334" s="384"/>
      <c r="C334" s="563"/>
      <c r="D334" s="1997"/>
      <c r="E334" s="1998"/>
      <c r="F334" s="1954"/>
      <c r="G334" s="563"/>
      <c r="H334" s="563"/>
      <c r="I334" s="2000"/>
      <c r="J334" s="563"/>
      <c r="K334" s="384"/>
      <c r="L334" s="1901"/>
      <c r="M334" s="1999"/>
      <c r="N334" s="1999"/>
      <c r="O334" s="1999"/>
      <c r="P334" s="2002"/>
      <c r="Q334" s="2002"/>
      <c r="R334" s="482"/>
      <c r="S334" s="482"/>
      <c r="T334" s="482"/>
      <c r="U334" s="482"/>
      <c r="V334" s="384"/>
      <c r="W334" s="563"/>
      <c r="Y334" s="563"/>
      <c r="AA334" s="384"/>
      <c r="AB334" s="384"/>
      <c r="AC334" s="384"/>
      <c r="AD334" s="384"/>
      <c r="AE334" s="384"/>
      <c r="AF334" s="384"/>
      <c r="AG334" s="384"/>
      <c r="AH334" s="384"/>
      <c r="AI334" s="384"/>
      <c r="AJ334" s="384"/>
      <c r="AK334" s="384"/>
      <c r="AL334" s="384"/>
      <c r="AM334" s="384"/>
    </row>
    <row r="335" spans="1:39" ht="15.75" customHeight="1">
      <c r="A335" s="563"/>
      <c r="B335" s="384"/>
      <c r="C335" s="563"/>
      <c r="D335" s="1997"/>
      <c r="E335" s="1998"/>
      <c r="F335" s="1954"/>
      <c r="G335" s="563"/>
      <c r="H335" s="563"/>
      <c r="I335" s="2000"/>
      <c r="J335" s="563"/>
      <c r="K335" s="384"/>
      <c r="L335" s="1901"/>
      <c r="M335" s="1999"/>
      <c r="N335" s="1999"/>
      <c r="O335" s="1999"/>
      <c r="P335" s="2002"/>
      <c r="Q335" s="2002"/>
      <c r="R335" s="482"/>
      <c r="S335" s="482"/>
      <c r="T335" s="482"/>
      <c r="U335" s="482"/>
      <c r="V335" s="384"/>
      <c r="W335" s="563"/>
      <c r="Y335" s="563"/>
      <c r="AA335" s="384"/>
      <c r="AB335" s="384"/>
      <c r="AC335" s="384"/>
      <c r="AD335" s="384"/>
      <c r="AE335" s="384"/>
      <c r="AF335" s="384"/>
      <c r="AG335" s="384"/>
      <c r="AH335" s="384"/>
      <c r="AI335" s="384"/>
      <c r="AJ335" s="384"/>
      <c r="AK335" s="384"/>
      <c r="AL335" s="384"/>
      <c r="AM335" s="384"/>
    </row>
    <row r="336" spans="1:39" ht="15.75" customHeight="1">
      <c r="A336" s="563"/>
      <c r="B336" s="384"/>
      <c r="C336" s="563"/>
      <c r="D336" s="1997"/>
      <c r="E336" s="1998"/>
      <c r="F336" s="1954"/>
      <c r="G336" s="563"/>
      <c r="H336" s="563"/>
      <c r="I336" s="2000"/>
      <c r="J336" s="563"/>
      <c r="K336" s="384"/>
      <c r="L336" s="1901"/>
      <c r="M336" s="1999"/>
      <c r="N336" s="1999"/>
      <c r="O336" s="1999"/>
      <c r="P336" s="2002"/>
      <c r="Q336" s="2002"/>
      <c r="R336" s="482"/>
      <c r="S336" s="482"/>
      <c r="T336" s="482"/>
      <c r="U336" s="482"/>
      <c r="V336" s="384"/>
      <c r="W336" s="563"/>
      <c r="Y336" s="563"/>
      <c r="AA336" s="384"/>
      <c r="AB336" s="384"/>
      <c r="AC336" s="384"/>
      <c r="AD336" s="384"/>
      <c r="AE336" s="384"/>
      <c r="AF336" s="384"/>
      <c r="AG336" s="384"/>
      <c r="AH336" s="384"/>
      <c r="AI336" s="384"/>
      <c r="AJ336" s="384"/>
      <c r="AK336" s="384"/>
      <c r="AL336" s="384"/>
      <c r="AM336" s="384"/>
    </row>
    <row r="337" spans="1:39" ht="15.75" customHeight="1">
      <c r="A337" s="563"/>
      <c r="B337" s="384"/>
      <c r="C337" s="563"/>
      <c r="D337" s="1997"/>
      <c r="E337" s="1998"/>
      <c r="F337" s="1954"/>
      <c r="G337" s="563"/>
      <c r="H337" s="563"/>
      <c r="I337" s="2000"/>
      <c r="J337" s="563"/>
      <c r="K337" s="384"/>
      <c r="L337" s="1901"/>
      <c r="M337" s="1999"/>
      <c r="N337" s="1999"/>
      <c r="O337" s="1999"/>
      <c r="P337" s="2002"/>
      <c r="Q337" s="2002"/>
      <c r="R337" s="482"/>
      <c r="S337" s="482"/>
      <c r="T337" s="482"/>
      <c r="U337" s="482"/>
      <c r="V337" s="384"/>
      <c r="W337" s="563"/>
      <c r="Y337" s="563"/>
      <c r="AA337" s="384"/>
      <c r="AB337" s="384"/>
      <c r="AC337" s="384"/>
      <c r="AD337" s="384"/>
      <c r="AE337" s="384"/>
      <c r="AF337" s="384"/>
      <c r="AG337" s="384"/>
      <c r="AH337" s="384"/>
      <c r="AI337" s="384"/>
      <c r="AJ337" s="384"/>
      <c r="AK337" s="384"/>
      <c r="AL337" s="384"/>
      <c r="AM337" s="384"/>
    </row>
    <row r="338" spans="1:39" ht="15.75" customHeight="1">
      <c r="A338" s="563"/>
      <c r="B338" s="384"/>
      <c r="C338" s="563"/>
      <c r="D338" s="1997"/>
      <c r="E338" s="1998"/>
      <c r="F338" s="1954"/>
      <c r="G338" s="563"/>
      <c r="H338" s="563"/>
      <c r="I338" s="2000"/>
      <c r="J338" s="563"/>
      <c r="K338" s="384"/>
      <c r="L338" s="1901"/>
      <c r="M338" s="1999"/>
      <c r="N338" s="1999"/>
      <c r="O338" s="1999"/>
      <c r="P338" s="2002"/>
      <c r="Q338" s="2002"/>
      <c r="R338" s="482"/>
      <c r="S338" s="482"/>
      <c r="T338" s="482"/>
      <c r="U338" s="482"/>
      <c r="V338" s="384"/>
      <c r="W338" s="563"/>
      <c r="Y338" s="563"/>
      <c r="AA338" s="384"/>
      <c r="AB338" s="384"/>
      <c r="AC338" s="384"/>
      <c r="AD338" s="384"/>
      <c r="AE338" s="384"/>
      <c r="AF338" s="384"/>
      <c r="AG338" s="384"/>
      <c r="AH338" s="384"/>
      <c r="AI338" s="384"/>
      <c r="AJ338" s="384"/>
      <c r="AK338" s="384"/>
      <c r="AL338" s="384"/>
      <c r="AM338" s="384"/>
    </row>
    <row r="339" spans="1:39" ht="15.75" customHeight="1">
      <c r="A339" s="563"/>
      <c r="B339" s="384"/>
      <c r="C339" s="563"/>
      <c r="D339" s="1997"/>
      <c r="E339" s="1998"/>
      <c r="F339" s="1954"/>
      <c r="G339" s="563"/>
      <c r="H339" s="563"/>
      <c r="I339" s="2000"/>
      <c r="J339" s="563"/>
      <c r="K339" s="384"/>
      <c r="L339" s="1901"/>
      <c r="M339" s="1999"/>
      <c r="N339" s="1999"/>
      <c r="O339" s="1999"/>
      <c r="P339" s="2002"/>
      <c r="Q339" s="2002"/>
      <c r="R339" s="482"/>
      <c r="S339" s="482"/>
      <c r="T339" s="482"/>
      <c r="U339" s="482"/>
      <c r="V339" s="384"/>
      <c r="W339" s="563"/>
      <c r="Y339" s="563"/>
      <c r="AA339" s="384"/>
      <c r="AB339" s="384"/>
      <c r="AC339" s="384"/>
      <c r="AD339" s="384"/>
      <c r="AE339" s="384"/>
      <c r="AF339" s="384"/>
      <c r="AG339" s="384"/>
      <c r="AH339" s="384"/>
      <c r="AI339" s="384"/>
      <c r="AJ339" s="384"/>
      <c r="AK339" s="384"/>
      <c r="AL339" s="384"/>
      <c r="AM339" s="384"/>
    </row>
    <row r="340" spans="1:39" ht="15.75" customHeight="1">
      <c r="A340" s="563"/>
      <c r="B340" s="384"/>
      <c r="C340" s="563"/>
      <c r="D340" s="1997"/>
      <c r="E340" s="1998"/>
      <c r="F340" s="1954"/>
      <c r="G340" s="563"/>
      <c r="H340" s="563"/>
      <c r="I340" s="2000"/>
      <c r="J340" s="563"/>
      <c r="K340" s="384"/>
      <c r="L340" s="1901"/>
      <c r="M340" s="1999"/>
      <c r="N340" s="1999"/>
      <c r="O340" s="1999"/>
      <c r="P340" s="2002"/>
      <c r="Q340" s="2002"/>
      <c r="R340" s="482"/>
      <c r="S340" s="482"/>
      <c r="T340" s="482"/>
      <c r="U340" s="482"/>
      <c r="V340" s="384"/>
      <c r="W340" s="563"/>
      <c r="Y340" s="563"/>
      <c r="AA340" s="384"/>
      <c r="AB340" s="384"/>
      <c r="AC340" s="384"/>
      <c r="AD340" s="384"/>
      <c r="AE340" s="384"/>
      <c r="AF340" s="384"/>
      <c r="AG340" s="384"/>
      <c r="AH340" s="384"/>
      <c r="AI340" s="384"/>
      <c r="AJ340" s="384"/>
      <c r="AK340" s="384"/>
      <c r="AL340" s="384"/>
      <c r="AM340" s="384"/>
    </row>
    <row r="341" spans="1:39" ht="15.75" customHeight="1">
      <c r="A341" s="563"/>
      <c r="B341" s="384"/>
      <c r="C341" s="563"/>
      <c r="D341" s="1997"/>
      <c r="E341" s="1998"/>
      <c r="F341" s="1954"/>
      <c r="G341" s="563"/>
      <c r="H341" s="563"/>
      <c r="I341" s="2000"/>
      <c r="J341" s="563"/>
      <c r="K341" s="384"/>
      <c r="L341" s="1901"/>
      <c r="M341" s="1999"/>
      <c r="N341" s="1999"/>
      <c r="O341" s="1999"/>
      <c r="P341" s="2002"/>
      <c r="Q341" s="2002"/>
      <c r="R341" s="482"/>
      <c r="S341" s="482"/>
      <c r="T341" s="482"/>
      <c r="U341" s="482"/>
      <c r="V341" s="384"/>
      <c r="W341" s="563"/>
      <c r="Y341" s="563"/>
      <c r="AA341" s="384"/>
      <c r="AB341" s="384"/>
      <c r="AC341" s="384"/>
      <c r="AD341" s="384"/>
      <c r="AE341" s="384"/>
      <c r="AF341" s="384"/>
      <c r="AG341" s="384"/>
      <c r="AH341" s="384"/>
      <c r="AI341" s="384"/>
      <c r="AJ341" s="384"/>
      <c r="AK341" s="384"/>
      <c r="AL341" s="384"/>
      <c r="AM341" s="384"/>
    </row>
    <row r="342" spans="1:39" ht="15.75" customHeight="1">
      <c r="A342" s="563"/>
      <c r="B342" s="384"/>
      <c r="C342" s="563"/>
      <c r="D342" s="1997"/>
      <c r="E342" s="1998"/>
      <c r="F342" s="1954"/>
      <c r="G342" s="563"/>
      <c r="H342" s="563"/>
      <c r="I342" s="2000"/>
      <c r="J342" s="563"/>
      <c r="K342" s="384"/>
      <c r="L342" s="1901"/>
      <c r="M342" s="1999"/>
      <c r="N342" s="1999"/>
      <c r="O342" s="1999"/>
      <c r="P342" s="2002"/>
      <c r="Q342" s="2002"/>
      <c r="R342" s="482"/>
      <c r="S342" s="482"/>
      <c r="T342" s="482"/>
      <c r="U342" s="482"/>
      <c r="V342" s="384"/>
      <c r="W342" s="563"/>
      <c r="Y342" s="563"/>
      <c r="AA342" s="384"/>
      <c r="AB342" s="384"/>
      <c r="AC342" s="384"/>
      <c r="AD342" s="384"/>
      <c r="AE342" s="384"/>
      <c r="AF342" s="384"/>
      <c r="AG342" s="384"/>
      <c r="AH342" s="384"/>
      <c r="AI342" s="384"/>
      <c r="AJ342" s="384"/>
      <c r="AK342" s="384"/>
      <c r="AL342" s="384"/>
      <c r="AM342" s="384"/>
    </row>
    <row r="343" spans="1:39" ht="15.75" customHeight="1">
      <c r="A343" s="563"/>
      <c r="B343" s="384"/>
      <c r="C343" s="563"/>
      <c r="D343" s="1997"/>
      <c r="E343" s="1998"/>
      <c r="F343" s="1954"/>
      <c r="G343" s="563"/>
      <c r="H343" s="563"/>
      <c r="I343" s="2000"/>
      <c r="J343" s="563"/>
      <c r="K343" s="384"/>
      <c r="L343" s="1901"/>
      <c r="M343" s="1999"/>
      <c r="N343" s="1999"/>
      <c r="O343" s="1999"/>
      <c r="P343" s="2002"/>
      <c r="Q343" s="2002"/>
      <c r="R343" s="482"/>
      <c r="S343" s="482"/>
      <c r="T343" s="482"/>
      <c r="U343" s="482"/>
      <c r="V343" s="384"/>
      <c r="W343" s="563"/>
      <c r="Y343" s="563"/>
      <c r="AA343" s="384"/>
      <c r="AB343" s="384"/>
      <c r="AC343" s="384"/>
      <c r="AD343" s="384"/>
      <c r="AE343" s="384"/>
      <c r="AF343" s="384"/>
      <c r="AG343" s="384"/>
      <c r="AH343" s="384"/>
      <c r="AI343" s="384"/>
      <c r="AJ343" s="384"/>
      <c r="AK343" s="384"/>
      <c r="AL343" s="384"/>
      <c r="AM343" s="384"/>
    </row>
    <row r="344" spans="1:39" ht="15.75" customHeight="1">
      <c r="A344" s="563"/>
      <c r="B344" s="384"/>
      <c r="C344" s="563"/>
      <c r="D344" s="1997"/>
      <c r="E344" s="1998"/>
      <c r="F344" s="1954"/>
      <c r="G344" s="563"/>
      <c r="H344" s="563"/>
      <c r="I344" s="2000"/>
      <c r="J344" s="563"/>
      <c r="K344" s="384"/>
      <c r="L344" s="1901"/>
      <c r="M344" s="1999"/>
      <c r="N344" s="1999"/>
      <c r="O344" s="1999"/>
      <c r="P344" s="2002"/>
      <c r="Q344" s="2002"/>
      <c r="R344" s="482"/>
      <c r="S344" s="482"/>
      <c r="T344" s="482"/>
      <c r="U344" s="482"/>
      <c r="V344" s="384"/>
      <c r="W344" s="563"/>
      <c r="Y344" s="563"/>
      <c r="AA344" s="384"/>
      <c r="AB344" s="384"/>
      <c r="AC344" s="384"/>
      <c r="AD344" s="384"/>
      <c r="AE344" s="384"/>
      <c r="AF344" s="384"/>
      <c r="AG344" s="384"/>
      <c r="AH344" s="384"/>
      <c r="AI344" s="384"/>
      <c r="AJ344" s="384"/>
      <c r="AK344" s="384"/>
      <c r="AL344" s="384"/>
      <c r="AM344" s="384"/>
    </row>
    <row r="345" spans="1:39" ht="15.75" customHeight="1">
      <c r="A345" s="563"/>
      <c r="B345" s="384"/>
      <c r="C345" s="563"/>
      <c r="D345" s="1997"/>
      <c r="E345" s="1998"/>
      <c r="F345" s="1954"/>
      <c r="G345" s="563"/>
      <c r="H345" s="563"/>
      <c r="I345" s="2000"/>
      <c r="J345" s="563"/>
      <c r="K345" s="384"/>
      <c r="L345" s="1901"/>
      <c r="M345" s="1999"/>
      <c r="N345" s="1999"/>
      <c r="O345" s="1999"/>
      <c r="P345" s="2002"/>
      <c r="Q345" s="2002"/>
      <c r="R345" s="482"/>
      <c r="S345" s="482"/>
      <c r="T345" s="482"/>
      <c r="U345" s="482"/>
      <c r="V345" s="384"/>
      <c r="W345" s="563"/>
      <c r="Y345" s="563"/>
      <c r="AA345" s="384"/>
      <c r="AB345" s="384"/>
      <c r="AC345" s="384"/>
      <c r="AD345" s="384"/>
      <c r="AE345" s="384"/>
      <c r="AF345" s="384"/>
      <c r="AG345" s="384"/>
      <c r="AH345" s="384"/>
      <c r="AI345" s="384"/>
      <c r="AJ345" s="384"/>
      <c r="AK345" s="384"/>
      <c r="AL345" s="384"/>
      <c r="AM345" s="384"/>
    </row>
    <row r="346" spans="1:39" ht="15.75" customHeight="1">
      <c r="A346" s="563"/>
      <c r="B346" s="384"/>
      <c r="C346" s="563"/>
      <c r="D346" s="1997"/>
      <c r="E346" s="1998"/>
      <c r="F346" s="1954"/>
      <c r="G346" s="563"/>
      <c r="H346" s="563"/>
      <c r="I346" s="2000"/>
      <c r="J346" s="563"/>
      <c r="K346" s="384"/>
      <c r="L346" s="1901"/>
      <c r="M346" s="1999"/>
      <c r="N346" s="1999"/>
      <c r="O346" s="1999"/>
      <c r="P346" s="2002"/>
      <c r="Q346" s="2002"/>
      <c r="R346" s="482"/>
      <c r="S346" s="482"/>
      <c r="T346" s="482"/>
      <c r="U346" s="482"/>
      <c r="V346" s="384"/>
      <c r="W346" s="563"/>
      <c r="Y346" s="563"/>
      <c r="AA346" s="384"/>
      <c r="AB346" s="384"/>
      <c r="AC346" s="384"/>
      <c r="AD346" s="384"/>
      <c r="AE346" s="384"/>
      <c r="AF346" s="384"/>
      <c r="AG346" s="384"/>
      <c r="AH346" s="384"/>
      <c r="AI346" s="384"/>
      <c r="AJ346" s="384"/>
      <c r="AK346" s="384"/>
      <c r="AL346" s="384"/>
      <c r="AM346" s="384"/>
    </row>
    <row r="347" spans="1:39" ht="15.75" customHeight="1">
      <c r="A347" s="563"/>
      <c r="B347" s="384"/>
      <c r="C347" s="563"/>
      <c r="D347" s="1997"/>
      <c r="E347" s="1998"/>
      <c r="F347" s="1954"/>
      <c r="G347" s="563"/>
      <c r="H347" s="563"/>
      <c r="I347" s="2000"/>
      <c r="J347" s="563"/>
      <c r="K347" s="384"/>
      <c r="L347" s="1901"/>
      <c r="M347" s="1999"/>
      <c r="N347" s="1999"/>
      <c r="O347" s="1999"/>
      <c r="P347" s="2002"/>
      <c r="Q347" s="2002"/>
      <c r="R347" s="482"/>
      <c r="S347" s="482"/>
      <c r="T347" s="482"/>
      <c r="U347" s="482"/>
      <c r="V347" s="384"/>
      <c r="W347" s="563"/>
      <c r="Y347" s="563"/>
      <c r="AA347" s="384"/>
      <c r="AB347" s="384"/>
      <c r="AC347" s="384"/>
      <c r="AD347" s="384"/>
      <c r="AE347" s="384"/>
      <c r="AF347" s="384"/>
      <c r="AG347" s="384"/>
      <c r="AH347" s="384"/>
      <c r="AI347" s="384"/>
      <c r="AJ347" s="384"/>
      <c r="AK347" s="384"/>
      <c r="AL347" s="384"/>
      <c r="AM347" s="384"/>
    </row>
    <row r="348" spans="1:39" ht="15.75" customHeight="1">
      <c r="A348" s="563"/>
      <c r="B348" s="384"/>
      <c r="C348" s="563"/>
      <c r="D348" s="1997"/>
      <c r="E348" s="1998"/>
      <c r="F348" s="1954"/>
      <c r="G348" s="563"/>
      <c r="H348" s="563"/>
      <c r="I348" s="2000"/>
      <c r="J348" s="563"/>
      <c r="K348" s="384"/>
      <c r="L348" s="1901"/>
      <c r="M348" s="1999"/>
      <c r="N348" s="1999"/>
      <c r="O348" s="1999"/>
      <c r="P348" s="2002"/>
      <c r="Q348" s="2002"/>
      <c r="R348" s="482"/>
      <c r="S348" s="482"/>
      <c r="T348" s="482"/>
      <c r="U348" s="482"/>
      <c r="V348" s="384"/>
      <c r="W348" s="563"/>
      <c r="Y348" s="563"/>
      <c r="AA348" s="384"/>
      <c r="AB348" s="384"/>
      <c r="AC348" s="384"/>
      <c r="AD348" s="384"/>
      <c r="AE348" s="384"/>
      <c r="AF348" s="384"/>
      <c r="AG348" s="384"/>
      <c r="AH348" s="384"/>
      <c r="AI348" s="384"/>
      <c r="AJ348" s="384"/>
      <c r="AK348" s="384"/>
      <c r="AL348" s="384"/>
      <c r="AM348" s="384"/>
    </row>
    <row r="349" spans="1:39" ht="15.75" customHeight="1">
      <c r="A349" s="563"/>
      <c r="B349" s="384"/>
      <c r="C349" s="563"/>
      <c r="D349" s="1997"/>
      <c r="E349" s="1998"/>
      <c r="F349" s="1954"/>
      <c r="G349" s="563"/>
      <c r="H349" s="563"/>
      <c r="I349" s="2000"/>
      <c r="J349" s="563"/>
      <c r="K349" s="384"/>
      <c r="L349" s="1901"/>
      <c r="M349" s="1999"/>
      <c r="N349" s="1999"/>
      <c r="O349" s="1999"/>
      <c r="P349" s="2002"/>
      <c r="Q349" s="2002"/>
      <c r="R349" s="482"/>
      <c r="S349" s="482"/>
      <c r="T349" s="482"/>
      <c r="U349" s="482"/>
      <c r="V349" s="384"/>
      <c r="W349" s="563"/>
      <c r="Y349" s="563"/>
      <c r="AA349" s="384"/>
      <c r="AB349" s="384"/>
      <c r="AC349" s="384"/>
      <c r="AD349" s="384"/>
      <c r="AE349" s="384"/>
      <c r="AF349" s="384"/>
      <c r="AG349" s="384"/>
      <c r="AH349" s="384"/>
      <c r="AI349" s="384"/>
      <c r="AJ349" s="384"/>
      <c r="AK349" s="384"/>
      <c r="AL349" s="384"/>
      <c r="AM349" s="384"/>
    </row>
    <row r="350" spans="1:39" ht="15.75" customHeight="1">
      <c r="A350" s="563"/>
      <c r="B350" s="384"/>
      <c r="C350" s="563"/>
      <c r="D350" s="1997"/>
      <c r="E350" s="1998"/>
      <c r="F350" s="1954"/>
      <c r="G350" s="563"/>
      <c r="H350" s="563"/>
      <c r="I350" s="2000"/>
      <c r="J350" s="563"/>
      <c r="K350" s="384"/>
      <c r="L350" s="1901"/>
      <c r="M350" s="1999"/>
      <c r="N350" s="1999"/>
      <c r="O350" s="1999"/>
      <c r="P350" s="2002"/>
      <c r="Q350" s="2002"/>
      <c r="R350" s="482"/>
      <c r="S350" s="482"/>
      <c r="T350" s="482"/>
      <c r="U350" s="482"/>
      <c r="V350" s="384"/>
      <c r="W350" s="563"/>
      <c r="Y350" s="563"/>
      <c r="AA350" s="384"/>
      <c r="AB350" s="384"/>
      <c r="AC350" s="384"/>
      <c r="AD350" s="384"/>
      <c r="AE350" s="384"/>
      <c r="AF350" s="384"/>
      <c r="AG350" s="384"/>
      <c r="AH350" s="384"/>
      <c r="AI350" s="384"/>
      <c r="AJ350" s="384"/>
      <c r="AK350" s="384"/>
      <c r="AL350" s="384"/>
      <c r="AM350" s="384"/>
    </row>
    <row r="351" spans="1:39" ht="15.75" customHeight="1">
      <c r="A351" s="563"/>
      <c r="B351" s="384"/>
      <c r="C351" s="563"/>
      <c r="D351" s="1997"/>
      <c r="E351" s="1998"/>
      <c r="F351" s="1954"/>
      <c r="G351" s="563"/>
      <c r="H351" s="563"/>
      <c r="I351" s="2000"/>
      <c r="J351" s="563"/>
      <c r="K351" s="384"/>
      <c r="L351" s="1901"/>
      <c r="M351" s="1999"/>
      <c r="N351" s="1999"/>
      <c r="O351" s="1999"/>
      <c r="P351" s="2002"/>
      <c r="Q351" s="2002"/>
      <c r="R351" s="482"/>
      <c r="S351" s="482"/>
      <c r="T351" s="482"/>
      <c r="U351" s="482"/>
      <c r="V351" s="384"/>
      <c r="W351" s="563"/>
      <c r="Y351" s="563"/>
      <c r="AA351" s="384"/>
      <c r="AB351" s="384"/>
      <c r="AC351" s="384"/>
      <c r="AD351" s="384"/>
      <c r="AE351" s="384"/>
      <c r="AF351" s="384"/>
      <c r="AG351" s="384"/>
      <c r="AH351" s="384"/>
      <c r="AI351" s="384"/>
      <c r="AJ351" s="384"/>
      <c r="AK351" s="384"/>
      <c r="AL351" s="384"/>
      <c r="AM351" s="384"/>
    </row>
    <row r="352" spans="1:39" ht="15.75" customHeight="1">
      <c r="A352" s="563"/>
      <c r="B352" s="384"/>
      <c r="C352" s="563"/>
      <c r="D352" s="1997"/>
      <c r="E352" s="1998"/>
      <c r="F352" s="1954"/>
      <c r="G352" s="563"/>
      <c r="H352" s="563"/>
      <c r="I352" s="2000"/>
      <c r="J352" s="563"/>
      <c r="K352" s="384"/>
      <c r="L352" s="1901"/>
      <c r="M352" s="1999"/>
      <c r="N352" s="1999"/>
      <c r="O352" s="1999"/>
      <c r="P352" s="2002"/>
      <c r="Q352" s="2002"/>
      <c r="R352" s="482"/>
      <c r="S352" s="482"/>
      <c r="T352" s="482"/>
      <c r="U352" s="482"/>
      <c r="V352" s="384"/>
      <c r="W352" s="563"/>
      <c r="Y352" s="563"/>
      <c r="AA352" s="384"/>
      <c r="AB352" s="384"/>
      <c r="AC352" s="384"/>
      <c r="AD352" s="384"/>
      <c r="AE352" s="384"/>
      <c r="AF352" s="384"/>
      <c r="AG352" s="384"/>
      <c r="AH352" s="384"/>
      <c r="AI352" s="384"/>
      <c r="AJ352" s="384"/>
      <c r="AK352" s="384"/>
      <c r="AL352" s="384"/>
      <c r="AM352" s="384"/>
    </row>
    <row r="353" spans="1:39" ht="15.75" customHeight="1">
      <c r="A353" s="563"/>
      <c r="B353" s="384"/>
      <c r="C353" s="563"/>
      <c r="D353" s="1997"/>
      <c r="E353" s="1998"/>
      <c r="F353" s="1954"/>
      <c r="G353" s="563"/>
      <c r="H353" s="563"/>
      <c r="I353" s="2000"/>
      <c r="J353" s="563"/>
      <c r="K353" s="384"/>
      <c r="L353" s="1901"/>
      <c r="M353" s="1999"/>
      <c r="N353" s="1999"/>
      <c r="O353" s="1999"/>
      <c r="P353" s="2002"/>
      <c r="Q353" s="2002"/>
      <c r="R353" s="482"/>
      <c r="S353" s="482"/>
      <c r="T353" s="482"/>
      <c r="U353" s="482"/>
      <c r="V353" s="384"/>
      <c r="W353" s="563"/>
      <c r="Y353" s="563"/>
      <c r="AA353" s="384"/>
      <c r="AB353" s="384"/>
      <c r="AC353" s="384"/>
      <c r="AD353" s="384"/>
      <c r="AE353" s="384"/>
      <c r="AF353" s="384"/>
      <c r="AG353" s="384"/>
      <c r="AH353" s="384"/>
      <c r="AI353" s="384"/>
      <c r="AJ353" s="384"/>
      <c r="AK353" s="384"/>
      <c r="AL353" s="384"/>
      <c r="AM353" s="384"/>
    </row>
    <row r="354" spans="1:39" ht="15.75" customHeight="1">
      <c r="A354" s="563"/>
      <c r="B354" s="384"/>
      <c r="C354" s="563"/>
      <c r="D354" s="1997"/>
      <c r="E354" s="1998"/>
      <c r="F354" s="1954"/>
      <c r="G354" s="563"/>
      <c r="H354" s="563"/>
      <c r="I354" s="2000"/>
      <c r="J354" s="563"/>
      <c r="K354" s="384"/>
      <c r="L354" s="1901"/>
      <c r="M354" s="1999"/>
      <c r="N354" s="1999"/>
      <c r="O354" s="1999"/>
      <c r="P354" s="2002"/>
      <c r="Q354" s="2002"/>
      <c r="R354" s="482"/>
      <c r="S354" s="482"/>
      <c r="T354" s="482"/>
      <c r="U354" s="482"/>
      <c r="V354" s="384"/>
      <c r="W354" s="563"/>
      <c r="Y354" s="563"/>
      <c r="AA354" s="384"/>
      <c r="AB354" s="384"/>
      <c r="AC354" s="384"/>
      <c r="AD354" s="384"/>
      <c r="AE354" s="384"/>
      <c r="AF354" s="384"/>
      <c r="AG354" s="384"/>
      <c r="AH354" s="384"/>
      <c r="AI354" s="384"/>
      <c r="AJ354" s="384"/>
      <c r="AK354" s="384"/>
      <c r="AL354" s="384"/>
      <c r="AM354" s="384"/>
    </row>
    <row r="355" spans="1:39" ht="15.75" customHeight="1">
      <c r="A355" s="563"/>
      <c r="B355" s="384"/>
      <c r="C355" s="563"/>
      <c r="D355" s="1997"/>
      <c r="E355" s="1998"/>
      <c r="F355" s="1954"/>
      <c r="G355" s="563"/>
      <c r="H355" s="563"/>
      <c r="I355" s="2000"/>
      <c r="J355" s="563"/>
      <c r="K355" s="384"/>
      <c r="L355" s="1901"/>
      <c r="M355" s="1999"/>
      <c r="N355" s="1999"/>
      <c r="O355" s="1999"/>
      <c r="P355" s="2002"/>
      <c r="Q355" s="2002"/>
      <c r="R355" s="482"/>
      <c r="S355" s="482"/>
      <c r="T355" s="482"/>
      <c r="U355" s="482"/>
      <c r="V355" s="384"/>
      <c r="W355" s="563"/>
      <c r="Y355" s="563"/>
      <c r="AA355" s="384"/>
      <c r="AB355" s="384"/>
      <c r="AC355" s="384"/>
      <c r="AD355" s="384"/>
      <c r="AE355" s="384"/>
      <c r="AF355" s="384"/>
      <c r="AG355" s="384"/>
      <c r="AH355" s="384"/>
      <c r="AI355" s="384"/>
      <c r="AJ355" s="384"/>
      <c r="AK355" s="384"/>
      <c r="AL355" s="384"/>
      <c r="AM355" s="384"/>
    </row>
    <row r="356" spans="1:39" ht="15.75" customHeight="1">
      <c r="A356" s="563"/>
      <c r="B356" s="384"/>
      <c r="C356" s="563"/>
      <c r="D356" s="1997"/>
      <c r="E356" s="1998"/>
      <c r="F356" s="1954"/>
      <c r="G356" s="563"/>
      <c r="H356" s="563"/>
      <c r="I356" s="2000"/>
      <c r="J356" s="563"/>
      <c r="K356" s="384"/>
      <c r="L356" s="1901"/>
      <c r="M356" s="1999"/>
      <c r="N356" s="1999"/>
      <c r="O356" s="1999"/>
      <c r="P356" s="2002"/>
      <c r="Q356" s="2002"/>
      <c r="R356" s="482"/>
      <c r="S356" s="482"/>
      <c r="T356" s="482"/>
      <c r="U356" s="482"/>
      <c r="V356" s="384"/>
      <c r="W356" s="563"/>
      <c r="Y356" s="563"/>
      <c r="AA356" s="384"/>
      <c r="AB356" s="384"/>
      <c r="AC356" s="384"/>
      <c r="AD356" s="384"/>
      <c r="AE356" s="384"/>
      <c r="AF356" s="384"/>
      <c r="AG356" s="384"/>
      <c r="AH356" s="384"/>
      <c r="AI356" s="384"/>
      <c r="AJ356" s="384"/>
      <c r="AK356" s="384"/>
      <c r="AL356" s="384"/>
      <c r="AM356" s="384"/>
    </row>
    <row r="357" spans="1:39" ht="15.75" customHeight="1">
      <c r="A357" s="563"/>
      <c r="B357" s="384"/>
      <c r="C357" s="563"/>
      <c r="D357" s="1997"/>
      <c r="E357" s="1998"/>
      <c r="F357" s="1954"/>
      <c r="G357" s="563"/>
      <c r="H357" s="563"/>
      <c r="I357" s="2000"/>
      <c r="J357" s="563"/>
      <c r="K357" s="384"/>
      <c r="L357" s="1901"/>
      <c r="M357" s="1999"/>
      <c r="N357" s="1999"/>
      <c r="O357" s="1999"/>
      <c r="P357" s="2002"/>
      <c r="Q357" s="2002"/>
      <c r="R357" s="482"/>
      <c r="S357" s="482"/>
      <c r="T357" s="482"/>
      <c r="U357" s="482"/>
      <c r="V357" s="384"/>
      <c r="W357" s="563"/>
      <c r="Y357" s="563"/>
      <c r="AA357" s="384"/>
      <c r="AB357" s="384"/>
      <c r="AC357" s="384"/>
      <c r="AD357" s="384"/>
      <c r="AE357" s="384"/>
      <c r="AF357" s="384"/>
      <c r="AG357" s="384"/>
      <c r="AH357" s="384"/>
      <c r="AI357" s="384"/>
      <c r="AJ357" s="384"/>
      <c r="AK357" s="384"/>
      <c r="AL357" s="384"/>
      <c r="AM357" s="384"/>
    </row>
    <row r="358" spans="1:39" ht="15.75" customHeight="1">
      <c r="A358" s="563"/>
      <c r="B358" s="384"/>
      <c r="C358" s="563"/>
      <c r="D358" s="1997"/>
      <c r="E358" s="1998"/>
      <c r="F358" s="1954"/>
      <c r="G358" s="563"/>
      <c r="H358" s="563"/>
      <c r="I358" s="2000"/>
      <c r="J358" s="563"/>
      <c r="K358" s="384"/>
      <c r="L358" s="1901"/>
      <c r="M358" s="1999"/>
      <c r="N358" s="1999"/>
      <c r="O358" s="1999"/>
      <c r="P358" s="2002"/>
      <c r="Q358" s="2002"/>
      <c r="R358" s="482"/>
      <c r="S358" s="482"/>
      <c r="T358" s="482"/>
      <c r="U358" s="482"/>
      <c r="V358" s="384"/>
      <c r="W358" s="563"/>
      <c r="Y358" s="563"/>
      <c r="AA358" s="384"/>
      <c r="AB358" s="384"/>
      <c r="AC358" s="384"/>
      <c r="AD358" s="384"/>
      <c r="AE358" s="384"/>
      <c r="AF358" s="384"/>
      <c r="AG358" s="384"/>
      <c r="AH358" s="384"/>
      <c r="AI358" s="384"/>
      <c r="AJ358" s="384"/>
      <c r="AK358" s="384"/>
      <c r="AL358" s="384"/>
      <c r="AM358" s="384"/>
    </row>
    <row r="359" spans="1:39" ht="15.75" customHeight="1">
      <c r="A359" s="563"/>
      <c r="B359" s="384"/>
      <c r="C359" s="563"/>
      <c r="D359" s="1997"/>
      <c r="E359" s="1998"/>
      <c r="F359" s="1954"/>
      <c r="G359" s="563"/>
      <c r="H359" s="563"/>
      <c r="I359" s="2000"/>
      <c r="J359" s="563"/>
      <c r="K359" s="384"/>
      <c r="L359" s="1901"/>
      <c r="M359" s="1999"/>
      <c r="N359" s="1999"/>
      <c r="O359" s="1999"/>
      <c r="P359" s="2002"/>
      <c r="Q359" s="2002"/>
      <c r="R359" s="482"/>
      <c r="S359" s="482"/>
      <c r="T359" s="482"/>
      <c r="U359" s="482"/>
      <c r="V359" s="384"/>
      <c r="W359" s="563"/>
      <c r="Y359" s="563"/>
      <c r="AA359" s="384"/>
      <c r="AB359" s="384"/>
      <c r="AC359" s="384"/>
      <c r="AD359" s="384"/>
      <c r="AE359" s="384"/>
      <c r="AF359" s="384"/>
      <c r="AG359" s="384"/>
      <c r="AH359" s="384"/>
      <c r="AI359" s="384"/>
      <c r="AJ359" s="384"/>
      <c r="AK359" s="384"/>
      <c r="AL359" s="384"/>
      <c r="AM359" s="384"/>
    </row>
    <row r="360" spans="1:39" ht="15.75" customHeight="1">
      <c r="A360" s="563"/>
      <c r="B360" s="384"/>
      <c r="C360" s="563"/>
      <c r="D360" s="1997"/>
      <c r="E360" s="1998"/>
      <c r="F360" s="1954"/>
      <c r="G360" s="563"/>
      <c r="H360" s="563"/>
      <c r="I360" s="2000"/>
      <c r="J360" s="563"/>
      <c r="K360" s="384"/>
      <c r="L360" s="1901"/>
      <c r="M360" s="1999"/>
      <c r="N360" s="1999"/>
      <c r="O360" s="1999"/>
      <c r="P360" s="2002"/>
      <c r="Q360" s="2002"/>
      <c r="R360" s="482"/>
      <c r="S360" s="482"/>
      <c r="T360" s="482"/>
      <c r="U360" s="482"/>
      <c r="V360" s="384"/>
      <c r="W360" s="563"/>
      <c r="Y360" s="563"/>
      <c r="AA360" s="384"/>
      <c r="AB360" s="384"/>
      <c r="AC360" s="384"/>
      <c r="AD360" s="384"/>
      <c r="AE360" s="384"/>
      <c r="AF360" s="384"/>
      <c r="AG360" s="384"/>
      <c r="AH360" s="384"/>
      <c r="AI360" s="384"/>
      <c r="AJ360" s="384"/>
      <c r="AK360" s="384"/>
      <c r="AL360" s="384"/>
      <c r="AM360" s="384"/>
    </row>
    <row r="361" spans="1:39" ht="15.75" customHeight="1">
      <c r="A361" s="563"/>
      <c r="B361" s="384"/>
      <c r="C361" s="563"/>
      <c r="D361" s="1997"/>
      <c r="E361" s="1998"/>
      <c r="F361" s="1954"/>
      <c r="G361" s="563"/>
      <c r="H361" s="563"/>
      <c r="I361" s="2000"/>
      <c r="J361" s="563"/>
      <c r="K361" s="384"/>
      <c r="L361" s="1901"/>
      <c r="M361" s="1999"/>
      <c r="N361" s="1999"/>
      <c r="O361" s="1999"/>
      <c r="P361" s="2002"/>
      <c r="Q361" s="2002"/>
      <c r="R361" s="482"/>
      <c r="S361" s="482"/>
      <c r="T361" s="482"/>
      <c r="U361" s="482"/>
      <c r="V361" s="384"/>
      <c r="W361" s="563"/>
      <c r="Y361" s="563"/>
      <c r="AA361" s="384"/>
      <c r="AB361" s="384"/>
      <c r="AC361" s="384"/>
      <c r="AD361" s="384"/>
      <c r="AE361" s="384"/>
      <c r="AF361" s="384"/>
      <c r="AG361" s="384"/>
      <c r="AH361" s="384"/>
      <c r="AI361" s="384"/>
      <c r="AJ361" s="384"/>
      <c r="AK361" s="384"/>
      <c r="AL361" s="384"/>
      <c r="AM361" s="384"/>
    </row>
    <row r="362" spans="1:39" ht="15.75" customHeight="1">
      <c r="A362" s="563"/>
      <c r="B362" s="384"/>
      <c r="C362" s="563"/>
      <c r="D362" s="1997"/>
      <c r="E362" s="1998"/>
      <c r="F362" s="1954"/>
      <c r="G362" s="563"/>
      <c r="H362" s="563"/>
      <c r="I362" s="2000"/>
      <c r="J362" s="563"/>
      <c r="K362" s="384"/>
      <c r="L362" s="1901"/>
      <c r="M362" s="1999"/>
      <c r="N362" s="1999"/>
      <c r="O362" s="1999"/>
      <c r="P362" s="2002"/>
      <c r="Q362" s="2002"/>
      <c r="R362" s="482"/>
      <c r="S362" s="482"/>
      <c r="T362" s="482"/>
      <c r="U362" s="482"/>
      <c r="V362" s="384"/>
      <c r="W362" s="563"/>
      <c r="Y362" s="563"/>
      <c r="AA362" s="384"/>
      <c r="AB362" s="384"/>
      <c r="AC362" s="384"/>
      <c r="AD362" s="384"/>
      <c r="AE362" s="384"/>
      <c r="AF362" s="384"/>
      <c r="AG362" s="384"/>
      <c r="AH362" s="384"/>
      <c r="AI362" s="384"/>
      <c r="AJ362" s="384"/>
      <c r="AK362" s="384"/>
      <c r="AL362" s="384"/>
      <c r="AM362" s="384"/>
    </row>
    <row r="363" spans="1:39" ht="15.75" customHeight="1">
      <c r="A363" s="563"/>
      <c r="B363" s="384"/>
      <c r="C363" s="563"/>
      <c r="D363" s="1997"/>
      <c r="E363" s="1998"/>
      <c r="F363" s="1954"/>
      <c r="G363" s="563"/>
      <c r="H363" s="563"/>
      <c r="I363" s="2000"/>
      <c r="J363" s="563"/>
      <c r="K363" s="384"/>
      <c r="L363" s="1901"/>
      <c r="M363" s="1999"/>
      <c r="N363" s="1999"/>
      <c r="O363" s="1999"/>
      <c r="P363" s="2002"/>
      <c r="Q363" s="2002"/>
      <c r="R363" s="482"/>
      <c r="S363" s="482"/>
      <c r="T363" s="482"/>
      <c r="U363" s="482"/>
      <c r="V363" s="384"/>
      <c r="W363" s="563"/>
      <c r="Y363" s="563"/>
      <c r="AA363" s="384"/>
      <c r="AB363" s="384"/>
      <c r="AC363" s="384"/>
      <c r="AD363" s="384"/>
      <c r="AE363" s="384"/>
      <c r="AF363" s="384"/>
      <c r="AG363" s="384"/>
      <c r="AH363" s="384"/>
      <c r="AI363" s="384"/>
      <c r="AJ363" s="384"/>
      <c r="AK363" s="384"/>
      <c r="AL363" s="384"/>
      <c r="AM363" s="384"/>
    </row>
    <row r="364" spans="1:39" ht="15.75" customHeight="1">
      <c r="A364" s="563"/>
      <c r="B364" s="384"/>
      <c r="C364" s="563"/>
      <c r="D364" s="1997"/>
      <c r="E364" s="1998"/>
      <c r="F364" s="1954"/>
      <c r="G364" s="563"/>
      <c r="H364" s="563"/>
      <c r="I364" s="2000"/>
      <c r="J364" s="563"/>
      <c r="K364" s="384"/>
      <c r="L364" s="1901"/>
      <c r="M364" s="1999"/>
      <c r="N364" s="1999"/>
      <c r="O364" s="1999"/>
      <c r="P364" s="2002"/>
      <c r="Q364" s="2002"/>
      <c r="R364" s="482"/>
      <c r="S364" s="482"/>
      <c r="T364" s="482"/>
      <c r="U364" s="482"/>
      <c r="V364" s="384"/>
      <c r="W364" s="563"/>
      <c r="Y364" s="563"/>
      <c r="AA364" s="384"/>
      <c r="AB364" s="384"/>
      <c r="AC364" s="384"/>
      <c r="AD364" s="384"/>
      <c r="AE364" s="384"/>
      <c r="AF364" s="384"/>
      <c r="AG364" s="384"/>
      <c r="AH364" s="384"/>
      <c r="AI364" s="384"/>
      <c r="AJ364" s="384"/>
      <c r="AK364" s="384"/>
      <c r="AL364" s="384"/>
      <c r="AM364" s="384"/>
    </row>
    <row r="365" spans="1:39" ht="15.75" customHeight="1">
      <c r="A365" s="563"/>
      <c r="B365" s="384"/>
      <c r="C365" s="563"/>
      <c r="D365" s="1997"/>
      <c r="E365" s="1998"/>
      <c r="F365" s="1954"/>
      <c r="G365" s="563"/>
      <c r="H365" s="563"/>
      <c r="I365" s="2000"/>
      <c r="J365" s="563"/>
      <c r="K365" s="384"/>
      <c r="L365" s="1901"/>
      <c r="M365" s="1999"/>
      <c r="N365" s="1999"/>
      <c r="O365" s="1999"/>
      <c r="P365" s="2002"/>
      <c r="Q365" s="2002"/>
      <c r="R365" s="482"/>
      <c r="S365" s="482"/>
      <c r="T365" s="482"/>
      <c r="U365" s="482"/>
      <c r="V365" s="384"/>
      <c r="W365" s="563"/>
      <c r="Y365" s="563"/>
      <c r="AA365" s="384"/>
      <c r="AB365" s="384"/>
      <c r="AC365" s="384"/>
      <c r="AD365" s="384"/>
      <c r="AE365" s="384"/>
      <c r="AF365" s="384"/>
      <c r="AG365" s="384"/>
      <c r="AH365" s="384"/>
      <c r="AI365" s="384"/>
      <c r="AJ365" s="384"/>
      <c r="AK365" s="384"/>
      <c r="AL365" s="384"/>
      <c r="AM365" s="384"/>
    </row>
    <row r="366" spans="1:39" ht="15.75" customHeight="1">
      <c r="A366" s="563"/>
      <c r="B366" s="384"/>
      <c r="C366" s="563"/>
      <c r="D366" s="1997"/>
      <c r="E366" s="1998"/>
      <c r="F366" s="1954"/>
      <c r="G366" s="563"/>
      <c r="H366" s="563"/>
      <c r="I366" s="2000"/>
      <c r="J366" s="563"/>
      <c r="K366" s="384"/>
      <c r="L366" s="1901"/>
      <c r="M366" s="1999"/>
      <c r="N366" s="1999"/>
      <c r="O366" s="1999"/>
      <c r="P366" s="2002"/>
      <c r="Q366" s="2002"/>
      <c r="R366" s="482"/>
      <c r="S366" s="482"/>
      <c r="T366" s="482"/>
      <c r="U366" s="482"/>
      <c r="V366" s="384"/>
      <c r="W366" s="563"/>
      <c r="Y366" s="563"/>
      <c r="AA366" s="384"/>
      <c r="AB366" s="384"/>
      <c r="AC366" s="384"/>
      <c r="AD366" s="384"/>
      <c r="AE366" s="384"/>
      <c r="AF366" s="384"/>
      <c r="AG366" s="384"/>
      <c r="AH366" s="384"/>
      <c r="AI366" s="384"/>
      <c r="AJ366" s="384"/>
      <c r="AK366" s="384"/>
      <c r="AL366" s="384"/>
      <c r="AM366" s="384"/>
    </row>
    <row r="367" spans="1:39" ht="15.75" customHeight="1">
      <c r="A367" s="563"/>
      <c r="B367" s="384"/>
      <c r="C367" s="563"/>
      <c r="D367" s="1997"/>
      <c r="E367" s="1998"/>
      <c r="F367" s="1954"/>
      <c r="G367" s="563"/>
      <c r="H367" s="563"/>
      <c r="I367" s="2000"/>
      <c r="J367" s="563"/>
      <c r="K367" s="384"/>
      <c r="L367" s="1901"/>
      <c r="M367" s="1999"/>
      <c r="N367" s="1999"/>
      <c r="O367" s="1999"/>
      <c r="P367" s="2002"/>
      <c r="Q367" s="2002"/>
      <c r="R367" s="482"/>
      <c r="S367" s="482"/>
      <c r="T367" s="482"/>
      <c r="U367" s="482"/>
      <c r="V367" s="384"/>
      <c r="W367" s="563"/>
      <c r="Y367" s="563"/>
      <c r="AA367" s="384"/>
      <c r="AB367" s="384"/>
      <c r="AC367" s="384"/>
      <c r="AD367" s="384"/>
      <c r="AE367" s="384"/>
      <c r="AF367" s="384"/>
      <c r="AG367" s="384"/>
      <c r="AH367" s="384"/>
      <c r="AI367" s="384"/>
      <c r="AJ367" s="384"/>
      <c r="AK367" s="384"/>
      <c r="AL367" s="384"/>
      <c r="AM367" s="384"/>
    </row>
    <row r="368" spans="1:39" ht="15.75" customHeight="1">
      <c r="A368" s="563"/>
      <c r="B368" s="384"/>
      <c r="C368" s="563"/>
      <c r="D368" s="1997"/>
      <c r="E368" s="1998"/>
      <c r="F368" s="1954"/>
      <c r="G368" s="563"/>
      <c r="H368" s="563"/>
      <c r="I368" s="2000"/>
      <c r="J368" s="563"/>
      <c r="K368" s="384"/>
      <c r="L368" s="1901"/>
      <c r="M368" s="1999"/>
      <c r="N368" s="1999"/>
      <c r="O368" s="1999"/>
      <c r="P368" s="2002"/>
      <c r="Q368" s="2002"/>
      <c r="R368" s="482"/>
      <c r="S368" s="482"/>
      <c r="T368" s="482"/>
      <c r="U368" s="482"/>
      <c r="V368" s="384"/>
      <c r="W368" s="563"/>
      <c r="Y368" s="563"/>
      <c r="AA368" s="384"/>
      <c r="AB368" s="384"/>
      <c r="AC368" s="384"/>
      <c r="AD368" s="384"/>
      <c r="AE368" s="384"/>
      <c r="AF368" s="384"/>
      <c r="AG368" s="384"/>
      <c r="AH368" s="384"/>
      <c r="AI368" s="384"/>
      <c r="AJ368" s="384"/>
      <c r="AK368" s="384"/>
      <c r="AL368" s="384"/>
      <c r="AM368" s="384"/>
    </row>
    <row r="369" spans="1:39" ht="15.75" customHeight="1">
      <c r="A369" s="563"/>
      <c r="B369" s="384"/>
      <c r="C369" s="563"/>
      <c r="D369" s="1997"/>
      <c r="E369" s="1998"/>
      <c r="F369" s="1954"/>
      <c r="G369" s="563"/>
      <c r="H369" s="563"/>
      <c r="I369" s="2000"/>
      <c r="J369" s="563"/>
      <c r="K369" s="384"/>
      <c r="L369" s="1901"/>
      <c r="M369" s="1999"/>
      <c r="N369" s="1999"/>
      <c r="O369" s="1999"/>
      <c r="P369" s="2002"/>
      <c r="Q369" s="2002"/>
      <c r="R369" s="482"/>
      <c r="S369" s="482"/>
      <c r="T369" s="482"/>
      <c r="U369" s="482"/>
      <c r="V369" s="384"/>
      <c r="W369" s="563"/>
      <c r="Y369" s="563"/>
      <c r="AA369" s="384"/>
      <c r="AB369" s="384"/>
      <c r="AC369" s="384"/>
      <c r="AD369" s="384"/>
      <c r="AE369" s="384"/>
      <c r="AF369" s="384"/>
      <c r="AG369" s="384"/>
      <c r="AH369" s="384"/>
      <c r="AI369" s="384"/>
      <c r="AJ369" s="384"/>
      <c r="AK369" s="384"/>
      <c r="AL369" s="384"/>
      <c r="AM369" s="384"/>
    </row>
    <row r="370" spans="1:39" ht="15.75" customHeight="1">
      <c r="A370" s="563"/>
      <c r="B370" s="384"/>
      <c r="C370" s="563"/>
      <c r="D370" s="1997"/>
      <c r="E370" s="1998"/>
      <c r="F370" s="1954"/>
      <c r="G370" s="563"/>
      <c r="H370" s="563"/>
      <c r="I370" s="2000"/>
      <c r="J370" s="563"/>
      <c r="K370" s="384"/>
      <c r="L370" s="1901"/>
      <c r="M370" s="1999"/>
      <c r="N370" s="1999"/>
      <c r="O370" s="1999"/>
      <c r="P370" s="2002"/>
      <c r="Q370" s="2002"/>
      <c r="R370" s="482"/>
      <c r="S370" s="482"/>
      <c r="T370" s="482"/>
      <c r="U370" s="482"/>
      <c r="V370" s="384"/>
      <c r="W370" s="563"/>
      <c r="Y370" s="563"/>
      <c r="AA370" s="384"/>
      <c r="AB370" s="384"/>
      <c r="AC370" s="384"/>
      <c r="AD370" s="384"/>
      <c r="AE370" s="384"/>
      <c r="AF370" s="384"/>
      <c r="AG370" s="384"/>
      <c r="AH370" s="384"/>
      <c r="AI370" s="384"/>
      <c r="AJ370" s="384"/>
      <c r="AK370" s="384"/>
      <c r="AL370" s="384"/>
      <c r="AM370" s="384"/>
    </row>
    <row r="371" spans="1:39" ht="15.75" customHeight="1">
      <c r="A371" s="563"/>
      <c r="B371" s="384"/>
      <c r="C371" s="563"/>
      <c r="D371" s="1997"/>
      <c r="E371" s="1998"/>
      <c r="F371" s="1954"/>
      <c r="G371" s="563"/>
      <c r="H371" s="563"/>
      <c r="I371" s="2000"/>
      <c r="J371" s="563"/>
      <c r="K371" s="384"/>
      <c r="L371" s="1901"/>
      <c r="M371" s="1999"/>
      <c r="N371" s="1999"/>
      <c r="O371" s="1999"/>
      <c r="P371" s="2002"/>
      <c r="Q371" s="2002"/>
      <c r="R371" s="482"/>
      <c r="S371" s="482"/>
      <c r="T371" s="482"/>
      <c r="U371" s="482"/>
      <c r="V371" s="384"/>
      <c r="W371" s="563"/>
      <c r="Y371" s="563"/>
      <c r="AA371" s="384"/>
      <c r="AB371" s="384"/>
      <c r="AC371" s="384"/>
      <c r="AD371" s="384"/>
      <c r="AE371" s="384"/>
      <c r="AF371" s="384"/>
      <c r="AG371" s="384"/>
      <c r="AH371" s="384"/>
      <c r="AI371" s="384"/>
      <c r="AJ371" s="384"/>
      <c r="AK371" s="384"/>
      <c r="AL371" s="384"/>
      <c r="AM371" s="384"/>
    </row>
    <row r="372" spans="1:39" ht="15.75" customHeight="1">
      <c r="A372" s="563"/>
      <c r="B372" s="384"/>
      <c r="C372" s="563"/>
      <c r="D372" s="1997"/>
      <c r="E372" s="1998"/>
      <c r="F372" s="1954"/>
      <c r="G372" s="563"/>
      <c r="H372" s="563"/>
      <c r="I372" s="2000"/>
      <c r="J372" s="563"/>
      <c r="K372" s="384"/>
      <c r="L372" s="1901"/>
      <c r="M372" s="1999"/>
      <c r="N372" s="1999"/>
      <c r="O372" s="1999"/>
      <c r="P372" s="2002"/>
      <c r="Q372" s="2002"/>
      <c r="R372" s="482"/>
      <c r="S372" s="482"/>
      <c r="T372" s="482"/>
      <c r="U372" s="482"/>
      <c r="V372" s="384"/>
      <c r="W372" s="563"/>
      <c r="Y372" s="563"/>
      <c r="AA372" s="384"/>
      <c r="AB372" s="384"/>
      <c r="AC372" s="384"/>
      <c r="AD372" s="384"/>
      <c r="AE372" s="384"/>
      <c r="AF372" s="384"/>
      <c r="AG372" s="384"/>
      <c r="AH372" s="384"/>
      <c r="AI372" s="384"/>
      <c r="AJ372" s="384"/>
      <c r="AK372" s="384"/>
      <c r="AL372" s="384"/>
      <c r="AM372" s="384"/>
    </row>
    <row r="373" spans="1:39" ht="15.75" customHeight="1">
      <c r="A373" s="563"/>
      <c r="B373" s="384"/>
      <c r="C373" s="563"/>
      <c r="D373" s="1997"/>
      <c r="E373" s="1998"/>
      <c r="F373" s="1954"/>
      <c r="G373" s="563"/>
      <c r="H373" s="563"/>
      <c r="I373" s="2000"/>
      <c r="J373" s="563"/>
      <c r="K373" s="384"/>
      <c r="L373" s="1901"/>
      <c r="M373" s="1999"/>
      <c r="N373" s="1999"/>
      <c r="O373" s="1999"/>
      <c r="P373" s="2002"/>
      <c r="Q373" s="2002"/>
      <c r="R373" s="482"/>
      <c r="S373" s="482"/>
      <c r="T373" s="482"/>
      <c r="U373" s="482"/>
      <c r="V373" s="384"/>
      <c r="W373" s="563"/>
      <c r="Y373" s="563"/>
      <c r="AA373" s="384"/>
      <c r="AB373" s="384"/>
      <c r="AC373" s="384"/>
      <c r="AD373" s="384"/>
      <c r="AE373" s="384"/>
      <c r="AF373" s="384"/>
      <c r="AG373" s="384"/>
      <c r="AH373" s="384"/>
      <c r="AI373" s="384"/>
      <c r="AJ373" s="384"/>
      <c r="AK373" s="384"/>
      <c r="AL373" s="384"/>
      <c r="AM373" s="384"/>
    </row>
    <row r="374" spans="1:39" ht="15.75" customHeight="1">
      <c r="A374" s="563"/>
      <c r="B374" s="384"/>
      <c r="C374" s="563"/>
      <c r="D374" s="1997"/>
      <c r="E374" s="1998"/>
      <c r="F374" s="1954"/>
      <c r="G374" s="563"/>
      <c r="H374" s="563"/>
      <c r="I374" s="2000"/>
      <c r="J374" s="563"/>
      <c r="K374" s="384"/>
      <c r="L374" s="1901"/>
      <c r="M374" s="1999"/>
      <c r="N374" s="1999"/>
      <c r="O374" s="1999"/>
      <c r="P374" s="2002"/>
      <c r="Q374" s="2002"/>
      <c r="R374" s="482"/>
      <c r="S374" s="482"/>
      <c r="T374" s="482"/>
      <c r="U374" s="482"/>
      <c r="V374" s="384"/>
      <c r="W374" s="563"/>
      <c r="Y374" s="563"/>
      <c r="AA374" s="384"/>
      <c r="AB374" s="384"/>
      <c r="AC374" s="384"/>
      <c r="AD374" s="384"/>
      <c r="AE374" s="384"/>
      <c r="AF374" s="384"/>
      <c r="AG374" s="384"/>
      <c r="AH374" s="384"/>
      <c r="AI374" s="384"/>
      <c r="AJ374" s="384"/>
      <c r="AK374" s="384"/>
      <c r="AL374" s="384"/>
      <c r="AM374" s="384"/>
    </row>
    <row r="375" spans="1:39" ht="15.75" customHeight="1">
      <c r="A375" s="563"/>
      <c r="B375" s="384"/>
      <c r="C375" s="563"/>
      <c r="D375" s="1997"/>
      <c r="E375" s="1998"/>
      <c r="F375" s="1954"/>
      <c r="G375" s="563"/>
      <c r="H375" s="563"/>
      <c r="I375" s="2000"/>
      <c r="J375" s="563"/>
      <c r="K375" s="384"/>
      <c r="L375" s="1901"/>
      <c r="M375" s="1999"/>
      <c r="N375" s="1999"/>
      <c r="O375" s="1999"/>
      <c r="P375" s="2002"/>
      <c r="Q375" s="2002"/>
      <c r="R375" s="482"/>
      <c r="S375" s="482"/>
      <c r="T375" s="482"/>
      <c r="U375" s="482"/>
      <c r="V375" s="384"/>
      <c r="W375" s="563"/>
      <c r="Y375" s="563"/>
      <c r="AA375" s="384"/>
      <c r="AB375" s="384"/>
      <c r="AC375" s="384"/>
      <c r="AD375" s="384"/>
      <c r="AE375" s="384"/>
      <c r="AF375" s="384"/>
      <c r="AG375" s="384"/>
      <c r="AH375" s="384"/>
      <c r="AI375" s="384"/>
      <c r="AJ375" s="384"/>
      <c r="AK375" s="384"/>
      <c r="AL375" s="384"/>
      <c r="AM375" s="384"/>
    </row>
    <row r="376" spans="1:39" ht="15.75" customHeight="1">
      <c r="A376" s="563"/>
      <c r="B376" s="384"/>
      <c r="C376" s="563"/>
      <c r="D376" s="1997"/>
      <c r="E376" s="1998"/>
      <c r="F376" s="1954"/>
      <c r="G376" s="563"/>
      <c r="H376" s="563"/>
      <c r="I376" s="2000"/>
      <c r="J376" s="563"/>
      <c r="K376" s="384"/>
      <c r="L376" s="1901"/>
      <c r="M376" s="1999"/>
      <c r="N376" s="1999"/>
      <c r="O376" s="1999"/>
      <c r="P376" s="2002"/>
      <c r="Q376" s="2002"/>
      <c r="R376" s="482"/>
      <c r="S376" s="482"/>
      <c r="T376" s="482"/>
      <c r="U376" s="482"/>
      <c r="V376" s="384"/>
      <c r="W376" s="563"/>
      <c r="Y376" s="563"/>
      <c r="AA376" s="384"/>
      <c r="AB376" s="384"/>
      <c r="AC376" s="384"/>
      <c r="AD376" s="384"/>
      <c r="AE376" s="384"/>
      <c r="AF376" s="384"/>
      <c r="AG376" s="384"/>
      <c r="AH376" s="384"/>
      <c r="AI376" s="384"/>
      <c r="AJ376" s="384"/>
      <c r="AK376" s="384"/>
      <c r="AL376" s="384"/>
      <c r="AM376" s="384"/>
    </row>
    <row r="377" spans="1:39" ht="15.75" customHeight="1">
      <c r="A377" s="563"/>
      <c r="B377" s="384"/>
      <c r="C377" s="563"/>
      <c r="D377" s="1997"/>
      <c r="E377" s="1998"/>
      <c r="F377" s="1954"/>
      <c r="G377" s="563"/>
      <c r="H377" s="563"/>
      <c r="I377" s="2000"/>
      <c r="J377" s="563"/>
      <c r="K377" s="384"/>
      <c r="L377" s="1901"/>
      <c r="M377" s="1999"/>
      <c r="N377" s="1999"/>
      <c r="O377" s="1999"/>
      <c r="P377" s="2002"/>
      <c r="Q377" s="2002"/>
      <c r="R377" s="482"/>
      <c r="S377" s="482"/>
      <c r="T377" s="482"/>
      <c r="U377" s="482"/>
      <c r="V377" s="384"/>
      <c r="W377" s="563"/>
      <c r="Y377" s="563"/>
      <c r="AA377" s="384"/>
      <c r="AB377" s="384"/>
      <c r="AC377" s="384"/>
      <c r="AD377" s="384"/>
      <c r="AE377" s="384"/>
      <c r="AF377" s="384"/>
      <c r="AG377" s="384"/>
      <c r="AH377" s="384"/>
      <c r="AI377" s="384"/>
      <c r="AJ377" s="384"/>
      <c r="AK377" s="384"/>
      <c r="AL377" s="384"/>
      <c r="AM377" s="384"/>
    </row>
    <row r="378" spans="1:39" ht="15.75" customHeight="1">
      <c r="A378" s="563"/>
      <c r="B378" s="384"/>
      <c r="C378" s="563"/>
      <c r="D378" s="1997"/>
      <c r="E378" s="1998"/>
      <c r="F378" s="1954"/>
      <c r="G378" s="563"/>
      <c r="H378" s="563"/>
      <c r="I378" s="2000"/>
      <c r="J378" s="563"/>
      <c r="K378" s="384"/>
      <c r="L378" s="1901"/>
      <c r="M378" s="1999"/>
      <c r="N378" s="1999"/>
      <c r="O378" s="1999"/>
      <c r="P378" s="2002"/>
      <c r="Q378" s="2002"/>
      <c r="R378" s="482"/>
      <c r="S378" s="482"/>
      <c r="T378" s="482"/>
      <c r="U378" s="482"/>
      <c r="V378" s="384"/>
      <c r="W378" s="563"/>
      <c r="Y378" s="563"/>
      <c r="AA378" s="384"/>
      <c r="AB378" s="384"/>
      <c r="AC378" s="384"/>
      <c r="AD378" s="384"/>
      <c r="AE378" s="384"/>
      <c r="AF378" s="384"/>
      <c r="AG378" s="384"/>
      <c r="AH378" s="384"/>
      <c r="AI378" s="384"/>
      <c r="AJ378" s="384"/>
      <c r="AK378" s="384"/>
      <c r="AL378" s="384"/>
      <c r="AM378" s="384"/>
    </row>
    <row r="379" spans="1:39" ht="15.75" customHeight="1">
      <c r="A379" s="563"/>
      <c r="B379" s="384"/>
      <c r="C379" s="563"/>
      <c r="D379" s="1997"/>
      <c r="E379" s="1998"/>
      <c r="F379" s="1954"/>
      <c r="G379" s="563"/>
      <c r="H379" s="563"/>
      <c r="I379" s="2000"/>
      <c r="J379" s="563"/>
      <c r="K379" s="384"/>
      <c r="L379" s="1901"/>
      <c r="M379" s="1999"/>
      <c r="N379" s="1999"/>
      <c r="O379" s="1999"/>
      <c r="P379" s="2002"/>
      <c r="Q379" s="2002"/>
      <c r="R379" s="482"/>
      <c r="S379" s="482"/>
      <c r="T379" s="482"/>
      <c r="U379" s="482"/>
      <c r="V379" s="384"/>
      <c r="W379" s="563"/>
      <c r="Y379" s="563"/>
      <c r="AA379" s="384"/>
      <c r="AB379" s="384"/>
      <c r="AC379" s="384"/>
      <c r="AD379" s="384"/>
      <c r="AE379" s="384"/>
      <c r="AF379" s="384"/>
      <c r="AG379" s="384"/>
      <c r="AH379" s="384"/>
      <c r="AI379" s="384"/>
      <c r="AJ379" s="384"/>
      <c r="AK379" s="384"/>
      <c r="AL379" s="384"/>
      <c r="AM379" s="384"/>
    </row>
    <row r="380" spans="1:39" ht="15.75" customHeight="1">
      <c r="A380" s="563"/>
      <c r="B380" s="384"/>
      <c r="C380" s="563"/>
      <c r="D380" s="1997"/>
      <c r="E380" s="1998"/>
      <c r="F380" s="1954"/>
      <c r="G380" s="563"/>
      <c r="H380" s="563"/>
      <c r="I380" s="2000"/>
      <c r="J380" s="563"/>
      <c r="K380" s="384"/>
      <c r="L380" s="1901"/>
      <c r="M380" s="1999"/>
      <c r="N380" s="1999"/>
      <c r="O380" s="1999"/>
      <c r="P380" s="2002"/>
      <c r="Q380" s="2002"/>
      <c r="R380" s="482"/>
      <c r="S380" s="482"/>
      <c r="T380" s="482"/>
      <c r="U380" s="482"/>
      <c r="V380" s="384"/>
      <c r="W380" s="563"/>
      <c r="Y380" s="563"/>
      <c r="AA380" s="384"/>
      <c r="AB380" s="384"/>
      <c r="AC380" s="384"/>
      <c r="AD380" s="384"/>
      <c r="AE380" s="384"/>
      <c r="AF380" s="384"/>
      <c r="AG380" s="384"/>
      <c r="AH380" s="384"/>
      <c r="AI380" s="384"/>
      <c r="AJ380" s="384"/>
      <c r="AK380" s="384"/>
      <c r="AL380" s="384"/>
      <c r="AM380" s="384"/>
    </row>
    <row r="381" spans="1:39" ht="15.75" customHeight="1">
      <c r="A381" s="563"/>
      <c r="B381" s="384"/>
      <c r="C381" s="563"/>
      <c r="D381" s="1997"/>
      <c r="E381" s="1998"/>
      <c r="F381" s="1954"/>
      <c r="G381" s="563"/>
      <c r="H381" s="563"/>
      <c r="I381" s="2000"/>
      <c r="J381" s="563"/>
      <c r="K381" s="384"/>
      <c r="L381" s="1901"/>
      <c r="M381" s="1999"/>
      <c r="N381" s="1999"/>
      <c r="O381" s="1999"/>
      <c r="P381" s="2002"/>
      <c r="Q381" s="2002"/>
      <c r="R381" s="482"/>
      <c r="S381" s="482"/>
      <c r="T381" s="482"/>
      <c r="U381" s="482"/>
      <c r="V381" s="384"/>
      <c r="W381" s="563"/>
      <c r="Y381" s="563"/>
      <c r="AA381" s="384"/>
      <c r="AB381" s="384"/>
      <c r="AC381" s="384"/>
      <c r="AD381" s="384"/>
      <c r="AE381" s="384"/>
      <c r="AF381" s="384"/>
      <c r="AG381" s="384"/>
      <c r="AH381" s="384"/>
      <c r="AI381" s="384"/>
      <c r="AJ381" s="384"/>
      <c r="AK381" s="384"/>
      <c r="AL381" s="384"/>
      <c r="AM381" s="384"/>
    </row>
    <row r="382" spans="1:39" ht="15.75" customHeight="1">
      <c r="A382" s="563"/>
      <c r="B382" s="384"/>
      <c r="C382" s="563"/>
      <c r="D382" s="1997"/>
      <c r="E382" s="1998"/>
      <c r="F382" s="1954"/>
      <c r="G382" s="563"/>
      <c r="H382" s="563"/>
      <c r="I382" s="2000"/>
      <c r="J382" s="563"/>
      <c r="K382" s="384"/>
      <c r="L382" s="1901"/>
      <c r="M382" s="1999"/>
      <c r="N382" s="1999"/>
      <c r="O382" s="1999"/>
      <c r="P382" s="2002"/>
      <c r="Q382" s="2002"/>
      <c r="R382" s="482"/>
      <c r="S382" s="482"/>
      <c r="T382" s="482"/>
      <c r="U382" s="482"/>
      <c r="V382" s="384"/>
      <c r="W382" s="563"/>
      <c r="Y382" s="563"/>
      <c r="AA382" s="384"/>
      <c r="AB382" s="384"/>
      <c r="AC382" s="384"/>
      <c r="AD382" s="384"/>
      <c r="AE382" s="384"/>
      <c r="AF382" s="384"/>
      <c r="AG382" s="384"/>
      <c r="AH382" s="384"/>
      <c r="AI382" s="384"/>
      <c r="AJ382" s="384"/>
      <c r="AK382" s="384"/>
      <c r="AL382" s="384"/>
      <c r="AM382" s="384"/>
    </row>
    <row r="383" spans="1:39" ht="15.75" customHeight="1">
      <c r="A383" s="563"/>
      <c r="B383" s="384"/>
      <c r="C383" s="563"/>
      <c r="D383" s="1997"/>
      <c r="E383" s="1998"/>
      <c r="F383" s="1954"/>
      <c r="G383" s="563"/>
      <c r="H383" s="563"/>
      <c r="I383" s="2000"/>
      <c r="J383" s="563"/>
      <c r="K383" s="384"/>
      <c r="L383" s="1901"/>
      <c r="M383" s="1999"/>
      <c r="N383" s="1999"/>
      <c r="O383" s="1999"/>
      <c r="P383" s="2002"/>
      <c r="Q383" s="2002"/>
      <c r="R383" s="482"/>
      <c r="S383" s="482"/>
      <c r="T383" s="482"/>
      <c r="U383" s="482"/>
      <c r="V383" s="384"/>
      <c r="W383" s="563"/>
      <c r="Y383" s="563"/>
      <c r="AA383" s="384"/>
      <c r="AB383" s="384"/>
      <c r="AC383" s="384"/>
      <c r="AD383" s="384"/>
      <c r="AE383" s="384"/>
      <c r="AF383" s="384"/>
      <c r="AG383" s="384"/>
      <c r="AH383" s="384"/>
      <c r="AI383" s="384"/>
      <c r="AJ383" s="384"/>
      <c r="AK383" s="384"/>
      <c r="AL383" s="384"/>
      <c r="AM383" s="384"/>
    </row>
    <row r="384" spans="1:39" ht="15.75" customHeight="1">
      <c r="A384" s="563"/>
      <c r="B384" s="384"/>
      <c r="C384" s="563"/>
      <c r="D384" s="1997"/>
      <c r="E384" s="1998"/>
      <c r="F384" s="1954"/>
      <c r="G384" s="563"/>
      <c r="H384" s="563"/>
      <c r="I384" s="2000"/>
      <c r="J384" s="563"/>
      <c r="K384" s="384"/>
      <c r="L384" s="1901"/>
      <c r="M384" s="1999"/>
      <c r="N384" s="1999"/>
      <c r="O384" s="1999"/>
      <c r="P384" s="2002"/>
      <c r="Q384" s="2002"/>
      <c r="R384" s="482"/>
      <c r="S384" s="482"/>
      <c r="T384" s="482"/>
      <c r="U384" s="482"/>
      <c r="V384" s="384"/>
      <c r="W384" s="563"/>
      <c r="Y384" s="563"/>
      <c r="AA384" s="384"/>
      <c r="AB384" s="384"/>
      <c r="AC384" s="384"/>
      <c r="AD384" s="384"/>
      <c r="AE384" s="384"/>
      <c r="AF384" s="384"/>
      <c r="AG384" s="384"/>
      <c r="AH384" s="384"/>
      <c r="AI384" s="384"/>
      <c r="AJ384" s="384"/>
      <c r="AK384" s="384"/>
      <c r="AL384" s="384"/>
      <c r="AM384" s="384"/>
    </row>
    <row r="385" spans="1:39" ht="15.75" customHeight="1">
      <c r="A385" s="563"/>
      <c r="B385" s="384"/>
      <c r="C385" s="563"/>
      <c r="D385" s="1997"/>
      <c r="E385" s="1998"/>
      <c r="F385" s="1954"/>
      <c r="G385" s="563"/>
      <c r="H385" s="563"/>
      <c r="I385" s="2000"/>
      <c r="J385" s="563"/>
      <c r="K385" s="384"/>
      <c r="L385" s="1901"/>
      <c r="M385" s="1999"/>
      <c r="N385" s="1999"/>
      <c r="O385" s="1999"/>
      <c r="P385" s="2002"/>
      <c r="Q385" s="2002"/>
      <c r="R385" s="482"/>
      <c r="S385" s="482"/>
      <c r="T385" s="482"/>
      <c r="U385" s="482"/>
      <c r="V385" s="384"/>
      <c r="W385" s="563"/>
      <c r="Y385" s="563"/>
      <c r="AA385" s="384"/>
      <c r="AB385" s="384"/>
      <c r="AC385" s="384"/>
      <c r="AD385" s="384"/>
      <c r="AE385" s="384"/>
      <c r="AF385" s="384"/>
      <c r="AG385" s="384"/>
      <c r="AH385" s="384"/>
      <c r="AI385" s="384"/>
      <c r="AJ385" s="384"/>
      <c r="AK385" s="384"/>
      <c r="AL385" s="384"/>
      <c r="AM385" s="384"/>
    </row>
    <row r="386" spans="1:39" ht="15.75" customHeight="1">
      <c r="A386" s="563"/>
      <c r="B386" s="384"/>
      <c r="C386" s="563"/>
      <c r="D386" s="1997"/>
      <c r="E386" s="1998"/>
      <c r="F386" s="1954"/>
      <c r="G386" s="563"/>
      <c r="H386" s="563"/>
      <c r="I386" s="2000"/>
      <c r="J386" s="563"/>
      <c r="K386" s="384"/>
      <c r="L386" s="1901"/>
      <c r="M386" s="1999"/>
      <c r="N386" s="1999"/>
      <c r="O386" s="1999"/>
      <c r="P386" s="2002"/>
      <c r="Q386" s="2002"/>
      <c r="R386" s="482"/>
      <c r="S386" s="482"/>
      <c r="T386" s="482"/>
      <c r="U386" s="482"/>
      <c r="V386" s="384"/>
      <c r="W386" s="563"/>
      <c r="Y386" s="563"/>
      <c r="AA386" s="384"/>
      <c r="AB386" s="384"/>
      <c r="AC386" s="384"/>
      <c r="AD386" s="384"/>
      <c r="AE386" s="384"/>
      <c r="AF386" s="384"/>
      <c r="AG386" s="384"/>
      <c r="AH386" s="384"/>
      <c r="AI386" s="384"/>
      <c r="AJ386" s="384"/>
      <c r="AK386" s="384"/>
      <c r="AL386" s="384"/>
      <c r="AM386" s="384"/>
    </row>
    <row r="387" spans="1:39" ht="15.75" customHeight="1">
      <c r="A387" s="563"/>
      <c r="B387" s="384"/>
      <c r="C387" s="563"/>
      <c r="D387" s="1997"/>
      <c r="E387" s="1998"/>
      <c r="F387" s="1954"/>
      <c r="G387" s="563"/>
      <c r="H387" s="563"/>
      <c r="I387" s="2000"/>
      <c r="J387" s="563"/>
      <c r="K387" s="384"/>
      <c r="L387" s="1901"/>
      <c r="M387" s="1999"/>
      <c r="N387" s="1999"/>
      <c r="O387" s="1999"/>
      <c r="P387" s="2002"/>
      <c r="Q387" s="2002"/>
      <c r="R387" s="482"/>
      <c r="S387" s="482"/>
      <c r="T387" s="482"/>
      <c r="U387" s="482"/>
      <c r="V387" s="384"/>
      <c r="W387" s="563"/>
      <c r="Y387" s="563"/>
      <c r="AA387" s="384"/>
      <c r="AB387" s="384"/>
      <c r="AC387" s="384"/>
      <c r="AD387" s="384"/>
      <c r="AE387" s="384"/>
      <c r="AF387" s="384"/>
      <c r="AG387" s="384"/>
      <c r="AH387" s="384"/>
      <c r="AI387" s="384"/>
      <c r="AJ387" s="384"/>
      <c r="AK387" s="384"/>
      <c r="AL387" s="384"/>
      <c r="AM387" s="384"/>
    </row>
    <row r="388" spans="1:39" ht="15.75" customHeight="1">
      <c r="A388" s="563"/>
      <c r="B388" s="384"/>
      <c r="C388" s="563"/>
      <c r="D388" s="1997"/>
      <c r="E388" s="1998"/>
      <c r="F388" s="1954"/>
      <c r="G388" s="563"/>
      <c r="H388" s="563"/>
      <c r="I388" s="2000"/>
      <c r="J388" s="563"/>
      <c r="K388" s="384"/>
      <c r="L388" s="1901"/>
      <c r="M388" s="1999"/>
      <c r="N388" s="1999"/>
      <c r="O388" s="1999"/>
      <c r="P388" s="2002"/>
      <c r="Q388" s="2002"/>
      <c r="R388" s="482"/>
      <c r="S388" s="482"/>
      <c r="T388" s="482"/>
      <c r="U388" s="482"/>
      <c r="V388" s="384"/>
      <c r="W388" s="563"/>
      <c r="Y388" s="563"/>
      <c r="AA388" s="384"/>
      <c r="AB388" s="384"/>
      <c r="AC388" s="384"/>
      <c r="AD388" s="384"/>
      <c r="AE388" s="384"/>
      <c r="AF388" s="384"/>
      <c r="AG388" s="384"/>
      <c r="AH388" s="384"/>
      <c r="AI388" s="384"/>
      <c r="AJ388" s="384"/>
      <c r="AK388" s="384"/>
      <c r="AL388" s="384"/>
      <c r="AM388" s="384"/>
    </row>
    <row r="389" spans="1:39" ht="15.75" customHeight="1">
      <c r="A389" s="563"/>
      <c r="B389" s="384"/>
      <c r="C389" s="563"/>
      <c r="D389" s="1997"/>
      <c r="E389" s="1998"/>
      <c r="F389" s="1954"/>
      <c r="G389" s="563"/>
      <c r="H389" s="563"/>
      <c r="I389" s="2000"/>
      <c r="J389" s="563"/>
      <c r="K389" s="384"/>
      <c r="L389" s="1901"/>
      <c r="M389" s="1999"/>
      <c r="N389" s="1999"/>
      <c r="O389" s="1999"/>
      <c r="P389" s="2002"/>
      <c r="Q389" s="2002"/>
      <c r="R389" s="482"/>
      <c r="S389" s="482"/>
      <c r="T389" s="482"/>
      <c r="U389" s="482"/>
      <c r="V389" s="384"/>
      <c r="W389" s="563"/>
      <c r="Y389" s="563"/>
      <c r="AA389" s="384"/>
      <c r="AB389" s="384"/>
      <c r="AC389" s="384"/>
      <c r="AD389" s="384"/>
      <c r="AE389" s="384"/>
      <c r="AF389" s="384"/>
      <c r="AG389" s="384"/>
      <c r="AH389" s="384"/>
      <c r="AI389" s="384"/>
      <c r="AJ389" s="384"/>
      <c r="AK389" s="384"/>
      <c r="AL389" s="384"/>
      <c r="AM389" s="384"/>
    </row>
    <row r="390" spans="1:39" ht="15.75" customHeight="1">
      <c r="A390" s="563"/>
      <c r="B390" s="384"/>
      <c r="C390" s="563"/>
      <c r="D390" s="1997"/>
      <c r="E390" s="1998"/>
      <c r="F390" s="1954"/>
      <c r="G390" s="563"/>
      <c r="H390" s="563"/>
      <c r="I390" s="2000"/>
      <c r="J390" s="563"/>
      <c r="K390" s="384"/>
      <c r="L390" s="1901"/>
      <c r="M390" s="1999"/>
      <c r="N390" s="1999"/>
      <c r="O390" s="1999"/>
      <c r="P390" s="2002"/>
      <c r="Q390" s="2002"/>
      <c r="R390" s="482"/>
      <c r="S390" s="482"/>
      <c r="T390" s="482"/>
      <c r="U390" s="482"/>
      <c r="V390" s="384"/>
      <c r="W390" s="563"/>
      <c r="Y390" s="563"/>
      <c r="AA390" s="384"/>
      <c r="AB390" s="384"/>
      <c r="AC390" s="384"/>
      <c r="AD390" s="384"/>
      <c r="AE390" s="384"/>
      <c r="AF390" s="384"/>
      <c r="AG390" s="384"/>
      <c r="AH390" s="384"/>
      <c r="AI390" s="384"/>
      <c r="AJ390" s="384"/>
      <c r="AK390" s="384"/>
      <c r="AL390" s="384"/>
      <c r="AM390" s="384"/>
    </row>
    <row r="391" spans="1:39" ht="15.75" customHeight="1">
      <c r="A391" s="563"/>
      <c r="B391" s="384"/>
      <c r="C391" s="563"/>
      <c r="D391" s="1997"/>
      <c r="E391" s="1998"/>
      <c r="F391" s="1954"/>
      <c r="G391" s="563"/>
      <c r="H391" s="563"/>
      <c r="I391" s="2000"/>
      <c r="J391" s="563"/>
      <c r="K391" s="384"/>
      <c r="L391" s="1901"/>
      <c r="M391" s="1999"/>
      <c r="N391" s="1999"/>
      <c r="O391" s="1999"/>
      <c r="P391" s="2002"/>
      <c r="Q391" s="2002"/>
      <c r="R391" s="482"/>
      <c r="S391" s="482"/>
      <c r="T391" s="482"/>
      <c r="U391" s="482"/>
      <c r="V391" s="384"/>
      <c r="W391" s="563"/>
      <c r="Y391" s="563"/>
      <c r="AA391" s="384"/>
      <c r="AB391" s="384"/>
      <c r="AC391" s="384"/>
      <c r="AD391" s="384"/>
      <c r="AE391" s="384"/>
      <c r="AF391" s="384"/>
      <c r="AG391" s="384"/>
      <c r="AH391" s="384"/>
      <c r="AI391" s="384"/>
      <c r="AJ391" s="384"/>
      <c r="AK391" s="384"/>
      <c r="AL391" s="384"/>
      <c r="AM391" s="384"/>
    </row>
    <row r="392" spans="1:39" ht="15.75" customHeight="1">
      <c r="A392" s="563"/>
      <c r="B392" s="384"/>
      <c r="C392" s="563"/>
      <c r="D392" s="1997"/>
      <c r="E392" s="1998"/>
      <c r="F392" s="1954"/>
      <c r="G392" s="563"/>
      <c r="H392" s="563"/>
      <c r="I392" s="2000"/>
      <c r="J392" s="563"/>
      <c r="K392" s="384"/>
      <c r="L392" s="1901"/>
      <c r="M392" s="1999"/>
      <c r="N392" s="1999"/>
      <c r="O392" s="1999"/>
      <c r="P392" s="2002"/>
      <c r="Q392" s="2002"/>
      <c r="R392" s="482"/>
      <c r="S392" s="482"/>
      <c r="T392" s="482"/>
      <c r="U392" s="482"/>
      <c r="V392" s="384"/>
      <c r="W392" s="563"/>
      <c r="Y392" s="563"/>
      <c r="AA392" s="384"/>
      <c r="AB392" s="384"/>
      <c r="AC392" s="384"/>
      <c r="AD392" s="384"/>
      <c r="AE392" s="384"/>
      <c r="AF392" s="384"/>
      <c r="AG392" s="384"/>
      <c r="AH392" s="384"/>
      <c r="AI392" s="384"/>
      <c r="AJ392" s="384"/>
      <c r="AK392" s="384"/>
      <c r="AL392" s="384"/>
      <c r="AM392" s="384"/>
    </row>
    <row r="393" spans="1:39" ht="15.75" customHeight="1">
      <c r="A393" s="563"/>
      <c r="B393" s="384"/>
      <c r="C393" s="563"/>
      <c r="D393" s="1997"/>
      <c r="E393" s="1998"/>
      <c r="F393" s="1954"/>
      <c r="G393" s="563"/>
      <c r="H393" s="563"/>
      <c r="I393" s="2000"/>
      <c r="J393" s="563"/>
      <c r="K393" s="384"/>
      <c r="L393" s="1901"/>
      <c r="M393" s="1999"/>
      <c r="N393" s="1999"/>
      <c r="O393" s="1999"/>
      <c r="P393" s="2002"/>
      <c r="Q393" s="2002"/>
      <c r="R393" s="482"/>
      <c r="S393" s="482"/>
      <c r="T393" s="482"/>
      <c r="U393" s="482"/>
      <c r="V393" s="384"/>
      <c r="W393" s="563"/>
      <c r="Y393" s="563"/>
      <c r="AA393" s="384"/>
      <c r="AB393" s="384"/>
      <c r="AC393" s="384"/>
      <c r="AD393" s="384"/>
      <c r="AE393" s="384"/>
      <c r="AF393" s="384"/>
      <c r="AG393" s="384"/>
      <c r="AH393" s="384"/>
      <c r="AI393" s="384"/>
      <c r="AJ393" s="384"/>
      <c r="AK393" s="384"/>
      <c r="AL393" s="384"/>
      <c r="AM393" s="384"/>
    </row>
    <row r="394" spans="1:39" ht="15.75" customHeight="1">
      <c r="A394" s="563"/>
      <c r="B394" s="384"/>
      <c r="C394" s="563"/>
      <c r="D394" s="1997"/>
      <c r="E394" s="1998"/>
      <c r="F394" s="1954"/>
      <c r="G394" s="563"/>
      <c r="H394" s="563"/>
      <c r="I394" s="2000"/>
      <c r="J394" s="563"/>
      <c r="K394" s="384"/>
      <c r="L394" s="1901"/>
      <c r="M394" s="1999"/>
      <c r="N394" s="1999"/>
      <c r="O394" s="1999"/>
      <c r="P394" s="2002"/>
      <c r="Q394" s="2002"/>
      <c r="R394" s="482"/>
      <c r="S394" s="482"/>
      <c r="T394" s="482"/>
      <c r="U394" s="482"/>
      <c r="V394" s="384"/>
      <c r="W394" s="563"/>
      <c r="Y394" s="563"/>
      <c r="AA394" s="384"/>
      <c r="AB394" s="384"/>
      <c r="AC394" s="384"/>
      <c r="AD394" s="384"/>
      <c r="AE394" s="384"/>
      <c r="AF394" s="384"/>
      <c r="AG394" s="384"/>
      <c r="AH394" s="384"/>
      <c r="AI394" s="384"/>
      <c r="AJ394" s="384"/>
      <c r="AK394" s="384"/>
      <c r="AL394" s="384"/>
      <c r="AM394" s="384"/>
    </row>
    <row r="395" spans="1:39" ht="15.75" customHeight="1">
      <c r="A395" s="563"/>
      <c r="B395" s="384"/>
      <c r="C395" s="563"/>
      <c r="D395" s="1997"/>
      <c r="E395" s="1998"/>
      <c r="F395" s="1954"/>
      <c r="G395" s="563"/>
      <c r="H395" s="563"/>
      <c r="I395" s="2000"/>
      <c r="J395" s="563"/>
      <c r="K395" s="384"/>
      <c r="L395" s="1901"/>
      <c r="M395" s="1999"/>
      <c r="N395" s="1999"/>
      <c r="O395" s="1999"/>
      <c r="P395" s="2002"/>
      <c r="Q395" s="2002"/>
      <c r="R395" s="482"/>
      <c r="S395" s="482"/>
      <c r="T395" s="482"/>
      <c r="U395" s="482"/>
      <c r="V395" s="384"/>
      <c r="W395" s="563"/>
      <c r="Y395" s="563"/>
      <c r="AA395" s="384"/>
      <c r="AB395" s="384"/>
      <c r="AC395" s="384"/>
      <c r="AD395" s="384"/>
      <c r="AE395" s="384"/>
      <c r="AF395" s="384"/>
      <c r="AG395" s="384"/>
      <c r="AH395" s="384"/>
      <c r="AI395" s="384"/>
      <c r="AJ395" s="384"/>
      <c r="AK395" s="384"/>
      <c r="AL395" s="384"/>
      <c r="AM395" s="384"/>
    </row>
    <row r="396" spans="1:39" ht="15.75" customHeight="1">
      <c r="A396" s="563"/>
      <c r="B396" s="384"/>
      <c r="C396" s="563"/>
      <c r="D396" s="1997"/>
      <c r="E396" s="1998"/>
      <c r="F396" s="1954"/>
      <c r="G396" s="563"/>
      <c r="H396" s="563"/>
      <c r="I396" s="2000"/>
      <c r="J396" s="563"/>
      <c r="K396" s="384"/>
      <c r="L396" s="1901"/>
      <c r="M396" s="1999"/>
      <c r="N396" s="1999"/>
      <c r="O396" s="1999"/>
      <c r="P396" s="2002"/>
      <c r="Q396" s="2002"/>
      <c r="R396" s="482"/>
      <c r="S396" s="482"/>
      <c r="T396" s="482"/>
      <c r="U396" s="482"/>
      <c r="V396" s="384"/>
      <c r="W396" s="563"/>
      <c r="Y396" s="563"/>
      <c r="AA396" s="384"/>
      <c r="AB396" s="384"/>
      <c r="AC396" s="384"/>
      <c r="AD396" s="384"/>
      <c r="AE396" s="384"/>
      <c r="AF396" s="384"/>
      <c r="AG396" s="384"/>
      <c r="AH396" s="384"/>
      <c r="AI396" s="384"/>
      <c r="AJ396" s="384"/>
      <c r="AK396" s="384"/>
      <c r="AL396" s="384"/>
      <c r="AM396" s="384"/>
    </row>
    <row r="397" spans="1:39" ht="15.75" customHeight="1">
      <c r="A397" s="563"/>
      <c r="B397" s="384"/>
      <c r="C397" s="563"/>
      <c r="D397" s="1997"/>
      <c r="E397" s="1998"/>
      <c r="F397" s="1954"/>
      <c r="G397" s="563"/>
      <c r="H397" s="563"/>
      <c r="I397" s="2000"/>
      <c r="J397" s="563"/>
      <c r="K397" s="384"/>
      <c r="L397" s="1901"/>
      <c r="M397" s="1999"/>
      <c r="N397" s="1999"/>
      <c r="O397" s="1999"/>
      <c r="P397" s="2002"/>
      <c r="Q397" s="2002"/>
      <c r="R397" s="482"/>
      <c r="S397" s="482"/>
      <c r="T397" s="482"/>
      <c r="U397" s="482"/>
      <c r="V397" s="384"/>
      <c r="W397" s="563"/>
      <c r="Y397" s="563"/>
      <c r="AA397" s="384"/>
      <c r="AB397" s="384"/>
      <c r="AC397" s="384"/>
      <c r="AD397" s="384"/>
      <c r="AE397" s="384"/>
      <c r="AF397" s="384"/>
      <c r="AG397" s="384"/>
      <c r="AH397" s="384"/>
      <c r="AI397" s="384"/>
      <c r="AJ397" s="384"/>
      <c r="AK397" s="384"/>
      <c r="AL397" s="384"/>
      <c r="AM397" s="384"/>
    </row>
    <row r="398" spans="1:39" ht="15.75" customHeight="1">
      <c r="A398" s="563"/>
      <c r="B398" s="384"/>
      <c r="C398" s="563"/>
      <c r="D398" s="1997"/>
      <c r="E398" s="1998"/>
      <c r="F398" s="1954"/>
      <c r="G398" s="563"/>
      <c r="H398" s="563"/>
      <c r="I398" s="2000"/>
      <c r="J398" s="563"/>
      <c r="K398" s="384"/>
      <c r="L398" s="1901"/>
      <c r="M398" s="1999"/>
      <c r="N398" s="1999"/>
      <c r="O398" s="1999"/>
      <c r="P398" s="2002"/>
      <c r="Q398" s="2002"/>
      <c r="R398" s="482"/>
      <c r="S398" s="482"/>
      <c r="T398" s="482"/>
      <c r="U398" s="482"/>
      <c r="V398" s="384"/>
      <c r="W398" s="563"/>
      <c r="Y398" s="563"/>
      <c r="AA398" s="384"/>
      <c r="AB398" s="384"/>
      <c r="AC398" s="384"/>
      <c r="AD398" s="384"/>
      <c r="AE398" s="384"/>
      <c r="AF398" s="384"/>
      <c r="AG398" s="384"/>
      <c r="AH398" s="384"/>
      <c r="AI398" s="384"/>
      <c r="AJ398" s="384"/>
      <c r="AK398" s="384"/>
      <c r="AL398" s="384"/>
      <c r="AM398" s="384"/>
    </row>
    <row r="399" spans="1:39" ht="15.75" customHeight="1">
      <c r="A399" s="563"/>
      <c r="B399" s="384"/>
      <c r="C399" s="563"/>
      <c r="D399" s="1997"/>
      <c r="E399" s="1998"/>
      <c r="F399" s="1954"/>
      <c r="G399" s="563"/>
      <c r="H399" s="563"/>
      <c r="I399" s="2000"/>
      <c r="J399" s="563"/>
      <c r="K399" s="384"/>
      <c r="L399" s="1901"/>
      <c r="M399" s="1999"/>
      <c r="N399" s="1999"/>
      <c r="O399" s="1999"/>
      <c r="P399" s="2002"/>
      <c r="Q399" s="2002"/>
      <c r="R399" s="482"/>
      <c r="S399" s="482"/>
      <c r="T399" s="482"/>
      <c r="U399" s="482"/>
      <c r="V399" s="384"/>
      <c r="W399" s="563"/>
      <c r="Y399" s="563"/>
      <c r="AA399" s="384"/>
      <c r="AB399" s="384"/>
      <c r="AC399" s="384"/>
      <c r="AD399" s="384"/>
      <c r="AE399" s="384"/>
      <c r="AF399" s="384"/>
      <c r="AG399" s="384"/>
      <c r="AH399" s="384"/>
      <c r="AI399" s="384"/>
      <c r="AJ399" s="384"/>
      <c r="AK399" s="384"/>
      <c r="AL399" s="384"/>
      <c r="AM399" s="384"/>
    </row>
    <row r="400" spans="1:39" ht="15.75" customHeight="1">
      <c r="A400" s="563"/>
      <c r="B400" s="384"/>
      <c r="C400" s="563"/>
      <c r="D400" s="1997"/>
      <c r="E400" s="1998"/>
      <c r="F400" s="1954"/>
      <c r="G400" s="563"/>
      <c r="H400" s="563"/>
      <c r="I400" s="2000"/>
      <c r="J400" s="563"/>
      <c r="K400" s="384"/>
      <c r="L400" s="1901"/>
      <c r="M400" s="1999"/>
      <c r="N400" s="1999"/>
      <c r="O400" s="1999"/>
      <c r="P400" s="2002"/>
      <c r="Q400" s="2002"/>
      <c r="R400" s="482"/>
      <c r="S400" s="482"/>
      <c r="T400" s="482"/>
      <c r="U400" s="482"/>
      <c r="V400" s="384"/>
      <c r="W400" s="563"/>
      <c r="Y400" s="563"/>
      <c r="AA400" s="384"/>
      <c r="AB400" s="384"/>
      <c r="AC400" s="384"/>
      <c r="AD400" s="384"/>
      <c r="AE400" s="384"/>
      <c r="AF400" s="384"/>
      <c r="AG400" s="384"/>
      <c r="AH400" s="384"/>
      <c r="AI400" s="384"/>
      <c r="AJ400" s="384"/>
      <c r="AK400" s="384"/>
      <c r="AL400" s="384"/>
      <c r="AM400" s="384"/>
    </row>
    <row r="401" spans="1:39" ht="15.75" customHeight="1">
      <c r="A401" s="563"/>
      <c r="B401" s="384"/>
      <c r="C401" s="563"/>
      <c r="D401" s="1997"/>
      <c r="E401" s="1998"/>
      <c r="F401" s="1954"/>
      <c r="G401" s="563"/>
      <c r="H401" s="563"/>
      <c r="I401" s="2000"/>
      <c r="J401" s="563"/>
      <c r="K401" s="384"/>
      <c r="L401" s="1901"/>
      <c r="M401" s="1999"/>
      <c r="N401" s="1999"/>
      <c r="O401" s="1999"/>
      <c r="P401" s="2002"/>
      <c r="Q401" s="2002"/>
      <c r="R401" s="482"/>
      <c r="S401" s="482"/>
      <c r="T401" s="482"/>
      <c r="U401" s="482"/>
      <c r="V401" s="384"/>
      <c r="W401" s="563"/>
      <c r="Y401" s="563"/>
      <c r="AA401" s="384"/>
      <c r="AB401" s="384"/>
      <c r="AC401" s="384"/>
      <c r="AD401" s="384"/>
      <c r="AE401" s="384"/>
      <c r="AF401" s="384"/>
      <c r="AG401" s="384"/>
      <c r="AH401" s="384"/>
      <c r="AI401" s="384"/>
      <c r="AJ401" s="384"/>
      <c r="AK401" s="384"/>
      <c r="AL401" s="384"/>
      <c r="AM401" s="384"/>
    </row>
    <row r="402" spans="1:39" ht="15.75" customHeight="1">
      <c r="A402" s="563"/>
      <c r="B402" s="384"/>
      <c r="C402" s="563"/>
      <c r="D402" s="1997"/>
      <c r="E402" s="1998"/>
      <c r="F402" s="1954"/>
      <c r="G402" s="563"/>
      <c r="H402" s="563"/>
      <c r="I402" s="2000"/>
      <c r="J402" s="563"/>
      <c r="K402" s="384"/>
      <c r="L402" s="1901"/>
      <c r="M402" s="1999"/>
      <c r="N402" s="1999"/>
      <c r="O402" s="1999"/>
      <c r="P402" s="2002"/>
      <c r="Q402" s="2002"/>
      <c r="R402" s="482"/>
      <c r="S402" s="482"/>
      <c r="T402" s="482"/>
      <c r="U402" s="482"/>
      <c r="V402" s="384"/>
      <c r="W402" s="563"/>
      <c r="Y402" s="563"/>
      <c r="AA402" s="384"/>
      <c r="AB402" s="384"/>
      <c r="AC402" s="384"/>
      <c r="AD402" s="384"/>
      <c r="AE402" s="384"/>
      <c r="AF402" s="384"/>
      <c r="AG402" s="384"/>
      <c r="AH402" s="384"/>
      <c r="AI402" s="384"/>
      <c r="AJ402" s="384"/>
      <c r="AK402" s="384"/>
      <c r="AL402" s="384"/>
      <c r="AM402" s="384"/>
    </row>
    <row r="403" spans="1:39" ht="15.75" customHeight="1">
      <c r="A403" s="563"/>
      <c r="B403" s="384"/>
      <c r="C403" s="563"/>
      <c r="D403" s="1997"/>
      <c r="E403" s="1998"/>
      <c r="F403" s="1954"/>
      <c r="G403" s="563"/>
      <c r="H403" s="563"/>
      <c r="I403" s="2000"/>
      <c r="J403" s="563"/>
      <c r="K403" s="384"/>
      <c r="L403" s="1901"/>
      <c r="M403" s="1999"/>
      <c r="N403" s="1999"/>
      <c r="O403" s="1999"/>
      <c r="P403" s="2002"/>
      <c r="Q403" s="2002"/>
      <c r="R403" s="482"/>
      <c r="S403" s="482"/>
      <c r="T403" s="482"/>
      <c r="U403" s="482"/>
      <c r="V403" s="384"/>
      <c r="W403" s="563"/>
      <c r="Y403" s="563"/>
      <c r="AA403" s="384"/>
      <c r="AB403" s="384"/>
      <c r="AC403" s="384"/>
      <c r="AD403" s="384"/>
      <c r="AE403" s="384"/>
      <c r="AF403" s="384"/>
      <c r="AG403" s="384"/>
      <c r="AH403" s="384"/>
      <c r="AI403" s="384"/>
      <c r="AJ403" s="384"/>
      <c r="AK403" s="384"/>
      <c r="AL403" s="384"/>
      <c r="AM403" s="384"/>
    </row>
    <row r="404" spans="1:39" ht="15.75" customHeight="1">
      <c r="A404" s="563"/>
      <c r="B404" s="384"/>
      <c r="C404" s="563"/>
      <c r="D404" s="1997"/>
      <c r="E404" s="1998"/>
      <c r="F404" s="1954"/>
      <c r="G404" s="563"/>
      <c r="H404" s="563"/>
      <c r="I404" s="2000"/>
      <c r="J404" s="563"/>
      <c r="K404" s="384"/>
      <c r="L404" s="1901"/>
      <c r="M404" s="1999"/>
      <c r="N404" s="1999"/>
      <c r="O404" s="1999"/>
      <c r="P404" s="2002"/>
      <c r="Q404" s="2002"/>
      <c r="R404" s="482"/>
      <c r="S404" s="482"/>
      <c r="T404" s="482"/>
      <c r="U404" s="482"/>
      <c r="V404" s="384"/>
      <c r="W404" s="563"/>
      <c r="Y404" s="563"/>
      <c r="AA404" s="384"/>
      <c r="AB404" s="384"/>
      <c r="AC404" s="384"/>
      <c r="AD404" s="384"/>
      <c r="AE404" s="384"/>
      <c r="AF404" s="384"/>
      <c r="AG404" s="384"/>
      <c r="AH404" s="384"/>
      <c r="AI404" s="384"/>
      <c r="AJ404" s="384"/>
      <c r="AK404" s="384"/>
      <c r="AL404" s="384"/>
      <c r="AM404" s="384"/>
    </row>
    <row r="405" spans="1:39" ht="15.75" customHeight="1">
      <c r="A405" s="563"/>
      <c r="B405" s="384"/>
      <c r="C405" s="563"/>
      <c r="D405" s="1997"/>
      <c r="E405" s="1998"/>
      <c r="F405" s="1954"/>
      <c r="G405" s="563"/>
      <c r="H405" s="563"/>
      <c r="I405" s="2000"/>
      <c r="J405" s="563"/>
      <c r="K405" s="384"/>
      <c r="L405" s="1901"/>
      <c r="M405" s="1999"/>
      <c r="N405" s="1999"/>
      <c r="O405" s="1999"/>
      <c r="P405" s="2002"/>
      <c r="Q405" s="2002"/>
      <c r="R405" s="482"/>
      <c r="S405" s="482"/>
      <c r="T405" s="482"/>
      <c r="U405" s="482"/>
      <c r="V405" s="384"/>
      <c r="W405" s="563"/>
      <c r="Y405" s="563"/>
      <c r="AA405" s="384"/>
      <c r="AB405" s="384"/>
      <c r="AC405" s="384"/>
      <c r="AD405" s="384"/>
      <c r="AE405" s="384"/>
      <c r="AF405" s="384"/>
      <c r="AG405" s="384"/>
      <c r="AH405" s="384"/>
      <c r="AI405" s="384"/>
      <c r="AJ405" s="384"/>
      <c r="AK405" s="384"/>
      <c r="AL405" s="384"/>
      <c r="AM405" s="384"/>
    </row>
    <row r="406" spans="1:39" ht="15.75" customHeight="1">
      <c r="A406" s="563"/>
      <c r="B406" s="384"/>
      <c r="C406" s="563"/>
      <c r="D406" s="1997"/>
      <c r="E406" s="1998"/>
      <c r="F406" s="1954"/>
      <c r="G406" s="563"/>
      <c r="H406" s="563"/>
      <c r="I406" s="2000"/>
      <c r="J406" s="563"/>
      <c r="K406" s="384"/>
      <c r="L406" s="1901"/>
      <c r="M406" s="1999"/>
      <c r="N406" s="1999"/>
      <c r="O406" s="1999"/>
      <c r="P406" s="2002"/>
      <c r="Q406" s="2002"/>
      <c r="R406" s="482"/>
      <c r="S406" s="482"/>
      <c r="T406" s="482"/>
      <c r="U406" s="482"/>
      <c r="V406" s="384"/>
      <c r="W406" s="563"/>
      <c r="Y406" s="563"/>
      <c r="AA406" s="384"/>
      <c r="AB406" s="384"/>
      <c r="AC406" s="384"/>
      <c r="AD406" s="384"/>
      <c r="AE406" s="384"/>
      <c r="AF406" s="384"/>
      <c r="AG406" s="384"/>
      <c r="AH406" s="384"/>
      <c r="AI406" s="384"/>
      <c r="AJ406" s="384"/>
      <c r="AK406" s="384"/>
      <c r="AL406" s="384"/>
      <c r="AM406" s="384"/>
    </row>
    <row r="407" spans="1:39" ht="15.75" customHeight="1">
      <c r="A407" s="563"/>
      <c r="B407" s="384"/>
      <c r="C407" s="563"/>
      <c r="D407" s="1997"/>
      <c r="E407" s="1998"/>
      <c r="F407" s="1954"/>
      <c r="G407" s="563"/>
      <c r="H407" s="563"/>
      <c r="I407" s="2000"/>
      <c r="J407" s="563"/>
      <c r="K407" s="384"/>
      <c r="L407" s="1901"/>
      <c r="M407" s="1999"/>
      <c r="N407" s="1999"/>
      <c r="O407" s="1999"/>
      <c r="P407" s="2002"/>
      <c r="Q407" s="2002"/>
      <c r="R407" s="482"/>
      <c r="S407" s="482"/>
      <c r="T407" s="482"/>
      <c r="U407" s="482"/>
      <c r="V407" s="384"/>
      <c r="W407" s="563"/>
      <c r="Y407" s="563"/>
      <c r="AA407" s="384"/>
      <c r="AB407" s="384"/>
      <c r="AC407" s="384"/>
      <c r="AD407" s="384"/>
      <c r="AE407" s="384"/>
      <c r="AF407" s="384"/>
      <c r="AG407" s="384"/>
      <c r="AH407" s="384"/>
      <c r="AI407" s="384"/>
      <c r="AJ407" s="384"/>
      <c r="AK407" s="384"/>
      <c r="AL407" s="384"/>
      <c r="AM407" s="384"/>
    </row>
    <row r="408" spans="1:39" ht="15.75" customHeight="1">
      <c r="A408" s="563"/>
      <c r="B408" s="384"/>
      <c r="C408" s="563"/>
      <c r="D408" s="1997"/>
      <c r="E408" s="1998"/>
      <c r="F408" s="1954"/>
      <c r="G408" s="563"/>
      <c r="H408" s="563"/>
      <c r="I408" s="2000"/>
      <c r="J408" s="563"/>
      <c r="K408" s="384"/>
      <c r="L408" s="1901"/>
      <c r="M408" s="1999"/>
      <c r="N408" s="1999"/>
      <c r="O408" s="1999"/>
      <c r="P408" s="2002"/>
      <c r="Q408" s="2002"/>
      <c r="R408" s="482"/>
      <c r="S408" s="482"/>
      <c r="T408" s="482"/>
      <c r="U408" s="482"/>
      <c r="V408" s="384"/>
      <c r="W408" s="563"/>
      <c r="Y408" s="563"/>
      <c r="AA408" s="384"/>
      <c r="AB408" s="384"/>
      <c r="AC408" s="384"/>
      <c r="AD408" s="384"/>
      <c r="AE408" s="384"/>
      <c r="AF408" s="384"/>
      <c r="AG408" s="384"/>
      <c r="AH408" s="384"/>
      <c r="AI408" s="384"/>
      <c r="AJ408" s="384"/>
      <c r="AK408" s="384"/>
      <c r="AL408" s="384"/>
      <c r="AM408" s="384"/>
    </row>
    <row r="409" spans="1:39" ht="15.75" customHeight="1">
      <c r="A409" s="563"/>
      <c r="B409" s="384"/>
      <c r="C409" s="563"/>
      <c r="D409" s="1997"/>
      <c r="E409" s="1998"/>
      <c r="F409" s="1954"/>
      <c r="G409" s="563"/>
      <c r="H409" s="563"/>
      <c r="I409" s="2000"/>
      <c r="J409" s="563"/>
      <c r="K409" s="384"/>
      <c r="L409" s="1901"/>
      <c r="M409" s="1999"/>
      <c r="N409" s="1999"/>
      <c r="O409" s="1999"/>
      <c r="P409" s="2002"/>
      <c r="Q409" s="2002"/>
      <c r="R409" s="482"/>
      <c r="S409" s="482"/>
      <c r="T409" s="482"/>
      <c r="U409" s="482"/>
      <c r="V409" s="384"/>
      <c r="W409" s="563"/>
      <c r="Y409" s="563"/>
      <c r="AA409" s="384"/>
      <c r="AB409" s="384"/>
      <c r="AC409" s="384"/>
      <c r="AD409" s="384"/>
      <c r="AE409" s="384"/>
      <c r="AF409" s="384"/>
      <c r="AG409" s="384"/>
      <c r="AH409" s="384"/>
      <c r="AI409" s="384"/>
      <c r="AJ409" s="384"/>
      <c r="AK409" s="384"/>
      <c r="AL409" s="384"/>
      <c r="AM409" s="384"/>
    </row>
    <row r="410" spans="1:39" ht="15.75" customHeight="1">
      <c r="A410" s="563"/>
      <c r="B410" s="384"/>
      <c r="C410" s="563"/>
      <c r="D410" s="1997"/>
      <c r="E410" s="1998"/>
      <c r="F410" s="1954"/>
      <c r="G410" s="563"/>
      <c r="H410" s="563"/>
      <c r="I410" s="2000"/>
      <c r="J410" s="563"/>
      <c r="K410" s="384"/>
      <c r="L410" s="1901"/>
      <c r="M410" s="1999"/>
      <c r="N410" s="1999"/>
      <c r="O410" s="1999"/>
      <c r="P410" s="2002"/>
      <c r="Q410" s="2002"/>
      <c r="R410" s="482"/>
      <c r="S410" s="482"/>
      <c r="T410" s="482"/>
      <c r="U410" s="482"/>
      <c r="V410" s="384"/>
      <c r="W410" s="563"/>
      <c r="Y410" s="563"/>
      <c r="AA410" s="384"/>
      <c r="AB410" s="384"/>
      <c r="AC410" s="384"/>
      <c r="AD410" s="384"/>
      <c r="AE410" s="384"/>
      <c r="AF410" s="384"/>
      <c r="AG410" s="384"/>
      <c r="AH410" s="384"/>
      <c r="AI410" s="384"/>
      <c r="AJ410" s="384"/>
      <c r="AK410" s="384"/>
      <c r="AL410" s="384"/>
      <c r="AM410" s="384"/>
    </row>
    <row r="411" spans="1:39" ht="15.75" customHeight="1">
      <c r="A411" s="563"/>
      <c r="B411" s="384"/>
      <c r="C411" s="563"/>
      <c r="D411" s="1997"/>
      <c r="E411" s="1998"/>
      <c r="F411" s="1954"/>
      <c r="G411" s="563"/>
      <c r="H411" s="563"/>
      <c r="I411" s="2000"/>
      <c r="J411" s="563"/>
      <c r="K411" s="384"/>
      <c r="L411" s="1901"/>
      <c r="M411" s="1999"/>
      <c r="N411" s="1999"/>
      <c r="O411" s="1999"/>
      <c r="P411" s="2002"/>
      <c r="Q411" s="2002"/>
      <c r="R411" s="482"/>
      <c r="S411" s="482"/>
      <c r="T411" s="482"/>
      <c r="U411" s="482"/>
      <c r="V411" s="384"/>
      <c r="W411" s="563"/>
      <c r="Y411" s="563"/>
      <c r="AA411" s="384"/>
      <c r="AB411" s="384"/>
      <c r="AC411" s="384"/>
      <c r="AD411" s="384"/>
      <c r="AE411" s="384"/>
      <c r="AF411" s="384"/>
      <c r="AG411" s="384"/>
      <c r="AH411" s="384"/>
      <c r="AI411" s="384"/>
      <c r="AJ411" s="384"/>
      <c r="AK411" s="384"/>
      <c r="AL411" s="384"/>
      <c r="AM411" s="384"/>
    </row>
    <row r="412" spans="1:39" ht="15.75" customHeight="1">
      <c r="A412" s="563"/>
      <c r="B412" s="384"/>
      <c r="C412" s="563"/>
      <c r="D412" s="1997"/>
      <c r="E412" s="1998"/>
      <c r="F412" s="1954"/>
      <c r="G412" s="563"/>
      <c r="H412" s="563"/>
      <c r="I412" s="2000"/>
      <c r="J412" s="563"/>
      <c r="K412" s="384"/>
      <c r="L412" s="1901"/>
      <c r="M412" s="1999"/>
      <c r="N412" s="1999"/>
      <c r="O412" s="1999"/>
      <c r="P412" s="2002"/>
      <c r="Q412" s="2002"/>
      <c r="R412" s="482"/>
      <c r="S412" s="482"/>
      <c r="T412" s="482"/>
      <c r="U412" s="482"/>
      <c r="V412" s="384"/>
      <c r="W412" s="563"/>
      <c r="Y412" s="563"/>
      <c r="AA412" s="384"/>
      <c r="AB412" s="384"/>
      <c r="AC412" s="384"/>
      <c r="AD412" s="384"/>
      <c r="AE412" s="384"/>
      <c r="AF412" s="384"/>
      <c r="AG412" s="384"/>
      <c r="AH412" s="384"/>
      <c r="AI412" s="384"/>
      <c r="AJ412" s="384"/>
      <c r="AK412" s="384"/>
      <c r="AL412" s="384"/>
      <c r="AM412" s="384"/>
    </row>
    <row r="413" spans="1:39" ht="15.75" customHeight="1">
      <c r="A413" s="563"/>
      <c r="B413" s="384"/>
      <c r="C413" s="563"/>
      <c r="D413" s="1997"/>
      <c r="E413" s="1998"/>
      <c r="F413" s="1954"/>
      <c r="G413" s="563"/>
      <c r="H413" s="563"/>
      <c r="I413" s="2000"/>
      <c r="J413" s="563"/>
      <c r="K413" s="384"/>
      <c r="L413" s="1901"/>
      <c r="M413" s="1999"/>
      <c r="N413" s="1999"/>
      <c r="O413" s="1999"/>
      <c r="P413" s="2002"/>
      <c r="Q413" s="2002"/>
      <c r="R413" s="482"/>
      <c r="S413" s="482"/>
      <c r="T413" s="482"/>
      <c r="U413" s="482"/>
      <c r="V413" s="384"/>
      <c r="W413" s="563"/>
      <c r="Y413" s="563"/>
      <c r="AA413" s="384"/>
      <c r="AB413" s="384"/>
      <c r="AC413" s="384"/>
      <c r="AD413" s="384"/>
      <c r="AE413" s="384"/>
      <c r="AF413" s="384"/>
      <c r="AG413" s="384"/>
      <c r="AH413" s="384"/>
      <c r="AI413" s="384"/>
      <c r="AJ413" s="384"/>
      <c r="AK413" s="384"/>
      <c r="AL413" s="384"/>
      <c r="AM413" s="384"/>
    </row>
    <row r="414" spans="1:39" ht="15.75" customHeight="1">
      <c r="A414" s="563"/>
      <c r="B414" s="384"/>
      <c r="C414" s="563"/>
      <c r="D414" s="1997"/>
      <c r="E414" s="1998"/>
      <c r="F414" s="1954"/>
      <c r="G414" s="563"/>
      <c r="H414" s="563"/>
      <c r="I414" s="2000"/>
      <c r="J414" s="563"/>
      <c r="K414" s="384"/>
      <c r="L414" s="1901"/>
      <c r="M414" s="1999"/>
      <c r="N414" s="1999"/>
      <c r="O414" s="1999"/>
      <c r="P414" s="2002"/>
      <c r="Q414" s="2002"/>
      <c r="R414" s="482"/>
      <c r="S414" s="482"/>
      <c r="T414" s="482"/>
      <c r="U414" s="482"/>
      <c r="V414" s="384"/>
      <c r="W414" s="563"/>
      <c r="Y414" s="563"/>
      <c r="AA414" s="384"/>
      <c r="AB414" s="384"/>
      <c r="AC414" s="384"/>
      <c r="AD414" s="384"/>
      <c r="AE414" s="384"/>
      <c r="AF414" s="384"/>
      <c r="AG414" s="384"/>
      <c r="AH414" s="384"/>
      <c r="AI414" s="384"/>
      <c r="AJ414" s="384"/>
      <c r="AK414" s="384"/>
      <c r="AL414" s="384"/>
      <c r="AM414" s="384"/>
    </row>
    <row r="415" spans="1:39" ht="15.75" customHeight="1">
      <c r="A415" s="563"/>
      <c r="B415" s="384"/>
      <c r="C415" s="563"/>
      <c r="D415" s="1997"/>
      <c r="E415" s="1998"/>
      <c r="F415" s="1954"/>
      <c r="G415" s="563"/>
      <c r="H415" s="563"/>
      <c r="I415" s="2000"/>
      <c r="J415" s="563"/>
      <c r="K415" s="384"/>
      <c r="L415" s="1901"/>
      <c r="M415" s="1999"/>
      <c r="N415" s="1999"/>
      <c r="O415" s="1999"/>
      <c r="P415" s="2002"/>
      <c r="Q415" s="2002"/>
      <c r="R415" s="482"/>
      <c r="S415" s="482"/>
      <c r="T415" s="482"/>
      <c r="U415" s="482"/>
      <c r="V415" s="384"/>
      <c r="W415" s="563"/>
      <c r="Y415" s="563"/>
      <c r="AA415" s="384"/>
      <c r="AB415" s="384"/>
      <c r="AC415" s="384"/>
      <c r="AD415" s="384"/>
      <c r="AE415" s="384"/>
      <c r="AF415" s="384"/>
      <c r="AG415" s="384"/>
      <c r="AH415" s="384"/>
      <c r="AI415" s="384"/>
      <c r="AJ415" s="384"/>
      <c r="AK415" s="384"/>
      <c r="AL415" s="384"/>
      <c r="AM415" s="384"/>
    </row>
    <row r="416" spans="1:39" ht="15.75" customHeight="1">
      <c r="A416" s="563"/>
      <c r="B416" s="384"/>
      <c r="C416" s="563"/>
      <c r="D416" s="1997"/>
      <c r="E416" s="1998"/>
      <c r="F416" s="1954"/>
      <c r="G416" s="563"/>
      <c r="H416" s="563"/>
      <c r="I416" s="2000"/>
      <c r="J416" s="563"/>
      <c r="K416" s="384"/>
      <c r="L416" s="1901"/>
      <c r="M416" s="1999"/>
      <c r="N416" s="1999"/>
      <c r="O416" s="1999"/>
      <c r="P416" s="2002"/>
      <c r="Q416" s="2002"/>
      <c r="R416" s="482"/>
      <c r="S416" s="482"/>
      <c r="T416" s="482"/>
      <c r="U416" s="482"/>
      <c r="V416" s="384"/>
      <c r="W416" s="563"/>
      <c r="Y416" s="563"/>
      <c r="AA416" s="384"/>
      <c r="AB416" s="384"/>
      <c r="AC416" s="384"/>
      <c r="AD416" s="384"/>
      <c r="AE416" s="384"/>
      <c r="AF416" s="384"/>
      <c r="AG416" s="384"/>
      <c r="AH416" s="384"/>
      <c r="AI416" s="384"/>
      <c r="AJ416" s="384"/>
      <c r="AK416" s="384"/>
      <c r="AL416" s="384"/>
      <c r="AM416" s="384"/>
    </row>
    <row r="417" spans="1:39" ht="15.75" customHeight="1">
      <c r="A417" s="563"/>
      <c r="B417" s="384"/>
      <c r="C417" s="563"/>
      <c r="D417" s="1997"/>
      <c r="E417" s="1998"/>
      <c r="F417" s="1954"/>
      <c r="G417" s="563"/>
      <c r="H417" s="563"/>
      <c r="I417" s="2000"/>
      <c r="J417" s="563"/>
      <c r="K417" s="384"/>
      <c r="L417" s="1901"/>
      <c r="M417" s="1999"/>
      <c r="N417" s="1999"/>
      <c r="O417" s="1999"/>
      <c r="P417" s="2002"/>
      <c r="Q417" s="2002"/>
      <c r="R417" s="482"/>
      <c r="S417" s="482"/>
      <c r="T417" s="482"/>
      <c r="U417" s="482"/>
      <c r="V417" s="384"/>
      <c r="W417" s="563"/>
      <c r="Y417" s="563"/>
      <c r="AA417" s="384"/>
      <c r="AB417" s="384"/>
      <c r="AC417" s="384"/>
      <c r="AD417" s="384"/>
      <c r="AE417" s="384"/>
      <c r="AF417" s="384"/>
      <c r="AG417" s="384"/>
      <c r="AH417" s="384"/>
      <c r="AI417" s="384"/>
      <c r="AJ417" s="384"/>
      <c r="AK417" s="384"/>
      <c r="AL417" s="384"/>
      <c r="AM417" s="384"/>
    </row>
    <row r="418" spans="1:39" ht="15.75" customHeight="1">
      <c r="A418" s="563"/>
      <c r="B418" s="384"/>
      <c r="C418" s="563"/>
      <c r="D418" s="1997"/>
      <c r="E418" s="1998"/>
      <c r="F418" s="1954"/>
      <c r="G418" s="563"/>
      <c r="H418" s="563"/>
      <c r="I418" s="2000"/>
      <c r="J418" s="563"/>
      <c r="K418" s="384"/>
      <c r="L418" s="1901"/>
      <c r="M418" s="1999"/>
      <c r="N418" s="1999"/>
      <c r="O418" s="1999"/>
      <c r="P418" s="2002"/>
      <c r="Q418" s="2002"/>
      <c r="R418" s="482"/>
      <c r="S418" s="482"/>
      <c r="T418" s="482"/>
      <c r="U418" s="482"/>
      <c r="V418" s="384"/>
      <c r="W418" s="563"/>
      <c r="Y418" s="563"/>
      <c r="AA418" s="384"/>
      <c r="AB418" s="384"/>
      <c r="AC418" s="384"/>
      <c r="AD418" s="384"/>
      <c r="AE418" s="384"/>
      <c r="AF418" s="384"/>
      <c r="AG418" s="384"/>
      <c r="AH418" s="384"/>
      <c r="AI418" s="384"/>
      <c r="AJ418" s="384"/>
      <c r="AK418" s="384"/>
      <c r="AL418" s="384"/>
      <c r="AM418" s="384"/>
    </row>
    <row r="419" spans="1:39" ht="15.75" customHeight="1">
      <c r="A419" s="563"/>
      <c r="B419" s="384"/>
      <c r="C419" s="563"/>
      <c r="D419" s="1997"/>
      <c r="E419" s="1998"/>
      <c r="F419" s="1954"/>
      <c r="G419" s="563"/>
      <c r="H419" s="563"/>
      <c r="I419" s="2000"/>
      <c r="J419" s="563"/>
      <c r="K419" s="384"/>
      <c r="L419" s="1901"/>
      <c r="M419" s="1999"/>
      <c r="N419" s="1999"/>
      <c r="O419" s="1999"/>
      <c r="P419" s="2002"/>
      <c r="Q419" s="2002"/>
      <c r="R419" s="482"/>
      <c r="S419" s="482"/>
      <c r="T419" s="482"/>
      <c r="U419" s="482"/>
      <c r="V419" s="384"/>
      <c r="W419" s="563"/>
      <c r="Y419" s="563"/>
      <c r="AA419" s="384"/>
      <c r="AB419" s="384"/>
      <c r="AC419" s="384"/>
      <c r="AD419" s="384"/>
      <c r="AE419" s="384"/>
      <c r="AF419" s="384"/>
      <c r="AG419" s="384"/>
      <c r="AH419" s="384"/>
      <c r="AI419" s="384"/>
      <c r="AJ419" s="384"/>
      <c r="AK419" s="384"/>
      <c r="AL419" s="384"/>
      <c r="AM419" s="384"/>
    </row>
    <row r="420" spans="1:39" ht="15.75" customHeight="1">
      <c r="A420" s="563"/>
      <c r="B420" s="384"/>
      <c r="C420" s="563"/>
      <c r="D420" s="1997"/>
      <c r="E420" s="1998"/>
      <c r="F420" s="1954"/>
      <c r="G420" s="563"/>
      <c r="H420" s="563"/>
      <c r="I420" s="2000"/>
      <c r="J420" s="563"/>
      <c r="K420" s="384"/>
      <c r="L420" s="1901"/>
      <c r="M420" s="1999"/>
      <c r="N420" s="1999"/>
      <c r="O420" s="1999"/>
      <c r="P420" s="2002"/>
      <c r="Q420" s="2002"/>
      <c r="R420" s="482"/>
      <c r="S420" s="482"/>
      <c r="T420" s="482"/>
      <c r="U420" s="482"/>
      <c r="V420" s="384"/>
      <c r="W420" s="563"/>
      <c r="Y420" s="563"/>
      <c r="AA420" s="384"/>
      <c r="AB420" s="384"/>
      <c r="AC420" s="384"/>
      <c r="AD420" s="384"/>
      <c r="AE420" s="384"/>
      <c r="AF420" s="384"/>
      <c r="AG420" s="384"/>
      <c r="AH420" s="384"/>
      <c r="AI420" s="384"/>
      <c r="AJ420" s="384"/>
      <c r="AK420" s="384"/>
      <c r="AL420" s="384"/>
      <c r="AM420" s="384"/>
    </row>
    <row r="421" spans="1:39" ht="15.75" customHeight="1">
      <c r="A421" s="563"/>
      <c r="B421" s="384"/>
      <c r="C421" s="563"/>
      <c r="D421" s="1997"/>
      <c r="E421" s="1998"/>
      <c r="F421" s="1954"/>
      <c r="G421" s="563"/>
      <c r="H421" s="563"/>
      <c r="I421" s="2000"/>
      <c r="J421" s="563"/>
      <c r="K421" s="384"/>
      <c r="L421" s="1901"/>
      <c r="M421" s="1999"/>
      <c r="N421" s="1999"/>
      <c r="O421" s="1999"/>
      <c r="P421" s="2002"/>
      <c r="Q421" s="2002"/>
      <c r="R421" s="482"/>
      <c r="S421" s="482"/>
      <c r="T421" s="482"/>
      <c r="U421" s="482"/>
      <c r="V421" s="384"/>
      <c r="W421" s="563"/>
      <c r="Y421" s="563"/>
      <c r="AA421" s="384"/>
      <c r="AB421" s="384"/>
      <c r="AC421" s="384"/>
      <c r="AD421" s="384"/>
      <c r="AE421" s="384"/>
      <c r="AF421" s="384"/>
      <c r="AG421" s="384"/>
      <c r="AH421" s="384"/>
      <c r="AI421" s="384"/>
      <c r="AJ421" s="384"/>
      <c r="AK421" s="384"/>
      <c r="AL421" s="384"/>
      <c r="AM421" s="384"/>
    </row>
    <row r="422" spans="1:39" ht="15.75" customHeight="1">
      <c r="A422" s="563"/>
      <c r="B422" s="384"/>
      <c r="C422" s="563"/>
      <c r="D422" s="1997"/>
      <c r="E422" s="1998"/>
      <c r="F422" s="1954"/>
      <c r="G422" s="563"/>
      <c r="H422" s="563"/>
      <c r="I422" s="2000"/>
      <c r="J422" s="563"/>
      <c r="K422" s="384"/>
      <c r="L422" s="1901"/>
      <c r="M422" s="1999"/>
      <c r="N422" s="1999"/>
      <c r="O422" s="1999"/>
      <c r="P422" s="2002"/>
      <c r="Q422" s="2002"/>
      <c r="R422" s="482"/>
      <c r="S422" s="482"/>
      <c r="T422" s="482"/>
      <c r="U422" s="482"/>
      <c r="V422" s="384"/>
      <c r="W422" s="563"/>
      <c r="Y422" s="563"/>
      <c r="AA422" s="384"/>
      <c r="AB422" s="384"/>
      <c r="AC422" s="384"/>
      <c r="AD422" s="384"/>
      <c r="AE422" s="384"/>
      <c r="AF422" s="384"/>
      <c r="AG422" s="384"/>
      <c r="AH422" s="384"/>
      <c r="AI422" s="384"/>
      <c r="AJ422" s="384"/>
      <c r="AK422" s="384"/>
      <c r="AL422" s="384"/>
      <c r="AM422" s="384"/>
    </row>
    <row r="423" spans="1:39" ht="15.75" customHeight="1">
      <c r="A423" s="563"/>
      <c r="B423" s="384"/>
      <c r="C423" s="563"/>
      <c r="D423" s="1997"/>
      <c r="E423" s="1998"/>
      <c r="F423" s="1954"/>
      <c r="G423" s="563"/>
      <c r="H423" s="563"/>
      <c r="I423" s="2000"/>
      <c r="J423" s="563"/>
      <c r="K423" s="384"/>
      <c r="L423" s="1901"/>
      <c r="M423" s="1999"/>
      <c r="N423" s="1999"/>
      <c r="O423" s="1999"/>
      <c r="P423" s="2002"/>
      <c r="Q423" s="2002"/>
      <c r="R423" s="482"/>
      <c r="S423" s="482"/>
      <c r="T423" s="482"/>
      <c r="U423" s="482"/>
      <c r="V423" s="384"/>
      <c r="W423" s="563"/>
      <c r="Y423" s="563"/>
      <c r="AA423" s="384"/>
      <c r="AB423" s="384"/>
      <c r="AC423" s="384"/>
      <c r="AD423" s="384"/>
      <c r="AE423" s="384"/>
      <c r="AF423" s="384"/>
      <c r="AG423" s="384"/>
      <c r="AH423" s="384"/>
      <c r="AI423" s="384"/>
      <c r="AJ423" s="384"/>
      <c r="AK423" s="384"/>
      <c r="AL423" s="384"/>
      <c r="AM423" s="384"/>
    </row>
    <row r="424" spans="1:39" ht="15.75" customHeight="1">
      <c r="A424" s="563"/>
      <c r="B424" s="384"/>
      <c r="C424" s="563"/>
      <c r="D424" s="1997"/>
      <c r="E424" s="1998"/>
      <c r="F424" s="1954"/>
      <c r="G424" s="563"/>
      <c r="H424" s="563"/>
      <c r="I424" s="2000"/>
      <c r="J424" s="563"/>
      <c r="K424" s="384"/>
      <c r="L424" s="1901"/>
      <c r="M424" s="1999"/>
      <c r="N424" s="1999"/>
      <c r="O424" s="1999"/>
      <c r="P424" s="2002"/>
      <c r="Q424" s="2002"/>
      <c r="R424" s="482"/>
      <c r="S424" s="482"/>
      <c r="T424" s="482"/>
      <c r="U424" s="482"/>
      <c r="V424" s="384"/>
      <c r="W424" s="563"/>
      <c r="Y424" s="563"/>
      <c r="AA424" s="384"/>
      <c r="AB424" s="384"/>
      <c r="AC424" s="384"/>
      <c r="AD424" s="384"/>
      <c r="AE424" s="384"/>
      <c r="AF424" s="384"/>
      <c r="AG424" s="384"/>
      <c r="AH424" s="384"/>
      <c r="AI424" s="384"/>
      <c r="AJ424" s="384"/>
      <c r="AK424" s="384"/>
      <c r="AL424" s="384"/>
      <c r="AM424" s="384"/>
    </row>
    <row r="425" spans="1:39" ht="15.75" customHeight="1">
      <c r="A425" s="563"/>
      <c r="B425" s="384"/>
      <c r="C425" s="563"/>
      <c r="D425" s="1997"/>
      <c r="E425" s="1998"/>
      <c r="F425" s="1954"/>
      <c r="G425" s="563"/>
      <c r="H425" s="563"/>
      <c r="I425" s="2000"/>
      <c r="J425" s="563"/>
      <c r="K425" s="384"/>
      <c r="L425" s="1901"/>
      <c r="M425" s="1999"/>
      <c r="N425" s="1999"/>
      <c r="O425" s="1999"/>
      <c r="P425" s="2002"/>
      <c r="Q425" s="2002"/>
      <c r="R425" s="482"/>
      <c r="S425" s="482"/>
      <c r="T425" s="482"/>
      <c r="U425" s="482"/>
      <c r="V425" s="384"/>
      <c r="W425" s="563"/>
      <c r="Y425" s="563"/>
      <c r="AA425" s="384"/>
      <c r="AB425" s="384"/>
      <c r="AC425" s="384"/>
      <c r="AD425" s="384"/>
      <c r="AE425" s="384"/>
      <c r="AF425" s="384"/>
      <c r="AG425" s="384"/>
      <c r="AH425" s="384"/>
      <c r="AI425" s="384"/>
      <c r="AJ425" s="384"/>
      <c r="AK425" s="384"/>
      <c r="AL425" s="384"/>
      <c r="AM425" s="384"/>
    </row>
    <row r="426" spans="1:39" ht="15.75" customHeight="1">
      <c r="A426" s="563"/>
      <c r="B426" s="384"/>
      <c r="C426" s="563"/>
      <c r="D426" s="1997"/>
      <c r="E426" s="1998"/>
      <c r="F426" s="1954"/>
      <c r="G426" s="563"/>
      <c r="H426" s="563"/>
      <c r="I426" s="2000"/>
      <c r="J426" s="563"/>
      <c r="K426" s="384"/>
      <c r="L426" s="1901"/>
      <c r="M426" s="1999"/>
      <c r="N426" s="1999"/>
      <c r="O426" s="1999"/>
      <c r="P426" s="2002"/>
      <c r="Q426" s="2002"/>
      <c r="R426" s="482"/>
      <c r="S426" s="482"/>
      <c r="T426" s="482"/>
      <c r="U426" s="482"/>
      <c r="V426" s="384"/>
      <c r="W426" s="563"/>
      <c r="Y426" s="563"/>
      <c r="AA426" s="384"/>
      <c r="AB426" s="384"/>
      <c r="AC426" s="384"/>
      <c r="AD426" s="384"/>
      <c r="AE426" s="384"/>
      <c r="AF426" s="384"/>
      <c r="AG426" s="384"/>
      <c r="AH426" s="384"/>
      <c r="AI426" s="384"/>
      <c r="AJ426" s="384"/>
      <c r="AK426" s="384"/>
      <c r="AL426" s="384"/>
      <c r="AM426" s="384"/>
    </row>
    <row r="427" spans="1:39" ht="15.75" customHeight="1">
      <c r="A427" s="563"/>
      <c r="B427" s="384"/>
      <c r="C427" s="563"/>
      <c r="D427" s="1997"/>
      <c r="E427" s="1998"/>
      <c r="F427" s="1954"/>
      <c r="G427" s="563"/>
      <c r="H427" s="563"/>
      <c r="I427" s="2000"/>
      <c r="J427" s="563"/>
      <c r="K427" s="384"/>
      <c r="L427" s="1901"/>
      <c r="M427" s="1999"/>
      <c r="N427" s="1999"/>
      <c r="O427" s="1999"/>
      <c r="P427" s="2002"/>
      <c r="Q427" s="2002"/>
      <c r="R427" s="482"/>
      <c r="S427" s="482"/>
      <c r="T427" s="482"/>
      <c r="U427" s="482"/>
      <c r="V427" s="384"/>
      <c r="W427" s="563"/>
      <c r="Y427" s="563"/>
      <c r="AA427" s="384"/>
      <c r="AB427" s="384"/>
      <c r="AC427" s="384"/>
      <c r="AD427" s="384"/>
      <c r="AE427" s="384"/>
      <c r="AF427" s="384"/>
      <c r="AG427" s="384"/>
      <c r="AH427" s="384"/>
      <c r="AI427" s="384"/>
      <c r="AJ427" s="384"/>
      <c r="AK427" s="384"/>
      <c r="AL427" s="384"/>
      <c r="AM427" s="384"/>
    </row>
    <row r="428" spans="1:39" ht="15.75" customHeight="1">
      <c r="A428" s="563"/>
      <c r="B428" s="384"/>
      <c r="C428" s="563"/>
      <c r="D428" s="1997"/>
      <c r="E428" s="1998"/>
      <c r="F428" s="1954"/>
      <c r="G428" s="563"/>
      <c r="H428" s="563"/>
      <c r="I428" s="2000"/>
      <c r="J428" s="563"/>
      <c r="K428" s="384"/>
      <c r="L428" s="1901"/>
      <c r="M428" s="1999"/>
      <c r="N428" s="1999"/>
      <c r="O428" s="1999"/>
      <c r="P428" s="2002"/>
      <c r="Q428" s="2002"/>
      <c r="R428" s="482"/>
      <c r="S428" s="482"/>
      <c r="T428" s="482"/>
      <c r="U428" s="482"/>
      <c r="V428" s="384"/>
      <c r="W428" s="563"/>
      <c r="Y428" s="563"/>
      <c r="AA428" s="384"/>
      <c r="AB428" s="384"/>
      <c r="AC428" s="384"/>
      <c r="AD428" s="384"/>
      <c r="AE428" s="384"/>
      <c r="AF428" s="384"/>
      <c r="AG428" s="384"/>
      <c r="AH428" s="384"/>
      <c r="AI428" s="384"/>
      <c r="AJ428" s="384"/>
      <c r="AK428" s="384"/>
      <c r="AL428" s="384"/>
      <c r="AM428" s="384"/>
    </row>
    <row r="429" spans="1:39" ht="15.75" customHeight="1">
      <c r="A429" s="563"/>
      <c r="B429" s="384"/>
      <c r="C429" s="563"/>
      <c r="D429" s="1997"/>
      <c r="E429" s="1998"/>
      <c r="F429" s="1954"/>
      <c r="G429" s="563"/>
      <c r="H429" s="563"/>
      <c r="I429" s="2000"/>
      <c r="J429" s="563"/>
      <c r="K429" s="384"/>
      <c r="L429" s="1901"/>
      <c r="M429" s="1999"/>
      <c r="N429" s="1999"/>
      <c r="O429" s="1999"/>
      <c r="P429" s="2002"/>
      <c r="Q429" s="2002"/>
      <c r="R429" s="482"/>
      <c r="S429" s="482"/>
      <c r="T429" s="482"/>
      <c r="U429" s="482"/>
      <c r="V429" s="384"/>
      <c r="W429" s="563"/>
      <c r="Y429" s="563"/>
      <c r="AA429" s="384"/>
      <c r="AB429" s="384"/>
      <c r="AC429" s="384"/>
      <c r="AD429" s="384"/>
      <c r="AE429" s="384"/>
      <c r="AF429" s="384"/>
      <c r="AG429" s="384"/>
      <c r="AH429" s="384"/>
      <c r="AI429" s="384"/>
      <c r="AJ429" s="384"/>
      <c r="AK429" s="384"/>
      <c r="AL429" s="384"/>
      <c r="AM429" s="384"/>
    </row>
    <row r="430" spans="1:39" ht="15.75" customHeight="1">
      <c r="A430" s="563"/>
      <c r="B430" s="384"/>
      <c r="C430" s="563"/>
      <c r="D430" s="1997"/>
      <c r="E430" s="1998"/>
      <c r="F430" s="1954"/>
      <c r="G430" s="563"/>
      <c r="H430" s="563"/>
      <c r="I430" s="2000"/>
      <c r="J430" s="563"/>
      <c r="K430" s="384"/>
      <c r="L430" s="1901"/>
      <c r="M430" s="1999"/>
      <c r="N430" s="1999"/>
      <c r="O430" s="1999"/>
      <c r="P430" s="2002"/>
      <c r="Q430" s="2002"/>
      <c r="R430" s="482"/>
      <c r="S430" s="482"/>
      <c r="T430" s="482"/>
      <c r="U430" s="482"/>
      <c r="V430" s="384"/>
      <c r="W430" s="563"/>
      <c r="Y430" s="563"/>
      <c r="AA430" s="384"/>
      <c r="AB430" s="384"/>
      <c r="AC430" s="384"/>
      <c r="AD430" s="384"/>
      <c r="AE430" s="384"/>
      <c r="AF430" s="384"/>
      <c r="AG430" s="384"/>
      <c r="AH430" s="384"/>
      <c r="AI430" s="384"/>
      <c r="AJ430" s="384"/>
      <c r="AK430" s="384"/>
      <c r="AL430" s="384"/>
      <c r="AM430" s="384"/>
    </row>
    <row r="431" spans="1:39" ht="15.75" customHeight="1">
      <c r="A431" s="563"/>
      <c r="B431" s="384"/>
      <c r="C431" s="563"/>
      <c r="D431" s="1997"/>
      <c r="E431" s="1998"/>
      <c r="F431" s="1954"/>
      <c r="G431" s="563"/>
      <c r="H431" s="563"/>
      <c r="I431" s="2000"/>
      <c r="J431" s="563"/>
      <c r="K431" s="384"/>
      <c r="L431" s="1901"/>
      <c r="M431" s="1999"/>
      <c r="N431" s="1999"/>
      <c r="O431" s="1999"/>
      <c r="P431" s="2002"/>
      <c r="Q431" s="2002"/>
      <c r="R431" s="482"/>
      <c r="S431" s="482"/>
      <c r="T431" s="482"/>
      <c r="U431" s="482"/>
      <c r="V431" s="384"/>
      <c r="W431" s="563"/>
      <c r="Y431" s="563"/>
      <c r="AA431" s="384"/>
      <c r="AB431" s="384"/>
      <c r="AC431" s="384"/>
      <c r="AD431" s="384"/>
      <c r="AE431" s="384"/>
      <c r="AF431" s="384"/>
      <c r="AG431" s="384"/>
      <c r="AH431" s="384"/>
      <c r="AI431" s="384"/>
      <c r="AJ431" s="384"/>
      <c r="AK431" s="384"/>
      <c r="AL431" s="384"/>
      <c r="AM431" s="384"/>
    </row>
    <row r="432" spans="1:39" ht="15.75" customHeight="1">
      <c r="A432" s="563"/>
      <c r="B432" s="384"/>
      <c r="C432" s="563"/>
      <c r="D432" s="1997"/>
      <c r="E432" s="1998"/>
      <c r="F432" s="1954"/>
      <c r="G432" s="563"/>
      <c r="H432" s="563"/>
      <c r="I432" s="2000"/>
      <c r="J432" s="563"/>
      <c r="K432" s="384"/>
      <c r="L432" s="1901"/>
      <c r="M432" s="1999"/>
      <c r="N432" s="1999"/>
      <c r="O432" s="1999"/>
      <c r="P432" s="2002"/>
      <c r="Q432" s="2002"/>
      <c r="R432" s="482"/>
      <c r="S432" s="482"/>
      <c r="T432" s="482"/>
      <c r="U432" s="482"/>
      <c r="V432" s="384"/>
      <c r="W432" s="563"/>
      <c r="Y432" s="563"/>
      <c r="AA432" s="384"/>
      <c r="AB432" s="384"/>
      <c r="AC432" s="384"/>
      <c r="AD432" s="384"/>
      <c r="AE432" s="384"/>
      <c r="AF432" s="384"/>
      <c r="AG432" s="384"/>
      <c r="AH432" s="384"/>
      <c r="AI432" s="384"/>
      <c r="AJ432" s="384"/>
      <c r="AK432" s="384"/>
      <c r="AL432" s="384"/>
      <c r="AM432" s="384"/>
    </row>
    <row r="433" spans="1:39" ht="15.75" customHeight="1">
      <c r="A433" s="563"/>
      <c r="B433" s="384"/>
      <c r="C433" s="563"/>
      <c r="D433" s="1997"/>
      <c r="E433" s="1998"/>
      <c r="F433" s="1954"/>
      <c r="G433" s="563"/>
      <c r="H433" s="563"/>
      <c r="I433" s="2000"/>
      <c r="J433" s="563"/>
      <c r="K433" s="384"/>
      <c r="L433" s="1901"/>
      <c r="M433" s="1999"/>
      <c r="N433" s="1999"/>
      <c r="O433" s="1999"/>
      <c r="P433" s="2002"/>
      <c r="Q433" s="2002"/>
      <c r="R433" s="482"/>
      <c r="S433" s="482"/>
      <c r="T433" s="482"/>
      <c r="U433" s="482"/>
      <c r="V433" s="384"/>
      <c r="W433" s="563"/>
      <c r="Y433" s="563"/>
      <c r="AA433" s="384"/>
      <c r="AB433" s="384"/>
      <c r="AC433" s="384"/>
      <c r="AD433" s="384"/>
      <c r="AE433" s="384"/>
      <c r="AF433" s="384"/>
      <c r="AG433" s="384"/>
      <c r="AH433" s="384"/>
      <c r="AI433" s="384"/>
      <c r="AJ433" s="384"/>
      <c r="AK433" s="384"/>
      <c r="AL433" s="384"/>
      <c r="AM433" s="384"/>
    </row>
    <row r="434" spans="1:39" ht="15.75" customHeight="1">
      <c r="A434" s="563"/>
      <c r="B434" s="384"/>
      <c r="C434" s="563"/>
      <c r="D434" s="1997"/>
      <c r="E434" s="1998"/>
      <c r="F434" s="1954"/>
      <c r="G434" s="563"/>
      <c r="H434" s="563"/>
      <c r="I434" s="2000"/>
      <c r="J434" s="563"/>
      <c r="K434" s="384"/>
      <c r="L434" s="1901"/>
      <c r="M434" s="1999"/>
      <c r="N434" s="1999"/>
      <c r="O434" s="1999"/>
      <c r="P434" s="2002"/>
      <c r="Q434" s="2002"/>
      <c r="R434" s="482"/>
      <c r="S434" s="482"/>
      <c r="T434" s="482"/>
      <c r="U434" s="482"/>
      <c r="V434" s="384"/>
      <c r="W434" s="563"/>
      <c r="Y434" s="563"/>
      <c r="AA434" s="384"/>
      <c r="AB434" s="384"/>
      <c r="AC434" s="384"/>
      <c r="AD434" s="384"/>
      <c r="AE434" s="384"/>
      <c r="AF434" s="384"/>
      <c r="AG434" s="384"/>
      <c r="AH434" s="384"/>
      <c r="AI434" s="384"/>
      <c r="AJ434" s="384"/>
      <c r="AK434" s="384"/>
      <c r="AL434" s="384"/>
      <c r="AM434" s="384"/>
    </row>
    <row r="435" spans="1:39" ht="15.75" customHeight="1">
      <c r="A435" s="563"/>
      <c r="B435" s="384"/>
      <c r="C435" s="563"/>
      <c r="D435" s="1997"/>
      <c r="E435" s="1998"/>
      <c r="F435" s="1954"/>
      <c r="G435" s="563"/>
      <c r="H435" s="563"/>
      <c r="I435" s="2000"/>
      <c r="J435" s="563"/>
      <c r="K435" s="384"/>
      <c r="L435" s="1901"/>
      <c r="M435" s="1999"/>
      <c r="N435" s="1999"/>
      <c r="O435" s="1999"/>
      <c r="P435" s="2002"/>
      <c r="Q435" s="2002"/>
      <c r="R435" s="482"/>
      <c r="S435" s="482"/>
      <c r="T435" s="482"/>
      <c r="U435" s="482"/>
      <c r="V435" s="384"/>
      <c r="W435" s="563"/>
      <c r="Y435" s="563"/>
      <c r="AA435" s="384"/>
      <c r="AB435" s="384"/>
      <c r="AC435" s="384"/>
      <c r="AD435" s="384"/>
      <c r="AE435" s="384"/>
      <c r="AF435" s="384"/>
      <c r="AG435" s="384"/>
      <c r="AH435" s="384"/>
      <c r="AI435" s="384"/>
      <c r="AJ435" s="384"/>
      <c r="AK435" s="384"/>
      <c r="AL435" s="384"/>
      <c r="AM435" s="384"/>
    </row>
    <row r="436" spans="1:39" ht="15.75" customHeight="1">
      <c r="A436" s="563"/>
      <c r="B436" s="384"/>
      <c r="C436" s="563"/>
      <c r="D436" s="1997"/>
      <c r="E436" s="1998"/>
      <c r="F436" s="1954"/>
      <c r="G436" s="563"/>
      <c r="H436" s="563"/>
      <c r="I436" s="2000"/>
      <c r="J436" s="563"/>
      <c r="K436" s="384"/>
      <c r="L436" s="1901"/>
      <c r="M436" s="1999"/>
      <c r="N436" s="1999"/>
      <c r="O436" s="1999"/>
      <c r="P436" s="2002"/>
      <c r="Q436" s="2002"/>
      <c r="R436" s="482"/>
      <c r="S436" s="482"/>
      <c r="T436" s="482"/>
      <c r="U436" s="482"/>
      <c r="V436" s="384"/>
      <c r="W436" s="563"/>
      <c r="Y436" s="563"/>
      <c r="AA436" s="384"/>
      <c r="AB436" s="384"/>
      <c r="AC436" s="384"/>
      <c r="AD436" s="384"/>
      <c r="AE436" s="384"/>
      <c r="AF436" s="384"/>
      <c r="AG436" s="384"/>
      <c r="AH436" s="384"/>
      <c r="AI436" s="384"/>
      <c r="AJ436" s="384"/>
      <c r="AK436" s="384"/>
      <c r="AL436" s="384"/>
      <c r="AM436" s="384"/>
    </row>
    <row r="437" spans="1:39" ht="15.75" customHeight="1">
      <c r="A437" s="563"/>
      <c r="B437" s="384"/>
      <c r="C437" s="563"/>
      <c r="D437" s="1997"/>
      <c r="E437" s="1998"/>
      <c r="F437" s="1954"/>
      <c r="G437" s="563"/>
      <c r="H437" s="563"/>
      <c r="I437" s="2000"/>
      <c r="J437" s="563"/>
      <c r="K437" s="384"/>
      <c r="L437" s="1901"/>
      <c r="M437" s="1999"/>
      <c r="N437" s="1999"/>
      <c r="O437" s="1999"/>
      <c r="P437" s="2002"/>
      <c r="Q437" s="2002"/>
      <c r="R437" s="482"/>
      <c r="S437" s="482"/>
      <c r="T437" s="482"/>
      <c r="U437" s="482"/>
      <c r="V437" s="384"/>
      <c r="W437" s="563"/>
      <c r="Y437" s="563"/>
      <c r="AA437" s="384"/>
      <c r="AB437" s="384"/>
      <c r="AC437" s="384"/>
      <c r="AD437" s="384"/>
      <c r="AE437" s="384"/>
      <c r="AF437" s="384"/>
      <c r="AG437" s="384"/>
      <c r="AH437" s="384"/>
      <c r="AI437" s="384"/>
      <c r="AJ437" s="384"/>
      <c r="AK437" s="384"/>
      <c r="AL437" s="384"/>
      <c r="AM437" s="384"/>
    </row>
    <row r="438" spans="1:39" ht="15.75" customHeight="1">
      <c r="A438" s="563"/>
      <c r="B438" s="384"/>
      <c r="C438" s="563"/>
      <c r="D438" s="1997"/>
      <c r="E438" s="1998"/>
      <c r="F438" s="1954"/>
      <c r="G438" s="563"/>
      <c r="H438" s="563"/>
      <c r="I438" s="2000"/>
      <c r="J438" s="563"/>
      <c r="K438" s="384"/>
      <c r="L438" s="1901"/>
      <c r="M438" s="1999"/>
      <c r="N438" s="1999"/>
      <c r="O438" s="1999"/>
      <c r="P438" s="2002"/>
      <c r="Q438" s="2002"/>
      <c r="R438" s="482"/>
      <c r="S438" s="482"/>
      <c r="T438" s="482"/>
      <c r="U438" s="482"/>
      <c r="V438" s="384"/>
      <c r="W438" s="563"/>
      <c r="Y438" s="563"/>
      <c r="AA438" s="384"/>
      <c r="AB438" s="384"/>
      <c r="AC438" s="384"/>
      <c r="AD438" s="384"/>
      <c r="AE438" s="384"/>
      <c r="AF438" s="384"/>
      <c r="AG438" s="384"/>
      <c r="AH438" s="384"/>
      <c r="AI438" s="384"/>
      <c r="AJ438" s="384"/>
      <c r="AK438" s="384"/>
      <c r="AL438" s="384"/>
      <c r="AM438" s="384"/>
    </row>
    <row r="439" spans="1:39" ht="15.75" customHeight="1">
      <c r="A439" s="563"/>
      <c r="B439" s="384"/>
      <c r="C439" s="563"/>
      <c r="D439" s="1997"/>
      <c r="E439" s="1998"/>
      <c r="F439" s="1954"/>
      <c r="G439" s="563"/>
      <c r="H439" s="563"/>
      <c r="I439" s="2000"/>
      <c r="J439" s="563"/>
      <c r="K439" s="384"/>
      <c r="L439" s="1901"/>
      <c r="M439" s="1999"/>
      <c r="N439" s="1999"/>
      <c r="O439" s="1999"/>
      <c r="P439" s="2002"/>
      <c r="Q439" s="2002"/>
      <c r="R439" s="482"/>
      <c r="S439" s="482"/>
      <c r="T439" s="482"/>
      <c r="U439" s="482"/>
      <c r="V439" s="384"/>
      <c r="W439" s="563"/>
      <c r="Y439" s="563"/>
      <c r="AA439" s="384"/>
      <c r="AB439" s="384"/>
      <c r="AC439" s="384"/>
      <c r="AD439" s="384"/>
      <c r="AE439" s="384"/>
      <c r="AF439" s="384"/>
      <c r="AG439" s="384"/>
      <c r="AH439" s="384"/>
      <c r="AI439" s="384"/>
      <c r="AJ439" s="384"/>
      <c r="AK439" s="384"/>
      <c r="AL439" s="384"/>
      <c r="AM439" s="384"/>
    </row>
    <row r="440" spans="1:39" ht="15.75" customHeight="1">
      <c r="A440" s="563"/>
      <c r="B440" s="384"/>
      <c r="C440" s="563"/>
      <c r="D440" s="1997"/>
      <c r="E440" s="1998"/>
      <c r="F440" s="1954"/>
      <c r="G440" s="563"/>
      <c r="H440" s="563"/>
      <c r="I440" s="2000"/>
      <c r="J440" s="563"/>
      <c r="K440" s="384"/>
      <c r="L440" s="1901"/>
      <c r="M440" s="1999"/>
      <c r="N440" s="1999"/>
      <c r="O440" s="1999"/>
      <c r="P440" s="2002"/>
      <c r="Q440" s="2002"/>
      <c r="R440" s="482"/>
      <c r="S440" s="482"/>
      <c r="T440" s="482"/>
      <c r="U440" s="482"/>
      <c r="V440" s="384"/>
      <c r="W440" s="563"/>
      <c r="Y440" s="563"/>
      <c r="AA440" s="384"/>
      <c r="AB440" s="384"/>
      <c r="AC440" s="384"/>
      <c r="AD440" s="384"/>
      <c r="AE440" s="384"/>
      <c r="AF440" s="384"/>
      <c r="AG440" s="384"/>
      <c r="AH440" s="384"/>
      <c r="AI440" s="384"/>
      <c r="AJ440" s="384"/>
      <c r="AK440" s="384"/>
      <c r="AL440" s="384"/>
      <c r="AM440" s="384"/>
    </row>
    <row r="441" spans="1:39" ht="15.75" customHeight="1">
      <c r="A441" s="563"/>
      <c r="B441" s="384"/>
      <c r="C441" s="563"/>
      <c r="D441" s="1997"/>
      <c r="E441" s="1998"/>
      <c r="F441" s="1954"/>
      <c r="G441" s="563"/>
      <c r="H441" s="563"/>
      <c r="I441" s="2000"/>
      <c r="J441" s="563"/>
      <c r="K441" s="384"/>
      <c r="L441" s="1901"/>
      <c r="M441" s="1999"/>
      <c r="N441" s="1999"/>
      <c r="O441" s="1999"/>
      <c r="P441" s="2002"/>
      <c r="Q441" s="2002"/>
      <c r="R441" s="482"/>
      <c r="S441" s="482"/>
      <c r="T441" s="482"/>
      <c r="U441" s="482"/>
      <c r="V441" s="384"/>
      <c r="W441" s="563"/>
      <c r="Y441" s="563"/>
      <c r="AA441" s="384"/>
      <c r="AB441" s="384"/>
      <c r="AC441" s="384"/>
      <c r="AD441" s="384"/>
      <c r="AE441" s="384"/>
      <c r="AF441" s="384"/>
      <c r="AG441" s="384"/>
      <c r="AH441" s="384"/>
      <c r="AI441" s="384"/>
      <c r="AJ441" s="384"/>
      <c r="AK441" s="384"/>
      <c r="AL441" s="384"/>
      <c r="AM441" s="384"/>
    </row>
    <row r="442" spans="1:39" ht="15.75" customHeight="1">
      <c r="A442" s="563"/>
      <c r="B442" s="384"/>
      <c r="C442" s="563"/>
      <c r="D442" s="1997"/>
      <c r="E442" s="1998"/>
      <c r="F442" s="1954"/>
      <c r="G442" s="563"/>
      <c r="H442" s="563"/>
      <c r="I442" s="2000"/>
      <c r="J442" s="563"/>
      <c r="K442" s="384"/>
      <c r="L442" s="1901"/>
      <c r="M442" s="1999"/>
      <c r="N442" s="1999"/>
      <c r="O442" s="1999"/>
      <c r="P442" s="2002"/>
      <c r="Q442" s="2002"/>
      <c r="R442" s="482"/>
      <c r="S442" s="482"/>
      <c r="T442" s="482"/>
      <c r="U442" s="482"/>
      <c r="V442" s="384"/>
      <c r="W442" s="563"/>
      <c r="Y442" s="563"/>
      <c r="AA442" s="384"/>
      <c r="AB442" s="384"/>
      <c r="AC442" s="384"/>
      <c r="AD442" s="384"/>
      <c r="AE442" s="384"/>
      <c r="AF442" s="384"/>
      <c r="AG442" s="384"/>
      <c r="AH442" s="384"/>
      <c r="AI442" s="384"/>
      <c r="AJ442" s="384"/>
      <c r="AK442" s="384"/>
      <c r="AL442" s="384"/>
      <c r="AM442" s="384"/>
    </row>
    <row r="443" spans="1:39" ht="15.75" customHeight="1">
      <c r="A443" s="563"/>
      <c r="B443" s="384"/>
      <c r="C443" s="563"/>
      <c r="D443" s="1997"/>
      <c r="E443" s="1998"/>
      <c r="F443" s="1954"/>
      <c r="G443" s="563"/>
      <c r="H443" s="563"/>
      <c r="I443" s="2000"/>
      <c r="J443" s="563"/>
      <c r="K443" s="384"/>
      <c r="L443" s="1901"/>
      <c r="M443" s="1999"/>
      <c r="N443" s="1999"/>
      <c r="O443" s="1999"/>
      <c r="P443" s="2002"/>
      <c r="Q443" s="2002"/>
      <c r="R443" s="482"/>
      <c r="S443" s="482"/>
      <c r="T443" s="482"/>
      <c r="U443" s="482"/>
      <c r="V443" s="384"/>
      <c r="W443" s="563"/>
      <c r="Y443" s="563"/>
      <c r="AA443" s="384"/>
      <c r="AB443" s="384"/>
      <c r="AC443" s="384"/>
      <c r="AD443" s="384"/>
      <c r="AE443" s="384"/>
      <c r="AF443" s="384"/>
      <c r="AG443" s="384"/>
      <c r="AH443" s="384"/>
      <c r="AI443" s="384"/>
      <c r="AJ443" s="384"/>
      <c r="AK443" s="384"/>
      <c r="AL443" s="384"/>
      <c r="AM443" s="384"/>
    </row>
    <row r="444" spans="1:39" ht="15.75" customHeight="1">
      <c r="A444" s="563"/>
      <c r="B444" s="384"/>
      <c r="C444" s="563"/>
      <c r="D444" s="1997"/>
      <c r="E444" s="1998"/>
      <c r="F444" s="1954"/>
      <c r="G444" s="563"/>
      <c r="H444" s="563"/>
      <c r="I444" s="2000"/>
      <c r="J444" s="563"/>
      <c r="K444" s="384"/>
      <c r="L444" s="1901"/>
      <c r="M444" s="1999"/>
      <c r="N444" s="1999"/>
      <c r="O444" s="1999"/>
      <c r="P444" s="2002"/>
      <c r="Q444" s="2002"/>
      <c r="R444" s="482"/>
      <c r="S444" s="482"/>
      <c r="T444" s="482"/>
      <c r="U444" s="482"/>
      <c r="V444" s="384"/>
      <c r="W444" s="563"/>
      <c r="Y444" s="563"/>
      <c r="AA444" s="384"/>
      <c r="AB444" s="384"/>
      <c r="AC444" s="384"/>
      <c r="AD444" s="384"/>
      <c r="AE444" s="384"/>
      <c r="AF444" s="384"/>
      <c r="AG444" s="384"/>
      <c r="AH444" s="384"/>
      <c r="AI444" s="384"/>
      <c r="AJ444" s="384"/>
      <c r="AK444" s="384"/>
      <c r="AL444" s="384"/>
      <c r="AM444" s="384"/>
    </row>
    <row r="445" spans="1:39" ht="15.75" customHeight="1">
      <c r="A445" s="563"/>
      <c r="B445" s="384"/>
      <c r="C445" s="563"/>
      <c r="D445" s="1997"/>
      <c r="E445" s="1998"/>
      <c r="F445" s="1954"/>
      <c r="G445" s="563"/>
      <c r="H445" s="563"/>
      <c r="I445" s="2000"/>
      <c r="J445" s="563"/>
      <c r="K445" s="384"/>
      <c r="L445" s="1901"/>
      <c r="M445" s="1999"/>
      <c r="N445" s="1999"/>
      <c r="O445" s="1999"/>
      <c r="P445" s="2002"/>
      <c r="Q445" s="2002"/>
      <c r="R445" s="482"/>
      <c r="S445" s="482"/>
      <c r="T445" s="482"/>
      <c r="U445" s="482"/>
      <c r="V445" s="384"/>
      <c r="W445" s="563"/>
      <c r="Y445" s="563"/>
      <c r="AA445" s="384"/>
      <c r="AB445" s="384"/>
      <c r="AC445" s="384"/>
      <c r="AD445" s="384"/>
      <c r="AE445" s="384"/>
      <c r="AF445" s="384"/>
      <c r="AG445" s="384"/>
      <c r="AH445" s="384"/>
      <c r="AI445" s="384"/>
      <c r="AJ445" s="384"/>
      <c r="AK445" s="384"/>
      <c r="AL445" s="384"/>
      <c r="AM445" s="384"/>
    </row>
    <row r="446" spans="1:39" ht="15.75" customHeight="1">
      <c r="A446" s="563"/>
      <c r="B446" s="384"/>
      <c r="C446" s="563"/>
      <c r="D446" s="1997"/>
      <c r="E446" s="1998"/>
      <c r="F446" s="1954"/>
      <c r="G446" s="563"/>
      <c r="H446" s="563"/>
      <c r="I446" s="2000"/>
      <c r="J446" s="563"/>
      <c r="K446" s="384"/>
      <c r="L446" s="1901"/>
      <c r="M446" s="1999"/>
      <c r="N446" s="1999"/>
      <c r="O446" s="1999"/>
      <c r="P446" s="2002"/>
      <c r="Q446" s="2002"/>
      <c r="R446" s="482"/>
      <c r="S446" s="482"/>
      <c r="T446" s="482"/>
      <c r="U446" s="482"/>
      <c r="V446" s="384"/>
      <c r="W446" s="563"/>
      <c r="Y446" s="563"/>
      <c r="AA446" s="384"/>
      <c r="AB446" s="384"/>
      <c r="AC446" s="384"/>
      <c r="AD446" s="384"/>
      <c r="AE446" s="384"/>
      <c r="AF446" s="384"/>
      <c r="AG446" s="384"/>
      <c r="AH446" s="384"/>
      <c r="AI446" s="384"/>
      <c r="AJ446" s="384"/>
      <c r="AK446" s="384"/>
      <c r="AL446" s="384"/>
      <c r="AM446" s="384"/>
    </row>
    <row r="447" spans="1:39" ht="15.75" customHeight="1">
      <c r="A447" s="563"/>
      <c r="B447" s="384"/>
      <c r="C447" s="563"/>
      <c r="D447" s="1997"/>
      <c r="E447" s="1998"/>
      <c r="F447" s="1954"/>
      <c r="G447" s="563"/>
      <c r="H447" s="563"/>
      <c r="I447" s="2000"/>
      <c r="J447" s="563"/>
      <c r="K447" s="384"/>
      <c r="L447" s="1901"/>
      <c r="M447" s="1999"/>
      <c r="N447" s="1999"/>
      <c r="O447" s="1999"/>
      <c r="P447" s="2002"/>
      <c r="Q447" s="2002"/>
      <c r="R447" s="482"/>
      <c r="S447" s="482"/>
      <c r="T447" s="482"/>
      <c r="U447" s="482"/>
      <c r="V447" s="384"/>
      <c r="W447" s="563"/>
      <c r="Y447" s="563"/>
      <c r="AA447" s="384"/>
      <c r="AB447" s="384"/>
      <c r="AC447" s="384"/>
      <c r="AD447" s="384"/>
      <c r="AE447" s="384"/>
      <c r="AF447" s="384"/>
      <c r="AG447" s="384"/>
      <c r="AH447" s="384"/>
      <c r="AI447" s="384"/>
      <c r="AJ447" s="384"/>
      <c r="AK447" s="384"/>
      <c r="AL447" s="384"/>
      <c r="AM447" s="384"/>
    </row>
    <row r="448" spans="1:39" ht="15.75" customHeight="1">
      <c r="A448" s="563"/>
      <c r="B448" s="384"/>
      <c r="C448" s="563"/>
      <c r="D448" s="1997"/>
      <c r="E448" s="1998"/>
      <c r="F448" s="1954"/>
      <c r="G448" s="563"/>
      <c r="H448" s="563"/>
      <c r="I448" s="2000"/>
      <c r="J448" s="563"/>
      <c r="K448" s="384"/>
      <c r="L448" s="1901"/>
      <c r="M448" s="1999"/>
      <c r="N448" s="1999"/>
      <c r="O448" s="1999"/>
      <c r="P448" s="2002"/>
      <c r="Q448" s="2002"/>
      <c r="R448" s="482"/>
      <c r="S448" s="482"/>
      <c r="T448" s="482"/>
      <c r="U448" s="482"/>
      <c r="V448" s="384"/>
      <c r="W448" s="563"/>
      <c r="Y448" s="563"/>
      <c r="AA448" s="384"/>
      <c r="AB448" s="384"/>
      <c r="AC448" s="384"/>
      <c r="AD448" s="384"/>
      <c r="AE448" s="384"/>
      <c r="AF448" s="384"/>
      <c r="AG448" s="384"/>
      <c r="AH448" s="384"/>
      <c r="AI448" s="384"/>
      <c r="AJ448" s="384"/>
      <c r="AK448" s="384"/>
      <c r="AL448" s="384"/>
      <c r="AM448" s="384"/>
    </row>
    <row r="449" spans="1:39" ht="15.75" customHeight="1">
      <c r="A449" s="563"/>
      <c r="B449" s="384"/>
      <c r="C449" s="563"/>
      <c r="D449" s="1997"/>
      <c r="E449" s="1998"/>
      <c r="F449" s="1954"/>
      <c r="G449" s="563"/>
      <c r="H449" s="563"/>
      <c r="I449" s="2000"/>
      <c r="J449" s="563"/>
      <c r="K449" s="384"/>
      <c r="L449" s="1901"/>
      <c r="M449" s="1999"/>
      <c r="N449" s="1999"/>
      <c r="O449" s="1999"/>
      <c r="P449" s="2002"/>
      <c r="Q449" s="2002"/>
      <c r="R449" s="482"/>
      <c r="S449" s="482"/>
      <c r="T449" s="482"/>
      <c r="U449" s="482"/>
      <c r="V449" s="384"/>
      <c r="W449" s="563"/>
      <c r="Y449" s="563"/>
      <c r="AA449" s="384"/>
      <c r="AB449" s="384"/>
      <c r="AC449" s="384"/>
      <c r="AD449" s="384"/>
      <c r="AE449" s="384"/>
      <c r="AF449" s="384"/>
      <c r="AG449" s="384"/>
      <c r="AH449" s="384"/>
      <c r="AI449" s="384"/>
      <c r="AJ449" s="384"/>
      <c r="AK449" s="384"/>
      <c r="AL449" s="384"/>
      <c r="AM449" s="384"/>
    </row>
    <row r="450" spans="1:39" ht="15.75" customHeight="1">
      <c r="A450" s="563"/>
      <c r="B450" s="384"/>
      <c r="C450" s="563"/>
      <c r="D450" s="1997"/>
      <c r="E450" s="1998"/>
      <c r="F450" s="1954"/>
      <c r="G450" s="563"/>
      <c r="H450" s="563"/>
      <c r="I450" s="2000"/>
      <c r="J450" s="563"/>
      <c r="K450" s="384"/>
      <c r="L450" s="1901"/>
      <c r="M450" s="1999"/>
      <c r="N450" s="1999"/>
      <c r="O450" s="1999"/>
      <c r="P450" s="2002"/>
      <c r="Q450" s="2002"/>
      <c r="R450" s="482"/>
      <c r="S450" s="482"/>
      <c r="T450" s="482"/>
      <c r="U450" s="482"/>
      <c r="V450" s="384"/>
      <c r="W450" s="563"/>
      <c r="Y450" s="563"/>
      <c r="AA450" s="384"/>
      <c r="AB450" s="384"/>
      <c r="AC450" s="384"/>
      <c r="AD450" s="384"/>
      <c r="AE450" s="384"/>
      <c r="AF450" s="384"/>
      <c r="AG450" s="384"/>
      <c r="AH450" s="384"/>
      <c r="AI450" s="384"/>
      <c r="AJ450" s="384"/>
      <c r="AK450" s="384"/>
      <c r="AL450" s="384"/>
      <c r="AM450" s="384"/>
    </row>
    <row r="451" spans="1:39" ht="15.75" customHeight="1">
      <c r="A451" s="563"/>
      <c r="B451" s="384"/>
      <c r="C451" s="563"/>
      <c r="D451" s="1997"/>
      <c r="E451" s="1998"/>
      <c r="F451" s="1954"/>
      <c r="G451" s="563"/>
      <c r="H451" s="563"/>
      <c r="I451" s="2000"/>
      <c r="J451" s="563"/>
      <c r="K451" s="384"/>
      <c r="L451" s="1901"/>
      <c r="M451" s="1999"/>
      <c r="N451" s="1999"/>
      <c r="O451" s="1999"/>
      <c r="P451" s="2002"/>
      <c r="Q451" s="2002"/>
      <c r="R451" s="482"/>
      <c r="S451" s="482"/>
      <c r="T451" s="482"/>
      <c r="U451" s="482"/>
      <c r="V451" s="384"/>
      <c r="W451" s="563"/>
      <c r="Y451" s="563"/>
      <c r="AA451" s="384"/>
      <c r="AB451" s="384"/>
      <c r="AC451" s="384"/>
      <c r="AD451" s="384"/>
      <c r="AE451" s="384"/>
      <c r="AF451" s="384"/>
      <c r="AG451" s="384"/>
      <c r="AH451" s="384"/>
      <c r="AI451" s="384"/>
      <c r="AJ451" s="384"/>
      <c r="AK451" s="384"/>
      <c r="AL451" s="384"/>
      <c r="AM451" s="384"/>
    </row>
    <row r="452" spans="1:39" ht="15.75" customHeight="1">
      <c r="A452" s="563"/>
      <c r="B452" s="384"/>
      <c r="C452" s="563"/>
      <c r="D452" s="1997"/>
      <c r="E452" s="1998"/>
      <c r="F452" s="1954"/>
      <c r="G452" s="563"/>
      <c r="H452" s="563"/>
      <c r="I452" s="2000"/>
      <c r="J452" s="563"/>
      <c r="K452" s="384"/>
      <c r="L452" s="1901"/>
      <c r="M452" s="1999"/>
      <c r="N452" s="1999"/>
      <c r="O452" s="1999"/>
      <c r="P452" s="2002"/>
      <c r="Q452" s="2002"/>
      <c r="R452" s="482"/>
      <c r="S452" s="482"/>
      <c r="T452" s="482"/>
      <c r="U452" s="482"/>
      <c r="V452" s="384"/>
      <c r="W452" s="563"/>
      <c r="Y452" s="563"/>
      <c r="AA452" s="384"/>
      <c r="AB452" s="384"/>
      <c r="AC452" s="384"/>
      <c r="AD452" s="384"/>
      <c r="AE452" s="384"/>
      <c r="AF452" s="384"/>
      <c r="AG452" s="384"/>
      <c r="AH452" s="384"/>
      <c r="AI452" s="384"/>
      <c r="AJ452" s="384"/>
      <c r="AK452" s="384"/>
      <c r="AL452" s="384"/>
      <c r="AM452" s="384"/>
    </row>
    <row r="453" spans="1:39" ht="15.75" customHeight="1">
      <c r="A453" s="563"/>
      <c r="B453" s="384"/>
      <c r="C453" s="563"/>
      <c r="D453" s="1997"/>
      <c r="E453" s="1998"/>
      <c r="F453" s="1954"/>
      <c r="G453" s="563"/>
      <c r="H453" s="563"/>
      <c r="I453" s="2000"/>
      <c r="J453" s="563"/>
      <c r="K453" s="384"/>
      <c r="L453" s="1901"/>
      <c r="M453" s="1999"/>
      <c r="N453" s="1999"/>
      <c r="O453" s="1999"/>
      <c r="P453" s="2002"/>
      <c r="Q453" s="2002"/>
      <c r="R453" s="482"/>
      <c r="S453" s="482"/>
      <c r="T453" s="482"/>
      <c r="U453" s="482"/>
      <c r="V453" s="384"/>
      <c r="W453" s="563"/>
      <c r="Y453" s="563"/>
      <c r="AA453" s="384"/>
      <c r="AB453" s="384"/>
      <c r="AC453" s="384"/>
      <c r="AD453" s="384"/>
      <c r="AE453" s="384"/>
      <c r="AF453" s="384"/>
      <c r="AG453" s="384"/>
      <c r="AH453" s="384"/>
      <c r="AI453" s="384"/>
      <c r="AJ453" s="384"/>
      <c r="AK453" s="384"/>
      <c r="AL453" s="384"/>
      <c r="AM453" s="384"/>
    </row>
    <row r="454" spans="1:39" ht="15.75" customHeight="1">
      <c r="A454" s="563"/>
      <c r="B454" s="384"/>
      <c r="C454" s="563"/>
      <c r="D454" s="1997"/>
      <c r="E454" s="1998"/>
      <c r="F454" s="1954"/>
      <c r="G454" s="563"/>
      <c r="H454" s="563"/>
      <c r="I454" s="2000"/>
      <c r="J454" s="563"/>
      <c r="K454" s="384"/>
      <c r="L454" s="1901"/>
      <c r="M454" s="1999"/>
      <c r="N454" s="1999"/>
      <c r="O454" s="1999"/>
      <c r="P454" s="2002"/>
      <c r="Q454" s="2002"/>
      <c r="R454" s="482"/>
      <c r="S454" s="482"/>
      <c r="T454" s="482"/>
      <c r="U454" s="482"/>
      <c r="V454" s="384"/>
      <c r="W454" s="563"/>
      <c r="Y454" s="563"/>
      <c r="AA454" s="384"/>
      <c r="AB454" s="384"/>
      <c r="AC454" s="384"/>
      <c r="AD454" s="384"/>
      <c r="AE454" s="384"/>
      <c r="AF454" s="384"/>
      <c r="AG454" s="384"/>
      <c r="AH454" s="384"/>
      <c r="AI454" s="384"/>
      <c r="AJ454" s="384"/>
      <c r="AK454" s="384"/>
      <c r="AL454" s="384"/>
      <c r="AM454" s="384"/>
    </row>
    <row r="455" spans="1:39" ht="15.75" customHeight="1">
      <c r="A455" s="563"/>
      <c r="B455" s="384"/>
      <c r="C455" s="563"/>
      <c r="D455" s="1997"/>
      <c r="E455" s="1998"/>
      <c r="F455" s="1954"/>
      <c r="G455" s="563"/>
      <c r="H455" s="563"/>
      <c r="I455" s="2000"/>
      <c r="J455" s="563"/>
      <c r="K455" s="384"/>
      <c r="L455" s="1901"/>
      <c r="M455" s="1999"/>
      <c r="N455" s="1999"/>
      <c r="O455" s="1999"/>
      <c r="P455" s="2002"/>
      <c r="Q455" s="2002"/>
      <c r="R455" s="482"/>
      <c r="S455" s="482"/>
      <c r="T455" s="482"/>
      <c r="U455" s="482"/>
      <c r="V455" s="384"/>
      <c r="W455" s="563"/>
      <c r="Y455" s="563"/>
      <c r="AA455" s="384"/>
      <c r="AB455" s="384"/>
      <c r="AC455" s="384"/>
      <c r="AD455" s="384"/>
      <c r="AE455" s="384"/>
      <c r="AF455" s="384"/>
      <c r="AG455" s="384"/>
      <c r="AH455" s="384"/>
      <c r="AI455" s="384"/>
      <c r="AJ455" s="384"/>
      <c r="AK455" s="384"/>
      <c r="AL455" s="384"/>
      <c r="AM455" s="384"/>
    </row>
    <row r="456" spans="1:39" ht="15.75" customHeight="1">
      <c r="A456" s="563"/>
      <c r="B456" s="384"/>
      <c r="C456" s="563"/>
      <c r="D456" s="1997"/>
      <c r="E456" s="1998"/>
      <c r="F456" s="1954"/>
      <c r="G456" s="563"/>
      <c r="H456" s="563"/>
      <c r="I456" s="2000"/>
      <c r="J456" s="563"/>
      <c r="K456" s="384"/>
      <c r="L456" s="1901"/>
      <c r="M456" s="1999"/>
      <c r="N456" s="1999"/>
      <c r="O456" s="1999"/>
      <c r="P456" s="2002"/>
      <c r="Q456" s="2002"/>
      <c r="R456" s="482"/>
      <c r="S456" s="482"/>
      <c r="T456" s="482"/>
      <c r="U456" s="482"/>
      <c r="V456" s="384"/>
      <c r="W456" s="563"/>
      <c r="Y456" s="563"/>
      <c r="AA456" s="384"/>
      <c r="AB456" s="384"/>
      <c r="AC456" s="384"/>
      <c r="AD456" s="384"/>
      <c r="AE456" s="384"/>
      <c r="AF456" s="384"/>
      <c r="AG456" s="384"/>
      <c r="AH456" s="384"/>
      <c r="AI456" s="384"/>
      <c r="AJ456" s="384"/>
      <c r="AK456" s="384"/>
      <c r="AL456" s="384"/>
      <c r="AM456" s="384"/>
    </row>
    <row r="457" spans="1:39" ht="15.75" customHeight="1">
      <c r="A457" s="563"/>
      <c r="B457" s="384"/>
      <c r="C457" s="563"/>
      <c r="D457" s="1997"/>
      <c r="E457" s="1998"/>
      <c r="F457" s="1954"/>
      <c r="G457" s="563"/>
      <c r="H457" s="563"/>
      <c r="I457" s="2000"/>
      <c r="J457" s="563"/>
      <c r="K457" s="384"/>
      <c r="L457" s="1901"/>
      <c r="M457" s="1999"/>
      <c r="N457" s="1999"/>
      <c r="O457" s="1999"/>
      <c r="P457" s="2002"/>
      <c r="Q457" s="2002"/>
      <c r="R457" s="482"/>
      <c r="S457" s="482"/>
      <c r="T457" s="482"/>
      <c r="U457" s="482"/>
      <c r="V457" s="384"/>
      <c r="W457" s="563"/>
      <c r="Y457" s="563"/>
      <c r="AA457" s="384"/>
      <c r="AB457" s="384"/>
      <c r="AC457" s="384"/>
      <c r="AD457" s="384"/>
      <c r="AE457" s="384"/>
      <c r="AF457" s="384"/>
      <c r="AG457" s="384"/>
      <c r="AH457" s="384"/>
      <c r="AI457" s="384"/>
      <c r="AJ457" s="384"/>
      <c r="AK457" s="384"/>
      <c r="AL457" s="384"/>
      <c r="AM457" s="384"/>
    </row>
    <row r="458" spans="1:39" ht="15.75" customHeight="1">
      <c r="A458" s="563"/>
      <c r="B458" s="384"/>
      <c r="C458" s="563"/>
      <c r="D458" s="1997"/>
      <c r="E458" s="1998"/>
      <c r="F458" s="1954"/>
      <c r="G458" s="563"/>
      <c r="H458" s="563"/>
      <c r="I458" s="2000"/>
      <c r="J458" s="563"/>
      <c r="K458" s="384"/>
      <c r="L458" s="1901"/>
      <c r="M458" s="1999"/>
      <c r="N458" s="1999"/>
      <c r="O458" s="1999"/>
      <c r="P458" s="2002"/>
      <c r="Q458" s="2002"/>
      <c r="R458" s="482"/>
      <c r="S458" s="482"/>
      <c r="T458" s="482"/>
      <c r="U458" s="482"/>
      <c r="V458" s="384"/>
      <c r="W458" s="563"/>
      <c r="Y458" s="563"/>
      <c r="AA458" s="384"/>
      <c r="AB458" s="384"/>
      <c r="AC458" s="384"/>
      <c r="AD458" s="384"/>
      <c r="AE458" s="384"/>
      <c r="AF458" s="384"/>
      <c r="AG458" s="384"/>
      <c r="AH458" s="384"/>
      <c r="AI458" s="384"/>
      <c r="AJ458" s="384"/>
      <c r="AK458" s="384"/>
      <c r="AL458" s="384"/>
      <c r="AM458" s="384"/>
    </row>
    <row r="459" spans="1:39" ht="15.75" customHeight="1">
      <c r="A459" s="563"/>
      <c r="B459" s="384"/>
      <c r="C459" s="563"/>
      <c r="D459" s="1997"/>
      <c r="E459" s="1998"/>
      <c r="F459" s="1954"/>
      <c r="G459" s="563"/>
      <c r="H459" s="563"/>
      <c r="I459" s="2000"/>
      <c r="J459" s="563"/>
      <c r="K459" s="384"/>
      <c r="L459" s="1901"/>
      <c r="M459" s="1999"/>
      <c r="N459" s="1999"/>
      <c r="O459" s="1999"/>
      <c r="P459" s="2002"/>
      <c r="Q459" s="2002"/>
      <c r="R459" s="482"/>
      <c r="S459" s="482"/>
      <c r="T459" s="482"/>
      <c r="U459" s="482"/>
      <c r="V459" s="384"/>
      <c r="W459" s="563"/>
      <c r="Y459" s="563"/>
      <c r="AA459" s="384"/>
      <c r="AB459" s="384"/>
      <c r="AC459" s="384"/>
      <c r="AD459" s="384"/>
      <c r="AE459" s="384"/>
      <c r="AF459" s="384"/>
      <c r="AG459" s="384"/>
      <c r="AH459" s="384"/>
      <c r="AI459" s="384"/>
      <c r="AJ459" s="384"/>
      <c r="AK459" s="384"/>
      <c r="AL459" s="384"/>
      <c r="AM459" s="384"/>
    </row>
    <row r="460" spans="1:39" ht="15.75" customHeight="1">
      <c r="A460" s="563"/>
      <c r="B460" s="384"/>
      <c r="C460" s="563"/>
      <c r="D460" s="1997"/>
      <c r="E460" s="1998"/>
      <c r="F460" s="1954"/>
      <c r="G460" s="563"/>
      <c r="H460" s="563"/>
      <c r="I460" s="2000"/>
      <c r="J460" s="563"/>
      <c r="K460" s="384"/>
      <c r="L460" s="1901"/>
      <c r="M460" s="1999"/>
      <c r="N460" s="1999"/>
      <c r="O460" s="1999"/>
      <c r="P460" s="2002"/>
      <c r="Q460" s="2002"/>
      <c r="R460" s="482"/>
      <c r="S460" s="482"/>
      <c r="T460" s="482"/>
      <c r="U460" s="482"/>
      <c r="V460" s="384"/>
      <c r="W460" s="563"/>
      <c r="Y460" s="563"/>
      <c r="AA460" s="384"/>
      <c r="AB460" s="384"/>
      <c r="AC460" s="384"/>
      <c r="AD460" s="384"/>
      <c r="AE460" s="384"/>
      <c r="AF460" s="384"/>
      <c r="AG460" s="384"/>
      <c r="AH460" s="384"/>
      <c r="AI460" s="384"/>
      <c r="AJ460" s="384"/>
      <c r="AK460" s="384"/>
      <c r="AL460" s="384"/>
      <c r="AM460" s="384"/>
    </row>
    <row r="461" spans="1:39" ht="15.75" customHeight="1">
      <c r="A461" s="563"/>
      <c r="B461" s="384"/>
      <c r="C461" s="563"/>
      <c r="D461" s="1997"/>
      <c r="E461" s="1998"/>
      <c r="F461" s="1954"/>
      <c r="G461" s="563"/>
      <c r="H461" s="563"/>
      <c r="I461" s="2000"/>
      <c r="J461" s="563"/>
      <c r="K461" s="384"/>
      <c r="L461" s="1901"/>
      <c r="M461" s="1999"/>
      <c r="N461" s="1999"/>
      <c r="O461" s="1999"/>
      <c r="P461" s="2002"/>
      <c r="Q461" s="2002"/>
      <c r="R461" s="482"/>
      <c r="S461" s="482"/>
      <c r="T461" s="482"/>
      <c r="U461" s="482"/>
      <c r="V461" s="384"/>
      <c r="W461" s="563"/>
      <c r="Y461" s="563"/>
      <c r="AA461" s="384"/>
      <c r="AB461" s="384"/>
      <c r="AC461" s="384"/>
      <c r="AD461" s="384"/>
      <c r="AE461" s="384"/>
      <c r="AF461" s="384"/>
      <c r="AG461" s="384"/>
      <c r="AH461" s="384"/>
      <c r="AI461" s="384"/>
      <c r="AJ461" s="384"/>
      <c r="AK461" s="384"/>
      <c r="AL461" s="384"/>
      <c r="AM461" s="384"/>
    </row>
    <row r="462" spans="1:39" ht="15.75" customHeight="1">
      <c r="A462" s="563"/>
      <c r="B462" s="384"/>
      <c r="C462" s="563"/>
      <c r="D462" s="1997"/>
      <c r="E462" s="1998"/>
      <c r="F462" s="1954"/>
      <c r="G462" s="563"/>
      <c r="H462" s="563"/>
      <c r="I462" s="2000"/>
      <c r="J462" s="563"/>
      <c r="K462" s="384"/>
      <c r="L462" s="1901"/>
      <c r="M462" s="1999"/>
      <c r="N462" s="1999"/>
      <c r="O462" s="1999"/>
      <c r="P462" s="2002"/>
      <c r="Q462" s="2002"/>
      <c r="R462" s="482"/>
      <c r="S462" s="482"/>
      <c r="T462" s="482"/>
      <c r="U462" s="482"/>
      <c r="V462" s="384"/>
      <c r="W462" s="563"/>
      <c r="Y462" s="563"/>
      <c r="AA462" s="384"/>
      <c r="AB462" s="384"/>
      <c r="AC462" s="384"/>
      <c r="AD462" s="384"/>
      <c r="AE462" s="384"/>
      <c r="AF462" s="384"/>
      <c r="AG462" s="384"/>
      <c r="AH462" s="384"/>
      <c r="AI462" s="384"/>
      <c r="AJ462" s="384"/>
      <c r="AK462" s="384"/>
      <c r="AL462" s="384"/>
      <c r="AM462" s="384"/>
    </row>
    <row r="463" spans="1:39" ht="15.75" customHeight="1">
      <c r="A463" s="563"/>
      <c r="B463" s="384"/>
      <c r="C463" s="563"/>
      <c r="D463" s="1997"/>
      <c r="E463" s="1998"/>
      <c r="F463" s="1954"/>
      <c r="G463" s="563"/>
      <c r="H463" s="563"/>
      <c r="I463" s="2000"/>
      <c r="J463" s="563"/>
      <c r="K463" s="384"/>
      <c r="L463" s="1901"/>
      <c r="M463" s="1999"/>
      <c r="N463" s="1999"/>
      <c r="O463" s="1999"/>
      <c r="P463" s="2002"/>
      <c r="Q463" s="2002"/>
      <c r="R463" s="482"/>
      <c r="S463" s="482"/>
      <c r="T463" s="482"/>
      <c r="U463" s="482"/>
      <c r="V463" s="384"/>
      <c r="W463" s="563"/>
      <c r="Y463" s="563"/>
      <c r="AA463" s="384"/>
      <c r="AB463" s="384"/>
      <c r="AC463" s="384"/>
      <c r="AD463" s="384"/>
      <c r="AE463" s="384"/>
      <c r="AF463" s="384"/>
      <c r="AG463" s="384"/>
      <c r="AH463" s="384"/>
      <c r="AI463" s="384"/>
      <c r="AJ463" s="384"/>
      <c r="AK463" s="384"/>
      <c r="AL463" s="384"/>
      <c r="AM463" s="384"/>
    </row>
    <row r="464" spans="1:39" ht="15.75" customHeight="1">
      <c r="A464" s="563"/>
      <c r="B464" s="384"/>
      <c r="C464" s="563"/>
      <c r="D464" s="1997"/>
      <c r="E464" s="1998"/>
      <c r="F464" s="1954"/>
      <c r="G464" s="563"/>
      <c r="H464" s="563"/>
      <c r="I464" s="2000"/>
      <c r="J464" s="563"/>
      <c r="K464" s="384"/>
      <c r="L464" s="1901"/>
      <c r="M464" s="1999"/>
      <c r="N464" s="1999"/>
      <c r="O464" s="1999"/>
      <c r="P464" s="2002"/>
      <c r="Q464" s="2002"/>
      <c r="R464" s="482"/>
      <c r="S464" s="482"/>
      <c r="T464" s="482"/>
      <c r="U464" s="482"/>
      <c r="V464" s="384"/>
      <c r="W464" s="563"/>
      <c r="Y464" s="563"/>
      <c r="AA464" s="384"/>
      <c r="AB464" s="384"/>
      <c r="AC464" s="384"/>
      <c r="AD464" s="384"/>
      <c r="AE464" s="384"/>
      <c r="AF464" s="384"/>
      <c r="AG464" s="384"/>
      <c r="AH464" s="384"/>
      <c r="AI464" s="384"/>
      <c r="AJ464" s="384"/>
      <c r="AK464" s="384"/>
      <c r="AL464" s="384"/>
      <c r="AM464" s="384"/>
    </row>
    <row r="465" spans="1:39" ht="15.75" customHeight="1">
      <c r="A465" s="563"/>
      <c r="B465" s="384"/>
      <c r="C465" s="563"/>
      <c r="D465" s="1997"/>
      <c r="E465" s="1998"/>
      <c r="F465" s="1954"/>
      <c r="G465" s="563"/>
      <c r="H465" s="563"/>
      <c r="I465" s="2000"/>
      <c r="J465" s="563"/>
      <c r="K465" s="384"/>
      <c r="L465" s="1901"/>
      <c r="M465" s="1999"/>
      <c r="N465" s="1999"/>
      <c r="O465" s="1999"/>
      <c r="P465" s="2002"/>
      <c r="Q465" s="2002"/>
      <c r="R465" s="482"/>
      <c r="S465" s="482"/>
      <c r="T465" s="482"/>
      <c r="U465" s="482"/>
      <c r="V465" s="384"/>
      <c r="W465" s="563"/>
      <c r="Y465" s="563"/>
      <c r="AA465" s="384"/>
      <c r="AB465" s="384"/>
      <c r="AC465" s="384"/>
      <c r="AD465" s="384"/>
      <c r="AE465" s="384"/>
      <c r="AF465" s="384"/>
      <c r="AG465" s="384"/>
      <c r="AH465" s="384"/>
      <c r="AI465" s="384"/>
      <c r="AJ465" s="384"/>
      <c r="AK465" s="384"/>
      <c r="AL465" s="384"/>
      <c r="AM465" s="384"/>
    </row>
    <row r="466" spans="1:39" ht="15.75" customHeight="1">
      <c r="A466" s="563"/>
      <c r="B466" s="384"/>
      <c r="C466" s="563"/>
      <c r="D466" s="1997"/>
      <c r="E466" s="1998"/>
      <c r="F466" s="1954"/>
      <c r="G466" s="563"/>
      <c r="H466" s="563"/>
      <c r="I466" s="2000"/>
      <c r="J466" s="563"/>
      <c r="K466" s="384"/>
      <c r="L466" s="1901"/>
      <c r="M466" s="1999"/>
      <c r="N466" s="1999"/>
      <c r="O466" s="1999"/>
      <c r="P466" s="2002"/>
      <c r="Q466" s="2002"/>
      <c r="R466" s="482"/>
      <c r="S466" s="482"/>
      <c r="T466" s="482"/>
      <c r="U466" s="482"/>
      <c r="V466" s="384"/>
      <c r="W466" s="563"/>
      <c r="Y466" s="563"/>
      <c r="AA466" s="384"/>
      <c r="AB466" s="384"/>
      <c r="AC466" s="384"/>
      <c r="AD466" s="384"/>
      <c r="AE466" s="384"/>
      <c r="AF466" s="384"/>
      <c r="AG466" s="384"/>
      <c r="AH466" s="384"/>
      <c r="AI466" s="384"/>
      <c r="AJ466" s="384"/>
      <c r="AK466" s="384"/>
      <c r="AL466" s="384"/>
      <c r="AM466" s="384"/>
    </row>
    <row r="467" spans="1:39" ht="15.75" customHeight="1">
      <c r="A467" s="563"/>
      <c r="B467" s="384"/>
      <c r="C467" s="563"/>
      <c r="D467" s="1997"/>
      <c r="E467" s="1998"/>
      <c r="F467" s="1954"/>
      <c r="G467" s="563"/>
      <c r="H467" s="563"/>
      <c r="I467" s="2000"/>
      <c r="J467" s="563"/>
      <c r="K467" s="384"/>
      <c r="L467" s="1901"/>
      <c r="M467" s="1999"/>
      <c r="N467" s="1999"/>
      <c r="O467" s="1999"/>
      <c r="P467" s="2002"/>
      <c r="Q467" s="2002"/>
      <c r="R467" s="482"/>
      <c r="S467" s="482"/>
      <c r="T467" s="482"/>
      <c r="U467" s="482"/>
      <c r="V467" s="384"/>
      <c r="W467" s="563"/>
      <c r="Y467" s="563"/>
      <c r="AA467" s="384"/>
      <c r="AB467" s="384"/>
      <c r="AC467" s="384"/>
      <c r="AD467" s="384"/>
      <c r="AE467" s="384"/>
      <c r="AF467" s="384"/>
      <c r="AG467" s="384"/>
      <c r="AH467" s="384"/>
      <c r="AI467" s="384"/>
      <c r="AJ467" s="384"/>
      <c r="AK467" s="384"/>
      <c r="AL467" s="384"/>
      <c r="AM467" s="384"/>
    </row>
    <row r="468" spans="1:39" ht="15.75" customHeight="1">
      <c r="A468" s="563"/>
      <c r="B468" s="384"/>
      <c r="C468" s="563"/>
      <c r="D468" s="1997"/>
      <c r="E468" s="1998"/>
      <c r="F468" s="1954"/>
      <c r="G468" s="563"/>
      <c r="H468" s="563"/>
      <c r="I468" s="2000"/>
      <c r="J468" s="563"/>
      <c r="K468" s="384"/>
      <c r="L468" s="1901"/>
      <c r="M468" s="1999"/>
      <c r="N468" s="1999"/>
      <c r="O468" s="1999"/>
      <c r="P468" s="2002"/>
      <c r="Q468" s="2002"/>
      <c r="R468" s="482"/>
      <c r="S468" s="482"/>
      <c r="T468" s="482"/>
      <c r="U468" s="482"/>
      <c r="V468" s="384"/>
      <c r="W468" s="563"/>
      <c r="Y468" s="563"/>
      <c r="AA468" s="384"/>
      <c r="AB468" s="384"/>
      <c r="AC468" s="384"/>
      <c r="AD468" s="384"/>
      <c r="AE468" s="384"/>
      <c r="AF468" s="384"/>
      <c r="AG468" s="384"/>
      <c r="AH468" s="384"/>
      <c r="AI468" s="384"/>
      <c r="AJ468" s="384"/>
      <c r="AK468" s="384"/>
      <c r="AL468" s="384"/>
      <c r="AM468" s="384"/>
    </row>
    <row r="469" spans="1:39" ht="15.75" customHeight="1">
      <c r="A469" s="563"/>
      <c r="B469" s="384"/>
      <c r="C469" s="563"/>
      <c r="D469" s="1997"/>
      <c r="E469" s="1998"/>
      <c r="F469" s="1954"/>
      <c r="G469" s="563"/>
      <c r="H469" s="563"/>
      <c r="I469" s="2000"/>
      <c r="J469" s="563"/>
      <c r="K469" s="384"/>
      <c r="L469" s="1901"/>
      <c r="M469" s="1999"/>
      <c r="N469" s="1999"/>
      <c r="O469" s="1999"/>
      <c r="P469" s="2002"/>
      <c r="Q469" s="2002"/>
      <c r="R469" s="482"/>
      <c r="S469" s="482"/>
      <c r="T469" s="482"/>
      <c r="U469" s="482"/>
      <c r="V469" s="384"/>
      <c r="W469" s="563"/>
      <c r="Y469" s="563"/>
      <c r="AA469" s="384"/>
      <c r="AB469" s="384"/>
      <c r="AC469" s="384"/>
      <c r="AD469" s="384"/>
      <c r="AE469" s="384"/>
      <c r="AF469" s="384"/>
      <c r="AG469" s="384"/>
      <c r="AH469" s="384"/>
      <c r="AI469" s="384"/>
      <c r="AJ469" s="384"/>
      <c r="AK469" s="384"/>
      <c r="AL469" s="384"/>
      <c r="AM469" s="384"/>
    </row>
    <row r="470" spans="1:39" ht="15.75" customHeight="1">
      <c r="A470" s="563"/>
      <c r="B470" s="384"/>
      <c r="C470" s="563"/>
      <c r="D470" s="1997"/>
      <c r="E470" s="1998"/>
      <c r="F470" s="1954"/>
      <c r="G470" s="563"/>
      <c r="H470" s="563"/>
      <c r="I470" s="2000"/>
      <c r="J470" s="563"/>
      <c r="K470" s="384"/>
      <c r="L470" s="1901"/>
      <c r="M470" s="1999"/>
      <c r="N470" s="1999"/>
      <c r="O470" s="1999"/>
      <c r="P470" s="2002"/>
      <c r="Q470" s="2002"/>
      <c r="R470" s="482"/>
      <c r="S470" s="482"/>
      <c r="T470" s="482"/>
      <c r="U470" s="482"/>
      <c r="V470" s="384"/>
      <c r="W470" s="563"/>
      <c r="Y470" s="563"/>
      <c r="AA470" s="384"/>
      <c r="AB470" s="384"/>
      <c r="AC470" s="384"/>
      <c r="AD470" s="384"/>
      <c r="AE470" s="384"/>
      <c r="AF470" s="384"/>
      <c r="AG470" s="384"/>
      <c r="AH470" s="384"/>
      <c r="AI470" s="384"/>
      <c r="AJ470" s="384"/>
      <c r="AK470" s="384"/>
      <c r="AL470" s="384"/>
      <c r="AM470" s="384"/>
    </row>
    <row r="471" spans="1:39" ht="15.75" customHeight="1">
      <c r="A471" s="563"/>
      <c r="B471" s="384"/>
      <c r="C471" s="563"/>
      <c r="D471" s="1997"/>
      <c r="E471" s="1998"/>
      <c r="F471" s="1954"/>
      <c r="G471" s="563"/>
      <c r="H471" s="563"/>
      <c r="I471" s="2000"/>
      <c r="J471" s="563"/>
      <c r="K471" s="384"/>
      <c r="L471" s="1901"/>
      <c r="M471" s="1999"/>
      <c r="N471" s="1999"/>
      <c r="O471" s="1999"/>
      <c r="P471" s="2002"/>
      <c r="Q471" s="2002"/>
      <c r="R471" s="482"/>
      <c r="S471" s="482"/>
      <c r="T471" s="482"/>
      <c r="U471" s="482"/>
      <c r="V471" s="384"/>
      <c r="W471" s="563"/>
      <c r="Y471" s="563"/>
      <c r="AA471" s="384"/>
      <c r="AB471" s="384"/>
      <c r="AC471" s="384"/>
      <c r="AD471" s="384"/>
      <c r="AE471" s="384"/>
      <c r="AF471" s="384"/>
      <c r="AG471" s="384"/>
      <c r="AH471" s="384"/>
      <c r="AI471" s="384"/>
      <c r="AJ471" s="384"/>
      <c r="AK471" s="384"/>
      <c r="AL471" s="384"/>
      <c r="AM471" s="384"/>
    </row>
    <row r="472" spans="1:39" ht="15.75" customHeight="1">
      <c r="A472" s="563"/>
      <c r="B472" s="384"/>
      <c r="C472" s="563"/>
      <c r="D472" s="1997"/>
      <c r="E472" s="1998"/>
      <c r="F472" s="1954"/>
      <c r="G472" s="563"/>
      <c r="H472" s="563"/>
      <c r="I472" s="2000"/>
      <c r="J472" s="563"/>
      <c r="K472" s="384"/>
      <c r="L472" s="1901"/>
      <c r="M472" s="1999"/>
      <c r="N472" s="1999"/>
      <c r="O472" s="1999"/>
      <c r="P472" s="2002"/>
      <c r="Q472" s="2002"/>
      <c r="R472" s="482"/>
      <c r="S472" s="482"/>
      <c r="T472" s="482"/>
      <c r="U472" s="482"/>
      <c r="V472" s="384"/>
      <c r="W472" s="563"/>
      <c r="Y472" s="563"/>
      <c r="AA472" s="384"/>
      <c r="AB472" s="384"/>
      <c r="AC472" s="384"/>
      <c r="AD472" s="384"/>
      <c r="AE472" s="384"/>
      <c r="AF472" s="384"/>
      <c r="AG472" s="384"/>
      <c r="AH472" s="384"/>
      <c r="AI472" s="384"/>
      <c r="AJ472" s="384"/>
      <c r="AK472" s="384"/>
      <c r="AL472" s="384"/>
      <c r="AM472" s="384"/>
    </row>
    <row r="473" spans="1:39" ht="15.75" customHeight="1">
      <c r="A473" s="563"/>
      <c r="B473" s="384"/>
      <c r="C473" s="563"/>
      <c r="D473" s="1997"/>
      <c r="E473" s="1998"/>
      <c r="F473" s="1954"/>
      <c r="G473" s="563"/>
      <c r="H473" s="563"/>
      <c r="I473" s="2000"/>
      <c r="J473" s="563"/>
      <c r="K473" s="384"/>
      <c r="L473" s="1901"/>
      <c r="M473" s="1999"/>
      <c r="N473" s="1999"/>
      <c r="O473" s="1999"/>
      <c r="P473" s="2002"/>
      <c r="Q473" s="2002"/>
      <c r="R473" s="482"/>
      <c r="S473" s="482"/>
      <c r="T473" s="482"/>
      <c r="U473" s="482"/>
      <c r="V473" s="384"/>
      <c r="W473" s="563"/>
      <c r="Y473" s="563"/>
      <c r="AA473" s="384"/>
      <c r="AB473" s="384"/>
      <c r="AC473" s="384"/>
      <c r="AD473" s="384"/>
      <c r="AE473" s="384"/>
      <c r="AF473" s="384"/>
      <c r="AG473" s="384"/>
      <c r="AH473" s="384"/>
      <c r="AI473" s="384"/>
      <c r="AJ473" s="384"/>
      <c r="AK473" s="384"/>
      <c r="AL473" s="384"/>
      <c r="AM473" s="384"/>
    </row>
    <row r="474" spans="1:39" ht="15.75" customHeight="1">
      <c r="A474" s="563"/>
      <c r="B474" s="384"/>
      <c r="C474" s="563"/>
      <c r="D474" s="1997"/>
      <c r="E474" s="1998"/>
      <c r="F474" s="1954"/>
      <c r="G474" s="563"/>
      <c r="H474" s="563"/>
      <c r="I474" s="2000"/>
      <c r="J474" s="563"/>
      <c r="K474" s="384"/>
      <c r="L474" s="1901"/>
      <c r="M474" s="1999"/>
      <c r="N474" s="1999"/>
      <c r="O474" s="1999"/>
      <c r="P474" s="2002"/>
      <c r="Q474" s="2002"/>
      <c r="R474" s="482"/>
      <c r="S474" s="482"/>
      <c r="T474" s="482"/>
      <c r="U474" s="482"/>
      <c r="V474" s="384"/>
      <c r="W474" s="563"/>
      <c r="Y474" s="563"/>
      <c r="AA474" s="384"/>
      <c r="AB474" s="384"/>
      <c r="AC474" s="384"/>
      <c r="AD474" s="384"/>
      <c r="AE474" s="384"/>
      <c r="AF474" s="384"/>
      <c r="AG474" s="384"/>
      <c r="AH474" s="384"/>
      <c r="AI474" s="384"/>
      <c r="AJ474" s="384"/>
      <c r="AK474" s="384"/>
      <c r="AL474" s="384"/>
      <c r="AM474" s="384"/>
    </row>
    <row r="475" spans="1:39" ht="15.75" customHeight="1">
      <c r="A475" s="563"/>
      <c r="B475" s="384"/>
      <c r="C475" s="563"/>
      <c r="D475" s="1997"/>
      <c r="E475" s="1998"/>
      <c r="F475" s="1954"/>
      <c r="G475" s="563"/>
      <c r="H475" s="563"/>
      <c r="I475" s="2000"/>
      <c r="J475" s="563"/>
      <c r="K475" s="384"/>
      <c r="L475" s="1901"/>
      <c r="M475" s="1999"/>
      <c r="N475" s="1999"/>
      <c r="O475" s="1999"/>
      <c r="P475" s="2002"/>
      <c r="Q475" s="2002"/>
      <c r="R475" s="482"/>
      <c r="S475" s="482"/>
      <c r="T475" s="482"/>
      <c r="U475" s="482"/>
      <c r="V475" s="384"/>
      <c r="W475" s="563"/>
      <c r="Y475" s="563"/>
      <c r="AA475" s="384"/>
      <c r="AB475" s="384"/>
      <c r="AC475" s="384"/>
      <c r="AD475" s="384"/>
      <c r="AE475" s="384"/>
      <c r="AF475" s="384"/>
      <c r="AG475" s="384"/>
      <c r="AH475" s="384"/>
      <c r="AI475" s="384"/>
      <c r="AJ475" s="384"/>
      <c r="AK475" s="384"/>
      <c r="AL475" s="384"/>
      <c r="AM475" s="384"/>
    </row>
    <row r="476" spans="1:39" ht="15.75" customHeight="1">
      <c r="A476" s="563"/>
      <c r="B476" s="384"/>
      <c r="C476" s="563"/>
      <c r="D476" s="1997"/>
      <c r="E476" s="1998"/>
      <c r="F476" s="1954"/>
      <c r="G476" s="563"/>
      <c r="H476" s="563"/>
      <c r="I476" s="2000"/>
      <c r="J476" s="563"/>
      <c r="K476" s="384"/>
      <c r="L476" s="1901"/>
      <c r="M476" s="1999"/>
      <c r="N476" s="1999"/>
      <c r="O476" s="1999"/>
      <c r="P476" s="2002"/>
      <c r="Q476" s="2002"/>
      <c r="R476" s="482"/>
      <c r="S476" s="482"/>
      <c r="T476" s="482"/>
      <c r="U476" s="482"/>
      <c r="V476" s="384"/>
      <c r="W476" s="563"/>
      <c r="Y476" s="563"/>
      <c r="AA476" s="384"/>
      <c r="AB476" s="384"/>
      <c r="AC476" s="384"/>
      <c r="AD476" s="384"/>
      <c r="AE476" s="384"/>
      <c r="AF476" s="384"/>
      <c r="AG476" s="384"/>
      <c r="AH476" s="384"/>
      <c r="AI476" s="384"/>
      <c r="AJ476" s="384"/>
      <c r="AK476" s="384"/>
      <c r="AL476" s="384"/>
      <c r="AM476" s="384"/>
    </row>
    <row r="477" spans="1:39" ht="15.75" customHeight="1">
      <c r="A477" s="563"/>
      <c r="B477" s="384"/>
      <c r="C477" s="563"/>
      <c r="D477" s="1997"/>
      <c r="E477" s="1998"/>
      <c r="F477" s="1954"/>
      <c r="G477" s="563"/>
      <c r="H477" s="563"/>
      <c r="I477" s="2000"/>
      <c r="J477" s="563"/>
      <c r="K477" s="384"/>
      <c r="L477" s="1901"/>
      <c r="M477" s="1999"/>
      <c r="N477" s="1999"/>
      <c r="O477" s="1999"/>
      <c r="P477" s="2002"/>
      <c r="Q477" s="2002"/>
      <c r="R477" s="482"/>
      <c r="S477" s="482"/>
      <c r="T477" s="482"/>
      <c r="U477" s="482"/>
      <c r="V477" s="384"/>
      <c r="W477" s="563"/>
      <c r="Y477" s="563"/>
      <c r="AA477" s="384"/>
      <c r="AB477" s="384"/>
      <c r="AC477" s="384"/>
      <c r="AD477" s="384"/>
      <c r="AE477" s="384"/>
      <c r="AF477" s="384"/>
      <c r="AG477" s="384"/>
      <c r="AH477" s="384"/>
      <c r="AI477" s="384"/>
      <c r="AJ477" s="384"/>
      <c r="AK477" s="384"/>
      <c r="AL477" s="384"/>
      <c r="AM477" s="384"/>
    </row>
    <row r="478" spans="1:39" ht="15.75" customHeight="1">
      <c r="A478" s="563"/>
      <c r="B478" s="384"/>
      <c r="C478" s="563"/>
      <c r="D478" s="1997"/>
      <c r="E478" s="1998"/>
      <c r="F478" s="1954"/>
      <c r="G478" s="563"/>
      <c r="H478" s="563"/>
      <c r="I478" s="2000"/>
      <c r="J478" s="563"/>
      <c r="K478" s="384"/>
      <c r="L478" s="1901"/>
      <c r="M478" s="1999"/>
      <c r="N478" s="1999"/>
      <c r="O478" s="1999"/>
      <c r="P478" s="2002"/>
      <c r="Q478" s="2002"/>
      <c r="R478" s="482"/>
      <c r="S478" s="482"/>
      <c r="T478" s="482"/>
      <c r="U478" s="482"/>
      <c r="V478" s="384"/>
      <c r="W478" s="563"/>
      <c r="Y478" s="563"/>
      <c r="AA478" s="384"/>
      <c r="AB478" s="384"/>
      <c r="AC478" s="384"/>
      <c r="AD478" s="384"/>
      <c r="AE478" s="384"/>
      <c r="AF478" s="384"/>
      <c r="AG478" s="384"/>
      <c r="AH478" s="384"/>
      <c r="AI478" s="384"/>
      <c r="AJ478" s="384"/>
      <c r="AK478" s="384"/>
      <c r="AL478" s="384"/>
      <c r="AM478" s="384"/>
    </row>
    <row r="479" spans="1:39" ht="15.75" customHeight="1">
      <c r="A479" s="563"/>
      <c r="B479" s="384"/>
      <c r="C479" s="563"/>
      <c r="D479" s="1997"/>
      <c r="E479" s="1998"/>
      <c r="F479" s="1954"/>
      <c r="G479" s="563"/>
      <c r="H479" s="563"/>
      <c r="I479" s="2000"/>
      <c r="J479" s="563"/>
      <c r="K479" s="384"/>
      <c r="L479" s="1901"/>
      <c r="M479" s="1999"/>
      <c r="N479" s="1999"/>
      <c r="O479" s="1999"/>
      <c r="P479" s="2002"/>
      <c r="Q479" s="2002"/>
      <c r="R479" s="482"/>
      <c r="S479" s="482"/>
      <c r="T479" s="482"/>
      <c r="U479" s="482"/>
      <c r="V479" s="384"/>
      <c r="W479" s="563"/>
      <c r="Y479" s="563"/>
      <c r="AA479" s="384"/>
      <c r="AB479" s="384"/>
      <c r="AC479" s="384"/>
      <c r="AD479" s="384"/>
      <c r="AE479" s="384"/>
      <c r="AF479" s="384"/>
      <c r="AG479" s="384"/>
      <c r="AH479" s="384"/>
      <c r="AI479" s="384"/>
      <c r="AJ479" s="384"/>
      <c r="AK479" s="384"/>
      <c r="AL479" s="384"/>
      <c r="AM479" s="384"/>
    </row>
    <row r="480" spans="1:39" ht="15.75" customHeight="1">
      <c r="A480" s="563"/>
      <c r="B480" s="384"/>
      <c r="C480" s="563"/>
      <c r="D480" s="1997"/>
      <c r="E480" s="1998"/>
      <c r="F480" s="1954"/>
      <c r="G480" s="563"/>
      <c r="H480" s="563"/>
      <c r="I480" s="2000"/>
      <c r="J480" s="563"/>
      <c r="K480" s="384"/>
      <c r="L480" s="1901"/>
      <c r="M480" s="1999"/>
      <c r="N480" s="1999"/>
      <c r="O480" s="1999"/>
      <c r="P480" s="2002"/>
      <c r="Q480" s="2002"/>
      <c r="R480" s="482"/>
      <c r="S480" s="482"/>
      <c r="T480" s="482"/>
      <c r="U480" s="482"/>
      <c r="V480" s="384"/>
      <c r="W480" s="563"/>
      <c r="Y480" s="563"/>
      <c r="AA480" s="384"/>
      <c r="AB480" s="384"/>
      <c r="AC480" s="384"/>
      <c r="AD480" s="384"/>
      <c r="AE480" s="384"/>
      <c r="AF480" s="384"/>
      <c r="AG480" s="384"/>
      <c r="AH480" s="384"/>
      <c r="AI480" s="384"/>
      <c r="AJ480" s="384"/>
      <c r="AK480" s="384"/>
      <c r="AL480" s="384"/>
      <c r="AM480" s="384"/>
    </row>
    <row r="481" spans="1:39" ht="15.75" customHeight="1">
      <c r="A481" s="563"/>
      <c r="B481" s="384"/>
      <c r="C481" s="563"/>
      <c r="D481" s="1997"/>
      <c r="E481" s="1998"/>
      <c r="F481" s="1954"/>
      <c r="G481" s="563"/>
      <c r="H481" s="563"/>
      <c r="I481" s="2000"/>
      <c r="J481" s="563"/>
      <c r="K481" s="384"/>
      <c r="L481" s="1901"/>
      <c r="M481" s="1999"/>
      <c r="N481" s="1999"/>
      <c r="O481" s="1999"/>
      <c r="P481" s="2002"/>
      <c r="Q481" s="2002"/>
      <c r="R481" s="482"/>
      <c r="S481" s="482"/>
      <c r="T481" s="482"/>
      <c r="U481" s="482"/>
      <c r="V481" s="384"/>
      <c r="W481" s="563"/>
      <c r="Y481" s="563"/>
      <c r="AA481" s="384"/>
      <c r="AB481" s="384"/>
      <c r="AC481" s="384"/>
      <c r="AD481" s="384"/>
      <c r="AE481" s="384"/>
      <c r="AF481" s="384"/>
      <c r="AG481" s="384"/>
      <c r="AH481" s="384"/>
      <c r="AI481" s="384"/>
      <c r="AJ481" s="384"/>
      <c r="AK481" s="384"/>
      <c r="AL481" s="384"/>
      <c r="AM481" s="384"/>
    </row>
    <row r="482" spans="1:39" ht="15.75" customHeight="1">
      <c r="A482" s="563"/>
      <c r="B482" s="384"/>
      <c r="C482" s="563"/>
      <c r="D482" s="1997"/>
      <c r="E482" s="1998"/>
      <c r="F482" s="1954"/>
      <c r="G482" s="563"/>
      <c r="H482" s="563"/>
      <c r="I482" s="2000"/>
      <c r="J482" s="563"/>
      <c r="K482" s="384"/>
      <c r="L482" s="1901"/>
      <c r="M482" s="1999"/>
      <c r="N482" s="1999"/>
      <c r="O482" s="1999"/>
      <c r="P482" s="2002"/>
      <c r="Q482" s="2002"/>
      <c r="R482" s="482"/>
      <c r="S482" s="482"/>
      <c r="T482" s="482"/>
      <c r="U482" s="482"/>
      <c r="V482" s="384"/>
      <c r="W482" s="563"/>
      <c r="Y482" s="563"/>
      <c r="AA482" s="384"/>
      <c r="AB482" s="384"/>
      <c r="AC482" s="384"/>
      <c r="AD482" s="384"/>
      <c r="AE482" s="384"/>
      <c r="AF482" s="384"/>
      <c r="AG482" s="384"/>
      <c r="AH482" s="384"/>
      <c r="AI482" s="384"/>
      <c r="AJ482" s="384"/>
      <c r="AK482" s="384"/>
      <c r="AL482" s="384"/>
      <c r="AM482" s="384"/>
    </row>
    <row r="483" spans="1:39" ht="15.75" customHeight="1">
      <c r="A483" s="563"/>
      <c r="B483" s="384"/>
      <c r="C483" s="563"/>
      <c r="D483" s="1997"/>
      <c r="E483" s="1998"/>
      <c r="F483" s="1954"/>
      <c r="G483" s="563"/>
      <c r="H483" s="563"/>
      <c r="I483" s="2000"/>
      <c r="J483" s="563"/>
      <c r="K483" s="384"/>
      <c r="L483" s="1901"/>
      <c r="M483" s="1999"/>
      <c r="N483" s="1999"/>
      <c r="O483" s="1999"/>
      <c r="P483" s="2002"/>
      <c r="Q483" s="2002"/>
      <c r="R483" s="482"/>
      <c r="S483" s="482"/>
      <c r="T483" s="482"/>
      <c r="U483" s="482"/>
      <c r="V483" s="384"/>
      <c r="W483" s="563"/>
      <c r="Y483" s="563"/>
      <c r="AA483" s="384"/>
      <c r="AB483" s="384"/>
      <c r="AC483" s="384"/>
      <c r="AD483" s="384"/>
      <c r="AE483" s="384"/>
      <c r="AF483" s="384"/>
      <c r="AG483" s="384"/>
      <c r="AH483" s="384"/>
      <c r="AI483" s="384"/>
      <c r="AJ483" s="384"/>
      <c r="AK483" s="384"/>
      <c r="AL483" s="384"/>
      <c r="AM483" s="384"/>
    </row>
    <row r="484" spans="1:39" ht="15.75" customHeight="1">
      <c r="A484" s="563"/>
      <c r="B484" s="384"/>
      <c r="C484" s="563"/>
      <c r="D484" s="1997"/>
      <c r="E484" s="1998"/>
      <c r="F484" s="1954"/>
      <c r="G484" s="563"/>
      <c r="H484" s="563"/>
      <c r="I484" s="2000"/>
      <c r="J484" s="563"/>
      <c r="K484" s="384"/>
      <c r="L484" s="1901"/>
      <c r="M484" s="1999"/>
      <c r="N484" s="1999"/>
      <c r="O484" s="1999"/>
      <c r="P484" s="2002"/>
      <c r="Q484" s="2002"/>
      <c r="R484" s="482"/>
      <c r="S484" s="482"/>
      <c r="T484" s="482"/>
      <c r="U484" s="482"/>
      <c r="V484" s="384"/>
      <c r="W484" s="563"/>
      <c r="Y484" s="563"/>
      <c r="AA484" s="384"/>
      <c r="AB484" s="384"/>
      <c r="AC484" s="384"/>
      <c r="AD484" s="384"/>
      <c r="AE484" s="384"/>
      <c r="AF484" s="384"/>
      <c r="AG484" s="384"/>
      <c r="AH484" s="384"/>
      <c r="AI484" s="384"/>
      <c r="AJ484" s="384"/>
      <c r="AK484" s="384"/>
      <c r="AL484" s="384"/>
      <c r="AM484" s="384"/>
    </row>
    <row r="485" spans="1:39" ht="15.75" customHeight="1">
      <c r="A485" s="563"/>
      <c r="B485" s="384"/>
      <c r="C485" s="563"/>
      <c r="D485" s="1997"/>
      <c r="E485" s="1998"/>
      <c r="F485" s="1954"/>
      <c r="G485" s="563"/>
      <c r="H485" s="563"/>
      <c r="I485" s="2000"/>
      <c r="J485" s="563"/>
      <c r="K485" s="384"/>
      <c r="L485" s="1901"/>
      <c r="M485" s="1999"/>
      <c r="N485" s="1999"/>
      <c r="O485" s="1999"/>
      <c r="P485" s="2002"/>
      <c r="Q485" s="2002"/>
      <c r="R485" s="482"/>
      <c r="S485" s="482"/>
      <c r="T485" s="482"/>
      <c r="U485" s="482"/>
      <c r="V485" s="384"/>
      <c r="W485" s="563"/>
      <c r="Y485" s="563"/>
      <c r="AA485" s="384"/>
      <c r="AB485" s="384"/>
      <c r="AC485" s="384"/>
      <c r="AD485" s="384"/>
      <c r="AE485" s="384"/>
      <c r="AF485" s="384"/>
      <c r="AG485" s="384"/>
      <c r="AH485" s="384"/>
      <c r="AI485" s="384"/>
      <c r="AJ485" s="384"/>
      <c r="AK485" s="384"/>
      <c r="AL485" s="384"/>
      <c r="AM485" s="384"/>
    </row>
    <row r="486" spans="1:39" ht="15.75" customHeight="1">
      <c r="A486" s="563"/>
      <c r="B486" s="384"/>
      <c r="C486" s="563"/>
      <c r="D486" s="1997"/>
      <c r="E486" s="1998"/>
      <c r="F486" s="1954"/>
      <c r="G486" s="563"/>
      <c r="H486" s="563"/>
      <c r="I486" s="2000"/>
      <c r="J486" s="563"/>
      <c r="K486" s="384"/>
      <c r="L486" s="1901"/>
      <c r="M486" s="1999"/>
      <c r="N486" s="1999"/>
      <c r="O486" s="1999"/>
      <c r="P486" s="2002"/>
      <c r="Q486" s="2002"/>
      <c r="R486" s="482"/>
      <c r="S486" s="482"/>
      <c r="T486" s="482"/>
      <c r="U486" s="482"/>
      <c r="V486" s="384"/>
      <c r="W486" s="563"/>
      <c r="Y486" s="563"/>
      <c r="AA486" s="384"/>
      <c r="AB486" s="384"/>
      <c r="AC486" s="384"/>
      <c r="AD486" s="384"/>
      <c r="AE486" s="384"/>
      <c r="AF486" s="384"/>
      <c r="AG486" s="384"/>
      <c r="AH486" s="384"/>
      <c r="AI486" s="384"/>
      <c r="AJ486" s="384"/>
      <c r="AK486" s="384"/>
      <c r="AL486" s="384"/>
      <c r="AM486" s="384"/>
    </row>
    <row r="487" spans="1:39" ht="15.75" customHeight="1">
      <c r="A487" s="563"/>
      <c r="B487" s="384"/>
      <c r="C487" s="563"/>
      <c r="D487" s="1997"/>
      <c r="E487" s="1998"/>
      <c r="F487" s="1954"/>
      <c r="G487" s="563"/>
      <c r="H487" s="563"/>
      <c r="I487" s="2000"/>
      <c r="J487" s="563"/>
      <c r="K487" s="384"/>
      <c r="L487" s="1901"/>
      <c r="M487" s="1999"/>
      <c r="N487" s="1999"/>
      <c r="O487" s="1999"/>
      <c r="P487" s="2002"/>
      <c r="Q487" s="2002"/>
      <c r="R487" s="482"/>
      <c r="S487" s="482"/>
      <c r="T487" s="482"/>
      <c r="U487" s="482"/>
      <c r="V487" s="384"/>
      <c r="W487" s="563"/>
      <c r="Y487" s="563"/>
      <c r="AA487" s="384"/>
      <c r="AB487" s="384"/>
      <c r="AC487" s="384"/>
      <c r="AD487" s="384"/>
      <c r="AE487" s="384"/>
      <c r="AF487" s="384"/>
      <c r="AG487" s="384"/>
      <c r="AH487" s="384"/>
      <c r="AI487" s="384"/>
      <c r="AJ487" s="384"/>
      <c r="AK487" s="384"/>
      <c r="AL487" s="384"/>
      <c r="AM487" s="384"/>
    </row>
    <row r="488" spans="1:39" ht="15.75" customHeight="1">
      <c r="A488" s="563"/>
      <c r="B488" s="384"/>
      <c r="C488" s="563"/>
      <c r="D488" s="1997"/>
      <c r="E488" s="1998"/>
      <c r="F488" s="1954"/>
      <c r="G488" s="563"/>
      <c r="H488" s="563"/>
      <c r="I488" s="2000"/>
      <c r="J488" s="563"/>
      <c r="K488" s="384"/>
      <c r="L488" s="1901"/>
      <c r="M488" s="1999"/>
      <c r="N488" s="1999"/>
      <c r="O488" s="1999"/>
      <c r="P488" s="2002"/>
      <c r="Q488" s="2002"/>
      <c r="R488" s="482"/>
      <c r="S488" s="482"/>
      <c r="T488" s="482"/>
      <c r="U488" s="482"/>
      <c r="V488" s="384"/>
      <c r="W488" s="563"/>
      <c r="Y488" s="563"/>
      <c r="AA488" s="384"/>
      <c r="AB488" s="384"/>
      <c r="AC488" s="384"/>
      <c r="AD488" s="384"/>
      <c r="AE488" s="384"/>
      <c r="AF488" s="384"/>
      <c r="AG488" s="384"/>
      <c r="AH488" s="384"/>
      <c r="AI488" s="384"/>
      <c r="AJ488" s="384"/>
      <c r="AK488" s="384"/>
      <c r="AL488" s="384"/>
      <c r="AM488" s="384"/>
    </row>
    <row r="489" spans="1:39" ht="15.75" customHeight="1">
      <c r="A489" s="563"/>
      <c r="B489" s="384"/>
      <c r="C489" s="563"/>
      <c r="D489" s="1997"/>
      <c r="E489" s="1998"/>
      <c r="F489" s="1954"/>
      <c r="G489" s="563"/>
      <c r="H489" s="563"/>
      <c r="I489" s="2000"/>
      <c r="J489" s="563"/>
      <c r="K489" s="384"/>
      <c r="L489" s="1901"/>
      <c r="M489" s="1999"/>
      <c r="N489" s="1999"/>
      <c r="O489" s="1999"/>
      <c r="P489" s="2002"/>
      <c r="Q489" s="2002"/>
      <c r="R489" s="482"/>
      <c r="S489" s="482"/>
      <c r="T489" s="482"/>
      <c r="U489" s="482"/>
      <c r="V489" s="384"/>
      <c r="W489" s="563"/>
      <c r="Y489" s="563"/>
      <c r="AA489" s="384"/>
      <c r="AB489" s="384"/>
      <c r="AC489" s="384"/>
      <c r="AD489" s="384"/>
      <c r="AE489" s="384"/>
      <c r="AF489" s="384"/>
      <c r="AG489" s="384"/>
      <c r="AH489" s="384"/>
      <c r="AI489" s="384"/>
      <c r="AJ489" s="384"/>
      <c r="AK489" s="384"/>
      <c r="AL489" s="384"/>
      <c r="AM489" s="384"/>
    </row>
    <row r="490" spans="1:39" ht="15.75" customHeight="1">
      <c r="A490" s="563"/>
      <c r="B490" s="384"/>
      <c r="C490" s="563"/>
      <c r="D490" s="1997"/>
      <c r="E490" s="1998"/>
      <c r="F490" s="1954"/>
      <c r="G490" s="563"/>
      <c r="H490" s="563"/>
      <c r="I490" s="2000"/>
      <c r="J490" s="563"/>
      <c r="K490" s="384"/>
      <c r="L490" s="1901"/>
      <c r="M490" s="1999"/>
      <c r="N490" s="1999"/>
      <c r="O490" s="1999"/>
      <c r="P490" s="2002"/>
      <c r="Q490" s="2002"/>
      <c r="R490" s="482"/>
      <c r="S490" s="482"/>
      <c r="T490" s="482"/>
      <c r="U490" s="482"/>
      <c r="V490" s="384"/>
      <c r="W490" s="563"/>
      <c r="Y490" s="563"/>
      <c r="AA490" s="384"/>
      <c r="AB490" s="384"/>
      <c r="AC490" s="384"/>
      <c r="AD490" s="384"/>
      <c r="AE490" s="384"/>
      <c r="AF490" s="384"/>
      <c r="AG490" s="384"/>
      <c r="AH490" s="384"/>
      <c r="AI490" s="384"/>
      <c r="AJ490" s="384"/>
      <c r="AK490" s="384"/>
      <c r="AL490" s="384"/>
      <c r="AM490" s="384"/>
    </row>
    <row r="491" spans="1:39" ht="15.75" customHeight="1">
      <c r="A491" s="563"/>
      <c r="B491" s="384"/>
      <c r="C491" s="563"/>
      <c r="D491" s="1997"/>
      <c r="E491" s="1998"/>
      <c r="F491" s="1954"/>
      <c r="G491" s="563"/>
      <c r="H491" s="563"/>
      <c r="I491" s="2000"/>
      <c r="J491" s="563"/>
      <c r="K491" s="384"/>
      <c r="L491" s="1901"/>
      <c r="M491" s="1999"/>
      <c r="N491" s="1999"/>
      <c r="O491" s="1999"/>
      <c r="P491" s="2002"/>
      <c r="Q491" s="2002"/>
      <c r="R491" s="482"/>
      <c r="S491" s="482"/>
      <c r="T491" s="482"/>
      <c r="U491" s="482"/>
      <c r="V491" s="384"/>
      <c r="W491" s="563"/>
      <c r="Y491" s="563"/>
      <c r="AA491" s="384"/>
      <c r="AB491" s="384"/>
      <c r="AC491" s="384"/>
      <c r="AD491" s="384"/>
      <c r="AE491" s="384"/>
      <c r="AF491" s="384"/>
      <c r="AG491" s="384"/>
      <c r="AH491" s="384"/>
      <c r="AI491" s="384"/>
      <c r="AJ491" s="384"/>
      <c r="AK491" s="384"/>
      <c r="AL491" s="384"/>
      <c r="AM491" s="384"/>
    </row>
    <row r="492" spans="1:39" ht="15.75" customHeight="1">
      <c r="A492" s="563"/>
      <c r="B492" s="384"/>
      <c r="C492" s="563"/>
      <c r="D492" s="1997"/>
      <c r="E492" s="1998"/>
      <c r="F492" s="1954"/>
      <c r="G492" s="563"/>
      <c r="H492" s="563"/>
      <c r="I492" s="2000"/>
      <c r="J492" s="563"/>
      <c r="K492" s="384"/>
      <c r="L492" s="1901"/>
      <c r="M492" s="1999"/>
      <c r="N492" s="1999"/>
      <c r="O492" s="1999"/>
      <c r="P492" s="2002"/>
      <c r="Q492" s="2002"/>
      <c r="R492" s="482"/>
      <c r="S492" s="482"/>
      <c r="T492" s="482"/>
      <c r="U492" s="482"/>
      <c r="V492" s="384"/>
      <c r="W492" s="563"/>
      <c r="Y492" s="563"/>
      <c r="AA492" s="384"/>
      <c r="AB492" s="384"/>
      <c r="AC492" s="384"/>
      <c r="AD492" s="384"/>
      <c r="AE492" s="384"/>
      <c r="AF492" s="384"/>
      <c r="AG492" s="384"/>
      <c r="AH492" s="384"/>
      <c r="AI492" s="384"/>
      <c r="AJ492" s="384"/>
      <c r="AK492" s="384"/>
      <c r="AL492" s="384"/>
      <c r="AM492" s="384"/>
    </row>
    <row r="493" spans="1:39" ht="15.75" customHeight="1">
      <c r="A493" s="563"/>
      <c r="B493" s="384"/>
      <c r="C493" s="563"/>
      <c r="D493" s="1997"/>
      <c r="E493" s="1998"/>
      <c r="F493" s="1954"/>
      <c r="G493" s="563"/>
      <c r="H493" s="563"/>
      <c r="I493" s="2000"/>
      <c r="J493" s="563"/>
      <c r="K493" s="384"/>
      <c r="L493" s="1901"/>
      <c r="M493" s="1999"/>
      <c r="N493" s="1999"/>
      <c r="O493" s="1999"/>
      <c r="P493" s="2002"/>
      <c r="Q493" s="2002"/>
      <c r="R493" s="482"/>
      <c r="S493" s="482"/>
      <c r="T493" s="482"/>
      <c r="U493" s="482"/>
      <c r="V493" s="384"/>
      <c r="W493" s="563"/>
      <c r="Y493" s="563"/>
      <c r="AA493" s="384"/>
      <c r="AB493" s="384"/>
      <c r="AC493" s="384"/>
      <c r="AD493" s="384"/>
      <c r="AE493" s="384"/>
      <c r="AF493" s="384"/>
      <c r="AG493" s="384"/>
      <c r="AH493" s="384"/>
      <c r="AI493" s="384"/>
      <c r="AJ493" s="384"/>
      <c r="AK493" s="384"/>
      <c r="AL493" s="384"/>
      <c r="AM493" s="384"/>
    </row>
    <row r="494" spans="1:39" ht="15.75" customHeight="1">
      <c r="A494" s="563"/>
      <c r="B494" s="384"/>
      <c r="C494" s="563"/>
      <c r="D494" s="1997"/>
      <c r="E494" s="1998"/>
      <c r="F494" s="1954"/>
      <c r="G494" s="563"/>
      <c r="H494" s="563"/>
      <c r="I494" s="2000"/>
      <c r="J494" s="563"/>
      <c r="K494" s="384"/>
      <c r="L494" s="1901"/>
      <c r="M494" s="1999"/>
      <c r="N494" s="1999"/>
      <c r="O494" s="1999"/>
      <c r="P494" s="2002"/>
      <c r="Q494" s="2002"/>
      <c r="R494" s="482"/>
      <c r="S494" s="482"/>
      <c r="T494" s="482"/>
      <c r="U494" s="482"/>
      <c r="V494" s="384"/>
      <c r="W494" s="563"/>
      <c r="Y494" s="563"/>
      <c r="AA494" s="384"/>
      <c r="AB494" s="384"/>
      <c r="AC494" s="384"/>
      <c r="AD494" s="384"/>
      <c r="AE494" s="384"/>
      <c r="AF494" s="384"/>
      <c r="AG494" s="384"/>
      <c r="AH494" s="384"/>
      <c r="AI494" s="384"/>
      <c r="AJ494" s="384"/>
      <c r="AK494" s="384"/>
      <c r="AL494" s="384"/>
      <c r="AM494" s="384"/>
    </row>
    <row r="495" spans="1:39" ht="15.75" customHeight="1">
      <c r="A495" s="563"/>
      <c r="B495" s="384"/>
      <c r="C495" s="563"/>
      <c r="D495" s="1997"/>
      <c r="E495" s="1998"/>
      <c r="F495" s="1954"/>
      <c r="G495" s="563"/>
      <c r="H495" s="563"/>
      <c r="I495" s="2000"/>
      <c r="J495" s="563"/>
      <c r="K495" s="384"/>
      <c r="L495" s="1901"/>
      <c r="M495" s="1999"/>
      <c r="N495" s="1999"/>
      <c r="O495" s="1999"/>
      <c r="P495" s="2002"/>
      <c r="Q495" s="2002"/>
      <c r="R495" s="482"/>
      <c r="S495" s="482"/>
      <c r="T495" s="482"/>
      <c r="U495" s="482"/>
      <c r="V495" s="384"/>
      <c r="W495" s="563"/>
      <c r="Y495" s="563"/>
      <c r="AA495" s="384"/>
      <c r="AB495" s="384"/>
      <c r="AC495" s="384"/>
      <c r="AD495" s="384"/>
      <c r="AE495" s="384"/>
      <c r="AF495" s="384"/>
      <c r="AG495" s="384"/>
      <c r="AH495" s="384"/>
      <c r="AI495" s="384"/>
      <c r="AJ495" s="384"/>
      <c r="AK495" s="384"/>
      <c r="AL495" s="384"/>
      <c r="AM495" s="384"/>
    </row>
    <row r="496" spans="1:39" ht="15.75" customHeight="1">
      <c r="A496" s="563"/>
      <c r="B496" s="384"/>
      <c r="C496" s="563"/>
      <c r="D496" s="1997"/>
      <c r="E496" s="1998"/>
      <c r="F496" s="1954"/>
      <c r="G496" s="563"/>
      <c r="H496" s="563"/>
      <c r="I496" s="2000"/>
      <c r="J496" s="563"/>
      <c r="K496" s="384"/>
      <c r="L496" s="1901"/>
      <c r="M496" s="1999"/>
      <c r="N496" s="1999"/>
      <c r="O496" s="1999"/>
      <c r="P496" s="2002"/>
      <c r="Q496" s="2002"/>
      <c r="R496" s="482"/>
      <c r="S496" s="482"/>
      <c r="T496" s="482"/>
      <c r="U496" s="482"/>
      <c r="V496" s="384"/>
      <c r="W496" s="563"/>
      <c r="Y496" s="563"/>
      <c r="AA496" s="384"/>
      <c r="AB496" s="384"/>
      <c r="AC496" s="384"/>
      <c r="AD496" s="384"/>
      <c r="AE496" s="384"/>
      <c r="AF496" s="384"/>
      <c r="AG496" s="384"/>
      <c r="AH496" s="384"/>
      <c r="AI496" s="384"/>
      <c r="AJ496" s="384"/>
      <c r="AK496" s="384"/>
      <c r="AL496" s="384"/>
      <c r="AM496" s="384"/>
    </row>
    <row r="497" spans="1:39" ht="15.75" customHeight="1">
      <c r="A497" s="563"/>
      <c r="B497" s="384"/>
      <c r="C497" s="563"/>
      <c r="D497" s="1997"/>
      <c r="E497" s="1998"/>
      <c r="F497" s="1954"/>
      <c r="G497" s="563"/>
      <c r="H497" s="563"/>
      <c r="I497" s="2000"/>
      <c r="J497" s="563"/>
      <c r="K497" s="384"/>
      <c r="L497" s="1901"/>
      <c r="M497" s="1999"/>
      <c r="N497" s="1999"/>
      <c r="O497" s="1999"/>
      <c r="P497" s="2002"/>
      <c r="Q497" s="2002"/>
      <c r="R497" s="482"/>
      <c r="S497" s="482"/>
      <c r="T497" s="482"/>
      <c r="U497" s="482"/>
      <c r="V497" s="384"/>
      <c r="W497" s="563"/>
      <c r="Y497" s="563"/>
      <c r="AA497" s="384"/>
      <c r="AB497" s="384"/>
      <c r="AC497" s="384"/>
      <c r="AD497" s="384"/>
      <c r="AE497" s="384"/>
      <c r="AF497" s="384"/>
      <c r="AG497" s="384"/>
      <c r="AH497" s="384"/>
      <c r="AI497" s="384"/>
      <c r="AJ497" s="384"/>
      <c r="AK497" s="384"/>
      <c r="AL497" s="384"/>
      <c r="AM497" s="384"/>
    </row>
    <row r="498" spans="1:39" ht="15.75" customHeight="1">
      <c r="A498" s="563"/>
      <c r="B498" s="384"/>
      <c r="C498" s="563"/>
      <c r="D498" s="1997"/>
      <c r="E498" s="1998"/>
      <c r="F498" s="1954"/>
      <c r="G498" s="563"/>
      <c r="H498" s="563"/>
      <c r="I498" s="2000"/>
      <c r="J498" s="563"/>
      <c r="K498" s="384"/>
      <c r="L498" s="1901"/>
      <c r="M498" s="1999"/>
      <c r="N498" s="1999"/>
      <c r="O498" s="1999"/>
      <c r="P498" s="2002"/>
      <c r="Q498" s="2002"/>
      <c r="R498" s="482"/>
      <c r="S498" s="482"/>
      <c r="T498" s="482"/>
      <c r="U498" s="482"/>
      <c r="V498" s="384"/>
      <c r="W498" s="563"/>
      <c r="Y498" s="563"/>
      <c r="AA498" s="384"/>
      <c r="AB498" s="384"/>
      <c r="AC498" s="384"/>
      <c r="AD498" s="384"/>
      <c r="AE498" s="384"/>
      <c r="AF498" s="384"/>
      <c r="AG498" s="384"/>
      <c r="AH498" s="384"/>
      <c r="AI498" s="384"/>
      <c r="AJ498" s="384"/>
      <c r="AK498" s="384"/>
      <c r="AL498" s="384"/>
      <c r="AM498" s="384"/>
    </row>
    <row r="499" spans="1:39" ht="15.75" customHeight="1">
      <c r="A499" s="563"/>
      <c r="B499" s="384"/>
      <c r="C499" s="563"/>
      <c r="D499" s="1997"/>
      <c r="E499" s="1998"/>
      <c r="F499" s="1954"/>
      <c r="G499" s="563"/>
      <c r="H499" s="563"/>
      <c r="I499" s="2000"/>
      <c r="J499" s="563"/>
      <c r="K499" s="384"/>
      <c r="L499" s="1901"/>
      <c r="M499" s="1999"/>
      <c r="N499" s="1999"/>
      <c r="O499" s="1999"/>
      <c r="P499" s="2002"/>
      <c r="Q499" s="2002"/>
      <c r="R499" s="482"/>
      <c r="S499" s="482"/>
      <c r="T499" s="482"/>
      <c r="U499" s="482"/>
      <c r="V499" s="384"/>
      <c r="W499" s="563"/>
      <c r="Y499" s="563"/>
      <c r="AA499" s="384"/>
      <c r="AB499" s="384"/>
      <c r="AC499" s="384"/>
      <c r="AD499" s="384"/>
      <c r="AE499" s="384"/>
      <c r="AF499" s="384"/>
      <c r="AG499" s="384"/>
      <c r="AH499" s="384"/>
      <c r="AI499" s="384"/>
      <c r="AJ499" s="384"/>
      <c r="AK499" s="384"/>
      <c r="AL499" s="384"/>
      <c r="AM499" s="384"/>
    </row>
    <row r="500" spans="1:39" ht="15.75" customHeight="1">
      <c r="A500" s="563"/>
      <c r="B500" s="384"/>
      <c r="C500" s="563"/>
      <c r="D500" s="1997"/>
      <c r="E500" s="1998"/>
      <c r="F500" s="1954"/>
      <c r="G500" s="563"/>
      <c r="H500" s="563"/>
      <c r="I500" s="2000"/>
      <c r="J500" s="563"/>
      <c r="K500" s="384"/>
      <c r="L500" s="1901"/>
      <c r="M500" s="1999"/>
      <c r="N500" s="1999"/>
      <c r="O500" s="1999"/>
      <c r="P500" s="2002"/>
      <c r="Q500" s="2002"/>
      <c r="R500" s="482"/>
      <c r="S500" s="482"/>
      <c r="T500" s="482"/>
      <c r="U500" s="482"/>
      <c r="V500" s="384"/>
      <c r="W500" s="563"/>
      <c r="Y500" s="563"/>
      <c r="AA500" s="384"/>
      <c r="AB500" s="384"/>
      <c r="AC500" s="384"/>
      <c r="AD500" s="384"/>
      <c r="AE500" s="384"/>
      <c r="AF500" s="384"/>
      <c r="AG500" s="384"/>
      <c r="AH500" s="384"/>
      <c r="AI500" s="384"/>
      <c r="AJ500" s="384"/>
      <c r="AK500" s="384"/>
      <c r="AL500" s="384"/>
      <c r="AM500" s="384"/>
    </row>
    <row r="501" spans="1:39" ht="15.75" customHeight="1">
      <c r="A501" s="563"/>
      <c r="B501" s="384"/>
      <c r="C501" s="563"/>
      <c r="D501" s="1997"/>
      <c r="E501" s="1998"/>
      <c r="F501" s="1954"/>
      <c r="G501" s="563"/>
      <c r="H501" s="563"/>
      <c r="I501" s="2000"/>
      <c r="J501" s="563"/>
      <c r="K501" s="384"/>
      <c r="L501" s="1901"/>
      <c r="M501" s="1999"/>
      <c r="N501" s="1999"/>
      <c r="O501" s="1999"/>
      <c r="P501" s="2002"/>
      <c r="Q501" s="2002"/>
      <c r="R501" s="482"/>
      <c r="S501" s="482"/>
      <c r="T501" s="482"/>
      <c r="U501" s="482"/>
      <c r="V501" s="384"/>
      <c r="W501" s="563"/>
      <c r="Y501" s="563"/>
      <c r="AA501" s="384"/>
      <c r="AB501" s="384"/>
      <c r="AC501" s="384"/>
      <c r="AD501" s="384"/>
      <c r="AE501" s="384"/>
      <c r="AF501" s="384"/>
      <c r="AG501" s="384"/>
      <c r="AH501" s="384"/>
      <c r="AI501" s="384"/>
      <c r="AJ501" s="384"/>
      <c r="AK501" s="384"/>
      <c r="AL501" s="384"/>
      <c r="AM501" s="384"/>
    </row>
    <row r="502" spans="1:39" ht="15.75" customHeight="1">
      <c r="A502" s="563"/>
      <c r="B502" s="384"/>
      <c r="C502" s="563"/>
      <c r="D502" s="1997"/>
      <c r="E502" s="1998"/>
      <c r="F502" s="1954"/>
      <c r="G502" s="563"/>
      <c r="H502" s="563"/>
      <c r="I502" s="2000"/>
      <c r="J502" s="563"/>
      <c r="K502" s="384"/>
      <c r="L502" s="1901"/>
      <c r="M502" s="1999"/>
      <c r="N502" s="1999"/>
      <c r="O502" s="1999"/>
      <c r="P502" s="2002"/>
      <c r="Q502" s="2002"/>
      <c r="R502" s="482"/>
      <c r="S502" s="482"/>
      <c r="T502" s="482"/>
      <c r="U502" s="482"/>
      <c r="V502" s="384"/>
      <c r="W502" s="563"/>
      <c r="Y502" s="563"/>
      <c r="AA502" s="384"/>
      <c r="AB502" s="384"/>
      <c r="AC502" s="384"/>
      <c r="AD502" s="384"/>
      <c r="AE502" s="384"/>
      <c r="AF502" s="384"/>
      <c r="AG502" s="384"/>
      <c r="AH502" s="384"/>
      <c r="AI502" s="384"/>
      <c r="AJ502" s="384"/>
      <c r="AK502" s="384"/>
      <c r="AL502" s="384"/>
      <c r="AM502" s="384"/>
    </row>
    <row r="503" spans="1:39" ht="15.75" customHeight="1">
      <c r="A503" s="563"/>
      <c r="B503" s="384"/>
      <c r="C503" s="563"/>
      <c r="D503" s="1997"/>
      <c r="E503" s="1998"/>
      <c r="F503" s="1954"/>
      <c r="G503" s="563"/>
      <c r="H503" s="563"/>
      <c r="I503" s="2000"/>
      <c r="J503" s="563"/>
      <c r="K503" s="384"/>
      <c r="L503" s="1901"/>
      <c r="M503" s="1999"/>
      <c r="N503" s="1999"/>
      <c r="O503" s="1999"/>
      <c r="P503" s="2002"/>
      <c r="Q503" s="2002"/>
      <c r="R503" s="482"/>
      <c r="S503" s="482"/>
      <c r="T503" s="482"/>
      <c r="U503" s="482"/>
      <c r="V503" s="384"/>
      <c r="W503" s="563"/>
      <c r="Y503" s="563"/>
      <c r="AA503" s="384"/>
      <c r="AB503" s="384"/>
      <c r="AC503" s="384"/>
      <c r="AD503" s="384"/>
      <c r="AE503" s="384"/>
      <c r="AF503" s="384"/>
      <c r="AG503" s="384"/>
      <c r="AH503" s="384"/>
      <c r="AI503" s="384"/>
      <c r="AJ503" s="384"/>
      <c r="AK503" s="384"/>
      <c r="AL503" s="384"/>
      <c r="AM503" s="384"/>
    </row>
    <row r="504" spans="1:39" ht="15.75" customHeight="1">
      <c r="A504" s="563"/>
      <c r="B504" s="384"/>
      <c r="C504" s="563"/>
      <c r="D504" s="1997"/>
      <c r="E504" s="1998"/>
      <c r="F504" s="1954"/>
      <c r="G504" s="563"/>
      <c r="H504" s="563"/>
      <c r="I504" s="2000"/>
      <c r="J504" s="563"/>
      <c r="K504" s="384"/>
      <c r="L504" s="1901"/>
      <c r="M504" s="1999"/>
      <c r="N504" s="1999"/>
      <c r="O504" s="1999"/>
      <c r="P504" s="2002"/>
      <c r="Q504" s="2002"/>
      <c r="R504" s="482"/>
      <c r="S504" s="482"/>
      <c r="T504" s="482"/>
      <c r="U504" s="482"/>
      <c r="V504" s="384"/>
      <c r="W504" s="563"/>
      <c r="Y504" s="563"/>
      <c r="AA504" s="384"/>
      <c r="AB504" s="384"/>
      <c r="AC504" s="384"/>
      <c r="AD504" s="384"/>
      <c r="AE504" s="384"/>
      <c r="AF504" s="384"/>
      <c r="AG504" s="384"/>
      <c r="AH504" s="384"/>
      <c r="AI504" s="384"/>
      <c r="AJ504" s="384"/>
      <c r="AK504" s="384"/>
      <c r="AL504" s="384"/>
      <c r="AM504" s="384"/>
    </row>
    <row r="505" spans="1:39" ht="15.75" customHeight="1">
      <c r="A505" s="563"/>
      <c r="B505" s="384"/>
      <c r="C505" s="563"/>
      <c r="D505" s="1997"/>
      <c r="E505" s="1998"/>
      <c r="F505" s="1954"/>
      <c r="G505" s="563"/>
      <c r="H505" s="563"/>
      <c r="I505" s="2000"/>
      <c r="J505" s="563"/>
      <c r="K505" s="384"/>
      <c r="L505" s="1901"/>
      <c r="M505" s="1999"/>
      <c r="N505" s="1999"/>
      <c r="O505" s="1999"/>
      <c r="P505" s="2002"/>
      <c r="Q505" s="2002"/>
      <c r="R505" s="482"/>
      <c r="S505" s="482"/>
      <c r="T505" s="482"/>
      <c r="U505" s="482"/>
      <c r="V505" s="384"/>
      <c r="W505" s="563"/>
      <c r="Y505" s="563"/>
      <c r="AA505" s="384"/>
      <c r="AB505" s="384"/>
      <c r="AC505" s="384"/>
      <c r="AD505" s="384"/>
      <c r="AE505" s="384"/>
      <c r="AF505" s="384"/>
      <c r="AG505" s="384"/>
      <c r="AH505" s="384"/>
      <c r="AI505" s="384"/>
      <c r="AJ505" s="384"/>
      <c r="AK505" s="384"/>
      <c r="AL505" s="384"/>
      <c r="AM505" s="384"/>
    </row>
    <row r="506" spans="1:39" ht="15.75" customHeight="1">
      <c r="A506" s="563"/>
      <c r="B506" s="384"/>
      <c r="C506" s="563"/>
      <c r="D506" s="1997"/>
      <c r="E506" s="1998"/>
      <c r="F506" s="1954"/>
      <c r="G506" s="563"/>
      <c r="H506" s="563"/>
      <c r="I506" s="2000"/>
      <c r="J506" s="563"/>
      <c r="K506" s="384"/>
      <c r="L506" s="1901"/>
      <c r="M506" s="1999"/>
      <c r="N506" s="1999"/>
      <c r="O506" s="1999"/>
      <c r="P506" s="2002"/>
      <c r="Q506" s="2002"/>
      <c r="R506" s="482"/>
      <c r="S506" s="482"/>
      <c r="T506" s="482"/>
      <c r="U506" s="482"/>
      <c r="V506" s="384"/>
      <c r="W506" s="563"/>
      <c r="Y506" s="563"/>
      <c r="AA506" s="384"/>
      <c r="AB506" s="384"/>
      <c r="AC506" s="384"/>
      <c r="AD506" s="384"/>
      <c r="AE506" s="384"/>
      <c r="AF506" s="384"/>
      <c r="AG506" s="384"/>
      <c r="AH506" s="384"/>
      <c r="AI506" s="384"/>
      <c r="AJ506" s="384"/>
      <c r="AK506" s="384"/>
      <c r="AL506" s="384"/>
      <c r="AM506" s="384"/>
    </row>
    <row r="507" spans="1:39" ht="15.75" customHeight="1">
      <c r="A507" s="563"/>
      <c r="B507" s="384"/>
      <c r="C507" s="563"/>
      <c r="D507" s="1997"/>
      <c r="E507" s="1998"/>
      <c r="F507" s="1954"/>
      <c r="G507" s="563"/>
      <c r="H507" s="563"/>
      <c r="I507" s="2000"/>
      <c r="J507" s="563"/>
      <c r="K507" s="384"/>
      <c r="L507" s="1901"/>
      <c r="M507" s="1999"/>
      <c r="N507" s="1999"/>
      <c r="O507" s="1999"/>
      <c r="P507" s="2002"/>
      <c r="Q507" s="2002"/>
      <c r="R507" s="482"/>
      <c r="S507" s="482"/>
      <c r="T507" s="482"/>
      <c r="U507" s="482"/>
      <c r="V507" s="384"/>
      <c r="W507" s="563"/>
      <c r="Y507" s="563"/>
      <c r="AA507" s="384"/>
      <c r="AB507" s="384"/>
      <c r="AC507" s="384"/>
      <c r="AD507" s="384"/>
      <c r="AE507" s="384"/>
      <c r="AF507" s="384"/>
      <c r="AG507" s="384"/>
      <c r="AH507" s="384"/>
      <c r="AI507" s="384"/>
      <c r="AJ507" s="384"/>
      <c r="AK507" s="384"/>
      <c r="AL507" s="384"/>
      <c r="AM507" s="384"/>
    </row>
    <row r="508" spans="1:39" ht="15.75" customHeight="1">
      <c r="A508" s="563"/>
      <c r="B508" s="384"/>
      <c r="C508" s="563"/>
      <c r="D508" s="1997"/>
      <c r="E508" s="1998"/>
      <c r="F508" s="1954"/>
      <c r="G508" s="563"/>
      <c r="H508" s="563"/>
      <c r="I508" s="2000"/>
      <c r="J508" s="563"/>
      <c r="K508" s="384"/>
      <c r="L508" s="1901"/>
      <c r="M508" s="1999"/>
      <c r="N508" s="1999"/>
      <c r="O508" s="1999"/>
      <c r="P508" s="2002"/>
      <c r="Q508" s="2002"/>
      <c r="R508" s="482"/>
      <c r="S508" s="482"/>
      <c r="T508" s="482"/>
      <c r="U508" s="482"/>
      <c r="V508" s="384"/>
      <c r="W508" s="563"/>
      <c r="Y508" s="563"/>
      <c r="AA508" s="384"/>
      <c r="AB508" s="384"/>
      <c r="AC508" s="384"/>
      <c r="AD508" s="384"/>
      <c r="AE508" s="384"/>
      <c r="AF508" s="384"/>
      <c r="AG508" s="384"/>
      <c r="AH508" s="384"/>
      <c r="AI508" s="384"/>
      <c r="AJ508" s="384"/>
      <c r="AK508" s="384"/>
      <c r="AL508" s="384"/>
      <c r="AM508" s="384"/>
    </row>
    <row r="509" spans="1:39" ht="15.75" customHeight="1">
      <c r="A509" s="563"/>
      <c r="B509" s="384"/>
      <c r="C509" s="563"/>
      <c r="D509" s="1997"/>
      <c r="E509" s="1998"/>
      <c r="F509" s="1954"/>
      <c r="G509" s="563"/>
      <c r="H509" s="563"/>
      <c r="I509" s="2000"/>
      <c r="J509" s="563"/>
      <c r="K509" s="384"/>
      <c r="L509" s="1901"/>
      <c r="M509" s="1999"/>
      <c r="N509" s="1999"/>
      <c r="O509" s="1999"/>
      <c r="P509" s="2002"/>
      <c r="Q509" s="2002"/>
      <c r="R509" s="482"/>
      <c r="S509" s="482"/>
      <c r="T509" s="482"/>
      <c r="U509" s="482"/>
      <c r="V509" s="384"/>
      <c r="W509" s="563"/>
      <c r="Y509" s="563"/>
      <c r="AA509" s="384"/>
      <c r="AB509" s="384"/>
      <c r="AC509" s="384"/>
      <c r="AD509" s="384"/>
      <c r="AE509" s="384"/>
      <c r="AF509" s="384"/>
      <c r="AG509" s="384"/>
      <c r="AH509" s="384"/>
      <c r="AI509" s="384"/>
      <c r="AJ509" s="384"/>
      <c r="AK509" s="384"/>
      <c r="AL509" s="384"/>
      <c r="AM509" s="384"/>
    </row>
    <row r="510" spans="1:39" ht="15.75" customHeight="1">
      <c r="A510" s="563"/>
      <c r="B510" s="384"/>
      <c r="C510" s="563"/>
      <c r="D510" s="1997"/>
      <c r="E510" s="1998"/>
      <c r="F510" s="1954"/>
      <c r="G510" s="563"/>
      <c r="H510" s="563"/>
      <c r="I510" s="2000"/>
      <c r="J510" s="563"/>
      <c r="K510" s="384"/>
      <c r="L510" s="1901"/>
      <c r="M510" s="1999"/>
      <c r="N510" s="1999"/>
      <c r="O510" s="1999"/>
      <c r="P510" s="2002"/>
      <c r="Q510" s="2002"/>
      <c r="R510" s="482"/>
      <c r="S510" s="482"/>
      <c r="T510" s="482"/>
      <c r="U510" s="482"/>
      <c r="V510" s="384"/>
      <c r="W510" s="563"/>
      <c r="Y510" s="563"/>
      <c r="AA510" s="384"/>
      <c r="AB510" s="384"/>
      <c r="AC510" s="384"/>
      <c r="AD510" s="384"/>
      <c r="AE510" s="384"/>
      <c r="AF510" s="384"/>
      <c r="AG510" s="384"/>
      <c r="AH510" s="384"/>
      <c r="AI510" s="384"/>
      <c r="AJ510" s="384"/>
      <c r="AK510" s="384"/>
      <c r="AL510" s="384"/>
      <c r="AM510" s="384"/>
    </row>
    <row r="511" spans="1:39" ht="15.75" customHeight="1">
      <c r="A511" s="563"/>
      <c r="B511" s="384"/>
      <c r="C511" s="563"/>
      <c r="D511" s="1997"/>
      <c r="E511" s="1998"/>
      <c r="F511" s="1954"/>
      <c r="G511" s="563"/>
      <c r="H511" s="563"/>
      <c r="I511" s="2000"/>
      <c r="J511" s="563"/>
      <c r="K511" s="384"/>
      <c r="L511" s="1901"/>
      <c r="M511" s="1999"/>
      <c r="N511" s="1999"/>
      <c r="O511" s="1999"/>
      <c r="P511" s="2002"/>
      <c r="Q511" s="2002"/>
      <c r="R511" s="482"/>
      <c r="S511" s="482"/>
      <c r="T511" s="482"/>
      <c r="U511" s="482"/>
      <c r="V511" s="384"/>
      <c r="W511" s="563"/>
      <c r="Y511" s="563"/>
      <c r="AA511" s="384"/>
      <c r="AB511" s="384"/>
      <c r="AC511" s="384"/>
      <c r="AD511" s="384"/>
      <c r="AE511" s="384"/>
      <c r="AF511" s="384"/>
      <c r="AG511" s="384"/>
      <c r="AH511" s="384"/>
      <c r="AI511" s="384"/>
      <c r="AJ511" s="384"/>
      <c r="AK511" s="384"/>
      <c r="AL511" s="384"/>
      <c r="AM511" s="384"/>
    </row>
    <row r="512" spans="1:39" ht="15.75" customHeight="1">
      <c r="A512" s="563"/>
      <c r="B512" s="384"/>
      <c r="C512" s="563"/>
      <c r="D512" s="1997"/>
      <c r="E512" s="1998"/>
      <c r="F512" s="1954"/>
      <c r="G512" s="563"/>
      <c r="H512" s="563"/>
      <c r="I512" s="2000"/>
      <c r="J512" s="563"/>
      <c r="K512" s="384"/>
      <c r="L512" s="1901"/>
      <c r="M512" s="1999"/>
      <c r="N512" s="1999"/>
      <c r="O512" s="1999"/>
      <c r="P512" s="2002"/>
      <c r="Q512" s="2002"/>
      <c r="R512" s="482"/>
      <c r="S512" s="482"/>
      <c r="T512" s="482"/>
      <c r="U512" s="482"/>
      <c r="V512" s="384"/>
      <c r="W512" s="563"/>
      <c r="Y512" s="563"/>
      <c r="AA512" s="384"/>
      <c r="AB512" s="384"/>
      <c r="AC512" s="384"/>
      <c r="AD512" s="384"/>
      <c r="AE512" s="384"/>
      <c r="AF512" s="384"/>
      <c r="AG512" s="384"/>
      <c r="AH512" s="384"/>
      <c r="AI512" s="384"/>
      <c r="AJ512" s="384"/>
      <c r="AK512" s="384"/>
      <c r="AL512" s="384"/>
      <c r="AM512" s="384"/>
    </row>
    <row r="513" spans="1:39" ht="15.75" customHeight="1">
      <c r="A513" s="563"/>
      <c r="B513" s="384"/>
      <c r="C513" s="563"/>
      <c r="D513" s="1997"/>
      <c r="E513" s="1998"/>
      <c r="F513" s="1954"/>
      <c r="G513" s="563"/>
      <c r="H513" s="563"/>
      <c r="I513" s="2000"/>
      <c r="J513" s="563"/>
      <c r="K513" s="384"/>
      <c r="L513" s="1901"/>
      <c r="M513" s="1999"/>
      <c r="N513" s="1999"/>
      <c r="O513" s="1999"/>
      <c r="P513" s="2002"/>
      <c r="Q513" s="2002"/>
      <c r="R513" s="482"/>
      <c r="S513" s="482"/>
      <c r="T513" s="482"/>
      <c r="U513" s="482"/>
      <c r="V513" s="384"/>
      <c r="W513" s="563"/>
      <c r="Y513" s="563"/>
      <c r="AA513" s="384"/>
      <c r="AB513" s="384"/>
      <c r="AC513" s="384"/>
      <c r="AD513" s="384"/>
      <c r="AE513" s="384"/>
      <c r="AF513" s="384"/>
      <c r="AG513" s="384"/>
      <c r="AH513" s="384"/>
      <c r="AI513" s="384"/>
      <c r="AJ513" s="384"/>
      <c r="AK513" s="384"/>
      <c r="AL513" s="384"/>
      <c r="AM513" s="384"/>
    </row>
    <row r="514" spans="1:39" ht="15.75" customHeight="1">
      <c r="A514" s="563"/>
      <c r="B514" s="384"/>
      <c r="C514" s="563"/>
      <c r="D514" s="1997"/>
      <c r="E514" s="1998"/>
      <c r="F514" s="1954"/>
      <c r="G514" s="563"/>
      <c r="H514" s="563"/>
      <c r="I514" s="2000"/>
      <c r="J514" s="563"/>
      <c r="K514" s="384"/>
      <c r="L514" s="1901"/>
      <c r="M514" s="1999"/>
      <c r="N514" s="1999"/>
      <c r="O514" s="1999"/>
      <c r="P514" s="2002"/>
      <c r="Q514" s="2002"/>
      <c r="R514" s="482"/>
      <c r="S514" s="482"/>
      <c r="T514" s="482"/>
      <c r="U514" s="482"/>
      <c r="V514" s="384"/>
      <c r="W514" s="563"/>
      <c r="Y514" s="563"/>
      <c r="AA514" s="384"/>
      <c r="AB514" s="384"/>
      <c r="AC514" s="384"/>
      <c r="AD514" s="384"/>
      <c r="AE514" s="384"/>
      <c r="AF514" s="384"/>
      <c r="AG514" s="384"/>
      <c r="AH514" s="384"/>
      <c r="AI514" s="384"/>
      <c r="AJ514" s="384"/>
      <c r="AK514" s="384"/>
      <c r="AL514" s="384"/>
      <c r="AM514" s="384"/>
    </row>
    <row r="515" spans="1:39" ht="15.75" customHeight="1">
      <c r="A515" s="563"/>
      <c r="B515" s="384"/>
      <c r="C515" s="563"/>
      <c r="D515" s="1997"/>
      <c r="E515" s="1998"/>
      <c r="F515" s="1954"/>
      <c r="G515" s="563"/>
      <c r="H515" s="563"/>
      <c r="I515" s="2000"/>
      <c r="J515" s="563"/>
      <c r="K515" s="384"/>
      <c r="L515" s="1901"/>
      <c r="M515" s="1999"/>
      <c r="N515" s="1999"/>
      <c r="O515" s="1999"/>
      <c r="P515" s="2002"/>
      <c r="Q515" s="2002"/>
      <c r="R515" s="482"/>
      <c r="S515" s="482"/>
      <c r="T515" s="482"/>
      <c r="U515" s="482"/>
      <c r="V515" s="384"/>
      <c r="W515" s="563"/>
      <c r="Y515" s="563"/>
      <c r="AA515" s="384"/>
      <c r="AB515" s="384"/>
      <c r="AC515" s="384"/>
      <c r="AD515" s="384"/>
      <c r="AE515" s="384"/>
      <c r="AF515" s="384"/>
      <c r="AG515" s="384"/>
      <c r="AH515" s="384"/>
      <c r="AI515" s="384"/>
      <c r="AJ515" s="384"/>
      <c r="AK515" s="384"/>
      <c r="AL515" s="384"/>
      <c r="AM515" s="384"/>
    </row>
    <row r="516" spans="1:39" ht="15.75" customHeight="1">
      <c r="A516" s="563"/>
      <c r="B516" s="384"/>
      <c r="C516" s="563"/>
      <c r="D516" s="1997"/>
      <c r="E516" s="1998"/>
      <c r="F516" s="1954"/>
      <c r="G516" s="563"/>
      <c r="H516" s="563"/>
      <c r="I516" s="2000"/>
      <c r="J516" s="563"/>
      <c r="K516" s="384"/>
      <c r="L516" s="1901"/>
      <c r="M516" s="1999"/>
      <c r="N516" s="1999"/>
      <c r="O516" s="1999"/>
      <c r="P516" s="2002"/>
      <c r="Q516" s="2002"/>
      <c r="R516" s="482"/>
      <c r="S516" s="482"/>
      <c r="T516" s="482"/>
      <c r="U516" s="482"/>
      <c r="V516" s="384"/>
      <c r="W516" s="563"/>
      <c r="Y516" s="563"/>
      <c r="AA516" s="384"/>
      <c r="AB516" s="384"/>
      <c r="AC516" s="384"/>
      <c r="AD516" s="384"/>
      <c r="AE516" s="384"/>
      <c r="AF516" s="384"/>
      <c r="AG516" s="384"/>
      <c r="AH516" s="384"/>
      <c r="AI516" s="384"/>
      <c r="AJ516" s="384"/>
      <c r="AK516" s="384"/>
      <c r="AL516" s="384"/>
      <c r="AM516" s="384"/>
    </row>
    <row r="517" spans="1:39" ht="15.75" customHeight="1">
      <c r="A517" s="563"/>
      <c r="B517" s="384"/>
      <c r="C517" s="563"/>
      <c r="D517" s="1997"/>
      <c r="E517" s="1998"/>
      <c r="F517" s="1954"/>
      <c r="G517" s="563"/>
      <c r="H517" s="563"/>
      <c r="I517" s="2000"/>
      <c r="J517" s="563"/>
      <c r="K517" s="384"/>
      <c r="L517" s="1901"/>
      <c r="M517" s="1999"/>
      <c r="N517" s="1999"/>
      <c r="O517" s="1999"/>
      <c r="P517" s="2002"/>
      <c r="Q517" s="2002"/>
      <c r="R517" s="482"/>
      <c r="S517" s="482"/>
      <c r="T517" s="482"/>
      <c r="U517" s="482"/>
      <c r="V517" s="384"/>
      <c r="W517" s="563"/>
      <c r="Y517" s="563"/>
      <c r="AA517" s="384"/>
      <c r="AB517" s="384"/>
      <c r="AC517" s="384"/>
      <c r="AD517" s="384"/>
      <c r="AE517" s="384"/>
      <c r="AF517" s="384"/>
      <c r="AG517" s="384"/>
      <c r="AH517" s="384"/>
      <c r="AI517" s="384"/>
      <c r="AJ517" s="384"/>
      <c r="AK517" s="384"/>
      <c r="AL517" s="384"/>
      <c r="AM517" s="384"/>
    </row>
    <row r="518" spans="1:39" ht="15.75" customHeight="1">
      <c r="A518" s="563"/>
      <c r="B518" s="384"/>
      <c r="C518" s="563"/>
      <c r="D518" s="1997"/>
      <c r="E518" s="1998"/>
      <c r="F518" s="1954"/>
      <c r="G518" s="563"/>
      <c r="H518" s="563"/>
      <c r="I518" s="2000"/>
      <c r="J518" s="563"/>
      <c r="K518" s="384"/>
      <c r="L518" s="1901"/>
      <c r="M518" s="1999"/>
      <c r="N518" s="1999"/>
      <c r="O518" s="1999"/>
      <c r="P518" s="2002"/>
      <c r="Q518" s="2002"/>
      <c r="R518" s="482"/>
      <c r="S518" s="482"/>
      <c r="T518" s="482"/>
      <c r="U518" s="482"/>
      <c r="V518" s="384"/>
      <c r="W518" s="563"/>
      <c r="Y518" s="563"/>
      <c r="AA518" s="384"/>
      <c r="AB518" s="384"/>
      <c r="AC518" s="384"/>
      <c r="AD518" s="384"/>
      <c r="AE518" s="384"/>
      <c r="AF518" s="384"/>
      <c r="AG518" s="384"/>
      <c r="AH518" s="384"/>
      <c r="AI518" s="384"/>
      <c r="AJ518" s="384"/>
      <c r="AK518" s="384"/>
      <c r="AL518" s="384"/>
      <c r="AM518" s="384"/>
    </row>
    <row r="519" spans="1:39" ht="15.75" customHeight="1">
      <c r="A519" s="563"/>
      <c r="B519" s="384"/>
      <c r="C519" s="563"/>
      <c r="D519" s="1997"/>
      <c r="E519" s="1998"/>
      <c r="F519" s="1954"/>
      <c r="G519" s="563"/>
      <c r="H519" s="563"/>
      <c r="I519" s="2000"/>
      <c r="J519" s="563"/>
      <c r="K519" s="384"/>
      <c r="L519" s="1901"/>
      <c r="M519" s="1999"/>
      <c r="N519" s="1999"/>
      <c r="O519" s="1999"/>
      <c r="P519" s="2002"/>
      <c r="Q519" s="2002"/>
      <c r="R519" s="482"/>
      <c r="S519" s="482"/>
      <c r="T519" s="482"/>
      <c r="U519" s="482"/>
      <c r="V519" s="384"/>
      <c r="W519" s="563"/>
      <c r="Y519" s="563"/>
      <c r="AA519" s="384"/>
      <c r="AB519" s="384"/>
      <c r="AC519" s="384"/>
      <c r="AD519" s="384"/>
      <c r="AE519" s="384"/>
      <c r="AF519" s="384"/>
      <c r="AG519" s="384"/>
      <c r="AH519" s="384"/>
      <c r="AI519" s="384"/>
      <c r="AJ519" s="384"/>
      <c r="AK519" s="384"/>
      <c r="AL519" s="384"/>
      <c r="AM519" s="384"/>
    </row>
    <row r="520" spans="1:39" ht="15.75" customHeight="1">
      <c r="A520" s="563"/>
      <c r="B520" s="384"/>
      <c r="C520" s="563"/>
      <c r="D520" s="1997"/>
      <c r="E520" s="1998"/>
      <c r="F520" s="1954"/>
      <c r="G520" s="563"/>
      <c r="H520" s="563"/>
      <c r="I520" s="2000"/>
      <c r="J520" s="563"/>
      <c r="K520" s="384"/>
      <c r="L520" s="1901"/>
      <c r="M520" s="1999"/>
      <c r="N520" s="1999"/>
      <c r="O520" s="1999"/>
      <c r="P520" s="2002"/>
      <c r="Q520" s="2002"/>
      <c r="R520" s="482"/>
      <c r="S520" s="482"/>
      <c r="T520" s="482"/>
      <c r="U520" s="482"/>
      <c r="V520" s="384"/>
      <c r="W520" s="563"/>
      <c r="Y520" s="563"/>
      <c r="AA520" s="384"/>
      <c r="AB520" s="384"/>
      <c r="AC520" s="384"/>
      <c r="AD520" s="384"/>
      <c r="AE520" s="384"/>
      <c r="AF520" s="384"/>
      <c r="AG520" s="384"/>
      <c r="AH520" s="384"/>
      <c r="AI520" s="384"/>
      <c r="AJ520" s="384"/>
      <c r="AK520" s="384"/>
      <c r="AL520" s="384"/>
      <c r="AM520" s="384"/>
    </row>
    <row r="521" spans="1:39" ht="15.75" customHeight="1">
      <c r="A521" s="563"/>
      <c r="B521" s="384"/>
      <c r="C521" s="563"/>
      <c r="D521" s="1997"/>
      <c r="E521" s="1998"/>
      <c r="F521" s="1954"/>
      <c r="G521" s="563"/>
      <c r="H521" s="563"/>
      <c r="I521" s="2000"/>
      <c r="J521" s="563"/>
      <c r="K521" s="384"/>
      <c r="L521" s="1901"/>
      <c r="M521" s="1999"/>
      <c r="N521" s="1999"/>
      <c r="O521" s="1999"/>
      <c r="P521" s="2002"/>
      <c r="Q521" s="2002"/>
      <c r="R521" s="482"/>
      <c r="S521" s="482"/>
      <c r="T521" s="482"/>
      <c r="U521" s="482"/>
      <c r="V521" s="384"/>
      <c r="W521" s="563"/>
      <c r="Y521" s="563"/>
      <c r="AA521" s="384"/>
      <c r="AB521" s="384"/>
      <c r="AC521" s="384"/>
      <c r="AD521" s="384"/>
      <c r="AE521" s="384"/>
      <c r="AF521" s="384"/>
      <c r="AG521" s="384"/>
      <c r="AH521" s="384"/>
      <c r="AI521" s="384"/>
      <c r="AJ521" s="384"/>
      <c r="AK521" s="384"/>
      <c r="AL521" s="384"/>
      <c r="AM521" s="384"/>
    </row>
    <row r="522" spans="1:39" ht="15.75" customHeight="1">
      <c r="A522" s="563"/>
      <c r="B522" s="384"/>
      <c r="C522" s="563"/>
      <c r="D522" s="1997"/>
      <c r="E522" s="1998"/>
      <c r="F522" s="1954"/>
      <c r="G522" s="563"/>
      <c r="H522" s="563"/>
      <c r="I522" s="2000"/>
      <c r="J522" s="563"/>
      <c r="K522" s="384"/>
      <c r="L522" s="1901"/>
      <c r="M522" s="1999"/>
      <c r="N522" s="1999"/>
      <c r="O522" s="1999"/>
      <c r="P522" s="2002"/>
      <c r="Q522" s="2002"/>
      <c r="R522" s="482"/>
      <c r="S522" s="482"/>
      <c r="T522" s="482"/>
      <c r="U522" s="482"/>
      <c r="V522" s="384"/>
      <c r="W522" s="563"/>
      <c r="Y522" s="563"/>
      <c r="AA522" s="384"/>
      <c r="AB522" s="384"/>
      <c r="AC522" s="384"/>
      <c r="AD522" s="384"/>
      <c r="AE522" s="384"/>
      <c r="AF522" s="384"/>
      <c r="AG522" s="384"/>
      <c r="AH522" s="384"/>
      <c r="AI522" s="384"/>
      <c r="AJ522" s="384"/>
      <c r="AK522" s="384"/>
      <c r="AL522" s="384"/>
      <c r="AM522" s="384"/>
    </row>
    <row r="523" spans="1:39" ht="15.75" customHeight="1">
      <c r="A523" s="563"/>
      <c r="B523" s="384"/>
      <c r="C523" s="563"/>
      <c r="D523" s="1997"/>
      <c r="E523" s="1998"/>
      <c r="F523" s="1954"/>
      <c r="G523" s="563"/>
      <c r="H523" s="563"/>
      <c r="I523" s="2000"/>
      <c r="J523" s="563"/>
      <c r="K523" s="384"/>
      <c r="L523" s="1901"/>
      <c r="M523" s="1999"/>
      <c r="N523" s="1999"/>
      <c r="O523" s="1999"/>
      <c r="P523" s="2002"/>
      <c r="Q523" s="2002"/>
      <c r="R523" s="482"/>
      <c r="S523" s="482"/>
      <c r="T523" s="482"/>
      <c r="U523" s="482"/>
      <c r="V523" s="384"/>
      <c r="W523" s="563"/>
      <c r="Y523" s="563"/>
      <c r="AA523" s="384"/>
      <c r="AB523" s="384"/>
      <c r="AC523" s="384"/>
      <c r="AD523" s="384"/>
      <c r="AE523" s="384"/>
      <c r="AF523" s="384"/>
      <c r="AG523" s="384"/>
      <c r="AH523" s="384"/>
      <c r="AI523" s="384"/>
      <c r="AJ523" s="384"/>
      <c r="AK523" s="384"/>
      <c r="AL523" s="384"/>
      <c r="AM523" s="384"/>
    </row>
    <row r="524" spans="1:39" ht="15.75" customHeight="1">
      <c r="A524" s="563"/>
      <c r="B524" s="384"/>
      <c r="C524" s="563"/>
      <c r="D524" s="1997"/>
      <c r="E524" s="1998"/>
      <c r="F524" s="1954"/>
      <c r="G524" s="563"/>
      <c r="H524" s="563"/>
      <c r="I524" s="2000"/>
      <c r="J524" s="563"/>
      <c r="K524" s="384"/>
      <c r="L524" s="1901"/>
      <c r="M524" s="1999"/>
      <c r="N524" s="1999"/>
      <c r="O524" s="1999"/>
      <c r="P524" s="2002"/>
      <c r="Q524" s="2002"/>
      <c r="R524" s="482"/>
      <c r="S524" s="482"/>
      <c r="T524" s="482"/>
      <c r="U524" s="482"/>
      <c r="V524" s="384"/>
      <c r="W524" s="563"/>
      <c r="Y524" s="563"/>
      <c r="AA524" s="384"/>
      <c r="AB524" s="384"/>
      <c r="AC524" s="384"/>
      <c r="AD524" s="384"/>
      <c r="AE524" s="384"/>
      <c r="AF524" s="384"/>
      <c r="AG524" s="384"/>
      <c r="AH524" s="384"/>
      <c r="AI524" s="384"/>
      <c r="AJ524" s="384"/>
      <c r="AK524" s="384"/>
      <c r="AL524" s="384"/>
      <c r="AM524" s="384"/>
    </row>
    <row r="525" spans="1:39" ht="15.75" customHeight="1">
      <c r="A525" s="563"/>
      <c r="B525" s="384"/>
      <c r="C525" s="563"/>
      <c r="D525" s="1997"/>
      <c r="E525" s="1998"/>
      <c r="F525" s="1954"/>
      <c r="G525" s="563"/>
      <c r="H525" s="563"/>
      <c r="I525" s="2000"/>
      <c r="J525" s="563"/>
      <c r="K525" s="384"/>
      <c r="L525" s="1901"/>
      <c r="M525" s="1999"/>
      <c r="N525" s="1999"/>
      <c r="O525" s="1999"/>
      <c r="P525" s="2002"/>
      <c r="Q525" s="2002"/>
      <c r="R525" s="482"/>
      <c r="S525" s="482"/>
      <c r="T525" s="482"/>
      <c r="U525" s="482"/>
      <c r="V525" s="384"/>
      <c r="W525" s="563"/>
      <c r="Y525" s="563"/>
      <c r="AA525" s="384"/>
      <c r="AB525" s="384"/>
      <c r="AC525" s="384"/>
      <c r="AD525" s="384"/>
      <c r="AE525" s="384"/>
      <c r="AF525" s="384"/>
      <c r="AG525" s="384"/>
      <c r="AH525" s="384"/>
      <c r="AI525" s="384"/>
      <c r="AJ525" s="384"/>
      <c r="AK525" s="384"/>
      <c r="AL525" s="384"/>
      <c r="AM525" s="384"/>
    </row>
    <row r="526" spans="1:39" ht="15.75" customHeight="1">
      <c r="A526" s="563"/>
      <c r="B526" s="384"/>
      <c r="C526" s="563"/>
      <c r="D526" s="1997"/>
      <c r="E526" s="1998"/>
      <c r="F526" s="1954"/>
      <c r="G526" s="563"/>
      <c r="H526" s="563"/>
      <c r="I526" s="2000"/>
      <c r="J526" s="563"/>
      <c r="K526" s="384"/>
      <c r="L526" s="1901"/>
      <c r="M526" s="1999"/>
      <c r="N526" s="1999"/>
      <c r="O526" s="1999"/>
      <c r="P526" s="2002"/>
      <c r="Q526" s="2002"/>
      <c r="R526" s="482"/>
      <c r="S526" s="482"/>
      <c r="T526" s="482"/>
      <c r="U526" s="482"/>
      <c r="V526" s="384"/>
      <c r="W526" s="563"/>
      <c r="Y526" s="563"/>
      <c r="AA526" s="384"/>
      <c r="AB526" s="384"/>
      <c r="AC526" s="384"/>
      <c r="AD526" s="384"/>
      <c r="AE526" s="384"/>
      <c r="AF526" s="384"/>
      <c r="AG526" s="384"/>
      <c r="AH526" s="384"/>
      <c r="AI526" s="384"/>
      <c r="AJ526" s="384"/>
      <c r="AK526" s="384"/>
      <c r="AL526" s="384"/>
      <c r="AM526" s="384"/>
    </row>
    <row r="527" spans="1:39" ht="15.75" customHeight="1">
      <c r="A527" s="563"/>
      <c r="B527" s="384"/>
      <c r="C527" s="563"/>
      <c r="D527" s="1997"/>
      <c r="E527" s="1998"/>
      <c r="F527" s="1954"/>
      <c r="G527" s="563"/>
      <c r="H527" s="563"/>
      <c r="I527" s="2000"/>
      <c r="J527" s="563"/>
      <c r="K527" s="384"/>
      <c r="L527" s="1901"/>
      <c r="M527" s="1999"/>
      <c r="N527" s="1999"/>
      <c r="O527" s="1999"/>
      <c r="P527" s="2002"/>
      <c r="Q527" s="2002"/>
      <c r="R527" s="482"/>
      <c r="S527" s="482"/>
      <c r="T527" s="482"/>
      <c r="U527" s="482"/>
      <c r="V527" s="384"/>
      <c r="W527" s="563"/>
      <c r="Y527" s="563"/>
      <c r="AA527" s="384"/>
      <c r="AB527" s="384"/>
      <c r="AC527" s="384"/>
      <c r="AD527" s="384"/>
      <c r="AE527" s="384"/>
      <c r="AF527" s="384"/>
      <c r="AG527" s="384"/>
      <c r="AH527" s="384"/>
      <c r="AI527" s="384"/>
      <c r="AJ527" s="384"/>
      <c r="AK527" s="384"/>
      <c r="AL527" s="384"/>
      <c r="AM527" s="384"/>
    </row>
    <row r="528" spans="1:39" ht="15.75" customHeight="1">
      <c r="A528" s="563"/>
      <c r="B528" s="384"/>
      <c r="C528" s="563"/>
      <c r="D528" s="1997"/>
      <c r="E528" s="1998"/>
      <c r="F528" s="1954"/>
      <c r="G528" s="563"/>
      <c r="H528" s="563"/>
      <c r="I528" s="2000"/>
      <c r="J528" s="563"/>
      <c r="K528" s="384"/>
      <c r="L528" s="1901"/>
      <c r="M528" s="1999"/>
      <c r="N528" s="1999"/>
      <c r="O528" s="1999"/>
      <c r="P528" s="2002"/>
      <c r="Q528" s="2002"/>
      <c r="R528" s="482"/>
      <c r="S528" s="482"/>
      <c r="T528" s="482"/>
      <c r="U528" s="482"/>
      <c r="V528" s="384"/>
      <c r="W528" s="563"/>
      <c r="Y528" s="563"/>
      <c r="AA528" s="384"/>
      <c r="AB528" s="384"/>
      <c r="AC528" s="384"/>
      <c r="AD528" s="384"/>
      <c r="AE528" s="384"/>
      <c r="AF528" s="384"/>
      <c r="AG528" s="384"/>
      <c r="AH528" s="384"/>
      <c r="AI528" s="384"/>
      <c r="AJ528" s="384"/>
      <c r="AK528" s="384"/>
      <c r="AL528" s="384"/>
      <c r="AM528" s="384"/>
    </row>
    <row r="529" spans="1:39" ht="15.75" customHeight="1">
      <c r="A529" s="563"/>
      <c r="B529" s="384"/>
      <c r="C529" s="563"/>
      <c r="D529" s="1997"/>
      <c r="E529" s="1998"/>
      <c r="F529" s="1954"/>
      <c r="G529" s="563"/>
      <c r="H529" s="563"/>
      <c r="I529" s="2000"/>
      <c r="J529" s="563"/>
      <c r="K529" s="384"/>
      <c r="L529" s="1901"/>
      <c r="M529" s="1999"/>
      <c r="N529" s="1999"/>
      <c r="O529" s="1999"/>
      <c r="P529" s="2002"/>
      <c r="Q529" s="2002"/>
      <c r="R529" s="482"/>
      <c r="S529" s="482"/>
      <c r="T529" s="482"/>
      <c r="U529" s="482"/>
      <c r="V529" s="384"/>
      <c r="W529" s="563"/>
      <c r="Y529" s="563"/>
      <c r="AA529" s="384"/>
      <c r="AB529" s="384"/>
      <c r="AC529" s="384"/>
      <c r="AD529" s="384"/>
      <c r="AE529" s="384"/>
      <c r="AF529" s="384"/>
      <c r="AG529" s="384"/>
      <c r="AH529" s="384"/>
      <c r="AI529" s="384"/>
      <c r="AJ529" s="384"/>
      <c r="AK529" s="384"/>
      <c r="AL529" s="384"/>
      <c r="AM529" s="384"/>
    </row>
    <row r="530" spans="1:39" ht="15.75" customHeight="1">
      <c r="A530" s="563"/>
      <c r="B530" s="384"/>
      <c r="C530" s="563"/>
      <c r="D530" s="1997"/>
      <c r="E530" s="1998"/>
      <c r="F530" s="1954"/>
      <c r="G530" s="563"/>
      <c r="H530" s="563"/>
      <c r="I530" s="2000"/>
      <c r="J530" s="563"/>
      <c r="K530" s="384"/>
      <c r="L530" s="1901"/>
      <c r="M530" s="1999"/>
      <c r="N530" s="1999"/>
      <c r="O530" s="1999"/>
      <c r="P530" s="2002"/>
      <c r="Q530" s="2002"/>
      <c r="R530" s="482"/>
      <c r="S530" s="482"/>
      <c r="T530" s="482"/>
      <c r="U530" s="482"/>
      <c r="V530" s="384"/>
      <c r="W530" s="563"/>
      <c r="Y530" s="563"/>
      <c r="AA530" s="384"/>
      <c r="AB530" s="384"/>
      <c r="AC530" s="384"/>
      <c r="AD530" s="384"/>
      <c r="AE530" s="384"/>
      <c r="AF530" s="384"/>
      <c r="AG530" s="384"/>
      <c r="AH530" s="384"/>
      <c r="AI530" s="384"/>
      <c r="AJ530" s="384"/>
      <c r="AK530" s="384"/>
      <c r="AL530" s="384"/>
      <c r="AM530" s="384"/>
    </row>
    <row r="531" spans="1:39" ht="15.75" customHeight="1">
      <c r="A531" s="563"/>
      <c r="B531" s="384"/>
      <c r="C531" s="563"/>
      <c r="D531" s="1997"/>
      <c r="E531" s="1998"/>
      <c r="F531" s="1954"/>
      <c r="G531" s="563"/>
      <c r="H531" s="563"/>
      <c r="I531" s="2000"/>
      <c r="J531" s="563"/>
      <c r="K531" s="384"/>
      <c r="L531" s="1901"/>
      <c r="M531" s="1999"/>
      <c r="N531" s="1999"/>
      <c r="O531" s="1999"/>
      <c r="P531" s="2002"/>
      <c r="Q531" s="2002"/>
      <c r="R531" s="482"/>
      <c r="S531" s="482"/>
      <c r="T531" s="482"/>
      <c r="U531" s="482"/>
      <c r="V531" s="384"/>
      <c r="W531" s="563"/>
      <c r="Y531" s="563"/>
      <c r="AA531" s="384"/>
      <c r="AB531" s="384"/>
      <c r="AC531" s="384"/>
      <c r="AD531" s="384"/>
      <c r="AE531" s="384"/>
      <c r="AF531" s="384"/>
      <c r="AG531" s="384"/>
      <c r="AH531" s="384"/>
      <c r="AI531" s="384"/>
      <c r="AJ531" s="384"/>
      <c r="AK531" s="384"/>
      <c r="AL531" s="384"/>
      <c r="AM531" s="384"/>
    </row>
    <row r="532" spans="1:39" ht="15.75" customHeight="1">
      <c r="A532" s="563"/>
      <c r="B532" s="384"/>
      <c r="C532" s="563"/>
      <c r="D532" s="1997"/>
      <c r="E532" s="1998"/>
      <c r="F532" s="1954"/>
      <c r="G532" s="563"/>
      <c r="H532" s="563"/>
      <c r="I532" s="2000"/>
      <c r="J532" s="563"/>
      <c r="K532" s="384"/>
      <c r="L532" s="1901"/>
      <c r="M532" s="1999"/>
      <c r="N532" s="1999"/>
      <c r="O532" s="1999"/>
      <c r="P532" s="2002"/>
      <c r="Q532" s="2002"/>
      <c r="R532" s="482"/>
      <c r="S532" s="482"/>
      <c r="T532" s="482"/>
      <c r="U532" s="482"/>
      <c r="V532" s="384"/>
      <c r="W532" s="563"/>
      <c r="Y532" s="563"/>
      <c r="AA532" s="384"/>
      <c r="AB532" s="384"/>
      <c r="AC532" s="384"/>
      <c r="AD532" s="384"/>
      <c r="AE532" s="384"/>
      <c r="AF532" s="384"/>
      <c r="AG532" s="384"/>
      <c r="AH532" s="384"/>
      <c r="AI532" s="384"/>
      <c r="AJ532" s="384"/>
      <c r="AK532" s="384"/>
      <c r="AL532" s="384"/>
      <c r="AM532" s="384"/>
    </row>
    <row r="533" spans="1:39" ht="15.75" customHeight="1">
      <c r="A533" s="563"/>
      <c r="B533" s="384"/>
      <c r="C533" s="563"/>
      <c r="D533" s="1997"/>
      <c r="E533" s="1998"/>
      <c r="F533" s="1954"/>
      <c r="G533" s="563"/>
      <c r="H533" s="563"/>
      <c r="I533" s="2000"/>
      <c r="J533" s="563"/>
      <c r="K533" s="384"/>
      <c r="L533" s="1901"/>
      <c r="M533" s="1999"/>
      <c r="N533" s="1999"/>
      <c r="O533" s="1999"/>
      <c r="P533" s="2002"/>
      <c r="Q533" s="2002"/>
      <c r="R533" s="482"/>
      <c r="S533" s="482"/>
      <c r="T533" s="482"/>
      <c r="U533" s="482"/>
      <c r="V533" s="384"/>
      <c r="W533" s="563"/>
      <c r="Y533" s="563"/>
      <c r="AA533" s="384"/>
      <c r="AB533" s="384"/>
      <c r="AC533" s="384"/>
      <c r="AD533" s="384"/>
      <c r="AE533" s="384"/>
      <c r="AF533" s="384"/>
      <c r="AG533" s="384"/>
      <c r="AH533" s="384"/>
      <c r="AI533" s="384"/>
      <c r="AJ533" s="384"/>
      <c r="AK533" s="384"/>
      <c r="AL533" s="384"/>
      <c r="AM533" s="384"/>
    </row>
    <row r="534" spans="1:39" ht="15.75" customHeight="1">
      <c r="A534" s="563"/>
      <c r="B534" s="384"/>
      <c r="C534" s="563"/>
      <c r="D534" s="1997"/>
      <c r="E534" s="1998"/>
      <c r="F534" s="1954"/>
      <c r="G534" s="563"/>
      <c r="H534" s="563"/>
      <c r="I534" s="2000"/>
      <c r="J534" s="563"/>
      <c r="K534" s="384"/>
      <c r="L534" s="1901"/>
      <c r="M534" s="1999"/>
      <c r="N534" s="1999"/>
      <c r="O534" s="1999"/>
      <c r="P534" s="2002"/>
      <c r="Q534" s="2002"/>
      <c r="R534" s="482"/>
      <c r="S534" s="482"/>
      <c r="T534" s="482"/>
      <c r="U534" s="482"/>
      <c r="V534" s="384"/>
      <c r="W534" s="563"/>
      <c r="Y534" s="563"/>
      <c r="AA534" s="384"/>
      <c r="AB534" s="384"/>
      <c r="AC534" s="384"/>
      <c r="AD534" s="384"/>
      <c r="AE534" s="384"/>
      <c r="AF534" s="384"/>
      <c r="AG534" s="384"/>
      <c r="AH534" s="384"/>
      <c r="AI534" s="384"/>
      <c r="AJ534" s="384"/>
      <c r="AK534" s="384"/>
      <c r="AL534" s="384"/>
      <c r="AM534" s="384"/>
    </row>
    <row r="535" spans="1:39" ht="15.75" customHeight="1">
      <c r="A535" s="563"/>
      <c r="B535" s="384"/>
      <c r="C535" s="563"/>
      <c r="D535" s="1997"/>
      <c r="E535" s="1998"/>
      <c r="F535" s="1954"/>
      <c r="G535" s="563"/>
      <c r="H535" s="563"/>
      <c r="I535" s="2000"/>
      <c r="J535" s="563"/>
      <c r="K535" s="384"/>
      <c r="L535" s="1901"/>
      <c r="M535" s="1999"/>
      <c r="N535" s="1999"/>
      <c r="O535" s="1999"/>
      <c r="P535" s="2002"/>
      <c r="Q535" s="2002"/>
      <c r="R535" s="482"/>
      <c r="S535" s="482"/>
      <c r="T535" s="482"/>
      <c r="U535" s="482"/>
      <c r="V535" s="384"/>
      <c r="W535" s="563"/>
      <c r="Y535" s="563"/>
      <c r="AA535" s="384"/>
      <c r="AB535" s="384"/>
      <c r="AC535" s="384"/>
      <c r="AD535" s="384"/>
      <c r="AE535" s="384"/>
      <c r="AF535" s="384"/>
      <c r="AG535" s="384"/>
      <c r="AH535" s="384"/>
      <c r="AI535" s="384"/>
      <c r="AJ535" s="384"/>
      <c r="AK535" s="384"/>
      <c r="AL535" s="384"/>
      <c r="AM535" s="384"/>
    </row>
    <row r="536" spans="1:39" ht="15.75" customHeight="1">
      <c r="A536" s="563"/>
      <c r="B536" s="384"/>
      <c r="C536" s="563"/>
      <c r="D536" s="1997"/>
      <c r="E536" s="1998"/>
      <c r="F536" s="1954"/>
      <c r="G536" s="563"/>
      <c r="H536" s="563"/>
      <c r="I536" s="2000"/>
      <c r="J536" s="563"/>
      <c r="K536" s="384"/>
      <c r="L536" s="1901"/>
      <c r="M536" s="1999"/>
      <c r="N536" s="1999"/>
      <c r="O536" s="1999"/>
      <c r="P536" s="2002"/>
      <c r="Q536" s="2002"/>
      <c r="R536" s="482"/>
      <c r="S536" s="482"/>
      <c r="T536" s="482"/>
      <c r="U536" s="482"/>
      <c r="V536" s="384"/>
      <c r="W536" s="563"/>
      <c r="Y536" s="563"/>
      <c r="AA536" s="384"/>
      <c r="AB536" s="384"/>
      <c r="AC536" s="384"/>
      <c r="AD536" s="384"/>
      <c r="AE536" s="384"/>
      <c r="AF536" s="384"/>
      <c r="AG536" s="384"/>
      <c r="AH536" s="384"/>
      <c r="AI536" s="384"/>
      <c r="AJ536" s="384"/>
      <c r="AK536" s="384"/>
      <c r="AL536" s="384"/>
      <c r="AM536" s="384"/>
    </row>
    <row r="537" spans="1:39" ht="15.75" customHeight="1">
      <c r="A537" s="563"/>
      <c r="B537" s="384"/>
      <c r="C537" s="563"/>
      <c r="D537" s="1997"/>
      <c r="E537" s="1998"/>
      <c r="F537" s="1954"/>
      <c r="G537" s="563"/>
      <c r="H537" s="563"/>
      <c r="I537" s="2000"/>
      <c r="J537" s="563"/>
      <c r="K537" s="384"/>
      <c r="L537" s="1901"/>
      <c r="M537" s="1999"/>
      <c r="N537" s="1999"/>
      <c r="O537" s="1999"/>
      <c r="P537" s="2002"/>
      <c r="Q537" s="2002"/>
      <c r="R537" s="482"/>
      <c r="S537" s="482"/>
      <c r="T537" s="482"/>
      <c r="U537" s="482"/>
      <c r="V537" s="384"/>
      <c r="W537" s="563"/>
      <c r="Y537" s="563"/>
      <c r="AA537" s="384"/>
      <c r="AB537" s="384"/>
      <c r="AC537" s="384"/>
      <c r="AD537" s="384"/>
      <c r="AE537" s="384"/>
      <c r="AF537" s="384"/>
      <c r="AG537" s="384"/>
      <c r="AH537" s="384"/>
      <c r="AI537" s="384"/>
      <c r="AJ537" s="384"/>
      <c r="AK537" s="384"/>
      <c r="AL537" s="384"/>
      <c r="AM537" s="384"/>
    </row>
    <row r="538" spans="1:39" ht="15.75" customHeight="1">
      <c r="A538" s="563"/>
      <c r="B538" s="384"/>
      <c r="C538" s="563"/>
      <c r="D538" s="1997"/>
      <c r="E538" s="1998"/>
      <c r="F538" s="1954"/>
      <c r="G538" s="563"/>
      <c r="H538" s="563"/>
      <c r="I538" s="2000"/>
      <c r="J538" s="563"/>
      <c r="K538" s="384"/>
      <c r="L538" s="1901"/>
      <c r="M538" s="1999"/>
      <c r="N538" s="1999"/>
      <c r="O538" s="1999"/>
      <c r="P538" s="2002"/>
      <c r="Q538" s="2002"/>
      <c r="R538" s="482"/>
      <c r="S538" s="482"/>
      <c r="T538" s="482"/>
      <c r="U538" s="482"/>
      <c r="V538" s="384"/>
      <c r="W538" s="563"/>
      <c r="Y538" s="563"/>
      <c r="AA538" s="384"/>
      <c r="AB538" s="384"/>
      <c r="AC538" s="384"/>
      <c r="AD538" s="384"/>
      <c r="AE538" s="384"/>
      <c r="AF538" s="384"/>
      <c r="AG538" s="384"/>
      <c r="AH538" s="384"/>
      <c r="AI538" s="384"/>
      <c r="AJ538" s="384"/>
      <c r="AK538" s="384"/>
      <c r="AL538" s="384"/>
      <c r="AM538" s="384"/>
    </row>
    <row r="539" spans="1:39" ht="15.75" customHeight="1">
      <c r="A539" s="563"/>
      <c r="B539" s="384"/>
      <c r="C539" s="563"/>
      <c r="D539" s="1997"/>
      <c r="E539" s="1998"/>
      <c r="F539" s="1954"/>
      <c r="G539" s="563"/>
      <c r="H539" s="563"/>
      <c r="I539" s="2000"/>
      <c r="J539" s="563"/>
      <c r="K539" s="384"/>
      <c r="L539" s="1901"/>
      <c r="M539" s="1999"/>
      <c r="N539" s="1999"/>
      <c r="O539" s="1999"/>
      <c r="P539" s="2002"/>
      <c r="Q539" s="2002"/>
      <c r="R539" s="482"/>
      <c r="S539" s="482"/>
      <c r="T539" s="482"/>
      <c r="U539" s="482"/>
      <c r="V539" s="384"/>
      <c r="W539" s="563"/>
      <c r="Y539" s="563"/>
      <c r="AA539" s="384"/>
      <c r="AB539" s="384"/>
      <c r="AC539" s="384"/>
      <c r="AD539" s="384"/>
      <c r="AE539" s="384"/>
      <c r="AF539" s="384"/>
      <c r="AG539" s="384"/>
      <c r="AH539" s="384"/>
      <c r="AI539" s="384"/>
      <c r="AJ539" s="384"/>
      <c r="AK539" s="384"/>
      <c r="AL539" s="384"/>
      <c r="AM539" s="384"/>
    </row>
    <row r="540" spans="1:39" ht="15.75" customHeight="1">
      <c r="A540" s="563"/>
      <c r="B540" s="384"/>
      <c r="C540" s="563"/>
      <c r="D540" s="1997"/>
      <c r="E540" s="1998"/>
      <c r="F540" s="1954"/>
      <c r="G540" s="563"/>
      <c r="H540" s="563"/>
      <c r="I540" s="2000"/>
      <c r="J540" s="563"/>
      <c r="K540" s="384"/>
      <c r="L540" s="1901"/>
      <c r="M540" s="1999"/>
      <c r="N540" s="1999"/>
      <c r="O540" s="1999"/>
      <c r="P540" s="2002"/>
      <c r="Q540" s="2002"/>
      <c r="R540" s="482"/>
      <c r="S540" s="482"/>
      <c r="T540" s="482"/>
      <c r="U540" s="482"/>
      <c r="V540" s="384"/>
      <c r="W540" s="563"/>
      <c r="Y540" s="563"/>
      <c r="AA540" s="384"/>
      <c r="AB540" s="384"/>
      <c r="AC540" s="384"/>
      <c r="AD540" s="384"/>
      <c r="AE540" s="384"/>
      <c r="AF540" s="384"/>
      <c r="AG540" s="384"/>
      <c r="AH540" s="384"/>
      <c r="AI540" s="384"/>
      <c r="AJ540" s="384"/>
      <c r="AK540" s="384"/>
      <c r="AL540" s="384"/>
      <c r="AM540" s="384"/>
    </row>
    <row r="541" spans="1:39" ht="15.75" customHeight="1">
      <c r="A541" s="563"/>
      <c r="B541" s="384"/>
      <c r="C541" s="563"/>
      <c r="D541" s="1997"/>
      <c r="E541" s="1998"/>
      <c r="F541" s="1954"/>
      <c r="G541" s="563"/>
      <c r="H541" s="563"/>
      <c r="I541" s="2000"/>
      <c r="J541" s="563"/>
      <c r="K541" s="384"/>
      <c r="L541" s="1901"/>
      <c r="M541" s="1999"/>
      <c r="N541" s="1999"/>
      <c r="O541" s="1999"/>
      <c r="P541" s="2002"/>
      <c r="Q541" s="2002"/>
      <c r="R541" s="482"/>
      <c r="S541" s="482"/>
      <c r="T541" s="482"/>
      <c r="U541" s="482"/>
      <c r="V541" s="384"/>
      <c r="W541" s="563"/>
      <c r="Y541" s="563"/>
      <c r="AA541" s="384"/>
      <c r="AB541" s="384"/>
      <c r="AC541" s="384"/>
      <c r="AD541" s="384"/>
      <c r="AE541" s="384"/>
      <c r="AF541" s="384"/>
      <c r="AG541" s="384"/>
      <c r="AH541" s="384"/>
      <c r="AI541" s="384"/>
      <c r="AJ541" s="384"/>
      <c r="AK541" s="384"/>
      <c r="AL541" s="384"/>
      <c r="AM541" s="384"/>
    </row>
    <row r="542" spans="1:39" ht="15.75" customHeight="1">
      <c r="A542" s="563"/>
      <c r="B542" s="384"/>
      <c r="C542" s="563"/>
      <c r="D542" s="1997"/>
      <c r="E542" s="1998"/>
      <c r="F542" s="1954"/>
      <c r="G542" s="563"/>
      <c r="H542" s="563"/>
      <c r="I542" s="2000"/>
      <c r="J542" s="563"/>
      <c r="K542" s="384"/>
      <c r="L542" s="1901"/>
      <c r="M542" s="1999"/>
      <c r="N542" s="1999"/>
      <c r="O542" s="1999"/>
      <c r="P542" s="2002"/>
      <c r="Q542" s="2002"/>
      <c r="R542" s="482"/>
      <c r="S542" s="482"/>
      <c r="T542" s="482"/>
      <c r="U542" s="482"/>
      <c r="V542" s="384"/>
      <c r="W542" s="563"/>
      <c r="Y542" s="563"/>
      <c r="AA542" s="384"/>
      <c r="AB542" s="384"/>
      <c r="AC542" s="384"/>
      <c r="AD542" s="384"/>
      <c r="AE542" s="384"/>
      <c r="AF542" s="384"/>
      <c r="AG542" s="384"/>
      <c r="AH542" s="384"/>
      <c r="AI542" s="384"/>
      <c r="AJ542" s="384"/>
      <c r="AK542" s="384"/>
      <c r="AL542" s="384"/>
      <c r="AM542" s="384"/>
    </row>
    <row r="543" spans="1:39" ht="15.75" customHeight="1">
      <c r="A543" s="563"/>
      <c r="B543" s="384"/>
      <c r="C543" s="563"/>
      <c r="D543" s="1997"/>
      <c r="E543" s="1998"/>
      <c r="F543" s="1954"/>
      <c r="G543" s="563"/>
      <c r="H543" s="563"/>
      <c r="I543" s="2000"/>
      <c r="J543" s="563"/>
      <c r="K543" s="384"/>
      <c r="L543" s="1901"/>
      <c r="M543" s="1999"/>
      <c r="N543" s="1999"/>
      <c r="O543" s="1999"/>
      <c r="P543" s="2002"/>
      <c r="Q543" s="2002"/>
      <c r="R543" s="482"/>
      <c r="S543" s="482"/>
      <c r="T543" s="482"/>
      <c r="U543" s="482"/>
      <c r="V543" s="384"/>
      <c r="W543" s="563"/>
      <c r="Y543" s="563"/>
      <c r="AA543" s="384"/>
      <c r="AB543" s="384"/>
      <c r="AC543" s="384"/>
      <c r="AD543" s="384"/>
      <c r="AE543" s="384"/>
      <c r="AF543" s="384"/>
      <c r="AG543" s="384"/>
      <c r="AH543" s="384"/>
      <c r="AI543" s="384"/>
      <c r="AJ543" s="384"/>
      <c r="AK543" s="384"/>
      <c r="AL543" s="384"/>
      <c r="AM543" s="384"/>
    </row>
    <row r="544" spans="1:39" ht="15.75" customHeight="1">
      <c r="A544" s="563"/>
      <c r="B544" s="384"/>
      <c r="C544" s="563"/>
      <c r="D544" s="1997"/>
      <c r="E544" s="1998"/>
      <c r="F544" s="1954"/>
      <c r="G544" s="563"/>
      <c r="H544" s="563"/>
      <c r="I544" s="2000"/>
      <c r="J544" s="563"/>
      <c r="K544" s="384"/>
      <c r="L544" s="1901"/>
      <c r="M544" s="1999"/>
      <c r="N544" s="1999"/>
      <c r="O544" s="1999"/>
      <c r="P544" s="2002"/>
      <c r="Q544" s="2002"/>
      <c r="R544" s="482"/>
      <c r="S544" s="482"/>
      <c r="T544" s="482"/>
      <c r="U544" s="482"/>
      <c r="V544" s="384"/>
      <c r="W544" s="563"/>
      <c r="Y544" s="563"/>
      <c r="AA544" s="384"/>
      <c r="AB544" s="384"/>
      <c r="AC544" s="384"/>
      <c r="AD544" s="384"/>
      <c r="AE544" s="384"/>
      <c r="AF544" s="384"/>
      <c r="AG544" s="384"/>
      <c r="AH544" s="384"/>
      <c r="AI544" s="384"/>
      <c r="AJ544" s="384"/>
      <c r="AK544" s="384"/>
      <c r="AL544" s="384"/>
      <c r="AM544" s="384"/>
    </row>
    <row r="545" spans="1:39" ht="15.75" customHeight="1">
      <c r="A545" s="563"/>
      <c r="B545" s="384"/>
      <c r="C545" s="563"/>
      <c r="D545" s="1997"/>
      <c r="E545" s="1998"/>
      <c r="F545" s="1954"/>
      <c r="G545" s="563"/>
      <c r="H545" s="563"/>
      <c r="I545" s="2000"/>
      <c r="J545" s="563"/>
      <c r="K545" s="384"/>
      <c r="L545" s="1901"/>
      <c r="M545" s="1999"/>
      <c r="N545" s="1999"/>
      <c r="O545" s="1999"/>
      <c r="P545" s="2002"/>
      <c r="Q545" s="2002"/>
      <c r="R545" s="482"/>
      <c r="S545" s="482"/>
      <c r="T545" s="482"/>
      <c r="U545" s="482"/>
      <c r="V545" s="384"/>
      <c r="W545" s="563"/>
      <c r="Y545" s="563"/>
      <c r="AA545" s="384"/>
      <c r="AB545" s="384"/>
      <c r="AC545" s="384"/>
      <c r="AD545" s="384"/>
      <c r="AE545" s="384"/>
      <c r="AF545" s="384"/>
      <c r="AG545" s="384"/>
      <c r="AH545" s="384"/>
      <c r="AI545" s="384"/>
      <c r="AJ545" s="384"/>
      <c r="AK545" s="384"/>
      <c r="AL545" s="384"/>
      <c r="AM545" s="384"/>
    </row>
    <row r="546" spans="1:39" ht="15.75" customHeight="1">
      <c r="A546" s="563"/>
      <c r="B546" s="384"/>
      <c r="C546" s="563"/>
      <c r="D546" s="1997"/>
      <c r="E546" s="1998"/>
      <c r="F546" s="1954"/>
      <c r="G546" s="563"/>
      <c r="H546" s="563"/>
      <c r="I546" s="2000"/>
      <c r="J546" s="563"/>
      <c r="K546" s="384"/>
      <c r="L546" s="1901"/>
      <c r="M546" s="1999"/>
      <c r="N546" s="1999"/>
      <c r="O546" s="1999"/>
      <c r="P546" s="2002"/>
      <c r="Q546" s="2002"/>
      <c r="R546" s="482"/>
      <c r="S546" s="482"/>
      <c r="T546" s="482"/>
      <c r="U546" s="482"/>
      <c r="V546" s="384"/>
      <c r="W546" s="563"/>
      <c r="Y546" s="563"/>
      <c r="AA546" s="384"/>
      <c r="AB546" s="384"/>
      <c r="AC546" s="384"/>
      <c r="AD546" s="384"/>
      <c r="AE546" s="384"/>
      <c r="AF546" s="384"/>
      <c r="AG546" s="384"/>
      <c r="AH546" s="384"/>
      <c r="AI546" s="384"/>
      <c r="AJ546" s="384"/>
      <c r="AK546" s="384"/>
      <c r="AL546" s="384"/>
      <c r="AM546" s="384"/>
    </row>
    <row r="547" spans="1:39" ht="15.75" customHeight="1">
      <c r="A547" s="563"/>
      <c r="B547" s="384"/>
      <c r="C547" s="563"/>
      <c r="D547" s="1997"/>
      <c r="E547" s="1998"/>
      <c r="F547" s="1954"/>
      <c r="G547" s="563"/>
      <c r="H547" s="563"/>
      <c r="I547" s="2000"/>
      <c r="J547" s="563"/>
      <c r="K547" s="384"/>
      <c r="L547" s="1901"/>
      <c r="M547" s="1999"/>
      <c r="N547" s="1999"/>
      <c r="O547" s="1999"/>
      <c r="P547" s="2002"/>
      <c r="Q547" s="2002"/>
      <c r="R547" s="482"/>
      <c r="S547" s="482"/>
      <c r="T547" s="482"/>
      <c r="U547" s="482"/>
      <c r="V547" s="384"/>
      <c r="W547" s="563"/>
      <c r="Y547" s="563"/>
      <c r="AA547" s="384"/>
      <c r="AB547" s="384"/>
      <c r="AC547" s="384"/>
      <c r="AD547" s="384"/>
      <c r="AE547" s="384"/>
      <c r="AF547" s="384"/>
      <c r="AG547" s="384"/>
      <c r="AH547" s="384"/>
      <c r="AI547" s="384"/>
      <c r="AJ547" s="384"/>
      <c r="AK547" s="384"/>
      <c r="AL547" s="384"/>
      <c r="AM547" s="384"/>
    </row>
    <row r="548" spans="1:39" ht="15.75" customHeight="1">
      <c r="A548" s="563"/>
      <c r="B548" s="384"/>
      <c r="C548" s="563"/>
      <c r="D548" s="1997"/>
      <c r="E548" s="1998"/>
      <c r="F548" s="1954"/>
      <c r="G548" s="563"/>
      <c r="H548" s="563"/>
      <c r="I548" s="2000"/>
      <c r="J548" s="563"/>
      <c r="K548" s="384"/>
      <c r="L548" s="1901"/>
      <c r="M548" s="1999"/>
      <c r="N548" s="1999"/>
      <c r="O548" s="1999"/>
      <c r="P548" s="2002"/>
      <c r="Q548" s="2002"/>
      <c r="R548" s="482"/>
      <c r="S548" s="482"/>
      <c r="T548" s="482"/>
      <c r="U548" s="482"/>
      <c r="V548" s="384"/>
      <c r="W548" s="563"/>
      <c r="Y548" s="563"/>
      <c r="AA548" s="384"/>
      <c r="AB548" s="384"/>
      <c r="AC548" s="384"/>
      <c r="AD548" s="384"/>
      <c r="AE548" s="384"/>
      <c r="AF548" s="384"/>
      <c r="AG548" s="384"/>
      <c r="AH548" s="384"/>
      <c r="AI548" s="384"/>
      <c r="AJ548" s="384"/>
      <c r="AK548" s="384"/>
      <c r="AL548" s="384"/>
      <c r="AM548" s="384"/>
    </row>
    <row r="549" spans="1:39" ht="15.75" customHeight="1">
      <c r="A549" s="563"/>
      <c r="B549" s="384"/>
      <c r="C549" s="563"/>
      <c r="D549" s="1997"/>
      <c r="E549" s="1998"/>
      <c r="F549" s="1954"/>
      <c r="G549" s="563"/>
      <c r="H549" s="563"/>
      <c r="I549" s="2000"/>
      <c r="J549" s="563"/>
      <c r="K549" s="384"/>
      <c r="L549" s="1901"/>
      <c r="M549" s="1999"/>
      <c r="N549" s="1999"/>
      <c r="O549" s="1999"/>
      <c r="P549" s="2002"/>
      <c r="Q549" s="2002"/>
      <c r="R549" s="482"/>
      <c r="S549" s="482"/>
      <c r="T549" s="482"/>
      <c r="U549" s="482"/>
      <c r="V549" s="384"/>
      <c r="W549" s="563"/>
      <c r="Y549" s="563"/>
      <c r="AA549" s="384"/>
      <c r="AB549" s="384"/>
      <c r="AC549" s="384"/>
      <c r="AD549" s="384"/>
      <c r="AE549" s="384"/>
      <c r="AF549" s="384"/>
      <c r="AG549" s="384"/>
      <c r="AH549" s="384"/>
      <c r="AI549" s="384"/>
      <c r="AJ549" s="384"/>
      <c r="AK549" s="384"/>
      <c r="AL549" s="384"/>
      <c r="AM549" s="384"/>
    </row>
    <row r="550" spans="1:39" ht="15.75" customHeight="1">
      <c r="A550" s="563"/>
      <c r="B550" s="384"/>
      <c r="C550" s="563"/>
      <c r="D550" s="1997"/>
      <c r="E550" s="1998"/>
      <c r="F550" s="1954"/>
      <c r="G550" s="563"/>
      <c r="H550" s="563"/>
      <c r="I550" s="2000"/>
      <c r="J550" s="563"/>
      <c r="K550" s="384"/>
      <c r="L550" s="1901"/>
      <c r="M550" s="1999"/>
      <c r="N550" s="1999"/>
      <c r="O550" s="1999"/>
      <c r="P550" s="2002"/>
      <c r="Q550" s="2002"/>
      <c r="R550" s="482"/>
      <c r="S550" s="482"/>
      <c r="T550" s="482"/>
      <c r="U550" s="482"/>
      <c r="V550" s="384"/>
      <c r="W550" s="563"/>
      <c r="Y550" s="563"/>
      <c r="AA550" s="384"/>
      <c r="AB550" s="384"/>
      <c r="AC550" s="384"/>
      <c r="AD550" s="384"/>
      <c r="AE550" s="384"/>
      <c r="AF550" s="384"/>
      <c r="AG550" s="384"/>
      <c r="AH550" s="384"/>
      <c r="AI550" s="384"/>
      <c r="AJ550" s="384"/>
      <c r="AK550" s="384"/>
      <c r="AL550" s="384"/>
      <c r="AM550" s="384"/>
    </row>
    <row r="551" spans="1:39" ht="15.75" customHeight="1">
      <c r="A551" s="563"/>
      <c r="B551" s="384"/>
      <c r="C551" s="563"/>
      <c r="D551" s="1997"/>
      <c r="E551" s="1998"/>
      <c r="F551" s="1954"/>
      <c r="G551" s="563"/>
      <c r="H551" s="563"/>
      <c r="I551" s="2000"/>
      <c r="J551" s="563"/>
      <c r="K551" s="384"/>
      <c r="L551" s="1901"/>
      <c r="M551" s="1999"/>
      <c r="N551" s="1999"/>
      <c r="O551" s="1999"/>
      <c r="P551" s="2002"/>
      <c r="Q551" s="2002"/>
      <c r="R551" s="482"/>
      <c r="S551" s="482"/>
      <c r="T551" s="482"/>
      <c r="U551" s="482"/>
      <c r="V551" s="384"/>
      <c r="W551" s="563"/>
      <c r="Y551" s="563"/>
      <c r="AA551" s="384"/>
      <c r="AB551" s="384"/>
      <c r="AC551" s="384"/>
      <c r="AD551" s="384"/>
      <c r="AE551" s="384"/>
      <c r="AF551" s="384"/>
      <c r="AG551" s="384"/>
      <c r="AH551" s="384"/>
      <c r="AI551" s="384"/>
      <c r="AJ551" s="384"/>
      <c r="AK551" s="384"/>
      <c r="AL551" s="384"/>
      <c r="AM551" s="384"/>
    </row>
    <row r="552" spans="1:39" ht="15.75" customHeight="1">
      <c r="A552" s="563"/>
      <c r="B552" s="384"/>
      <c r="C552" s="563"/>
      <c r="D552" s="1997"/>
      <c r="E552" s="1998"/>
      <c r="F552" s="1954"/>
      <c r="G552" s="563"/>
      <c r="H552" s="563"/>
      <c r="I552" s="2000"/>
      <c r="J552" s="563"/>
      <c r="K552" s="384"/>
      <c r="L552" s="1901"/>
      <c r="M552" s="1999"/>
      <c r="N552" s="1999"/>
      <c r="O552" s="1999"/>
      <c r="P552" s="2002"/>
      <c r="Q552" s="2002"/>
      <c r="R552" s="482"/>
      <c r="S552" s="482"/>
      <c r="T552" s="482"/>
      <c r="U552" s="482"/>
      <c r="V552" s="384"/>
      <c r="W552" s="563"/>
      <c r="Y552" s="563"/>
      <c r="AA552" s="384"/>
      <c r="AB552" s="384"/>
      <c r="AC552" s="384"/>
      <c r="AD552" s="384"/>
      <c r="AE552" s="384"/>
      <c r="AF552" s="384"/>
      <c r="AG552" s="384"/>
      <c r="AH552" s="384"/>
      <c r="AI552" s="384"/>
      <c r="AJ552" s="384"/>
      <c r="AK552" s="384"/>
      <c r="AL552" s="384"/>
      <c r="AM552" s="384"/>
    </row>
    <row r="553" spans="1:39" ht="15.75" customHeight="1">
      <c r="A553" s="563"/>
      <c r="B553" s="384"/>
      <c r="C553" s="563"/>
      <c r="D553" s="1997"/>
      <c r="E553" s="1998"/>
      <c r="F553" s="1954"/>
      <c r="G553" s="563"/>
      <c r="H553" s="563"/>
      <c r="I553" s="2000"/>
      <c r="J553" s="563"/>
      <c r="K553" s="384"/>
      <c r="L553" s="1901"/>
      <c r="M553" s="1999"/>
      <c r="N553" s="1999"/>
      <c r="O553" s="1999"/>
      <c r="P553" s="2002"/>
      <c r="Q553" s="2002"/>
      <c r="R553" s="482"/>
      <c r="S553" s="482"/>
      <c r="T553" s="482"/>
      <c r="U553" s="482"/>
      <c r="V553" s="384"/>
      <c r="W553" s="563"/>
      <c r="Y553" s="563"/>
      <c r="AA553" s="384"/>
      <c r="AB553" s="384"/>
      <c r="AC553" s="384"/>
      <c r="AD553" s="384"/>
      <c r="AE553" s="384"/>
      <c r="AF553" s="384"/>
      <c r="AG553" s="384"/>
      <c r="AH553" s="384"/>
      <c r="AI553" s="384"/>
      <c r="AJ553" s="384"/>
      <c r="AK553" s="384"/>
      <c r="AL553" s="384"/>
      <c r="AM553" s="384"/>
    </row>
    <row r="554" spans="1:39" ht="15.75" customHeight="1">
      <c r="A554" s="563"/>
      <c r="B554" s="384"/>
      <c r="C554" s="563"/>
      <c r="D554" s="1997"/>
      <c r="E554" s="1998"/>
      <c r="F554" s="1954"/>
      <c r="G554" s="563"/>
      <c r="H554" s="563"/>
      <c r="I554" s="2000"/>
      <c r="J554" s="563"/>
      <c r="K554" s="384"/>
      <c r="L554" s="1901"/>
      <c r="M554" s="1999"/>
      <c r="N554" s="1999"/>
      <c r="O554" s="1999"/>
      <c r="P554" s="2002"/>
      <c r="Q554" s="2002"/>
      <c r="R554" s="482"/>
      <c r="S554" s="482"/>
      <c r="T554" s="482"/>
      <c r="U554" s="482"/>
      <c r="V554" s="384"/>
      <c r="W554" s="563"/>
      <c r="Y554" s="563"/>
      <c r="AA554" s="384"/>
      <c r="AB554" s="384"/>
      <c r="AC554" s="384"/>
      <c r="AD554" s="384"/>
      <c r="AE554" s="384"/>
      <c r="AF554" s="384"/>
      <c r="AG554" s="384"/>
      <c r="AH554" s="384"/>
      <c r="AI554" s="384"/>
      <c r="AJ554" s="384"/>
      <c r="AK554" s="384"/>
      <c r="AL554" s="384"/>
      <c r="AM554" s="384"/>
    </row>
    <row r="555" spans="1:39" ht="15.75" customHeight="1">
      <c r="A555" s="563"/>
      <c r="B555" s="384"/>
      <c r="C555" s="563"/>
      <c r="D555" s="1997"/>
      <c r="E555" s="1998"/>
      <c r="F555" s="1954"/>
      <c r="G555" s="563"/>
      <c r="H555" s="563"/>
      <c r="I555" s="2000"/>
      <c r="J555" s="563"/>
      <c r="K555" s="384"/>
      <c r="L555" s="1901"/>
      <c r="M555" s="1999"/>
      <c r="N555" s="1999"/>
      <c r="O555" s="1999"/>
      <c r="P555" s="2002"/>
      <c r="Q555" s="2002"/>
      <c r="R555" s="482"/>
      <c r="S555" s="482"/>
      <c r="T555" s="482"/>
      <c r="U555" s="482"/>
      <c r="V555" s="384"/>
      <c r="W555" s="563"/>
      <c r="Y555" s="563"/>
      <c r="AA555" s="384"/>
      <c r="AB555" s="384"/>
      <c r="AC555" s="384"/>
      <c r="AD555" s="384"/>
      <c r="AE555" s="384"/>
      <c r="AF555" s="384"/>
      <c r="AG555" s="384"/>
      <c r="AH555" s="384"/>
      <c r="AI555" s="384"/>
      <c r="AJ555" s="384"/>
      <c r="AK555" s="384"/>
      <c r="AL555" s="384"/>
      <c r="AM555" s="384"/>
    </row>
    <row r="556" spans="1:39" ht="15.75" customHeight="1">
      <c r="A556" s="563"/>
      <c r="B556" s="384"/>
      <c r="C556" s="563"/>
      <c r="D556" s="1997"/>
      <c r="E556" s="1998"/>
      <c r="F556" s="1954"/>
      <c r="G556" s="563"/>
      <c r="H556" s="563"/>
      <c r="I556" s="2000"/>
      <c r="J556" s="563"/>
      <c r="K556" s="384"/>
      <c r="L556" s="1901"/>
      <c r="M556" s="1999"/>
      <c r="N556" s="1999"/>
      <c r="O556" s="1999"/>
      <c r="P556" s="2002"/>
      <c r="Q556" s="2002"/>
      <c r="R556" s="482"/>
      <c r="S556" s="482"/>
      <c r="T556" s="482"/>
      <c r="U556" s="482"/>
      <c r="V556" s="384"/>
      <c r="W556" s="563"/>
      <c r="Y556" s="563"/>
      <c r="AA556" s="384"/>
      <c r="AB556" s="384"/>
      <c r="AC556" s="384"/>
      <c r="AD556" s="384"/>
      <c r="AE556" s="384"/>
      <c r="AF556" s="384"/>
      <c r="AG556" s="384"/>
      <c r="AH556" s="384"/>
      <c r="AI556" s="384"/>
      <c r="AJ556" s="384"/>
      <c r="AK556" s="384"/>
      <c r="AL556" s="384"/>
      <c r="AM556" s="384"/>
    </row>
    <row r="557" spans="1:39" ht="15.75" customHeight="1">
      <c r="A557" s="563"/>
      <c r="B557" s="384"/>
      <c r="C557" s="563"/>
      <c r="D557" s="1997"/>
      <c r="E557" s="1998"/>
      <c r="F557" s="1954"/>
      <c r="G557" s="563"/>
      <c r="H557" s="563"/>
      <c r="I557" s="2000"/>
      <c r="J557" s="563"/>
      <c r="K557" s="384"/>
      <c r="L557" s="1901"/>
      <c r="M557" s="1999"/>
      <c r="N557" s="1999"/>
      <c r="O557" s="1999"/>
      <c r="P557" s="2002"/>
      <c r="Q557" s="2002"/>
      <c r="R557" s="482"/>
      <c r="S557" s="482"/>
      <c r="T557" s="482"/>
      <c r="U557" s="482"/>
      <c r="V557" s="384"/>
      <c r="W557" s="563"/>
      <c r="Y557" s="563"/>
      <c r="AA557" s="384"/>
      <c r="AB557" s="384"/>
      <c r="AC557" s="384"/>
      <c r="AD557" s="384"/>
      <c r="AE557" s="384"/>
      <c r="AF557" s="384"/>
      <c r="AG557" s="384"/>
      <c r="AH557" s="384"/>
      <c r="AI557" s="384"/>
      <c r="AJ557" s="384"/>
      <c r="AK557" s="384"/>
      <c r="AL557" s="384"/>
      <c r="AM557" s="384"/>
    </row>
    <row r="558" spans="1:39" ht="15.75" customHeight="1">
      <c r="A558" s="563"/>
      <c r="B558" s="384"/>
      <c r="C558" s="563"/>
      <c r="D558" s="1997"/>
      <c r="E558" s="1998"/>
      <c r="F558" s="1954"/>
      <c r="G558" s="563"/>
      <c r="H558" s="563"/>
      <c r="I558" s="2000"/>
      <c r="J558" s="563"/>
      <c r="K558" s="384"/>
      <c r="L558" s="1901"/>
      <c r="M558" s="1999"/>
      <c r="N558" s="1999"/>
      <c r="O558" s="1999"/>
      <c r="P558" s="2002"/>
      <c r="Q558" s="2002"/>
      <c r="R558" s="482"/>
      <c r="S558" s="482"/>
      <c r="T558" s="482"/>
      <c r="U558" s="482"/>
      <c r="V558" s="384"/>
      <c r="W558" s="563"/>
      <c r="Y558" s="563"/>
      <c r="AA558" s="384"/>
      <c r="AB558" s="384"/>
      <c r="AC558" s="384"/>
      <c r="AD558" s="384"/>
      <c r="AE558" s="384"/>
      <c r="AF558" s="384"/>
      <c r="AG558" s="384"/>
      <c r="AH558" s="384"/>
      <c r="AI558" s="384"/>
      <c r="AJ558" s="384"/>
      <c r="AK558" s="384"/>
      <c r="AL558" s="384"/>
      <c r="AM558" s="384"/>
    </row>
    <row r="559" spans="1:39" ht="15.75" customHeight="1">
      <c r="A559" s="563"/>
      <c r="B559" s="384"/>
      <c r="C559" s="563"/>
      <c r="D559" s="1997"/>
      <c r="E559" s="1998"/>
      <c r="F559" s="1954"/>
      <c r="G559" s="563"/>
      <c r="H559" s="563"/>
      <c r="I559" s="2000"/>
      <c r="J559" s="563"/>
      <c r="K559" s="384"/>
      <c r="L559" s="1901"/>
      <c r="M559" s="1999"/>
      <c r="N559" s="1999"/>
      <c r="O559" s="1999"/>
      <c r="P559" s="2002"/>
      <c r="Q559" s="2002"/>
      <c r="R559" s="482"/>
      <c r="S559" s="482"/>
      <c r="T559" s="482"/>
      <c r="U559" s="482"/>
      <c r="V559" s="384"/>
      <c r="W559" s="563"/>
      <c r="Y559" s="563"/>
      <c r="AA559" s="384"/>
      <c r="AB559" s="384"/>
      <c r="AC559" s="384"/>
      <c r="AD559" s="384"/>
      <c r="AE559" s="384"/>
      <c r="AF559" s="384"/>
      <c r="AG559" s="384"/>
      <c r="AH559" s="384"/>
      <c r="AI559" s="384"/>
      <c r="AJ559" s="384"/>
      <c r="AK559" s="384"/>
      <c r="AL559" s="384"/>
      <c r="AM559" s="384"/>
    </row>
    <row r="560" spans="1:39" ht="15.75" customHeight="1">
      <c r="A560" s="563"/>
      <c r="B560" s="384"/>
      <c r="C560" s="563"/>
      <c r="D560" s="1997"/>
      <c r="E560" s="1998"/>
      <c r="F560" s="1954"/>
      <c r="G560" s="563"/>
      <c r="H560" s="563"/>
      <c r="I560" s="2000"/>
      <c r="J560" s="563"/>
      <c r="K560" s="384"/>
      <c r="L560" s="1901"/>
      <c r="M560" s="1999"/>
      <c r="N560" s="1999"/>
      <c r="O560" s="1999"/>
      <c r="P560" s="2002"/>
      <c r="Q560" s="2002"/>
      <c r="R560" s="482"/>
      <c r="S560" s="482"/>
      <c r="T560" s="482"/>
      <c r="U560" s="482"/>
      <c r="V560" s="384"/>
      <c r="W560" s="563"/>
      <c r="Y560" s="563"/>
      <c r="AA560" s="384"/>
      <c r="AB560" s="384"/>
      <c r="AC560" s="384"/>
      <c r="AD560" s="384"/>
      <c r="AE560" s="384"/>
      <c r="AF560" s="384"/>
      <c r="AG560" s="384"/>
      <c r="AH560" s="384"/>
      <c r="AI560" s="384"/>
      <c r="AJ560" s="384"/>
      <c r="AK560" s="384"/>
      <c r="AL560" s="384"/>
      <c r="AM560" s="384"/>
    </row>
    <row r="561" spans="1:39" ht="15.75" customHeight="1">
      <c r="A561" s="563"/>
      <c r="B561" s="384"/>
      <c r="C561" s="563"/>
      <c r="D561" s="1997"/>
      <c r="E561" s="1998"/>
      <c r="F561" s="1954"/>
      <c r="G561" s="563"/>
      <c r="H561" s="563"/>
      <c r="I561" s="2000"/>
      <c r="J561" s="563"/>
      <c r="K561" s="384"/>
      <c r="L561" s="1901"/>
      <c r="M561" s="1999"/>
      <c r="N561" s="1999"/>
      <c r="O561" s="1999"/>
      <c r="P561" s="2002"/>
      <c r="Q561" s="2002"/>
      <c r="R561" s="482"/>
      <c r="S561" s="482"/>
      <c r="T561" s="482"/>
      <c r="U561" s="482"/>
      <c r="V561" s="384"/>
      <c r="W561" s="563"/>
      <c r="Y561" s="563"/>
      <c r="AA561" s="384"/>
      <c r="AB561" s="384"/>
      <c r="AC561" s="384"/>
      <c r="AD561" s="384"/>
      <c r="AE561" s="384"/>
      <c r="AF561" s="384"/>
      <c r="AG561" s="384"/>
      <c r="AH561" s="384"/>
      <c r="AI561" s="384"/>
      <c r="AJ561" s="384"/>
      <c r="AK561" s="384"/>
      <c r="AL561" s="384"/>
      <c r="AM561" s="384"/>
    </row>
    <row r="562" spans="1:39" ht="15.75" customHeight="1">
      <c r="A562" s="563"/>
      <c r="B562" s="384"/>
      <c r="C562" s="563"/>
      <c r="D562" s="1997"/>
      <c r="E562" s="1998"/>
      <c r="F562" s="1954"/>
      <c r="G562" s="563"/>
      <c r="H562" s="563"/>
      <c r="I562" s="2000"/>
      <c r="J562" s="563"/>
      <c r="K562" s="384"/>
      <c r="L562" s="1901"/>
      <c r="M562" s="1999"/>
      <c r="N562" s="1999"/>
      <c r="O562" s="1999"/>
      <c r="P562" s="2002"/>
      <c r="Q562" s="2002"/>
      <c r="R562" s="482"/>
      <c r="S562" s="482"/>
      <c r="T562" s="482"/>
      <c r="U562" s="482"/>
      <c r="V562" s="384"/>
      <c r="W562" s="563"/>
      <c r="Y562" s="563"/>
      <c r="AA562" s="384"/>
      <c r="AB562" s="384"/>
      <c r="AC562" s="384"/>
      <c r="AD562" s="384"/>
      <c r="AE562" s="384"/>
      <c r="AF562" s="384"/>
      <c r="AG562" s="384"/>
      <c r="AH562" s="384"/>
      <c r="AI562" s="384"/>
      <c r="AJ562" s="384"/>
      <c r="AK562" s="384"/>
      <c r="AL562" s="384"/>
      <c r="AM562" s="384"/>
    </row>
    <row r="563" spans="1:39" ht="15.75" customHeight="1">
      <c r="A563" s="563"/>
      <c r="B563" s="384"/>
      <c r="C563" s="563"/>
      <c r="D563" s="1997"/>
      <c r="E563" s="1998"/>
      <c r="F563" s="1954"/>
      <c r="G563" s="563"/>
      <c r="H563" s="563"/>
      <c r="I563" s="2000"/>
      <c r="J563" s="563"/>
      <c r="K563" s="384"/>
      <c r="L563" s="1901"/>
      <c r="M563" s="1999"/>
      <c r="N563" s="1999"/>
      <c r="O563" s="1999"/>
      <c r="P563" s="2002"/>
      <c r="Q563" s="2002"/>
      <c r="R563" s="482"/>
      <c r="S563" s="482"/>
      <c r="T563" s="482"/>
      <c r="U563" s="482"/>
      <c r="V563" s="384"/>
      <c r="W563" s="563"/>
      <c r="Y563" s="563"/>
      <c r="AA563" s="384"/>
      <c r="AB563" s="384"/>
      <c r="AC563" s="384"/>
      <c r="AD563" s="384"/>
      <c r="AE563" s="384"/>
      <c r="AF563" s="384"/>
      <c r="AG563" s="384"/>
      <c r="AH563" s="384"/>
      <c r="AI563" s="384"/>
      <c r="AJ563" s="384"/>
      <c r="AK563" s="384"/>
      <c r="AL563" s="384"/>
      <c r="AM563" s="384"/>
    </row>
    <row r="564" spans="1:39" ht="15.75" customHeight="1">
      <c r="A564" s="563"/>
      <c r="B564" s="384"/>
      <c r="C564" s="563"/>
      <c r="D564" s="1997"/>
      <c r="E564" s="1998"/>
      <c r="F564" s="1954"/>
      <c r="G564" s="563"/>
      <c r="H564" s="563"/>
      <c r="I564" s="2000"/>
      <c r="J564" s="563"/>
      <c r="K564" s="384"/>
      <c r="L564" s="1901"/>
      <c r="M564" s="1999"/>
      <c r="N564" s="1999"/>
      <c r="O564" s="1999"/>
      <c r="P564" s="2002"/>
      <c r="Q564" s="2002"/>
      <c r="R564" s="482"/>
      <c r="S564" s="482"/>
      <c r="T564" s="482"/>
      <c r="U564" s="482"/>
      <c r="V564" s="384"/>
      <c r="W564" s="563"/>
      <c r="Y564" s="563"/>
      <c r="AA564" s="384"/>
      <c r="AB564" s="384"/>
      <c r="AC564" s="384"/>
      <c r="AD564" s="384"/>
      <c r="AE564" s="384"/>
      <c r="AF564" s="384"/>
      <c r="AG564" s="384"/>
      <c r="AH564" s="384"/>
      <c r="AI564" s="384"/>
      <c r="AJ564" s="384"/>
      <c r="AK564" s="384"/>
      <c r="AL564" s="384"/>
      <c r="AM564" s="384"/>
    </row>
    <row r="565" spans="1:39" ht="15.75" customHeight="1">
      <c r="A565" s="563"/>
      <c r="B565" s="384"/>
      <c r="C565" s="563"/>
      <c r="D565" s="1997"/>
      <c r="E565" s="1998"/>
      <c r="F565" s="1954"/>
      <c r="G565" s="563"/>
      <c r="H565" s="563"/>
      <c r="I565" s="2000"/>
      <c r="J565" s="563"/>
      <c r="K565" s="384"/>
      <c r="L565" s="1901"/>
      <c r="M565" s="1999"/>
      <c r="N565" s="1999"/>
      <c r="O565" s="1999"/>
      <c r="P565" s="2002"/>
      <c r="Q565" s="2002"/>
      <c r="R565" s="482"/>
      <c r="S565" s="482"/>
      <c r="T565" s="482"/>
      <c r="U565" s="482"/>
      <c r="V565" s="384"/>
      <c r="W565" s="563"/>
      <c r="Y565" s="563"/>
      <c r="AA565" s="384"/>
      <c r="AB565" s="384"/>
      <c r="AC565" s="384"/>
      <c r="AD565" s="384"/>
      <c r="AE565" s="384"/>
      <c r="AF565" s="384"/>
      <c r="AG565" s="384"/>
      <c r="AH565" s="384"/>
      <c r="AI565" s="384"/>
      <c r="AJ565" s="384"/>
      <c r="AK565" s="384"/>
      <c r="AL565" s="384"/>
      <c r="AM565" s="384"/>
    </row>
    <row r="566" spans="1:39" ht="15.75" customHeight="1">
      <c r="A566" s="563"/>
      <c r="B566" s="384"/>
      <c r="C566" s="563"/>
      <c r="D566" s="1997"/>
      <c r="E566" s="1998"/>
      <c r="F566" s="1954"/>
      <c r="G566" s="563"/>
      <c r="H566" s="563"/>
      <c r="I566" s="2000"/>
      <c r="J566" s="563"/>
      <c r="K566" s="384"/>
      <c r="L566" s="1901"/>
      <c r="M566" s="1999"/>
      <c r="N566" s="1999"/>
      <c r="O566" s="1999"/>
      <c r="P566" s="2002"/>
      <c r="Q566" s="2002"/>
      <c r="R566" s="482"/>
      <c r="S566" s="482"/>
      <c r="T566" s="482"/>
      <c r="U566" s="482"/>
      <c r="V566" s="384"/>
      <c r="W566" s="563"/>
      <c r="Y566" s="563"/>
      <c r="AA566" s="384"/>
      <c r="AB566" s="384"/>
      <c r="AC566" s="384"/>
      <c r="AD566" s="384"/>
      <c r="AE566" s="384"/>
      <c r="AF566" s="384"/>
      <c r="AG566" s="384"/>
      <c r="AH566" s="384"/>
      <c r="AI566" s="384"/>
      <c r="AJ566" s="384"/>
      <c r="AK566" s="384"/>
      <c r="AL566" s="384"/>
      <c r="AM566" s="384"/>
    </row>
    <row r="567" spans="1:39" ht="15.75" customHeight="1">
      <c r="A567" s="563"/>
      <c r="B567" s="384"/>
      <c r="C567" s="563"/>
      <c r="D567" s="1997"/>
      <c r="E567" s="1998"/>
      <c r="F567" s="1954"/>
      <c r="G567" s="563"/>
      <c r="H567" s="563"/>
      <c r="I567" s="2000"/>
      <c r="J567" s="563"/>
      <c r="K567" s="384"/>
      <c r="L567" s="1901"/>
      <c r="M567" s="1999"/>
      <c r="N567" s="1999"/>
      <c r="O567" s="1999"/>
      <c r="P567" s="2002"/>
      <c r="Q567" s="2002"/>
      <c r="R567" s="482"/>
      <c r="S567" s="482"/>
      <c r="T567" s="482"/>
      <c r="U567" s="482"/>
      <c r="V567" s="384"/>
      <c r="W567" s="563"/>
      <c r="Y567" s="563"/>
      <c r="AA567" s="384"/>
      <c r="AB567" s="384"/>
      <c r="AC567" s="384"/>
      <c r="AD567" s="384"/>
      <c r="AE567" s="384"/>
      <c r="AF567" s="384"/>
      <c r="AG567" s="384"/>
      <c r="AH567" s="384"/>
      <c r="AI567" s="384"/>
      <c r="AJ567" s="384"/>
      <c r="AK567" s="384"/>
      <c r="AL567" s="384"/>
      <c r="AM567" s="384"/>
    </row>
    <row r="568" spans="1:39" ht="15.75" customHeight="1">
      <c r="A568" s="563"/>
      <c r="B568" s="384"/>
      <c r="C568" s="563"/>
      <c r="D568" s="1997"/>
      <c r="E568" s="1998"/>
      <c r="F568" s="1954"/>
      <c r="G568" s="563"/>
      <c r="H568" s="563"/>
      <c r="I568" s="2000"/>
      <c r="J568" s="563"/>
      <c r="K568" s="384"/>
      <c r="L568" s="1901"/>
      <c r="M568" s="1999"/>
      <c r="N568" s="1999"/>
      <c r="O568" s="1999"/>
      <c r="P568" s="2002"/>
      <c r="Q568" s="2002"/>
      <c r="R568" s="482"/>
      <c r="S568" s="482"/>
      <c r="T568" s="482"/>
      <c r="U568" s="482"/>
      <c r="V568" s="384"/>
      <c r="W568" s="563"/>
      <c r="Y568" s="563"/>
      <c r="AA568" s="384"/>
      <c r="AB568" s="384"/>
      <c r="AC568" s="384"/>
      <c r="AD568" s="384"/>
      <c r="AE568" s="384"/>
      <c r="AF568" s="384"/>
      <c r="AG568" s="384"/>
      <c r="AH568" s="384"/>
      <c r="AI568" s="384"/>
      <c r="AJ568" s="384"/>
      <c r="AK568" s="384"/>
      <c r="AL568" s="384"/>
      <c r="AM568" s="384"/>
    </row>
    <row r="569" spans="1:39" ht="15.75" customHeight="1">
      <c r="A569" s="563"/>
      <c r="B569" s="384"/>
      <c r="C569" s="563"/>
      <c r="D569" s="1997"/>
      <c r="E569" s="1998"/>
      <c r="F569" s="1954"/>
      <c r="G569" s="563"/>
      <c r="H569" s="563"/>
      <c r="I569" s="2000"/>
      <c r="J569" s="563"/>
      <c r="K569" s="384"/>
      <c r="L569" s="1901"/>
      <c r="M569" s="1999"/>
      <c r="N569" s="1999"/>
      <c r="O569" s="1999"/>
      <c r="P569" s="2002"/>
      <c r="Q569" s="2002"/>
      <c r="R569" s="482"/>
      <c r="S569" s="482"/>
      <c r="T569" s="482"/>
      <c r="U569" s="482"/>
      <c r="V569" s="384"/>
      <c r="W569" s="563"/>
      <c r="Y569" s="563"/>
      <c r="AA569" s="384"/>
      <c r="AB569" s="384"/>
      <c r="AC569" s="384"/>
      <c r="AD569" s="384"/>
      <c r="AE569" s="384"/>
      <c r="AF569" s="384"/>
      <c r="AG569" s="384"/>
      <c r="AH569" s="384"/>
      <c r="AI569" s="384"/>
      <c r="AJ569" s="384"/>
      <c r="AK569" s="384"/>
      <c r="AL569" s="384"/>
      <c r="AM569" s="384"/>
    </row>
    <row r="570" spans="1:39" ht="15.75" customHeight="1">
      <c r="A570" s="563"/>
      <c r="B570" s="384"/>
      <c r="C570" s="563"/>
      <c r="D570" s="1997"/>
      <c r="E570" s="1998"/>
      <c r="F570" s="1954"/>
      <c r="G570" s="563"/>
      <c r="H570" s="563"/>
      <c r="I570" s="2000"/>
      <c r="J570" s="563"/>
      <c r="K570" s="384"/>
      <c r="L570" s="1901"/>
      <c r="M570" s="1999"/>
      <c r="N570" s="1999"/>
      <c r="O570" s="1999"/>
      <c r="P570" s="2002"/>
      <c r="Q570" s="2002"/>
      <c r="R570" s="482"/>
      <c r="S570" s="482"/>
      <c r="T570" s="482"/>
      <c r="U570" s="482"/>
      <c r="V570" s="384"/>
      <c r="W570" s="563"/>
      <c r="Y570" s="563"/>
      <c r="AA570" s="384"/>
      <c r="AB570" s="384"/>
      <c r="AC570" s="384"/>
      <c r="AD570" s="384"/>
      <c r="AE570" s="384"/>
      <c r="AF570" s="384"/>
      <c r="AG570" s="384"/>
      <c r="AH570" s="384"/>
      <c r="AI570" s="384"/>
      <c r="AJ570" s="384"/>
      <c r="AK570" s="384"/>
      <c r="AL570" s="384"/>
      <c r="AM570" s="384"/>
    </row>
    <row r="571" spans="1:39" ht="15.75" customHeight="1">
      <c r="A571" s="563"/>
      <c r="B571" s="384"/>
      <c r="C571" s="563"/>
      <c r="D571" s="1997"/>
      <c r="E571" s="1998"/>
      <c r="F571" s="1954"/>
      <c r="G571" s="563"/>
      <c r="H571" s="563"/>
      <c r="I571" s="2000"/>
      <c r="J571" s="563"/>
      <c r="K571" s="384"/>
      <c r="L571" s="1901"/>
      <c r="M571" s="1999"/>
      <c r="N571" s="1999"/>
      <c r="O571" s="1999"/>
      <c r="P571" s="2002"/>
      <c r="Q571" s="2002"/>
      <c r="R571" s="482"/>
      <c r="S571" s="482"/>
      <c r="T571" s="482"/>
      <c r="U571" s="482"/>
      <c r="V571" s="384"/>
      <c r="W571" s="563"/>
      <c r="Y571" s="563"/>
      <c r="AA571" s="384"/>
      <c r="AB571" s="384"/>
      <c r="AC571" s="384"/>
      <c r="AD571" s="384"/>
      <c r="AE571" s="384"/>
      <c r="AF571" s="384"/>
      <c r="AG571" s="384"/>
      <c r="AH571" s="384"/>
      <c r="AI571" s="384"/>
      <c r="AJ571" s="384"/>
      <c r="AK571" s="384"/>
      <c r="AL571" s="384"/>
      <c r="AM571" s="384"/>
    </row>
    <row r="572" spans="1:39" ht="15.75" customHeight="1">
      <c r="A572" s="563"/>
      <c r="B572" s="384"/>
      <c r="C572" s="563"/>
      <c r="D572" s="1997"/>
      <c r="E572" s="1998"/>
      <c r="F572" s="1954"/>
      <c r="G572" s="563"/>
      <c r="H572" s="563"/>
      <c r="I572" s="2000"/>
      <c r="J572" s="563"/>
      <c r="K572" s="384"/>
      <c r="L572" s="1901"/>
      <c r="M572" s="1999"/>
      <c r="N572" s="1999"/>
      <c r="O572" s="1999"/>
      <c r="P572" s="2002"/>
      <c r="Q572" s="2002"/>
      <c r="R572" s="482"/>
      <c r="S572" s="482"/>
      <c r="T572" s="482"/>
      <c r="U572" s="482"/>
      <c r="V572" s="384"/>
      <c r="W572" s="563"/>
      <c r="Y572" s="563"/>
      <c r="AA572" s="384"/>
      <c r="AB572" s="384"/>
      <c r="AC572" s="384"/>
      <c r="AD572" s="384"/>
      <c r="AE572" s="384"/>
      <c r="AF572" s="384"/>
      <c r="AG572" s="384"/>
      <c r="AH572" s="384"/>
      <c r="AI572" s="384"/>
      <c r="AJ572" s="384"/>
      <c r="AK572" s="384"/>
      <c r="AL572" s="384"/>
      <c r="AM572" s="384"/>
    </row>
    <row r="573" spans="1:39" ht="15.75" customHeight="1">
      <c r="A573" s="563"/>
      <c r="B573" s="384"/>
      <c r="C573" s="563"/>
      <c r="D573" s="1997"/>
      <c r="E573" s="1998"/>
      <c r="F573" s="1954"/>
      <c r="G573" s="563"/>
      <c r="H573" s="563"/>
      <c r="I573" s="2000"/>
      <c r="J573" s="563"/>
      <c r="K573" s="384"/>
      <c r="L573" s="1901"/>
      <c r="M573" s="1999"/>
      <c r="N573" s="1999"/>
      <c r="O573" s="1999"/>
      <c r="P573" s="2002"/>
      <c r="Q573" s="2002"/>
      <c r="R573" s="482"/>
      <c r="S573" s="482"/>
      <c r="T573" s="482"/>
      <c r="U573" s="482"/>
      <c r="V573" s="384"/>
      <c r="W573" s="563"/>
      <c r="Y573" s="563"/>
      <c r="AA573" s="384"/>
      <c r="AB573" s="384"/>
      <c r="AC573" s="384"/>
      <c r="AD573" s="384"/>
      <c r="AE573" s="384"/>
      <c r="AF573" s="384"/>
      <c r="AG573" s="384"/>
      <c r="AH573" s="384"/>
      <c r="AI573" s="384"/>
      <c r="AJ573" s="384"/>
      <c r="AK573" s="384"/>
      <c r="AL573" s="384"/>
      <c r="AM573" s="384"/>
    </row>
    <row r="574" spans="1:39" ht="15.75" customHeight="1">
      <c r="A574" s="563"/>
      <c r="B574" s="384"/>
      <c r="C574" s="563"/>
      <c r="D574" s="1997"/>
      <c r="E574" s="1998"/>
      <c r="F574" s="1954"/>
      <c r="G574" s="563"/>
      <c r="H574" s="563"/>
      <c r="I574" s="2000"/>
      <c r="J574" s="563"/>
      <c r="K574" s="384"/>
      <c r="L574" s="1901"/>
      <c r="M574" s="1999"/>
      <c r="N574" s="1999"/>
      <c r="O574" s="1999"/>
      <c r="P574" s="2002"/>
      <c r="Q574" s="2002"/>
      <c r="R574" s="482"/>
      <c r="S574" s="482"/>
      <c r="T574" s="482"/>
      <c r="U574" s="482"/>
      <c r="V574" s="384"/>
      <c r="W574" s="563"/>
      <c r="Y574" s="563"/>
      <c r="AA574" s="384"/>
      <c r="AB574" s="384"/>
      <c r="AC574" s="384"/>
      <c r="AD574" s="384"/>
      <c r="AE574" s="384"/>
      <c r="AF574" s="384"/>
      <c r="AG574" s="384"/>
      <c r="AH574" s="384"/>
      <c r="AI574" s="384"/>
      <c r="AJ574" s="384"/>
      <c r="AK574" s="384"/>
      <c r="AL574" s="384"/>
      <c r="AM574" s="384"/>
    </row>
    <row r="575" spans="1:39" ht="15.75" customHeight="1">
      <c r="A575" s="563"/>
      <c r="B575" s="384"/>
      <c r="C575" s="563"/>
      <c r="D575" s="1997"/>
      <c r="E575" s="1998"/>
      <c r="F575" s="1954"/>
      <c r="G575" s="563"/>
      <c r="H575" s="563"/>
      <c r="I575" s="2000"/>
      <c r="J575" s="563"/>
      <c r="K575" s="384"/>
      <c r="L575" s="1901"/>
      <c r="M575" s="1999"/>
      <c r="N575" s="1999"/>
      <c r="O575" s="1999"/>
      <c r="P575" s="2002"/>
      <c r="Q575" s="2002"/>
      <c r="R575" s="482"/>
      <c r="S575" s="482"/>
      <c r="T575" s="482"/>
      <c r="U575" s="482"/>
      <c r="V575" s="384"/>
      <c r="W575" s="563"/>
      <c r="Y575" s="563"/>
      <c r="AA575" s="384"/>
      <c r="AB575" s="384"/>
      <c r="AC575" s="384"/>
      <c r="AD575" s="384"/>
      <c r="AE575" s="384"/>
      <c r="AF575" s="384"/>
      <c r="AG575" s="384"/>
      <c r="AH575" s="384"/>
      <c r="AI575" s="384"/>
      <c r="AJ575" s="384"/>
      <c r="AK575" s="384"/>
      <c r="AL575" s="384"/>
      <c r="AM575" s="384"/>
    </row>
    <row r="576" spans="1:39" ht="15.75" customHeight="1">
      <c r="A576" s="563"/>
      <c r="B576" s="384"/>
      <c r="C576" s="563"/>
      <c r="D576" s="1997"/>
      <c r="E576" s="1998"/>
      <c r="F576" s="1954"/>
      <c r="G576" s="563"/>
      <c r="H576" s="563"/>
      <c r="I576" s="2000"/>
      <c r="J576" s="563"/>
      <c r="K576" s="384"/>
      <c r="L576" s="1901"/>
      <c r="M576" s="1999"/>
      <c r="N576" s="1999"/>
      <c r="O576" s="1999"/>
      <c r="P576" s="2002"/>
      <c r="Q576" s="2002"/>
      <c r="R576" s="482"/>
      <c r="S576" s="482"/>
      <c r="T576" s="482"/>
      <c r="U576" s="482"/>
      <c r="V576" s="384"/>
      <c r="W576" s="563"/>
      <c r="Y576" s="563"/>
      <c r="AA576" s="384"/>
      <c r="AB576" s="384"/>
      <c r="AC576" s="384"/>
      <c r="AD576" s="384"/>
      <c r="AE576" s="384"/>
      <c r="AF576" s="384"/>
      <c r="AG576" s="384"/>
      <c r="AH576" s="384"/>
      <c r="AI576" s="384"/>
      <c r="AJ576" s="384"/>
      <c r="AK576" s="384"/>
      <c r="AL576" s="384"/>
      <c r="AM576" s="384"/>
    </row>
    <row r="577" spans="1:39" ht="15.75" customHeight="1">
      <c r="A577" s="563"/>
      <c r="B577" s="384"/>
      <c r="C577" s="563"/>
      <c r="D577" s="1997"/>
      <c r="E577" s="1998"/>
      <c r="F577" s="1954"/>
      <c r="G577" s="563"/>
      <c r="H577" s="563"/>
      <c r="I577" s="2000"/>
      <c r="J577" s="563"/>
      <c r="K577" s="384"/>
      <c r="L577" s="1901"/>
      <c r="M577" s="1999"/>
      <c r="N577" s="1999"/>
      <c r="O577" s="1999"/>
      <c r="P577" s="2002"/>
      <c r="Q577" s="2002"/>
      <c r="R577" s="482"/>
      <c r="S577" s="482"/>
      <c r="T577" s="482"/>
      <c r="U577" s="482"/>
      <c r="V577" s="384"/>
      <c r="W577" s="563"/>
      <c r="Y577" s="563"/>
      <c r="AA577" s="384"/>
      <c r="AB577" s="384"/>
      <c r="AC577" s="384"/>
      <c r="AD577" s="384"/>
      <c r="AE577" s="384"/>
      <c r="AF577" s="384"/>
      <c r="AG577" s="384"/>
      <c r="AH577" s="384"/>
      <c r="AI577" s="384"/>
      <c r="AJ577" s="384"/>
      <c r="AK577" s="384"/>
      <c r="AL577" s="384"/>
      <c r="AM577" s="384"/>
    </row>
    <row r="578" spans="1:39" ht="15.75" customHeight="1">
      <c r="A578" s="563"/>
      <c r="B578" s="384"/>
      <c r="C578" s="563"/>
      <c r="D578" s="1997"/>
      <c r="E578" s="1998"/>
      <c r="F578" s="1954"/>
      <c r="G578" s="563"/>
      <c r="H578" s="563"/>
      <c r="I578" s="2000"/>
      <c r="J578" s="563"/>
      <c r="K578" s="384"/>
      <c r="L578" s="1901"/>
      <c r="M578" s="1999"/>
      <c r="N578" s="1999"/>
      <c r="O578" s="1999"/>
      <c r="P578" s="2002"/>
      <c r="Q578" s="2002"/>
      <c r="R578" s="482"/>
      <c r="S578" s="482"/>
      <c r="T578" s="482"/>
      <c r="U578" s="482"/>
      <c r="V578" s="384"/>
      <c r="W578" s="563"/>
      <c r="Y578" s="563"/>
      <c r="AA578" s="384"/>
      <c r="AB578" s="384"/>
      <c r="AC578" s="384"/>
      <c r="AD578" s="384"/>
      <c r="AE578" s="384"/>
      <c r="AF578" s="384"/>
      <c r="AG578" s="384"/>
      <c r="AH578" s="384"/>
      <c r="AI578" s="384"/>
      <c r="AJ578" s="384"/>
      <c r="AK578" s="384"/>
      <c r="AL578" s="384"/>
      <c r="AM578" s="384"/>
    </row>
    <row r="579" spans="1:39" ht="15.75" customHeight="1">
      <c r="A579" s="563"/>
      <c r="B579" s="384"/>
      <c r="C579" s="563"/>
      <c r="D579" s="1997"/>
      <c r="E579" s="1998"/>
      <c r="F579" s="1954"/>
      <c r="G579" s="563"/>
      <c r="H579" s="563"/>
      <c r="I579" s="2000"/>
      <c r="J579" s="563"/>
      <c r="K579" s="384"/>
      <c r="L579" s="1901"/>
      <c r="M579" s="1999"/>
      <c r="N579" s="1999"/>
      <c r="O579" s="1999"/>
      <c r="P579" s="2002"/>
      <c r="Q579" s="2002"/>
      <c r="R579" s="482"/>
      <c r="S579" s="482"/>
      <c r="T579" s="482"/>
      <c r="U579" s="482"/>
      <c r="V579" s="384"/>
      <c r="W579" s="563"/>
      <c r="Y579" s="563"/>
      <c r="AA579" s="384"/>
      <c r="AB579" s="384"/>
      <c r="AC579" s="384"/>
      <c r="AD579" s="384"/>
      <c r="AE579" s="384"/>
      <c r="AF579" s="384"/>
      <c r="AG579" s="384"/>
      <c r="AH579" s="384"/>
      <c r="AI579" s="384"/>
      <c r="AJ579" s="384"/>
      <c r="AK579" s="384"/>
      <c r="AL579" s="384"/>
      <c r="AM579" s="384"/>
    </row>
    <row r="580" spans="1:39" ht="15.75" customHeight="1">
      <c r="A580" s="563"/>
      <c r="B580" s="384"/>
      <c r="C580" s="563"/>
      <c r="D580" s="1997"/>
      <c r="E580" s="1998"/>
      <c r="F580" s="1954"/>
      <c r="G580" s="563"/>
      <c r="H580" s="563"/>
      <c r="I580" s="2000"/>
      <c r="J580" s="563"/>
      <c r="K580" s="384"/>
      <c r="L580" s="1901"/>
      <c r="M580" s="1999"/>
      <c r="N580" s="1999"/>
      <c r="O580" s="1999"/>
      <c r="P580" s="2002"/>
      <c r="Q580" s="2002"/>
      <c r="R580" s="482"/>
      <c r="S580" s="482"/>
      <c r="T580" s="482"/>
      <c r="U580" s="482"/>
      <c r="V580" s="384"/>
      <c r="W580" s="563"/>
      <c r="Y580" s="563"/>
      <c r="AA580" s="384"/>
      <c r="AB580" s="384"/>
      <c r="AC580" s="384"/>
      <c r="AD580" s="384"/>
      <c r="AE580" s="384"/>
      <c r="AF580" s="384"/>
      <c r="AG580" s="384"/>
      <c r="AH580" s="384"/>
      <c r="AI580" s="384"/>
      <c r="AJ580" s="384"/>
      <c r="AK580" s="384"/>
      <c r="AL580" s="384"/>
      <c r="AM580" s="384"/>
    </row>
    <row r="581" spans="1:39" ht="15.75" customHeight="1">
      <c r="A581" s="563"/>
      <c r="B581" s="384"/>
      <c r="C581" s="563"/>
      <c r="D581" s="1997"/>
      <c r="E581" s="1998"/>
      <c r="F581" s="1954"/>
      <c r="G581" s="563"/>
      <c r="H581" s="563"/>
      <c r="I581" s="2000"/>
      <c r="J581" s="563"/>
      <c r="K581" s="384"/>
      <c r="L581" s="1901"/>
      <c r="M581" s="1999"/>
      <c r="N581" s="1999"/>
      <c r="O581" s="1999"/>
      <c r="P581" s="2002"/>
      <c r="Q581" s="2002"/>
      <c r="R581" s="482"/>
      <c r="S581" s="482"/>
      <c r="T581" s="482"/>
      <c r="U581" s="482"/>
      <c r="V581" s="384"/>
      <c r="W581" s="563"/>
      <c r="Y581" s="563"/>
      <c r="AA581" s="384"/>
      <c r="AB581" s="384"/>
      <c r="AC581" s="384"/>
      <c r="AD581" s="384"/>
      <c r="AE581" s="384"/>
      <c r="AF581" s="384"/>
      <c r="AG581" s="384"/>
      <c r="AH581" s="384"/>
      <c r="AI581" s="384"/>
      <c r="AJ581" s="384"/>
      <c r="AK581" s="384"/>
      <c r="AL581" s="384"/>
      <c r="AM581" s="384"/>
    </row>
    <row r="582" spans="1:39" ht="15.75" customHeight="1">
      <c r="A582" s="563"/>
      <c r="B582" s="384"/>
      <c r="C582" s="563"/>
      <c r="D582" s="1997"/>
      <c r="E582" s="1998"/>
      <c r="F582" s="1954"/>
      <c r="G582" s="563"/>
      <c r="H582" s="563"/>
      <c r="I582" s="2000"/>
      <c r="J582" s="563"/>
      <c r="K582" s="384"/>
      <c r="L582" s="1901"/>
      <c r="M582" s="1999"/>
      <c r="N582" s="1999"/>
      <c r="O582" s="1999"/>
      <c r="P582" s="2002"/>
      <c r="Q582" s="2002"/>
      <c r="R582" s="482"/>
      <c r="S582" s="482"/>
      <c r="T582" s="482"/>
      <c r="U582" s="482"/>
      <c r="V582" s="384"/>
      <c r="W582" s="563"/>
      <c r="Y582" s="563"/>
      <c r="AA582" s="384"/>
      <c r="AB582" s="384"/>
      <c r="AC582" s="384"/>
      <c r="AD582" s="384"/>
      <c r="AE582" s="384"/>
      <c r="AF582" s="384"/>
      <c r="AG582" s="384"/>
      <c r="AH582" s="384"/>
      <c r="AI582" s="384"/>
      <c r="AJ582" s="384"/>
      <c r="AK582" s="384"/>
      <c r="AL582" s="384"/>
      <c r="AM582" s="384"/>
    </row>
    <row r="583" spans="1:39" ht="15.75" customHeight="1">
      <c r="A583" s="563"/>
      <c r="B583" s="384"/>
      <c r="C583" s="563"/>
      <c r="D583" s="1997"/>
      <c r="E583" s="1998"/>
      <c r="F583" s="1954"/>
      <c r="G583" s="563"/>
      <c r="H583" s="563"/>
      <c r="I583" s="2000"/>
      <c r="J583" s="563"/>
      <c r="K583" s="384"/>
      <c r="L583" s="1901"/>
      <c r="M583" s="1999"/>
      <c r="N583" s="1999"/>
      <c r="O583" s="1999"/>
      <c r="P583" s="2002"/>
      <c r="Q583" s="2002"/>
      <c r="R583" s="482"/>
      <c r="S583" s="482"/>
      <c r="T583" s="482"/>
      <c r="U583" s="482"/>
      <c r="V583" s="384"/>
      <c r="W583" s="563"/>
      <c r="Y583" s="563"/>
      <c r="AA583" s="384"/>
      <c r="AB583" s="384"/>
      <c r="AC583" s="384"/>
      <c r="AD583" s="384"/>
      <c r="AE583" s="384"/>
      <c r="AF583" s="384"/>
      <c r="AG583" s="384"/>
      <c r="AH583" s="384"/>
      <c r="AI583" s="384"/>
      <c r="AJ583" s="384"/>
      <c r="AK583" s="384"/>
      <c r="AL583" s="384"/>
      <c r="AM583" s="384"/>
    </row>
    <row r="584" spans="1:39" ht="15.75" customHeight="1">
      <c r="A584" s="563"/>
      <c r="B584" s="384"/>
      <c r="C584" s="563"/>
      <c r="D584" s="1997"/>
      <c r="E584" s="1998"/>
      <c r="F584" s="1954"/>
      <c r="G584" s="563"/>
      <c r="H584" s="563"/>
      <c r="I584" s="2000"/>
      <c r="J584" s="563"/>
      <c r="K584" s="384"/>
      <c r="L584" s="1901"/>
      <c r="M584" s="1999"/>
      <c r="N584" s="1999"/>
      <c r="O584" s="1999"/>
      <c r="P584" s="2002"/>
      <c r="Q584" s="2002"/>
      <c r="R584" s="482"/>
      <c r="S584" s="482"/>
      <c r="T584" s="482"/>
      <c r="U584" s="482"/>
      <c r="V584" s="384"/>
      <c r="W584" s="563"/>
      <c r="Y584" s="563"/>
      <c r="AA584" s="384"/>
      <c r="AB584" s="384"/>
      <c r="AC584" s="384"/>
      <c r="AD584" s="384"/>
      <c r="AE584" s="384"/>
      <c r="AF584" s="384"/>
      <c r="AG584" s="384"/>
      <c r="AH584" s="384"/>
      <c r="AI584" s="384"/>
      <c r="AJ584" s="384"/>
      <c r="AK584" s="384"/>
      <c r="AL584" s="384"/>
      <c r="AM584" s="384"/>
    </row>
    <row r="585" spans="1:39" ht="15.75" customHeight="1">
      <c r="A585" s="563"/>
      <c r="B585" s="384"/>
      <c r="C585" s="563"/>
      <c r="D585" s="1997"/>
      <c r="E585" s="1998"/>
      <c r="F585" s="1954"/>
      <c r="G585" s="563"/>
      <c r="H585" s="563"/>
      <c r="I585" s="2000"/>
      <c r="J585" s="563"/>
      <c r="K585" s="384"/>
      <c r="L585" s="1901"/>
      <c r="M585" s="1999"/>
      <c r="N585" s="1999"/>
      <c r="O585" s="1999"/>
      <c r="P585" s="2002"/>
      <c r="Q585" s="2002"/>
      <c r="R585" s="482"/>
      <c r="S585" s="482"/>
      <c r="T585" s="482"/>
      <c r="U585" s="482"/>
      <c r="V585" s="384"/>
      <c r="W585" s="563"/>
      <c r="Y585" s="563"/>
      <c r="AA585" s="384"/>
      <c r="AB585" s="384"/>
      <c r="AC585" s="384"/>
      <c r="AD585" s="384"/>
      <c r="AE585" s="384"/>
      <c r="AF585" s="384"/>
      <c r="AG585" s="384"/>
      <c r="AH585" s="384"/>
      <c r="AI585" s="384"/>
      <c r="AJ585" s="384"/>
      <c r="AK585" s="384"/>
      <c r="AL585" s="384"/>
      <c r="AM585" s="384"/>
    </row>
    <row r="586" spans="1:39" ht="15.75" customHeight="1">
      <c r="A586" s="563"/>
      <c r="B586" s="384"/>
      <c r="C586" s="563"/>
      <c r="D586" s="1997"/>
      <c r="E586" s="1998"/>
      <c r="F586" s="1954"/>
      <c r="G586" s="563"/>
      <c r="H586" s="563"/>
      <c r="I586" s="2000"/>
      <c r="J586" s="563"/>
      <c r="K586" s="384"/>
      <c r="L586" s="1901"/>
      <c r="M586" s="1999"/>
      <c r="N586" s="1999"/>
      <c r="O586" s="1999"/>
      <c r="P586" s="2002"/>
      <c r="Q586" s="2002"/>
      <c r="R586" s="482"/>
      <c r="S586" s="482"/>
      <c r="T586" s="482"/>
      <c r="U586" s="482"/>
      <c r="V586" s="384"/>
      <c r="W586" s="563"/>
      <c r="Y586" s="563"/>
      <c r="AA586" s="384"/>
      <c r="AB586" s="384"/>
      <c r="AC586" s="384"/>
      <c r="AD586" s="384"/>
      <c r="AE586" s="384"/>
      <c r="AF586" s="384"/>
      <c r="AG586" s="384"/>
      <c r="AH586" s="384"/>
      <c r="AI586" s="384"/>
      <c r="AJ586" s="384"/>
      <c r="AK586" s="384"/>
      <c r="AL586" s="384"/>
      <c r="AM586" s="384"/>
    </row>
    <row r="587" spans="1:39" ht="15.75" customHeight="1">
      <c r="A587" s="563"/>
      <c r="B587" s="384"/>
      <c r="C587" s="563"/>
      <c r="D587" s="1997"/>
      <c r="E587" s="1998"/>
      <c r="F587" s="1954"/>
      <c r="G587" s="563"/>
      <c r="H587" s="563"/>
      <c r="I587" s="2000"/>
      <c r="J587" s="563"/>
      <c r="K587" s="384"/>
      <c r="L587" s="1901"/>
      <c r="M587" s="1999"/>
      <c r="N587" s="1999"/>
      <c r="O587" s="1999"/>
      <c r="P587" s="2002"/>
      <c r="Q587" s="2002"/>
      <c r="R587" s="482"/>
      <c r="S587" s="482"/>
      <c r="T587" s="482"/>
      <c r="U587" s="482"/>
      <c r="V587" s="384"/>
      <c r="W587" s="563"/>
      <c r="Y587" s="563"/>
      <c r="AA587" s="384"/>
      <c r="AB587" s="384"/>
      <c r="AC587" s="384"/>
      <c r="AD587" s="384"/>
      <c r="AE587" s="384"/>
      <c r="AF587" s="384"/>
      <c r="AG587" s="384"/>
      <c r="AH587" s="384"/>
      <c r="AI587" s="384"/>
      <c r="AJ587" s="384"/>
      <c r="AK587" s="384"/>
      <c r="AL587" s="384"/>
      <c r="AM587" s="384"/>
    </row>
    <row r="588" spans="1:39" ht="15.75" customHeight="1">
      <c r="A588" s="563"/>
      <c r="B588" s="384"/>
      <c r="C588" s="563"/>
      <c r="D588" s="1997"/>
      <c r="E588" s="1998"/>
      <c r="F588" s="1954"/>
      <c r="G588" s="563"/>
      <c r="H588" s="563"/>
      <c r="I588" s="2000"/>
      <c r="J588" s="563"/>
      <c r="K588" s="384"/>
      <c r="L588" s="1901"/>
      <c r="M588" s="1999"/>
      <c r="N588" s="1999"/>
      <c r="O588" s="1999"/>
      <c r="P588" s="2002"/>
      <c r="Q588" s="2002"/>
      <c r="R588" s="482"/>
      <c r="S588" s="482"/>
      <c r="T588" s="482"/>
      <c r="U588" s="482"/>
      <c r="V588" s="384"/>
      <c r="W588" s="563"/>
      <c r="Y588" s="563"/>
      <c r="AA588" s="384"/>
      <c r="AB588" s="384"/>
      <c r="AC588" s="384"/>
      <c r="AD588" s="384"/>
      <c r="AE588" s="384"/>
      <c r="AF588" s="384"/>
      <c r="AG588" s="384"/>
      <c r="AH588" s="384"/>
      <c r="AI588" s="384"/>
      <c r="AJ588" s="384"/>
      <c r="AK588" s="384"/>
      <c r="AL588" s="384"/>
      <c r="AM588" s="384"/>
    </row>
    <row r="589" spans="1:39" ht="15.75" customHeight="1">
      <c r="A589" s="563"/>
      <c r="B589" s="384"/>
      <c r="C589" s="563"/>
      <c r="D589" s="1997"/>
      <c r="E589" s="1998"/>
      <c r="F589" s="1954"/>
      <c r="G589" s="563"/>
      <c r="H589" s="563"/>
      <c r="I589" s="2000"/>
      <c r="J589" s="563"/>
      <c r="K589" s="384"/>
      <c r="L589" s="1901"/>
      <c r="M589" s="1999"/>
      <c r="N589" s="1999"/>
      <c r="O589" s="1999"/>
      <c r="P589" s="2002"/>
      <c r="Q589" s="2002"/>
      <c r="R589" s="482"/>
      <c r="S589" s="482"/>
      <c r="T589" s="482"/>
      <c r="U589" s="482"/>
      <c r="V589" s="384"/>
      <c r="W589" s="563"/>
      <c r="Y589" s="563"/>
      <c r="AA589" s="384"/>
      <c r="AB589" s="384"/>
      <c r="AC589" s="384"/>
      <c r="AD589" s="384"/>
      <c r="AE589" s="384"/>
      <c r="AF589" s="384"/>
      <c r="AG589" s="384"/>
      <c r="AH589" s="384"/>
      <c r="AI589" s="384"/>
      <c r="AJ589" s="384"/>
      <c r="AK589" s="384"/>
      <c r="AL589" s="384"/>
      <c r="AM589" s="384"/>
    </row>
    <row r="590" spans="1:39" ht="15.75" customHeight="1">
      <c r="A590" s="563"/>
      <c r="B590" s="384"/>
      <c r="C590" s="563"/>
      <c r="D590" s="1997"/>
      <c r="E590" s="1998"/>
      <c r="F590" s="1954"/>
      <c r="G590" s="563"/>
      <c r="H590" s="563"/>
      <c r="I590" s="2000"/>
      <c r="J590" s="563"/>
      <c r="K590" s="384"/>
      <c r="L590" s="1901"/>
      <c r="M590" s="1999"/>
      <c r="N590" s="1999"/>
      <c r="O590" s="1999"/>
      <c r="P590" s="2002"/>
      <c r="Q590" s="2002"/>
      <c r="R590" s="482"/>
      <c r="S590" s="482"/>
      <c r="T590" s="482"/>
      <c r="U590" s="482"/>
      <c r="V590" s="384"/>
      <c r="W590" s="563"/>
      <c r="Y590" s="563"/>
      <c r="AA590" s="384"/>
      <c r="AB590" s="384"/>
      <c r="AC590" s="384"/>
      <c r="AD590" s="384"/>
      <c r="AE590" s="384"/>
      <c r="AF590" s="384"/>
      <c r="AG590" s="384"/>
      <c r="AH590" s="384"/>
      <c r="AI590" s="384"/>
      <c r="AJ590" s="384"/>
      <c r="AK590" s="384"/>
      <c r="AL590" s="384"/>
      <c r="AM590" s="384"/>
    </row>
    <row r="591" spans="1:39" ht="15.75" customHeight="1">
      <c r="A591" s="563"/>
      <c r="B591" s="384"/>
      <c r="C591" s="563"/>
      <c r="D591" s="1997"/>
      <c r="E591" s="1998"/>
      <c r="F591" s="1954"/>
      <c r="G591" s="563"/>
      <c r="H591" s="563"/>
      <c r="I591" s="2000"/>
      <c r="J591" s="563"/>
      <c r="K591" s="384"/>
      <c r="L591" s="1901"/>
      <c r="M591" s="1999"/>
      <c r="N591" s="1999"/>
      <c r="O591" s="1999"/>
      <c r="P591" s="2002"/>
      <c r="Q591" s="2002"/>
      <c r="R591" s="482"/>
      <c r="S591" s="482"/>
      <c r="T591" s="482"/>
      <c r="U591" s="482"/>
      <c r="V591" s="384"/>
      <c r="W591" s="563"/>
      <c r="Y591" s="563"/>
      <c r="AA591" s="384"/>
      <c r="AB591" s="384"/>
      <c r="AC591" s="384"/>
      <c r="AD591" s="384"/>
      <c r="AE591" s="384"/>
      <c r="AF591" s="384"/>
      <c r="AG591" s="384"/>
      <c r="AH591" s="384"/>
      <c r="AI591" s="384"/>
      <c r="AJ591" s="384"/>
      <c r="AK591" s="384"/>
      <c r="AL591" s="384"/>
      <c r="AM591" s="384"/>
    </row>
    <row r="592" spans="1:39" ht="15.75" customHeight="1">
      <c r="A592" s="563"/>
      <c r="B592" s="384"/>
      <c r="C592" s="563"/>
      <c r="D592" s="1997"/>
      <c r="E592" s="1998"/>
      <c r="F592" s="1954"/>
      <c r="G592" s="563"/>
      <c r="H592" s="563"/>
      <c r="I592" s="2000"/>
      <c r="J592" s="563"/>
      <c r="K592" s="384"/>
      <c r="L592" s="1901"/>
      <c r="M592" s="1999"/>
      <c r="N592" s="1999"/>
      <c r="O592" s="1999"/>
      <c r="P592" s="2002"/>
      <c r="Q592" s="2002"/>
      <c r="R592" s="482"/>
      <c r="S592" s="482"/>
      <c r="T592" s="482"/>
      <c r="U592" s="482"/>
      <c r="V592" s="384"/>
      <c r="W592" s="563"/>
      <c r="Y592" s="563"/>
      <c r="AA592" s="384"/>
      <c r="AB592" s="384"/>
      <c r="AC592" s="384"/>
      <c r="AD592" s="384"/>
      <c r="AE592" s="384"/>
      <c r="AF592" s="384"/>
      <c r="AG592" s="384"/>
      <c r="AH592" s="384"/>
      <c r="AI592" s="384"/>
      <c r="AJ592" s="384"/>
      <c r="AK592" s="384"/>
      <c r="AL592" s="384"/>
      <c r="AM592" s="384"/>
    </row>
    <row r="593" spans="1:39" ht="15.75" customHeight="1">
      <c r="A593" s="563"/>
      <c r="B593" s="384"/>
      <c r="C593" s="563"/>
      <c r="D593" s="1997"/>
      <c r="E593" s="1998"/>
      <c r="F593" s="1954"/>
      <c r="G593" s="563"/>
      <c r="H593" s="563"/>
      <c r="I593" s="2000"/>
      <c r="J593" s="563"/>
      <c r="K593" s="384"/>
      <c r="L593" s="1901"/>
      <c r="M593" s="1999"/>
      <c r="N593" s="1999"/>
      <c r="O593" s="1999"/>
      <c r="P593" s="2002"/>
      <c r="Q593" s="2002"/>
      <c r="R593" s="482"/>
      <c r="S593" s="482"/>
      <c r="T593" s="482"/>
      <c r="U593" s="482"/>
      <c r="V593" s="384"/>
      <c r="W593" s="563"/>
      <c r="Y593" s="563"/>
      <c r="AA593" s="384"/>
      <c r="AB593" s="384"/>
      <c r="AC593" s="384"/>
      <c r="AD593" s="384"/>
      <c r="AE593" s="384"/>
      <c r="AF593" s="384"/>
      <c r="AG593" s="384"/>
      <c r="AH593" s="384"/>
      <c r="AI593" s="384"/>
      <c r="AJ593" s="384"/>
      <c r="AK593" s="384"/>
      <c r="AL593" s="384"/>
      <c r="AM593" s="384"/>
    </row>
    <row r="594" spans="1:39" ht="15.75" customHeight="1">
      <c r="A594" s="563"/>
      <c r="B594" s="384"/>
      <c r="C594" s="563"/>
      <c r="D594" s="1997"/>
      <c r="E594" s="1998"/>
      <c r="F594" s="1954"/>
      <c r="G594" s="563"/>
      <c r="H594" s="563"/>
      <c r="I594" s="2000"/>
      <c r="J594" s="563"/>
      <c r="K594" s="384"/>
      <c r="L594" s="1901"/>
      <c r="M594" s="1999"/>
      <c r="N594" s="1999"/>
      <c r="O594" s="1999"/>
      <c r="P594" s="2002"/>
      <c r="Q594" s="2002"/>
      <c r="R594" s="482"/>
      <c r="S594" s="482"/>
      <c r="T594" s="482"/>
      <c r="U594" s="482"/>
      <c r="V594" s="384"/>
      <c r="W594" s="563"/>
      <c r="Y594" s="563"/>
      <c r="AA594" s="384"/>
      <c r="AB594" s="384"/>
      <c r="AC594" s="384"/>
      <c r="AD594" s="384"/>
      <c r="AE594" s="384"/>
      <c r="AF594" s="384"/>
      <c r="AG594" s="384"/>
      <c r="AH594" s="384"/>
      <c r="AI594" s="384"/>
      <c r="AJ594" s="384"/>
      <c r="AK594" s="384"/>
      <c r="AL594" s="384"/>
      <c r="AM594" s="384"/>
    </row>
    <row r="595" spans="1:39" ht="15.75" customHeight="1">
      <c r="A595" s="563"/>
      <c r="B595" s="384"/>
      <c r="C595" s="563"/>
      <c r="D595" s="1997"/>
      <c r="E595" s="1998"/>
      <c r="F595" s="1954"/>
      <c r="G595" s="563"/>
      <c r="H595" s="563"/>
      <c r="I595" s="2000"/>
      <c r="J595" s="563"/>
      <c r="K595" s="384"/>
      <c r="L595" s="1901"/>
      <c r="M595" s="1999"/>
      <c r="N595" s="1999"/>
      <c r="O595" s="1999"/>
      <c r="P595" s="2002"/>
      <c r="Q595" s="2002"/>
      <c r="R595" s="482"/>
      <c r="S595" s="482"/>
      <c r="T595" s="482"/>
      <c r="U595" s="482"/>
      <c r="V595" s="384"/>
      <c r="W595" s="563"/>
      <c r="Y595" s="563"/>
      <c r="AA595" s="384"/>
      <c r="AB595" s="384"/>
      <c r="AC595" s="384"/>
      <c r="AD595" s="384"/>
      <c r="AE595" s="384"/>
      <c r="AF595" s="384"/>
      <c r="AG595" s="384"/>
      <c r="AH595" s="384"/>
      <c r="AI595" s="384"/>
      <c r="AJ595" s="384"/>
      <c r="AK595" s="384"/>
      <c r="AL595" s="384"/>
      <c r="AM595" s="384"/>
    </row>
    <row r="596" spans="1:39" ht="15.75" customHeight="1">
      <c r="A596" s="563"/>
      <c r="B596" s="384"/>
      <c r="C596" s="563"/>
      <c r="D596" s="1997"/>
      <c r="E596" s="1998"/>
      <c r="F596" s="1954"/>
      <c r="G596" s="563"/>
      <c r="H596" s="563"/>
      <c r="I596" s="2000"/>
      <c r="J596" s="563"/>
      <c r="K596" s="384"/>
      <c r="L596" s="1901"/>
      <c r="M596" s="1999"/>
      <c r="N596" s="1999"/>
      <c r="O596" s="1999"/>
      <c r="P596" s="2002"/>
      <c r="Q596" s="2002"/>
      <c r="R596" s="482"/>
      <c r="S596" s="482"/>
      <c r="T596" s="482"/>
      <c r="U596" s="482"/>
      <c r="V596" s="384"/>
      <c r="W596" s="563"/>
      <c r="Y596" s="563"/>
      <c r="AA596" s="384"/>
      <c r="AB596" s="384"/>
      <c r="AC596" s="384"/>
      <c r="AD596" s="384"/>
      <c r="AE596" s="384"/>
      <c r="AF596" s="384"/>
      <c r="AG596" s="384"/>
      <c r="AH596" s="384"/>
      <c r="AI596" s="384"/>
      <c r="AJ596" s="384"/>
      <c r="AK596" s="384"/>
      <c r="AL596" s="384"/>
      <c r="AM596" s="384"/>
    </row>
    <row r="597" spans="1:39" ht="15.75" customHeight="1">
      <c r="A597" s="563"/>
      <c r="B597" s="384"/>
      <c r="C597" s="563"/>
      <c r="D597" s="1997"/>
      <c r="E597" s="1998"/>
      <c r="F597" s="1954"/>
      <c r="G597" s="563"/>
      <c r="H597" s="563"/>
      <c r="I597" s="2000"/>
      <c r="J597" s="563"/>
      <c r="K597" s="384"/>
      <c r="L597" s="1901"/>
      <c r="M597" s="1999"/>
      <c r="N597" s="1999"/>
      <c r="O597" s="1999"/>
      <c r="P597" s="2002"/>
      <c r="Q597" s="2002"/>
      <c r="R597" s="482"/>
      <c r="S597" s="482"/>
      <c r="T597" s="482"/>
      <c r="U597" s="482"/>
      <c r="V597" s="384"/>
      <c r="W597" s="563"/>
      <c r="Y597" s="563"/>
      <c r="AA597" s="384"/>
      <c r="AB597" s="384"/>
      <c r="AC597" s="384"/>
      <c r="AD597" s="384"/>
      <c r="AE597" s="384"/>
      <c r="AF597" s="384"/>
      <c r="AG597" s="384"/>
      <c r="AH597" s="384"/>
      <c r="AI597" s="384"/>
      <c r="AJ597" s="384"/>
      <c r="AK597" s="384"/>
      <c r="AL597" s="384"/>
      <c r="AM597" s="384"/>
    </row>
    <row r="598" spans="1:39" ht="15.75" customHeight="1">
      <c r="A598" s="563"/>
      <c r="B598" s="384"/>
      <c r="C598" s="563"/>
      <c r="D598" s="1997"/>
      <c r="E598" s="1998"/>
      <c r="F598" s="1954"/>
      <c r="G598" s="563"/>
      <c r="H598" s="563"/>
      <c r="I598" s="2000"/>
      <c r="J598" s="563"/>
      <c r="K598" s="384"/>
      <c r="L598" s="1901"/>
      <c r="M598" s="1999"/>
      <c r="N598" s="1999"/>
      <c r="O598" s="1999"/>
      <c r="P598" s="2002"/>
      <c r="Q598" s="2002"/>
      <c r="R598" s="482"/>
      <c r="S598" s="482"/>
      <c r="T598" s="482"/>
      <c r="U598" s="482"/>
      <c r="V598" s="384"/>
      <c r="W598" s="563"/>
      <c r="Y598" s="563"/>
      <c r="AA598" s="384"/>
      <c r="AB598" s="384"/>
      <c r="AC598" s="384"/>
      <c r="AD598" s="384"/>
      <c r="AE598" s="384"/>
      <c r="AF598" s="384"/>
      <c r="AG598" s="384"/>
      <c r="AH598" s="384"/>
      <c r="AI598" s="384"/>
      <c r="AJ598" s="384"/>
      <c r="AK598" s="384"/>
      <c r="AL598" s="384"/>
      <c r="AM598" s="384"/>
    </row>
    <row r="599" spans="1:39" ht="15.75" customHeight="1">
      <c r="A599" s="563"/>
      <c r="B599" s="384"/>
      <c r="C599" s="563"/>
      <c r="D599" s="1997"/>
      <c r="E599" s="1998"/>
      <c r="F599" s="1954"/>
      <c r="G599" s="563"/>
      <c r="H599" s="563"/>
      <c r="I599" s="2000"/>
      <c r="J599" s="563"/>
      <c r="K599" s="384"/>
      <c r="L599" s="1901"/>
      <c r="M599" s="1999"/>
      <c r="N599" s="1999"/>
      <c r="O599" s="1999"/>
      <c r="P599" s="2002"/>
      <c r="Q599" s="2002"/>
      <c r="R599" s="482"/>
      <c r="S599" s="482"/>
      <c r="T599" s="482"/>
      <c r="U599" s="482"/>
      <c r="V599" s="384"/>
      <c r="W599" s="563"/>
      <c r="Y599" s="563"/>
      <c r="AA599" s="384"/>
      <c r="AB599" s="384"/>
      <c r="AC599" s="384"/>
      <c r="AD599" s="384"/>
      <c r="AE599" s="384"/>
      <c r="AF599" s="384"/>
      <c r="AG599" s="384"/>
      <c r="AH599" s="384"/>
      <c r="AI599" s="384"/>
      <c r="AJ599" s="384"/>
      <c r="AK599" s="384"/>
      <c r="AL599" s="384"/>
      <c r="AM599" s="384"/>
    </row>
    <row r="600" spans="1:39" ht="15.75" customHeight="1">
      <c r="A600" s="563"/>
      <c r="B600" s="384"/>
      <c r="C600" s="563"/>
      <c r="D600" s="1997"/>
      <c r="E600" s="1998"/>
      <c r="F600" s="1954"/>
      <c r="G600" s="563"/>
      <c r="H600" s="563"/>
      <c r="I600" s="2000"/>
      <c r="J600" s="563"/>
      <c r="K600" s="384"/>
      <c r="L600" s="1901"/>
      <c r="M600" s="1999"/>
      <c r="N600" s="1999"/>
      <c r="O600" s="1999"/>
      <c r="P600" s="2002"/>
      <c r="Q600" s="2002"/>
      <c r="R600" s="482"/>
      <c r="S600" s="482"/>
      <c r="T600" s="482"/>
      <c r="U600" s="482"/>
      <c r="V600" s="384"/>
      <c r="W600" s="563"/>
      <c r="Y600" s="563"/>
      <c r="AA600" s="384"/>
      <c r="AB600" s="384"/>
      <c r="AC600" s="384"/>
      <c r="AD600" s="384"/>
      <c r="AE600" s="384"/>
      <c r="AF600" s="384"/>
      <c r="AG600" s="384"/>
      <c r="AH600" s="384"/>
      <c r="AI600" s="384"/>
      <c r="AJ600" s="384"/>
      <c r="AK600" s="384"/>
      <c r="AL600" s="384"/>
      <c r="AM600" s="384"/>
    </row>
    <row r="601" spans="1:39" ht="15.75" customHeight="1">
      <c r="A601" s="563"/>
      <c r="B601" s="384"/>
      <c r="C601" s="563"/>
      <c r="D601" s="1997"/>
      <c r="E601" s="1998"/>
      <c r="F601" s="1954"/>
      <c r="G601" s="563"/>
      <c r="H601" s="563"/>
      <c r="I601" s="2000"/>
      <c r="J601" s="563"/>
      <c r="K601" s="384"/>
      <c r="L601" s="1901"/>
      <c r="M601" s="1999"/>
      <c r="N601" s="1999"/>
      <c r="O601" s="1999"/>
      <c r="P601" s="2002"/>
      <c r="Q601" s="2002"/>
      <c r="R601" s="482"/>
      <c r="S601" s="482"/>
      <c r="T601" s="482"/>
      <c r="U601" s="482"/>
      <c r="V601" s="384"/>
      <c r="W601" s="563"/>
      <c r="Y601" s="563"/>
      <c r="AA601" s="384"/>
      <c r="AB601" s="384"/>
      <c r="AC601" s="384"/>
      <c r="AD601" s="384"/>
      <c r="AE601" s="384"/>
      <c r="AF601" s="384"/>
      <c r="AG601" s="384"/>
      <c r="AH601" s="384"/>
      <c r="AI601" s="384"/>
      <c r="AJ601" s="384"/>
      <c r="AK601" s="384"/>
      <c r="AL601" s="384"/>
      <c r="AM601" s="384"/>
    </row>
    <row r="602" spans="1:39" ht="15.75" customHeight="1">
      <c r="A602" s="563"/>
      <c r="B602" s="384"/>
      <c r="C602" s="563"/>
      <c r="D602" s="1997"/>
      <c r="E602" s="1998"/>
      <c r="F602" s="1954"/>
      <c r="G602" s="563"/>
      <c r="H602" s="563"/>
      <c r="I602" s="2000"/>
      <c r="J602" s="563"/>
      <c r="K602" s="384"/>
      <c r="L602" s="1901"/>
      <c r="M602" s="1999"/>
      <c r="N602" s="1999"/>
      <c r="O602" s="1999"/>
      <c r="P602" s="2002"/>
      <c r="Q602" s="2002"/>
      <c r="R602" s="482"/>
      <c r="S602" s="482"/>
      <c r="T602" s="482"/>
      <c r="U602" s="482"/>
      <c r="V602" s="384"/>
      <c r="W602" s="563"/>
      <c r="Y602" s="563"/>
      <c r="AA602" s="384"/>
      <c r="AB602" s="384"/>
      <c r="AC602" s="384"/>
      <c r="AD602" s="384"/>
      <c r="AE602" s="384"/>
      <c r="AF602" s="384"/>
      <c r="AG602" s="384"/>
      <c r="AH602" s="384"/>
      <c r="AI602" s="384"/>
      <c r="AJ602" s="384"/>
      <c r="AK602" s="384"/>
      <c r="AL602" s="384"/>
      <c r="AM602" s="384"/>
    </row>
    <row r="603" spans="1:39" ht="15.75" customHeight="1">
      <c r="A603" s="563"/>
      <c r="B603" s="384"/>
      <c r="C603" s="563"/>
      <c r="D603" s="1997"/>
      <c r="E603" s="1998"/>
      <c r="F603" s="1954"/>
      <c r="G603" s="563"/>
      <c r="H603" s="563"/>
      <c r="I603" s="2000"/>
      <c r="J603" s="563"/>
      <c r="K603" s="384"/>
      <c r="L603" s="1901"/>
      <c r="M603" s="1999"/>
      <c r="N603" s="1999"/>
      <c r="O603" s="1999"/>
      <c r="P603" s="2002"/>
      <c r="Q603" s="2002"/>
      <c r="R603" s="482"/>
      <c r="S603" s="482"/>
      <c r="T603" s="482"/>
      <c r="U603" s="482"/>
      <c r="V603" s="384"/>
      <c r="W603" s="563"/>
      <c r="Y603" s="563"/>
      <c r="AA603" s="384"/>
      <c r="AB603" s="384"/>
      <c r="AC603" s="384"/>
      <c r="AD603" s="384"/>
      <c r="AE603" s="384"/>
      <c r="AF603" s="384"/>
      <c r="AG603" s="384"/>
      <c r="AH603" s="384"/>
      <c r="AI603" s="384"/>
      <c r="AJ603" s="384"/>
      <c r="AK603" s="384"/>
      <c r="AL603" s="384"/>
      <c r="AM603" s="384"/>
    </row>
    <row r="604" spans="1:39" ht="15.75" customHeight="1">
      <c r="A604" s="563"/>
      <c r="B604" s="384"/>
      <c r="C604" s="563"/>
      <c r="D604" s="1997"/>
      <c r="E604" s="1998"/>
      <c r="F604" s="1954"/>
      <c r="G604" s="563"/>
      <c r="H604" s="563"/>
      <c r="I604" s="2000"/>
      <c r="J604" s="563"/>
      <c r="K604" s="384"/>
      <c r="L604" s="1901"/>
      <c r="M604" s="1999"/>
      <c r="N604" s="1999"/>
      <c r="O604" s="1999"/>
      <c r="P604" s="2002"/>
      <c r="Q604" s="2002"/>
      <c r="R604" s="482"/>
      <c r="S604" s="482"/>
      <c r="T604" s="482"/>
      <c r="U604" s="482"/>
      <c r="V604" s="384"/>
      <c r="W604" s="563"/>
      <c r="Y604" s="563"/>
      <c r="AA604" s="384"/>
      <c r="AB604" s="384"/>
      <c r="AC604" s="384"/>
      <c r="AD604" s="384"/>
      <c r="AE604" s="384"/>
      <c r="AF604" s="384"/>
      <c r="AG604" s="384"/>
      <c r="AH604" s="384"/>
      <c r="AI604" s="384"/>
      <c r="AJ604" s="384"/>
      <c r="AK604" s="384"/>
      <c r="AL604" s="384"/>
      <c r="AM604" s="384"/>
    </row>
    <row r="605" spans="1:39" ht="15.75" customHeight="1">
      <c r="A605" s="563"/>
      <c r="B605" s="384"/>
      <c r="C605" s="563"/>
      <c r="D605" s="1997"/>
      <c r="E605" s="1998"/>
      <c r="F605" s="1954"/>
      <c r="G605" s="563"/>
      <c r="H605" s="563"/>
      <c r="I605" s="2000"/>
      <c r="J605" s="563"/>
      <c r="K605" s="384"/>
      <c r="L605" s="1901"/>
      <c r="M605" s="1999"/>
      <c r="N605" s="1999"/>
      <c r="O605" s="1999"/>
      <c r="P605" s="2002"/>
      <c r="Q605" s="2002"/>
      <c r="R605" s="482"/>
      <c r="S605" s="482"/>
      <c r="T605" s="482"/>
      <c r="U605" s="482"/>
      <c r="V605" s="384"/>
      <c r="W605" s="563"/>
      <c r="Y605" s="563"/>
      <c r="AA605" s="384"/>
      <c r="AB605" s="384"/>
      <c r="AC605" s="384"/>
      <c r="AD605" s="384"/>
      <c r="AE605" s="384"/>
      <c r="AF605" s="384"/>
      <c r="AG605" s="384"/>
      <c r="AH605" s="384"/>
      <c r="AI605" s="384"/>
      <c r="AJ605" s="384"/>
      <c r="AK605" s="384"/>
      <c r="AL605" s="384"/>
      <c r="AM605" s="384"/>
    </row>
    <row r="606" spans="1:39" ht="15.75" customHeight="1">
      <c r="A606" s="563"/>
      <c r="B606" s="384"/>
      <c r="C606" s="563"/>
      <c r="D606" s="1997"/>
      <c r="E606" s="1998"/>
      <c r="F606" s="1954"/>
      <c r="G606" s="563"/>
      <c r="H606" s="563"/>
      <c r="I606" s="2000"/>
      <c r="J606" s="563"/>
      <c r="K606" s="384"/>
      <c r="L606" s="1901"/>
      <c r="M606" s="1999"/>
      <c r="N606" s="1999"/>
      <c r="O606" s="1999"/>
      <c r="P606" s="2002"/>
      <c r="Q606" s="2002"/>
      <c r="R606" s="482"/>
      <c r="S606" s="482"/>
      <c r="T606" s="482"/>
      <c r="U606" s="482"/>
      <c r="V606" s="384"/>
      <c r="W606" s="563"/>
      <c r="Y606" s="563"/>
      <c r="AA606" s="384"/>
      <c r="AB606" s="384"/>
      <c r="AC606" s="384"/>
      <c r="AD606" s="384"/>
      <c r="AE606" s="384"/>
      <c r="AF606" s="384"/>
      <c r="AG606" s="384"/>
      <c r="AH606" s="384"/>
      <c r="AI606" s="384"/>
      <c r="AJ606" s="384"/>
      <c r="AK606" s="384"/>
      <c r="AL606" s="384"/>
      <c r="AM606" s="384"/>
    </row>
    <row r="607" spans="1:39" ht="15.75" customHeight="1">
      <c r="A607" s="563"/>
      <c r="B607" s="384"/>
      <c r="C607" s="563"/>
      <c r="D607" s="1997"/>
      <c r="E607" s="1998"/>
      <c r="F607" s="1954"/>
      <c r="G607" s="563"/>
      <c r="H607" s="563"/>
      <c r="I607" s="2000"/>
      <c r="J607" s="563"/>
      <c r="K607" s="384"/>
      <c r="L607" s="1901"/>
      <c r="M607" s="1999"/>
      <c r="N607" s="1999"/>
      <c r="O607" s="1999"/>
      <c r="P607" s="2002"/>
      <c r="Q607" s="2002"/>
      <c r="R607" s="482"/>
      <c r="S607" s="482"/>
      <c r="T607" s="482"/>
      <c r="U607" s="482"/>
      <c r="V607" s="384"/>
      <c r="W607" s="563"/>
      <c r="Y607" s="563"/>
      <c r="AA607" s="384"/>
      <c r="AB607" s="384"/>
      <c r="AC607" s="384"/>
      <c r="AD607" s="384"/>
      <c r="AE607" s="384"/>
      <c r="AF607" s="384"/>
      <c r="AG607" s="384"/>
      <c r="AH607" s="384"/>
      <c r="AI607" s="384"/>
      <c r="AJ607" s="384"/>
      <c r="AK607" s="384"/>
      <c r="AL607" s="384"/>
      <c r="AM607" s="384"/>
    </row>
    <row r="608" spans="1:39" ht="15.75" customHeight="1">
      <c r="A608" s="563"/>
      <c r="B608" s="384"/>
      <c r="C608" s="563"/>
      <c r="D608" s="1997"/>
      <c r="E608" s="1998"/>
      <c r="F608" s="1954"/>
      <c r="G608" s="563"/>
      <c r="H608" s="563"/>
      <c r="I608" s="2000"/>
      <c r="J608" s="563"/>
      <c r="K608" s="384"/>
      <c r="L608" s="1901"/>
      <c r="M608" s="1999"/>
      <c r="N608" s="1999"/>
      <c r="O608" s="1999"/>
      <c r="P608" s="2002"/>
      <c r="Q608" s="2002"/>
      <c r="R608" s="482"/>
      <c r="S608" s="482"/>
      <c r="T608" s="482"/>
      <c r="U608" s="482"/>
      <c r="V608" s="384"/>
      <c r="W608" s="563"/>
      <c r="Y608" s="563"/>
      <c r="AA608" s="384"/>
      <c r="AB608" s="384"/>
      <c r="AC608" s="384"/>
      <c r="AD608" s="384"/>
      <c r="AE608" s="384"/>
      <c r="AF608" s="384"/>
      <c r="AG608" s="384"/>
      <c r="AH608" s="384"/>
      <c r="AI608" s="384"/>
      <c r="AJ608" s="384"/>
      <c r="AK608" s="384"/>
      <c r="AL608" s="384"/>
      <c r="AM608" s="384"/>
    </row>
    <row r="609" spans="1:39" ht="15.75" customHeight="1">
      <c r="A609" s="563"/>
      <c r="B609" s="384"/>
      <c r="C609" s="563"/>
      <c r="D609" s="1997"/>
      <c r="E609" s="1998"/>
      <c r="F609" s="1954"/>
      <c r="G609" s="563"/>
      <c r="H609" s="563"/>
      <c r="I609" s="2000"/>
      <c r="J609" s="563"/>
      <c r="K609" s="384"/>
      <c r="L609" s="1901"/>
      <c r="M609" s="1999"/>
      <c r="N609" s="1999"/>
      <c r="O609" s="1999"/>
      <c r="P609" s="2002"/>
      <c r="Q609" s="2002"/>
      <c r="R609" s="482"/>
      <c r="S609" s="482"/>
      <c r="T609" s="482"/>
      <c r="U609" s="482"/>
      <c r="V609" s="384"/>
      <c r="W609" s="563"/>
      <c r="Y609" s="563"/>
      <c r="AA609" s="384"/>
      <c r="AB609" s="384"/>
      <c r="AC609" s="384"/>
      <c r="AD609" s="384"/>
      <c r="AE609" s="384"/>
      <c r="AF609" s="384"/>
      <c r="AG609" s="384"/>
      <c r="AH609" s="384"/>
      <c r="AI609" s="384"/>
      <c r="AJ609" s="384"/>
      <c r="AK609" s="384"/>
      <c r="AL609" s="384"/>
      <c r="AM609" s="384"/>
    </row>
    <row r="610" spans="1:39" ht="15.75" customHeight="1">
      <c r="A610" s="563"/>
      <c r="B610" s="384"/>
      <c r="C610" s="563"/>
      <c r="D610" s="1997"/>
      <c r="E610" s="1998"/>
      <c r="F610" s="1954"/>
      <c r="G610" s="563"/>
      <c r="H610" s="563"/>
      <c r="I610" s="2000"/>
      <c r="J610" s="563"/>
      <c r="K610" s="384"/>
      <c r="L610" s="1901"/>
      <c r="M610" s="1999"/>
      <c r="N610" s="1999"/>
      <c r="O610" s="1999"/>
      <c r="P610" s="2002"/>
      <c r="Q610" s="2002"/>
      <c r="R610" s="482"/>
      <c r="S610" s="482"/>
      <c r="T610" s="482"/>
      <c r="U610" s="482"/>
      <c r="V610" s="384"/>
      <c r="W610" s="563"/>
      <c r="Y610" s="563"/>
      <c r="AA610" s="384"/>
      <c r="AB610" s="384"/>
      <c r="AC610" s="384"/>
      <c r="AD610" s="384"/>
      <c r="AE610" s="384"/>
      <c r="AF610" s="384"/>
      <c r="AG610" s="384"/>
      <c r="AH610" s="384"/>
      <c r="AI610" s="384"/>
      <c r="AJ610" s="384"/>
      <c r="AK610" s="384"/>
      <c r="AL610" s="384"/>
      <c r="AM610" s="384"/>
    </row>
    <row r="611" spans="1:39" ht="15.75" customHeight="1">
      <c r="A611" s="563"/>
      <c r="B611" s="384"/>
      <c r="C611" s="563"/>
      <c r="D611" s="1997"/>
      <c r="E611" s="1998"/>
      <c r="F611" s="1954"/>
      <c r="G611" s="563"/>
      <c r="H611" s="563"/>
      <c r="I611" s="2000"/>
      <c r="J611" s="563"/>
      <c r="K611" s="384"/>
      <c r="L611" s="1901"/>
      <c r="M611" s="1999"/>
      <c r="N611" s="1999"/>
      <c r="O611" s="1999"/>
      <c r="P611" s="2002"/>
      <c r="Q611" s="2002"/>
      <c r="R611" s="482"/>
      <c r="S611" s="482"/>
      <c r="T611" s="482"/>
      <c r="U611" s="482"/>
      <c r="V611" s="384"/>
      <c r="W611" s="563"/>
      <c r="Y611" s="563"/>
      <c r="AA611" s="384"/>
      <c r="AB611" s="384"/>
      <c r="AC611" s="384"/>
      <c r="AD611" s="384"/>
      <c r="AE611" s="384"/>
      <c r="AF611" s="384"/>
      <c r="AG611" s="384"/>
      <c r="AH611" s="384"/>
      <c r="AI611" s="384"/>
      <c r="AJ611" s="384"/>
      <c r="AK611" s="384"/>
      <c r="AL611" s="384"/>
      <c r="AM611" s="384"/>
    </row>
    <row r="612" spans="1:39" ht="15.75" customHeight="1">
      <c r="A612" s="563"/>
      <c r="B612" s="384"/>
      <c r="C612" s="563"/>
      <c r="D612" s="1997"/>
      <c r="E612" s="1998"/>
      <c r="F612" s="1954"/>
      <c r="G612" s="563"/>
      <c r="H612" s="563"/>
      <c r="I612" s="2000"/>
      <c r="J612" s="563"/>
      <c r="K612" s="384"/>
      <c r="L612" s="1901"/>
      <c r="M612" s="1999"/>
      <c r="N612" s="1999"/>
      <c r="O612" s="1999"/>
      <c r="P612" s="2002"/>
      <c r="Q612" s="2002"/>
      <c r="R612" s="482"/>
      <c r="S612" s="482"/>
      <c r="T612" s="482"/>
      <c r="U612" s="482"/>
      <c r="V612" s="384"/>
      <c r="W612" s="563"/>
      <c r="Y612" s="563"/>
      <c r="AA612" s="384"/>
      <c r="AB612" s="384"/>
      <c r="AC612" s="384"/>
      <c r="AD612" s="384"/>
      <c r="AE612" s="384"/>
      <c r="AF612" s="384"/>
      <c r="AG612" s="384"/>
      <c r="AH612" s="384"/>
      <c r="AI612" s="384"/>
      <c r="AJ612" s="384"/>
      <c r="AK612" s="384"/>
      <c r="AL612" s="384"/>
      <c r="AM612" s="384"/>
    </row>
    <row r="613" spans="1:39" ht="15.75" customHeight="1">
      <c r="A613" s="563"/>
      <c r="B613" s="384"/>
      <c r="C613" s="563"/>
      <c r="D613" s="1997"/>
      <c r="E613" s="1998"/>
      <c r="F613" s="1954"/>
      <c r="G613" s="563"/>
      <c r="H613" s="563"/>
      <c r="I613" s="2000"/>
      <c r="J613" s="563"/>
      <c r="K613" s="384"/>
      <c r="L613" s="1901"/>
      <c r="M613" s="1999"/>
      <c r="N613" s="1999"/>
      <c r="O613" s="1999"/>
      <c r="P613" s="2002"/>
      <c r="Q613" s="2002"/>
      <c r="R613" s="482"/>
      <c r="S613" s="482"/>
      <c r="T613" s="482"/>
      <c r="U613" s="482"/>
      <c r="V613" s="384"/>
      <c r="W613" s="563"/>
      <c r="Y613" s="563"/>
      <c r="AA613" s="384"/>
      <c r="AB613" s="384"/>
      <c r="AC613" s="384"/>
      <c r="AD613" s="384"/>
      <c r="AE613" s="384"/>
      <c r="AF613" s="384"/>
      <c r="AG613" s="384"/>
      <c r="AH613" s="384"/>
      <c r="AI613" s="384"/>
      <c r="AJ613" s="384"/>
      <c r="AK613" s="384"/>
      <c r="AL613" s="384"/>
      <c r="AM613" s="384"/>
    </row>
    <row r="614" spans="1:39" ht="15.75" customHeight="1">
      <c r="A614" s="563"/>
      <c r="B614" s="384"/>
      <c r="C614" s="563"/>
      <c r="D614" s="1997"/>
      <c r="E614" s="1998"/>
      <c r="F614" s="1954"/>
      <c r="G614" s="563"/>
      <c r="H614" s="563"/>
      <c r="I614" s="2000"/>
      <c r="J614" s="563"/>
      <c r="K614" s="384"/>
      <c r="L614" s="1901"/>
      <c r="M614" s="1999"/>
      <c r="N614" s="1999"/>
      <c r="O614" s="1999"/>
      <c r="P614" s="2002"/>
      <c r="Q614" s="2002"/>
      <c r="R614" s="482"/>
      <c r="S614" s="482"/>
      <c r="T614" s="482"/>
      <c r="U614" s="482"/>
      <c r="V614" s="384"/>
      <c r="W614" s="563"/>
      <c r="Y614" s="563"/>
      <c r="AA614" s="384"/>
      <c r="AB614" s="384"/>
      <c r="AC614" s="384"/>
      <c r="AD614" s="384"/>
      <c r="AE614" s="384"/>
      <c r="AF614" s="384"/>
      <c r="AG614" s="384"/>
      <c r="AH614" s="384"/>
      <c r="AI614" s="384"/>
      <c r="AJ614" s="384"/>
      <c r="AK614" s="384"/>
      <c r="AL614" s="384"/>
      <c r="AM614" s="384"/>
    </row>
    <row r="615" spans="1:39" ht="15.75" customHeight="1">
      <c r="A615" s="563"/>
      <c r="B615" s="384"/>
      <c r="C615" s="563"/>
      <c r="D615" s="1997"/>
      <c r="E615" s="1998"/>
      <c r="F615" s="1954"/>
      <c r="G615" s="563"/>
      <c r="H615" s="563"/>
      <c r="I615" s="2000"/>
      <c r="J615" s="563"/>
      <c r="K615" s="384"/>
      <c r="L615" s="1901"/>
      <c r="M615" s="1999"/>
      <c r="N615" s="1999"/>
      <c r="O615" s="1999"/>
      <c r="P615" s="2002"/>
      <c r="Q615" s="2002"/>
      <c r="R615" s="482"/>
      <c r="S615" s="482"/>
      <c r="T615" s="482"/>
      <c r="U615" s="482"/>
      <c r="V615" s="384"/>
      <c r="W615" s="563"/>
      <c r="Y615" s="563"/>
      <c r="AA615" s="384"/>
      <c r="AB615" s="384"/>
      <c r="AC615" s="384"/>
      <c r="AD615" s="384"/>
      <c r="AE615" s="384"/>
      <c r="AF615" s="384"/>
      <c r="AG615" s="384"/>
      <c r="AH615" s="384"/>
      <c r="AI615" s="384"/>
      <c r="AJ615" s="384"/>
      <c r="AK615" s="384"/>
      <c r="AL615" s="384"/>
      <c r="AM615" s="384"/>
    </row>
    <row r="616" spans="1:39" ht="15.75" customHeight="1">
      <c r="A616" s="563"/>
      <c r="B616" s="384"/>
      <c r="C616" s="563"/>
      <c r="D616" s="1997"/>
      <c r="E616" s="1998"/>
      <c r="F616" s="1954"/>
      <c r="G616" s="563"/>
      <c r="H616" s="563"/>
      <c r="I616" s="2000"/>
      <c r="J616" s="563"/>
      <c r="K616" s="384"/>
      <c r="L616" s="1901"/>
      <c r="M616" s="1999"/>
      <c r="N616" s="1999"/>
      <c r="O616" s="1999"/>
      <c r="P616" s="2002"/>
      <c r="Q616" s="2002"/>
      <c r="R616" s="482"/>
      <c r="S616" s="482"/>
      <c r="T616" s="482"/>
      <c r="U616" s="482"/>
      <c r="V616" s="384"/>
      <c r="W616" s="563"/>
      <c r="Y616" s="563"/>
      <c r="AA616" s="384"/>
      <c r="AB616" s="384"/>
      <c r="AC616" s="384"/>
      <c r="AD616" s="384"/>
      <c r="AE616" s="384"/>
      <c r="AF616" s="384"/>
      <c r="AG616" s="384"/>
      <c r="AH616" s="384"/>
      <c r="AI616" s="384"/>
      <c r="AJ616" s="384"/>
      <c r="AK616" s="384"/>
      <c r="AL616" s="384"/>
      <c r="AM616" s="384"/>
    </row>
    <row r="617" spans="1:39" ht="15.75" customHeight="1">
      <c r="A617" s="563"/>
      <c r="B617" s="384"/>
      <c r="C617" s="563"/>
      <c r="D617" s="1997"/>
      <c r="E617" s="1998"/>
      <c r="F617" s="1954"/>
      <c r="G617" s="563"/>
      <c r="H617" s="563"/>
      <c r="I617" s="2000"/>
      <c r="J617" s="563"/>
      <c r="K617" s="384"/>
      <c r="L617" s="1901"/>
      <c r="M617" s="1999"/>
      <c r="N617" s="1999"/>
      <c r="O617" s="1999"/>
      <c r="P617" s="2002"/>
      <c r="Q617" s="2002"/>
      <c r="R617" s="482"/>
      <c r="S617" s="482"/>
      <c r="T617" s="482"/>
      <c r="U617" s="482"/>
      <c r="V617" s="384"/>
      <c r="W617" s="563"/>
      <c r="Y617" s="563"/>
      <c r="AA617" s="384"/>
      <c r="AB617" s="384"/>
      <c r="AC617" s="384"/>
      <c r="AD617" s="384"/>
      <c r="AE617" s="384"/>
      <c r="AF617" s="384"/>
      <c r="AG617" s="384"/>
      <c r="AH617" s="384"/>
      <c r="AI617" s="384"/>
      <c r="AJ617" s="384"/>
      <c r="AK617" s="384"/>
      <c r="AL617" s="384"/>
      <c r="AM617" s="384"/>
    </row>
    <row r="618" spans="1:39" ht="15.75" customHeight="1">
      <c r="A618" s="563"/>
      <c r="B618" s="384"/>
      <c r="C618" s="563"/>
      <c r="D618" s="1997"/>
      <c r="E618" s="1998"/>
      <c r="F618" s="1954"/>
      <c r="G618" s="563"/>
      <c r="H618" s="563"/>
      <c r="I618" s="2000"/>
      <c r="J618" s="563"/>
      <c r="K618" s="384"/>
      <c r="L618" s="1901"/>
      <c r="M618" s="1999"/>
      <c r="N618" s="1999"/>
      <c r="O618" s="1999"/>
      <c r="P618" s="2002"/>
      <c r="Q618" s="2002"/>
      <c r="R618" s="482"/>
      <c r="S618" s="482"/>
      <c r="T618" s="482"/>
      <c r="U618" s="482"/>
      <c r="V618" s="384"/>
      <c r="W618" s="563"/>
      <c r="Y618" s="563"/>
      <c r="AA618" s="384"/>
      <c r="AB618" s="384"/>
      <c r="AC618" s="384"/>
      <c r="AD618" s="384"/>
      <c r="AE618" s="384"/>
      <c r="AF618" s="384"/>
      <c r="AG618" s="384"/>
      <c r="AH618" s="384"/>
      <c r="AI618" s="384"/>
      <c r="AJ618" s="384"/>
      <c r="AK618" s="384"/>
      <c r="AL618" s="384"/>
      <c r="AM618" s="384"/>
    </row>
    <row r="619" spans="1:39" ht="15.75" customHeight="1">
      <c r="A619" s="563"/>
      <c r="B619" s="384"/>
      <c r="C619" s="563"/>
      <c r="D619" s="1997"/>
      <c r="E619" s="1998"/>
      <c r="F619" s="1954"/>
      <c r="G619" s="563"/>
      <c r="H619" s="563"/>
      <c r="I619" s="2000"/>
      <c r="J619" s="563"/>
      <c r="K619" s="384"/>
      <c r="L619" s="1901"/>
      <c r="M619" s="1999"/>
      <c r="N619" s="1999"/>
      <c r="O619" s="1999"/>
      <c r="P619" s="2002"/>
      <c r="Q619" s="2002"/>
      <c r="R619" s="482"/>
      <c r="S619" s="482"/>
      <c r="T619" s="482"/>
      <c r="U619" s="482"/>
      <c r="V619" s="384"/>
      <c r="W619" s="563"/>
      <c r="Y619" s="563"/>
      <c r="AA619" s="384"/>
      <c r="AB619" s="384"/>
      <c r="AC619" s="384"/>
      <c r="AD619" s="384"/>
      <c r="AE619" s="384"/>
      <c r="AF619" s="384"/>
      <c r="AG619" s="384"/>
      <c r="AH619" s="384"/>
      <c r="AI619" s="384"/>
      <c r="AJ619" s="384"/>
      <c r="AK619" s="384"/>
      <c r="AL619" s="384"/>
      <c r="AM619" s="384"/>
    </row>
    <row r="620" spans="1:39" ht="15.75" customHeight="1">
      <c r="A620" s="563"/>
      <c r="B620" s="384"/>
      <c r="C620" s="563"/>
      <c r="D620" s="1997"/>
      <c r="E620" s="1998"/>
      <c r="F620" s="1954"/>
      <c r="G620" s="563"/>
      <c r="H620" s="563"/>
      <c r="I620" s="2000"/>
      <c r="J620" s="563"/>
      <c r="K620" s="384"/>
      <c r="L620" s="1901"/>
      <c r="M620" s="1999"/>
      <c r="N620" s="1999"/>
      <c r="O620" s="1999"/>
      <c r="P620" s="2002"/>
      <c r="Q620" s="2002"/>
      <c r="R620" s="482"/>
      <c r="S620" s="482"/>
      <c r="T620" s="482"/>
      <c r="U620" s="482"/>
      <c r="V620" s="384"/>
      <c r="W620" s="563"/>
      <c r="Y620" s="563"/>
      <c r="AA620" s="384"/>
      <c r="AB620" s="384"/>
      <c r="AC620" s="384"/>
      <c r="AD620" s="384"/>
      <c r="AE620" s="384"/>
      <c r="AF620" s="384"/>
      <c r="AG620" s="384"/>
      <c r="AH620" s="384"/>
      <c r="AI620" s="384"/>
      <c r="AJ620" s="384"/>
      <c r="AK620" s="384"/>
      <c r="AL620" s="384"/>
      <c r="AM620" s="384"/>
    </row>
    <row r="621" spans="1:39" ht="15.75" customHeight="1">
      <c r="A621" s="563"/>
      <c r="B621" s="384"/>
      <c r="C621" s="563"/>
      <c r="D621" s="1997"/>
      <c r="E621" s="1998"/>
      <c r="F621" s="1954"/>
      <c r="G621" s="563"/>
      <c r="H621" s="563"/>
      <c r="I621" s="2000"/>
      <c r="J621" s="563"/>
      <c r="K621" s="384"/>
      <c r="L621" s="1901"/>
      <c r="M621" s="1999"/>
      <c r="N621" s="1999"/>
      <c r="O621" s="1999"/>
      <c r="P621" s="2002"/>
      <c r="Q621" s="2002"/>
      <c r="R621" s="482"/>
      <c r="S621" s="482"/>
      <c r="T621" s="482"/>
      <c r="U621" s="482"/>
      <c r="V621" s="384"/>
      <c r="W621" s="563"/>
      <c r="Y621" s="563"/>
      <c r="AA621" s="384"/>
      <c r="AB621" s="384"/>
      <c r="AC621" s="384"/>
      <c r="AD621" s="384"/>
      <c r="AE621" s="384"/>
      <c r="AF621" s="384"/>
      <c r="AG621" s="384"/>
      <c r="AH621" s="384"/>
      <c r="AI621" s="384"/>
      <c r="AJ621" s="384"/>
      <c r="AK621" s="384"/>
      <c r="AL621" s="384"/>
      <c r="AM621" s="384"/>
    </row>
    <row r="622" spans="1:39" ht="15.75" customHeight="1">
      <c r="A622" s="563"/>
      <c r="B622" s="384"/>
      <c r="C622" s="563"/>
      <c r="D622" s="1997"/>
      <c r="E622" s="1998"/>
      <c r="F622" s="1954"/>
      <c r="G622" s="563"/>
      <c r="H622" s="563"/>
      <c r="I622" s="2000"/>
      <c r="J622" s="563"/>
      <c r="K622" s="384"/>
      <c r="L622" s="1901"/>
      <c r="M622" s="1999"/>
      <c r="N622" s="1999"/>
      <c r="O622" s="1999"/>
      <c r="P622" s="2002"/>
      <c r="Q622" s="2002"/>
      <c r="R622" s="482"/>
      <c r="S622" s="482"/>
      <c r="T622" s="482"/>
      <c r="U622" s="482"/>
      <c r="V622" s="384"/>
      <c r="W622" s="563"/>
      <c r="Y622" s="563"/>
      <c r="AA622" s="384"/>
      <c r="AB622" s="384"/>
      <c r="AC622" s="384"/>
      <c r="AD622" s="384"/>
      <c r="AE622" s="384"/>
      <c r="AF622" s="384"/>
      <c r="AG622" s="384"/>
      <c r="AH622" s="384"/>
      <c r="AI622" s="384"/>
      <c r="AJ622" s="384"/>
      <c r="AK622" s="384"/>
      <c r="AL622" s="384"/>
      <c r="AM622" s="384"/>
    </row>
    <row r="623" spans="1:39" ht="15.75" customHeight="1">
      <c r="A623" s="563"/>
      <c r="B623" s="384"/>
      <c r="C623" s="563"/>
      <c r="D623" s="1997"/>
      <c r="E623" s="1998"/>
      <c r="F623" s="1954"/>
      <c r="G623" s="563"/>
      <c r="H623" s="563"/>
      <c r="I623" s="2000"/>
      <c r="J623" s="563"/>
      <c r="K623" s="384"/>
      <c r="L623" s="1901"/>
      <c r="M623" s="1999"/>
      <c r="N623" s="1999"/>
      <c r="O623" s="1999"/>
      <c r="P623" s="2002"/>
      <c r="Q623" s="2002"/>
      <c r="R623" s="482"/>
      <c r="S623" s="482"/>
      <c r="T623" s="482"/>
      <c r="U623" s="482"/>
      <c r="V623" s="384"/>
      <c r="W623" s="563"/>
      <c r="Y623" s="563"/>
      <c r="AA623" s="384"/>
      <c r="AB623" s="384"/>
      <c r="AC623" s="384"/>
      <c r="AD623" s="384"/>
      <c r="AE623" s="384"/>
      <c r="AF623" s="384"/>
      <c r="AG623" s="384"/>
      <c r="AH623" s="384"/>
      <c r="AI623" s="384"/>
      <c r="AJ623" s="384"/>
      <c r="AK623" s="384"/>
      <c r="AL623" s="384"/>
      <c r="AM623" s="384"/>
    </row>
    <row r="624" spans="1:39" ht="15.75" customHeight="1">
      <c r="A624" s="563"/>
      <c r="B624" s="384"/>
      <c r="C624" s="563"/>
      <c r="D624" s="1997"/>
      <c r="E624" s="1998"/>
      <c r="F624" s="1954"/>
      <c r="G624" s="563"/>
      <c r="H624" s="563"/>
      <c r="I624" s="2000"/>
      <c r="J624" s="563"/>
      <c r="K624" s="384"/>
      <c r="L624" s="1901"/>
      <c r="M624" s="1999"/>
      <c r="N624" s="1999"/>
      <c r="O624" s="1999"/>
      <c r="P624" s="2002"/>
      <c r="Q624" s="2002"/>
      <c r="R624" s="482"/>
      <c r="S624" s="482"/>
      <c r="T624" s="482"/>
      <c r="U624" s="482"/>
      <c r="V624" s="384"/>
      <c r="W624" s="563"/>
      <c r="Y624" s="563"/>
      <c r="AA624" s="384"/>
      <c r="AB624" s="384"/>
      <c r="AC624" s="384"/>
      <c r="AD624" s="384"/>
      <c r="AE624" s="384"/>
      <c r="AF624" s="384"/>
      <c r="AG624" s="384"/>
      <c r="AH624" s="384"/>
      <c r="AI624" s="384"/>
      <c r="AJ624" s="384"/>
      <c r="AK624" s="384"/>
      <c r="AL624" s="384"/>
      <c r="AM624" s="384"/>
    </row>
    <row r="625" spans="1:39" ht="15.75" customHeight="1">
      <c r="A625" s="563"/>
      <c r="B625" s="384"/>
      <c r="C625" s="563"/>
      <c r="D625" s="1997"/>
      <c r="E625" s="1998"/>
      <c r="F625" s="1954"/>
      <c r="G625" s="563"/>
      <c r="H625" s="563"/>
      <c r="I625" s="2000"/>
      <c r="J625" s="563"/>
      <c r="K625" s="384"/>
      <c r="L625" s="1901"/>
      <c r="M625" s="1999"/>
      <c r="N625" s="1999"/>
      <c r="O625" s="1999"/>
      <c r="P625" s="2002"/>
      <c r="Q625" s="2002"/>
      <c r="R625" s="482"/>
      <c r="S625" s="482"/>
      <c r="T625" s="482"/>
      <c r="U625" s="482"/>
      <c r="V625" s="384"/>
      <c r="W625" s="563"/>
      <c r="Y625" s="563"/>
      <c r="AA625" s="384"/>
      <c r="AB625" s="384"/>
      <c r="AC625" s="384"/>
      <c r="AD625" s="384"/>
      <c r="AE625" s="384"/>
      <c r="AF625" s="384"/>
      <c r="AG625" s="384"/>
      <c r="AH625" s="384"/>
      <c r="AI625" s="384"/>
      <c r="AJ625" s="384"/>
      <c r="AK625" s="384"/>
      <c r="AL625" s="384"/>
      <c r="AM625" s="384"/>
    </row>
    <row r="626" spans="1:39" ht="15.75" customHeight="1">
      <c r="A626" s="563"/>
      <c r="B626" s="384"/>
      <c r="C626" s="563"/>
      <c r="D626" s="1997"/>
      <c r="E626" s="1998"/>
      <c r="F626" s="1954"/>
      <c r="G626" s="563"/>
      <c r="H626" s="563"/>
      <c r="I626" s="2000"/>
      <c r="J626" s="563"/>
      <c r="K626" s="384"/>
      <c r="L626" s="1901"/>
      <c r="M626" s="1999"/>
      <c r="N626" s="1999"/>
      <c r="O626" s="1999"/>
      <c r="P626" s="2002"/>
      <c r="Q626" s="2002"/>
      <c r="R626" s="482"/>
      <c r="S626" s="482"/>
      <c r="T626" s="482"/>
      <c r="U626" s="482"/>
      <c r="V626" s="384"/>
      <c r="W626" s="563"/>
      <c r="Y626" s="563"/>
      <c r="AA626" s="384"/>
      <c r="AB626" s="384"/>
      <c r="AC626" s="384"/>
      <c r="AD626" s="384"/>
      <c r="AE626" s="384"/>
      <c r="AF626" s="384"/>
      <c r="AG626" s="384"/>
      <c r="AH626" s="384"/>
      <c r="AI626" s="384"/>
      <c r="AJ626" s="384"/>
      <c r="AK626" s="384"/>
      <c r="AL626" s="384"/>
      <c r="AM626" s="384"/>
    </row>
    <row r="627" spans="1:39" ht="15.75" customHeight="1">
      <c r="A627" s="563"/>
      <c r="B627" s="384"/>
      <c r="C627" s="563"/>
      <c r="D627" s="1997"/>
      <c r="E627" s="1998"/>
      <c r="F627" s="1954"/>
      <c r="G627" s="563"/>
      <c r="H627" s="563"/>
      <c r="I627" s="2000"/>
      <c r="J627" s="563"/>
      <c r="K627" s="384"/>
      <c r="L627" s="1901"/>
      <c r="M627" s="1999"/>
      <c r="N627" s="1999"/>
      <c r="O627" s="1999"/>
      <c r="P627" s="2002"/>
      <c r="Q627" s="2002"/>
      <c r="R627" s="482"/>
      <c r="S627" s="482"/>
      <c r="T627" s="482"/>
      <c r="U627" s="482"/>
      <c r="V627" s="384"/>
      <c r="W627" s="563"/>
      <c r="Y627" s="563"/>
      <c r="AA627" s="384"/>
      <c r="AB627" s="384"/>
      <c r="AC627" s="384"/>
      <c r="AD627" s="384"/>
      <c r="AE627" s="384"/>
      <c r="AF627" s="384"/>
      <c r="AG627" s="384"/>
      <c r="AH627" s="384"/>
      <c r="AI627" s="384"/>
      <c r="AJ627" s="384"/>
      <c r="AK627" s="384"/>
      <c r="AL627" s="384"/>
      <c r="AM627" s="384"/>
    </row>
    <row r="628" spans="1:39" ht="15.75" customHeight="1">
      <c r="A628" s="563"/>
      <c r="B628" s="384"/>
      <c r="C628" s="563"/>
      <c r="D628" s="1997"/>
      <c r="E628" s="1998"/>
      <c r="F628" s="1954"/>
      <c r="G628" s="563"/>
      <c r="H628" s="563"/>
      <c r="I628" s="2000"/>
      <c r="J628" s="563"/>
      <c r="K628" s="384"/>
      <c r="L628" s="1901"/>
      <c r="M628" s="1999"/>
      <c r="N628" s="1999"/>
      <c r="O628" s="1999"/>
      <c r="P628" s="2002"/>
      <c r="Q628" s="2002"/>
      <c r="R628" s="482"/>
      <c r="S628" s="482"/>
      <c r="T628" s="482"/>
      <c r="U628" s="482"/>
      <c r="V628" s="384"/>
      <c r="W628" s="563"/>
      <c r="Y628" s="563"/>
      <c r="AA628" s="384"/>
      <c r="AB628" s="384"/>
      <c r="AC628" s="384"/>
      <c r="AD628" s="384"/>
      <c r="AE628" s="384"/>
      <c r="AF628" s="384"/>
      <c r="AG628" s="384"/>
      <c r="AH628" s="384"/>
      <c r="AI628" s="384"/>
      <c r="AJ628" s="384"/>
      <c r="AK628" s="384"/>
      <c r="AL628" s="384"/>
      <c r="AM628" s="384"/>
    </row>
    <row r="629" spans="1:39" ht="15.75" customHeight="1">
      <c r="A629" s="563"/>
      <c r="B629" s="384"/>
      <c r="C629" s="563"/>
      <c r="D629" s="1997"/>
      <c r="E629" s="1998"/>
      <c r="F629" s="1954"/>
      <c r="G629" s="563"/>
      <c r="H629" s="563"/>
      <c r="I629" s="2000"/>
      <c r="J629" s="563"/>
      <c r="K629" s="384"/>
      <c r="L629" s="1901"/>
      <c r="M629" s="1999"/>
      <c r="N629" s="1999"/>
      <c r="O629" s="1999"/>
      <c r="P629" s="2002"/>
      <c r="Q629" s="2002"/>
      <c r="R629" s="482"/>
      <c r="S629" s="482"/>
      <c r="T629" s="482"/>
      <c r="U629" s="482"/>
      <c r="V629" s="384"/>
      <c r="W629" s="563"/>
      <c r="Y629" s="563"/>
      <c r="AA629" s="384"/>
      <c r="AB629" s="384"/>
      <c r="AC629" s="384"/>
      <c r="AD629" s="384"/>
      <c r="AE629" s="384"/>
      <c r="AF629" s="384"/>
      <c r="AG629" s="384"/>
      <c r="AH629" s="384"/>
      <c r="AI629" s="384"/>
      <c r="AJ629" s="384"/>
      <c r="AK629" s="384"/>
      <c r="AL629" s="384"/>
      <c r="AM629" s="384"/>
    </row>
    <row r="630" spans="1:39" ht="15.75" customHeight="1">
      <c r="A630" s="563"/>
      <c r="B630" s="384"/>
      <c r="C630" s="563"/>
      <c r="D630" s="1997"/>
      <c r="E630" s="1998"/>
      <c r="F630" s="1954"/>
      <c r="G630" s="563"/>
      <c r="H630" s="563"/>
      <c r="I630" s="2000"/>
      <c r="J630" s="563"/>
      <c r="K630" s="384"/>
      <c r="L630" s="1901"/>
      <c r="M630" s="1999"/>
      <c r="N630" s="1999"/>
      <c r="O630" s="1999"/>
      <c r="P630" s="2002"/>
      <c r="Q630" s="2002"/>
      <c r="R630" s="482"/>
      <c r="S630" s="482"/>
      <c r="T630" s="482"/>
      <c r="U630" s="482"/>
      <c r="V630" s="384"/>
      <c r="W630" s="563"/>
      <c r="Y630" s="563"/>
      <c r="AA630" s="384"/>
      <c r="AB630" s="384"/>
      <c r="AC630" s="384"/>
      <c r="AD630" s="384"/>
      <c r="AE630" s="384"/>
      <c r="AF630" s="384"/>
      <c r="AG630" s="384"/>
      <c r="AH630" s="384"/>
      <c r="AI630" s="384"/>
      <c r="AJ630" s="384"/>
      <c r="AK630" s="384"/>
      <c r="AL630" s="384"/>
      <c r="AM630" s="384"/>
    </row>
    <row r="631" spans="1:39" ht="15.75" customHeight="1">
      <c r="A631" s="563"/>
      <c r="B631" s="384"/>
      <c r="C631" s="563"/>
      <c r="D631" s="1997"/>
      <c r="E631" s="1998"/>
      <c r="F631" s="1954"/>
      <c r="G631" s="563"/>
      <c r="H631" s="563"/>
      <c r="I631" s="2000"/>
      <c r="J631" s="563"/>
      <c r="K631" s="384"/>
      <c r="L631" s="1901"/>
      <c r="M631" s="1999"/>
      <c r="N631" s="1999"/>
      <c r="O631" s="1999"/>
      <c r="P631" s="2002"/>
      <c r="Q631" s="2002"/>
      <c r="R631" s="482"/>
      <c r="S631" s="482"/>
      <c r="T631" s="482"/>
      <c r="U631" s="482"/>
      <c r="V631" s="384"/>
      <c r="W631" s="563"/>
      <c r="Y631" s="563"/>
      <c r="AA631" s="384"/>
      <c r="AB631" s="384"/>
      <c r="AC631" s="384"/>
      <c r="AD631" s="384"/>
      <c r="AE631" s="384"/>
      <c r="AF631" s="384"/>
      <c r="AG631" s="384"/>
      <c r="AH631" s="384"/>
      <c r="AI631" s="384"/>
      <c r="AJ631" s="384"/>
      <c r="AK631" s="384"/>
      <c r="AL631" s="384"/>
      <c r="AM631" s="384"/>
    </row>
    <row r="632" spans="1:39" ht="15.75" customHeight="1">
      <c r="A632" s="563"/>
      <c r="B632" s="384"/>
      <c r="C632" s="563"/>
      <c r="D632" s="1997"/>
      <c r="E632" s="1998"/>
      <c r="F632" s="1954"/>
      <c r="G632" s="563"/>
      <c r="H632" s="563"/>
      <c r="I632" s="2000"/>
      <c r="J632" s="563"/>
      <c r="K632" s="384"/>
      <c r="L632" s="1901"/>
      <c r="M632" s="1999"/>
      <c r="N632" s="1999"/>
      <c r="O632" s="1999"/>
      <c r="P632" s="2002"/>
      <c r="Q632" s="2002"/>
      <c r="R632" s="482"/>
      <c r="S632" s="482"/>
      <c r="T632" s="482"/>
      <c r="U632" s="482"/>
      <c r="V632" s="384"/>
      <c r="W632" s="563"/>
      <c r="Y632" s="563"/>
      <c r="AA632" s="384"/>
      <c r="AB632" s="384"/>
      <c r="AC632" s="384"/>
      <c r="AD632" s="384"/>
      <c r="AE632" s="384"/>
      <c r="AF632" s="384"/>
      <c r="AG632" s="384"/>
      <c r="AH632" s="384"/>
      <c r="AI632" s="384"/>
      <c r="AJ632" s="384"/>
      <c r="AK632" s="384"/>
      <c r="AL632" s="384"/>
      <c r="AM632" s="384"/>
    </row>
    <row r="633" spans="1:39" ht="15.75" customHeight="1">
      <c r="A633" s="563"/>
      <c r="B633" s="384"/>
      <c r="C633" s="563"/>
      <c r="D633" s="1997"/>
      <c r="E633" s="1998"/>
      <c r="F633" s="1954"/>
      <c r="G633" s="563"/>
      <c r="H633" s="563"/>
      <c r="I633" s="2000"/>
      <c r="J633" s="563"/>
      <c r="K633" s="384"/>
      <c r="L633" s="1901"/>
      <c r="M633" s="1999"/>
      <c r="N633" s="1999"/>
      <c r="O633" s="1999"/>
      <c r="P633" s="2002"/>
      <c r="Q633" s="2002"/>
      <c r="R633" s="482"/>
      <c r="S633" s="482"/>
      <c r="T633" s="482"/>
      <c r="U633" s="482"/>
      <c r="V633" s="384"/>
      <c r="W633" s="563"/>
      <c r="Y633" s="563"/>
      <c r="AA633" s="384"/>
      <c r="AB633" s="384"/>
      <c r="AC633" s="384"/>
      <c r="AD633" s="384"/>
      <c r="AE633" s="384"/>
      <c r="AF633" s="384"/>
      <c r="AG633" s="384"/>
      <c r="AH633" s="384"/>
      <c r="AI633" s="384"/>
      <c r="AJ633" s="384"/>
      <c r="AK633" s="384"/>
      <c r="AL633" s="384"/>
      <c r="AM633" s="384"/>
    </row>
    <row r="634" spans="1:39" ht="15.75" customHeight="1">
      <c r="A634" s="563"/>
      <c r="B634" s="384"/>
      <c r="C634" s="563"/>
      <c r="D634" s="1997"/>
      <c r="E634" s="1998"/>
      <c r="F634" s="1954"/>
      <c r="G634" s="563"/>
      <c r="H634" s="563"/>
      <c r="I634" s="2000"/>
      <c r="J634" s="563"/>
      <c r="K634" s="384"/>
      <c r="L634" s="1901"/>
      <c r="M634" s="1999"/>
      <c r="N634" s="1999"/>
      <c r="O634" s="1999"/>
      <c r="P634" s="2002"/>
      <c r="Q634" s="2002"/>
      <c r="R634" s="482"/>
      <c r="S634" s="482"/>
      <c r="T634" s="482"/>
      <c r="U634" s="482"/>
      <c r="V634" s="384"/>
      <c r="W634" s="563"/>
      <c r="Y634" s="563"/>
      <c r="AA634" s="384"/>
      <c r="AB634" s="384"/>
      <c r="AC634" s="384"/>
      <c r="AD634" s="384"/>
      <c r="AE634" s="384"/>
      <c r="AF634" s="384"/>
      <c r="AG634" s="384"/>
      <c r="AH634" s="384"/>
      <c r="AI634" s="384"/>
      <c r="AJ634" s="384"/>
      <c r="AK634" s="384"/>
      <c r="AL634" s="384"/>
      <c r="AM634" s="384"/>
    </row>
    <row r="635" spans="1:39" ht="15.75" customHeight="1">
      <c r="A635" s="563"/>
      <c r="B635" s="384"/>
      <c r="C635" s="563"/>
      <c r="D635" s="1997"/>
      <c r="E635" s="1998"/>
      <c r="F635" s="1954"/>
      <c r="G635" s="563"/>
      <c r="H635" s="563"/>
      <c r="I635" s="2000"/>
      <c r="J635" s="563"/>
      <c r="K635" s="384"/>
      <c r="L635" s="1901"/>
      <c r="M635" s="1999"/>
      <c r="N635" s="1999"/>
      <c r="O635" s="1999"/>
      <c r="P635" s="2002"/>
      <c r="Q635" s="2002"/>
      <c r="R635" s="482"/>
      <c r="S635" s="482"/>
      <c r="T635" s="482"/>
      <c r="U635" s="482"/>
      <c r="V635" s="384"/>
      <c r="W635" s="563"/>
      <c r="Y635" s="563"/>
      <c r="AA635" s="384"/>
      <c r="AB635" s="384"/>
      <c r="AC635" s="384"/>
      <c r="AD635" s="384"/>
      <c r="AE635" s="384"/>
      <c r="AF635" s="384"/>
      <c r="AG635" s="384"/>
      <c r="AH635" s="384"/>
      <c r="AI635" s="384"/>
      <c r="AJ635" s="384"/>
      <c r="AK635" s="384"/>
      <c r="AL635" s="384"/>
      <c r="AM635" s="384"/>
    </row>
    <row r="636" spans="1:39" ht="15.75" customHeight="1">
      <c r="A636" s="563"/>
      <c r="B636" s="384"/>
      <c r="C636" s="563"/>
      <c r="D636" s="1997"/>
      <c r="E636" s="1998"/>
      <c r="F636" s="1954"/>
      <c r="G636" s="563"/>
      <c r="H636" s="563"/>
      <c r="I636" s="2000"/>
      <c r="J636" s="563"/>
      <c r="K636" s="384"/>
      <c r="L636" s="1901"/>
      <c r="M636" s="1999"/>
      <c r="N636" s="1999"/>
      <c r="O636" s="1999"/>
      <c r="P636" s="2002"/>
      <c r="Q636" s="2002"/>
      <c r="R636" s="482"/>
      <c r="S636" s="482"/>
      <c r="T636" s="482"/>
      <c r="U636" s="482"/>
      <c r="V636" s="384"/>
      <c r="W636" s="563"/>
      <c r="Y636" s="563"/>
      <c r="AA636" s="384"/>
      <c r="AB636" s="384"/>
      <c r="AC636" s="384"/>
      <c r="AD636" s="384"/>
      <c r="AE636" s="384"/>
      <c r="AF636" s="384"/>
      <c r="AG636" s="384"/>
      <c r="AH636" s="384"/>
      <c r="AI636" s="384"/>
      <c r="AJ636" s="384"/>
      <c r="AK636" s="384"/>
      <c r="AL636" s="384"/>
      <c r="AM636" s="384"/>
    </row>
    <row r="637" spans="1:39" ht="15.75" customHeight="1">
      <c r="A637" s="563"/>
      <c r="B637" s="384"/>
      <c r="C637" s="563"/>
      <c r="D637" s="1997"/>
      <c r="E637" s="1998"/>
      <c r="F637" s="1954"/>
      <c r="G637" s="563"/>
      <c r="H637" s="563"/>
      <c r="I637" s="2000"/>
      <c r="J637" s="563"/>
      <c r="K637" s="384"/>
      <c r="L637" s="1901"/>
      <c r="M637" s="1999"/>
      <c r="N637" s="1999"/>
      <c r="O637" s="1999"/>
      <c r="P637" s="2002"/>
      <c r="Q637" s="2002"/>
      <c r="R637" s="482"/>
      <c r="S637" s="482"/>
      <c r="T637" s="482"/>
      <c r="U637" s="482"/>
      <c r="V637" s="384"/>
      <c r="W637" s="563"/>
      <c r="Y637" s="563"/>
      <c r="AA637" s="384"/>
      <c r="AB637" s="384"/>
      <c r="AC637" s="384"/>
      <c r="AD637" s="384"/>
      <c r="AE637" s="384"/>
      <c r="AF637" s="384"/>
      <c r="AG637" s="384"/>
      <c r="AH637" s="384"/>
      <c r="AI637" s="384"/>
      <c r="AJ637" s="384"/>
      <c r="AK637" s="384"/>
      <c r="AL637" s="384"/>
      <c r="AM637" s="384"/>
    </row>
    <row r="638" spans="1:39" ht="15.75" customHeight="1">
      <c r="A638" s="563"/>
      <c r="B638" s="384"/>
      <c r="C638" s="563"/>
      <c r="D638" s="1997"/>
      <c r="E638" s="1998"/>
      <c r="F638" s="1954"/>
      <c r="G638" s="563"/>
      <c r="H638" s="563"/>
      <c r="I638" s="2000"/>
      <c r="J638" s="563"/>
      <c r="K638" s="384"/>
      <c r="L638" s="1901"/>
      <c r="M638" s="1999"/>
      <c r="N638" s="1999"/>
      <c r="O638" s="1999"/>
      <c r="P638" s="2002"/>
      <c r="Q638" s="2002"/>
      <c r="R638" s="482"/>
      <c r="S638" s="482"/>
      <c r="T638" s="482"/>
      <c r="U638" s="482"/>
      <c r="V638" s="384"/>
      <c r="W638" s="563"/>
      <c r="Y638" s="563"/>
      <c r="AA638" s="384"/>
      <c r="AB638" s="384"/>
      <c r="AC638" s="384"/>
      <c r="AD638" s="384"/>
      <c r="AE638" s="384"/>
      <c r="AF638" s="384"/>
      <c r="AG638" s="384"/>
      <c r="AH638" s="384"/>
      <c r="AI638" s="384"/>
      <c r="AJ638" s="384"/>
      <c r="AK638" s="384"/>
      <c r="AL638" s="384"/>
      <c r="AM638" s="384"/>
    </row>
    <row r="639" spans="1:39" ht="15.75" customHeight="1">
      <c r="A639" s="563"/>
      <c r="B639" s="384"/>
      <c r="C639" s="563"/>
      <c r="D639" s="1997"/>
      <c r="E639" s="1998"/>
      <c r="F639" s="1954"/>
      <c r="G639" s="563"/>
      <c r="H639" s="563"/>
      <c r="I639" s="2000"/>
      <c r="J639" s="563"/>
      <c r="K639" s="384"/>
      <c r="L639" s="1901"/>
      <c r="M639" s="1999"/>
      <c r="N639" s="1999"/>
      <c r="O639" s="1999"/>
      <c r="P639" s="2002"/>
      <c r="Q639" s="2002"/>
      <c r="R639" s="482"/>
      <c r="S639" s="482"/>
      <c r="T639" s="482"/>
      <c r="U639" s="482"/>
      <c r="V639" s="384"/>
      <c r="W639" s="563"/>
      <c r="Y639" s="563"/>
      <c r="AA639" s="384"/>
      <c r="AB639" s="384"/>
      <c r="AC639" s="384"/>
      <c r="AD639" s="384"/>
      <c r="AE639" s="384"/>
      <c r="AF639" s="384"/>
      <c r="AG639" s="384"/>
      <c r="AH639" s="384"/>
      <c r="AI639" s="384"/>
      <c r="AJ639" s="384"/>
      <c r="AK639" s="384"/>
      <c r="AL639" s="384"/>
      <c r="AM639" s="384"/>
    </row>
    <row r="640" spans="1:39" ht="15.75" customHeight="1">
      <c r="A640" s="563"/>
      <c r="B640" s="384"/>
      <c r="C640" s="563"/>
      <c r="D640" s="1997"/>
      <c r="E640" s="1998"/>
      <c r="F640" s="1954"/>
      <c r="G640" s="563"/>
      <c r="H640" s="563"/>
      <c r="I640" s="2000"/>
      <c r="J640" s="563"/>
      <c r="K640" s="384"/>
      <c r="L640" s="1901"/>
      <c r="M640" s="1999"/>
      <c r="N640" s="1999"/>
      <c r="O640" s="1999"/>
      <c r="P640" s="2002"/>
      <c r="Q640" s="2002"/>
      <c r="R640" s="482"/>
      <c r="S640" s="482"/>
      <c r="T640" s="482"/>
      <c r="U640" s="482"/>
      <c r="V640" s="384"/>
      <c r="W640" s="563"/>
      <c r="Y640" s="563"/>
      <c r="AA640" s="384"/>
      <c r="AB640" s="384"/>
      <c r="AC640" s="384"/>
      <c r="AD640" s="384"/>
      <c r="AE640" s="384"/>
      <c r="AF640" s="384"/>
      <c r="AG640" s="384"/>
      <c r="AH640" s="384"/>
      <c r="AI640" s="384"/>
      <c r="AJ640" s="384"/>
      <c r="AK640" s="384"/>
      <c r="AL640" s="384"/>
      <c r="AM640" s="384"/>
    </row>
    <row r="641" spans="1:39" ht="15.75" customHeight="1">
      <c r="A641" s="563"/>
      <c r="B641" s="384"/>
      <c r="C641" s="563"/>
      <c r="D641" s="1997"/>
      <c r="E641" s="1998"/>
      <c r="F641" s="1954"/>
      <c r="G641" s="563"/>
      <c r="H641" s="563"/>
      <c r="I641" s="2000"/>
      <c r="J641" s="563"/>
      <c r="K641" s="384"/>
      <c r="L641" s="1901"/>
      <c r="M641" s="1999"/>
      <c r="N641" s="1999"/>
      <c r="O641" s="1999"/>
      <c r="P641" s="2002"/>
      <c r="Q641" s="2002"/>
      <c r="R641" s="482"/>
      <c r="S641" s="482"/>
      <c r="T641" s="482"/>
      <c r="U641" s="482"/>
      <c r="V641" s="384"/>
      <c r="W641" s="563"/>
      <c r="Y641" s="563"/>
      <c r="AA641" s="384"/>
      <c r="AB641" s="384"/>
      <c r="AC641" s="384"/>
      <c r="AD641" s="384"/>
      <c r="AE641" s="384"/>
      <c r="AF641" s="384"/>
      <c r="AG641" s="384"/>
      <c r="AH641" s="384"/>
      <c r="AI641" s="384"/>
      <c r="AJ641" s="384"/>
      <c r="AK641" s="384"/>
      <c r="AL641" s="384"/>
      <c r="AM641" s="384"/>
    </row>
    <row r="642" spans="1:39" ht="15.75" customHeight="1">
      <c r="A642" s="563"/>
      <c r="B642" s="384"/>
      <c r="C642" s="563"/>
      <c r="D642" s="1997"/>
      <c r="E642" s="1998"/>
      <c r="F642" s="1954"/>
      <c r="G642" s="563"/>
      <c r="H642" s="563"/>
      <c r="I642" s="2000"/>
      <c r="J642" s="563"/>
      <c r="K642" s="384"/>
      <c r="L642" s="1901"/>
      <c r="M642" s="1999"/>
      <c r="N642" s="1999"/>
      <c r="O642" s="1999"/>
      <c r="P642" s="2002"/>
      <c r="Q642" s="2002"/>
      <c r="R642" s="482"/>
      <c r="S642" s="482"/>
      <c r="T642" s="482"/>
      <c r="U642" s="482"/>
      <c r="V642" s="384"/>
      <c r="W642" s="563"/>
      <c r="Y642" s="563"/>
      <c r="AA642" s="384"/>
      <c r="AB642" s="384"/>
      <c r="AC642" s="384"/>
      <c r="AD642" s="384"/>
      <c r="AE642" s="384"/>
      <c r="AF642" s="384"/>
      <c r="AG642" s="384"/>
      <c r="AH642" s="384"/>
      <c r="AI642" s="384"/>
      <c r="AJ642" s="384"/>
      <c r="AK642" s="384"/>
      <c r="AL642" s="384"/>
      <c r="AM642" s="384"/>
    </row>
    <row r="643" spans="1:39" ht="15.75" customHeight="1">
      <c r="A643" s="563"/>
      <c r="B643" s="384"/>
      <c r="C643" s="563"/>
      <c r="D643" s="1997"/>
      <c r="E643" s="1998"/>
      <c r="F643" s="1954"/>
      <c r="G643" s="563"/>
      <c r="H643" s="563"/>
      <c r="I643" s="2000"/>
      <c r="J643" s="563"/>
      <c r="K643" s="384"/>
      <c r="L643" s="1901"/>
      <c r="M643" s="1999"/>
      <c r="N643" s="1999"/>
      <c r="O643" s="1999"/>
      <c r="P643" s="2002"/>
      <c r="Q643" s="2002"/>
      <c r="R643" s="482"/>
      <c r="S643" s="482"/>
      <c r="T643" s="482"/>
      <c r="U643" s="482"/>
      <c r="V643" s="384"/>
      <c r="W643" s="563"/>
      <c r="Y643" s="563"/>
      <c r="AA643" s="384"/>
      <c r="AB643" s="384"/>
      <c r="AC643" s="384"/>
      <c r="AD643" s="384"/>
      <c r="AE643" s="384"/>
      <c r="AF643" s="384"/>
      <c r="AG643" s="384"/>
      <c r="AH643" s="384"/>
      <c r="AI643" s="384"/>
      <c r="AJ643" s="384"/>
      <c r="AK643" s="384"/>
      <c r="AL643" s="384"/>
      <c r="AM643" s="384"/>
    </row>
    <row r="644" spans="1:39" ht="15.75" customHeight="1">
      <c r="A644" s="563"/>
      <c r="B644" s="384"/>
      <c r="C644" s="563"/>
      <c r="D644" s="1997"/>
      <c r="E644" s="1998"/>
      <c r="F644" s="1954"/>
      <c r="G644" s="563"/>
      <c r="H644" s="563"/>
      <c r="I644" s="2000"/>
      <c r="J644" s="563"/>
      <c r="K644" s="384"/>
      <c r="L644" s="1901"/>
      <c r="M644" s="1999"/>
      <c r="N644" s="1999"/>
      <c r="O644" s="1999"/>
      <c r="P644" s="2002"/>
      <c r="Q644" s="2002"/>
      <c r="R644" s="482"/>
      <c r="S644" s="482"/>
      <c r="T644" s="482"/>
      <c r="U644" s="482"/>
      <c r="V644" s="384"/>
      <c r="W644" s="563"/>
      <c r="Y644" s="563"/>
      <c r="AA644" s="384"/>
      <c r="AB644" s="384"/>
      <c r="AC644" s="384"/>
      <c r="AD644" s="384"/>
      <c r="AE644" s="384"/>
      <c r="AF644" s="384"/>
      <c r="AG644" s="384"/>
      <c r="AH644" s="384"/>
      <c r="AI644" s="384"/>
      <c r="AJ644" s="384"/>
      <c r="AK644" s="384"/>
      <c r="AL644" s="384"/>
      <c r="AM644" s="384"/>
    </row>
    <row r="645" spans="1:39" ht="15.75" customHeight="1">
      <c r="A645" s="563"/>
      <c r="B645" s="384"/>
      <c r="C645" s="563"/>
      <c r="D645" s="1997"/>
      <c r="E645" s="1998"/>
      <c r="F645" s="1954"/>
      <c r="G645" s="563"/>
      <c r="H645" s="563"/>
      <c r="I645" s="2000"/>
      <c r="J645" s="563"/>
      <c r="K645" s="384"/>
      <c r="L645" s="1901"/>
      <c r="M645" s="1999"/>
      <c r="N645" s="1999"/>
      <c r="O645" s="1999"/>
      <c r="P645" s="2002"/>
      <c r="Q645" s="2002"/>
      <c r="R645" s="482"/>
      <c r="S645" s="482"/>
      <c r="T645" s="482"/>
      <c r="U645" s="482"/>
      <c r="V645" s="384"/>
      <c r="W645" s="563"/>
      <c r="Y645" s="563"/>
      <c r="AA645" s="384"/>
      <c r="AB645" s="384"/>
      <c r="AC645" s="384"/>
      <c r="AD645" s="384"/>
      <c r="AE645" s="384"/>
      <c r="AF645" s="384"/>
      <c r="AG645" s="384"/>
      <c r="AH645" s="384"/>
      <c r="AI645" s="384"/>
      <c r="AJ645" s="384"/>
      <c r="AK645" s="384"/>
      <c r="AL645" s="384"/>
      <c r="AM645" s="384"/>
    </row>
    <row r="646" spans="1:39" ht="15.75" customHeight="1">
      <c r="A646" s="563"/>
      <c r="B646" s="384"/>
      <c r="C646" s="563"/>
      <c r="D646" s="1997"/>
      <c r="E646" s="1998"/>
      <c r="F646" s="1954"/>
      <c r="G646" s="563"/>
      <c r="H646" s="563"/>
      <c r="I646" s="2000"/>
      <c r="J646" s="563"/>
      <c r="K646" s="384"/>
      <c r="L646" s="1901"/>
      <c r="M646" s="1999"/>
      <c r="N646" s="1999"/>
      <c r="O646" s="1999"/>
      <c r="P646" s="2002"/>
      <c r="Q646" s="2002"/>
      <c r="R646" s="482"/>
      <c r="S646" s="482"/>
      <c r="T646" s="482"/>
      <c r="U646" s="482"/>
      <c r="V646" s="384"/>
      <c r="W646" s="563"/>
      <c r="Y646" s="563"/>
      <c r="AA646" s="384"/>
      <c r="AB646" s="384"/>
      <c r="AC646" s="384"/>
      <c r="AD646" s="384"/>
      <c r="AE646" s="384"/>
      <c r="AF646" s="384"/>
      <c r="AG646" s="384"/>
      <c r="AH646" s="384"/>
      <c r="AI646" s="384"/>
      <c r="AJ646" s="384"/>
      <c r="AK646" s="384"/>
      <c r="AL646" s="384"/>
      <c r="AM646" s="384"/>
    </row>
    <row r="647" spans="1:39" ht="15.75" customHeight="1">
      <c r="A647" s="563"/>
      <c r="B647" s="384"/>
      <c r="C647" s="563"/>
      <c r="D647" s="1997"/>
      <c r="E647" s="1998"/>
      <c r="F647" s="1954"/>
      <c r="G647" s="563"/>
      <c r="H647" s="563"/>
      <c r="I647" s="2000"/>
      <c r="J647" s="563"/>
      <c r="K647" s="384"/>
      <c r="L647" s="1901"/>
      <c r="M647" s="1999"/>
      <c r="N647" s="1999"/>
      <c r="O647" s="1999"/>
      <c r="P647" s="2002"/>
      <c r="Q647" s="2002"/>
      <c r="R647" s="482"/>
      <c r="S647" s="482"/>
      <c r="T647" s="482"/>
      <c r="U647" s="482"/>
      <c r="V647" s="384"/>
      <c r="W647" s="563"/>
      <c r="Y647" s="563"/>
      <c r="AA647" s="384"/>
      <c r="AB647" s="384"/>
      <c r="AC647" s="384"/>
      <c r="AD647" s="384"/>
      <c r="AE647" s="384"/>
      <c r="AF647" s="384"/>
      <c r="AG647" s="384"/>
      <c r="AH647" s="384"/>
      <c r="AI647" s="384"/>
      <c r="AJ647" s="384"/>
      <c r="AK647" s="384"/>
      <c r="AL647" s="384"/>
      <c r="AM647" s="384"/>
    </row>
    <row r="648" spans="1:39" ht="15.75" customHeight="1">
      <c r="A648" s="563"/>
      <c r="B648" s="384"/>
      <c r="C648" s="563"/>
      <c r="D648" s="1997"/>
      <c r="E648" s="1998"/>
      <c r="F648" s="1954"/>
      <c r="G648" s="563"/>
      <c r="H648" s="563"/>
      <c r="I648" s="2000"/>
      <c r="J648" s="563"/>
      <c r="K648" s="384"/>
      <c r="L648" s="1901"/>
      <c r="M648" s="1999"/>
      <c r="N648" s="1999"/>
      <c r="O648" s="1999"/>
      <c r="P648" s="2002"/>
      <c r="Q648" s="2002"/>
      <c r="R648" s="482"/>
      <c r="S648" s="482"/>
      <c r="T648" s="482"/>
      <c r="U648" s="482"/>
      <c r="V648" s="384"/>
      <c r="W648" s="563"/>
      <c r="Y648" s="563"/>
      <c r="AA648" s="384"/>
      <c r="AB648" s="384"/>
      <c r="AC648" s="384"/>
      <c r="AD648" s="384"/>
      <c r="AE648" s="384"/>
      <c r="AF648" s="384"/>
      <c r="AG648" s="384"/>
      <c r="AH648" s="384"/>
      <c r="AI648" s="384"/>
      <c r="AJ648" s="384"/>
      <c r="AK648" s="384"/>
      <c r="AL648" s="384"/>
      <c r="AM648" s="384"/>
    </row>
    <row r="649" spans="1:39" ht="15.75" customHeight="1">
      <c r="A649" s="563"/>
      <c r="B649" s="384"/>
      <c r="C649" s="563"/>
      <c r="D649" s="1997"/>
      <c r="E649" s="1998"/>
      <c r="F649" s="1954"/>
      <c r="G649" s="563"/>
      <c r="H649" s="563"/>
      <c r="I649" s="2000"/>
      <c r="J649" s="563"/>
      <c r="K649" s="384"/>
      <c r="L649" s="1901"/>
      <c r="M649" s="1999"/>
      <c r="N649" s="1999"/>
      <c r="O649" s="1999"/>
      <c r="P649" s="2002"/>
      <c r="Q649" s="2002"/>
      <c r="R649" s="482"/>
      <c r="S649" s="482"/>
      <c r="T649" s="482"/>
      <c r="U649" s="482"/>
      <c r="V649" s="384"/>
      <c r="W649" s="563"/>
      <c r="Y649" s="563"/>
      <c r="AA649" s="384"/>
      <c r="AB649" s="384"/>
      <c r="AC649" s="384"/>
      <c r="AD649" s="384"/>
      <c r="AE649" s="384"/>
      <c r="AF649" s="384"/>
      <c r="AG649" s="384"/>
      <c r="AH649" s="384"/>
      <c r="AI649" s="384"/>
      <c r="AJ649" s="384"/>
      <c r="AK649" s="384"/>
      <c r="AL649" s="384"/>
      <c r="AM649" s="384"/>
    </row>
    <row r="650" spans="1:39" ht="15.75" customHeight="1">
      <c r="A650" s="563"/>
      <c r="B650" s="384"/>
      <c r="C650" s="563"/>
      <c r="D650" s="1997"/>
      <c r="E650" s="1998"/>
      <c r="F650" s="1954"/>
      <c r="G650" s="563"/>
      <c r="H650" s="563"/>
      <c r="I650" s="2000"/>
      <c r="J650" s="563"/>
      <c r="K650" s="384"/>
      <c r="L650" s="1901"/>
      <c r="M650" s="1999"/>
      <c r="N650" s="1999"/>
      <c r="O650" s="1999"/>
      <c r="P650" s="2002"/>
      <c r="Q650" s="2002"/>
      <c r="R650" s="482"/>
      <c r="S650" s="482"/>
      <c r="T650" s="482"/>
      <c r="U650" s="482"/>
      <c r="V650" s="384"/>
      <c r="W650" s="563"/>
      <c r="Y650" s="563"/>
      <c r="AA650" s="384"/>
      <c r="AB650" s="384"/>
      <c r="AC650" s="384"/>
      <c r="AD650" s="384"/>
      <c r="AE650" s="384"/>
      <c r="AF650" s="384"/>
      <c r="AG650" s="384"/>
      <c r="AH650" s="384"/>
      <c r="AI650" s="384"/>
      <c r="AJ650" s="384"/>
      <c r="AK650" s="384"/>
      <c r="AL650" s="384"/>
      <c r="AM650" s="384"/>
    </row>
    <row r="651" spans="1:39" ht="15.75" customHeight="1">
      <c r="A651" s="563"/>
      <c r="B651" s="384"/>
      <c r="C651" s="563"/>
      <c r="D651" s="1997"/>
      <c r="E651" s="1998"/>
      <c r="F651" s="1954"/>
      <c r="G651" s="563"/>
      <c r="H651" s="563"/>
      <c r="I651" s="2000"/>
      <c r="J651" s="563"/>
      <c r="K651" s="384"/>
      <c r="L651" s="1901"/>
      <c r="M651" s="1999"/>
      <c r="N651" s="1999"/>
      <c r="O651" s="1999"/>
      <c r="P651" s="2002"/>
      <c r="Q651" s="2002"/>
      <c r="R651" s="482"/>
      <c r="S651" s="482"/>
      <c r="T651" s="482"/>
      <c r="U651" s="482"/>
      <c r="V651" s="384"/>
      <c r="W651" s="563"/>
      <c r="Y651" s="563"/>
      <c r="AA651" s="384"/>
      <c r="AB651" s="384"/>
      <c r="AC651" s="384"/>
      <c r="AD651" s="384"/>
      <c r="AE651" s="384"/>
      <c r="AF651" s="384"/>
      <c r="AG651" s="384"/>
      <c r="AH651" s="384"/>
      <c r="AI651" s="384"/>
      <c r="AJ651" s="384"/>
      <c r="AK651" s="384"/>
      <c r="AL651" s="384"/>
      <c r="AM651" s="384"/>
    </row>
    <row r="652" spans="1:39" ht="15.75" customHeight="1">
      <c r="A652" s="563"/>
      <c r="B652" s="384"/>
      <c r="C652" s="563"/>
      <c r="D652" s="1997"/>
      <c r="E652" s="1998"/>
      <c r="F652" s="1954"/>
      <c r="G652" s="563"/>
      <c r="H652" s="563"/>
      <c r="I652" s="2000"/>
      <c r="J652" s="563"/>
      <c r="K652" s="384"/>
      <c r="L652" s="1901"/>
      <c r="M652" s="1999"/>
      <c r="N652" s="1999"/>
      <c r="O652" s="1999"/>
      <c r="P652" s="2002"/>
      <c r="Q652" s="2002"/>
      <c r="R652" s="482"/>
      <c r="S652" s="482"/>
      <c r="T652" s="482"/>
      <c r="U652" s="482"/>
      <c r="V652" s="384"/>
      <c r="W652" s="563"/>
      <c r="Y652" s="563"/>
      <c r="AA652" s="384"/>
      <c r="AB652" s="384"/>
      <c r="AC652" s="384"/>
      <c r="AD652" s="384"/>
      <c r="AE652" s="384"/>
      <c r="AF652" s="384"/>
      <c r="AG652" s="384"/>
      <c r="AH652" s="384"/>
      <c r="AI652" s="384"/>
      <c r="AJ652" s="384"/>
      <c r="AK652" s="384"/>
      <c r="AL652" s="384"/>
      <c r="AM652" s="384"/>
    </row>
    <row r="653" spans="1:39" ht="15.75" customHeight="1">
      <c r="A653" s="563"/>
      <c r="B653" s="384"/>
      <c r="C653" s="563"/>
      <c r="D653" s="1997"/>
      <c r="E653" s="1998"/>
      <c r="F653" s="1954"/>
      <c r="G653" s="563"/>
      <c r="H653" s="563"/>
      <c r="I653" s="2000"/>
      <c r="J653" s="563"/>
      <c r="K653" s="384"/>
      <c r="L653" s="1901"/>
      <c r="M653" s="1999"/>
      <c r="N653" s="1999"/>
      <c r="O653" s="1999"/>
      <c r="P653" s="2002"/>
      <c r="Q653" s="2002"/>
      <c r="R653" s="482"/>
      <c r="S653" s="482"/>
      <c r="T653" s="482"/>
      <c r="U653" s="482"/>
      <c r="V653" s="384"/>
      <c r="W653" s="563"/>
      <c r="Y653" s="563"/>
      <c r="AA653" s="384"/>
      <c r="AB653" s="384"/>
      <c r="AC653" s="384"/>
      <c r="AD653" s="384"/>
      <c r="AE653" s="384"/>
      <c r="AF653" s="384"/>
      <c r="AG653" s="384"/>
      <c r="AH653" s="384"/>
      <c r="AI653" s="384"/>
      <c r="AJ653" s="384"/>
      <c r="AK653" s="384"/>
      <c r="AL653" s="384"/>
      <c r="AM653" s="384"/>
    </row>
    <row r="654" spans="1:39" ht="15.75" customHeight="1">
      <c r="A654" s="563"/>
      <c r="B654" s="384"/>
      <c r="C654" s="563"/>
      <c r="D654" s="1997"/>
      <c r="E654" s="1998"/>
      <c r="F654" s="1954"/>
      <c r="G654" s="563"/>
      <c r="H654" s="563"/>
      <c r="I654" s="2000"/>
      <c r="J654" s="563"/>
      <c r="K654" s="384"/>
      <c r="L654" s="1901"/>
      <c r="M654" s="1999"/>
      <c r="N654" s="1999"/>
      <c r="O654" s="1999"/>
      <c r="P654" s="2002"/>
      <c r="Q654" s="2002"/>
      <c r="R654" s="482"/>
      <c r="S654" s="482"/>
      <c r="T654" s="482"/>
      <c r="U654" s="482"/>
      <c r="V654" s="384"/>
      <c r="W654" s="563"/>
      <c r="Y654" s="563"/>
      <c r="AA654" s="384"/>
      <c r="AB654" s="384"/>
      <c r="AC654" s="384"/>
      <c r="AD654" s="384"/>
      <c r="AE654" s="384"/>
      <c r="AF654" s="384"/>
      <c r="AG654" s="384"/>
      <c r="AH654" s="384"/>
      <c r="AI654" s="384"/>
      <c r="AJ654" s="384"/>
      <c r="AK654" s="384"/>
      <c r="AL654" s="384"/>
      <c r="AM654" s="384"/>
    </row>
    <row r="655" spans="1:39" ht="15.75" customHeight="1">
      <c r="A655" s="563"/>
      <c r="B655" s="384"/>
      <c r="C655" s="563"/>
      <c r="D655" s="1997"/>
      <c r="E655" s="1998"/>
      <c r="F655" s="1954"/>
      <c r="G655" s="563"/>
      <c r="H655" s="563"/>
      <c r="I655" s="2000"/>
      <c r="J655" s="563"/>
      <c r="K655" s="384"/>
      <c r="L655" s="1901"/>
      <c r="M655" s="1999"/>
      <c r="N655" s="1999"/>
      <c r="O655" s="1999"/>
      <c r="P655" s="2002"/>
      <c r="Q655" s="2002"/>
      <c r="R655" s="482"/>
      <c r="S655" s="482"/>
      <c r="T655" s="482"/>
      <c r="U655" s="482"/>
      <c r="V655" s="384"/>
      <c r="W655" s="563"/>
      <c r="Y655" s="563"/>
      <c r="AA655" s="384"/>
      <c r="AB655" s="384"/>
      <c r="AC655" s="384"/>
      <c r="AD655" s="384"/>
      <c r="AE655" s="384"/>
      <c r="AF655" s="384"/>
      <c r="AG655" s="384"/>
      <c r="AH655" s="384"/>
      <c r="AI655" s="384"/>
      <c r="AJ655" s="384"/>
      <c r="AK655" s="384"/>
      <c r="AL655" s="384"/>
      <c r="AM655" s="384"/>
    </row>
    <row r="656" spans="1:39" ht="15.75" customHeight="1">
      <c r="A656" s="563"/>
      <c r="B656" s="384"/>
      <c r="C656" s="563"/>
      <c r="D656" s="1997"/>
      <c r="E656" s="1998"/>
      <c r="F656" s="1954"/>
      <c r="G656" s="563"/>
      <c r="H656" s="563"/>
      <c r="I656" s="2000"/>
      <c r="J656" s="563"/>
      <c r="K656" s="384"/>
      <c r="L656" s="1901"/>
      <c r="M656" s="1999"/>
      <c r="N656" s="1999"/>
      <c r="O656" s="1999"/>
      <c r="P656" s="2002"/>
      <c r="Q656" s="2002"/>
      <c r="R656" s="482"/>
      <c r="S656" s="482"/>
      <c r="T656" s="482"/>
      <c r="U656" s="482"/>
      <c r="V656" s="384"/>
      <c r="W656" s="563"/>
      <c r="Y656" s="563"/>
      <c r="AA656" s="384"/>
      <c r="AB656" s="384"/>
      <c r="AC656" s="384"/>
      <c r="AD656" s="384"/>
      <c r="AE656" s="384"/>
      <c r="AF656" s="384"/>
      <c r="AG656" s="384"/>
      <c r="AH656" s="384"/>
      <c r="AI656" s="384"/>
      <c r="AJ656" s="384"/>
      <c r="AK656" s="384"/>
      <c r="AL656" s="384"/>
      <c r="AM656" s="384"/>
    </row>
    <row r="657" spans="1:39" ht="15.75" customHeight="1">
      <c r="A657" s="563"/>
      <c r="B657" s="384"/>
      <c r="C657" s="563"/>
      <c r="D657" s="1997"/>
      <c r="E657" s="1998"/>
      <c r="F657" s="1954"/>
      <c r="G657" s="563"/>
      <c r="H657" s="563"/>
      <c r="I657" s="2000"/>
      <c r="J657" s="563"/>
      <c r="K657" s="384"/>
      <c r="L657" s="1901"/>
      <c r="M657" s="1999"/>
      <c r="N657" s="1999"/>
      <c r="O657" s="1999"/>
      <c r="P657" s="2002"/>
      <c r="Q657" s="2002"/>
      <c r="R657" s="482"/>
      <c r="S657" s="482"/>
      <c r="T657" s="482"/>
      <c r="U657" s="482"/>
      <c r="V657" s="384"/>
      <c r="W657" s="563"/>
      <c r="Y657" s="563"/>
      <c r="AA657" s="384"/>
      <c r="AB657" s="384"/>
      <c r="AC657" s="384"/>
      <c r="AD657" s="384"/>
      <c r="AE657" s="384"/>
      <c r="AF657" s="384"/>
      <c r="AG657" s="384"/>
      <c r="AH657" s="384"/>
      <c r="AI657" s="384"/>
      <c r="AJ657" s="384"/>
      <c r="AK657" s="384"/>
      <c r="AL657" s="384"/>
      <c r="AM657" s="384"/>
    </row>
    <row r="658" spans="1:39" ht="15.75" customHeight="1">
      <c r="A658" s="563"/>
      <c r="B658" s="384"/>
      <c r="C658" s="563"/>
      <c r="D658" s="1997"/>
      <c r="E658" s="1998"/>
      <c r="F658" s="1954"/>
      <c r="G658" s="563"/>
      <c r="H658" s="563"/>
      <c r="I658" s="2000"/>
      <c r="J658" s="563"/>
      <c r="K658" s="384"/>
      <c r="L658" s="1901"/>
      <c r="M658" s="1999"/>
      <c r="N658" s="1999"/>
      <c r="O658" s="1999"/>
      <c r="P658" s="2002"/>
      <c r="Q658" s="2002"/>
      <c r="R658" s="482"/>
      <c r="S658" s="482"/>
      <c r="T658" s="482"/>
      <c r="U658" s="482"/>
      <c r="V658" s="384"/>
      <c r="W658" s="563"/>
      <c r="Y658" s="563"/>
      <c r="AA658" s="384"/>
      <c r="AB658" s="384"/>
      <c r="AC658" s="384"/>
      <c r="AD658" s="384"/>
      <c r="AE658" s="384"/>
      <c r="AF658" s="384"/>
      <c r="AG658" s="384"/>
      <c r="AH658" s="384"/>
      <c r="AI658" s="384"/>
      <c r="AJ658" s="384"/>
      <c r="AK658" s="384"/>
      <c r="AL658" s="384"/>
      <c r="AM658" s="384"/>
    </row>
    <row r="659" spans="1:39" ht="15.75" customHeight="1">
      <c r="A659" s="563"/>
      <c r="B659" s="384"/>
      <c r="C659" s="563"/>
      <c r="D659" s="1997"/>
      <c r="E659" s="1998"/>
      <c r="F659" s="1954"/>
      <c r="G659" s="563"/>
      <c r="H659" s="563"/>
      <c r="I659" s="2000"/>
      <c r="J659" s="563"/>
      <c r="K659" s="384"/>
      <c r="L659" s="1901"/>
      <c r="M659" s="1999"/>
      <c r="N659" s="1999"/>
      <c r="O659" s="1999"/>
      <c r="P659" s="2002"/>
      <c r="Q659" s="2002"/>
      <c r="R659" s="482"/>
      <c r="S659" s="482"/>
      <c r="T659" s="482"/>
      <c r="U659" s="482"/>
      <c r="V659" s="384"/>
      <c r="W659" s="563"/>
      <c r="Y659" s="563"/>
      <c r="AA659" s="384"/>
      <c r="AB659" s="384"/>
      <c r="AC659" s="384"/>
      <c r="AD659" s="384"/>
      <c r="AE659" s="384"/>
      <c r="AF659" s="384"/>
      <c r="AG659" s="384"/>
      <c r="AH659" s="384"/>
      <c r="AI659" s="384"/>
      <c r="AJ659" s="384"/>
      <c r="AK659" s="384"/>
      <c r="AL659" s="384"/>
      <c r="AM659" s="384"/>
    </row>
    <row r="660" spans="1:39" ht="15.75" customHeight="1">
      <c r="A660" s="563"/>
      <c r="B660" s="384"/>
      <c r="C660" s="563"/>
      <c r="D660" s="1997"/>
      <c r="E660" s="1998"/>
      <c r="F660" s="1954"/>
      <c r="G660" s="563"/>
      <c r="H660" s="563"/>
      <c r="I660" s="2000"/>
      <c r="J660" s="563"/>
      <c r="K660" s="384"/>
      <c r="L660" s="1901"/>
      <c r="M660" s="1999"/>
      <c r="N660" s="1999"/>
      <c r="O660" s="1999"/>
      <c r="P660" s="2002"/>
      <c r="Q660" s="2002"/>
      <c r="R660" s="482"/>
      <c r="S660" s="482"/>
      <c r="T660" s="482"/>
      <c r="U660" s="482"/>
      <c r="V660" s="384"/>
      <c r="W660" s="563"/>
      <c r="Y660" s="563"/>
      <c r="AA660" s="384"/>
      <c r="AB660" s="384"/>
      <c r="AC660" s="384"/>
      <c r="AD660" s="384"/>
      <c r="AE660" s="384"/>
      <c r="AF660" s="384"/>
      <c r="AG660" s="384"/>
      <c r="AH660" s="384"/>
      <c r="AI660" s="384"/>
      <c r="AJ660" s="384"/>
      <c r="AK660" s="384"/>
      <c r="AL660" s="384"/>
      <c r="AM660" s="384"/>
    </row>
    <row r="661" spans="1:39" ht="15.75" customHeight="1">
      <c r="A661" s="563"/>
      <c r="B661" s="384"/>
      <c r="C661" s="563"/>
      <c r="D661" s="1997"/>
      <c r="E661" s="1998"/>
      <c r="F661" s="1954"/>
      <c r="G661" s="563"/>
      <c r="H661" s="563"/>
      <c r="I661" s="2000"/>
      <c r="J661" s="563"/>
      <c r="K661" s="384"/>
      <c r="L661" s="1901"/>
      <c r="M661" s="1999"/>
      <c r="N661" s="1999"/>
      <c r="O661" s="1999"/>
      <c r="P661" s="2002"/>
      <c r="Q661" s="2002"/>
      <c r="R661" s="482"/>
      <c r="S661" s="482"/>
      <c r="T661" s="482"/>
      <c r="U661" s="482"/>
      <c r="V661" s="384"/>
      <c r="W661" s="563"/>
      <c r="Y661" s="563"/>
      <c r="AA661" s="384"/>
      <c r="AB661" s="384"/>
      <c r="AC661" s="384"/>
      <c r="AD661" s="384"/>
      <c r="AE661" s="384"/>
      <c r="AF661" s="384"/>
      <c r="AG661" s="384"/>
      <c r="AH661" s="384"/>
      <c r="AI661" s="384"/>
      <c r="AJ661" s="384"/>
      <c r="AK661" s="384"/>
      <c r="AL661" s="384"/>
      <c r="AM661" s="384"/>
    </row>
    <row r="662" spans="1:39" ht="15.75" customHeight="1">
      <c r="A662" s="563"/>
      <c r="B662" s="384"/>
      <c r="C662" s="563"/>
      <c r="D662" s="1997"/>
      <c r="E662" s="1998"/>
      <c r="F662" s="1954"/>
      <c r="G662" s="563"/>
      <c r="H662" s="563"/>
      <c r="I662" s="2000"/>
      <c r="J662" s="563"/>
      <c r="K662" s="384"/>
      <c r="L662" s="1901"/>
      <c r="M662" s="1999"/>
      <c r="N662" s="1999"/>
      <c r="O662" s="1999"/>
      <c r="P662" s="2002"/>
      <c r="Q662" s="2002"/>
      <c r="R662" s="482"/>
      <c r="S662" s="482"/>
      <c r="T662" s="482"/>
      <c r="U662" s="482"/>
      <c r="V662" s="384"/>
      <c r="W662" s="563"/>
      <c r="Y662" s="563"/>
      <c r="AA662" s="384"/>
      <c r="AB662" s="384"/>
      <c r="AC662" s="384"/>
      <c r="AD662" s="384"/>
      <c r="AE662" s="384"/>
      <c r="AF662" s="384"/>
      <c r="AG662" s="384"/>
      <c r="AH662" s="384"/>
      <c r="AI662" s="384"/>
      <c r="AJ662" s="384"/>
      <c r="AK662" s="384"/>
      <c r="AL662" s="384"/>
      <c r="AM662" s="384"/>
    </row>
    <row r="663" spans="1:39" ht="15.75" customHeight="1">
      <c r="A663" s="563"/>
      <c r="B663" s="384"/>
      <c r="C663" s="563"/>
      <c r="D663" s="1997"/>
      <c r="E663" s="1998"/>
      <c r="F663" s="1954"/>
      <c r="G663" s="563"/>
      <c r="H663" s="563"/>
      <c r="I663" s="2000"/>
      <c r="J663" s="563"/>
      <c r="K663" s="384"/>
      <c r="L663" s="1901"/>
      <c r="M663" s="1999"/>
      <c r="N663" s="1999"/>
      <c r="O663" s="1999"/>
      <c r="P663" s="2002"/>
      <c r="Q663" s="2002"/>
      <c r="R663" s="482"/>
      <c r="S663" s="482"/>
      <c r="T663" s="482"/>
      <c r="U663" s="482"/>
      <c r="V663" s="384"/>
      <c r="W663" s="563"/>
      <c r="Y663" s="563"/>
      <c r="AA663" s="384"/>
      <c r="AB663" s="384"/>
      <c r="AC663" s="384"/>
      <c r="AD663" s="384"/>
      <c r="AE663" s="384"/>
      <c r="AF663" s="384"/>
      <c r="AG663" s="384"/>
      <c r="AH663" s="384"/>
      <c r="AI663" s="384"/>
      <c r="AJ663" s="384"/>
      <c r="AK663" s="384"/>
      <c r="AL663" s="384"/>
      <c r="AM663" s="384"/>
    </row>
    <row r="664" spans="1:39" ht="15.75" customHeight="1">
      <c r="A664" s="563"/>
      <c r="B664" s="384"/>
      <c r="C664" s="563"/>
      <c r="D664" s="1997"/>
      <c r="E664" s="1998"/>
      <c r="F664" s="1954"/>
      <c r="G664" s="563"/>
      <c r="H664" s="563"/>
      <c r="I664" s="2000"/>
      <c r="J664" s="563"/>
      <c r="K664" s="384"/>
      <c r="L664" s="1901"/>
      <c r="M664" s="1999"/>
      <c r="N664" s="1999"/>
      <c r="O664" s="1999"/>
      <c r="P664" s="2002"/>
      <c r="Q664" s="2002"/>
      <c r="R664" s="482"/>
      <c r="S664" s="482"/>
      <c r="T664" s="482"/>
      <c r="U664" s="482"/>
      <c r="V664" s="384"/>
      <c r="W664" s="563"/>
      <c r="Y664" s="563"/>
      <c r="AA664" s="384"/>
      <c r="AB664" s="384"/>
      <c r="AC664" s="384"/>
      <c r="AD664" s="384"/>
      <c r="AE664" s="384"/>
      <c r="AF664" s="384"/>
      <c r="AG664" s="384"/>
      <c r="AH664" s="384"/>
      <c r="AI664" s="384"/>
      <c r="AJ664" s="384"/>
      <c r="AK664" s="384"/>
      <c r="AL664" s="384"/>
      <c r="AM664" s="384"/>
    </row>
    <row r="665" spans="1:39" ht="15.75" customHeight="1">
      <c r="A665" s="563"/>
      <c r="B665" s="384"/>
      <c r="C665" s="563"/>
      <c r="D665" s="1997"/>
      <c r="E665" s="1998"/>
      <c r="F665" s="1954"/>
      <c r="G665" s="563"/>
      <c r="H665" s="563"/>
      <c r="I665" s="2000"/>
      <c r="J665" s="563"/>
      <c r="K665" s="384"/>
      <c r="L665" s="1901"/>
      <c r="M665" s="1999"/>
      <c r="N665" s="1999"/>
      <c r="O665" s="1999"/>
      <c r="P665" s="2002"/>
      <c r="Q665" s="2002"/>
      <c r="R665" s="482"/>
      <c r="S665" s="482"/>
      <c r="T665" s="482"/>
      <c r="U665" s="482"/>
      <c r="V665" s="384"/>
      <c r="W665" s="563"/>
      <c r="Y665" s="563"/>
      <c r="AA665" s="384"/>
      <c r="AB665" s="384"/>
      <c r="AC665" s="384"/>
      <c r="AD665" s="384"/>
      <c r="AE665" s="384"/>
      <c r="AF665" s="384"/>
      <c r="AG665" s="384"/>
      <c r="AH665" s="384"/>
      <c r="AI665" s="384"/>
      <c r="AJ665" s="384"/>
      <c r="AK665" s="384"/>
      <c r="AL665" s="384"/>
      <c r="AM665" s="384"/>
    </row>
    <row r="666" spans="1:39" ht="15.75" customHeight="1">
      <c r="A666" s="563"/>
      <c r="B666" s="384"/>
      <c r="C666" s="563"/>
      <c r="D666" s="1997"/>
      <c r="E666" s="1998"/>
      <c r="F666" s="1954"/>
      <c r="G666" s="563"/>
      <c r="H666" s="563"/>
      <c r="I666" s="2000"/>
      <c r="J666" s="563"/>
      <c r="K666" s="384"/>
      <c r="L666" s="1901"/>
      <c r="M666" s="1999"/>
      <c r="N666" s="1999"/>
      <c r="O666" s="1999"/>
      <c r="P666" s="2002"/>
      <c r="Q666" s="2002"/>
      <c r="R666" s="482"/>
      <c r="S666" s="482"/>
      <c r="T666" s="482"/>
      <c r="U666" s="482"/>
      <c r="V666" s="384"/>
      <c r="W666" s="563"/>
      <c r="Y666" s="563"/>
      <c r="AA666" s="384"/>
      <c r="AB666" s="384"/>
      <c r="AC666" s="384"/>
      <c r="AD666" s="384"/>
      <c r="AE666" s="384"/>
      <c r="AF666" s="384"/>
      <c r="AG666" s="384"/>
      <c r="AH666" s="384"/>
      <c r="AI666" s="384"/>
      <c r="AJ666" s="384"/>
      <c r="AK666" s="384"/>
      <c r="AL666" s="384"/>
      <c r="AM666" s="384"/>
    </row>
    <row r="667" spans="1:39" ht="15.75" customHeight="1">
      <c r="A667" s="563"/>
      <c r="B667" s="384"/>
      <c r="C667" s="563"/>
      <c r="D667" s="1997"/>
      <c r="E667" s="1998"/>
      <c r="F667" s="1954"/>
      <c r="G667" s="563"/>
      <c r="H667" s="563"/>
      <c r="I667" s="2000"/>
      <c r="J667" s="563"/>
      <c r="K667" s="384"/>
      <c r="L667" s="1901"/>
      <c r="M667" s="1999"/>
      <c r="N667" s="1999"/>
      <c r="O667" s="1999"/>
      <c r="P667" s="2002"/>
      <c r="Q667" s="2002"/>
      <c r="R667" s="482"/>
      <c r="S667" s="482"/>
      <c r="T667" s="482"/>
      <c r="U667" s="482"/>
      <c r="V667" s="384"/>
      <c r="W667" s="563"/>
      <c r="Y667" s="563"/>
      <c r="AA667" s="384"/>
      <c r="AB667" s="384"/>
      <c r="AC667" s="384"/>
      <c r="AD667" s="384"/>
      <c r="AE667" s="384"/>
      <c r="AF667" s="384"/>
      <c r="AG667" s="384"/>
      <c r="AH667" s="384"/>
      <c r="AI667" s="384"/>
      <c r="AJ667" s="384"/>
      <c r="AK667" s="384"/>
      <c r="AL667" s="384"/>
      <c r="AM667" s="384"/>
    </row>
    <row r="668" spans="1:39" ht="15.75" customHeight="1">
      <c r="A668" s="563"/>
      <c r="B668" s="384"/>
      <c r="C668" s="563"/>
      <c r="D668" s="1997"/>
      <c r="E668" s="1998"/>
      <c r="F668" s="1954"/>
      <c r="G668" s="563"/>
      <c r="H668" s="563"/>
      <c r="I668" s="2000"/>
      <c r="J668" s="563"/>
      <c r="K668" s="384"/>
      <c r="L668" s="1901"/>
      <c r="M668" s="1999"/>
      <c r="N668" s="1999"/>
      <c r="O668" s="1999"/>
      <c r="P668" s="2002"/>
      <c r="Q668" s="2002"/>
      <c r="R668" s="482"/>
      <c r="S668" s="482"/>
      <c r="T668" s="482"/>
      <c r="U668" s="482"/>
      <c r="V668" s="384"/>
      <c r="W668" s="563"/>
      <c r="Y668" s="563"/>
      <c r="AA668" s="384"/>
      <c r="AB668" s="384"/>
      <c r="AC668" s="384"/>
      <c r="AD668" s="384"/>
      <c r="AE668" s="384"/>
      <c r="AF668" s="384"/>
      <c r="AG668" s="384"/>
      <c r="AH668" s="384"/>
      <c r="AI668" s="384"/>
      <c r="AJ668" s="384"/>
      <c r="AK668" s="384"/>
      <c r="AL668" s="384"/>
      <c r="AM668" s="384"/>
    </row>
    <row r="669" spans="1:39" ht="15.75" customHeight="1">
      <c r="A669" s="563"/>
      <c r="B669" s="384"/>
      <c r="C669" s="563"/>
      <c r="D669" s="1997"/>
      <c r="E669" s="1998"/>
      <c r="F669" s="1954"/>
      <c r="G669" s="563"/>
      <c r="H669" s="563"/>
      <c r="I669" s="2000"/>
      <c r="J669" s="563"/>
      <c r="K669" s="384"/>
      <c r="L669" s="1901"/>
      <c r="M669" s="1999"/>
      <c r="N669" s="1999"/>
      <c r="O669" s="1999"/>
      <c r="P669" s="2002"/>
      <c r="Q669" s="2002"/>
      <c r="R669" s="482"/>
      <c r="S669" s="482"/>
      <c r="T669" s="482"/>
      <c r="U669" s="482"/>
      <c r="V669" s="384"/>
      <c r="W669" s="563"/>
      <c r="Y669" s="563"/>
      <c r="AA669" s="384"/>
      <c r="AB669" s="384"/>
      <c r="AC669" s="384"/>
      <c r="AD669" s="384"/>
      <c r="AE669" s="384"/>
      <c r="AF669" s="384"/>
      <c r="AG669" s="384"/>
      <c r="AH669" s="384"/>
      <c r="AI669" s="384"/>
      <c r="AJ669" s="384"/>
      <c r="AK669" s="384"/>
      <c r="AL669" s="384"/>
      <c r="AM669" s="384"/>
    </row>
    <row r="670" spans="1:39" ht="15.75" customHeight="1">
      <c r="A670" s="563"/>
      <c r="B670" s="384"/>
      <c r="C670" s="563"/>
      <c r="D670" s="1997"/>
      <c r="E670" s="1998"/>
      <c r="F670" s="1954"/>
      <c r="G670" s="563"/>
      <c r="H670" s="563"/>
      <c r="I670" s="2000"/>
      <c r="J670" s="563"/>
      <c r="K670" s="384"/>
      <c r="L670" s="1901"/>
      <c r="M670" s="1999"/>
      <c r="N670" s="1999"/>
      <c r="O670" s="1999"/>
      <c r="P670" s="2002"/>
      <c r="Q670" s="2002"/>
      <c r="R670" s="482"/>
      <c r="S670" s="482"/>
      <c r="T670" s="482"/>
      <c r="U670" s="482"/>
      <c r="V670" s="384"/>
      <c r="W670" s="563"/>
      <c r="Y670" s="563"/>
      <c r="AA670" s="384"/>
      <c r="AB670" s="384"/>
      <c r="AC670" s="384"/>
      <c r="AD670" s="384"/>
      <c r="AE670" s="384"/>
      <c r="AF670" s="384"/>
      <c r="AG670" s="384"/>
      <c r="AH670" s="384"/>
      <c r="AI670" s="384"/>
      <c r="AJ670" s="384"/>
      <c r="AK670" s="384"/>
      <c r="AL670" s="384"/>
      <c r="AM670" s="384"/>
    </row>
    <row r="671" spans="1:39" ht="15.75" customHeight="1">
      <c r="A671" s="563"/>
      <c r="B671" s="384"/>
      <c r="C671" s="563"/>
      <c r="D671" s="1997"/>
      <c r="E671" s="1998"/>
      <c r="F671" s="1954"/>
      <c r="G671" s="563"/>
      <c r="H671" s="563"/>
      <c r="I671" s="2000"/>
      <c r="J671" s="563"/>
      <c r="K671" s="384"/>
      <c r="L671" s="1901"/>
      <c r="M671" s="1999"/>
      <c r="N671" s="1999"/>
      <c r="O671" s="1999"/>
      <c r="P671" s="2002"/>
      <c r="Q671" s="2002"/>
      <c r="R671" s="482"/>
      <c r="S671" s="482"/>
      <c r="T671" s="482"/>
      <c r="U671" s="482"/>
      <c r="V671" s="384"/>
      <c r="W671" s="563"/>
      <c r="Y671" s="563"/>
      <c r="AA671" s="384"/>
      <c r="AB671" s="384"/>
      <c r="AC671" s="384"/>
      <c r="AD671" s="384"/>
      <c r="AE671" s="384"/>
      <c r="AF671" s="384"/>
      <c r="AG671" s="384"/>
      <c r="AH671" s="384"/>
      <c r="AI671" s="384"/>
      <c r="AJ671" s="384"/>
      <c r="AK671" s="384"/>
      <c r="AL671" s="384"/>
      <c r="AM671" s="384"/>
    </row>
    <row r="672" spans="1:39" ht="15.75" customHeight="1">
      <c r="A672" s="563"/>
      <c r="B672" s="384"/>
      <c r="C672" s="563"/>
      <c r="D672" s="1997"/>
      <c r="E672" s="1998"/>
      <c r="F672" s="1954"/>
      <c r="G672" s="563"/>
      <c r="H672" s="563"/>
      <c r="I672" s="2000"/>
      <c r="J672" s="563"/>
      <c r="K672" s="384"/>
      <c r="L672" s="1901"/>
      <c r="M672" s="1999"/>
      <c r="N672" s="1999"/>
      <c r="O672" s="1999"/>
      <c r="P672" s="2002"/>
      <c r="Q672" s="2002"/>
      <c r="R672" s="482"/>
      <c r="S672" s="482"/>
      <c r="T672" s="482"/>
      <c r="U672" s="482"/>
      <c r="V672" s="384"/>
      <c r="W672" s="563"/>
      <c r="Y672" s="563"/>
      <c r="AA672" s="384"/>
      <c r="AB672" s="384"/>
      <c r="AC672" s="384"/>
      <c r="AD672" s="384"/>
      <c r="AE672" s="384"/>
      <c r="AF672" s="384"/>
      <c r="AG672" s="384"/>
      <c r="AH672" s="384"/>
      <c r="AI672" s="384"/>
      <c r="AJ672" s="384"/>
      <c r="AK672" s="384"/>
      <c r="AL672" s="384"/>
      <c r="AM672" s="384"/>
    </row>
    <row r="673" spans="1:39" ht="15.75" customHeight="1">
      <c r="A673" s="563"/>
      <c r="B673" s="384"/>
      <c r="C673" s="563"/>
      <c r="D673" s="1997"/>
      <c r="E673" s="1998"/>
      <c r="F673" s="1954"/>
      <c r="G673" s="563"/>
      <c r="H673" s="563"/>
      <c r="I673" s="2000"/>
      <c r="J673" s="563"/>
      <c r="K673" s="384"/>
      <c r="L673" s="1901"/>
      <c r="M673" s="1999"/>
      <c r="N673" s="1999"/>
      <c r="O673" s="1999"/>
      <c r="P673" s="2002"/>
      <c r="Q673" s="2002"/>
      <c r="R673" s="482"/>
      <c r="S673" s="482"/>
      <c r="T673" s="482"/>
      <c r="U673" s="482"/>
      <c r="V673" s="384"/>
      <c r="W673" s="563"/>
      <c r="Y673" s="563"/>
      <c r="AA673" s="384"/>
      <c r="AB673" s="384"/>
      <c r="AC673" s="384"/>
      <c r="AD673" s="384"/>
      <c r="AE673" s="384"/>
      <c r="AF673" s="384"/>
      <c r="AG673" s="384"/>
      <c r="AH673" s="384"/>
      <c r="AI673" s="384"/>
      <c r="AJ673" s="384"/>
      <c r="AK673" s="384"/>
      <c r="AL673" s="384"/>
      <c r="AM673" s="384"/>
    </row>
    <row r="674" spans="1:39" ht="15.75" customHeight="1">
      <c r="A674" s="563"/>
      <c r="B674" s="384"/>
      <c r="C674" s="563"/>
      <c r="D674" s="1997"/>
      <c r="E674" s="1998"/>
      <c r="F674" s="1954"/>
      <c r="G674" s="563"/>
      <c r="H674" s="563"/>
      <c r="I674" s="2000"/>
      <c r="J674" s="563"/>
      <c r="K674" s="384"/>
      <c r="L674" s="1901"/>
      <c r="M674" s="1999"/>
      <c r="N674" s="1999"/>
      <c r="O674" s="1999"/>
      <c r="P674" s="2002"/>
      <c r="Q674" s="2002"/>
      <c r="R674" s="482"/>
      <c r="S674" s="482"/>
      <c r="T674" s="482"/>
      <c r="U674" s="482"/>
      <c r="V674" s="384"/>
      <c r="W674" s="563"/>
      <c r="Y674" s="563"/>
      <c r="AA674" s="384"/>
      <c r="AB674" s="384"/>
      <c r="AC674" s="384"/>
      <c r="AD674" s="384"/>
      <c r="AE674" s="384"/>
      <c r="AF674" s="384"/>
      <c r="AG674" s="384"/>
      <c r="AH674" s="384"/>
      <c r="AI674" s="384"/>
      <c r="AJ674" s="384"/>
      <c r="AK674" s="384"/>
      <c r="AL674" s="384"/>
      <c r="AM674" s="384"/>
    </row>
    <row r="675" spans="1:39" ht="15.75" customHeight="1">
      <c r="A675" s="563"/>
      <c r="B675" s="384"/>
      <c r="C675" s="563"/>
      <c r="D675" s="1997"/>
      <c r="E675" s="1998"/>
      <c r="F675" s="1954"/>
      <c r="G675" s="563"/>
      <c r="H675" s="563"/>
      <c r="I675" s="2000"/>
      <c r="J675" s="563"/>
      <c r="K675" s="384"/>
      <c r="L675" s="1901"/>
      <c r="M675" s="1999"/>
      <c r="N675" s="1999"/>
      <c r="O675" s="1999"/>
      <c r="P675" s="2002"/>
      <c r="Q675" s="2002"/>
      <c r="R675" s="482"/>
      <c r="S675" s="482"/>
      <c r="T675" s="482"/>
      <c r="U675" s="482"/>
      <c r="V675" s="384"/>
      <c r="W675" s="563"/>
      <c r="Y675" s="563"/>
      <c r="AA675" s="384"/>
      <c r="AB675" s="384"/>
      <c r="AC675" s="384"/>
      <c r="AD675" s="384"/>
      <c r="AE675" s="384"/>
      <c r="AF675" s="384"/>
      <c r="AG675" s="384"/>
      <c r="AH675" s="384"/>
      <c r="AI675" s="384"/>
      <c r="AJ675" s="384"/>
      <c r="AK675" s="384"/>
      <c r="AL675" s="384"/>
      <c r="AM675" s="384"/>
    </row>
    <row r="676" spans="1:39" ht="15.75" customHeight="1">
      <c r="A676" s="563"/>
      <c r="B676" s="384"/>
      <c r="C676" s="563"/>
      <c r="D676" s="1997"/>
      <c r="E676" s="1998"/>
      <c r="F676" s="1954"/>
      <c r="G676" s="563"/>
      <c r="H676" s="563"/>
      <c r="I676" s="2000"/>
      <c r="J676" s="563"/>
      <c r="K676" s="384"/>
      <c r="L676" s="1901"/>
      <c r="M676" s="1999"/>
      <c r="N676" s="1999"/>
      <c r="O676" s="1999"/>
      <c r="P676" s="2002"/>
      <c r="Q676" s="2002"/>
      <c r="R676" s="482"/>
      <c r="S676" s="482"/>
      <c r="T676" s="482"/>
      <c r="U676" s="482"/>
      <c r="V676" s="384"/>
      <c r="W676" s="563"/>
      <c r="Y676" s="563"/>
      <c r="AA676" s="384"/>
      <c r="AB676" s="384"/>
      <c r="AC676" s="384"/>
      <c r="AD676" s="384"/>
      <c r="AE676" s="384"/>
      <c r="AF676" s="384"/>
      <c r="AG676" s="384"/>
      <c r="AH676" s="384"/>
      <c r="AI676" s="384"/>
      <c r="AJ676" s="384"/>
      <c r="AK676" s="384"/>
      <c r="AL676" s="384"/>
      <c r="AM676" s="384"/>
    </row>
    <row r="677" spans="1:39" ht="15.75" customHeight="1">
      <c r="A677" s="563"/>
      <c r="B677" s="384"/>
      <c r="C677" s="563"/>
      <c r="D677" s="1997"/>
      <c r="E677" s="1998"/>
      <c r="F677" s="1954"/>
      <c r="G677" s="563"/>
      <c r="H677" s="563"/>
      <c r="I677" s="2000"/>
      <c r="J677" s="563"/>
      <c r="K677" s="384"/>
      <c r="L677" s="1901"/>
      <c r="M677" s="1999"/>
      <c r="N677" s="1999"/>
      <c r="O677" s="1999"/>
      <c r="P677" s="2002"/>
      <c r="Q677" s="2002"/>
      <c r="R677" s="482"/>
      <c r="S677" s="482"/>
      <c r="T677" s="482"/>
      <c r="U677" s="482"/>
      <c r="V677" s="384"/>
      <c r="W677" s="563"/>
      <c r="Y677" s="563"/>
      <c r="AA677" s="384"/>
      <c r="AB677" s="384"/>
      <c r="AC677" s="384"/>
      <c r="AD677" s="384"/>
      <c r="AE677" s="384"/>
      <c r="AF677" s="384"/>
      <c r="AG677" s="384"/>
      <c r="AH677" s="384"/>
      <c r="AI677" s="384"/>
      <c r="AJ677" s="384"/>
      <c r="AK677" s="384"/>
      <c r="AL677" s="384"/>
      <c r="AM677" s="384"/>
    </row>
    <row r="678" spans="1:39" ht="15.75" customHeight="1">
      <c r="A678" s="563"/>
      <c r="B678" s="384"/>
      <c r="C678" s="563"/>
      <c r="D678" s="1997"/>
      <c r="E678" s="1998"/>
      <c r="F678" s="1954"/>
      <c r="G678" s="563"/>
      <c r="H678" s="563"/>
      <c r="I678" s="2000"/>
      <c r="J678" s="563"/>
      <c r="K678" s="384"/>
      <c r="L678" s="1901"/>
      <c r="M678" s="1999"/>
      <c r="N678" s="1999"/>
      <c r="O678" s="1999"/>
      <c r="P678" s="2002"/>
      <c r="Q678" s="2002"/>
      <c r="R678" s="482"/>
      <c r="S678" s="482"/>
      <c r="T678" s="482"/>
      <c r="U678" s="482"/>
      <c r="V678" s="384"/>
      <c r="W678" s="563"/>
      <c r="Y678" s="563"/>
      <c r="AA678" s="384"/>
      <c r="AB678" s="384"/>
      <c r="AC678" s="384"/>
      <c r="AD678" s="384"/>
      <c r="AE678" s="384"/>
      <c r="AF678" s="384"/>
      <c r="AG678" s="384"/>
      <c r="AH678" s="384"/>
      <c r="AI678" s="384"/>
      <c r="AJ678" s="384"/>
      <c r="AK678" s="384"/>
      <c r="AL678" s="384"/>
      <c r="AM678" s="384"/>
    </row>
    <row r="679" spans="1:39" ht="15.75" customHeight="1">
      <c r="A679" s="563"/>
      <c r="B679" s="384"/>
      <c r="C679" s="563"/>
      <c r="D679" s="1997"/>
      <c r="E679" s="1998"/>
      <c r="F679" s="1954"/>
      <c r="G679" s="563"/>
      <c r="H679" s="563"/>
      <c r="I679" s="2000"/>
      <c r="J679" s="563"/>
      <c r="K679" s="384"/>
      <c r="L679" s="1901"/>
      <c r="M679" s="1999"/>
      <c r="N679" s="1999"/>
      <c r="O679" s="1999"/>
      <c r="P679" s="2002"/>
      <c r="Q679" s="2002"/>
      <c r="R679" s="482"/>
      <c r="S679" s="482"/>
      <c r="T679" s="482"/>
      <c r="U679" s="482"/>
      <c r="V679" s="384"/>
      <c r="W679" s="563"/>
      <c r="Y679" s="563"/>
      <c r="AA679" s="384"/>
      <c r="AB679" s="384"/>
      <c r="AC679" s="384"/>
      <c r="AD679" s="384"/>
      <c r="AE679" s="384"/>
      <c r="AF679" s="384"/>
      <c r="AG679" s="384"/>
      <c r="AH679" s="384"/>
      <c r="AI679" s="384"/>
      <c r="AJ679" s="384"/>
      <c r="AK679" s="384"/>
      <c r="AL679" s="384"/>
      <c r="AM679" s="384"/>
    </row>
    <row r="680" spans="1:39" ht="15.75" customHeight="1">
      <c r="A680" s="563"/>
      <c r="B680" s="384"/>
      <c r="C680" s="563"/>
      <c r="D680" s="1997"/>
      <c r="E680" s="1998"/>
      <c r="F680" s="1954"/>
      <c r="G680" s="563"/>
      <c r="H680" s="563"/>
      <c r="I680" s="2000"/>
      <c r="J680" s="563"/>
      <c r="K680" s="384"/>
      <c r="L680" s="1901"/>
      <c r="M680" s="1999"/>
      <c r="N680" s="1999"/>
      <c r="O680" s="1999"/>
      <c r="P680" s="2002"/>
      <c r="Q680" s="2002"/>
      <c r="R680" s="482"/>
      <c r="S680" s="482"/>
      <c r="T680" s="482"/>
      <c r="U680" s="482"/>
      <c r="V680" s="384"/>
      <c r="W680" s="563"/>
      <c r="Y680" s="563"/>
      <c r="AA680" s="384"/>
      <c r="AB680" s="384"/>
      <c r="AC680" s="384"/>
      <c r="AD680" s="384"/>
      <c r="AE680" s="384"/>
      <c r="AF680" s="384"/>
      <c r="AG680" s="384"/>
      <c r="AH680" s="384"/>
      <c r="AI680" s="384"/>
      <c r="AJ680" s="384"/>
      <c r="AK680" s="384"/>
      <c r="AL680" s="384"/>
      <c r="AM680" s="384"/>
    </row>
    <row r="681" spans="1:39" ht="15.75" customHeight="1">
      <c r="A681" s="563"/>
      <c r="B681" s="384"/>
      <c r="C681" s="563"/>
      <c r="D681" s="1997"/>
      <c r="E681" s="1998"/>
      <c r="F681" s="1954"/>
      <c r="G681" s="563"/>
      <c r="H681" s="563"/>
      <c r="I681" s="2000"/>
      <c r="J681" s="563"/>
      <c r="K681" s="384"/>
      <c r="L681" s="1901"/>
      <c r="M681" s="1999"/>
      <c r="N681" s="1999"/>
      <c r="O681" s="1999"/>
      <c r="P681" s="2002"/>
      <c r="Q681" s="2002"/>
      <c r="R681" s="482"/>
      <c r="S681" s="482"/>
      <c r="T681" s="482"/>
      <c r="U681" s="482"/>
      <c r="V681" s="384"/>
      <c r="W681" s="563"/>
      <c r="Y681" s="563"/>
      <c r="AA681" s="384"/>
      <c r="AB681" s="384"/>
      <c r="AC681" s="384"/>
      <c r="AD681" s="384"/>
      <c r="AE681" s="384"/>
      <c r="AF681" s="384"/>
      <c r="AG681" s="384"/>
      <c r="AH681" s="384"/>
      <c r="AI681" s="384"/>
      <c r="AJ681" s="384"/>
      <c r="AK681" s="384"/>
      <c r="AL681" s="384"/>
      <c r="AM681" s="384"/>
    </row>
    <row r="682" spans="1:39" ht="15.75" customHeight="1">
      <c r="A682" s="563"/>
      <c r="B682" s="384"/>
      <c r="C682" s="563"/>
      <c r="D682" s="1997"/>
      <c r="E682" s="1998"/>
      <c r="F682" s="1954"/>
      <c r="G682" s="563"/>
      <c r="H682" s="563"/>
      <c r="I682" s="2000"/>
      <c r="J682" s="563"/>
      <c r="K682" s="384"/>
      <c r="L682" s="1901"/>
      <c r="M682" s="1999"/>
      <c r="N682" s="1999"/>
      <c r="O682" s="1999"/>
      <c r="P682" s="2002"/>
      <c r="Q682" s="2002"/>
      <c r="R682" s="482"/>
      <c r="S682" s="482"/>
      <c r="T682" s="482"/>
      <c r="U682" s="482"/>
      <c r="V682" s="384"/>
      <c r="W682" s="563"/>
      <c r="Y682" s="563"/>
      <c r="AA682" s="384"/>
      <c r="AB682" s="384"/>
      <c r="AC682" s="384"/>
      <c r="AD682" s="384"/>
      <c r="AE682" s="384"/>
      <c r="AF682" s="384"/>
      <c r="AG682" s="384"/>
      <c r="AH682" s="384"/>
      <c r="AI682" s="384"/>
      <c r="AJ682" s="384"/>
      <c r="AK682" s="384"/>
      <c r="AL682" s="384"/>
      <c r="AM682" s="384"/>
    </row>
    <row r="683" spans="1:39" ht="15.75" customHeight="1">
      <c r="A683" s="563"/>
      <c r="B683" s="384"/>
      <c r="C683" s="563"/>
      <c r="D683" s="1997"/>
      <c r="E683" s="1998"/>
      <c r="F683" s="1954"/>
      <c r="G683" s="563"/>
      <c r="H683" s="563"/>
      <c r="I683" s="2000"/>
      <c r="J683" s="563"/>
      <c r="K683" s="384"/>
      <c r="L683" s="1901"/>
      <c r="M683" s="1999"/>
      <c r="N683" s="1999"/>
      <c r="O683" s="1999"/>
      <c r="P683" s="2002"/>
      <c r="Q683" s="2002"/>
      <c r="R683" s="482"/>
      <c r="S683" s="482"/>
      <c r="T683" s="482"/>
      <c r="U683" s="482"/>
      <c r="V683" s="384"/>
      <c r="W683" s="563"/>
      <c r="Y683" s="563"/>
      <c r="AA683" s="384"/>
      <c r="AB683" s="384"/>
      <c r="AC683" s="384"/>
      <c r="AD683" s="384"/>
      <c r="AE683" s="384"/>
      <c r="AF683" s="384"/>
      <c r="AG683" s="384"/>
      <c r="AH683" s="384"/>
      <c r="AI683" s="384"/>
      <c r="AJ683" s="384"/>
      <c r="AK683" s="384"/>
      <c r="AL683" s="384"/>
      <c r="AM683" s="384"/>
    </row>
    <row r="684" spans="1:39" ht="15.75" customHeight="1">
      <c r="A684" s="563"/>
      <c r="B684" s="384"/>
      <c r="C684" s="563"/>
      <c r="D684" s="1997"/>
      <c r="E684" s="1998"/>
      <c r="F684" s="1954"/>
      <c r="G684" s="563"/>
      <c r="H684" s="563"/>
      <c r="I684" s="2000"/>
      <c r="J684" s="563"/>
      <c r="K684" s="384"/>
      <c r="L684" s="1901"/>
      <c r="M684" s="1999"/>
      <c r="N684" s="1999"/>
      <c r="O684" s="1999"/>
      <c r="P684" s="2002"/>
      <c r="Q684" s="2002"/>
      <c r="R684" s="482"/>
      <c r="S684" s="482"/>
      <c r="T684" s="482"/>
      <c r="U684" s="482"/>
      <c r="V684" s="384"/>
      <c r="W684" s="563"/>
      <c r="Y684" s="563"/>
      <c r="AA684" s="384"/>
      <c r="AB684" s="384"/>
      <c r="AC684" s="384"/>
      <c r="AD684" s="384"/>
      <c r="AE684" s="384"/>
      <c r="AF684" s="384"/>
      <c r="AG684" s="384"/>
      <c r="AH684" s="384"/>
      <c r="AI684" s="384"/>
      <c r="AJ684" s="384"/>
      <c r="AK684" s="384"/>
      <c r="AL684" s="384"/>
      <c r="AM684" s="384"/>
    </row>
    <row r="685" spans="1:39" ht="15.75" customHeight="1">
      <c r="A685" s="563"/>
      <c r="B685" s="384"/>
      <c r="C685" s="563"/>
      <c r="D685" s="1997"/>
      <c r="E685" s="1998"/>
      <c r="F685" s="1954"/>
      <c r="G685" s="563"/>
      <c r="H685" s="563"/>
      <c r="I685" s="2000"/>
      <c r="J685" s="563"/>
      <c r="K685" s="384"/>
      <c r="L685" s="1901"/>
      <c r="M685" s="1999"/>
      <c r="N685" s="1999"/>
      <c r="O685" s="1999"/>
      <c r="P685" s="2002"/>
      <c r="Q685" s="2002"/>
      <c r="R685" s="482"/>
      <c r="S685" s="482"/>
      <c r="T685" s="482"/>
      <c r="U685" s="482"/>
      <c r="V685" s="384"/>
      <c r="W685" s="563"/>
      <c r="Y685" s="563"/>
      <c r="AA685" s="384"/>
      <c r="AB685" s="384"/>
      <c r="AC685" s="384"/>
      <c r="AD685" s="384"/>
      <c r="AE685" s="384"/>
      <c r="AF685" s="384"/>
      <c r="AG685" s="384"/>
      <c r="AH685" s="384"/>
      <c r="AI685" s="384"/>
      <c r="AJ685" s="384"/>
      <c r="AK685" s="384"/>
      <c r="AL685" s="384"/>
      <c r="AM685" s="384"/>
    </row>
    <row r="686" spans="1:39" ht="15.75" customHeight="1">
      <c r="A686" s="563"/>
      <c r="B686" s="384"/>
      <c r="C686" s="563"/>
      <c r="D686" s="1997"/>
      <c r="E686" s="1998"/>
      <c r="F686" s="1954"/>
      <c r="G686" s="563"/>
      <c r="H686" s="563"/>
      <c r="I686" s="2000"/>
      <c r="J686" s="563"/>
      <c r="K686" s="384"/>
      <c r="L686" s="1901"/>
      <c r="M686" s="1999"/>
      <c r="N686" s="1999"/>
      <c r="O686" s="1999"/>
      <c r="P686" s="2002"/>
      <c r="Q686" s="2002"/>
      <c r="R686" s="482"/>
      <c r="S686" s="482"/>
      <c r="T686" s="482"/>
      <c r="U686" s="482"/>
      <c r="V686" s="384"/>
      <c r="W686" s="563"/>
      <c r="Y686" s="563"/>
      <c r="AA686" s="384"/>
      <c r="AB686" s="384"/>
      <c r="AC686" s="384"/>
      <c r="AD686" s="384"/>
      <c r="AE686" s="384"/>
      <c r="AF686" s="384"/>
      <c r="AG686" s="384"/>
      <c r="AH686" s="384"/>
      <c r="AI686" s="384"/>
      <c r="AJ686" s="384"/>
      <c r="AK686" s="384"/>
      <c r="AL686" s="384"/>
      <c r="AM686" s="384"/>
    </row>
    <row r="687" spans="1:39" ht="15.75" customHeight="1">
      <c r="A687" s="563"/>
      <c r="B687" s="384"/>
      <c r="C687" s="563"/>
      <c r="D687" s="1997"/>
      <c r="E687" s="1998"/>
      <c r="F687" s="1954"/>
      <c r="G687" s="563"/>
      <c r="H687" s="563"/>
      <c r="I687" s="2000"/>
      <c r="J687" s="563"/>
      <c r="K687" s="384"/>
      <c r="L687" s="1901"/>
      <c r="M687" s="1999"/>
      <c r="N687" s="1999"/>
      <c r="O687" s="1999"/>
      <c r="P687" s="2002"/>
      <c r="Q687" s="2002"/>
      <c r="R687" s="482"/>
      <c r="S687" s="482"/>
      <c r="T687" s="482"/>
      <c r="U687" s="482"/>
      <c r="V687" s="384"/>
      <c r="W687" s="563"/>
      <c r="Y687" s="563"/>
      <c r="AA687" s="384"/>
      <c r="AB687" s="384"/>
      <c r="AC687" s="384"/>
      <c r="AD687" s="384"/>
      <c r="AE687" s="384"/>
      <c r="AF687" s="384"/>
      <c r="AG687" s="384"/>
      <c r="AH687" s="384"/>
      <c r="AI687" s="384"/>
      <c r="AJ687" s="384"/>
      <c r="AK687" s="384"/>
      <c r="AL687" s="384"/>
      <c r="AM687" s="384"/>
    </row>
    <row r="688" spans="1:39" ht="15.75" customHeight="1">
      <c r="A688" s="563"/>
      <c r="B688" s="384"/>
      <c r="C688" s="563"/>
      <c r="D688" s="1997"/>
      <c r="E688" s="1998"/>
      <c r="F688" s="1954"/>
      <c r="G688" s="563"/>
      <c r="H688" s="563"/>
      <c r="I688" s="2000"/>
      <c r="J688" s="563"/>
      <c r="K688" s="384"/>
      <c r="L688" s="1901"/>
      <c r="M688" s="1999"/>
      <c r="N688" s="1999"/>
      <c r="O688" s="1999"/>
      <c r="P688" s="2002"/>
      <c r="Q688" s="2002"/>
      <c r="R688" s="482"/>
      <c r="S688" s="482"/>
      <c r="T688" s="482"/>
      <c r="U688" s="482"/>
      <c r="V688" s="384"/>
      <c r="W688" s="563"/>
      <c r="Y688" s="563"/>
      <c r="AA688" s="384"/>
      <c r="AB688" s="384"/>
      <c r="AC688" s="384"/>
      <c r="AD688" s="384"/>
      <c r="AE688" s="384"/>
      <c r="AF688" s="384"/>
      <c r="AG688" s="384"/>
      <c r="AH688" s="384"/>
      <c r="AI688" s="384"/>
      <c r="AJ688" s="384"/>
      <c r="AK688" s="384"/>
      <c r="AL688" s="384"/>
      <c r="AM688" s="384"/>
    </row>
    <row r="689" spans="1:39" ht="15.75" customHeight="1">
      <c r="A689" s="563"/>
      <c r="B689" s="384"/>
      <c r="C689" s="563"/>
      <c r="D689" s="1997"/>
      <c r="E689" s="1998"/>
      <c r="F689" s="1954"/>
      <c r="G689" s="563"/>
      <c r="H689" s="563"/>
      <c r="I689" s="2000"/>
      <c r="J689" s="563"/>
      <c r="K689" s="384"/>
      <c r="L689" s="1901"/>
      <c r="M689" s="1999"/>
      <c r="N689" s="1999"/>
      <c r="O689" s="1999"/>
      <c r="P689" s="2002"/>
      <c r="Q689" s="2002"/>
      <c r="R689" s="482"/>
      <c r="S689" s="482"/>
      <c r="T689" s="482"/>
      <c r="U689" s="482"/>
      <c r="V689" s="384"/>
      <c r="W689" s="563"/>
      <c r="Y689" s="563"/>
      <c r="AA689" s="384"/>
      <c r="AB689" s="384"/>
      <c r="AC689" s="384"/>
      <c r="AD689" s="384"/>
      <c r="AE689" s="384"/>
      <c r="AF689" s="384"/>
      <c r="AG689" s="384"/>
      <c r="AH689" s="384"/>
      <c r="AI689" s="384"/>
      <c r="AJ689" s="384"/>
      <c r="AK689" s="384"/>
      <c r="AL689" s="384"/>
      <c r="AM689" s="384"/>
    </row>
    <row r="690" spans="1:39" ht="15.75" customHeight="1">
      <c r="A690" s="563"/>
      <c r="B690" s="384"/>
      <c r="C690" s="563"/>
      <c r="D690" s="1997"/>
      <c r="E690" s="1998"/>
      <c r="F690" s="1954"/>
      <c r="G690" s="563"/>
      <c r="H690" s="563"/>
      <c r="I690" s="2000"/>
      <c r="J690" s="563"/>
      <c r="K690" s="384"/>
      <c r="L690" s="1901"/>
      <c r="M690" s="1999"/>
      <c r="N690" s="1999"/>
      <c r="O690" s="1999"/>
      <c r="P690" s="2002"/>
      <c r="Q690" s="2002"/>
      <c r="R690" s="482"/>
      <c r="S690" s="482"/>
      <c r="T690" s="482"/>
      <c r="U690" s="482"/>
      <c r="V690" s="384"/>
      <c r="W690" s="563"/>
      <c r="Y690" s="563"/>
      <c r="AA690" s="384"/>
      <c r="AB690" s="384"/>
      <c r="AC690" s="384"/>
      <c r="AD690" s="384"/>
      <c r="AE690" s="384"/>
      <c r="AF690" s="384"/>
      <c r="AG690" s="384"/>
      <c r="AH690" s="384"/>
      <c r="AI690" s="384"/>
      <c r="AJ690" s="384"/>
      <c r="AK690" s="384"/>
      <c r="AL690" s="384"/>
      <c r="AM690" s="384"/>
    </row>
    <row r="691" spans="1:39" ht="15.75" customHeight="1">
      <c r="A691" s="563"/>
      <c r="B691" s="384"/>
      <c r="C691" s="563"/>
      <c r="D691" s="1997"/>
      <c r="E691" s="1998"/>
      <c r="F691" s="1954"/>
      <c r="G691" s="563"/>
      <c r="H691" s="563"/>
      <c r="I691" s="2000"/>
      <c r="J691" s="563"/>
      <c r="K691" s="384"/>
      <c r="L691" s="1901"/>
      <c r="M691" s="1999"/>
      <c r="N691" s="1999"/>
      <c r="O691" s="1999"/>
      <c r="P691" s="2002"/>
      <c r="Q691" s="2002"/>
      <c r="R691" s="482"/>
      <c r="S691" s="482"/>
      <c r="T691" s="482"/>
      <c r="U691" s="482"/>
      <c r="V691" s="384"/>
      <c r="W691" s="563"/>
      <c r="Y691" s="563"/>
      <c r="AA691" s="384"/>
      <c r="AB691" s="384"/>
      <c r="AC691" s="384"/>
      <c r="AD691" s="384"/>
      <c r="AE691" s="384"/>
      <c r="AF691" s="384"/>
      <c r="AG691" s="384"/>
      <c r="AH691" s="384"/>
      <c r="AI691" s="384"/>
      <c r="AJ691" s="384"/>
      <c r="AK691" s="384"/>
      <c r="AL691" s="384"/>
      <c r="AM691" s="384"/>
    </row>
    <row r="692" spans="1:39" ht="15.75" customHeight="1">
      <c r="A692" s="563"/>
      <c r="B692" s="384"/>
      <c r="C692" s="563"/>
      <c r="D692" s="1997"/>
      <c r="E692" s="1998"/>
      <c r="F692" s="1954"/>
      <c r="G692" s="563"/>
      <c r="H692" s="563"/>
      <c r="I692" s="2000"/>
      <c r="J692" s="563"/>
      <c r="K692" s="384"/>
      <c r="L692" s="1901"/>
      <c r="M692" s="1999"/>
      <c r="N692" s="1999"/>
      <c r="O692" s="1999"/>
      <c r="P692" s="2002"/>
      <c r="Q692" s="2002"/>
      <c r="R692" s="482"/>
      <c r="S692" s="482"/>
      <c r="T692" s="482"/>
      <c r="U692" s="482"/>
      <c r="V692" s="384"/>
      <c r="W692" s="563"/>
      <c r="Y692" s="563"/>
      <c r="AA692" s="384"/>
      <c r="AB692" s="384"/>
      <c r="AC692" s="384"/>
      <c r="AD692" s="384"/>
      <c r="AE692" s="384"/>
      <c r="AF692" s="384"/>
      <c r="AG692" s="384"/>
      <c r="AH692" s="384"/>
      <c r="AI692" s="384"/>
      <c r="AJ692" s="384"/>
      <c r="AK692" s="384"/>
      <c r="AL692" s="384"/>
      <c r="AM692" s="384"/>
    </row>
    <row r="693" spans="1:39" ht="15.75" customHeight="1">
      <c r="A693" s="563"/>
      <c r="B693" s="384"/>
      <c r="C693" s="563"/>
      <c r="D693" s="1997"/>
      <c r="E693" s="1998"/>
      <c r="F693" s="1954"/>
      <c r="G693" s="563"/>
      <c r="H693" s="563"/>
      <c r="I693" s="2000"/>
      <c r="J693" s="563"/>
      <c r="K693" s="384"/>
      <c r="L693" s="1901"/>
      <c r="M693" s="1999"/>
      <c r="N693" s="1999"/>
      <c r="O693" s="1999"/>
      <c r="P693" s="2002"/>
      <c r="Q693" s="2002"/>
      <c r="R693" s="482"/>
      <c r="S693" s="482"/>
      <c r="T693" s="482"/>
      <c r="U693" s="482"/>
      <c r="V693" s="384"/>
      <c r="W693" s="563"/>
      <c r="Y693" s="563"/>
      <c r="AA693" s="384"/>
      <c r="AB693" s="384"/>
      <c r="AC693" s="384"/>
      <c r="AD693" s="384"/>
      <c r="AE693" s="384"/>
      <c r="AF693" s="384"/>
      <c r="AG693" s="384"/>
      <c r="AH693" s="384"/>
      <c r="AI693" s="384"/>
      <c r="AJ693" s="384"/>
      <c r="AK693" s="384"/>
      <c r="AL693" s="384"/>
      <c r="AM693" s="384"/>
    </row>
    <row r="694" spans="1:39" ht="15.75" customHeight="1">
      <c r="A694" s="563"/>
      <c r="B694" s="384"/>
      <c r="C694" s="563"/>
      <c r="D694" s="1997"/>
      <c r="E694" s="1998"/>
      <c r="F694" s="1954"/>
      <c r="G694" s="563"/>
      <c r="H694" s="563"/>
      <c r="I694" s="2000"/>
      <c r="J694" s="563"/>
      <c r="K694" s="384"/>
      <c r="L694" s="1901"/>
      <c r="M694" s="1999"/>
      <c r="N694" s="1999"/>
      <c r="O694" s="1999"/>
      <c r="P694" s="2002"/>
      <c r="Q694" s="2002"/>
      <c r="R694" s="482"/>
      <c r="S694" s="482"/>
      <c r="T694" s="482"/>
      <c r="U694" s="482"/>
      <c r="V694" s="384"/>
      <c r="W694" s="563"/>
      <c r="Y694" s="563"/>
      <c r="AA694" s="384"/>
      <c r="AB694" s="384"/>
      <c r="AC694" s="384"/>
      <c r="AD694" s="384"/>
      <c r="AE694" s="384"/>
      <c r="AF694" s="384"/>
      <c r="AG694" s="384"/>
      <c r="AH694" s="384"/>
      <c r="AI694" s="384"/>
      <c r="AJ694" s="384"/>
      <c r="AK694" s="384"/>
      <c r="AL694" s="384"/>
      <c r="AM694" s="384"/>
    </row>
    <row r="695" spans="1:39" ht="15.75" customHeight="1">
      <c r="A695" s="563"/>
      <c r="B695" s="384"/>
      <c r="C695" s="563"/>
      <c r="D695" s="1997"/>
      <c r="E695" s="1998"/>
      <c r="F695" s="1954"/>
      <c r="G695" s="563"/>
      <c r="H695" s="563"/>
      <c r="I695" s="2000"/>
      <c r="J695" s="563"/>
      <c r="K695" s="384"/>
      <c r="L695" s="1901"/>
      <c r="M695" s="1999"/>
      <c r="N695" s="1999"/>
      <c r="O695" s="1999"/>
      <c r="P695" s="2002"/>
      <c r="Q695" s="2002"/>
      <c r="R695" s="482"/>
      <c r="S695" s="482"/>
      <c r="T695" s="482"/>
      <c r="U695" s="482"/>
      <c r="V695" s="384"/>
      <c r="W695" s="563"/>
      <c r="Y695" s="563"/>
      <c r="AA695" s="384"/>
      <c r="AB695" s="384"/>
      <c r="AC695" s="384"/>
      <c r="AD695" s="384"/>
      <c r="AE695" s="384"/>
      <c r="AF695" s="384"/>
      <c r="AG695" s="384"/>
      <c r="AH695" s="384"/>
      <c r="AI695" s="384"/>
      <c r="AJ695" s="384"/>
      <c r="AK695" s="384"/>
      <c r="AL695" s="384"/>
      <c r="AM695" s="384"/>
    </row>
    <row r="696" spans="1:39" ht="15.75" customHeight="1">
      <c r="A696" s="563"/>
      <c r="B696" s="384"/>
      <c r="C696" s="563"/>
      <c r="D696" s="1997"/>
      <c r="E696" s="1998"/>
      <c r="F696" s="1954"/>
      <c r="G696" s="563"/>
      <c r="H696" s="563"/>
      <c r="I696" s="2000"/>
      <c r="J696" s="563"/>
      <c r="K696" s="384"/>
      <c r="L696" s="1901"/>
      <c r="M696" s="1999"/>
      <c r="N696" s="1999"/>
      <c r="O696" s="1999"/>
      <c r="P696" s="2002"/>
      <c r="Q696" s="2002"/>
      <c r="R696" s="482"/>
      <c r="S696" s="482"/>
      <c r="T696" s="482"/>
      <c r="U696" s="482"/>
      <c r="V696" s="384"/>
      <c r="W696" s="563"/>
      <c r="Y696" s="563"/>
      <c r="AA696" s="384"/>
      <c r="AB696" s="384"/>
      <c r="AC696" s="384"/>
      <c r="AD696" s="384"/>
      <c r="AE696" s="384"/>
      <c r="AF696" s="384"/>
      <c r="AG696" s="384"/>
      <c r="AH696" s="384"/>
      <c r="AI696" s="384"/>
      <c r="AJ696" s="384"/>
      <c r="AK696" s="384"/>
      <c r="AL696" s="384"/>
      <c r="AM696" s="384"/>
    </row>
    <row r="697" spans="1:39" ht="15.75" customHeight="1">
      <c r="A697" s="563"/>
      <c r="B697" s="384"/>
      <c r="C697" s="563"/>
      <c r="D697" s="1997"/>
      <c r="E697" s="1998"/>
      <c r="F697" s="1954"/>
      <c r="G697" s="563"/>
      <c r="H697" s="563"/>
      <c r="I697" s="2000"/>
      <c r="J697" s="563"/>
      <c r="K697" s="384"/>
      <c r="L697" s="1901"/>
      <c r="M697" s="1999"/>
      <c r="N697" s="1999"/>
      <c r="O697" s="1999"/>
      <c r="P697" s="2002"/>
      <c r="Q697" s="2002"/>
      <c r="R697" s="482"/>
      <c r="S697" s="482"/>
      <c r="T697" s="482"/>
      <c r="U697" s="482"/>
      <c r="V697" s="384"/>
      <c r="W697" s="563"/>
      <c r="Y697" s="563"/>
      <c r="AA697" s="384"/>
      <c r="AB697" s="384"/>
      <c r="AC697" s="384"/>
      <c r="AD697" s="384"/>
      <c r="AE697" s="384"/>
      <c r="AF697" s="384"/>
      <c r="AG697" s="384"/>
      <c r="AH697" s="384"/>
      <c r="AI697" s="384"/>
      <c r="AJ697" s="384"/>
      <c r="AK697" s="384"/>
      <c r="AL697" s="384"/>
      <c r="AM697" s="384"/>
    </row>
    <row r="698" spans="1:39" ht="15.75" customHeight="1">
      <c r="A698" s="563"/>
      <c r="B698" s="384"/>
      <c r="C698" s="563"/>
      <c r="D698" s="1997"/>
      <c r="E698" s="1998"/>
      <c r="F698" s="1954"/>
      <c r="G698" s="563"/>
      <c r="H698" s="563"/>
      <c r="I698" s="2000"/>
      <c r="J698" s="563"/>
      <c r="K698" s="384"/>
      <c r="L698" s="1901"/>
      <c r="M698" s="1999"/>
      <c r="N698" s="1999"/>
      <c r="O698" s="1999"/>
      <c r="P698" s="2002"/>
      <c r="Q698" s="2002"/>
      <c r="R698" s="482"/>
      <c r="S698" s="482"/>
      <c r="T698" s="482"/>
      <c r="U698" s="482"/>
      <c r="V698" s="384"/>
      <c r="W698" s="563"/>
      <c r="Y698" s="563"/>
      <c r="AA698" s="384"/>
      <c r="AB698" s="384"/>
      <c r="AC698" s="384"/>
      <c r="AD698" s="384"/>
      <c r="AE698" s="384"/>
      <c r="AF698" s="384"/>
      <c r="AG698" s="384"/>
      <c r="AH698" s="384"/>
      <c r="AI698" s="384"/>
      <c r="AJ698" s="384"/>
      <c r="AK698" s="384"/>
      <c r="AL698" s="384"/>
      <c r="AM698" s="384"/>
    </row>
    <row r="699" spans="1:39" ht="15.75" customHeight="1">
      <c r="A699" s="563"/>
      <c r="B699" s="384"/>
      <c r="C699" s="563"/>
      <c r="D699" s="1997"/>
      <c r="E699" s="1998"/>
      <c r="F699" s="1954"/>
      <c r="G699" s="563"/>
      <c r="H699" s="563"/>
      <c r="I699" s="2000"/>
      <c r="J699" s="563"/>
      <c r="K699" s="384"/>
      <c r="L699" s="1901"/>
      <c r="M699" s="1999"/>
      <c r="N699" s="1999"/>
      <c r="O699" s="1999"/>
      <c r="P699" s="2002"/>
      <c r="Q699" s="2002"/>
      <c r="R699" s="482"/>
      <c r="S699" s="482"/>
      <c r="T699" s="482"/>
      <c r="U699" s="482"/>
      <c r="V699" s="384"/>
      <c r="W699" s="563"/>
      <c r="Y699" s="563"/>
      <c r="AA699" s="384"/>
      <c r="AB699" s="384"/>
      <c r="AC699" s="384"/>
      <c r="AD699" s="384"/>
      <c r="AE699" s="384"/>
      <c r="AF699" s="384"/>
      <c r="AG699" s="384"/>
      <c r="AH699" s="384"/>
      <c r="AI699" s="384"/>
      <c r="AJ699" s="384"/>
      <c r="AK699" s="384"/>
      <c r="AL699" s="384"/>
      <c r="AM699" s="384"/>
    </row>
    <row r="700" spans="1:39" ht="15.75" customHeight="1">
      <c r="A700" s="563"/>
      <c r="B700" s="384"/>
      <c r="C700" s="563"/>
      <c r="D700" s="1997"/>
      <c r="E700" s="1998"/>
      <c r="F700" s="1954"/>
      <c r="G700" s="563"/>
      <c r="H700" s="563"/>
      <c r="I700" s="2000"/>
      <c r="J700" s="563"/>
      <c r="K700" s="384"/>
      <c r="L700" s="1901"/>
      <c r="M700" s="1999"/>
      <c r="N700" s="1999"/>
      <c r="O700" s="1999"/>
      <c r="P700" s="2002"/>
      <c r="Q700" s="2002"/>
      <c r="R700" s="482"/>
      <c r="S700" s="482"/>
      <c r="T700" s="482"/>
      <c r="U700" s="482"/>
      <c r="V700" s="384"/>
      <c r="W700" s="563"/>
      <c r="Y700" s="563"/>
      <c r="AA700" s="384"/>
      <c r="AB700" s="384"/>
      <c r="AC700" s="384"/>
      <c r="AD700" s="384"/>
      <c r="AE700" s="384"/>
      <c r="AF700" s="384"/>
      <c r="AG700" s="384"/>
      <c r="AH700" s="384"/>
      <c r="AI700" s="384"/>
      <c r="AJ700" s="384"/>
      <c r="AK700" s="384"/>
      <c r="AL700" s="384"/>
      <c r="AM700" s="384"/>
    </row>
    <row r="701" spans="1:39" ht="15.75" customHeight="1">
      <c r="A701" s="563"/>
      <c r="B701" s="384"/>
      <c r="C701" s="563"/>
      <c r="D701" s="1997"/>
      <c r="E701" s="1998"/>
      <c r="F701" s="1954"/>
      <c r="G701" s="563"/>
      <c r="H701" s="563"/>
      <c r="I701" s="2000"/>
      <c r="J701" s="563"/>
      <c r="K701" s="384"/>
      <c r="L701" s="1901"/>
      <c r="M701" s="1999"/>
      <c r="N701" s="1999"/>
      <c r="O701" s="1999"/>
      <c r="P701" s="2002"/>
      <c r="Q701" s="2002"/>
      <c r="R701" s="482"/>
      <c r="S701" s="482"/>
      <c r="T701" s="482"/>
      <c r="U701" s="482"/>
      <c r="V701" s="384"/>
      <c r="W701" s="563"/>
      <c r="Y701" s="563"/>
      <c r="AA701" s="384"/>
      <c r="AB701" s="384"/>
      <c r="AC701" s="384"/>
      <c r="AD701" s="384"/>
      <c r="AE701" s="384"/>
      <c r="AF701" s="384"/>
      <c r="AG701" s="384"/>
      <c r="AH701" s="384"/>
      <c r="AI701" s="384"/>
      <c r="AJ701" s="384"/>
      <c r="AK701" s="384"/>
      <c r="AL701" s="384"/>
      <c r="AM701" s="384"/>
    </row>
    <row r="702" spans="1:39" ht="15.75" customHeight="1">
      <c r="A702" s="563"/>
      <c r="B702" s="384"/>
      <c r="C702" s="563"/>
      <c r="D702" s="1997"/>
      <c r="E702" s="1998"/>
      <c r="F702" s="1954"/>
      <c r="G702" s="563"/>
      <c r="H702" s="563"/>
      <c r="I702" s="2000"/>
      <c r="J702" s="563"/>
      <c r="K702" s="384"/>
      <c r="L702" s="1901"/>
      <c r="M702" s="1999"/>
      <c r="N702" s="1999"/>
      <c r="O702" s="1999"/>
      <c r="P702" s="2002"/>
      <c r="Q702" s="2002"/>
      <c r="R702" s="482"/>
      <c r="S702" s="482"/>
      <c r="T702" s="482"/>
      <c r="U702" s="482"/>
      <c r="V702" s="384"/>
      <c r="W702" s="563"/>
      <c r="Y702" s="563"/>
      <c r="AA702" s="384"/>
      <c r="AB702" s="384"/>
      <c r="AC702" s="384"/>
      <c r="AD702" s="384"/>
      <c r="AE702" s="384"/>
      <c r="AF702" s="384"/>
      <c r="AG702" s="384"/>
      <c r="AH702" s="384"/>
      <c r="AI702" s="384"/>
      <c r="AJ702" s="384"/>
      <c r="AK702" s="384"/>
      <c r="AL702" s="384"/>
      <c r="AM702" s="384"/>
    </row>
    <row r="703" spans="1:39" ht="15.75" customHeight="1">
      <c r="A703" s="563"/>
      <c r="B703" s="384"/>
      <c r="C703" s="563"/>
      <c r="D703" s="1997"/>
      <c r="E703" s="1998"/>
      <c r="F703" s="1954"/>
      <c r="G703" s="563"/>
      <c r="H703" s="563"/>
      <c r="I703" s="2000"/>
      <c r="J703" s="563"/>
      <c r="K703" s="384"/>
      <c r="L703" s="1901"/>
      <c r="M703" s="1999"/>
      <c r="N703" s="1999"/>
      <c r="O703" s="1999"/>
      <c r="P703" s="2002"/>
      <c r="Q703" s="2002"/>
      <c r="R703" s="482"/>
      <c r="S703" s="482"/>
      <c r="T703" s="482"/>
      <c r="U703" s="482"/>
      <c r="V703" s="384"/>
      <c r="W703" s="563"/>
      <c r="Y703" s="563"/>
      <c r="AA703" s="384"/>
      <c r="AB703" s="384"/>
      <c r="AC703" s="384"/>
      <c r="AD703" s="384"/>
      <c r="AE703" s="384"/>
      <c r="AF703" s="384"/>
      <c r="AG703" s="384"/>
      <c r="AH703" s="384"/>
      <c r="AI703" s="384"/>
      <c r="AJ703" s="384"/>
      <c r="AK703" s="384"/>
      <c r="AL703" s="384"/>
      <c r="AM703" s="384"/>
    </row>
    <row r="704" spans="1:39" ht="15.75" customHeight="1">
      <c r="A704" s="563"/>
      <c r="B704" s="384"/>
      <c r="C704" s="563"/>
      <c r="D704" s="1997"/>
      <c r="E704" s="1998"/>
      <c r="F704" s="1954"/>
      <c r="G704" s="563"/>
      <c r="H704" s="563"/>
      <c r="I704" s="2000"/>
      <c r="J704" s="563"/>
      <c r="K704" s="384"/>
      <c r="L704" s="1901"/>
      <c r="M704" s="1999"/>
      <c r="N704" s="1999"/>
      <c r="O704" s="1999"/>
      <c r="P704" s="2002"/>
      <c r="Q704" s="2002"/>
      <c r="R704" s="482"/>
      <c r="S704" s="482"/>
      <c r="T704" s="482"/>
      <c r="U704" s="482"/>
      <c r="V704" s="384"/>
      <c r="W704" s="563"/>
      <c r="Y704" s="563"/>
      <c r="AA704" s="384"/>
      <c r="AB704" s="384"/>
      <c r="AC704" s="384"/>
      <c r="AD704" s="384"/>
      <c r="AE704" s="384"/>
      <c r="AF704" s="384"/>
      <c r="AG704" s="384"/>
      <c r="AH704" s="384"/>
      <c r="AI704" s="384"/>
      <c r="AJ704" s="384"/>
      <c r="AK704" s="384"/>
      <c r="AL704" s="384"/>
      <c r="AM704" s="384"/>
    </row>
    <row r="705" spans="1:39" ht="15.75" customHeight="1">
      <c r="A705" s="563"/>
      <c r="B705" s="384"/>
      <c r="C705" s="563"/>
      <c r="D705" s="1997"/>
      <c r="E705" s="1998"/>
      <c r="F705" s="1954"/>
      <c r="G705" s="563"/>
      <c r="H705" s="563"/>
      <c r="I705" s="2000"/>
      <c r="J705" s="563"/>
      <c r="K705" s="384"/>
      <c r="L705" s="1901"/>
      <c r="M705" s="1999"/>
      <c r="N705" s="1999"/>
      <c r="O705" s="1999"/>
      <c r="P705" s="2002"/>
      <c r="Q705" s="2002"/>
      <c r="R705" s="482"/>
      <c r="S705" s="482"/>
      <c r="T705" s="482"/>
      <c r="U705" s="482"/>
      <c r="V705" s="384"/>
      <c r="W705" s="563"/>
      <c r="Y705" s="563"/>
      <c r="AA705" s="384"/>
      <c r="AB705" s="384"/>
      <c r="AC705" s="384"/>
      <c r="AD705" s="384"/>
      <c r="AE705" s="384"/>
      <c r="AF705" s="384"/>
      <c r="AG705" s="384"/>
      <c r="AH705" s="384"/>
      <c r="AI705" s="384"/>
      <c r="AJ705" s="384"/>
      <c r="AK705" s="384"/>
      <c r="AL705" s="384"/>
      <c r="AM705" s="384"/>
    </row>
    <row r="706" spans="1:39" ht="15.75" customHeight="1">
      <c r="A706" s="563"/>
      <c r="B706" s="384"/>
      <c r="C706" s="563"/>
      <c r="D706" s="1997"/>
      <c r="E706" s="1998"/>
      <c r="F706" s="1954"/>
      <c r="G706" s="563"/>
      <c r="H706" s="563"/>
      <c r="I706" s="2000"/>
      <c r="J706" s="563"/>
      <c r="K706" s="384"/>
      <c r="L706" s="1901"/>
      <c r="M706" s="1999"/>
      <c r="N706" s="1999"/>
      <c r="O706" s="1999"/>
      <c r="P706" s="2002"/>
      <c r="Q706" s="2002"/>
      <c r="R706" s="482"/>
      <c r="S706" s="482"/>
      <c r="T706" s="482"/>
      <c r="U706" s="482"/>
      <c r="V706" s="384"/>
      <c r="W706" s="563"/>
      <c r="Y706" s="563"/>
      <c r="AA706" s="384"/>
      <c r="AB706" s="384"/>
      <c r="AC706" s="384"/>
      <c r="AD706" s="384"/>
      <c r="AE706" s="384"/>
      <c r="AF706" s="384"/>
      <c r="AG706" s="384"/>
      <c r="AH706" s="384"/>
      <c r="AI706" s="384"/>
      <c r="AJ706" s="384"/>
      <c r="AK706" s="384"/>
      <c r="AL706" s="384"/>
      <c r="AM706" s="384"/>
    </row>
    <row r="707" spans="1:39" ht="15.75" customHeight="1">
      <c r="A707" s="563"/>
      <c r="B707" s="384"/>
      <c r="C707" s="563"/>
      <c r="D707" s="1997"/>
      <c r="E707" s="1998"/>
      <c r="F707" s="1954"/>
      <c r="G707" s="563"/>
      <c r="H707" s="563"/>
      <c r="I707" s="2000"/>
      <c r="J707" s="563"/>
      <c r="K707" s="384"/>
      <c r="L707" s="1901"/>
      <c r="M707" s="1999"/>
      <c r="N707" s="1999"/>
      <c r="O707" s="1999"/>
      <c r="P707" s="2002"/>
      <c r="Q707" s="2002"/>
      <c r="R707" s="482"/>
      <c r="S707" s="482"/>
      <c r="T707" s="482"/>
      <c r="U707" s="482"/>
      <c r="V707" s="384"/>
      <c r="W707" s="563"/>
      <c r="Y707" s="563"/>
      <c r="AA707" s="384"/>
      <c r="AB707" s="384"/>
      <c r="AC707" s="384"/>
      <c r="AD707" s="384"/>
      <c r="AE707" s="384"/>
      <c r="AF707" s="384"/>
      <c r="AG707" s="384"/>
      <c r="AH707" s="384"/>
      <c r="AI707" s="384"/>
      <c r="AJ707" s="384"/>
      <c r="AK707" s="384"/>
      <c r="AL707" s="384"/>
      <c r="AM707" s="384"/>
    </row>
    <row r="708" spans="1:39" ht="15.75" customHeight="1">
      <c r="A708" s="563"/>
      <c r="B708" s="384"/>
      <c r="C708" s="563"/>
      <c r="D708" s="1997"/>
      <c r="E708" s="1998"/>
      <c r="F708" s="1954"/>
      <c r="G708" s="563"/>
      <c r="H708" s="563"/>
      <c r="I708" s="2000"/>
      <c r="J708" s="563"/>
      <c r="K708" s="384"/>
      <c r="L708" s="1901"/>
      <c r="M708" s="1999"/>
      <c r="N708" s="1999"/>
      <c r="O708" s="1999"/>
      <c r="P708" s="2002"/>
      <c r="Q708" s="2002"/>
      <c r="R708" s="482"/>
      <c r="S708" s="482"/>
      <c r="T708" s="482"/>
      <c r="U708" s="482"/>
      <c r="V708" s="384"/>
      <c r="W708" s="563"/>
      <c r="Y708" s="563"/>
      <c r="AA708" s="384"/>
      <c r="AB708" s="384"/>
      <c r="AC708" s="384"/>
      <c r="AD708" s="384"/>
      <c r="AE708" s="384"/>
      <c r="AF708" s="384"/>
      <c r="AG708" s="384"/>
      <c r="AH708" s="384"/>
      <c r="AI708" s="384"/>
      <c r="AJ708" s="384"/>
      <c r="AK708" s="384"/>
      <c r="AL708" s="384"/>
      <c r="AM708" s="384"/>
    </row>
    <row r="709" spans="1:39" ht="15.75" customHeight="1">
      <c r="A709" s="563"/>
      <c r="B709" s="384"/>
      <c r="C709" s="563"/>
      <c r="D709" s="1997"/>
      <c r="E709" s="1998"/>
      <c r="F709" s="1954"/>
      <c r="G709" s="563"/>
      <c r="H709" s="563"/>
      <c r="I709" s="2000"/>
      <c r="J709" s="563"/>
      <c r="K709" s="384"/>
      <c r="L709" s="1901"/>
      <c r="M709" s="1999"/>
      <c r="N709" s="1999"/>
      <c r="O709" s="1999"/>
      <c r="P709" s="2002"/>
      <c r="Q709" s="2002"/>
      <c r="R709" s="482"/>
      <c r="S709" s="482"/>
      <c r="T709" s="482"/>
      <c r="U709" s="482"/>
      <c r="V709" s="384"/>
      <c r="W709" s="563"/>
      <c r="Y709" s="563"/>
      <c r="AA709" s="384"/>
      <c r="AB709" s="384"/>
      <c r="AC709" s="384"/>
      <c r="AD709" s="384"/>
      <c r="AE709" s="384"/>
      <c r="AF709" s="384"/>
      <c r="AG709" s="384"/>
      <c r="AH709" s="384"/>
      <c r="AI709" s="384"/>
      <c r="AJ709" s="384"/>
      <c r="AK709" s="384"/>
      <c r="AL709" s="384"/>
      <c r="AM709" s="384"/>
    </row>
    <row r="710" spans="1:39" ht="15.75" customHeight="1">
      <c r="A710" s="563"/>
      <c r="B710" s="384"/>
      <c r="C710" s="563"/>
      <c r="D710" s="1997"/>
      <c r="E710" s="1998"/>
      <c r="F710" s="1954"/>
      <c r="G710" s="563"/>
      <c r="H710" s="563"/>
      <c r="I710" s="2000"/>
      <c r="J710" s="563"/>
      <c r="K710" s="384"/>
      <c r="L710" s="1901"/>
      <c r="M710" s="1999"/>
      <c r="N710" s="1999"/>
      <c r="O710" s="1999"/>
      <c r="P710" s="2002"/>
      <c r="Q710" s="2002"/>
      <c r="R710" s="482"/>
      <c r="S710" s="482"/>
      <c r="T710" s="482"/>
      <c r="U710" s="482"/>
      <c r="V710" s="384"/>
      <c r="W710" s="563"/>
      <c r="Y710" s="563"/>
      <c r="AA710" s="384"/>
      <c r="AB710" s="384"/>
      <c r="AC710" s="384"/>
      <c r="AD710" s="384"/>
      <c r="AE710" s="384"/>
      <c r="AF710" s="384"/>
      <c r="AG710" s="384"/>
      <c r="AH710" s="384"/>
      <c r="AI710" s="384"/>
      <c r="AJ710" s="384"/>
      <c r="AK710" s="384"/>
      <c r="AL710" s="384"/>
      <c r="AM710" s="384"/>
    </row>
    <row r="711" spans="1:39" ht="15.75" customHeight="1">
      <c r="A711" s="563"/>
      <c r="B711" s="384"/>
      <c r="C711" s="563"/>
      <c r="D711" s="1997"/>
      <c r="E711" s="1998"/>
      <c r="F711" s="1954"/>
      <c r="G711" s="563"/>
      <c r="H711" s="563"/>
      <c r="I711" s="2000"/>
      <c r="J711" s="563"/>
      <c r="K711" s="384"/>
      <c r="L711" s="1901"/>
      <c r="M711" s="1999"/>
      <c r="N711" s="1999"/>
      <c r="O711" s="1999"/>
      <c r="P711" s="2002"/>
      <c r="Q711" s="2002"/>
      <c r="R711" s="482"/>
      <c r="S711" s="482"/>
      <c r="T711" s="482"/>
      <c r="U711" s="482"/>
      <c r="V711" s="384"/>
      <c r="W711" s="563"/>
      <c r="Y711" s="563"/>
      <c r="AA711" s="384"/>
      <c r="AB711" s="384"/>
      <c r="AC711" s="384"/>
      <c r="AD711" s="384"/>
      <c r="AE711" s="384"/>
      <c r="AF711" s="384"/>
      <c r="AG711" s="384"/>
      <c r="AH711" s="384"/>
      <c r="AI711" s="384"/>
      <c r="AJ711" s="384"/>
      <c r="AK711" s="384"/>
      <c r="AL711" s="384"/>
      <c r="AM711" s="384"/>
    </row>
    <row r="712" spans="1:39" ht="15.75" customHeight="1">
      <c r="A712" s="563"/>
      <c r="B712" s="384"/>
      <c r="C712" s="563"/>
      <c r="D712" s="1997"/>
      <c r="E712" s="1998"/>
      <c r="F712" s="1954"/>
      <c r="G712" s="563"/>
      <c r="H712" s="563"/>
      <c r="I712" s="2000"/>
      <c r="J712" s="563"/>
      <c r="K712" s="384"/>
      <c r="L712" s="1901"/>
      <c r="M712" s="1999"/>
      <c r="N712" s="1999"/>
      <c r="O712" s="1999"/>
      <c r="P712" s="2002"/>
      <c r="Q712" s="2002"/>
      <c r="R712" s="482"/>
      <c r="S712" s="482"/>
      <c r="T712" s="482"/>
      <c r="U712" s="482"/>
      <c r="V712" s="384"/>
      <c r="W712" s="563"/>
      <c r="Y712" s="563"/>
      <c r="AA712" s="384"/>
      <c r="AB712" s="384"/>
      <c r="AC712" s="384"/>
      <c r="AD712" s="384"/>
      <c r="AE712" s="384"/>
      <c r="AF712" s="384"/>
      <c r="AG712" s="384"/>
      <c r="AH712" s="384"/>
      <c r="AI712" s="384"/>
      <c r="AJ712" s="384"/>
      <c r="AK712" s="384"/>
      <c r="AL712" s="384"/>
      <c r="AM712" s="384"/>
    </row>
    <row r="713" spans="1:39" ht="15.75" customHeight="1">
      <c r="A713" s="563"/>
      <c r="B713" s="384"/>
      <c r="C713" s="563"/>
      <c r="D713" s="1997"/>
      <c r="E713" s="1998"/>
      <c r="F713" s="1954"/>
      <c r="G713" s="563"/>
      <c r="H713" s="563"/>
      <c r="I713" s="2000"/>
      <c r="J713" s="563"/>
      <c r="K713" s="384"/>
      <c r="L713" s="1901"/>
      <c r="M713" s="1999"/>
      <c r="N713" s="1999"/>
      <c r="O713" s="1999"/>
      <c r="P713" s="2002"/>
      <c r="Q713" s="2002"/>
      <c r="R713" s="482"/>
      <c r="S713" s="482"/>
      <c r="T713" s="482"/>
      <c r="U713" s="482"/>
      <c r="V713" s="384"/>
      <c r="W713" s="563"/>
      <c r="Y713" s="563"/>
      <c r="AA713" s="384"/>
      <c r="AB713" s="384"/>
      <c r="AC713" s="384"/>
      <c r="AD713" s="384"/>
      <c r="AE713" s="384"/>
      <c r="AF713" s="384"/>
      <c r="AG713" s="384"/>
      <c r="AH713" s="384"/>
      <c r="AI713" s="384"/>
      <c r="AJ713" s="384"/>
      <c r="AK713" s="384"/>
      <c r="AL713" s="384"/>
      <c r="AM713" s="384"/>
    </row>
    <row r="714" spans="1:39" ht="15.75" customHeight="1">
      <c r="A714" s="563"/>
      <c r="B714" s="384"/>
      <c r="C714" s="563"/>
      <c r="D714" s="1997"/>
      <c r="E714" s="1998"/>
      <c r="F714" s="1954"/>
      <c r="G714" s="563"/>
      <c r="H714" s="563"/>
      <c r="I714" s="2000"/>
      <c r="J714" s="563"/>
      <c r="K714" s="384"/>
      <c r="L714" s="1901"/>
      <c r="M714" s="1999"/>
      <c r="N714" s="1999"/>
      <c r="O714" s="1999"/>
      <c r="P714" s="2002"/>
      <c r="Q714" s="2002"/>
      <c r="R714" s="482"/>
      <c r="S714" s="482"/>
      <c r="T714" s="482"/>
      <c r="U714" s="482"/>
      <c r="V714" s="384"/>
      <c r="W714" s="563"/>
      <c r="Y714" s="563"/>
      <c r="AA714" s="384"/>
      <c r="AB714" s="384"/>
      <c r="AC714" s="384"/>
      <c r="AD714" s="384"/>
      <c r="AE714" s="384"/>
      <c r="AF714" s="384"/>
      <c r="AG714" s="384"/>
      <c r="AH714" s="384"/>
      <c r="AI714" s="384"/>
      <c r="AJ714" s="384"/>
      <c r="AK714" s="384"/>
      <c r="AL714" s="384"/>
      <c r="AM714" s="384"/>
    </row>
    <row r="715" spans="1:39" ht="15.75" customHeight="1">
      <c r="A715" s="563"/>
      <c r="B715" s="384"/>
      <c r="C715" s="563"/>
      <c r="D715" s="1997"/>
      <c r="E715" s="1998"/>
      <c r="F715" s="1954"/>
      <c r="G715" s="563"/>
      <c r="H715" s="563"/>
      <c r="I715" s="2000"/>
      <c r="J715" s="563"/>
      <c r="K715" s="384"/>
      <c r="L715" s="1901"/>
      <c r="M715" s="1999"/>
      <c r="N715" s="1999"/>
      <c r="O715" s="1999"/>
      <c r="P715" s="2002"/>
      <c r="Q715" s="2002"/>
      <c r="R715" s="482"/>
      <c r="S715" s="482"/>
      <c r="T715" s="482"/>
      <c r="U715" s="482"/>
      <c r="V715" s="384"/>
      <c r="W715" s="563"/>
      <c r="Y715" s="563"/>
      <c r="AA715" s="384"/>
      <c r="AB715" s="384"/>
      <c r="AC715" s="384"/>
      <c r="AD715" s="384"/>
      <c r="AE715" s="384"/>
      <c r="AF715" s="384"/>
      <c r="AG715" s="384"/>
      <c r="AH715" s="384"/>
      <c r="AI715" s="384"/>
      <c r="AJ715" s="384"/>
      <c r="AK715" s="384"/>
      <c r="AL715" s="384"/>
      <c r="AM715" s="384"/>
    </row>
    <row r="716" spans="1:39" ht="15.75" customHeight="1">
      <c r="A716" s="563"/>
      <c r="B716" s="384"/>
      <c r="C716" s="563"/>
      <c r="D716" s="1997"/>
      <c r="E716" s="1998"/>
      <c r="F716" s="1954"/>
      <c r="G716" s="563"/>
      <c r="H716" s="563"/>
      <c r="I716" s="2000"/>
      <c r="J716" s="563"/>
      <c r="K716" s="384"/>
      <c r="L716" s="1901"/>
      <c r="M716" s="1999"/>
      <c r="N716" s="1999"/>
      <c r="O716" s="1999"/>
      <c r="P716" s="2002"/>
      <c r="Q716" s="2002"/>
      <c r="R716" s="482"/>
      <c r="S716" s="482"/>
      <c r="T716" s="482"/>
      <c r="U716" s="482"/>
      <c r="V716" s="384"/>
      <c r="W716" s="563"/>
      <c r="Y716" s="563"/>
      <c r="AA716" s="384"/>
      <c r="AB716" s="384"/>
      <c r="AC716" s="384"/>
      <c r="AD716" s="384"/>
      <c r="AE716" s="384"/>
      <c r="AF716" s="384"/>
      <c r="AG716" s="384"/>
      <c r="AH716" s="384"/>
      <c r="AI716" s="384"/>
      <c r="AJ716" s="384"/>
      <c r="AK716" s="384"/>
      <c r="AL716" s="384"/>
      <c r="AM716" s="384"/>
    </row>
    <row r="717" spans="1:39" ht="15.75" customHeight="1">
      <c r="A717" s="563"/>
      <c r="B717" s="384"/>
      <c r="C717" s="563"/>
      <c r="D717" s="1997"/>
      <c r="E717" s="1998"/>
      <c r="F717" s="1954"/>
      <c r="G717" s="563"/>
      <c r="H717" s="563"/>
      <c r="I717" s="2000"/>
      <c r="J717" s="563"/>
      <c r="K717" s="384"/>
      <c r="L717" s="1901"/>
      <c r="M717" s="1999"/>
      <c r="N717" s="1999"/>
      <c r="O717" s="1999"/>
      <c r="P717" s="2002"/>
      <c r="Q717" s="2002"/>
      <c r="R717" s="482"/>
      <c r="S717" s="482"/>
      <c r="T717" s="482"/>
      <c r="U717" s="482"/>
      <c r="V717" s="384"/>
      <c r="W717" s="563"/>
      <c r="Y717" s="563"/>
      <c r="AA717" s="384"/>
      <c r="AB717" s="384"/>
      <c r="AC717" s="384"/>
      <c r="AD717" s="384"/>
      <c r="AE717" s="384"/>
      <c r="AF717" s="384"/>
      <c r="AG717" s="384"/>
      <c r="AH717" s="384"/>
      <c r="AI717" s="384"/>
      <c r="AJ717" s="384"/>
      <c r="AK717" s="384"/>
      <c r="AL717" s="384"/>
      <c r="AM717" s="384"/>
    </row>
    <row r="718" spans="1:39" ht="15.75" customHeight="1">
      <c r="A718" s="563"/>
      <c r="B718" s="384"/>
      <c r="C718" s="563"/>
      <c r="D718" s="1997"/>
      <c r="E718" s="1998"/>
      <c r="F718" s="1954"/>
      <c r="G718" s="563"/>
      <c r="H718" s="563"/>
      <c r="I718" s="2000"/>
      <c r="J718" s="563"/>
      <c r="K718" s="384"/>
      <c r="L718" s="1901"/>
      <c r="M718" s="1999"/>
      <c r="N718" s="1999"/>
      <c r="O718" s="1999"/>
      <c r="P718" s="2002"/>
      <c r="Q718" s="2002"/>
      <c r="R718" s="482"/>
      <c r="S718" s="482"/>
      <c r="T718" s="482"/>
      <c r="U718" s="482"/>
      <c r="V718" s="384"/>
      <c r="W718" s="563"/>
      <c r="Y718" s="563"/>
      <c r="AA718" s="384"/>
      <c r="AB718" s="384"/>
      <c r="AC718" s="384"/>
      <c r="AD718" s="384"/>
      <c r="AE718" s="384"/>
      <c r="AF718" s="384"/>
      <c r="AG718" s="384"/>
      <c r="AH718" s="384"/>
      <c r="AI718" s="384"/>
      <c r="AJ718" s="384"/>
      <c r="AK718" s="384"/>
      <c r="AL718" s="384"/>
      <c r="AM718" s="384"/>
    </row>
    <row r="719" spans="1:39" ht="15.75" customHeight="1">
      <c r="A719" s="563"/>
      <c r="B719" s="384"/>
      <c r="C719" s="563"/>
      <c r="D719" s="1997"/>
      <c r="E719" s="1998"/>
      <c r="F719" s="1954"/>
      <c r="G719" s="563"/>
      <c r="H719" s="563"/>
      <c r="I719" s="2000"/>
      <c r="J719" s="563"/>
      <c r="K719" s="384"/>
      <c r="L719" s="1901"/>
      <c r="M719" s="1999"/>
      <c r="N719" s="1999"/>
      <c r="O719" s="1999"/>
      <c r="P719" s="2002"/>
      <c r="Q719" s="2002"/>
      <c r="R719" s="482"/>
      <c r="S719" s="482"/>
      <c r="T719" s="482"/>
      <c r="U719" s="482"/>
      <c r="V719" s="384"/>
      <c r="W719" s="563"/>
      <c r="Y719" s="563"/>
      <c r="AA719" s="384"/>
      <c r="AB719" s="384"/>
      <c r="AC719" s="384"/>
      <c r="AD719" s="384"/>
      <c r="AE719" s="384"/>
      <c r="AF719" s="384"/>
      <c r="AG719" s="384"/>
      <c r="AH719" s="384"/>
      <c r="AI719" s="384"/>
      <c r="AJ719" s="384"/>
      <c r="AK719" s="384"/>
      <c r="AL719" s="384"/>
      <c r="AM719" s="384"/>
    </row>
    <row r="720" spans="1:39" ht="15.75" customHeight="1">
      <c r="A720" s="563"/>
      <c r="B720" s="384"/>
      <c r="C720" s="563"/>
      <c r="D720" s="1997"/>
      <c r="E720" s="1998"/>
      <c r="F720" s="1954"/>
      <c r="G720" s="563"/>
      <c r="H720" s="563"/>
      <c r="I720" s="2000"/>
      <c r="J720" s="563"/>
      <c r="K720" s="384"/>
      <c r="L720" s="1901"/>
      <c r="M720" s="1999"/>
      <c r="N720" s="1999"/>
      <c r="O720" s="1999"/>
      <c r="P720" s="2002"/>
      <c r="Q720" s="2002"/>
      <c r="R720" s="482"/>
      <c r="S720" s="482"/>
      <c r="T720" s="482"/>
      <c r="U720" s="482"/>
      <c r="V720" s="384"/>
      <c r="W720" s="563"/>
      <c r="Y720" s="563"/>
      <c r="AA720" s="384"/>
      <c r="AB720" s="384"/>
      <c r="AC720" s="384"/>
      <c r="AD720" s="384"/>
      <c r="AE720" s="384"/>
      <c r="AF720" s="384"/>
      <c r="AG720" s="384"/>
      <c r="AH720" s="384"/>
      <c r="AI720" s="384"/>
      <c r="AJ720" s="384"/>
      <c r="AK720" s="384"/>
      <c r="AL720" s="384"/>
      <c r="AM720" s="384"/>
    </row>
    <row r="721" spans="1:39" ht="15.75" customHeight="1">
      <c r="A721" s="563"/>
      <c r="B721" s="384"/>
      <c r="C721" s="563"/>
      <c r="D721" s="1997"/>
      <c r="E721" s="1998"/>
      <c r="F721" s="1954"/>
      <c r="G721" s="563"/>
      <c r="H721" s="563"/>
      <c r="I721" s="2000"/>
      <c r="J721" s="563"/>
      <c r="K721" s="384"/>
      <c r="L721" s="1901"/>
      <c r="M721" s="1999"/>
      <c r="N721" s="1999"/>
      <c r="O721" s="1999"/>
      <c r="P721" s="2002"/>
      <c r="Q721" s="2002"/>
      <c r="R721" s="482"/>
      <c r="S721" s="482"/>
      <c r="T721" s="482"/>
      <c r="U721" s="482"/>
      <c r="V721" s="384"/>
      <c r="W721" s="563"/>
      <c r="Y721" s="563"/>
      <c r="AA721" s="384"/>
      <c r="AB721" s="384"/>
      <c r="AC721" s="384"/>
      <c r="AD721" s="384"/>
      <c r="AE721" s="384"/>
      <c r="AF721" s="384"/>
      <c r="AG721" s="384"/>
      <c r="AH721" s="384"/>
      <c r="AI721" s="384"/>
      <c r="AJ721" s="384"/>
      <c r="AK721" s="384"/>
      <c r="AL721" s="384"/>
      <c r="AM721" s="384"/>
    </row>
    <row r="722" spans="1:39" ht="15.75" customHeight="1">
      <c r="A722" s="563"/>
      <c r="B722" s="384"/>
      <c r="C722" s="563"/>
      <c r="D722" s="1997"/>
      <c r="E722" s="1998"/>
      <c r="F722" s="1954"/>
      <c r="G722" s="563"/>
      <c r="H722" s="563"/>
      <c r="I722" s="2000"/>
      <c r="J722" s="563"/>
      <c r="K722" s="384"/>
      <c r="L722" s="1901"/>
      <c r="M722" s="1999"/>
      <c r="N722" s="1999"/>
      <c r="O722" s="1999"/>
      <c r="P722" s="2002"/>
      <c r="Q722" s="2002"/>
      <c r="R722" s="482"/>
      <c r="S722" s="482"/>
      <c r="T722" s="482"/>
      <c r="U722" s="482"/>
      <c r="V722" s="384"/>
      <c r="W722" s="563"/>
      <c r="Y722" s="563"/>
      <c r="AA722" s="384"/>
      <c r="AB722" s="384"/>
      <c r="AC722" s="384"/>
      <c r="AD722" s="384"/>
      <c r="AE722" s="384"/>
      <c r="AF722" s="384"/>
      <c r="AG722" s="384"/>
      <c r="AH722" s="384"/>
      <c r="AI722" s="384"/>
      <c r="AJ722" s="384"/>
      <c r="AK722" s="384"/>
      <c r="AL722" s="384"/>
      <c r="AM722" s="384"/>
    </row>
    <row r="723" spans="1:39" ht="15.75" customHeight="1">
      <c r="A723" s="563"/>
      <c r="B723" s="384"/>
      <c r="C723" s="563"/>
      <c r="D723" s="1997"/>
      <c r="E723" s="1998"/>
      <c r="F723" s="1954"/>
      <c r="G723" s="563"/>
      <c r="H723" s="563"/>
      <c r="I723" s="2000"/>
      <c r="J723" s="563"/>
      <c r="K723" s="384"/>
      <c r="L723" s="1901"/>
      <c r="M723" s="1999"/>
      <c r="N723" s="1999"/>
      <c r="O723" s="1999"/>
      <c r="P723" s="2002"/>
      <c r="Q723" s="2002"/>
      <c r="R723" s="482"/>
      <c r="S723" s="482"/>
      <c r="T723" s="482"/>
      <c r="U723" s="482"/>
      <c r="V723" s="384"/>
      <c r="W723" s="563"/>
      <c r="Y723" s="563"/>
      <c r="AA723" s="384"/>
      <c r="AB723" s="384"/>
      <c r="AC723" s="384"/>
      <c r="AD723" s="384"/>
      <c r="AE723" s="384"/>
      <c r="AF723" s="384"/>
      <c r="AG723" s="384"/>
      <c r="AH723" s="384"/>
      <c r="AI723" s="384"/>
      <c r="AJ723" s="384"/>
      <c r="AK723" s="384"/>
      <c r="AL723" s="384"/>
      <c r="AM723" s="384"/>
    </row>
    <row r="724" spans="1:39" ht="15.75" customHeight="1">
      <c r="A724" s="563"/>
      <c r="B724" s="384"/>
      <c r="C724" s="563"/>
      <c r="D724" s="1997"/>
      <c r="E724" s="1998"/>
      <c r="F724" s="1954"/>
      <c r="G724" s="563"/>
      <c r="H724" s="563"/>
      <c r="I724" s="2000"/>
      <c r="J724" s="563"/>
      <c r="K724" s="384"/>
      <c r="L724" s="1901"/>
      <c r="M724" s="1999"/>
      <c r="N724" s="1999"/>
      <c r="O724" s="1999"/>
      <c r="P724" s="2002"/>
      <c r="Q724" s="2002"/>
      <c r="R724" s="482"/>
      <c r="S724" s="482"/>
      <c r="T724" s="482"/>
      <c r="U724" s="482"/>
      <c r="V724" s="384"/>
      <c r="W724" s="563"/>
      <c r="Y724" s="563"/>
      <c r="AA724" s="384"/>
      <c r="AB724" s="384"/>
      <c r="AC724" s="384"/>
      <c r="AD724" s="384"/>
      <c r="AE724" s="384"/>
      <c r="AF724" s="384"/>
      <c r="AG724" s="384"/>
      <c r="AH724" s="384"/>
      <c r="AI724" s="384"/>
      <c r="AJ724" s="384"/>
      <c r="AK724" s="384"/>
      <c r="AL724" s="384"/>
      <c r="AM724" s="384"/>
    </row>
    <row r="725" spans="1:39" ht="15.75" customHeight="1">
      <c r="A725" s="563"/>
      <c r="B725" s="384"/>
      <c r="C725" s="563"/>
      <c r="D725" s="1997"/>
      <c r="E725" s="1998"/>
      <c r="F725" s="1954"/>
      <c r="G725" s="563"/>
      <c r="H725" s="563"/>
      <c r="I725" s="2000"/>
      <c r="J725" s="563"/>
      <c r="K725" s="384"/>
      <c r="L725" s="1901"/>
      <c r="M725" s="1999"/>
      <c r="N725" s="1999"/>
      <c r="O725" s="1999"/>
      <c r="P725" s="2002"/>
      <c r="Q725" s="2002"/>
      <c r="R725" s="482"/>
      <c r="S725" s="482"/>
      <c r="T725" s="482"/>
      <c r="U725" s="482"/>
      <c r="V725" s="384"/>
      <c r="W725" s="563"/>
      <c r="Y725" s="563"/>
      <c r="AA725" s="384"/>
      <c r="AB725" s="384"/>
      <c r="AC725" s="384"/>
      <c r="AD725" s="384"/>
      <c r="AE725" s="384"/>
      <c r="AF725" s="384"/>
      <c r="AG725" s="384"/>
      <c r="AH725" s="384"/>
      <c r="AI725" s="384"/>
      <c r="AJ725" s="384"/>
      <c r="AK725" s="384"/>
      <c r="AL725" s="384"/>
      <c r="AM725" s="384"/>
    </row>
    <row r="726" spans="1:39" ht="15.75" customHeight="1">
      <c r="A726" s="563"/>
      <c r="B726" s="384"/>
      <c r="C726" s="563"/>
      <c r="D726" s="1997"/>
      <c r="E726" s="1998"/>
      <c r="F726" s="1954"/>
      <c r="G726" s="563"/>
      <c r="H726" s="563"/>
      <c r="I726" s="2000"/>
      <c r="J726" s="563"/>
      <c r="K726" s="384"/>
      <c r="L726" s="1901"/>
      <c r="M726" s="1999"/>
      <c r="N726" s="1999"/>
      <c r="O726" s="1999"/>
      <c r="P726" s="2002"/>
      <c r="Q726" s="2002"/>
      <c r="R726" s="482"/>
      <c r="S726" s="482"/>
      <c r="T726" s="482"/>
      <c r="U726" s="482"/>
      <c r="V726" s="384"/>
      <c r="W726" s="563"/>
      <c r="Y726" s="563"/>
      <c r="AA726" s="384"/>
      <c r="AB726" s="384"/>
      <c r="AC726" s="384"/>
      <c r="AD726" s="384"/>
      <c r="AE726" s="384"/>
      <c r="AF726" s="384"/>
      <c r="AG726" s="384"/>
      <c r="AH726" s="384"/>
      <c r="AI726" s="384"/>
      <c r="AJ726" s="384"/>
      <c r="AK726" s="384"/>
      <c r="AL726" s="384"/>
      <c r="AM726" s="384"/>
    </row>
    <row r="727" spans="1:39" ht="15.75" customHeight="1">
      <c r="A727" s="563"/>
      <c r="B727" s="384"/>
      <c r="C727" s="563"/>
      <c r="D727" s="1997"/>
      <c r="E727" s="1998"/>
      <c r="F727" s="1954"/>
      <c r="G727" s="563"/>
      <c r="H727" s="563"/>
      <c r="I727" s="2000"/>
      <c r="J727" s="563"/>
      <c r="K727" s="384"/>
      <c r="L727" s="1901"/>
      <c r="M727" s="1999"/>
      <c r="N727" s="1999"/>
      <c r="O727" s="1999"/>
      <c r="P727" s="2002"/>
      <c r="Q727" s="2002"/>
      <c r="R727" s="482"/>
      <c r="S727" s="482"/>
      <c r="T727" s="482"/>
      <c r="U727" s="482"/>
      <c r="V727" s="384"/>
      <c r="W727" s="563"/>
      <c r="Y727" s="563"/>
      <c r="AA727" s="384"/>
      <c r="AB727" s="384"/>
      <c r="AC727" s="384"/>
      <c r="AD727" s="384"/>
      <c r="AE727" s="384"/>
      <c r="AF727" s="384"/>
      <c r="AG727" s="384"/>
      <c r="AH727" s="384"/>
      <c r="AI727" s="384"/>
      <c r="AJ727" s="384"/>
      <c r="AK727" s="384"/>
      <c r="AL727" s="384"/>
      <c r="AM727" s="384"/>
    </row>
    <row r="728" spans="1:39" ht="15.75" customHeight="1">
      <c r="A728" s="563"/>
      <c r="B728" s="384"/>
      <c r="C728" s="563"/>
      <c r="D728" s="1997"/>
      <c r="E728" s="1998"/>
      <c r="F728" s="1954"/>
      <c r="G728" s="563"/>
      <c r="H728" s="563"/>
      <c r="I728" s="2000"/>
      <c r="J728" s="563"/>
      <c r="K728" s="384"/>
      <c r="L728" s="1901"/>
      <c r="M728" s="1999"/>
      <c r="N728" s="1999"/>
      <c r="O728" s="1999"/>
      <c r="P728" s="2002"/>
      <c r="Q728" s="2002"/>
      <c r="R728" s="482"/>
      <c r="S728" s="482"/>
      <c r="T728" s="482"/>
      <c r="U728" s="482"/>
      <c r="V728" s="384"/>
      <c r="W728" s="563"/>
      <c r="Y728" s="563"/>
      <c r="AA728" s="384"/>
      <c r="AB728" s="384"/>
      <c r="AC728" s="384"/>
      <c r="AD728" s="384"/>
      <c r="AE728" s="384"/>
      <c r="AF728" s="384"/>
      <c r="AG728" s="384"/>
      <c r="AH728" s="384"/>
      <c r="AI728" s="384"/>
      <c r="AJ728" s="384"/>
      <c r="AK728" s="384"/>
      <c r="AL728" s="384"/>
      <c r="AM728" s="384"/>
    </row>
    <row r="729" spans="1:39" ht="15.75" customHeight="1">
      <c r="A729" s="563"/>
      <c r="B729" s="384"/>
      <c r="C729" s="563"/>
      <c r="D729" s="1997"/>
      <c r="E729" s="1998"/>
      <c r="F729" s="1954"/>
      <c r="G729" s="563"/>
      <c r="H729" s="563"/>
      <c r="I729" s="2000"/>
      <c r="J729" s="563"/>
      <c r="K729" s="384"/>
      <c r="L729" s="1901"/>
      <c r="M729" s="1999"/>
      <c r="N729" s="1999"/>
      <c r="O729" s="1999"/>
      <c r="P729" s="2002"/>
      <c r="Q729" s="2002"/>
      <c r="R729" s="482"/>
      <c r="S729" s="482"/>
      <c r="T729" s="482"/>
      <c r="U729" s="482"/>
      <c r="V729" s="384"/>
      <c r="W729" s="563"/>
      <c r="Y729" s="563"/>
      <c r="AA729" s="384"/>
      <c r="AB729" s="384"/>
      <c r="AC729" s="384"/>
      <c r="AD729" s="384"/>
      <c r="AE729" s="384"/>
      <c r="AF729" s="384"/>
      <c r="AG729" s="384"/>
      <c r="AH729" s="384"/>
      <c r="AI729" s="384"/>
      <c r="AJ729" s="384"/>
      <c r="AK729" s="384"/>
      <c r="AL729" s="384"/>
      <c r="AM729" s="384"/>
    </row>
    <row r="730" spans="1:39" ht="15.75" customHeight="1">
      <c r="A730" s="563"/>
      <c r="B730" s="384"/>
      <c r="C730" s="563"/>
      <c r="D730" s="1997"/>
      <c r="E730" s="1998"/>
      <c r="F730" s="1954"/>
      <c r="G730" s="563"/>
      <c r="H730" s="563"/>
      <c r="I730" s="2000"/>
      <c r="J730" s="563"/>
      <c r="K730" s="384"/>
      <c r="L730" s="1901"/>
      <c r="M730" s="1999"/>
      <c r="N730" s="1999"/>
      <c r="O730" s="1999"/>
      <c r="P730" s="2002"/>
      <c r="Q730" s="2002"/>
      <c r="R730" s="482"/>
      <c r="S730" s="482"/>
      <c r="T730" s="482"/>
      <c r="U730" s="482"/>
      <c r="V730" s="384"/>
      <c r="W730" s="563"/>
      <c r="Y730" s="563"/>
      <c r="AA730" s="384"/>
      <c r="AB730" s="384"/>
      <c r="AC730" s="384"/>
      <c r="AD730" s="384"/>
      <c r="AE730" s="384"/>
      <c r="AF730" s="384"/>
      <c r="AG730" s="384"/>
      <c r="AH730" s="384"/>
      <c r="AI730" s="384"/>
      <c r="AJ730" s="384"/>
      <c r="AK730" s="384"/>
      <c r="AL730" s="384"/>
      <c r="AM730" s="384"/>
    </row>
    <row r="731" spans="1:39" ht="15.75" customHeight="1">
      <c r="A731" s="563"/>
      <c r="B731" s="384"/>
      <c r="C731" s="563"/>
      <c r="D731" s="1997"/>
      <c r="E731" s="1998"/>
      <c r="F731" s="1954"/>
      <c r="G731" s="563"/>
      <c r="H731" s="563"/>
      <c r="I731" s="2000"/>
      <c r="J731" s="563"/>
      <c r="K731" s="384"/>
      <c r="L731" s="1901"/>
      <c r="M731" s="1999"/>
      <c r="N731" s="1999"/>
      <c r="O731" s="1999"/>
      <c r="P731" s="2002"/>
      <c r="Q731" s="2002"/>
      <c r="R731" s="482"/>
      <c r="S731" s="482"/>
      <c r="T731" s="482"/>
      <c r="U731" s="482"/>
      <c r="V731" s="384"/>
      <c r="W731" s="563"/>
      <c r="Y731" s="563"/>
      <c r="AA731" s="384"/>
      <c r="AB731" s="384"/>
      <c r="AC731" s="384"/>
      <c r="AD731" s="384"/>
      <c r="AE731" s="384"/>
      <c r="AF731" s="384"/>
      <c r="AG731" s="384"/>
      <c r="AH731" s="384"/>
      <c r="AI731" s="384"/>
      <c r="AJ731" s="384"/>
      <c r="AK731" s="384"/>
      <c r="AL731" s="384"/>
      <c r="AM731" s="384"/>
    </row>
    <row r="732" spans="1:39" ht="15.75" customHeight="1">
      <c r="A732" s="563"/>
      <c r="B732" s="384"/>
      <c r="C732" s="563"/>
      <c r="D732" s="1997"/>
      <c r="E732" s="1998"/>
      <c r="F732" s="1954"/>
      <c r="G732" s="563"/>
      <c r="H732" s="563"/>
      <c r="I732" s="2000"/>
      <c r="J732" s="563"/>
      <c r="K732" s="384"/>
      <c r="L732" s="1901"/>
      <c r="M732" s="1999"/>
      <c r="N732" s="1999"/>
      <c r="O732" s="1999"/>
      <c r="P732" s="2002"/>
      <c r="Q732" s="2002"/>
      <c r="R732" s="482"/>
      <c r="S732" s="482"/>
      <c r="T732" s="482"/>
      <c r="U732" s="482"/>
      <c r="V732" s="384"/>
      <c r="W732" s="563"/>
      <c r="Y732" s="563"/>
      <c r="AA732" s="384"/>
      <c r="AB732" s="384"/>
      <c r="AC732" s="384"/>
      <c r="AD732" s="384"/>
      <c r="AE732" s="384"/>
      <c r="AF732" s="384"/>
      <c r="AG732" s="384"/>
      <c r="AH732" s="384"/>
      <c r="AI732" s="384"/>
      <c r="AJ732" s="384"/>
      <c r="AK732" s="384"/>
      <c r="AL732" s="384"/>
      <c r="AM732" s="384"/>
    </row>
    <row r="733" spans="1:39" ht="15.75" customHeight="1">
      <c r="A733" s="563"/>
      <c r="B733" s="384"/>
      <c r="C733" s="563"/>
      <c r="D733" s="1997"/>
      <c r="E733" s="1998"/>
      <c r="F733" s="1954"/>
      <c r="G733" s="563"/>
      <c r="H733" s="563"/>
      <c r="I733" s="2000"/>
      <c r="J733" s="563"/>
      <c r="K733" s="384"/>
      <c r="L733" s="1901"/>
      <c r="M733" s="1999"/>
      <c r="N733" s="1999"/>
      <c r="O733" s="1999"/>
      <c r="P733" s="2002"/>
      <c r="Q733" s="2002"/>
      <c r="R733" s="482"/>
      <c r="S733" s="482"/>
      <c r="T733" s="482"/>
      <c r="U733" s="482"/>
      <c r="V733" s="384"/>
      <c r="W733" s="563"/>
      <c r="Y733" s="563"/>
      <c r="AA733" s="384"/>
      <c r="AB733" s="384"/>
      <c r="AC733" s="384"/>
      <c r="AD733" s="384"/>
      <c r="AE733" s="384"/>
      <c r="AF733" s="384"/>
      <c r="AG733" s="384"/>
      <c r="AH733" s="384"/>
      <c r="AI733" s="384"/>
      <c r="AJ733" s="384"/>
      <c r="AK733" s="384"/>
      <c r="AL733" s="384"/>
      <c r="AM733" s="384"/>
    </row>
    <row r="734" spans="1:39" ht="15.75" customHeight="1">
      <c r="A734" s="563"/>
      <c r="B734" s="384"/>
      <c r="C734" s="563"/>
      <c r="D734" s="1997"/>
      <c r="E734" s="1998"/>
      <c r="F734" s="1954"/>
      <c r="G734" s="563"/>
      <c r="H734" s="563"/>
      <c r="I734" s="2000"/>
      <c r="J734" s="563"/>
      <c r="K734" s="384"/>
      <c r="L734" s="1901"/>
      <c r="M734" s="1999"/>
      <c r="N734" s="1999"/>
      <c r="O734" s="1999"/>
      <c r="P734" s="2002"/>
      <c r="Q734" s="2002"/>
      <c r="R734" s="482"/>
      <c r="S734" s="482"/>
      <c r="T734" s="482"/>
      <c r="U734" s="482"/>
      <c r="V734" s="384"/>
      <c r="W734" s="563"/>
      <c r="Y734" s="563"/>
      <c r="AA734" s="384"/>
      <c r="AB734" s="384"/>
      <c r="AC734" s="384"/>
      <c r="AD734" s="384"/>
      <c r="AE734" s="384"/>
      <c r="AF734" s="384"/>
      <c r="AG734" s="384"/>
      <c r="AH734" s="384"/>
      <c r="AI734" s="384"/>
      <c r="AJ734" s="384"/>
      <c r="AK734" s="384"/>
      <c r="AL734" s="384"/>
      <c r="AM734" s="384"/>
    </row>
    <row r="735" spans="1:39" ht="15.75" customHeight="1">
      <c r="A735" s="563"/>
      <c r="B735" s="384"/>
      <c r="C735" s="563"/>
      <c r="D735" s="1997"/>
      <c r="E735" s="1998"/>
      <c r="F735" s="1954"/>
      <c r="G735" s="563"/>
      <c r="H735" s="563"/>
      <c r="I735" s="2000"/>
      <c r="J735" s="563"/>
      <c r="K735" s="384"/>
      <c r="L735" s="1901"/>
      <c r="M735" s="1999"/>
      <c r="N735" s="1999"/>
      <c r="O735" s="1999"/>
      <c r="P735" s="2002"/>
      <c r="Q735" s="2002"/>
      <c r="R735" s="482"/>
      <c r="S735" s="482"/>
      <c r="T735" s="482"/>
      <c r="U735" s="482"/>
      <c r="V735" s="384"/>
      <c r="W735" s="563"/>
      <c r="Y735" s="563"/>
      <c r="AA735" s="384"/>
      <c r="AB735" s="384"/>
      <c r="AC735" s="384"/>
      <c r="AD735" s="384"/>
      <c r="AE735" s="384"/>
      <c r="AF735" s="384"/>
      <c r="AG735" s="384"/>
      <c r="AH735" s="384"/>
      <c r="AI735" s="384"/>
      <c r="AJ735" s="384"/>
      <c r="AK735" s="384"/>
      <c r="AL735" s="384"/>
      <c r="AM735" s="384"/>
    </row>
    <row r="736" spans="1:39" ht="15.75" customHeight="1">
      <c r="A736" s="563"/>
      <c r="B736" s="384"/>
      <c r="C736" s="563"/>
      <c r="D736" s="1997"/>
      <c r="E736" s="1998"/>
      <c r="F736" s="1954"/>
      <c r="G736" s="563"/>
      <c r="H736" s="563"/>
      <c r="I736" s="2000"/>
      <c r="J736" s="563"/>
      <c r="K736" s="384"/>
      <c r="L736" s="1901"/>
      <c r="M736" s="1999"/>
      <c r="N736" s="1999"/>
      <c r="O736" s="1999"/>
      <c r="P736" s="2002"/>
      <c r="Q736" s="2002"/>
      <c r="R736" s="482"/>
      <c r="S736" s="482"/>
      <c r="T736" s="482"/>
      <c r="U736" s="482"/>
      <c r="V736" s="384"/>
      <c r="W736" s="563"/>
      <c r="Y736" s="563"/>
      <c r="AA736" s="384"/>
      <c r="AB736" s="384"/>
      <c r="AC736" s="384"/>
      <c r="AD736" s="384"/>
      <c r="AE736" s="384"/>
      <c r="AF736" s="384"/>
      <c r="AG736" s="384"/>
      <c r="AH736" s="384"/>
      <c r="AI736" s="384"/>
      <c r="AJ736" s="384"/>
      <c r="AK736" s="384"/>
      <c r="AL736" s="384"/>
      <c r="AM736" s="384"/>
    </row>
    <row r="737" spans="1:39" ht="15.75" customHeight="1">
      <c r="A737" s="563"/>
      <c r="B737" s="384"/>
      <c r="C737" s="563"/>
      <c r="D737" s="1997"/>
      <c r="E737" s="1998"/>
      <c r="F737" s="1954"/>
      <c r="G737" s="563"/>
      <c r="H737" s="563"/>
      <c r="I737" s="2000"/>
      <c r="J737" s="563"/>
      <c r="K737" s="384"/>
      <c r="L737" s="1901"/>
      <c r="M737" s="1999"/>
      <c r="N737" s="1999"/>
      <c r="O737" s="1999"/>
      <c r="P737" s="2002"/>
      <c r="Q737" s="2002"/>
      <c r="R737" s="482"/>
      <c r="S737" s="482"/>
      <c r="T737" s="482"/>
      <c r="U737" s="482"/>
      <c r="V737" s="384"/>
      <c r="W737" s="563"/>
      <c r="Y737" s="563"/>
      <c r="AA737" s="384"/>
      <c r="AB737" s="384"/>
      <c r="AC737" s="384"/>
      <c r="AD737" s="384"/>
      <c r="AE737" s="384"/>
      <c r="AF737" s="384"/>
      <c r="AG737" s="384"/>
      <c r="AH737" s="384"/>
      <c r="AI737" s="384"/>
      <c r="AJ737" s="384"/>
      <c r="AK737" s="384"/>
      <c r="AL737" s="384"/>
      <c r="AM737" s="384"/>
    </row>
    <row r="738" spans="1:39" ht="15.75" customHeight="1">
      <c r="A738" s="563"/>
      <c r="B738" s="384"/>
      <c r="C738" s="563"/>
      <c r="D738" s="1997"/>
      <c r="E738" s="1998"/>
      <c r="F738" s="1954"/>
      <c r="G738" s="563"/>
      <c r="H738" s="563"/>
      <c r="I738" s="2000"/>
      <c r="J738" s="563"/>
      <c r="K738" s="384"/>
      <c r="L738" s="1901"/>
      <c r="M738" s="1999"/>
      <c r="N738" s="1999"/>
      <c r="O738" s="1999"/>
      <c r="P738" s="2002"/>
      <c r="Q738" s="2002"/>
      <c r="R738" s="482"/>
      <c r="S738" s="482"/>
      <c r="T738" s="482"/>
      <c r="U738" s="482"/>
      <c r="V738" s="384"/>
      <c r="W738" s="563"/>
      <c r="Y738" s="563"/>
      <c r="AA738" s="384"/>
      <c r="AB738" s="384"/>
      <c r="AC738" s="384"/>
      <c r="AD738" s="384"/>
      <c r="AE738" s="384"/>
      <c r="AF738" s="384"/>
      <c r="AG738" s="384"/>
      <c r="AH738" s="384"/>
      <c r="AI738" s="384"/>
      <c r="AJ738" s="384"/>
      <c r="AK738" s="384"/>
      <c r="AL738" s="384"/>
      <c r="AM738" s="384"/>
    </row>
    <row r="739" spans="1:39" ht="15.75" customHeight="1">
      <c r="A739" s="563"/>
      <c r="B739" s="384"/>
      <c r="C739" s="563"/>
      <c r="D739" s="1997"/>
      <c r="E739" s="1998"/>
      <c r="F739" s="1954"/>
      <c r="G739" s="563"/>
      <c r="H739" s="563"/>
      <c r="I739" s="2000"/>
      <c r="J739" s="563"/>
      <c r="K739" s="384"/>
      <c r="L739" s="1901"/>
      <c r="M739" s="1999"/>
      <c r="N739" s="1999"/>
      <c r="O739" s="1999"/>
      <c r="P739" s="2002"/>
      <c r="Q739" s="2002"/>
      <c r="R739" s="482"/>
      <c r="S739" s="482"/>
      <c r="T739" s="482"/>
      <c r="U739" s="482"/>
      <c r="V739" s="384"/>
      <c r="W739" s="563"/>
      <c r="Y739" s="563"/>
      <c r="AA739" s="384"/>
      <c r="AB739" s="384"/>
      <c r="AC739" s="384"/>
      <c r="AD739" s="384"/>
      <c r="AE739" s="384"/>
      <c r="AF739" s="384"/>
      <c r="AG739" s="384"/>
      <c r="AH739" s="384"/>
      <c r="AI739" s="384"/>
      <c r="AJ739" s="384"/>
      <c r="AK739" s="384"/>
      <c r="AL739" s="384"/>
      <c r="AM739" s="384"/>
    </row>
    <row r="740" spans="1:39" ht="15.75" customHeight="1">
      <c r="A740" s="563"/>
      <c r="B740" s="384"/>
      <c r="C740" s="563"/>
      <c r="D740" s="1997"/>
      <c r="E740" s="1998"/>
      <c r="F740" s="1954"/>
      <c r="G740" s="563"/>
      <c r="H740" s="563"/>
      <c r="I740" s="2000"/>
      <c r="J740" s="563"/>
      <c r="K740" s="384"/>
      <c r="L740" s="1901"/>
      <c r="M740" s="1999"/>
      <c r="N740" s="1999"/>
      <c r="O740" s="1999"/>
      <c r="P740" s="2002"/>
      <c r="Q740" s="2002"/>
      <c r="R740" s="482"/>
      <c r="S740" s="482"/>
      <c r="T740" s="482"/>
      <c r="U740" s="482"/>
      <c r="V740" s="384"/>
      <c r="W740" s="563"/>
      <c r="Y740" s="563"/>
      <c r="AA740" s="384"/>
      <c r="AB740" s="384"/>
      <c r="AC740" s="384"/>
      <c r="AD740" s="384"/>
      <c r="AE740" s="384"/>
      <c r="AF740" s="384"/>
      <c r="AG740" s="384"/>
      <c r="AH740" s="384"/>
      <c r="AI740" s="384"/>
      <c r="AJ740" s="384"/>
      <c r="AK740" s="384"/>
      <c r="AL740" s="384"/>
      <c r="AM740" s="384"/>
    </row>
    <row r="741" spans="1:39" ht="15.75" customHeight="1">
      <c r="A741" s="563"/>
      <c r="B741" s="384"/>
      <c r="C741" s="563"/>
      <c r="D741" s="1997"/>
      <c r="E741" s="1998"/>
      <c r="F741" s="1954"/>
      <c r="G741" s="563"/>
      <c r="H741" s="563"/>
      <c r="I741" s="2000"/>
      <c r="J741" s="563"/>
      <c r="K741" s="384"/>
      <c r="L741" s="1901"/>
      <c r="M741" s="1999"/>
      <c r="N741" s="1999"/>
      <c r="O741" s="1999"/>
      <c r="P741" s="2002"/>
      <c r="Q741" s="2002"/>
      <c r="R741" s="482"/>
      <c r="S741" s="482"/>
      <c r="T741" s="482"/>
      <c r="U741" s="482"/>
      <c r="V741" s="384"/>
      <c r="W741" s="563"/>
      <c r="Y741" s="563"/>
      <c r="AA741" s="384"/>
      <c r="AB741" s="384"/>
      <c r="AC741" s="384"/>
      <c r="AD741" s="384"/>
      <c r="AE741" s="384"/>
      <c r="AF741" s="384"/>
      <c r="AG741" s="384"/>
      <c r="AH741" s="384"/>
      <c r="AI741" s="384"/>
      <c r="AJ741" s="384"/>
      <c r="AK741" s="384"/>
      <c r="AL741" s="384"/>
      <c r="AM741" s="384"/>
    </row>
    <row r="742" spans="1:39" ht="15.75" customHeight="1">
      <c r="A742" s="563"/>
      <c r="B742" s="384"/>
      <c r="C742" s="563"/>
      <c r="D742" s="1997"/>
      <c r="E742" s="1998"/>
      <c r="F742" s="1954"/>
      <c r="G742" s="563"/>
      <c r="H742" s="563"/>
      <c r="I742" s="2000"/>
      <c r="J742" s="563"/>
      <c r="K742" s="384"/>
      <c r="L742" s="1901"/>
      <c r="M742" s="1999"/>
      <c r="N742" s="1999"/>
      <c r="O742" s="1999"/>
      <c r="P742" s="2002"/>
      <c r="Q742" s="2002"/>
      <c r="R742" s="482"/>
      <c r="S742" s="482"/>
      <c r="T742" s="482"/>
      <c r="U742" s="482"/>
      <c r="V742" s="384"/>
      <c r="W742" s="563"/>
      <c r="Y742" s="563"/>
      <c r="AA742" s="384"/>
      <c r="AB742" s="384"/>
      <c r="AC742" s="384"/>
      <c r="AD742" s="384"/>
      <c r="AE742" s="384"/>
      <c r="AF742" s="384"/>
      <c r="AG742" s="384"/>
      <c r="AH742" s="384"/>
      <c r="AI742" s="384"/>
      <c r="AJ742" s="384"/>
      <c r="AK742" s="384"/>
      <c r="AL742" s="384"/>
      <c r="AM742" s="384"/>
    </row>
    <row r="743" spans="1:39" ht="15.75" customHeight="1">
      <c r="A743" s="563"/>
      <c r="B743" s="384"/>
      <c r="C743" s="563"/>
      <c r="D743" s="1997"/>
      <c r="E743" s="1998"/>
      <c r="F743" s="1954"/>
      <c r="G743" s="563"/>
      <c r="H743" s="563"/>
      <c r="I743" s="2000"/>
      <c r="J743" s="563"/>
      <c r="K743" s="384"/>
      <c r="L743" s="1901"/>
      <c r="M743" s="1999"/>
      <c r="N743" s="1999"/>
      <c r="O743" s="1999"/>
      <c r="P743" s="2002"/>
      <c r="Q743" s="2002"/>
      <c r="R743" s="482"/>
      <c r="S743" s="482"/>
      <c r="T743" s="482"/>
      <c r="U743" s="482"/>
      <c r="V743" s="384"/>
      <c r="W743" s="563"/>
      <c r="Y743" s="563"/>
      <c r="AA743" s="384"/>
      <c r="AB743" s="384"/>
      <c r="AC743" s="384"/>
      <c r="AD743" s="384"/>
      <c r="AE743" s="384"/>
      <c r="AF743" s="384"/>
      <c r="AG743" s="384"/>
      <c r="AH743" s="384"/>
      <c r="AI743" s="384"/>
      <c r="AJ743" s="384"/>
      <c r="AK743" s="384"/>
      <c r="AL743" s="384"/>
      <c r="AM743" s="384"/>
    </row>
    <row r="744" spans="1:39" ht="15.75" customHeight="1">
      <c r="A744" s="563"/>
      <c r="B744" s="384"/>
      <c r="C744" s="563"/>
      <c r="D744" s="1997"/>
      <c r="E744" s="1998"/>
      <c r="F744" s="1954"/>
      <c r="G744" s="563"/>
      <c r="H744" s="563"/>
      <c r="I744" s="2000"/>
      <c r="J744" s="563"/>
      <c r="K744" s="384"/>
      <c r="L744" s="1901"/>
      <c r="M744" s="1999"/>
      <c r="N744" s="1999"/>
      <c r="O744" s="1999"/>
      <c r="P744" s="2002"/>
      <c r="Q744" s="2002"/>
      <c r="R744" s="482"/>
      <c r="S744" s="482"/>
      <c r="T744" s="482"/>
      <c r="U744" s="482"/>
      <c r="V744" s="384"/>
      <c r="W744" s="563"/>
      <c r="Y744" s="563"/>
      <c r="AA744" s="384"/>
      <c r="AB744" s="384"/>
      <c r="AC744" s="384"/>
      <c r="AD744" s="384"/>
      <c r="AE744" s="384"/>
      <c r="AF744" s="384"/>
      <c r="AG744" s="384"/>
      <c r="AH744" s="384"/>
      <c r="AI744" s="384"/>
      <c r="AJ744" s="384"/>
      <c r="AK744" s="384"/>
      <c r="AL744" s="384"/>
      <c r="AM744" s="384"/>
    </row>
    <row r="745" spans="1:39" ht="15.75" customHeight="1">
      <c r="A745" s="563"/>
      <c r="B745" s="384"/>
      <c r="C745" s="563"/>
      <c r="D745" s="1997"/>
      <c r="E745" s="1998"/>
      <c r="F745" s="1954"/>
      <c r="G745" s="563"/>
      <c r="H745" s="563"/>
      <c r="I745" s="2000"/>
      <c r="J745" s="563"/>
      <c r="K745" s="384"/>
      <c r="L745" s="1901"/>
      <c r="M745" s="1999"/>
      <c r="N745" s="1999"/>
      <c r="O745" s="1999"/>
      <c r="P745" s="2002"/>
      <c r="Q745" s="2002"/>
      <c r="R745" s="482"/>
      <c r="S745" s="482"/>
      <c r="T745" s="482"/>
      <c r="U745" s="482"/>
      <c r="V745" s="384"/>
      <c r="W745" s="563"/>
      <c r="Y745" s="563"/>
      <c r="AA745" s="384"/>
      <c r="AB745" s="384"/>
      <c r="AC745" s="384"/>
      <c r="AD745" s="384"/>
      <c r="AE745" s="384"/>
      <c r="AF745" s="384"/>
      <c r="AG745" s="384"/>
      <c r="AH745" s="384"/>
      <c r="AI745" s="384"/>
      <c r="AJ745" s="384"/>
      <c r="AK745" s="384"/>
      <c r="AL745" s="384"/>
      <c r="AM745" s="384"/>
    </row>
    <row r="746" spans="1:39" ht="15.75" customHeight="1">
      <c r="A746" s="563"/>
      <c r="B746" s="384"/>
      <c r="C746" s="563"/>
      <c r="D746" s="1997"/>
      <c r="E746" s="1998"/>
      <c r="F746" s="1954"/>
      <c r="G746" s="563"/>
      <c r="H746" s="563"/>
      <c r="I746" s="2000"/>
      <c r="J746" s="563"/>
      <c r="K746" s="384"/>
      <c r="L746" s="1901"/>
      <c r="M746" s="1999"/>
      <c r="N746" s="1999"/>
      <c r="O746" s="1999"/>
      <c r="P746" s="2002"/>
      <c r="Q746" s="2002"/>
      <c r="R746" s="482"/>
      <c r="S746" s="482"/>
      <c r="T746" s="482"/>
      <c r="U746" s="482"/>
      <c r="V746" s="384"/>
      <c r="W746" s="563"/>
      <c r="Y746" s="563"/>
      <c r="AA746" s="384"/>
      <c r="AB746" s="384"/>
      <c r="AC746" s="384"/>
      <c r="AD746" s="384"/>
      <c r="AE746" s="384"/>
      <c r="AF746" s="384"/>
      <c r="AG746" s="384"/>
      <c r="AH746" s="384"/>
      <c r="AI746" s="384"/>
      <c r="AJ746" s="384"/>
      <c r="AK746" s="384"/>
      <c r="AL746" s="384"/>
      <c r="AM746" s="384"/>
    </row>
    <row r="747" spans="1:39" ht="15.75" customHeight="1">
      <c r="A747" s="563"/>
      <c r="B747" s="384"/>
      <c r="C747" s="563"/>
      <c r="D747" s="1997"/>
      <c r="E747" s="1998"/>
      <c r="F747" s="1954"/>
      <c r="G747" s="563"/>
      <c r="H747" s="563"/>
      <c r="I747" s="2000"/>
      <c r="J747" s="563"/>
      <c r="K747" s="384"/>
      <c r="L747" s="1901"/>
      <c r="M747" s="1999"/>
      <c r="N747" s="1999"/>
      <c r="O747" s="1999"/>
      <c r="P747" s="2002"/>
      <c r="Q747" s="2002"/>
      <c r="R747" s="482"/>
      <c r="S747" s="482"/>
      <c r="T747" s="482"/>
      <c r="U747" s="482"/>
      <c r="V747" s="384"/>
      <c r="W747" s="563"/>
      <c r="Y747" s="563"/>
      <c r="AA747" s="384"/>
      <c r="AB747" s="384"/>
      <c r="AC747" s="384"/>
      <c r="AD747" s="384"/>
      <c r="AE747" s="384"/>
      <c r="AF747" s="384"/>
      <c r="AG747" s="384"/>
      <c r="AH747" s="384"/>
      <c r="AI747" s="384"/>
      <c r="AJ747" s="384"/>
      <c r="AK747" s="384"/>
      <c r="AL747" s="384"/>
      <c r="AM747" s="384"/>
    </row>
    <row r="748" spans="1:39" ht="15.75" customHeight="1">
      <c r="A748" s="563"/>
      <c r="B748" s="384"/>
      <c r="C748" s="563"/>
      <c r="D748" s="1997"/>
      <c r="E748" s="1998"/>
      <c r="F748" s="1954"/>
      <c r="G748" s="563"/>
      <c r="H748" s="563"/>
      <c r="I748" s="2000"/>
      <c r="J748" s="563"/>
      <c r="K748" s="384"/>
      <c r="L748" s="1901"/>
      <c r="M748" s="1999"/>
      <c r="N748" s="1999"/>
      <c r="O748" s="1999"/>
      <c r="P748" s="2002"/>
      <c r="Q748" s="2002"/>
      <c r="R748" s="482"/>
      <c r="S748" s="482"/>
      <c r="T748" s="482"/>
      <c r="U748" s="482"/>
      <c r="V748" s="384"/>
      <c r="W748" s="563"/>
      <c r="Y748" s="563"/>
      <c r="AA748" s="384"/>
      <c r="AB748" s="384"/>
      <c r="AC748" s="384"/>
      <c r="AD748" s="384"/>
      <c r="AE748" s="384"/>
      <c r="AF748" s="384"/>
      <c r="AG748" s="384"/>
      <c r="AH748" s="384"/>
      <c r="AI748" s="384"/>
      <c r="AJ748" s="384"/>
      <c r="AK748" s="384"/>
      <c r="AL748" s="384"/>
      <c r="AM748" s="384"/>
    </row>
    <row r="749" spans="1:39" ht="15.75" customHeight="1">
      <c r="A749" s="563"/>
      <c r="B749" s="384"/>
      <c r="C749" s="563"/>
      <c r="D749" s="1997"/>
      <c r="E749" s="1998"/>
      <c r="F749" s="1954"/>
      <c r="G749" s="563"/>
      <c r="H749" s="563"/>
      <c r="I749" s="2000"/>
      <c r="J749" s="563"/>
      <c r="K749" s="384"/>
      <c r="L749" s="1901"/>
      <c r="M749" s="1999"/>
      <c r="N749" s="1999"/>
      <c r="O749" s="1999"/>
      <c r="P749" s="2002"/>
      <c r="Q749" s="2002"/>
      <c r="R749" s="482"/>
      <c r="S749" s="482"/>
      <c r="T749" s="482"/>
      <c r="U749" s="482"/>
      <c r="V749" s="384"/>
      <c r="W749" s="563"/>
      <c r="Y749" s="563"/>
      <c r="AA749" s="384"/>
      <c r="AB749" s="384"/>
      <c r="AC749" s="384"/>
      <c r="AD749" s="384"/>
      <c r="AE749" s="384"/>
      <c r="AF749" s="384"/>
      <c r="AG749" s="384"/>
      <c r="AH749" s="384"/>
      <c r="AI749" s="384"/>
      <c r="AJ749" s="384"/>
      <c r="AK749" s="384"/>
      <c r="AL749" s="384"/>
      <c r="AM749" s="384"/>
    </row>
    <row r="750" spans="1:39" ht="15.75" customHeight="1">
      <c r="A750" s="563"/>
      <c r="B750" s="384"/>
      <c r="C750" s="563"/>
      <c r="D750" s="1997"/>
      <c r="E750" s="1998"/>
      <c r="F750" s="1954"/>
      <c r="G750" s="563"/>
      <c r="H750" s="563"/>
      <c r="I750" s="2000"/>
      <c r="J750" s="563"/>
      <c r="K750" s="384"/>
      <c r="L750" s="1901"/>
      <c r="M750" s="1999"/>
      <c r="N750" s="1999"/>
      <c r="O750" s="1999"/>
      <c r="P750" s="2002"/>
      <c r="Q750" s="2002"/>
      <c r="R750" s="482"/>
      <c r="S750" s="482"/>
      <c r="T750" s="482"/>
      <c r="U750" s="482"/>
      <c r="V750" s="384"/>
      <c r="W750" s="563"/>
      <c r="Y750" s="563"/>
      <c r="AA750" s="384"/>
      <c r="AB750" s="384"/>
      <c r="AC750" s="384"/>
      <c r="AD750" s="384"/>
      <c r="AE750" s="384"/>
      <c r="AF750" s="384"/>
      <c r="AG750" s="384"/>
      <c r="AH750" s="384"/>
      <c r="AI750" s="384"/>
      <c r="AJ750" s="384"/>
      <c r="AK750" s="384"/>
      <c r="AL750" s="384"/>
      <c r="AM750" s="384"/>
    </row>
    <row r="751" spans="1:39" ht="15.75" customHeight="1">
      <c r="A751" s="563"/>
      <c r="B751" s="384"/>
      <c r="C751" s="563"/>
      <c r="D751" s="1997"/>
      <c r="E751" s="1998"/>
      <c r="F751" s="1954"/>
      <c r="G751" s="563"/>
      <c r="H751" s="563"/>
      <c r="I751" s="2000"/>
      <c r="J751" s="563"/>
      <c r="K751" s="384"/>
      <c r="L751" s="1901"/>
      <c r="M751" s="1999"/>
      <c r="N751" s="1999"/>
      <c r="O751" s="1999"/>
      <c r="P751" s="2002"/>
      <c r="Q751" s="2002"/>
      <c r="R751" s="482"/>
      <c r="S751" s="482"/>
      <c r="T751" s="482"/>
      <c r="U751" s="482"/>
      <c r="V751" s="384"/>
      <c r="W751" s="563"/>
      <c r="Y751" s="563"/>
      <c r="AA751" s="384"/>
      <c r="AB751" s="384"/>
      <c r="AC751" s="384"/>
      <c r="AD751" s="384"/>
      <c r="AE751" s="384"/>
      <c r="AF751" s="384"/>
      <c r="AG751" s="384"/>
      <c r="AH751" s="384"/>
      <c r="AI751" s="384"/>
      <c r="AJ751" s="384"/>
      <c r="AK751" s="384"/>
      <c r="AL751" s="384"/>
      <c r="AM751" s="384"/>
    </row>
    <row r="752" spans="1:39" ht="15.75" customHeight="1">
      <c r="A752" s="563"/>
      <c r="B752" s="384"/>
      <c r="C752" s="563"/>
      <c r="D752" s="1997"/>
      <c r="E752" s="1998"/>
      <c r="F752" s="1954"/>
      <c r="G752" s="563"/>
      <c r="H752" s="563"/>
      <c r="I752" s="2000"/>
      <c r="J752" s="563"/>
      <c r="K752" s="384"/>
      <c r="L752" s="1901"/>
      <c r="M752" s="1999"/>
      <c r="N752" s="1999"/>
      <c r="O752" s="1999"/>
      <c r="P752" s="2002"/>
      <c r="Q752" s="2002"/>
      <c r="R752" s="482"/>
      <c r="S752" s="482"/>
      <c r="T752" s="482"/>
      <c r="U752" s="482"/>
      <c r="V752" s="384"/>
      <c r="W752" s="563"/>
      <c r="Y752" s="563"/>
      <c r="AA752" s="384"/>
      <c r="AB752" s="384"/>
      <c r="AC752" s="384"/>
      <c r="AD752" s="384"/>
      <c r="AE752" s="384"/>
      <c r="AF752" s="384"/>
      <c r="AG752" s="384"/>
      <c r="AH752" s="384"/>
      <c r="AI752" s="384"/>
      <c r="AJ752" s="384"/>
      <c r="AK752" s="384"/>
      <c r="AL752" s="384"/>
      <c r="AM752" s="384"/>
    </row>
    <row r="753" spans="1:39" ht="15.75" customHeight="1">
      <c r="A753" s="563"/>
      <c r="B753" s="384"/>
      <c r="C753" s="563"/>
      <c r="D753" s="1997"/>
      <c r="E753" s="1998"/>
      <c r="F753" s="1954"/>
      <c r="G753" s="563"/>
      <c r="H753" s="563"/>
      <c r="I753" s="2000"/>
      <c r="J753" s="563"/>
      <c r="K753" s="384"/>
      <c r="L753" s="1901"/>
      <c r="M753" s="1999"/>
      <c r="N753" s="1999"/>
      <c r="O753" s="1999"/>
      <c r="P753" s="2002"/>
      <c r="Q753" s="2002"/>
      <c r="R753" s="482"/>
      <c r="S753" s="482"/>
      <c r="T753" s="482"/>
      <c r="U753" s="482"/>
      <c r="V753" s="384"/>
      <c r="W753" s="563"/>
      <c r="Y753" s="563"/>
      <c r="AA753" s="384"/>
      <c r="AB753" s="384"/>
      <c r="AC753" s="384"/>
      <c r="AD753" s="384"/>
      <c r="AE753" s="384"/>
      <c r="AF753" s="384"/>
      <c r="AG753" s="384"/>
      <c r="AH753" s="384"/>
      <c r="AI753" s="384"/>
      <c r="AJ753" s="384"/>
      <c r="AK753" s="384"/>
      <c r="AL753" s="384"/>
      <c r="AM753" s="384"/>
    </row>
    <row r="754" spans="1:39" ht="15.75" customHeight="1">
      <c r="A754" s="563"/>
      <c r="B754" s="384"/>
      <c r="C754" s="563"/>
      <c r="D754" s="1997"/>
      <c r="E754" s="1998"/>
      <c r="F754" s="1954"/>
      <c r="G754" s="563"/>
      <c r="H754" s="563"/>
      <c r="I754" s="2000"/>
      <c r="J754" s="563"/>
      <c r="K754" s="384"/>
      <c r="L754" s="1901"/>
      <c r="M754" s="1999"/>
      <c r="N754" s="1999"/>
      <c r="O754" s="1999"/>
      <c r="P754" s="2002"/>
      <c r="Q754" s="2002"/>
      <c r="R754" s="482"/>
      <c r="S754" s="482"/>
      <c r="T754" s="482"/>
      <c r="U754" s="482"/>
      <c r="V754" s="384"/>
      <c r="W754" s="563"/>
      <c r="Y754" s="563"/>
      <c r="AA754" s="384"/>
      <c r="AB754" s="384"/>
      <c r="AC754" s="384"/>
      <c r="AD754" s="384"/>
      <c r="AE754" s="384"/>
      <c r="AF754" s="384"/>
      <c r="AG754" s="384"/>
      <c r="AH754" s="384"/>
      <c r="AI754" s="384"/>
      <c r="AJ754" s="384"/>
      <c r="AK754" s="384"/>
      <c r="AL754" s="384"/>
      <c r="AM754" s="384"/>
    </row>
    <row r="755" spans="1:39" ht="15.75" customHeight="1">
      <c r="A755" s="563"/>
      <c r="B755" s="384"/>
      <c r="C755" s="563"/>
      <c r="D755" s="1997"/>
      <c r="E755" s="1998"/>
      <c r="F755" s="1954"/>
      <c r="G755" s="563"/>
      <c r="H755" s="563"/>
      <c r="I755" s="2000"/>
      <c r="J755" s="563"/>
      <c r="K755" s="384"/>
      <c r="L755" s="1901"/>
      <c r="M755" s="1999"/>
      <c r="N755" s="1999"/>
      <c r="O755" s="1999"/>
      <c r="P755" s="2002"/>
      <c r="Q755" s="2002"/>
      <c r="R755" s="482"/>
      <c r="S755" s="482"/>
      <c r="T755" s="482"/>
      <c r="U755" s="482"/>
      <c r="V755" s="384"/>
      <c r="W755" s="563"/>
      <c r="Y755" s="563"/>
      <c r="AA755" s="384"/>
      <c r="AB755" s="384"/>
      <c r="AC755" s="384"/>
      <c r="AD755" s="384"/>
      <c r="AE755" s="384"/>
      <c r="AF755" s="384"/>
      <c r="AG755" s="384"/>
      <c r="AH755" s="384"/>
      <c r="AI755" s="384"/>
      <c r="AJ755" s="384"/>
      <c r="AK755" s="384"/>
      <c r="AL755" s="384"/>
      <c r="AM755" s="384"/>
    </row>
    <row r="756" spans="1:39" ht="15.75" customHeight="1">
      <c r="A756" s="563"/>
      <c r="B756" s="384"/>
      <c r="C756" s="563"/>
      <c r="D756" s="1997"/>
      <c r="E756" s="1998"/>
      <c r="F756" s="1954"/>
      <c r="G756" s="563"/>
      <c r="H756" s="563"/>
      <c r="I756" s="2000"/>
      <c r="J756" s="563"/>
      <c r="K756" s="384"/>
      <c r="L756" s="1901"/>
      <c r="M756" s="1999"/>
      <c r="N756" s="1999"/>
      <c r="O756" s="1999"/>
      <c r="P756" s="2002"/>
      <c r="Q756" s="2002"/>
      <c r="R756" s="482"/>
      <c r="S756" s="482"/>
      <c r="T756" s="482"/>
      <c r="U756" s="482"/>
      <c r="V756" s="384"/>
      <c r="W756" s="563"/>
      <c r="Y756" s="563"/>
      <c r="AA756" s="384"/>
      <c r="AB756" s="384"/>
      <c r="AC756" s="384"/>
      <c r="AD756" s="384"/>
      <c r="AE756" s="384"/>
      <c r="AF756" s="384"/>
      <c r="AG756" s="384"/>
      <c r="AH756" s="384"/>
      <c r="AI756" s="384"/>
      <c r="AJ756" s="384"/>
      <c r="AK756" s="384"/>
      <c r="AL756" s="384"/>
      <c r="AM756" s="384"/>
    </row>
    <row r="757" spans="1:39" ht="15.75" customHeight="1">
      <c r="A757" s="563"/>
      <c r="B757" s="384"/>
      <c r="C757" s="563"/>
      <c r="D757" s="1997"/>
      <c r="E757" s="1998"/>
      <c r="F757" s="1954"/>
      <c r="G757" s="563"/>
      <c r="H757" s="563"/>
      <c r="I757" s="2000"/>
      <c r="J757" s="563"/>
      <c r="K757" s="384"/>
      <c r="L757" s="1901"/>
      <c r="M757" s="1999"/>
      <c r="N757" s="1999"/>
      <c r="O757" s="1999"/>
      <c r="P757" s="2002"/>
      <c r="Q757" s="2002"/>
      <c r="R757" s="482"/>
      <c r="S757" s="482"/>
      <c r="T757" s="482"/>
      <c r="U757" s="482"/>
      <c r="V757" s="384"/>
      <c r="W757" s="563"/>
      <c r="Y757" s="563"/>
      <c r="AA757" s="384"/>
      <c r="AB757" s="384"/>
      <c r="AC757" s="384"/>
      <c r="AD757" s="384"/>
      <c r="AE757" s="384"/>
      <c r="AF757" s="384"/>
      <c r="AG757" s="384"/>
      <c r="AH757" s="384"/>
      <c r="AI757" s="384"/>
      <c r="AJ757" s="384"/>
      <c r="AK757" s="384"/>
      <c r="AL757" s="384"/>
      <c r="AM757" s="384"/>
    </row>
    <row r="758" spans="1:39" ht="15.75" customHeight="1">
      <c r="A758" s="563"/>
      <c r="B758" s="384"/>
      <c r="C758" s="563"/>
      <c r="D758" s="1997"/>
      <c r="E758" s="1998"/>
      <c r="F758" s="1954"/>
      <c r="G758" s="563"/>
      <c r="H758" s="563"/>
      <c r="I758" s="2000"/>
      <c r="J758" s="563"/>
      <c r="K758" s="384"/>
      <c r="L758" s="1901"/>
      <c r="M758" s="1999"/>
      <c r="N758" s="1999"/>
      <c r="O758" s="1999"/>
      <c r="P758" s="2002"/>
      <c r="Q758" s="2002"/>
      <c r="R758" s="482"/>
      <c r="S758" s="482"/>
      <c r="T758" s="482"/>
      <c r="U758" s="482"/>
      <c r="V758" s="384"/>
      <c r="W758" s="563"/>
      <c r="Y758" s="563"/>
      <c r="AA758" s="384"/>
      <c r="AB758" s="384"/>
      <c r="AC758" s="384"/>
      <c r="AD758" s="384"/>
      <c r="AE758" s="384"/>
      <c r="AF758" s="384"/>
      <c r="AG758" s="384"/>
      <c r="AH758" s="384"/>
      <c r="AI758" s="384"/>
      <c r="AJ758" s="384"/>
      <c r="AK758" s="384"/>
      <c r="AL758" s="384"/>
      <c r="AM758" s="384"/>
    </row>
    <row r="759" spans="1:39" ht="15.75" customHeight="1">
      <c r="A759" s="563"/>
      <c r="B759" s="384"/>
      <c r="C759" s="563"/>
      <c r="D759" s="1997"/>
      <c r="E759" s="1998"/>
      <c r="F759" s="1954"/>
      <c r="G759" s="563"/>
      <c r="H759" s="563"/>
      <c r="I759" s="2000"/>
      <c r="J759" s="563"/>
      <c r="K759" s="384"/>
      <c r="L759" s="1901"/>
      <c r="M759" s="1999"/>
      <c r="N759" s="1999"/>
      <c r="O759" s="1999"/>
      <c r="P759" s="2002"/>
      <c r="Q759" s="2002"/>
      <c r="R759" s="482"/>
      <c r="S759" s="482"/>
      <c r="T759" s="482"/>
      <c r="U759" s="482"/>
      <c r="V759" s="384"/>
      <c r="W759" s="563"/>
      <c r="Y759" s="563"/>
      <c r="AA759" s="384"/>
      <c r="AB759" s="384"/>
      <c r="AC759" s="384"/>
      <c r="AD759" s="384"/>
      <c r="AE759" s="384"/>
      <c r="AF759" s="384"/>
      <c r="AG759" s="384"/>
      <c r="AH759" s="384"/>
      <c r="AI759" s="384"/>
      <c r="AJ759" s="384"/>
      <c r="AK759" s="384"/>
      <c r="AL759" s="384"/>
      <c r="AM759" s="384"/>
    </row>
    <row r="760" spans="1:39" ht="15.75" customHeight="1">
      <c r="A760" s="563"/>
      <c r="B760" s="384"/>
      <c r="C760" s="563"/>
      <c r="D760" s="1997"/>
      <c r="E760" s="1998"/>
      <c r="F760" s="1954"/>
      <c r="G760" s="563"/>
      <c r="H760" s="563"/>
      <c r="I760" s="2000"/>
      <c r="J760" s="563"/>
      <c r="K760" s="384"/>
      <c r="L760" s="1901"/>
      <c r="M760" s="1999"/>
      <c r="N760" s="1999"/>
      <c r="O760" s="1999"/>
      <c r="P760" s="2002"/>
      <c r="Q760" s="2002"/>
      <c r="R760" s="482"/>
      <c r="S760" s="482"/>
      <c r="T760" s="482"/>
      <c r="U760" s="482"/>
      <c r="V760" s="384"/>
      <c r="W760" s="563"/>
      <c r="Y760" s="563"/>
      <c r="AA760" s="384"/>
      <c r="AB760" s="384"/>
      <c r="AC760" s="384"/>
      <c r="AD760" s="384"/>
      <c r="AE760" s="384"/>
      <c r="AF760" s="384"/>
      <c r="AG760" s="384"/>
      <c r="AH760" s="384"/>
      <c r="AI760" s="384"/>
      <c r="AJ760" s="384"/>
      <c r="AK760" s="384"/>
      <c r="AL760" s="384"/>
      <c r="AM760" s="384"/>
    </row>
    <row r="761" spans="1:39" ht="15.75" customHeight="1">
      <c r="A761" s="563"/>
      <c r="B761" s="384"/>
      <c r="C761" s="563"/>
      <c r="D761" s="1997"/>
      <c r="E761" s="1998"/>
      <c r="F761" s="1954"/>
      <c r="G761" s="563"/>
      <c r="H761" s="563"/>
      <c r="I761" s="2000"/>
      <c r="J761" s="563"/>
      <c r="K761" s="384"/>
      <c r="L761" s="1901"/>
      <c r="M761" s="1999"/>
      <c r="N761" s="1999"/>
      <c r="O761" s="1999"/>
      <c r="P761" s="2002"/>
      <c r="Q761" s="2002"/>
      <c r="R761" s="482"/>
      <c r="S761" s="482"/>
      <c r="T761" s="482"/>
      <c r="U761" s="482"/>
      <c r="V761" s="384"/>
      <c r="W761" s="563"/>
      <c r="Y761" s="563"/>
      <c r="AA761" s="384"/>
      <c r="AB761" s="384"/>
      <c r="AC761" s="384"/>
      <c r="AD761" s="384"/>
      <c r="AE761" s="384"/>
      <c r="AF761" s="384"/>
      <c r="AG761" s="384"/>
      <c r="AH761" s="384"/>
      <c r="AI761" s="384"/>
      <c r="AJ761" s="384"/>
      <c r="AK761" s="384"/>
      <c r="AL761" s="384"/>
      <c r="AM761" s="384"/>
    </row>
    <row r="762" spans="1:39" ht="15.75" customHeight="1">
      <c r="A762" s="563"/>
      <c r="B762" s="384"/>
      <c r="C762" s="563"/>
      <c r="D762" s="1997"/>
      <c r="E762" s="1998"/>
      <c r="F762" s="1954"/>
      <c r="G762" s="563"/>
      <c r="H762" s="563"/>
      <c r="I762" s="2000"/>
      <c r="J762" s="563"/>
      <c r="K762" s="384"/>
      <c r="L762" s="1901"/>
      <c r="M762" s="1999"/>
      <c r="N762" s="1999"/>
      <c r="O762" s="1999"/>
      <c r="P762" s="2002"/>
      <c r="Q762" s="2002"/>
      <c r="R762" s="482"/>
      <c r="S762" s="482"/>
      <c r="T762" s="482"/>
      <c r="U762" s="482"/>
      <c r="V762" s="384"/>
      <c r="W762" s="563"/>
      <c r="Y762" s="563"/>
      <c r="AA762" s="384"/>
      <c r="AB762" s="384"/>
      <c r="AC762" s="384"/>
      <c r="AD762" s="384"/>
      <c r="AE762" s="384"/>
      <c r="AF762" s="384"/>
      <c r="AG762" s="384"/>
      <c r="AH762" s="384"/>
      <c r="AI762" s="384"/>
      <c r="AJ762" s="384"/>
      <c r="AK762" s="384"/>
      <c r="AL762" s="384"/>
      <c r="AM762" s="384"/>
    </row>
    <row r="763" spans="1:39" ht="15.75" customHeight="1">
      <c r="A763" s="563"/>
      <c r="B763" s="384"/>
      <c r="C763" s="563"/>
      <c r="D763" s="1997"/>
      <c r="E763" s="1998"/>
      <c r="F763" s="1954"/>
      <c r="G763" s="563"/>
      <c r="H763" s="563"/>
      <c r="I763" s="2000"/>
      <c r="J763" s="563"/>
      <c r="K763" s="384"/>
      <c r="L763" s="1901"/>
      <c r="M763" s="1999"/>
      <c r="N763" s="1999"/>
      <c r="O763" s="1999"/>
      <c r="P763" s="2002"/>
      <c r="Q763" s="2002"/>
      <c r="R763" s="482"/>
      <c r="S763" s="482"/>
      <c r="T763" s="482"/>
      <c r="U763" s="482"/>
      <c r="V763" s="384"/>
      <c r="W763" s="563"/>
      <c r="Y763" s="563"/>
      <c r="AA763" s="384"/>
      <c r="AB763" s="384"/>
      <c r="AC763" s="384"/>
      <c r="AD763" s="384"/>
      <c r="AE763" s="384"/>
      <c r="AF763" s="384"/>
      <c r="AG763" s="384"/>
      <c r="AH763" s="384"/>
      <c r="AI763" s="384"/>
      <c r="AJ763" s="384"/>
      <c r="AK763" s="384"/>
      <c r="AL763" s="384"/>
      <c r="AM763" s="384"/>
    </row>
    <row r="764" spans="1:39" ht="15.75" customHeight="1">
      <c r="A764" s="563"/>
      <c r="B764" s="384"/>
      <c r="C764" s="563"/>
      <c r="D764" s="1997"/>
      <c r="E764" s="1998"/>
      <c r="F764" s="1954"/>
      <c r="G764" s="563"/>
      <c r="H764" s="563"/>
      <c r="I764" s="2000"/>
      <c r="J764" s="563"/>
      <c r="K764" s="384"/>
      <c r="L764" s="1901"/>
      <c r="M764" s="1999"/>
      <c r="N764" s="1999"/>
      <c r="O764" s="1999"/>
      <c r="P764" s="2002"/>
      <c r="Q764" s="2002"/>
      <c r="R764" s="482"/>
      <c r="S764" s="482"/>
      <c r="T764" s="482"/>
      <c r="U764" s="482"/>
      <c r="V764" s="384"/>
      <c r="W764" s="563"/>
      <c r="Y764" s="563"/>
      <c r="AA764" s="384"/>
      <c r="AB764" s="384"/>
      <c r="AC764" s="384"/>
      <c r="AD764" s="384"/>
      <c r="AE764" s="384"/>
      <c r="AF764" s="384"/>
      <c r="AG764" s="384"/>
      <c r="AH764" s="384"/>
      <c r="AI764" s="384"/>
      <c r="AJ764" s="384"/>
      <c r="AK764" s="384"/>
      <c r="AL764" s="384"/>
      <c r="AM764" s="384"/>
    </row>
    <row r="765" spans="1:39" ht="15.75" customHeight="1">
      <c r="A765" s="563"/>
      <c r="B765" s="384"/>
      <c r="C765" s="563"/>
      <c r="D765" s="1997"/>
      <c r="E765" s="1998"/>
      <c r="F765" s="1954"/>
      <c r="G765" s="563"/>
      <c r="H765" s="563"/>
      <c r="I765" s="2000"/>
      <c r="J765" s="563"/>
      <c r="K765" s="384"/>
      <c r="L765" s="1901"/>
      <c r="M765" s="1999"/>
      <c r="N765" s="1999"/>
      <c r="O765" s="1999"/>
      <c r="P765" s="2002"/>
      <c r="Q765" s="2002"/>
      <c r="R765" s="482"/>
      <c r="S765" s="482"/>
      <c r="T765" s="482"/>
      <c r="U765" s="482"/>
      <c r="V765" s="384"/>
      <c r="W765" s="563"/>
      <c r="Y765" s="563"/>
      <c r="AA765" s="384"/>
      <c r="AB765" s="384"/>
      <c r="AC765" s="384"/>
      <c r="AD765" s="384"/>
      <c r="AE765" s="384"/>
      <c r="AF765" s="384"/>
      <c r="AG765" s="384"/>
      <c r="AH765" s="384"/>
      <c r="AI765" s="384"/>
      <c r="AJ765" s="384"/>
      <c r="AK765" s="384"/>
      <c r="AL765" s="384"/>
      <c r="AM765" s="384"/>
    </row>
    <row r="766" spans="1:39" ht="15.75" customHeight="1">
      <c r="A766" s="563"/>
      <c r="B766" s="384"/>
      <c r="C766" s="563"/>
      <c r="D766" s="1997"/>
      <c r="E766" s="1998"/>
      <c r="F766" s="1954"/>
      <c r="G766" s="563"/>
      <c r="H766" s="563"/>
      <c r="I766" s="2000"/>
      <c r="J766" s="563"/>
      <c r="K766" s="384"/>
      <c r="L766" s="1901"/>
      <c r="M766" s="1999"/>
      <c r="N766" s="1999"/>
      <c r="O766" s="1999"/>
      <c r="P766" s="2002"/>
      <c r="Q766" s="2002"/>
      <c r="R766" s="482"/>
      <c r="S766" s="482"/>
      <c r="T766" s="482"/>
      <c r="U766" s="482"/>
      <c r="V766" s="384"/>
      <c r="W766" s="563"/>
      <c r="Y766" s="563"/>
      <c r="AA766" s="384"/>
      <c r="AB766" s="384"/>
      <c r="AC766" s="384"/>
      <c r="AD766" s="384"/>
      <c r="AE766" s="384"/>
      <c r="AF766" s="384"/>
      <c r="AG766" s="384"/>
      <c r="AH766" s="384"/>
      <c r="AI766" s="384"/>
      <c r="AJ766" s="384"/>
      <c r="AK766" s="384"/>
      <c r="AL766" s="384"/>
      <c r="AM766" s="384"/>
    </row>
    <row r="767" spans="1:39" ht="15.75" customHeight="1">
      <c r="A767" s="563"/>
      <c r="B767" s="384"/>
      <c r="C767" s="563"/>
      <c r="D767" s="1997"/>
      <c r="E767" s="1998"/>
      <c r="F767" s="1954"/>
      <c r="G767" s="563"/>
      <c r="H767" s="563"/>
      <c r="I767" s="2000"/>
      <c r="J767" s="563"/>
      <c r="K767" s="384"/>
      <c r="L767" s="1901"/>
      <c r="M767" s="1999"/>
      <c r="N767" s="1999"/>
      <c r="O767" s="1999"/>
      <c r="P767" s="2002"/>
      <c r="Q767" s="2002"/>
      <c r="R767" s="482"/>
      <c r="S767" s="482"/>
      <c r="T767" s="482"/>
      <c r="U767" s="482"/>
      <c r="V767" s="384"/>
      <c r="W767" s="563"/>
      <c r="Y767" s="563"/>
      <c r="AA767" s="384"/>
      <c r="AB767" s="384"/>
      <c r="AC767" s="384"/>
      <c r="AD767" s="384"/>
      <c r="AE767" s="384"/>
      <c r="AF767" s="384"/>
      <c r="AG767" s="384"/>
      <c r="AH767" s="384"/>
      <c r="AI767" s="384"/>
      <c r="AJ767" s="384"/>
      <c r="AK767" s="384"/>
      <c r="AL767" s="384"/>
      <c r="AM767" s="384"/>
    </row>
    <row r="768" spans="1:39" ht="15.75" customHeight="1">
      <c r="A768" s="563"/>
      <c r="B768" s="384"/>
      <c r="C768" s="563"/>
      <c r="D768" s="1997"/>
      <c r="E768" s="1998"/>
      <c r="F768" s="1954"/>
      <c r="G768" s="563"/>
      <c r="H768" s="563"/>
      <c r="I768" s="2000"/>
      <c r="J768" s="563"/>
      <c r="K768" s="384"/>
      <c r="L768" s="1901"/>
      <c r="M768" s="1999"/>
      <c r="N768" s="1999"/>
      <c r="O768" s="1999"/>
      <c r="P768" s="2002"/>
      <c r="Q768" s="2002"/>
      <c r="R768" s="482"/>
      <c r="S768" s="482"/>
      <c r="T768" s="482"/>
      <c r="U768" s="482"/>
      <c r="V768" s="384"/>
      <c r="W768" s="563"/>
      <c r="Y768" s="563"/>
      <c r="AA768" s="384"/>
      <c r="AB768" s="384"/>
      <c r="AC768" s="384"/>
      <c r="AD768" s="384"/>
      <c r="AE768" s="384"/>
      <c r="AF768" s="384"/>
      <c r="AG768" s="384"/>
      <c r="AH768" s="384"/>
      <c r="AI768" s="384"/>
      <c r="AJ768" s="384"/>
      <c r="AK768" s="384"/>
      <c r="AL768" s="384"/>
      <c r="AM768" s="384"/>
    </row>
    <row r="769" spans="1:39" ht="15.75" customHeight="1">
      <c r="A769" s="563"/>
      <c r="B769" s="384"/>
      <c r="C769" s="563"/>
      <c r="D769" s="1997"/>
      <c r="E769" s="1998"/>
      <c r="F769" s="1954"/>
      <c r="G769" s="563"/>
      <c r="H769" s="563"/>
      <c r="I769" s="2000"/>
      <c r="J769" s="563"/>
      <c r="K769" s="384"/>
      <c r="L769" s="1901"/>
      <c r="M769" s="1999"/>
      <c r="N769" s="1999"/>
      <c r="O769" s="1999"/>
      <c r="P769" s="2002"/>
      <c r="Q769" s="2002"/>
      <c r="R769" s="482"/>
      <c r="S769" s="482"/>
      <c r="T769" s="482"/>
      <c r="U769" s="482"/>
      <c r="V769" s="384"/>
      <c r="W769" s="563"/>
      <c r="Y769" s="563"/>
      <c r="AA769" s="384"/>
      <c r="AB769" s="384"/>
      <c r="AC769" s="384"/>
      <c r="AD769" s="384"/>
      <c r="AE769" s="384"/>
      <c r="AF769" s="384"/>
      <c r="AG769" s="384"/>
      <c r="AH769" s="384"/>
      <c r="AI769" s="384"/>
      <c r="AJ769" s="384"/>
      <c r="AK769" s="384"/>
      <c r="AL769" s="384"/>
      <c r="AM769" s="384"/>
    </row>
    <row r="770" spans="1:39" ht="15.75" customHeight="1">
      <c r="A770" s="563"/>
      <c r="B770" s="384"/>
      <c r="C770" s="563"/>
      <c r="D770" s="1997"/>
      <c r="E770" s="1998"/>
      <c r="F770" s="1954"/>
      <c r="G770" s="563"/>
      <c r="H770" s="563"/>
      <c r="I770" s="2000"/>
      <c r="J770" s="563"/>
      <c r="K770" s="384"/>
      <c r="L770" s="1901"/>
      <c r="M770" s="1999"/>
      <c r="N770" s="1999"/>
      <c r="O770" s="1999"/>
      <c r="P770" s="2002"/>
      <c r="Q770" s="2002"/>
      <c r="R770" s="482"/>
      <c r="S770" s="482"/>
      <c r="T770" s="482"/>
      <c r="U770" s="482"/>
      <c r="V770" s="384"/>
      <c r="W770" s="563"/>
      <c r="Y770" s="563"/>
      <c r="AA770" s="384"/>
      <c r="AB770" s="384"/>
      <c r="AC770" s="384"/>
      <c r="AD770" s="384"/>
      <c r="AE770" s="384"/>
      <c r="AF770" s="384"/>
      <c r="AG770" s="384"/>
      <c r="AH770" s="384"/>
      <c r="AI770" s="384"/>
      <c r="AJ770" s="384"/>
      <c r="AK770" s="384"/>
      <c r="AL770" s="384"/>
      <c r="AM770" s="384"/>
    </row>
    <row r="771" spans="1:39" ht="15.75" customHeight="1">
      <c r="A771" s="563"/>
      <c r="B771" s="384"/>
      <c r="C771" s="563"/>
      <c r="D771" s="1997"/>
      <c r="E771" s="1998"/>
      <c r="F771" s="1954"/>
      <c r="G771" s="563"/>
      <c r="H771" s="563"/>
      <c r="I771" s="2000"/>
      <c r="J771" s="563"/>
      <c r="K771" s="384"/>
      <c r="L771" s="1901"/>
      <c r="M771" s="1999"/>
      <c r="N771" s="1999"/>
      <c r="O771" s="1999"/>
      <c r="P771" s="2002"/>
      <c r="Q771" s="2002"/>
      <c r="R771" s="482"/>
      <c r="S771" s="482"/>
      <c r="T771" s="482"/>
      <c r="U771" s="482"/>
      <c r="V771" s="384"/>
      <c r="W771" s="563"/>
      <c r="Y771" s="563"/>
      <c r="AA771" s="384"/>
      <c r="AB771" s="384"/>
      <c r="AC771" s="384"/>
      <c r="AD771" s="384"/>
      <c r="AE771" s="384"/>
      <c r="AF771" s="384"/>
      <c r="AG771" s="384"/>
      <c r="AH771" s="384"/>
      <c r="AI771" s="384"/>
      <c r="AJ771" s="384"/>
      <c r="AK771" s="384"/>
      <c r="AL771" s="384"/>
      <c r="AM771" s="384"/>
    </row>
    <row r="772" spans="1:39" ht="15.75" customHeight="1">
      <c r="A772" s="563"/>
      <c r="B772" s="384"/>
      <c r="C772" s="563"/>
      <c r="D772" s="1997"/>
      <c r="E772" s="1998"/>
      <c r="F772" s="1954"/>
      <c r="G772" s="563"/>
      <c r="H772" s="563"/>
      <c r="I772" s="2000"/>
      <c r="J772" s="563"/>
      <c r="K772" s="384"/>
      <c r="L772" s="1901"/>
      <c r="M772" s="1999"/>
      <c r="N772" s="1999"/>
      <c r="O772" s="1999"/>
      <c r="P772" s="2002"/>
      <c r="Q772" s="2002"/>
      <c r="R772" s="482"/>
      <c r="S772" s="482"/>
      <c r="T772" s="482"/>
      <c r="U772" s="482"/>
      <c r="V772" s="384"/>
      <c r="W772" s="563"/>
      <c r="Y772" s="563"/>
      <c r="AA772" s="384"/>
      <c r="AB772" s="384"/>
      <c r="AC772" s="384"/>
      <c r="AD772" s="384"/>
      <c r="AE772" s="384"/>
      <c r="AF772" s="384"/>
      <c r="AG772" s="384"/>
      <c r="AH772" s="384"/>
      <c r="AI772" s="384"/>
      <c r="AJ772" s="384"/>
      <c r="AK772" s="384"/>
      <c r="AL772" s="384"/>
      <c r="AM772" s="384"/>
    </row>
    <row r="773" spans="1:39" ht="15.75" customHeight="1">
      <c r="A773" s="563"/>
      <c r="B773" s="384"/>
      <c r="C773" s="563"/>
      <c r="D773" s="1997"/>
      <c r="E773" s="1998"/>
      <c r="F773" s="1954"/>
      <c r="G773" s="563"/>
      <c r="H773" s="563"/>
      <c r="I773" s="2000"/>
      <c r="J773" s="563"/>
      <c r="K773" s="384"/>
      <c r="L773" s="1901"/>
      <c r="M773" s="1999"/>
      <c r="N773" s="1999"/>
      <c r="O773" s="1999"/>
      <c r="P773" s="2002"/>
      <c r="Q773" s="2002"/>
      <c r="R773" s="482"/>
      <c r="S773" s="482"/>
      <c r="T773" s="482"/>
      <c r="U773" s="482"/>
      <c r="V773" s="384"/>
      <c r="W773" s="563"/>
      <c r="Y773" s="563"/>
      <c r="AA773" s="384"/>
      <c r="AB773" s="384"/>
      <c r="AC773" s="384"/>
      <c r="AD773" s="384"/>
      <c r="AE773" s="384"/>
      <c r="AF773" s="384"/>
      <c r="AG773" s="384"/>
      <c r="AH773" s="384"/>
      <c r="AI773" s="384"/>
      <c r="AJ773" s="384"/>
      <c r="AK773" s="384"/>
      <c r="AL773" s="384"/>
      <c r="AM773" s="384"/>
    </row>
    <row r="774" spans="1:39" ht="15.75" customHeight="1">
      <c r="A774" s="563"/>
      <c r="B774" s="384"/>
      <c r="C774" s="563"/>
      <c r="D774" s="1997"/>
      <c r="E774" s="1998"/>
      <c r="F774" s="1954"/>
      <c r="G774" s="563"/>
      <c r="H774" s="563"/>
      <c r="I774" s="2000"/>
      <c r="J774" s="563"/>
      <c r="K774" s="384"/>
      <c r="L774" s="1901"/>
      <c r="M774" s="1999"/>
      <c r="N774" s="1999"/>
      <c r="O774" s="1999"/>
      <c r="P774" s="2002"/>
      <c r="Q774" s="2002"/>
      <c r="R774" s="482"/>
      <c r="S774" s="482"/>
      <c r="T774" s="482"/>
      <c r="U774" s="482"/>
      <c r="V774" s="384"/>
      <c r="W774" s="563"/>
      <c r="Y774" s="563"/>
      <c r="AA774" s="384"/>
      <c r="AB774" s="384"/>
      <c r="AC774" s="384"/>
      <c r="AD774" s="384"/>
      <c r="AE774" s="384"/>
      <c r="AF774" s="384"/>
      <c r="AG774" s="384"/>
      <c r="AH774" s="384"/>
      <c r="AI774" s="384"/>
      <c r="AJ774" s="384"/>
      <c r="AK774" s="384"/>
      <c r="AL774" s="384"/>
      <c r="AM774" s="384"/>
    </row>
    <row r="775" spans="1:39" ht="15.75" customHeight="1">
      <c r="A775" s="563"/>
      <c r="B775" s="384"/>
      <c r="C775" s="563"/>
      <c r="D775" s="1997"/>
      <c r="E775" s="1998"/>
      <c r="F775" s="1954"/>
      <c r="G775" s="563"/>
      <c r="H775" s="563"/>
      <c r="I775" s="2000"/>
      <c r="J775" s="563"/>
      <c r="K775" s="384"/>
      <c r="L775" s="1901"/>
      <c r="M775" s="1999"/>
      <c r="N775" s="1999"/>
      <c r="O775" s="1999"/>
      <c r="P775" s="2002"/>
      <c r="Q775" s="2002"/>
      <c r="R775" s="482"/>
      <c r="S775" s="482"/>
      <c r="T775" s="482"/>
      <c r="U775" s="482"/>
      <c r="V775" s="384"/>
      <c r="W775" s="563"/>
      <c r="Y775" s="563"/>
      <c r="AA775" s="384"/>
      <c r="AB775" s="384"/>
      <c r="AC775" s="384"/>
      <c r="AD775" s="384"/>
      <c r="AE775" s="384"/>
      <c r="AF775" s="384"/>
      <c r="AG775" s="384"/>
      <c r="AH775" s="384"/>
      <c r="AI775" s="384"/>
      <c r="AJ775" s="384"/>
      <c r="AK775" s="384"/>
      <c r="AL775" s="384"/>
      <c r="AM775" s="384"/>
    </row>
    <row r="776" spans="1:39" ht="15.75" customHeight="1">
      <c r="A776" s="563"/>
      <c r="B776" s="384"/>
      <c r="C776" s="563"/>
      <c r="D776" s="1997"/>
      <c r="E776" s="1998"/>
      <c r="F776" s="1954"/>
      <c r="G776" s="563"/>
      <c r="H776" s="563"/>
      <c r="I776" s="2000"/>
      <c r="J776" s="563"/>
      <c r="K776" s="384"/>
      <c r="L776" s="1901"/>
      <c r="M776" s="1999"/>
      <c r="N776" s="1999"/>
      <c r="O776" s="1999"/>
      <c r="P776" s="2002"/>
      <c r="Q776" s="2002"/>
      <c r="R776" s="482"/>
      <c r="S776" s="482"/>
      <c r="T776" s="482"/>
      <c r="U776" s="482"/>
      <c r="V776" s="384"/>
      <c r="W776" s="563"/>
      <c r="Y776" s="563"/>
      <c r="AA776" s="384"/>
      <c r="AB776" s="384"/>
      <c r="AC776" s="384"/>
      <c r="AD776" s="384"/>
      <c r="AE776" s="384"/>
      <c r="AF776" s="384"/>
      <c r="AG776" s="384"/>
      <c r="AH776" s="384"/>
      <c r="AI776" s="384"/>
      <c r="AJ776" s="384"/>
      <c r="AK776" s="384"/>
      <c r="AL776" s="384"/>
      <c r="AM776" s="384"/>
    </row>
    <row r="777" spans="1:39" ht="15.75" customHeight="1">
      <c r="A777" s="563"/>
      <c r="B777" s="384"/>
      <c r="C777" s="563"/>
      <c r="D777" s="1997"/>
      <c r="E777" s="1998"/>
      <c r="F777" s="1954"/>
      <c r="G777" s="563"/>
      <c r="H777" s="563"/>
      <c r="I777" s="2000"/>
      <c r="J777" s="563"/>
      <c r="K777" s="384"/>
      <c r="L777" s="1901"/>
      <c r="M777" s="1999"/>
      <c r="N777" s="1999"/>
      <c r="O777" s="1999"/>
      <c r="P777" s="2002"/>
      <c r="Q777" s="2002"/>
      <c r="R777" s="482"/>
      <c r="S777" s="482"/>
      <c r="T777" s="482"/>
      <c r="U777" s="482"/>
      <c r="V777" s="384"/>
      <c r="W777" s="563"/>
      <c r="Y777" s="563"/>
      <c r="AA777" s="384"/>
      <c r="AB777" s="384"/>
      <c r="AC777" s="384"/>
      <c r="AD777" s="384"/>
      <c r="AE777" s="384"/>
      <c r="AF777" s="384"/>
      <c r="AG777" s="384"/>
      <c r="AH777" s="384"/>
      <c r="AI777" s="384"/>
      <c r="AJ777" s="384"/>
      <c r="AK777" s="384"/>
      <c r="AL777" s="384"/>
      <c r="AM777" s="384"/>
    </row>
    <row r="778" spans="1:39" ht="15.75" customHeight="1">
      <c r="A778" s="563"/>
      <c r="B778" s="384"/>
      <c r="C778" s="563"/>
      <c r="D778" s="1997"/>
      <c r="E778" s="1998"/>
      <c r="F778" s="1954"/>
      <c r="G778" s="563"/>
      <c r="H778" s="563"/>
      <c r="I778" s="2000"/>
      <c r="J778" s="563"/>
      <c r="K778" s="384"/>
      <c r="L778" s="1901"/>
      <c r="M778" s="1999"/>
      <c r="N778" s="1999"/>
      <c r="O778" s="1999"/>
      <c r="P778" s="2002"/>
      <c r="Q778" s="2002"/>
      <c r="R778" s="482"/>
      <c r="S778" s="482"/>
      <c r="T778" s="482"/>
      <c r="U778" s="482"/>
      <c r="V778" s="384"/>
      <c r="W778" s="563"/>
      <c r="Y778" s="563"/>
      <c r="AA778" s="384"/>
      <c r="AB778" s="384"/>
      <c r="AC778" s="384"/>
      <c r="AD778" s="384"/>
      <c r="AE778" s="384"/>
      <c r="AF778" s="384"/>
      <c r="AG778" s="384"/>
      <c r="AH778" s="384"/>
      <c r="AI778" s="384"/>
      <c r="AJ778" s="384"/>
      <c r="AK778" s="384"/>
      <c r="AL778" s="384"/>
      <c r="AM778" s="384"/>
    </row>
    <row r="779" spans="1:39" ht="15.75" customHeight="1">
      <c r="A779" s="563"/>
      <c r="B779" s="384"/>
      <c r="C779" s="563"/>
      <c r="D779" s="1997"/>
      <c r="E779" s="1998"/>
      <c r="F779" s="1954"/>
      <c r="G779" s="563"/>
      <c r="H779" s="563"/>
      <c r="I779" s="2000"/>
      <c r="J779" s="563"/>
      <c r="K779" s="384"/>
      <c r="L779" s="1901"/>
      <c r="M779" s="1999"/>
      <c r="N779" s="1999"/>
      <c r="O779" s="1999"/>
      <c r="P779" s="2002"/>
      <c r="Q779" s="2002"/>
      <c r="R779" s="482"/>
      <c r="S779" s="482"/>
      <c r="T779" s="482"/>
      <c r="U779" s="482"/>
      <c r="V779" s="384"/>
      <c r="W779" s="563"/>
      <c r="Y779" s="563"/>
      <c r="AA779" s="384"/>
      <c r="AB779" s="384"/>
      <c r="AC779" s="384"/>
      <c r="AD779" s="384"/>
      <c r="AE779" s="384"/>
      <c r="AF779" s="384"/>
      <c r="AG779" s="384"/>
      <c r="AH779" s="384"/>
      <c r="AI779" s="384"/>
      <c r="AJ779" s="384"/>
      <c r="AK779" s="384"/>
      <c r="AL779" s="384"/>
      <c r="AM779" s="384"/>
    </row>
    <row r="780" spans="1:39" ht="15.75" customHeight="1">
      <c r="A780" s="563"/>
      <c r="B780" s="384"/>
      <c r="C780" s="563"/>
      <c r="D780" s="1997"/>
      <c r="E780" s="1998"/>
      <c r="F780" s="1954"/>
      <c r="G780" s="563"/>
      <c r="H780" s="563"/>
      <c r="I780" s="2000"/>
      <c r="J780" s="563"/>
      <c r="K780" s="384"/>
      <c r="L780" s="1901"/>
      <c r="M780" s="1999"/>
      <c r="N780" s="1999"/>
      <c r="O780" s="1999"/>
      <c r="P780" s="2002"/>
      <c r="Q780" s="2002"/>
      <c r="R780" s="482"/>
      <c r="S780" s="482"/>
      <c r="T780" s="482"/>
      <c r="U780" s="482"/>
      <c r="V780" s="384"/>
      <c r="W780" s="563"/>
      <c r="Y780" s="563"/>
      <c r="AA780" s="384"/>
      <c r="AB780" s="384"/>
      <c r="AC780" s="384"/>
      <c r="AD780" s="384"/>
      <c r="AE780" s="384"/>
      <c r="AF780" s="384"/>
      <c r="AG780" s="384"/>
      <c r="AH780" s="384"/>
      <c r="AI780" s="384"/>
      <c r="AJ780" s="384"/>
      <c r="AK780" s="384"/>
      <c r="AL780" s="384"/>
      <c r="AM780" s="384"/>
    </row>
    <row r="781" spans="1:39" ht="15.75" customHeight="1">
      <c r="A781" s="563"/>
      <c r="B781" s="384"/>
      <c r="C781" s="563"/>
      <c r="D781" s="1997"/>
      <c r="E781" s="1998"/>
      <c r="F781" s="1954"/>
      <c r="G781" s="563"/>
      <c r="H781" s="563"/>
      <c r="I781" s="2000"/>
      <c r="J781" s="563"/>
      <c r="K781" s="384"/>
      <c r="L781" s="1901"/>
      <c r="M781" s="1999"/>
      <c r="N781" s="1999"/>
      <c r="O781" s="1999"/>
      <c r="P781" s="2002"/>
      <c r="Q781" s="2002"/>
      <c r="R781" s="482"/>
      <c r="S781" s="482"/>
      <c r="T781" s="482"/>
      <c r="U781" s="482"/>
      <c r="V781" s="384"/>
      <c r="W781" s="563"/>
      <c r="Y781" s="563"/>
      <c r="AA781" s="384"/>
      <c r="AB781" s="384"/>
      <c r="AC781" s="384"/>
      <c r="AD781" s="384"/>
      <c r="AE781" s="384"/>
      <c r="AF781" s="384"/>
      <c r="AG781" s="384"/>
      <c r="AH781" s="384"/>
      <c r="AI781" s="384"/>
      <c r="AJ781" s="384"/>
      <c r="AK781" s="384"/>
      <c r="AL781" s="384"/>
      <c r="AM781" s="384"/>
    </row>
    <row r="782" spans="1:39" ht="15.75" customHeight="1">
      <c r="A782" s="563"/>
      <c r="B782" s="384"/>
      <c r="C782" s="563"/>
      <c r="D782" s="1997"/>
      <c r="E782" s="1998"/>
      <c r="F782" s="1954"/>
      <c r="G782" s="563"/>
      <c r="H782" s="563"/>
      <c r="I782" s="2000"/>
      <c r="J782" s="563"/>
      <c r="K782" s="384"/>
      <c r="L782" s="1901"/>
      <c r="M782" s="1999"/>
      <c r="N782" s="1999"/>
      <c r="O782" s="1999"/>
      <c r="P782" s="2002"/>
      <c r="Q782" s="2002"/>
      <c r="R782" s="482"/>
      <c r="S782" s="482"/>
      <c r="T782" s="482"/>
      <c r="U782" s="482"/>
      <c r="V782" s="384"/>
      <c r="W782" s="563"/>
      <c r="Y782" s="563"/>
      <c r="AA782" s="384"/>
      <c r="AB782" s="384"/>
      <c r="AC782" s="384"/>
      <c r="AD782" s="384"/>
      <c r="AE782" s="384"/>
      <c r="AF782" s="384"/>
      <c r="AG782" s="384"/>
      <c r="AH782" s="384"/>
      <c r="AI782" s="384"/>
      <c r="AJ782" s="384"/>
      <c r="AK782" s="384"/>
      <c r="AL782" s="384"/>
      <c r="AM782" s="384"/>
    </row>
    <row r="783" spans="1:39" ht="15.75" customHeight="1">
      <c r="A783" s="563"/>
      <c r="B783" s="384"/>
      <c r="C783" s="563"/>
      <c r="D783" s="1997"/>
      <c r="E783" s="1998"/>
      <c r="F783" s="1954"/>
      <c r="G783" s="563"/>
      <c r="H783" s="563"/>
      <c r="I783" s="2000"/>
      <c r="J783" s="563"/>
      <c r="K783" s="384"/>
      <c r="L783" s="1901"/>
      <c r="M783" s="1999"/>
      <c r="N783" s="1999"/>
      <c r="O783" s="1999"/>
      <c r="P783" s="2002"/>
      <c r="Q783" s="2002"/>
      <c r="R783" s="482"/>
      <c r="S783" s="482"/>
      <c r="T783" s="482"/>
      <c r="U783" s="482"/>
      <c r="V783" s="384"/>
      <c r="W783" s="563"/>
      <c r="Y783" s="563"/>
      <c r="AA783" s="384"/>
      <c r="AB783" s="384"/>
      <c r="AC783" s="384"/>
      <c r="AD783" s="384"/>
      <c r="AE783" s="384"/>
      <c r="AF783" s="384"/>
      <c r="AG783" s="384"/>
      <c r="AH783" s="384"/>
      <c r="AI783" s="384"/>
      <c r="AJ783" s="384"/>
      <c r="AK783" s="384"/>
      <c r="AL783" s="384"/>
      <c r="AM783" s="384"/>
    </row>
    <row r="784" spans="1:39" ht="15.75" customHeight="1">
      <c r="A784" s="563"/>
      <c r="B784" s="384"/>
      <c r="C784" s="563"/>
      <c r="D784" s="1997"/>
      <c r="E784" s="1998"/>
      <c r="F784" s="1954"/>
      <c r="G784" s="563"/>
      <c r="H784" s="563"/>
      <c r="I784" s="2000"/>
      <c r="J784" s="563"/>
      <c r="K784" s="384"/>
      <c r="L784" s="1901"/>
      <c r="M784" s="1999"/>
      <c r="N784" s="1999"/>
      <c r="O784" s="1999"/>
      <c r="P784" s="2002"/>
      <c r="Q784" s="2002"/>
      <c r="R784" s="482"/>
      <c r="S784" s="482"/>
      <c r="T784" s="482"/>
      <c r="U784" s="482"/>
      <c r="V784" s="384"/>
      <c r="W784" s="563"/>
      <c r="Y784" s="563"/>
      <c r="AA784" s="384"/>
      <c r="AB784" s="384"/>
      <c r="AC784" s="384"/>
      <c r="AD784" s="384"/>
      <c r="AE784" s="384"/>
      <c r="AF784" s="384"/>
      <c r="AG784" s="384"/>
      <c r="AH784" s="384"/>
      <c r="AI784" s="384"/>
      <c r="AJ784" s="384"/>
      <c r="AK784" s="384"/>
      <c r="AL784" s="384"/>
      <c r="AM784" s="384"/>
    </row>
    <row r="785" spans="1:39" ht="15.75" customHeight="1">
      <c r="A785" s="563"/>
      <c r="B785" s="384"/>
      <c r="C785" s="563"/>
      <c r="D785" s="1997"/>
      <c r="E785" s="1998"/>
      <c r="F785" s="1954"/>
      <c r="G785" s="563"/>
      <c r="H785" s="563"/>
      <c r="I785" s="2000"/>
      <c r="J785" s="563"/>
      <c r="K785" s="384"/>
      <c r="L785" s="1901"/>
      <c r="M785" s="1999"/>
      <c r="N785" s="1999"/>
      <c r="O785" s="1999"/>
      <c r="P785" s="2002"/>
      <c r="Q785" s="2002"/>
      <c r="R785" s="482"/>
      <c r="S785" s="482"/>
      <c r="T785" s="482"/>
      <c r="U785" s="482"/>
      <c r="V785" s="384"/>
      <c r="W785" s="563"/>
      <c r="Y785" s="563"/>
      <c r="AA785" s="384"/>
      <c r="AB785" s="384"/>
      <c r="AC785" s="384"/>
      <c r="AD785" s="384"/>
      <c r="AE785" s="384"/>
      <c r="AF785" s="384"/>
      <c r="AG785" s="384"/>
      <c r="AH785" s="384"/>
      <c r="AI785" s="384"/>
      <c r="AJ785" s="384"/>
      <c r="AK785" s="384"/>
      <c r="AL785" s="384"/>
      <c r="AM785" s="384"/>
    </row>
    <row r="786" spans="1:39" ht="15.75" customHeight="1">
      <c r="A786" s="563"/>
      <c r="B786" s="384"/>
      <c r="C786" s="563"/>
      <c r="D786" s="1997"/>
      <c r="E786" s="1998"/>
      <c r="F786" s="1954"/>
      <c r="G786" s="563"/>
      <c r="H786" s="563"/>
      <c r="I786" s="2000"/>
      <c r="J786" s="563"/>
      <c r="K786" s="384"/>
      <c r="L786" s="1901"/>
      <c r="M786" s="1999"/>
      <c r="N786" s="1999"/>
      <c r="O786" s="1999"/>
      <c r="P786" s="2002"/>
      <c r="Q786" s="2002"/>
      <c r="R786" s="482"/>
      <c r="S786" s="482"/>
      <c r="T786" s="482"/>
      <c r="U786" s="482"/>
      <c r="V786" s="384"/>
      <c r="W786" s="563"/>
      <c r="Y786" s="563"/>
      <c r="AA786" s="384"/>
      <c r="AB786" s="384"/>
      <c r="AC786" s="384"/>
      <c r="AD786" s="384"/>
      <c r="AE786" s="384"/>
      <c r="AF786" s="384"/>
      <c r="AG786" s="384"/>
      <c r="AH786" s="384"/>
      <c r="AI786" s="384"/>
      <c r="AJ786" s="384"/>
      <c r="AK786" s="384"/>
      <c r="AL786" s="384"/>
      <c r="AM786" s="384"/>
    </row>
    <row r="787" spans="1:39" ht="15.75" customHeight="1">
      <c r="A787" s="563"/>
      <c r="B787" s="384"/>
      <c r="C787" s="563"/>
      <c r="D787" s="1997"/>
      <c r="E787" s="1998"/>
      <c r="F787" s="1954"/>
      <c r="G787" s="563"/>
      <c r="H787" s="563"/>
      <c r="I787" s="2000"/>
      <c r="J787" s="563"/>
      <c r="K787" s="384"/>
      <c r="L787" s="1901"/>
      <c r="M787" s="1999"/>
      <c r="N787" s="1999"/>
      <c r="O787" s="1999"/>
      <c r="P787" s="2002"/>
      <c r="Q787" s="2002"/>
      <c r="R787" s="482"/>
      <c r="S787" s="482"/>
      <c r="T787" s="482"/>
      <c r="U787" s="482"/>
      <c r="V787" s="384"/>
      <c r="W787" s="563"/>
      <c r="Y787" s="563"/>
      <c r="AA787" s="384"/>
      <c r="AB787" s="384"/>
      <c r="AC787" s="384"/>
      <c r="AD787" s="384"/>
      <c r="AE787" s="384"/>
      <c r="AF787" s="384"/>
      <c r="AG787" s="384"/>
      <c r="AH787" s="384"/>
      <c r="AI787" s="384"/>
      <c r="AJ787" s="384"/>
      <c r="AK787" s="384"/>
      <c r="AL787" s="384"/>
      <c r="AM787" s="384"/>
    </row>
    <row r="788" spans="1:39" ht="15.75" customHeight="1">
      <c r="A788" s="563"/>
      <c r="B788" s="384"/>
      <c r="C788" s="563"/>
      <c r="D788" s="1997"/>
      <c r="E788" s="1998"/>
      <c r="F788" s="1954"/>
      <c r="G788" s="563"/>
      <c r="H788" s="563"/>
      <c r="I788" s="2000"/>
      <c r="J788" s="563"/>
      <c r="K788" s="384"/>
      <c r="L788" s="1901"/>
      <c r="M788" s="1999"/>
      <c r="N788" s="1999"/>
      <c r="O788" s="1999"/>
      <c r="P788" s="2002"/>
      <c r="Q788" s="2002"/>
      <c r="R788" s="482"/>
      <c r="S788" s="482"/>
      <c r="T788" s="482"/>
      <c r="U788" s="482"/>
      <c r="V788" s="384"/>
      <c r="W788" s="563"/>
      <c r="Y788" s="563"/>
      <c r="AA788" s="384"/>
      <c r="AB788" s="384"/>
      <c r="AC788" s="384"/>
      <c r="AD788" s="384"/>
      <c r="AE788" s="384"/>
      <c r="AF788" s="384"/>
      <c r="AG788" s="384"/>
      <c r="AH788" s="384"/>
      <c r="AI788" s="384"/>
      <c r="AJ788" s="384"/>
      <c r="AK788" s="384"/>
      <c r="AL788" s="384"/>
      <c r="AM788" s="384"/>
    </row>
    <row r="789" spans="1:39" ht="15.75" customHeight="1">
      <c r="A789" s="563"/>
      <c r="B789" s="384"/>
      <c r="C789" s="563"/>
      <c r="D789" s="1997"/>
      <c r="E789" s="1998"/>
      <c r="F789" s="1954"/>
      <c r="G789" s="563"/>
      <c r="H789" s="563"/>
      <c r="I789" s="2000"/>
      <c r="J789" s="563"/>
      <c r="K789" s="384"/>
      <c r="L789" s="1901"/>
      <c r="M789" s="1999"/>
      <c r="N789" s="1999"/>
      <c r="O789" s="1999"/>
      <c r="P789" s="2002"/>
      <c r="Q789" s="2002"/>
      <c r="R789" s="482"/>
      <c r="S789" s="482"/>
      <c r="T789" s="482"/>
      <c r="U789" s="482"/>
      <c r="V789" s="384"/>
      <c r="W789" s="563"/>
      <c r="Y789" s="563"/>
      <c r="AA789" s="384"/>
      <c r="AB789" s="384"/>
      <c r="AC789" s="384"/>
      <c r="AD789" s="384"/>
      <c r="AE789" s="384"/>
      <c r="AF789" s="384"/>
      <c r="AG789" s="384"/>
      <c r="AH789" s="384"/>
      <c r="AI789" s="384"/>
      <c r="AJ789" s="384"/>
      <c r="AK789" s="384"/>
      <c r="AL789" s="384"/>
      <c r="AM789" s="384"/>
    </row>
    <row r="790" spans="1:39" ht="15.75" customHeight="1">
      <c r="A790" s="563"/>
      <c r="B790" s="384"/>
      <c r="C790" s="563"/>
      <c r="D790" s="1997"/>
      <c r="E790" s="1998"/>
      <c r="F790" s="1954"/>
      <c r="G790" s="563"/>
      <c r="H790" s="563"/>
      <c r="I790" s="2000"/>
      <c r="J790" s="563"/>
      <c r="K790" s="384"/>
      <c r="L790" s="1901"/>
      <c r="M790" s="1999"/>
      <c r="N790" s="1999"/>
      <c r="O790" s="1999"/>
      <c r="P790" s="2002"/>
      <c r="Q790" s="2002"/>
      <c r="R790" s="482"/>
      <c r="S790" s="482"/>
      <c r="T790" s="482"/>
      <c r="U790" s="482"/>
      <c r="V790" s="384"/>
      <c r="W790" s="563"/>
      <c r="Y790" s="563"/>
      <c r="AA790" s="384"/>
      <c r="AB790" s="384"/>
      <c r="AC790" s="384"/>
      <c r="AD790" s="384"/>
      <c r="AE790" s="384"/>
      <c r="AF790" s="384"/>
      <c r="AG790" s="384"/>
      <c r="AH790" s="384"/>
      <c r="AI790" s="384"/>
      <c r="AJ790" s="384"/>
      <c r="AK790" s="384"/>
      <c r="AL790" s="384"/>
      <c r="AM790" s="384"/>
    </row>
    <row r="791" spans="1:39" ht="15.75" customHeight="1">
      <c r="A791" s="563"/>
      <c r="B791" s="384"/>
      <c r="C791" s="563"/>
      <c r="D791" s="1997"/>
      <c r="E791" s="1998"/>
      <c r="F791" s="1954"/>
      <c r="G791" s="563"/>
      <c r="H791" s="563"/>
      <c r="I791" s="2000"/>
      <c r="J791" s="563"/>
      <c r="K791" s="384"/>
      <c r="L791" s="1901"/>
      <c r="M791" s="1999"/>
      <c r="N791" s="1999"/>
      <c r="O791" s="1999"/>
      <c r="P791" s="2002"/>
      <c r="Q791" s="2002"/>
      <c r="R791" s="482"/>
      <c r="S791" s="482"/>
      <c r="T791" s="482"/>
      <c r="U791" s="482"/>
      <c r="V791" s="384"/>
      <c r="W791" s="563"/>
      <c r="Y791" s="563"/>
      <c r="AA791" s="384"/>
      <c r="AB791" s="384"/>
      <c r="AC791" s="384"/>
      <c r="AD791" s="384"/>
      <c r="AE791" s="384"/>
      <c r="AF791" s="384"/>
      <c r="AG791" s="384"/>
      <c r="AH791" s="384"/>
      <c r="AI791" s="384"/>
      <c r="AJ791" s="384"/>
      <c r="AK791" s="384"/>
      <c r="AL791" s="384"/>
      <c r="AM791" s="384"/>
    </row>
    <row r="792" spans="1:39" ht="15.75" customHeight="1">
      <c r="A792" s="563"/>
      <c r="B792" s="384"/>
      <c r="C792" s="563"/>
      <c r="D792" s="1997"/>
      <c r="E792" s="1998"/>
      <c r="F792" s="1954"/>
      <c r="G792" s="563"/>
      <c r="H792" s="563"/>
      <c r="I792" s="2000"/>
      <c r="J792" s="563"/>
      <c r="K792" s="384"/>
      <c r="L792" s="1901"/>
      <c r="M792" s="1999"/>
      <c r="N792" s="1999"/>
      <c r="O792" s="1999"/>
      <c r="P792" s="2002"/>
      <c r="Q792" s="2002"/>
      <c r="R792" s="482"/>
      <c r="S792" s="482"/>
      <c r="T792" s="482"/>
      <c r="U792" s="482"/>
      <c r="V792" s="384"/>
      <c r="W792" s="563"/>
      <c r="Y792" s="563"/>
      <c r="AA792" s="384"/>
      <c r="AB792" s="384"/>
      <c r="AC792" s="384"/>
      <c r="AD792" s="384"/>
      <c r="AE792" s="384"/>
      <c r="AF792" s="384"/>
      <c r="AG792" s="384"/>
      <c r="AH792" s="384"/>
      <c r="AI792" s="384"/>
      <c r="AJ792" s="384"/>
      <c r="AK792" s="384"/>
      <c r="AL792" s="384"/>
      <c r="AM792" s="384"/>
    </row>
    <row r="793" spans="1:39" ht="15.75" customHeight="1">
      <c r="A793" s="563"/>
      <c r="B793" s="384"/>
      <c r="C793" s="563"/>
      <c r="D793" s="1997"/>
      <c r="E793" s="1998"/>
      <c r="F793" s="1954"/>
      <c r="G793" s="563"/>
      <c r="H793" s="563"/>
      <c r="I793" s="2000"/>
      <c r="J793" s="563"/>
      <c r="K793" s="384"/>
      <c r="L793" s="1901"/>
      <c r="M793" s="1999"/>
      <c r="N793" s="1999"/>
      <c r="O793" s="1999"/>
      <c r="P793" s="2002"/>
      <c r="Q793" s="2002"/>
      <c r="R793" s="482"/>
      <c r="S793" s="482"/>
      <c r="T793" s="482"/>
      <c r="U793" s="482"/>
      <c r="V793" s="384"/>
      <c r="W793" s="563"/>
      <c r="Y793" s="563"/>
      <c r="AA793" s="384"/>
      <c r="AB793" s="384"/>
      <c r="AC793" s="384"/>
      <c r="AD793" s="384"/>
      <c r="AE793" s="384"/>
      <c r="AF793" s="384"/>
      <c r="AG793" s="384"/>
      <c r="AH793" s="384"/>
      <c r="AI793" s="384"/>
      <c r="AJ793" s="384"/>
      <c r="AK793" s="384"/>
      <c r="AL793" s="384"/>
      <c r="AM793" s="384"/>
    </row>
    <row r="794" spans="1:39" ht="15.75" customHeight="1">
      <c r="A794" s="563"/>
      <c r="B794" s="384"/>
      <c r="C794" s="563"/>
      <c r="D794" s="1997"/>
      <c r="E794" s="1998"/>
      <c r="F794" s="1954"/>
      <c r="G794" s="563"/>
      <c r="H794" s="563"/>
      <c r="I794" s="2000"/>
      <c r="J794" s="563"/>
      <c r="K794" s="384"/>
      <c r="L794" s="1901"/>
      <c r="M794" s="1999"/>
      <c r="N794" s="1999"/>
      <c r="O794" s="1999"/>
      <c r="P794" s="2002"/>
      <c r="Q794" s="2002"/>
      <c r="R794" s="482"/>
      <c r="S794" s="482"/>
      <c r="T794" s="482"/>
      <c r="U794" s="482"/>
      <c r="V794" s="384"/>
      <c r="W794" s="563"/>
      <c r="Y794" s="563"/>
      <c r="AA794" s="384"/>
      <c r="AB794" s="384"/>
      <c r="AC794" s="384"/>
      <c r="AD794" s="384"/>
      <c r="AE794" s="384"/>
      <c r="AF794" s="384"/>
      <c r="AG794" s="384"/>
      <c r="AH794" s="384"/>
      <c r="AI794" s="384"/>
      <c r="AJ794" s="384"/>
      <c r="AK794" s="384"/>
      <c r="AL794" s="384"/>
      <c r="AM794" s="384"/>
    </row>
    <row r="795" spans="1:39" ht="15.75" customHeight="1">
      <c r="A795" s="563"/>
      <c r="B795" s="384"/>
      <c r="C795" s="563"/>
      <c r="D795" s="1997"/>
      <c r="E795" s="1998"/>
      <c r="F795" s="1954"/>
      <c r="G795" s="563"/>
      <c r="H795" s="563"/>
      <c r="I795" s="2000"/>
      <c r="J795" s="563"/>
      <c r="K795" s="384"/>
      <c r="L795" s="1901"/>
      <c r="M795" s="1999"/>
      <c r="N795" s="1999"/>
      <c r="O795" s="1999"/>
      <c r="P795" s="2002"/>
      <c r="Q795" s="2002"/>
      <c r="R795" s="482"/>
      <c r="S795" s="482"/>
      <c r="T795" s="482"/>
      <c r="U795" s="482"/>
      <c r="V795" s="384"/>
      <c r="W795" s="563"/>
      <c r="Y795" s="563"/>
      <c r="AA795" s="384"/>
      <c r="AB795" s="384"/>
      <c r="AC795" s="384"/>
      <c r="AD795" s="384"/>
      <c r="AE795" s="384"/>
      <c r="AF795" s="384"/>
      <c r="AG795" s="384"/>
      <c r="AH795" s="384"/>
      <c r="AI795" s="384"/>
      <c r="AJ795" s="384"/>
      <c r="AK795" s="384"/>
      <c r="AL795" s="384"/>
      <c r="AM795" s="384"/>
    </row>
    <row r="796" spans="1:39" ht="15.75" customHeight="1">
      <c r="A796" s="563"/>
      <c r="B796" s="384"/>
      <c r="C796" s="563"/>
      <c r="D796" s="1997"/>
      <c r="E796" s="1998"/>
      <c r="F796" s="1954"/>
      <c r="G796" s="563"/>
      <c r="H796" s="563"/>
      <c r="I796" s="2000"/>
      <c r="J796" s="563"/>
      <c r="K796" s="384"/>
      <c r="L796" s="1901"/>
      <c r="M796" s="1999"/>
      <c r="N796" s="1999"/>
      <c r="O796" s="1999"/>
      <c r="P796" s="2002"/>
      <c r="Q796" s="2002"/>
      <c r="R796" s="482"/>
      <c r="S796" s="482"/>
      <c r="T796" s="482"/>
      <c r="U796" s="482"/>
      <c r="V796" s="384"/>
      <c r="W796" s="563"/>
      <c r="Y796" s="563"/>
      <c r="AA796" s="384"/>
      <c r="AB796" s="384"/>
      <c r="AC796" s="384"/>
      <c r="AD796" s="384"/>
      <c r="AE796" s="384"/>
      <c r="AF796" s="384"/>
      <c r="AG796" s="384"/>
      <c r="AH796" s="384"/>
      <c r="AI796" s="384"/>
      <c r="AJ796" s="384"/>
      <c r="AK796" s="384"/>
      <c r="AL796" s="384"/>
      <c r="AM796" s="384"/>
    </row>
    <row r="797" spans="1:39" ht="15.75" customHeight="1">
      <c r="A797" s="563"/>
      <c r="B797" s="384"/>
      <c r="C797" s="563"/>
      <c r="D797" s="1997"/>
      <c r="E797" s="1998"/>
      <c r="F797" s="1954"/>
      <c r="G797" s="563"/>
      <c r="H797" s="563"/>
      <c r="I797" s="2000"/>
      <c r="J797" s="563"/>
      <c r="K797" s="384"/>
      <c r="L797" s="1901"/>
      <c r="M797" s="1999"/>
      <c r="N797" s="1999"/>
      <c r="O797" s="1999"/>
      <c r="P797" s="2002"/>
      <c r="Q797" s="2002"/>
      <c r="R797" s="482"/>
      <c r="S797" s="482"/>
      <c r="T797" s="482"/>
      <c r="U797" s="482"/>
      <c r="V797" s="384"/>
      <c r="W797" s="563"/>
      <c r="Y797" s="563"/>
      <c r="AA797" s="384"/>
      <c r="AB797" s="384"/>
      <c r="AC797" s="384"/>
      <c r="AD797" s="384"/>
      <c r="AE797" s="384"/>
      <c r="AF797" s="384"/>
      <c r="AG797" s="384"/>
      <c r="AH797" s="384"/>
      <c r="AI797" s="384"/>
      <c r="AJ797" s="384"/>
      <c r="AK797" s="384"/>
      <c r="AL797" s="384"/>
      <c r="AM797" s="384"/>
    </row>
    <row r="798" spans="1:39" ht="15.75" customHeight="1">
      <c r="A798" s="563"/>
      <c r="B798" s="384"/>
      <c r="C798" s="563"/>
      <c r="D798" s="1997"/>
      <c r="E798" s="1998"/>
      <c r="F798" s="1954"/>
      <c r="G798" s="563"/>
      <c r="H798" s="563"/>
      <c r="I798" s="2000"/>
      <c r="J798" s="563"/>
      <c r="K798" s="384"/>
      <c r="L798" s="1901"/>
      <c r="M798" s="1999"/>
      <c r="N798" s="1999"/>
      <c r="O798" s="1999"/>
      <c r="P798" s="2002"/>
      <c r="Q798" s="2002"/>
      <c r="R798" s="482"/>
      <c r="S798" s="482"/>
      <c r="T798" s="482"/>
      <c r="U798" s="482"/>
      <c r="V798" s="384"/>
      <c r="W798" s="563"/>
      <c r="Y798" s="563"/>
      <c r="AA798" s="384"/>
      <c r="AB798" s="384"/>
      <c r="AC798" s="384"/>
      <c r="AD798" s="384"/>
      <c r="AE798" s="384"/>
      <c r="AF798" s="384"/>
      <c r="AG798" s="384"/>
      <c r="AH798" s="384"/>
      <c r="AI798" s="384"/>
      <c r="AJ798" s="384"/>
      <c r="AK798" s="384"/>
      <c r="AL798" s="384"/>
      <c r="AM798" s="384"/>
    </row>
    <row r="799" spans="1:39" ht="15.75" customHeight="1">
      <c r="A799" s="563"/>
      <c r="B799" s="384"/>
      <c r="C799" s="563"/>
      <c r="D799" s="1997"/>
      <c r="E799" s="1998"/>
      <c r="F799" s="1954"/>
      <c r="G799" s="563"/>
      <c r="H799" s="563"/>
      <c r="I799" s="2000"/>
      <c r="J799" s="563"/>
      <c r="K799" s="384"/>
      <c r="L799" s="1901"/>
      <c r="M799" s="1999"/>
      <c r="N799" s="1999"/>
      <c r="O799" s="1999"/>
      <c r="P799" s="2002"/>
      <c r="Q799" s="2002"/>
      <c r="R799" s="482"/>
      <c r="S799" s="482"/>
      <c r="T799" s="482"/>
      <c r="U799" s="482"/>
      <c r="V799" s="384"/>
      <c r="W799" s="563"/>
      <c r="Y799" s="563"/>
      <c r="AA799" s="384"/>
      <c r="AB799" s="384"/>
      <c r="AC799" s="384"/>
      <c r="AD799" s="384"/>
      <c r="AE799" s="384"/>
      <c r="AF799" s="384"/>
      <c r="AG799" s="384"/>
      <c r="AH799" s="384"/>
      <c r="AI799" s="384"/>
      <c r="AJ799" s="384"/>
      <c r="AK799" s="384"/>
      <c r="AL799" s="384"/>
      <c r="AM799" s="384"/>
    </row>
    <row r="800" spans="1:39" ht="15.75" customHeight="1">
      <c r="A800" s="563"/>
      <c r="B800" s="384"/>
      <c r="C800" s="563"/>
      <c r="D800" s="1997"/>
      <c r="E800" s="1998"/>
      <c r="F800" s="1954"/>
      <c r="G800" s="563"/>
      <c r="H800" s="563"/>
      <c r="I800" s="2000"/>
      <c r="J800" s="563"/>
      <c r="K800" s="384"/>
      <c r="L800" s="1901"/>
      <c r="M800" s="1999"/>
      <c r="N800" s="1999"/>
      <c r="O800" s="1999"/>
      <c r="P800" s="2002"/>
      <c r="Q800" s="2002"/>
      <c r="R800" s="482"/>
      <c r="S800" s="482"/>
      <c r="T800" s="482"/>
      <c r="U800" s="482"/>
      <c r="V800" s="384"/>
      <c r="W800" s="563"/>
      <c r="Y800" s="563"/>
      <c r="AA800" s="384"/>
      <c r="AB800" s="384"/>
      <c r="AC800" s="384"/>
      <c r="AD800" s="384"/>
      <c r="AE800" s="384"/>
      <c r="AF800" s="384"/>
      <c r="AG800" s="384"/>
      <c r="AH800" s="384"/>
      <c r="AI800" s="384"/>
      <c r="AJ800" s="384"/>
      <c r="AK800" s="384"/>
      <c r="AL800" s="384"/>
      <c r="AM800" s="384"/>
    </row>
    <row r="801" spans="1:39" ht="15.75" customHeight="1">
      <c r="A801" s="563"/>
      <c r="B801" s="384"/>
      <c r="C801" s="563"/>
      <c r="D801" s="1997"/>
      <c r="E801" s="1998"/>
      <c r="F801" s="1954"/>
      <c r="G801" s="563"/>
      <c r="H801" s="563"/>
      <c r="I801" s="2000"/>
      <c r="J801" s="563"/>
      <c r="K801" s="384"/>
      <c r="L801" s="1901"/>
      <c r="M801" s="1999"/>
      <c r="N801" s="1999"/>
      <c r="O801" s="1999"/>
      <c r="P801" s="2002"/>
      <c r="Q801" s="2002"/>
      <c r="R801" s="482"/>
      <c r="S801" s="482"/>
      <c r="T801" s="482"/>
      <c r="U801" s="482"/>
      <c r="V801" s="384"/>
      <c r="W801" s="563"/>
      <c r="Y801" s="563"/>
      <c r="AA801" s="384"/>
      <c r="AB801" s="384"/>
      <c r="AC801" s="384"/>
      <c r="AD801" s="384"/>
      <c r="AE801" s="384"/>
      <c r="AF801" s="384"/>
      <c r="AG801" s="384"/>
      <c r="AH801" s="384"/>
      <c r="AI801" s="384"/>
      <c r="AJ801" s="384"/>
      <c r="AK801" s="384"/>
      <c r="AL801" s="384"/>
      <c r="AM801" s="384"/>
    </row>
    <row r="802" spans="1:39" ht="15.75" customHeight="1">
      <c r="A802" s="563"/>
      <c r="B802" s="384"/>
      <c r="C802" s="563"/>
      <c r="D802" s="1997"/>
      <c r="E802" s="1998"/>
      <c r="F802" s="1954"/>
      <c r="G802" s="563"/>
      <c r="H802" s="563"/>
      <c r="I802" s="2000"/>
      <c r="J802" s="563"/>
      <c r="K802" s="384"/>
      <c r="L802" s="1901"/>
      <c r="M802" s="1999"/>
      <c r="N802" s="1999"/>
      <c r="O802" s="1999"/>
      <c r="P802" s="2002"/>
      <c r="Q802" s="2002"/>
      <c r="R802" s="482"/>
      <c r="S802" s="482"/>
      <c r="T802" s="482"/>
      <c r="U802" s="482"/>
      <c r="V802" s="384"/>
      <c r="W802" s="563"/>
      <c r="Y802" s="563"/>
      <c r="AA802" s="384"/>
      <c r="AB802" s="384"/>
      <c r="AC802" s="384"/>
      <c r="AD802" s="384"/>
      <c r="AE802" s="384"/>
      <c r="AF802" s="384"/>
      <c r="AG802" s="384"/>
      <c r="AH802" s="384"/>
      <c r="AI802" s="384"/>
      <c r="AJ802" s="384"/>
      <c r="AK802" s="384"/>
      <c r="AL802" s="384"/>
      <c r="AM802" s="384"/>
    </row>
    <row r="803" spans="1:39" ht="15.75" customHeight="1">
      <c r="A803" s="563"/>
      <c r="B803" s="384"/>
      <c r="C803" s="563"/>
      <c r="D803" s="1997"/>
      <c r="E803" s="1998"/>
      <c r="F803" s="1954"/>
      <c r="G803" s="563"/>
      <c r="H803" s="563"/>
      <c r="I803" s="2000"/>
      <c r="J803" s="563"/>
      <c r="K803" s="384"/>
      <c r="L803" s="1901"/>
      <c r="M803" s="1999"/>
      <c r="N803" s="1999"/>
      <c r="O803" s="1999"/>
      <c r="P803" s="2002"/>
      <c r="Q803" s="2002"/>
      <c r="R803" s="482"/>
      <c r="S803" s="482"/>
      <c r="T803" s="482"/>
      <c r="U803" s="482"/>
      <c r="V803" s="384"/>
      <c r="W803" s="563"/>
      <c r="Y803" s="563"/>
      <c r="AA803" s="384"/>
      <c r="AB803" s="384"/>
      <c r="AC803" s="384"/>
      <c r="AD803" s="384"/>
      <c r="AE803" s="384"/>
      <c r="AF803" s="384"/>
      <c r="AG803" s="384"/>
      <c r="AH803" s="384"/>
      <c r="AI803" s="384"/>
      <c r="AJ803" s="384"/>
      <c r="AK803" s="384"/>
      <c r="AL803" s="384"/>
      <c r="AM803" s="384"/>
    </row>
    <row r="804" spans="1:39" ht="15.75" customHeight="1">
      <c r="A804" s="563"/>
      <c r="B804" s="384"/>
      <c r="C804" s="563"/>
      <c r="D804" s="1997"/>
      <c r="E804" s="1998"/>
      <c r="F804" s="1954"/>
      <c r="G804" s="563"/>
      <c r="H804" s="563"/>
      <c r="I804" s="2000"/>
      <c r="J804" s="563"/>
      <c r="K804" s="384"/>
      <c r="L804" s="1901"/>
      <c r="M804" s="1999"/>
      <c r="N804" s="1999"/>
      <c r="O804" s="1999"/>
      <c r="P804" s="2002"/>
      <c r="Q804" s="2002"/>
      <c r="R804" s="482"/>
      <c r="S804" s="482"/>
      <c r="T804" s="482"/>
      <c r="U804" s="482"/>
      <c r="V804" s="384"/>
      <c r="W804" s="563"/>
      <c r="Y804" s="563"/>
      <c r="AA804" s="384"/>
      <c r="AB804" s="384"/>
      <c r="AC804" s="384"/>
      <c r="AD804" s="384"/>
      <c r="AE804" s="384"/>
      <c r="AF804" s="384"/>
      <c r="AG804" s="384"/>
      <c r="AH804" s="384"/>
      <c r="AI804" s="384"/>
      <c r="AJ804" s="384"/>
      <c r="AK804" s="384"/>
      <c r="AL804" s="384"/>
      <c r="AM804" s="384"/>
    </row>
    <row r="805" spans="1:39" ht="15.75" customHeight="1">
      <c r="A805" s="563"/>
      <c r="B805" s="384"/>
      <c r="C805" s="563"/>
      <c r="D805" s="1997"/>
      <c r="E805" s="1998"/>
      <c r="F805" s="1954"/>
      <c r="G805" s="563"/>
      <c r="H805" s="563"/>
      <c r="I805" s="2000"/>
      <c r="J805" s="563"/>
      <c r="K805" s="384"/>
      <c r="L805" s="1901"/>
      <c r="M805" s="1999"/>
      <c r="N805" s="1999"/>
      <c r="O805" s="1999"/>
      <c r="P805" s="2002"/>
      <c r="Q805" s="2002"/>
      <c r="R805" s="482"/>
      <c r="S805" s="482"/>
      <c r="T805" s="482"/>
      <c r="U805" s="482"/>
      <c r="V805" s="384"/>
      <c r="W805" s="563"/>
      <c r="Y805" s="563"/>
      <c r="AA805" s="384"/>
      <c r="AB805" s="384"/>
      <c r="AC805" s="384"/>
      <c r="AD805" s="384"/>
      <c r="AE805" s="384"/>
      <c r="AF805" s="384"/>
      <c r="AG805" s="384"/>
      <c r="AH805" s="384"/>
      <c r="AI805" s="384"/>
      <c r="AJ805" s="384"/>
      <c r="AK805" s="384"/>
      <c r="AL805" s="384"/>
      <c r="AM805" s="384"/>
    </row>
    <row r="806" spans="1:39" ht="15.75" customHeight="1">
      <c r="A806" s="563"/>
      <c r="B806" s="384"/>
      <c r="C806" s="563"/>
      <c r="D806" s="1997"/>
      <c r="E806" s="1998"/>
      <c r="F806" s="1954"/>
      <c r="G806" s="563"/>
      <c r="H806" s="563"/>
      <c r="I806" s="2000"/>
      <c r="J806" s="563"/>
      <c r="K806" s="384"/>
      <c r="L806" s="1901"/>
      <c r="M806" s="1999"/>
      <c r="N806" s="1999"/>
      <c r="O806" s="1999"/>
      <c r="P806" s="2002"/>
      <c r="Q806" s="2002"/>
      <c r="R806" s="482"/>
      <c r="S806" s="482"/>
      <c r="T806" s="482"/>
      <c r="U806" s="482"/>
      <c r="V806" s="384"/>
      <c r="W806" s="563"/>
      <c r="Y806" s="563"/>
      <c r="AA806" s="384"/>
      <c r="AB806" s="384"/>
      <c r="AC806" s="384"/>
      <c r="AD806" s="384"/>
      <c r="AE806" s="384"/>
      <c r="AF806" s="384"/>
      <c r="AG806" s="384"/>
      <c r="AH806" s="384"/>
      <c r="AI806" s="384"/>
      <c r="AJ806" s="384"/>
      <c r="AK806" s="384"/>
      <c r="AL806" s="384"/>
      <c r="AM806" s="384"/>
    </row>
    <row r="807" spans="1:39" ht="15.75" customHeight="1">
      <c r="A807" s="563"/>
      <c r="B807" s="384"/>
      <c r="C807" s="563"/>
      <c r="D807" s="1997"/>
      <c r="E807" s="1998"/>
      <c r="F807" s="1954"/>
      <c r="G807" s="563"/>
      <c r="H807" s="563"/>
      <c r="I807" s="2000"/>
      <c r="J807" s="563"/>
      <c r="K807" s="384"/>
      <c r="L807" s="1901"/>
      <c r="M807" s="1999"/>
      <c r="N807" s="1999"/>
      <c r="O807" s="1999"/>
      <c r="P807" s="2002"/>
      <c r="Q807" s="2002"/>
      <c r="R807" s="482"/>
      <c r="S807" s="482"/>
      <c r="T807" s="482"/>
      <c r="U807" s="482"/>
      <c r="V807" s="384"/>
      <c r="W807" s="563"/>
      <c r="Y807" s="563"/>
      <c r="AA807" s="384"/>
      <c r="AB807" s="384"/>
      <c r="AC807" s="384"/>
      <c r="AD807" s="384"/>
      <c r="AE807" s="384"/>
      <c r="AF807" s="384"/>
      <c r="AG807" s="384"/>
      <c r="AH807" s="384"/>
      <c r="AI807" s="384"/>
      <c r="AJ807" s="384"/>
      <c r="AK807" s="384"/>
      <c r="AL807" s="384"/>
      <c r="AM807" s="384"/>
    </row>
    <row r="808" spans="1:39" ht="15.75" customHeight="1">
      <c r="A808" s="563"/>
      <c r="B808" s="384"/>
      <c r="C808" s="563"/>
      <c r="D808" s="1997"/>
      <c r="E808" s="1998"/>
      <c r="F808" s="1954"/>
      <c r="G808" s="563"/>
      <c r="H808" s="563"/>
      <c r="I808" s="2000"/>
      <c r="J808" s="563"/>
      <c r="K808" s="384"/>
      <c r="L808" s="1901"/>
      <c r="M808" s="1999"/>
      <c r="N808" s="1999"/>
      <c r="O808" s="1999"/>
      <c r="P808" s="2002"/>
      <c r="Q808" s="2002"/>
      <c r="R808" s="482"/>
      <c r="S808" s="482"/>
      <c r="T808" s="482"/>
      <c r="U808" s="482"/>
      <c r="V808" s="384"/>
      <c r="W808" s="563"/>
      <c r="Y808" s="563"/>
      <c r="AA808" s="384"/>
      <c r="AB808" s="384"/>
      <c r="AC808" s="384"/>
      <c r="AD808" s="384"/>
      <c r="AE808" s="384"/>
      <c r="AF808" s="384"/>
      <c r="AG808" s="384"/>
      <c r="AH808" s="384"/>
      <c r="AI808" s="384"/>
      <c r="AJ808" s="384"/>
      <c r="AK808" s="384"/>
      <c r="AL808" s="384"/>
      <c r="AM808" s="384"/>
    </row>
    <row r="809" spans="1:39" ht="15.75" customHeight="1">
      <c r="A809" s="563"/>
      <c r="B809" s="384"/>
      <c r="C809" s="563"/>
      <c r="D809" s="1997"/>
      <c r="E809" s="1998"/>
      <c r="F809" s="1954"/>
      <c r="G809" s="563"/>
      <c r="H809" s="563"/>
      <c r="I809" s="2000"/>
      <c r="J809" s="563"/>
      <c r="K809" s="384"/>
      <c r="L809" s="1901"/>
      <c r="M809" s="1999"/>
      <c r="N809" s="1999"/>
      <c r="O809" s="1999"/>
      <c r="P809" s="2002"/>
      <c r="Q809" s="2002"/>
      <c r="R809" s="482"/>
      <c r="S809" s="482"/>
      <c r="T809" s="482"/>
      <c r="U809" s="482"/>
      <c r="V809" s="384"/>
      <c r="W809" s="563"/>
      <c r="Y809" s="563"/>
      <c r="AA809" s="384"/>
      <c r="AB809" s="384"/>
      <c r="AC809" s="384"/>
      <c r="AD809" s="384"/>
      <c r="AE809" s="384"/>
      <c r="AF809" s="384"/>
      <c r="AG809" s="384"/>
      <c r="AH809" s="384"/>
      <c r="AI809" s="384"/>
      <c r="AJ809" s="384"/>
      <c r="AK809" s="384"/>
      <c r="AL809" s="384"/>
      <c r="AM809" s="384"/>
    </row>
    <row r="810" spans="1:39" ht="15.75" customHeight="1">
      <c r="A810" s="563"/>
      <c r="B810" s="384"/>
      <c r="C810" s="563"/>
      <c r="D810" s="1997"/>
      <c r="E810" s="1998"/>
      <c r="F810" s="1954"/>
      <c r="G810" s="563"/>
      <c r="H810" s="563"/>
      <c r="I810" s="2000"/>
      <c r="J810" s="563"/>
      <c r="K810" s="384"/>
      <c r="L810" s="1901"/>
      <c r="M810" s="1999"/>
      <c r="N810" s="1999"/>
      <c r="O810" s="1999"/>
      <c r="P810" s="2002"/>
      <c r="Q810" s="2002"/>
      <c r="R810" s="482"/>
      <c r="S810" s="482"/>
      <c r="T810" s="482"/>
      <c r="U810" s="482"/>
      <c r="V810" s="384"/>
      <c r="W810" s="563"/>
      <c r="Y810" s="563"/>
      <c r="AA810" s="384"/>
      <c r="AB810" s="384"/>
      <c r="AC810" s="384"/>
      <c r="AD810" s="384"/>
      <c r="AE810" s="384"/>
      <c r="AF810" s="384"/>
      <c r="AG810" s="384"/>
      <c r="AH810" s="384"/>
      <c r="AI810" s="384"/>
      <c r="AJ810" s="384"/>
      <c r="AK810" s="384"/>
      <c r="AL810" s="384"/>
      <c r="AM810" s="384"/>
    </row>
    <row r="811" spans="1:39" ht="15.75" customHeight="1">
      <c r="A811" s="563"/>
      <c r="B811" s="384"/>
      <c r="C811" s="563"/>
      <c r="D811" s="1997"/>
      <c r="E811" s="1998"/>
      <c r="F811" s="1954"/>
      <c r="G811" s="563"/>
      <c r="H811" s="563"/>
      <c r="I811" s="2000"/>
      <c r="J811" s="563"/>
      <c r="K811" s="384"/>
      <c r="L811" s="1901"/>
      <c r="M811" s="1999"/>
      <c r="N811" s="1999"/>
      <c r="O811" s="1999"/>
      <c r="P811" s="2002"/>
      <c r="Q811" s="2002"/>
      <c r="R811" s="482"/>
      <c r="S811" s="482"/>
      <c r="T811" s="482"/>
      <c r="U811" s="482"/>
      <c r="V811" s="384"/>
      <c r="W811" s="563"/>
      <c r="Y811" s="563"/>
      <c r="AA811" s="384"/>
      <c r="AB811" s="384"/>
      <c r="AC811" s="384"/>
      <c r="AD811" s="384"/>
      <c r="AE811" s="384"/>
      <c r="AF811" s="384"/>
      <c r="AG811" s="384"/>
      <c r="AH811" s="384"/>
      <c r="AI811" s="384"/>
      <c r="AJ811" s="384"/>
      <c r="AK811" s="384"/>
      <c r="AL811" s="384"/>
      <c r="AM811" s="384"/>
    </row>
    <row r="812" spans="1:39" ht="15.75" customHeight="1">
      <c r="A812" s="563"/>
      <c r="B812" s="384"/>
      <c r="C812" s="563"/>
      <c r="D812" s="1997"/>
      <c r="E812" s="1998"/>
      <c r="F812" s="1954"/>
      <c r="G812" s="563"/>
      <c r="H812" s="563"/>
      <c r="I812" s="2000"/>
      <c r="J812" s="563"/>
      <c r="K812" s="384"/>
      <c r="L812" s="1901"/>
      <c r="M812" s="1999"/>
      <c r="N812" s="1999"/>
      <c r="O812" s="1999"/>
      <c r="P812" s="2002"/>
      <c r="Q812" s="2002"/>
      <c r="R812" s="482"/>
      <c r="S812" s="482"/>
      <c r="T812" s="482"/>
      <c r="U812" s="482"/>
      <c r="V812" s="384"/>
      <c r="W812" s="563"/>
      <c r="Y812" s="563"/>
      <c r="AA812" s="384"/>
      <c r="AB812" s="384"/>
      <c r="AC812" s="384"/>
      <c r="AD812" s="384"/>
      <c r="AE812" s="384"/>
      <c r="AF812" s="384"/>
      <c r="AG812" s="384"/>
      <c r="AH812" s="384"/>
      <c r="AI812" s="384"/>
      <c r="AJ812" s="384"/>
      <c r="AK812" s="384"/>
      <c r="AL812" s="384"/>
      <c r="AM812" s="384"/>
    </row>
    <row r="813" spans="1:39" ht="15.75" customHeight="1">
      <c r="A813" s="563"/>
      <c r="B813" s="384"/>
      <c r="C813" s="563"/>
      <c r="D813" s="1997"/>
      <c r="E813" s="1998"/>
      <c r="F813" s="1954"/>
      <c r="G813" s="563"/>
      <c r="H813" s="563"/>
      <c r="I813" s="2000"/>
      <c r="J813" s="563"/>
      <c r="K813" s="384"/>
      <c r="L813" s="1901"/>
      <c r="M813" s="1999"/>
      <c r="N813" s="1999"/>
      <c r="O813" s="1999"/>
      <c r="P813" s="2002"/>
      <c r="Q813" s="2002"/>
      <c r="R813" s="482"/>
      <c r="S813" s="482"/>
      <c r="T813" s="482"/>
      <c r="U813" s="482"/>
      <c r="V813" s="384"/>
      <c r="W813" s="563"/>
      <c r="Y813" s="563"/>
      <c r="AA813" s="384"/>
      <c r="AB813" s="384"/>
      <c r="AC813" s="384"/>
      <c r="AD813" s="384"/>
      <c r="AE813" s="384"/>
      <c r="AF813" s="384"/>
      <c r="AG813" s="384"/>
      <c r="AH813" s="384"/>
      <c r="AI813" s="384"/>
      <c r="AJ813" s="384"/>
      <c r="AK813" s="384"/>
      <c r="AL813" s="384"/>
      <c r="AM813" s="384"/>
    </row>
    <row r="814" spans="1:39" ht="15.75" customHeight="1">
      <c r="A814" s="563"/>
      <c r="B814" s="384"/>
      <c r="C814" s="563"/>
      <c r="D814" s="1997"/>
      <c r="E814" s="1998"/>
      <c r="F814" s="1954"/>
      <c r="G814" s="563"/>
      <c r="H814" s="563"/>
      <c r="I814" s="2000"/>
      <c r="J814" s="563"/>
      <c r="K814" s="384"/>
      <c r="L814" s="1901"/>
      <c r="M814" s="1999"/>
      <c r="N814" s="1999"/>
      <c r="O814" s="1999"/>
      <c r="P814" s="2002"/>
      <c r="Q814" s="2002"/>
      <c r="R814" s="482"/>
      <c r="S814" s="482"/>
      <c r="T814" s="482"/>
      <c r="U814" s="482"/>
      <c r="V814" s="384"/>
      <c r="W814" s="563"/>
      <c r="Y814" s="563"/>
      <c r="AA814" s="384"/>
      <c r="AB814" s="384"/>
      <c r="AC814" s="384"/>
      <c r="AD814" s="384"/>
      <c r="AE814" s="384"/>
      <c r="AF814" s="384"/>
      <c r="AG814" s="384"/>
      <c r="AH814" s="384"/>
      <c r="AI814" s="384"/>
      <c r="AJ814" s="384"/>
      <c r="AK814" s="384"/>
      <c r="AL814" s="384"/>
      <c r="AM814" s="384"/>
    </row>
    <row r="815" spans="1:39" ht="15.75" customHeight="1">
      <c r="A815" s="563"/>
      <c r="B815" s="384"/>
      <c r="C815" s="563"/>
      <c r="D815" s="1997"/>
      <c r="E815" s="1998"/>
      <c r="F815" s="1954"/>
      <c r="G815" s="563"/>
      <c r="H815" s="563"/>
      <c r="I815" s="2000"/>
      <c r="J815" s="563"/>
      <c r="K815" s="384"/>
      <c r="L815" s="1901"/>
      <c r="M815" s="1999"/>
      <c r="N815" s="1999"/>
      <c r="O815" s="1999"/>
      <c r="P815" s="2002"/>
      <c r="Q815" s="2002"/>
      <c r="R815" s="482"/>
      <c r="S815" s="482"/>
      <c r="T815" s="482"/>
      <c r="U815" s="482"/>
      <c r="V815" s="384"/>
      <c r="W815" s="563"/>
      <c r="Y815" s="563"/>
      <c r="AA815" s="384"/>
      <c r="AB815" s="384"/>
      <c r="AC815" s="384"/>
      <c r="AD815" s="384"/>
      <c r="AE815" s="384"/>
      <c r="AF815" s="384"/>
      <c r="AG815" s="384"/>
      <c r="AH815" s="384"/>
      <c r="AI815" s="384"/>
      <c r="AJ815" s="384"/>
      <c r="AK815" s="384"/>
      <c r="AL815" s="384"/>
      <c r="AM815" s="384"/>
    </row>
    <row r="816" spans="1:39" ht="15.75" customHeight="1">
      <c r="A816" s="563"/>
      <c r="B816" s="384"/>
      <c r="C816" s="563"/>
      <c r="D816" s="1997"/>
      <c r="E816" s="1998"/>
      <c r="F816" s="1954"/>
      <c r="G816" s="563"/>
      <c r="H816" s="563"/>
      <c r="I816" s="2000"/>
      <c r="J816" s="563"/>
      <c r="K816" s="384"/>
      <c r="L816" s="1901"/>
      <c r="M816" s="1999"/>
      <c r="N816" s="1999"/>
      <c r="O816" s="1999"/>
      <c r="P816" s="2002"/>
      <c r="Q816" s="2002"/>
      <c r="R816" s="482"/>
      <c r="S816" s="482"/>
      <c r="T816" s="482"/>
      <c r="U816" s="482"/>
      <c r="V816" s="384"/>
      <c r="W816" s="563"/>
      <c r="Y816" s="563"/>
      <c r="AA816" s="384"/>
      <c r="AB816" s="384"/>
      <c r="AC816" s="384"/>
      <c r="AD816" s="384"/>
      <c r="AE816" s="384"/>
      <c r="AF816" s="384"/>
      <c r="AG816" s="384"/>
      <c r="AH816" s="384"/>
      <c r="AI816" s="384"/>
      <c r="AJ816" s="384"/>
      <c r="AK816" s="384"/>
      <c r="AL816" s="384"/>
      <c r="AM816" s="384"/>
    </row>
    <row r="817" spans="1:39" ht="15.75" customHeight="1">
      <c r="A817" s="563"/>
      <c r="B817" s="384"/>
      <c r="C817" s="563"/>
      <c r="D817" s="1997"/>
      <c r="E817" s="1998"/>
      <c r="F817" s="1954"/>
      <c r="G817" s="563"/>
      <c r="H817" s="563"/>
      <c r="I817" s="2000"/>
      <c r="J817" s="563"/>
      <c r="K817" s="384"/>
      <c r="L817" s="1901"/>
      <c r="M817" s="1999"/>
      <c r="N817" s="1999"/>
      <c r="O817" s="1999"/>
      <c r="P817" s="2002"/>
      <c r="Q817" s="2002"/>
      <c r="R817" s="482"/>
      <c r="S817" s="482"/>
      <c r="T817" s="482"/>
      <c r="U817" s="482"/>
      <c r="V817" s="384"/>
      <c r="W817" s="563"/>
      <c r="Y817" s="563"/>
      <c r="AA817" s="384"/>
      <c r="AB817" s="384"/>
      <c r="AC817" s="384"/>
      <c r="AD817" s="384"/>
      <c r="AE817" s="384"/>
      <c r="AF817" s="384"/>
      <c r="AG817" s="384"/>
      <c r="AH817" s="384"/>
      <c r="AI817" s="384"/>
      <c r="AJ817" s="384"/>
      <c r="AK817" s="384"/>
      <c r="AL817" s="384"/>
      <c r="AM817" s="384"/>
    </row>
    <row r="818" spans="1:39" ht="15.75" customHeight="1">
      <c r="A818" s="563"/>
      <c r="B818" s="384"/>
      <c r="C818" s="563"/>
      <c r="D818" s="1997"/>
      <c r="E818" s="1998"/>
      <c r="F818" s="1954"/>
      <c r="G818" s="563"/>
      <c r="H818" s="563"/>
      <c r="I818" s="2000"/>
      <c r="J818" s="563"/>
      <c r="K818" s="384"/>
      <c r="L818" s="1901"/>
      <c r="M818" s="1999"/>
      <c r="N818" s="1999"/>
      <c r="O818" s="1999"/>
      <c r="P818" s="2002"/>
      <c r="Q818" s="2002"/>
      <c r="R818" s="482"/>
      <c r="S818" s="482"/>
      <c r="T818" s="482"/>
      <c r="U818" s="482"/>
      <c r="V818" s="384"/>
      <c r="W818" s="563"/>
      <c r="Y818" s="563"/>
      <c r="AA818" s="384"/>
      <c r="AB818" s="384"/>
      <c r="AC818" s="384"/>
      <c r="AD818" s="384"/>
      <c r="AE818" s="384"/>
      <c r="AF818" s="384"/>
      <c r="AG818" s="384"/>
      <c r="AH818" s="384"/>
      <c r="AI818" s="384"/>
      <c r="AJ818" s="384"/>
      <c r="AK818" s="384"/>
      <c r="AL818" s="384"/>
      <c r="AM818" s="384"/>
    </row>
    <row r="819" spans="1:39" ht="15.75" customHeight="1">
      <c r="A819" s="563"/>
      <c r="B819" s="384"/>
      <c r="C819" s="563"/>
      <c r="D819" s="1997"/>
      <c r="E819" s="1998"/>
      <c r="F819" s="1954"/>
      <c r="G819" s="563"/>
      <c r="H819" s="563"/>
      <c r="I819" s="2000"/>
      <c r="J819" s="563"/>
      <c r="K819" s="384"/>
      <c r="L819" s="1901"/>
      <c r="M819" s="1999"/>
      <c r="N819" s="1999"/>
      <c r="O819" s="1999"/>
      <c r="P819" s="2002"/>
      <c r="Q819" s="2002"/>
      <c r="R819" s="482"/>
      <c r="S819" s="482"/>
      <c r="T819" s="482"/>
      <c r="U819" s="482"/>
      <c r="V819" s="384"/>
      <c r="W819" s="563"/>
      <c r="Y819" s="563"/>
      <c r="AA819" s="384"/>
      <c r="AB819" s="384"/>
      <c r="AC819" s="384"/>
      <c r="AD819" s="384"/>
      <c r="AE819" s="384"/>
      <c r="AF819" s="384"/>
      <c r="AG819" s="384"/>
      <c r="AH819" s="384"/>
      <c r="AI819" s="384"/>
      <c r="AJ819" s="384"/>
      <c r="AK819" s="384"/>
      <c r="AL819" s="384"/>
      <c r="AM819" s="384"/>
    </row>
    <row r="820" spans="1:39" ht="15.75" customHeight="1">
      <c r="A820" s="563"/>
      <c r="B820" s="384"/>
      <c r="C820" s="563"/>
      <c r="D820" s="1997"/>
      <c r="E820" s="1998"/>
      <c r="F820" s="1954"/>
      <c r="G820" s="563"/>
      <c r="H820" s="563"/>
      <c r="I820" s="2000"/>
      <c r="J820" s="563"/>
      <c r="K820" s="384"/>
      <c r="L820" s="1901"/>
      <c r="M820" s="1999"/>
      <c r="N820" s="1999"/>
      <c r="O820" s="1999"/>
      <c r="P820" s="2002"/>
      <c r="Q820" s="2002"/>
      <c r="R820" s="482"/>
      <c r="S820" s="482"/>
      <c r="T820" s="482"/>
      <c r="U820" s="482"/>
      <c r="V820" s="384"/>
      <c r="W820" s="563"/>
      <c r="Y820" s="563"/>
      <c r="AA820" s="384"/>
      <c r="AB820" s="384"/>
      <c r="AC820" s="384"/>
      <c r="AD820" s="384"/>
      <c r="AE820" s="384"/>
      <c r="AF820" s="384"/>
      <c r="AG820" s="384"/>
      <c r="AH820" s="384"/>
      <c r="AI820" s="384"/>
      <c r="AJ820" s="384"/>
      <c r="AK820" s="384"/>
      <c r="AL820" s="384"/>
      <c r="AM820" s="384"/>
    </row>
    <row r="821" spans="1:39" ht="15.75" customHeight="1">
      <c r="A821" s="563"/>
      <c r="B821" s="384"/>
      <c r="C821" s="563"/>
      <c r="D821" s="1997"/>
      <c r="E821" s="1998"/>
      <c r="F821" s="1954"/>
      <c r="G821" s="563"/>
      <c r="H821" s="563"/>
      <c r="I821" s="2000"/>
      <c r="J821" s="563"/>
      <c r="K821" s="384"/>
      <c r="L821" s="1901"/>
      <c r="M821" s="1999"/>
      <c r="N821" s="1999"/>
      <c r="O821" s="1999"/>
      <c r="P821" s="2002"/>
      <c r="Q821" s="2002"/>
      <c r="R821" s="482"/>
      <c r="S821" s="482"/>
      <c r="T821" s="482"/>
      <c r="U821" s="482"/>
      <c r="V821" s="384"/>
      <c r="W821" s="563"/>
      <c r="Y821" s="563"/>
      <c r="AA821" s="384"/>
      <c r="AB821" s="384"/>
      <c r="AC821" s="384"/>
      <c r="AD821" s="384"/>
      <c r="AE821" s="384"/>
      <c r="AF821" s="384"/>
      <c r="AG821" s="384"/>
      <c r="AH821" s="384"/>
      <c r="AI821" s="384"/>
      <c r="AJ821" s="384"/>
      <c r="AK821" s="384"/>
      <c r="AL821" s="384"/>
      <c r="AM821" s="384"/>
    </row>
    <row r="822" spans="1:39" ht="15.75" customHeight="1">
      <c r="A822" s="563"/>
      <c r="B822" s="384"/>
      <c r="C822" s="563"/>
      <c r="D822" s="1997"/>
      <c r="E822" s="1998"/>
      <c r="F822" s="1954"/>
      <c r="G822" s="563"/>
      <c r="H822" s="563"/>
      <c r="I822" s="2000"/>
      <c r="J822" s="563"/>
      <c r="K822" s="384"/>
      <c r="L822" s="1901"/>
      <c r="M822" s="1999"/>
      <c r="N822" s="1999"/>
      <c r="O822" s="1999"/>
      <c r="P822" s="2002"/>
      <c r="Q822" s="2002"/>
      <c r="R822" s="482"/>
      <c r="S822" s="482"/>
      <c r="T822" s="482"/>
      <c r="U822" s="482"/>
      <c r="V822" s="384"/>
      <c r="W822" s="563"/>
      <c r="Y822" s="563"/>
      <c r="AA822" s="384"/>
      <c r="AB822" s="384"/>
      <c r="AC822" s="384"/>
      <c r="AD822" s="384"/>
      <c r="AE822" s="384"/>
      <c r="AF822" s="384"/>
      <c r="AG822" s="384"/>
      <c r="AH822" s="384"/>
      <c r="AI822" s="384"/>
      <c r="AJ822" s="384"/>
      <c r="AK822" s="384"/>
      <c r="AL822" s="384"/>
      <c r="AM822" s="384"/>
    </row>
    <row r="823" spans="1:39" ht="15.75" customHeight="1">
      <c r="A823" s="563"/>
      <c r="B823" s="384"/>
      <c r="C823" s="563"/>
      <c r="D823" s="1997"/>
      <c r="E823" s="1998"/>
      <c r="F823" s="1954"/>
      <c r="G823" s="563"/>
      <c r="H823" s="563"/>
      <c r="I823" s="2000"/>
      <c r="J823" s="563"/>
      <c r="K823" s="384"/>
      <c r="L823" s="1901"/>
      <c r="M823" s="1999"/>
      <c r="N823" s="1999"/>
      <c r="O823" s="1999"/>
      <c r="P823" s="2002"/>
      <c r="Q823" s="2002"/>
      <c r="R823" s="482"/>
      <c r="S823" s="482"/>
      <c r="T823" s="482"/>
      <c r="U823" s="482"/>
      <c r="V823" s="384"/>
      <c r="W823" s="563"/>
      <c r="Y823" s="563"/>
      <c r="AA823" s="384"/>
      <c r="AB823" s="384"/>
      <c r="AC823" s="384"/>
      <c r="AD823" s="384"/>
      <c r="AE823" s="384"/>
      <c r="AF823" s="384"/>
      <c r="AG823" s="384"/>
      <c r="AH823" s="384"/>
      <c r="AI823" s="384"/>
      <c r="AJ823" s="384"/>
      <c r="AK823" s="384"/>
      <c r="AL823" s="384"/>
      <c r="AM823" s="384"/>
    </row>
    <row r="824" spans="1:39" ht="15.75" customHeight="1">
      <c r="A824" s="563"/>
      <c r="B824" s="384"/>
      <c r="C824" s="563"/>
      <c r="D824" s="1997"/>
      <c r="E824" s="1998"/>
      <c r="F824" s="1954"/>
      <c r="G824" s="563"/>
      <c r="H824" s="563"/>
      <c r="I824" s="2000"/>
      <c r="J824" s="563"/>
      <c r="K824" s="384"/>
      <c r="L824" s="1901"/>
      <c r="M824" s="1999"/>
      <c r="N824" s="1999"/>
      <c r="O824" s="1999"/>
      <c r="P824" s="2002"/>
      <c r="Q824" s="2002"/>
      <c r="R824" s="482"/>
      <c r="S824" s="482"/>
      <c r="T824" s="482"/>
      <c r="U824" s="482"/>
      <c r="V824" s="384"/>
      <c r="W824" s="563"/>
      <c r="Y824" s="563"/>
      <c r="AA824" s="384"/>
      <c r="AB824" s="384"/>
      <c r="AC824" s="384"/>
      <c r="AD824" s="384"/>
      <c r="AE824" s="384"/>
      <c r="AF824" s="384"/>
      <c r="AG824" s="384"/>
      <c r="AH824" s="384"/>
      <c r="AI824" s="384"/>
      <c r="AJ824" s="384"/>
      <c r="AK824" s="384"/>
      <c r="AL824" s="384"/>
      <c r="AM824" s="384"/>
    </row>
    <row r="825" spans="1:39" ht="15.75" customHeight="1">
      <c r="A825" s="563"/>
      <c r="B825" s="384"/>
      <c r="C825" s="563"/>
      <c r="D825" s="1997"/>
      <c r="E825" s="1998"/>
      <c r="F825" s="1954"/>
      <c r="G825" s="563"/>
      <c r="H825" s="563"/>
      <c r="I825" s="2000"/>
      <c r="J825" s="563"/>
      <c r="K825" s="384"/>
      <c r="L825" s="1901"/>
      <c r="M825" s="1999"/>
      <c r="N825" s="1999"/>
      <c r="O825" s="1999"/>
      <c r="P825" s="2002"/>
      <c r="Q825" s="2002"/>
      <c r="R825" s="482"/>
      <c r="S825" s="482"/>
      <c r="T825" s="482"/>
      <c r="U825" s="482"/>
      <c r="V825" s="384"/>
      <c r="W825" s="563"/>
      <c r="Y825" s="563"/>
      <c r="AA825" s="384"/>
      <c r="AB825" s="384"/>
      <c r="AC825" s="384"/>
      <c r="AD825" s="384"/>
      <c r="AE825" s="384"/>
      <c r="AF825" s="384"/>
      <c r="AG825" s="384"/>
      <c r="AH825" s="384"/>
      <c r="AI825" s="384"/>
      <c r="AJ825" s="384"/>
      <c r="AK825" s="384"/>
      <c r="AL825" s="384"/>
      <c r="AM825" s="384"/>
    </row>
    <row r="826" spans="1:39" ht="15.75" customHeight="1">
      <c r="A826" s="563"/>
      <c r="B826" s="384"/>
      <c r="C826" s="563"/>
      <c r="D826" s="1997"/>
      <c r="E826" s="1998"/>
      <c r="F826" s="1954"/>
      <c r="G826" s="563"/>
      <c r="H826" s="563"/>
      <c r="I826" s="2000"/>
      <c r="J826" s="563"/>
      <c r="K826" s="384"/>
      <c r="L826" s="1901"/>
      <c r="M826" s="1999"/>
      <c r="N826" s="1999"/>
      <c r="O826" s="1999"/>
      <c r="P826" s="2002"/>
      <c r="Q826" s="2002"/>
      <c r="R826" s="482"/>
      <c r="S826" s="482"/>
      <c r="T826" s="482"/>
      <c r="U826" s="482"/>
      <c r="V826" s="384"/>
      <c r="W826" s="563"/>
      <c r="Y826" s="563"/>
      <c r="AA826" s="384"/>
      <c r="AB826" s="384"/>
      <c r="AC826" s="384"/>
      <c r="AD826" s="384"/>
      <c r="AE826" s="384"/>
      <c r="AF826" s="384"/>
      <c r="AG826" s="384"/>
      <c r="AH826" s="384"/>
      <c r="AI826" s="384"/>
      <c r="AJ826" s="384"/>
      <c r="AK826" s="384"/>
      <c r="AL826" s="384"/>
      <c r="AM826" s="384"/>
    </row>
    <row r="827" spans="1:39" ht="15.75" customHeight="1">
      <c r="A827" s="563"/>
      <c r="B827" s="384"/>
      <c r="C827" s="563"/>
      <c r="D827" s="1997"/>
      <c r="E827" s="1998"/>
      <c r="F827" s="1954"/>
      <c r="G827" s="563"/>
      <c r="H827" s="563"/>
      <c r="I827" s="2000"/>
      <c r="J827" s="563"/>
      <c r="K827" s="384"/>
      <c r="L827" s="1901"/>
      <c r="M827" s="1999"/>
      <c r="N827" s="1999"/>
      <c r="O827" s="1999"/>
      <c r="P827" s="2002"/>
      <c r="Q827" s="2002"/>
      <c r="R827" s="482"/>
      <c r="S827" s="482"/>
      <c r="T827" s="482"/>
      <c r="U827" s="482"/>
      <c r="V827" s="384"/>
      <c r="W827" s="563"/>
      <c r="Y827" s="563"/>
      <c r="AA827" s="384"/>
      <c r="AB827" s="384"/>
      <c r="AC827" s="384"/>
      <c r="AD827" s="384"/>
      <c r="AE827" s="384"/>
      <c r="AF827" s="384"/>
      <c r="AG827" s="384"/>
      <c r="AH827" s="384"/>
      <c r="AI827" s="384"/>
      <c r="AJ827" s="384"/>
      <c r="AK827" s="384"/>
      <c r="AL827" s="384"/>
      <c r="AM827" s="384"/>
    </row>
    <row r="828" spans="1:39" ht="15.75" customHeight="1">
      <c r="A828" s="563"/>
      <c r="B828" s="384"/>
      <c r="C828" s="563"/>
      <c r="D828" s="1997"/>
      <c r="E828" s="1998"/>
      <c r="F828" s="1954"/>
      <c r="G828" s="563"/>
      <c r="H828" s="563"/>
      <c r="I828" s="2000"/>
      <c r="J828" s="563"/>
      <c r="K828" s="384"/>
      <c r="L828" s="1901"/>
      <c r="M828" s="1999"/>
      <c r="N828" s="1999"/>
      <c r="O828" s="1999"/>
      <c r="P828" s="2002"/>
      <c r="Q828" s="2002"/>
      <c r="R828" s="482"/>
      <c r="S828" s="482"/>
      <c r="T828" s="482"/>
      <c r="U828" s="482"/>
      <c r="V828" s="384"/>
      <c r="W828" s="563"/>
      <c r="Y828" s="563"/>
      <c r="AA828" s="384"/>
      <c r="AB828" s="384"/>
      <c r="AC828" s="384"/>
      <c r="AD828" s="384"/>
      <c r="AE828" s="384"/>
      <c r="AF828" s="384"/>
      <c r="AG828" s="384"/>
      <c r="AH828" s="384"/>
      <c r="AI828" s="384"/>
      <c r="AJ828" s="384"/>
      <c r="AK828" s="384"/>
      <c r="AL828" s="384"/>
      <c r="AM828" s="384"/>
    </row>
    <row r="829" spans="1:39" ht="15.75" customHeight="1">
      <c r="A829" s="563"/>
      <c r="B829" s="384"/>
      <c r="C829" s="563"/>
      <c r="D829" s="1997"/>
      <c r="E829" s="1998"/>
      <c r="F829" s="1954"/>
      <c r="G829" s="563"/>
      <c r="H829" s="563"/>
      <c r="I829" s="2000"/>
      <c r="J829" s="563"/>
      <c r="K829" s="384"/>
      <c r="L829" s="1901"/>
      <c r="M829" s="1999"/>
      <c r="N829" s="1999"/>
      <c r="O829" s="1999"/>
      <c r="P829" s="2002"/>
      <c r="Q829" s="2002"/>
      <c r="R829" s="482"/>
      <c r="S829" s="482"/>
      <c r="T829" s="482"/>
      <c r="U829" s="482"/>
      <c r="V829" s="384"/>
      <c r="W829" s="563"/>
      <c r="Y829" s="563"/>
      <c r="AA829" s="384"/>
      <c r="AB829" s="384"/>
      <c r="AC829" s="384"/>
      <c r="AD829" s="384"/>
      <c r="AE829" s="384"/>
      <c r="AF829" s="384"/>
      <c r="AG829" s="384"/>
      <c r="AH829" s="384"/>
      <c r="AI829" s="384"/>
      <c r="AJ829" s="384"/>
      <c r="AK829" s="384"/>
      <c r="AL829" s="384"/>
      <c r="AM829" s="384"/>
    </row>
    <row r="830" spans="1:39" ht="15.75" customHeight="1">
      <c r="A830" s="563"/>
      <c r="B830" s="384"/>
      <c r="C830" s="563"/>
      <c r="D830" s="1997"/>
      <c r="E830" s="1998"/>
      <c r="F830" s="1954"/>
      <c r="G830" s="563"/>
      <c r="H830" s="563"/>
      <c r="I830" s="2000"/>
      <c r="J830" s="563"/>
      <c r="K830" s="384"/>
      <c r="L830" s="1901"/>
      <c r="M830" s="1999"/>
      <c r="N830" s="1999"/>
      <c r="O830" s="1999"/>
      <c r="P830" s="2002"/>
      <c r="Q830" s="2002"/>
      <c r="R830" s="482"/>
      <c r="S830" s="482"/>
      <c r="T830" s="482"/>
      <c r="U830" s="482"/>
      <c r="V830" s="384"/>
      <c r="W830" s="563"/>
      <c r="Y830" s="563"/>
      <c r="AA830" s="384"/>
      <c r="AB830" s="384"/>
      <c r="AC830" s="384"/>
      <c r="AD830" s="384"/>
      <c r="AE830" s="384"/>
      <c r="AF830" s="384"/>
      <c r="AG830" s="384"/>
      <c r="AH830" s="384"/>
      <c r="AI830" s="384"/>
      <c r="AJ830" s="384"/>
      <c r="AK830" s="384"/>
      <c r="AL830" s="384"/>
      <c r="AM830" s="384"/>
    </row>
    <row r="831" spans="1:39" ht="15.75" customHeight="1">
      <c r="A831" s="563"/>
      <c r="B831" s="384"/>
      <c r="C831" s="563"/>
      <c r="D831" s="1997"/>
      <c r="E831" s="1998"/>
      <c r="F831" s="1954"/>
      <c r="G831" s="563"/>
      <c r="H831" s="563"/>
      <c r="I831" s="2000"/>
      <c r="J831" s="563"/>
      <c r="K831" s="384"/>
      <c r="L831" s="1901"/>
      <c r="M831" s="1999"/>
      <c r="N831" s="1999"/>
      <c r="O831" s="1999"/>
      <c r="P831" s="2002"/>
      <c r="Q831" s="2002"/>
      <c r="R831" s="482"/>
      <c r="S831" s="482"/>
      <c r="T831" s="482"/>
      <c r="U831" s="482"/>
      <c r="V831" s="384"/>
      <c r="W831" s="563"/>
      <c r="Y831" s="563"/>
      <c r="AA831" s="384"/>
      <c r="AB831" s="384"/>
      <c r="AC831" s="384"/>
      <c r="AD831" s="384"/>
      <c r="AE831" s="384"/>
      <c r="AF831" s="384"/>
      <c r="AG831" s="384"/>
      <c r="AH831" s="384"/>
      <c r="AI831" s="384"/>
      <c r="AJ831" s="384"/>
      <c r="AK831" s="384"/>
      <c r="AL831" s="384"/>
      <c r="AM831" s="384"/>
    </row>
    <row r="832" spans="1:39" ht="15.75" customHeight="1">
      <c r="A832" s="563"/>
      <c r="B832" s="384"/>
      <c r="C832" s="563"/>
      <c r="D832" s="1997"/>
      <c r="E832" s="1998"/>
      <c r="F832" s="1954"/>
      <c r="G832" s="563"/>
      <c r="H832" s="563"/>
      <c r="I832" s="2000"/>
      <c r="J832" s="563"/>
      <c r="K832" s="384"/>
      <c r="L832" s="1901"/>
      <c r="M832" s="1999"/>
      <c r="N832" s="1999"/>
      <c r="O832" s="1999"/>
      <c r="P832" s="2002"/>
      <c r="Q832" s="2002"/>
      <c r="R832" s="482"/>
      <c r="S832" s="482"/>
      <c r="T832" s="482"/>
      <c r="U832" s="482"/>
      <c r="V832" s="384"/>
      <c r="W832" s="563"/>
      <c r="Y832" s="563"/>
      <c r="AA832" s="384"/>
      <c r="AB832" s="384"/>
      <c r="AC832" s="384"/>
      <c r="AD832" s="384"/>
      <c r="AE832" s="384"/>
      <c r="AF832" s="384"/>
      <c r="AG832" s="384"/>
      <c r="AH832" s="384"/>
      <c r="AI832" s="384"/>
      <c r="AJ832" s="384"/>
      <c r="AK832" s="384"/>
      <c r="AL832" s="384"/>
      <c r="AM832" s="384"/>
    </row>
    <row r="833" spans="1:39" ht="15.75" customHeight="1">
      <c r="A833" s="563"/>
      <c r="B833" s="384"/>
      <c r="C833" s="563"/>
      <c r="D833" s="1997"/>
      <c r="E833" s="1998"/>
      <c r="F833" s="1954"/>
      <c r="G833" s="563"/>
      <c r="H833" s="563"/>
      <c r="I833" s="2000"/>
      <c r="J833" s="563"/>
      <c r="K833" s="384"/>
      <c r="L833" s="1901"/>
      <c r="M833" s="1999"/>
      <c r="N833" s="1999"/>
      <c r="O833" s="1999"/>
      <c r="P833" s="2002"/>
      <c r="Q833" s="2002"/>
      <c r="R833" s="482"/>
      <c r="S833" s="482"/>
      <c r="T833" s="482"/>
      <c r="U833" s="482"/>
      <c r="V833" s="384"/>
      <c r="W833" s="563"/>
      <c r="Y833" s="563"/>
      <c r="AA833" s="384"/>
      <c r="AB833" s="384"/>
      <c r="AC833" s="384"/>
      <c r="AD833" s="384"/>
      <c r="AE833" s="384"/>
      <c r="AF833" s="384"/>
      <c r="AG833" s="384"/>
      <c r="AH833" s="384"/>
      <c r="AI833" s="384"/>
      <c r="AJ833" s="384"/>
      <c r="AK833" s="384"/>
      <c r="AL833" s="384"/>
      <c r="AM833" s="384"/>
    </row>
    <row r="834" spans="1:39" ht="15.75" customHeight="1">
      <c r="A834" s="563"/>
      <c r="B834" s="384"/>
      <c r="C834" s="563"/>
      <c r="D834" s="1997"/>
      <c r="E834" s="1998"/>
      <c r="F834" s="1954"/>
      <c r="G834" s="563"/>
      <c r="H834" s="563"/>
      <c r="I834" s="2000"/>
      <c r="J834" s="563"/>
      <c r="K834" s="384"/>
      <c r="L834" s="1901"/>
      <c r="M834" s="1999"/>
      <c r="N834" s="1999"/>
      <c r="O834" s="1999"/>
      <c r="P834" s="2002"/>
      <c r="Q834" s="2002"/>
      <c r="R834" s="482"/>
      <c r="S834" s="482"/>
      <c r="T834" s="482"/>
      <c r="U834" s="482"/>
      <c r="V834" s="384"/>
      <c r="W834" s="563"/>
      <c r="Y834" s="563"/>
      <c r="AA834" s="384"/>
      <c r="AB834" s="384"/>
      <c r="AC834" s="384"/>
      <c r="AD834" s="384"/>
      <c r="AE834" s="384"/>
      <c r="AF834" s="384"/>
      <c r="AG834" s="384"/>
      <c r="AH834" s="384"/>
      <c r="AI834" s="384"/>
      <c r="AJ834" s="384"/>
      <c r="AK834" s="384"/>
      <c r="AL834" s="384"/>
      <c r="AM834" s="384"/>
    </row>
    <row r="835" spans="1:39" ht="15.75" customHeight="1">
      <c r="A835" s="563"/>
      <c r="B835" s="384"/>
      <c r="C835" s="563"/>
      <c r="D835" s="1997"/>
      <c r="E835" s="1998"/>
      <c r="F835" s="1954"/>
      <c r="G835" s="563"/>
      <c r="H835" s="563"/>
      <c r="I835" s="2000"/>
      <c r="J835" s="563"/>
      <c r="K835" s="384"/>
      <c r="L835" s="1901"/>
      <c r="M835" s="1999"/>
      <c r="N835" s="1999"/>
      <c r="O835" s="1999"/>
      <c r="P835" s="2002"/>
      <c r="Q835" s="2002"/>
      <c r="R835" s="482"/>
      <c r="S835" s="482"/>
      <c r="T835" s="482"/>
      <c r="U835" s="482"/>
      <c r="V835" s="384"/>
      <c r="W835" s="563"/>
      <c r="Y835" s="563"/>
      <c r="AA835" s="384"/>
      <c r="AB835" s="384"/>
      <c r="AC835" s="384"/>
      <c r="AD835" s="384"/>
      <c r="AE835" s="384"/>
      <c r="AF835" s="384"/>
      <c r="AG835" s="384"/>
      <c r="AH835" s="384"/>
      <c r="AI835" s="384"/>
      <c r="AJ835" s="384"/>
      <c r="AK835" s="384"/>
      <c r="AL835" s="384"/>
      <c r="AM835" s="384"/>
    </row>
    <row r="836" spans="1:39" ht="15.75" customHeight="1">
      <c r="A836" s="563"/>
      <c r="B836" s="384"/>
      <c r="C836" s="563"/>
      <c r="D836" s="1997"/>
      <c r="E836" s="1998"/>
      <c r="F836" s="1954"/>
      <c r="G836" s="563"/>
      <c r="H836" s="563"/>
      <c r="I836" s="2000"/>
      <c r="J836" s="563"/>
      <c r="K836" s="384"/>
      <c r="L836" s="1901"/>
      <c r="M836" s="1999"/>
      <c r="N836" s="1999"/>
      <c r="O836" s="1999"/>
      <c r="P836" s="2002"/>
      <c r="Q836" s="2002"/>
      <c r="R836" s="482"/>
      <c r="S836" s="482"/>
      <c r="T836" s="482"/>
      <c r="U836" s="482"/>
      <c r="V836" s="384"/>
      <c r="W836" s="563"/>
      <c r="Y836" s="563"/>
      <c r="AA836" s="384"/>
      <c r="AB836" s="384"/>
      <c r="AC836" s="384"/>
      <c r="AD836" s="384"/>
      <c r="AE836" s="384"/>
      <c r="AF836" s="384"/>
      <c r="AG836" s="384"/>
      <c r="AH836" s="384"/>
      <c r="AI836" s="384"/>
      <c r="AJ836" s="384"/>
      <c r="AK836" s="384"/>
      <c r="AL836" s="384"/>
      <c r="AM836" s="384"/>
    </row>
    <row r="837" spans="1:39" ht="15.75" customHeight="1">
      <c r="A837" s="563"/>
      <c r="B837" s="384"/>
      <c r="C837" s="563"/>
      <c r="D837" s="1997"/>
      <c r="E837" s="1998"/>
      <c r="F837" s="1954"/>
      <c r="G837" s="563"/>
      <c r="H837" s="563"/>
      <c r="I837" s="2000"/>
      <c r="J837" s="563"/>
      <c r="K837" s="384"/>
      <c r="L837" s="1901"/>
      <c r="M837" s="1999"/>
      <c r="N837" s="1999"/>
      <c r="O837" s="1999"/>
      <c r="P837" s="2002"/>
      <c r="Q837" s="2002"/>
      <c r="R837" s="482"/>
      <c r="S837" s="482"/>
      <c r="T837" s="482"/>
      <c r="U837" s="482"/>
      <c r="V837" s="384"/>
      <c r="W837" s="563"/>
      <c r="Y837" s="563"/>
      <c r="AA837" s="384"/>
      <c r="AB837" s="384"/>
      <c r="AC837" s="384"/>
      <c r="AD837" s="384"/>
      <c r="AE837" s="384"/>
      <c r="AF837" s="384"/>
      <c r="AG837" s="384"/>
      <c r="AH837" s="384"/>
      <c r="AI837" s="384"/>
      <c r="AJ837" s="384"/>
      <c r="AK837" s="384"/>
      <c r="AL837" s="384"/>
      <c r="AM837" s="384"/>
    </row>
    <row r="838" spans="1:39" ht="15.75" customHeight="1">
      <c r="A838" s="563"/>
      <c r="B838" s="384"/>
      <c r="C838" s="563"/>
      <c r="D838" s="1997"/>
      <c r="E838" s="1998"/>
      <c r="F838" s="1954"/>
      <c r="G838" s="563"/>
      <c r="H838" s="563"/>
      <c r="I838" s="2000"/>
      <c r="J838" s="563"/>
      <c r="K838" s="384"/>
      <c r="L838" s="1901"/>
      <c r="M838" s="1999"/>
      <c r="N838" s="1999"/>
      <c r="O838" s="1999"/>
      <c r="P838" s="2002"/>
      <c r="Q838" s="2002"/>
      <c r="R838" s="482"/>
      <c r="S838" s="482"/>
      <c r="T838" s="482"/>
      <c r="U838" s="482"/>
      <c r="V838" s="384"/>
      <c r="W838" s="563"/>
      <c r="Y838" s="563"/>
      <c r="AA838" s="384"/>
      <c r="AB838" s="384"/>
      <c r="AC838" s="384"/>
      <c r="AD838" s="384"/>
      <c r="AE838" s="384"/>
      <c r="AF838" s="384"/>
      <c r="AG838" s="384"/>
      <c r="AH838" s="384"/>
      <c r="AI838" s="384"/>
      <c r="AJ838" s="384"/>
      <c r="AK838" s="384"/>
      <c r="AL838" s="384"/>
      <c r="AM838" s="384"/>
    </row>
    <row r="839" spans="1:39" ht="15.75" customHeight="1">
      <c r="A839" s="563"/>
      <c r="B839" s="384"/>
      <c r="C839" s="563"/>
      <c r="D839" s="1997"/>
      <c r="E839" s="1998"/>
      <c r="F839" s="1954"/>
      <c r="G839" s="563"/>
      <c r="H839" s="563"/>
      <c r="I839" s="2000"/>
      <c r="J839" s="563"/>
      <c r="K839" s="384"/>
      <c r="L839" s="1901"/>
      <c r="M839" s="1999"/>
      <c r="N839" s="1999"/>
      <c r="O839" s="1999"/>
      <c r="P839" s="2002"/>
      <c r="Q839" s="2002"/>
      <c r="R839" s="482"/>
      <c r="S839" s="482"/>
      <c r="T839" s="482"/>
      <c r="U839" s="482"/>
      <c r="V839" s="384"/>
      <c r="W839" s="563"/>
      <c r="Y839" s="563"/>
      <c r="AA839" s="384"/>
      <c r="AB839" s="384"/>
      <c r="AC839" s="384"/>
      <c r="AD839" s="384"/>
      <c r="AE839" s="384"/>
      <c r="AF839" s="384"/>
      <c r="AG839" s="384"/>
      <c r="AH839" s="384"/>
      <c r="AI839" s="384"/>
      <c r="AJ839" s="384"/>
      <c r="AK839" s="384"/>
      <c r="AL839" s="384"/>
      <c r="AM839" s="384"/>
    </row>
    <row r="840" spans="1:39" ht="15.75" customHeight="1">
      <c r="A840" s="563"/>
      <c r="B840" s="384"/>
      <c r="C840" s="563"/>
      <c r="D840" s="1997"/>
      <c r="E840" s="1998"/>
      <c r="F840" s="1954"/>
      <c r="G840" s="563"/>
      <c r="H840" s="563"/>
      <c r="I840" s="2000"/>
      <c r="J840" s="563"/>
      <c r="K840" s="384"/>
      <c r="L840" s="1901"/>
      <c r="M840" s="1999"/>
      <c r="N840" s="1999"/>
      <c r="O840" s="1999"/>
      <c r="P840" s="2002"/>
      <c r="Q840" s="2002"/>
      <c r="R840" s="482"/>
      <c r="S840" s="482"/>
      <c r="T840" s="482"/>
      <c r="U840" s="482"/>
      <c r="V840" s="384"/>
      <c r="W840" s="563"/>
      <c r="Y840" s="563"/>
      <c r="AA840" s="384"/>
      <c r="AB840" s="384"/>
      <c r="AC840" s="384"/>
      <c r="AD840" s="384"/>
      <c r="AE840" s="384"/>
      <c r="AF840" s="384"/>
      <c r="AG840" s="384"/>
      <c r="AH840" s="384"/>
      <c r="AI840" s="384"/>
      <c r="AJ840" s="384"/>
      <c r="AK840" s="384"/>
      <c r="AL840" s="384"/>
      <c r="AM840" s="384"/>
    </row>
    <row r="841" spans="1:39" ht="15.75" customHeight="1">
      <c r="A841" s="563"/>
      <c r="B841" s="384"/>
      <c r="C841" s="563"/>
      <c r="D841" s="1997"/>
      <c r="E841" s="1998"/>
      <c r="F841" s="1954"/>
      <c r="G841" s="563"/>
      <c r="H841" s="563"/>
      <c r="I841" s="2000"/>
      <c r="J841" s="563"/>
      <c r="K841" s="384"/>
      <c r="L841" s="1901"/>
      <c r="M841" s="1999"/>
      <c r="N841" s="1999"/>
      <c r="O841" s="1999"/>
      <c r="P841" s="2002"/>
      <c r="Q841" s="2002"/>
      <c r="R841" s="482"/>
      <c r="S841" s="482"/>
      <c r="T841" s="482"/>
      <c r="U841" s="482"/>
      <c r="V841" s="384"/>
      <c r="W841" s="563"/>
      <c r="Y841" s="563"/>
      <c r="AA841" s="384"/>
      <c r="AB841" s="384"/>
      <c r="AC841" s="384"/>
      <c r="AD841" s="384"/>
      <c r="AE841" s="384"/>
      <c r="AF841" s="384"/>
      <c r="AG841" s="384"/>
      <c r="AH841" s="384"/>
      <c r="AI841" s="384"/>
      <c r="AJ841" s="384"/>
      <c r="AK841" s="384"/>
      <c r="AL841" s="384"/>
      <c r="AM841" s="384"/>
    </row>
    <row r="842" spans="1:39" ht="15.75" customHeight="1">
      <c r="A842" s="563"/>
      <c r="B842" s="384"/>
      <c r="C842" s="563"/>
      <c r="D842" s="1997"/>
      <c r="E842" s="1998"/>
      <c r="F842" s="1954"/>
      <c r="G842" s="563"/>
      <c r="H842" s="563"/>
      <c r="I842" s="2000"/>
      <c r="J842" s="563"/>
      <c r="K842" s="384"/>
      <c r="L842" s="1901"/>
      <c r="M842" s="1999"/>
      <c r="N842" s="1999"/>
      <c r="O842" s="1999"/>
      <c r="P842" s="2002"/>
      <c r="Q842" s="2002"/>
      <c r="R842" s="482"/>
      <c r="S842" s="482"/>
      <c r="T842" s="482"/>
      <c r="U842" s="482"/>
      <c r="V842" s="384"/>
      <c r="W842" s="563"/>
      <c r="Y842" s="563"/>
      <c r="AA842" s="384"/>
      <c r="AB842" s="384"/>
      <c r="AC842" s="384"/>
      <c r="AD842" s="384"/>
      <c r="AE842" s="384"/>
      <c r="AF842" s="384"/>
      <c r="AG842" s="384"/>
      <c r="AH842" s="384"/>
      <c r="AI842" s="384"/>
      <c r="AJ842" s="384"/>
      <c r="AK842" s="384"/>
      <c r="AL842" s="384"/>
      <c r="AM842" s="384"/>
    </row>
    <row r="843" spans="1:39" ht="15.75" customHeight="1">
      <c r="A843" s="563"/>
      <c r="B843" s="384"/>
      <c r="C843" s="563"/>
      <c r="D843" s="1997"/>
      <c r="E843" s="1998"/>
      <c r="F843" s="1954"/>
      <c r="G843" s="563"/>
      <c r="H843" s="563"/>
      <c r="I843" s="2000"/>
      <c r="J843" s="563"/>
      <c r="K843" s="384"/>
      <c r="L843" s="1901"/>
      <c r="M843" s="1999"/>
      <c r="N843" s="1999"/>
      <c r="O843" s="1999"/>
      <c r="P843" s="2002"/>
      <c r="Q843" s="2002"/>
      <c r="R843" s="482"/>
      <c r="S843" s="482"/>
      <c r="T843" s="482"/>
      <c r="U843" s="482"/>
      <c r="V843" s="384"/>
      <c r="W843" s="563"/>
      <c r="Y843" s="563"/>
      <c r="AA843" s="384"/>
      <c r="AB843" s="384"/>
      <c r="AC843" s="384"/>
      <c r="AD843" s="384"/>
      <c r="AE843" s="384"/>
      <c r="AF843" s="384"/>
      <c r="AG843" s="384"/>
      <c r="AH843" s="384"/>
      <c r="AI843" s="384"/>
      <c r="AJ843" s="384"/>
      <c r="AK843" s="384"/>
      <c r="AL843" s="384"/>
      <c r="AM843" s="384"/>
    </row>
    <row r="844" spans="1:39" ht="15.75" customHeight="1">
      <c r="A844" s="563"/>
      <c r="B844" s="384"/>
      <c r="C844" s="563"/>
      <c r="D844" s="1997"/>
      <c r="E844" s="1998"/>
      <c r="F844" s="1954"/>
      <c r="G844" s="563"/>
      <c r="H844" s="563"/>
      <c r="I844" s="2000"/>
      <c r="J844" s="563"/>
      <c r="K844" s="384"/>
      <c r="L844" s="1901"/>
      <c r="M844" s="1999"/>
      <c r="N844" s="1999"/>
      <c r="O844" s="1999"/>
      <c r="P844" s="2002"/>
      <c r="Q844" s="2002"/>
      <c r="R844" s="482"/>
      <c r="S844" s="482"/>
      <c r="T844" s="482"/>
      <c r="U844" s="482"/>
      <c r="V844" s="384"/>
      <c r="W844" s="563"/>
      <c r="Y844" s="563"/>
      <c r="AA844" s="384"/>
      <c r="AB844" s="384"/>
      <c r="AC844" s="384"/>
      <c r="AD844" s="384"/>
      <c r="AE844" s="384"/>
      <c r="AF844" s="384"/>
      <c r="AG844" s="384"/>
      <c r="AH844" s="384"/>
      <c r="AI844" s="384"/>
      <c r="AJ844" s="384"/>
      <c r="AK844" s="384"/>
      <c r="AL844" s="384"/>
      <c r="AM844" s="384"/>
    </row>
    <row r="845" spans="1:39" ht="15.75" customHeight="1">
      <c r="A845" s="563"/>
      <c r="B845" s="384"/>
      <c r="C845" s="563"/>
      <c r="D845" s="1997"/>
      <c r="E845" s="1998"/>
      <c r="F845" s="1954"/>
      <c r="G845" s="563"/>
      <c r="H845" s="563"/>
      <c r="I845" s="2000"/>
      <c r="J845" s="563"/>
      <c r="K845" s="384"/>
      <c r="L845" s="1901"/>
      <c r="M845" s="1999"/>
      <c r="N845" s="1999"/>
      <c r="O845" s="1999"/>
      <c r="P845" s="2002"/>
      <c r="Q845" s="2002"/>
      <c r="R845" s="482"/>
      <c r="S845" s="482"/>
      <c r="T845" s="482"/>
      <c r="U845" s="482"/>
      <c r="V845" s="384"/>
      <c r="W845" s="563"/>
      <c r="Y845" s="563"/>
      <c r="AA845" s="384"/>
      <c r="AB845" s="384"/>
      <c r="AC845" s="384"/>
      <c r="AD845" s="384"/>
      <c r="AE845" s="384"/>
      <c r="AF845" s="384"/>
      <c r="AG845" s="384"/>
      <c r="AH845" s="384"/>
      <c r="AI845" s="384"/>
      <c r="AJ845" s="384"/>
      <c r="AK845" s="384"/>
      <c r="AL845" s="384"/>
      <c r="AM845" s="384"/>
    </row>
    <row r="846" spans="1:39" ht="15.75" customHeight="1">
      <c r="A846" s="563"/>
      <c r="B846" s="384"/>
      <c r="C846" s="563"/>
      <c r="D846" s="1997"/>
      <c r="E846" s="1998"/>
      <c r="F846" s="1954"/>
      <c r="G846" s="563"/>
      <c r="H846" s="563"/>
      <c r="I846" s="2000"/>
      <c r="J846" s="563"/>
      <c r="K846" s="384"/>
      <c r="L846" s="1901"/>
      <c r="M846" s="1999"/>
      <c r="N846" s="1999"/>
      <c r="O846" s="1999"/>
      <c r="P846" s="2002"/>
      <c r="Q846" s="2002"/>
      <c r="R846" s="482"/>
      <c r="S846" s="482"/>
      <c r="T846" s="482"/>
      <c r="U846" s="482"/>
      <c r="V846" s="384"/>
      <c r="W846" s="563"/>
      <c r="Y846" s="563"/>
      <c r="AA846" s="384"/>
      <c r="AB846" s="384"/>
      <c r="AC846" s="384"/>
      <c r="AD846" s="384"/>
      <c r="AE846" s="384"/>
      <c r="AF846" s="384"/>
      <c r="AG846" s="384"/>
      <c r="AH846" s="384"/>
      <c r="AI846" s="384"/>
      <c r="AJ846" s="384"/>
      <c r="AK846" s="384"/>
      <c r="AL846" s="384"/>
      <c r="AM846" s="384"/>
    </row>
    <row r="847" spans="1:39" ht="15.75" customHeight="1">
      <c r="A847" s="563"/>
      <c r="B847" s="384"/>
      <c r="C847" s="563"/>
      <c r="D847" s="1997"/>
      <c r="E847" s="1998"/>
      <c r="F847" s="1954"/>
      <c r="G847" s="563"/>
      <c r="H847" s="563"/>
      <c r="I847" s="2000"/>
      <c r="J847" s="563"/>
      <c r="K847" s="384"/>
      <c r="L847" s="1901"/>
      <c r="M847" s="1999"/>
      <c r="N847" s="1999"/>
      <c r="O847" s="1999"/>
      <c r="P847" s="2002"/>
      <c r="Q847" s="2002"/>
      <c r="R847" s="482"/>
      <c r="S847" s="482"/>
      <c r="T847" s="482"/>
      <c r="U847" s="482"/>
      <c r="V847" s="384"/>
      <c r="W847" s="563"/>
      <c r="Y847" s="563"/>
      <c r="AA847" s="384"/>
      <c r="AB847" s="384"/>
      <c r="AC847" s="384"/>
      <c r="AD847" s="384"/>
      <c r="AE847" s="384"/>
      <c r="AF847" s="384"/>
      <c r="AG847" s="384"/>
      <c r="AH847" s="384"/>
      <c r="AI847" s="384"/>
      <c r="AJ847" s="384"/>
      <c r="AK847" s="384"/>
      <c r="AL847" s="384"/>
      <c r="AM847" s="384"/>
    </row>
    <row r="848" spans="1:39" ht="15.75" customHeight="1">
      <c r="A848" s="563"/>
      <c r="B848" s="384"/>
      <c r="C848" s="563"/>
      <c r="D848" s="1997"/>
      <c r="E848" s="1998"/>
      <c r="F848" s="1954"/>
      <c r="G848" s="563"/>
      <c r="H848" s="563"/>
      <c r="I848" s="2000"/>
      <c r="J848" s="563"/>
      <c r="K848" s="384"/>
      <c r="L848" s="1901"/>
      <c r="M848" s="1999"/>
      <c r="N848" s="1999"/>
      <c r="O848" s="1999"/>
      <c r="P848" s="2002"/>
      <c r="Q848" s="2002"/>
      <c r="R848" s="482"/>
      <c r="S848" s="482"/>
      <c r="T848" s="482"/>
      <c r="U848" s="482"/>
      <c r="V848" s="384"/>
      <c r="W848" s="563"/>
      <c r="Y848" s="563"/>
      <c r="AA848" s="384"/>
      <c r="AB848" s="384"/>
      <c r="AC848" s="384"/>
      <c r="AD848" s="384"/>
      <c r="AE848" s="384"/>
      <c r="AF848" s="384"/>
      <c r="AG848" s="384"/>
      <c r="AH848" s="384"/>
      <c r="AI848" s="384"/>
      <c r="AJ848" s="384"/>
      <c r="AK848" s="384"/>
      <c r="AL848" s="384"/>
      <c r="AM848" s="384"/>
    </row>
    <row r="849" spans="1:39" ht="15.75" customHeight="1">
      <c r="A849" s="563"/>
      <c r="B849" s="384"/>
      <c r="C849" s="563"/>
      <c r="D849" s="1997"/>
      <c r="E849" s="1998"/>
      <c r="F849" s="1954"/>
      <c r="G849" s="563"/>
      <c r="H849" s="563"/>
      <c r="I849" s="2000"/>
      <c r="J849" s="563"/>
      <c r="K849" s="384"/>
      <c r="L849" s="1901"/>
      <c r="M849" s="1999"/>
      <c r="N849" s="1999"/>
      <c r="O849" s="1999"/>
      <c r="P849" s="2002"/>
      <c r="Q849" s="2002"/>
      <c r="R849" s="482"/>
      <c r="S849" s="482"/>
      <c r="T849" s="482"/>
      <c r="U849" s="482"/>
      <c r="V849" s="384"/>
      <c r="W849" s="563"/>
      <c r="Y849" s="563"/>
      <c r="AA849" s="384"/>
      <c r="AB849" s="384"/>
      <c r="AC849" s="384"/>
      <c r="AD849" s="384"/>
      <c r="AE849" s="384"/>
      <c r="AF849" s="384"/>
      <c r="AG849" s="384"/>
      <c r="AH849" s="384"/>
      <c r="AI849" s="384"/>
      <c r="AJ849" s="384"/>
      <c r="AK849" s="384"/>
      <c r="AL849" s="384"/>
      <c r="AM849" s="384"/>
    </row>
    <row r="850" spans="1:39" ht="15.75" customHeight="1">
      <c r="A850" s="563"/>
      <c r="B850" s="384"/>
      <c r="C850" s="563"/>
      <c r="D850" s="1997"/>
      <c r="E850" s="1998"/>
      <c r="F850" s="1954"/>
      <c r="G850" s="563"/>
      <c r="H850" s="563"/>
      <c r="I850" s="2000"/>
      <c r="J850" s="563"/>
      <c r="K850" s="384"/>
      <c r="L850" s="1901"/>
      <c r="M850" s="1999"/>
      <c r="N850" s="1999"/>
      <c r="O850" s="1999"/>
      <c r="P850" s="2002"/>
      <c r="Q850" s="2002"/>
      <c r="R850" s="482"/>
      <c r="S850" s="482"/>
      <c r="T850" s="482"/>
      <c r="U850" s="482"/>
      <c r="V850" s="384"/>
      <c r="W850" s="563"/>
      <c r="Y850" s="563"/>
      <c r="AA850" s="384"/>
      <c r="AB850" s="384"/>
      <c r="AC850" s="384"/>
      <c r="AD850" s="384"/>
      <c r="AE850" s="384"/>
      <c r="AF850" s="384"/>
      <c r="AG850" s="384"/>
      <c r="AH850" s="384"/>
      <c r="AI850" s="384"/>
      <c r="AJ850" s="384"/>
      <c r="AK850" s="384"/>
      <c r="AL850" s="384"/>
      <c r="AM850" s="384"/>
    </row>
    <row r="851" spans="1:39" ht="15.75" customHeight="1">
      <c r="A851" s="563"/>
      <c r="B851" s="384"/>
      <c r="C851" s="563"/>
      <c r="D851" s="1997"/>
      <c r="E851" s="1998"/>
      <c r="F851" s="1954"/>
      <c r="G851" s="563"/>
      <c r="H851" s="563"/>
      <c r="I851" s="2000"/>
      <c r="J851" s="563"/>
      <c r="K851" s="384"/>
      <c r="L851" s="1901"/>
      <c r="M851" s="1999"/>
      <c r="N851" s="1999"/>
      <c r="O851" s="1999"/>
      <c r="P851" s="2002"/>
      <c r="Q851" s="2002"/>
      <c r="R851" s="482"/>
      <c r="S851" s="482"/>
      <c r="T851" s="482"/>
      <c r="U851" s="482"/>
      <c r="V851" s="384"/>
      <c r="W851" s="563"/>
      <c r="Y851" s="563"/>
      <c r="AA851" s="384"/>
      <c r="AB851" s="384"/>
      <c r="AC851" s="384"/>
      <c r="AD851" s="384"/>
      <c r="AE851" s="384"/>
      <c r="AF851" s="384"/>
      <c r="AG851" s="384"/>
      <c r="AH851" s="384"/>
      <c r="AI851" s="384"/>
      <c r="AJ851" s="384"/>
      <c r="AK851" s="384"/>
      <c r="AL851" s="384"/>
      <c r="AM851" s="384"/>
    </row>
    <row r="852" spans="1:39" ht="15.75" customHeight="1">
      <c r="A852" s="563"/>
      <c r="B852" s="384"/>
      <c r="C852" s="563"/>
      <c r="D852" s="1997"/>
      <c r="E852" s="1998"/>
      <c r="F852" s="1954"/>
      <c r="G852" s="563"/>
      <c r="H852" s="563"/>
      <c r="I852" s="2000"/>
      <c r="J852" s="563"/>
      <c r="K852" s="384"/>
      <c r="L852" s="1901"/>
      <c r="M852" s="1999"/>
      <c r="N852" s="1999"/>
      <c r="O852" s="1999"/>
      <c r="P852" s="2002"/>
      <c r="Q852" s="2002"/>
      <c r="R852" s="482"/>
      <c r="S852" s="482"/>
      <c r="T852" s="482"/>
      <c r="U852" s="482"/>
      <c r="V852" s="384"/>
      <c r="W852" s="563"/>
      <c r="Y852" s="563"/>
      <c r="AA852" s="384"/>
      <c r="AB852" s="384"/>
      <c r="AC852" s="384"/>
      <c r="AD852" s="384"/>
      <c r="AE852" s="384"/>
      <c r="AF852" s="384"/>
      <c r="AG852" s="384"/>
      <c r="AH852" s="384"/>
      <c r="AI852" s="384"/>
      <c r="AJ852" s="384"/>
      <c r="AK852" s="384"/>
      <c r="AL852" s="384"/>
      <c r="AM852" s="384"/>
    </row>
    <row r="853" spans="1:39" ht="15.75" customHeight="1">
      <c r="A853" s="563"/>
      <c r="B853" s="384"/>
      <c r="C853" s="563"/>
      <c r="D853" s="1997"/>
      <c r="E853" s="1998"/>
      <c r="F853" s="1954"/>
      <c r="G853" s="563"/>
      <c r="H853" s="563"/>
      <c r="I853" s="2000"/>
      <c r="J853" s="563"/>
      <c r="K853" s="384"/>
      <c r="L853" s="1901"/>
      <c r="M853" s="1999"/>
      <c r="N853" s="1999"/>
      <c r="O853" s="1999"/>
      <c r="P853" s="2002"/>
      <c r="Q853" s="2002"/>
      <c r="R853" s="482"/>
      <c r="S853" s="482"/>
      <c r="T853" s="482"/>
      <c r="U853" s="482"/>
      <c r="V853" s="384"/>
      <c r="W853" s="563"/>
      <c r="Y853" s="563"/>
      <c r="AA853" s="384"/>
      <c r="AB853" s="384"/>
      <c r="AC853" s="384"/>
      <c r="AD853" s="384"/>
      <c r="AE853" s="384"/>
      <c r="AF853" s="384"/>
      <c r="AG853" s="384"/>
      <c r="AH853" s="384"/>
      <c r="AI853" s="384"/>
      <c r="AJ853" s="384"/>
      <c r="AK853" s="384"/>
      <c r="AL853" s="384"/>
      <c r="AM853" s="384"/>
    </row>
    <row r="854" spans="1:39" ht="15.75" customHeight="1">
      <c r="A854" s="563"/>
      <c r="B854" s="384"/>
      <c r="C854" s="563"/>
      <c r="D854" s="1997"/>
      <c r="E854" s="1998"/>
      <c r="F854" s="1954"/>
      <c r="G854" s="563"/>
      <c r="H854" s="563"/>
      <c r="I854" s="2000"/>
      <c r="J854" s="563"/>
      <c r="K854" s="384"/>
      <c r="L854" s="1901"/>
      <c r="M854" s="1999"/>
      <c r="N854" s="1999"/>
      <c r="O854" s="1999"/>
      <c r="P854" s="2002"/>
      <c r="Q854" s="2002"/>
      <c r="R854" s="482"/>
      <c r="S854" s="482"/>
      <c r="T854" s="482"/>
      <c r="U854" s="482"/>
      <c r="V854" s="384"/>
      <c r="W854" s="563"/>
      <c r="Y854" s="563"/>
      <c r="AA854" s="384"/>
      <c r="AB854" s="384"/>
      <c r="AC854" s="384"/>
      <c r="AD854" s="384"/>
      <c r="AE854" s="384"/>
      <c r="AF854" s="384"/>
      <c r="AG854" s="384"/>
      <c r="AH854" s="384"/>
      <c r="AI854" s="384"/>
      <c r="AJ854" s="384"/>
      <c r="AK854" s="384"/>
      <c r="AL854" s="384"/>
      <c r="AM854" s="384"/>
    </row>
    <row r="855" spans="1:39" ht="15.75" customHeight="1">
      <c r="A855" s="563"/>
      <c r="B855" s="384"/>
      <c r="C855" s="563"/>
      <c r="D855" s="1997"/>
      <c r="E855" s="1998"/>
      <c r="F855" s="1954"/>
      <c r="G855" s="563"/>
      <c r="H855" s="563"/>
      <c r="I855" s="2000"/>
      <c r="J855" s="563"/>
      <c r="K855" s="384"/>
      <c r="L855" s="1901"/>
      <c r="M855" s="1999"/>
      <c r="N855" s="1999"/>
      <c r="O855" s="1999"/>
      <c r="P855" s="2002"/>
      <c r="Q855" s="2002"/>
      <c r="R855" s="482"/>
      <c r="S855" s="482"/>
      <c r="T855" s="482"/>
      <c r="U855" s="482"/>
      <c r="V855" s="384"/>
      <c r="W855" s="563"/>
      <c r="Y855" s="563"/>
      <c r="AA855" s="384"/>
      <c r="AB855" s="384"/>
      <c r="AC855" s="384"/>
      <c r="AD855" s="384"/>
      <c r="AE855" s="384"/>
      <c r="AF855" s="384"/>
      <c r="AG855" s="384"/>
      <c r="AH855" s="384"/>
      <c r="AI855" s="384"/>
      <c r="AJ855" s="384"/>
      <c r="AK855" s="384"/>
      <c r="AL855" s="384"/>
      <c r="AM855" s="384"/>
    </row>
    <row r="856" spans="1:39" ht="15.75" customHeight="1">
      <c r="A856" s="563"/>
      <c r="B856" s="384"/>
      <c r="C856" s="563"/>
      <c r="D856" s="1997"/>
      <c r="E856" s="1998"/>
      <c r="F856" s="1954"/>
      <c r="G856" s="563"/>
      <c r="H856" s="563"/>
      <c r="I856" s="2000"/>
      <c r="J856" s="563"/>
      <c r="K856" s="384"/>
      <c r="L856" s="1901"/>
      <c r="M856" s="1999"/>
      <c r="N856" s="1999"/>
      <c r="O856" s="1999"/>
      <c r="P856" s="2002"/>
      <c r="Q856" s="2002"/>
      <c r="R856" s="482"/>
      <c r="S856" s="482"/>
      <c r="T856" s="482"/>
      <c r="U856" s="482"/>
      <c r="V856" s="384"/>
      <c r="W856" s="563"/>
      <c r="Y856" s="563"/>
      <c r="AA856" s="384"/>
      <c r="AB856" s="384"/>
      <c r="AC856" s="384"/>
      <c r="AD856" s="384"/>
      <c r="AE856" s="384"/>
      <c r="AF856" s="384"/>
      <c r="AG856" s="384"/>
      <c r="AH856" s="384"/>
      <c r="AI856" s="384"/>
      <c r="AJ856" s="384"/>
      <c r="AK856" s="384"/>
      <c r="AL856" s="384"/>
      <c r="AM856" s="384"/>
    </row>
    <row r="857" spans="1:39" ht="15.75" customHeight="1">
      <c r="A857" s="563"/>
      <c r="B857" s="384"/>
      <c r="C857" s="563"/>
      <c r="D857" s="1997"/>
      <c r="E857" s="1998"/>
      <c r="F857" s="1954"/>
      <c r="G857" s="563"/>
      <c r="H857" s="563"/>
      <c r="I857" s="2000"/>
      <c r="J857" s="563"/>
      <c r="K857" s="384"/>
      <c r="L857" s="1901"/>
      <c r="M857" s="1999"/>
      <c r="N857" s="1999"/>
      <c r="O857" s="1999"/>
      <c r="P857" s="2002"/>
      <c r="Q857" s="2002"/>
      <c r="R857" s="482"/>
      <c r="S857" s="482"/>
      <c r="T857" s="482"/>
      <c r="U857" s="482"/>
      <c r="V857" s="384"/>
      <c r="W857" s="563"/>
      <c r="Y857" s="563"/>
      <c r="AA857" s="384"/>
      <c r="AB857" s="384"/>
      <c r="AC857" s="384"/>
      <c r="AD857" s="384"/>
      <c r="AE857" s="384"/>
      <c r="AF857" s="384"/>
      <c r="AG857" s="384"/>
      <c r="AH857" s="384"/>
      <c r="AI857" s="384"/>
      <c r="AJ857" s="384"/>
      <c r="AK857" s="384"/>
      <c r="AL857" s="384"/>
      <c r="AM857" s="384"/>
    </row>
    <row r="858" spans="1:39" ht="15.75" customHeight="1">
      <c r="A858" s="563"/>
      <c r="B858" s="384"/>
      <c r="C858" s="563"/>
      <c r="D858" s="1997"/>
      <c r="E858" s="1998"/>
      <c r="F858" s="1954"/>
      <c r="G858" s="563"/>
      <c r="H858" s="563"/>
      <c r="I858" s="2000"/>
      <c r="J858" s="563"/>
      <c r="K858" s="384"/>
      <c r="L858" s="1901"/>
      <c r="M858" s="1999"/>
      <c r="N858" s="1999"/>
      <c r="O858" s="1999"/>
      <c r="P858" s="2002"/>
      <c r="Q858" s="2002"/>
      <c r="R858" s="482"/>
      <c r="S858" s="482"/>
      <c r="T858" s="482"/>
      <c r="U858" s="482"/>
      <c r="V858" s="384"/>
      <c r="W858" s="563"/>
      <c r="Y858" s="563"/>
      <c r="AA858" s="384"/>
      <c r="AB858" s="384"/>
      <c r="AC858" s="384"/>
      <c r="AD858" s="384"/>
      <c r="AE858" s="384"/>
      <c r="AF858" s="384"/>
      <c r="AG858" s="384"/>
      <c r="AH858" s="384"/>
      <c r="AI858" s="384"/>
      <c r="AJ858" s="384"/>
      <c r="AK858" s="384"/>
      <c r="AL858" s="384"/>
      <c r="AM858" s="384"/>
    </row>
    <row r="859" spans="1:39" ht="15.75" customHeight="1">
      <c r="A859" s="563"/>
      <c r="B859" s="384"/>
      <c r="C859" s="563"/>
      <c r="D859" s="1997"/>
      <c r="E859" s="1998"/>
      <c r="F859" s="1954"/>
      <c r="G859" s="563"/>
      <c r="H859" s="563"/>
      <c r="I859" s="2000"/>
      <c r="J859" s="563"/>
      <c r="K859" s="384"/>
      <c r="L859" s="1901"/>
      <c r="M859" s="1999"/>
      <c r="N859" s="1999"/>
      <c r="O859" s="1999"/>
      <c r="P859" s="2002"/>
      <c r="Q859" s="2002"/>
      <c r="R859" s="482"/>
      <c r="S859" s="482"/>
      <c r="T859" s="482"/>
      <c r="U859" s="482"/>
      <c r="V859" s="384"/>
      <c r="W859" s="563"/>
      <c r="Y859" s="563"/>
      <c r="AA859" s="384"/>
      <c r="AB859" s="384"/>
      <c r="AC859" s="384"/>
      <c r="AD859" s="384"/>
      <c r="AE859" s="384"/>
      <c r="AF859" s="384"/>
      <c r="AG859" s="384"/>
      <c r="AH859" s="384"/>
      <c r="AI859" s="384"/>
      <c r="AJ859" s="384"/>
      <c r="AK859" s="384"/>
      <c r="AL859" s="384"/>
      <c r="AM859" s="384"/>
    </row>
    <row r="860" spans="1:39" ht="15.75" customHeight="1">
      <c r="A860" s="563"/>
      <c r="B860" s="384"/>
      <c r="C860" s="563"/>
      <c r="D860" s="1997"/>
      <c r="E860" s="1998"/>
      <c r="F860" s="1954"/>
      <c r="G860" s="563"/>
      <c r="H860" s="563"/>
      <c r="I860" s="2000"/>
      <c r="J860" s="563"/>
      <c r="K860" s="384"/>
      <c r="L860" s="1901"/>
      <c r="M860" s="1999"/>
      <c r="N860" s="1999"/>
      <c r="O860" s="1999"/>
      <c r="P860" s="2002"/>
      <c r="Q860" s="2002"/>
      <c r="R860" s="482"/>
      <c r="S860" s="482"/>
      <c r="T860" s="482"/>
      <c r="U860" s="482"/>
      <c r="V860" s="384"/>
      <c r="W860" s="563"/>
      <c r="Y860" s="563"/>
      <c r="AA860" s="384"/>
      <c r="AB860" s="384"/>
      <c r="AC860" s="384"/>
      <c r="AD860" s="384"/>
      <c r="AE860" s="384"/>
      <c r="AF860" s="384"/>
      <c r="AG860" s="384"/>
      <c r="AH860" s="384"/>
      <c r="AI860" s="384"/>
      <c r="AJ860" s="384"/>
      <c r="AK860" s="384"/>
      <c r="AL860" s="384"/>
      <c r="AM860" s="384"/>
    </row>
    <row r="861" spans="1:39" ht="15.75" customHeight="1">
      <c r="A861" s="563"/>
      <c r="B861" s="384"/>
      <c r="C861" s="563"/>
      <c r="D861" s="1997"/>
      <c r="E861" s="1998"/>
      <c r="F861" s="1954"/>
      <c r="G861" s="563"/>
      <c r="H861" s="563"/>
      <c r="I861" s="2000"/>
      <c r="J861" s="563"/>
      <c r="K861" s="384"/>
      <c r="L861" s="1901"/>
      <c r="M861" s="1999"/>
      <c r="N861" s="1999"/>
      <c r="O861" s="1999"/>
      <c r="P861" s="2002"/>
      <c r="Q861" s="2002"/>
      <c r="R861" s="482"/>
      <c r="S861" s="482"/>
      <c r="T861" s="482"/>
      <c r="U861" s="482"/>
      <c r="V861" s="384"/>
      <c r="W861" s="563"/>
      <c r="Y861" s="563"/>
      <c r="AA861" s="384"/>
      <c r="AB861" s="384"/>
      <c r="AC861" s="384"/>
      <c r="AD861" s="384"/>
      <c r="AE861" s="384"/>
      <c r="AF861" s="384"/>
      <c r="AG861" s="384"/>
      <c r="AH861" s="384"/>
      <c r="AI861" s="384"/>
      <c r="AJ861" s="384"/>
      <c r="AK861" s="384"/>
      <c r="AL861" s="384"/>
      <c r="AM861" s="384"/>
    </row>
    <row r="862" spans="1:39" ht="15.75" customHeight="1">
      <c r="A862" s="563"/>
      <c r="B862" s="384"/>
      <c r="C862" s="563"/>
      <c r="D862" s="1997"/>
      <c r="E862" s="1998"/>
      <c r="F862" s="1954"/>
      <c r="G862" s="563"/>
      <c r="H862" s="563"/>
      <c r="I862" s="2000"/>
      <c r="J862" s="563"/>
      <c r="K862" s="384"/>
      <c r="L862" s="1901"/>
      <c r="M862" s="1999"/>
      <c r="N862" s="1999"/>
      <c r="O862" s="1999"/>
      <c r="P862" s="2002"/>
      <c r="Q862" s="2002"/>
      <c r="R862" s="482"/>
      <c r="S862" s="482"/>
      <c r="T862" s="482"/>
      <c r="U862" s="482"/>
      <c r="V862" s="384"/>
      <c r="W862" s="563"/>
      <c r="Y862" s="563"/>
      <c r="AA862" s="384"/>
      <c r="AB862" s="384"/>
      <c r="AC862" s="384"/>
      <c r="AD862" s="384"/>
      <c r="AE862" s="384"/>
      <c r="AF862" s="384"/>
      <c r="AG862" s="384"/>
      <c r="AH862" s="384"/>
      <c r="AI862" s="384"/>
      <c r="AJ862" s="384"/>
      <c r="AK862" s="384"/>
      <c r="AL862" s="384"/>
      <c r="AM862" s="384"/>
    </row>
    <row r="863" spans="1:39" ht="15.75" customHeight="1">
      <c r="A863" s="563"/>
      <c r="B863" s="384"/>
      <c r="C863" s="563"/>
      <c r="D863" s="1997"/>
      <c r="E863" s="1998"/>
      <c r="F863" s="1954"/>
      <c r="G863" s="563"/>
      <c r="H863" s="563"/>
      <c r="I863" s="2000"/>
      <c r="J863" s="563"/>
      <c r="K863" s="384"/>
      <c r="L863" s="1901"/>
      <c r="M863" s="1999"/>
      <c r="N863" s="1999"/>
      <c r="O863" s="1999"/>
      <c r="P863" s="2002"/>
      <c r="Q863" s="2002"/>
      <c r="R863" s="482"/>
      <c r="S863" s="482"/>
      <c r="T863" s="482"/>
      <c r="U863" s="482"/>
      <c r="V863" s="384"/>
      <c r="W863" s="563"/>
      <c r="Y863" s="563"/>
      <c r="AA863" s="384"/>
      <c r="AB863" s="384"/>
      <c r="AC863" s="384"/>
      <c r="AD863" s="384"/>
      <c r="AE863" s="384"/>
      <c r="AF863" s="384"/>
      <c r="AG863" s="384"/>
      <c r="AH863" s="384"/>
      <c r="AI863" s="384"/>
      <c r="AJ863" s="384"/>
      <c r="AK863" s="384"/>
      <c r="AL863" s="384"/>
      <c r="AM863" s="384"/>
    </row>
    <row r="864" spans="1:39" ht="15.75" customHeight="1">
      <c r="A864" s="563"/>
      <c r="B864" s="384"/>
      <c r="C864" s="563"/>
      <c r="D864" s="1997"/>
      <c r="E864" s="1998"/>
      <c r="F864" s="1954"/>
      <c r="G864" s="563"/>
      <c r="H864" s="563"/>
      <c r="I864" s="2000"/>
      <c r="J864" s="563"/>
      <c r="K864" s="384"/>
      <c r="L864" s="1901"/>
      <c r="M864" s="1999"/>
      <c r="N864" s="1999"/>
      <c r="O864" s="1999"/>
      <c r="P864" s="2002"/>
      <c r="Q864" s="2002"/>
      <c r="R864" s="482"/>
      <c r="S864" s="482"/>
      <c r="T864" s="482"/>
      <c r="U864" s="482"/>
      <c r="V864" s="384"/>
      <c r="W864" s="563"/>
      <c r="Y864" s="563"/>
      <c r="AA864" s="384"/>
      <c r="AB864" s="384"/>
      <c r="AC864" s="384"/>
      <c r="AD864" s="384"/>
      <c r="AE864" s="384"/>
      <c r="AF864" s="384"/>
      <c r="AG864" s="384"/>
      <c r="AH864" s="384"/>
      <c r="AI864" s="384"/>
      <c r="AJ864" s="384"/>
      <c r="AK864" s="384"/>
      <c r="AL864" s="384"/>
      <c r="AM864" s="384"/>
    </row>
    <row r="865" spans="1:39" ht="15.75" customHeight="1">
      <c r="A865" s="563"/>
      <c r="B865" s="384"/>
      <c r="C865" s="563"/>
      <c r="D865" s="1997"/>
      <c r="E865" s="1998"/>
      <c r="F865" s="1954"/>
      <c r="G865" s="563"/>
      <c r="H865" s="563"/>
      <c r="I865" s="2000"/>
      <c r="J865" s="563"/>
      <c r="K865" s="384"/>
      <c r="L865" s="1901"/>
      <c r="M865" s="1999"/>
      <c r="N865" s="1999"/>
      <c r="O865" s="1999"/>
      <c r="P865" s="2002"/>
      <c r="Q865" s="2002"/>
      <c r="R865" s="482"/>
      <c r="S865" s="482"/>
      <c r="T865" s="482"/>
      <c r="U865" s="482"/>
      <c r="V865" s="384"/>
      <c r="W865" s="563"/>
      <c r="Y865" s="563"/>
      <c r="AA865" s="384"/>
      <c r="AB865" s="384"/>
      <c r="AC865" s="384"/>
      <c r="AD865" s="384"/>
      <c r="AE865" s="384"/>
      <c r="AF865" s="384"/>
      <c r="AG865" s="384"/>
      <c r="AH865" s="384"/>
      <c r="AI865" s="384"/>
      <c r="AJ865" s="384"/>
      <c r="AK865" s="384"/>
      <c r="AL865" s="384"/>
      <c r="AM865" s="384"/>
    </row>
    <row r="866" spans="1:39" ht="15.75" customHeight="1">
      <c r="A866" s="563"/>
      <c r="B866" s="384"/>
      <c r="C866" s="563"/>
      <c r="D866" s="1997"/>
      <c r="E866" s="1998"/>
      <c r="F866" s="1954"/>
      <c r="G866" s="563"/>
      <c r="H866" s="563"/>
      <c r="I866" s="2000"/>
      <c r="J866" s="563"/>
      <c r="K866" s="384"/>
      <c r="L866" s="1901"/>
      <c r="M866" s="1999"/>
      <c r="N866" s="1999"/>
      <c r="O866" s="1999"/>
      <c r="P866" s="2002"/>
      <c r="Q866" s="2002"/>
      <c r="R866" s="482"/>
      <c r="S866" s="482"/>
      <c r="T866" s="482"/>
      <c r="U866" s="482"/>
      <c r="V866" s="384"/>
      <c r="W866" s="563"/>
      <c r="Y866" s="563"/>
      <c r="AA866" s="384"/>
      <c r="AB866" s="384"/>
      <c r="AC866" s="384"/>
      <c r="AD866" s="384"/>
      <c r="AE866" s="384"/>
      <c r="AF866" s="384"/>
      <c r="AG866" s="384"/>
      <c r="AH866" s="384"/>
      <c r="AI866" s="384"/>
      <c r="AJ866" s="384"/>
      <c r="AK866" s="384"/>
      <c r="AL866" s="384"/>
      <c r="AM866" s="384"/>
    </row>
    <row r="867" spans="1:39" ht="15.75" customHeight="1">
      <c r="A867" s="563"/>
      <c r="B867" s="384"/>
      <c r="C867" s="563"/>
      <c r="D867" s="1997"/>
      <c r="E867" s="1998"/>
      <c r="F867" s="1954"/>
      <c r="G867" s="563"/>
      <c r="H867" s="563"/>
      <c r="I867" s="2000"/>
      <c r="J867" s="563"/>
      <c r="K867" s="384"/>
      <c r="L867" s="1901"/>
      <c r="M867" s="1999"/>
      <c r="N867" s="1999"/>
      <c r="O867" s="1999"/>
      <c r="P867" s="2002"/>
      <c r="Q867" s="2002"/>
      <c r="R867" s="482"/>
      <c r="S867" s="482"/>
      <c r="T867" s="482"/>
      <c r="U867" s="482"/>
      <c r="V867" s="384"/>
      <c r="W867" s="563"/>
      <c r="Y867" s="563"/>
      <c r="AA867" s="384"/>
      <c r="AB867" s="384"/>
      <c r="AC867" s="384"/>
      <c r="AD867" s="384"/>
      <c r="AE867" s="384"/>
      <c r="AF867" s="384"/>
      <c r="AG867" s="384"/>
      <c r="AH867" s="384"/>
      <c r="AI867" s="384"/>
      <c r="AJ867" s="384"/>
      <c r="AK867" s="384"/>
      <c r="AL867" s="384"/>
      <c r="AM867" s="384"/>
    </row>
    <row r="868" spans="1:39" ht="15.75" customHeight="1">
      <c r="A868" s="563"/>
      <c r="B868" s="384"/>
      <c r="C868" s="563"/>
      <c r="D868" s="1997"/>
      <c r="E868" s="1998"/>
      <c r="F868" s="1954"/>
      <c r="G868" s="563"/>
      <c r="H868" s="563"/>
      <c r="I868" s="2000"/>
      <c r="J868" s="563"/>
      <c r="K868" s="384"/>
      <c r="L868" s="1901"/>
      <c r="M868" s="1999"/>
      <c r="N868" s="1999"/>
      <c r="O868" s="1999"/>
      <c r="P868" s="2002"/>
      <c r="Q868" s="2002"/>
      <c r="R868" s="482"/>
      <c r="S868" s="482"/>
      <c r="T868" s="482"/>
      <c r="U868" s="482"/>
      <c r="V868" s="384"/>
      <c r="W868" s="563"/>
      <c r="Y868" s="563"/>
      <c r="AA868" s="384"/>
      <c r="AB868" s="384"/>
      <c r="AC868" s="384"/>
      <c r="AD868" s="384"/>
      <c r="AE868" s="384"/>
      <c r="AF868" s="384"/>
      <c r="AG868" s="384"/>
      <c r="AH868" s="384"/>
      <c r="AI868" s="384"/>
      <c r="AJ868" s="384"/>
      <c r="AK868" s="384"/>
      <c r="AL868" s="384"/>
      <c r="AM868" s="384"/>
    </row>
    <row r="869" spans="1:39" ht="15.75" customHeight="1">
      <c r="A869" s="563"/>
      <c r="B869" s="384"/>
      <c r="C869" s="563"/>
      <c r="D869" s="1997"/>
      <c r="E869" s="1998"/>
      <c r="F869" s="1954"/>
      <c r="G869" s="563"/>
      <c r="H869" s="563"/>
      <c r="I869" s="2000"/>
      <c r="J869" s="563"/>
      <c r="K869" s="384"/>
      <c r="L869" s="1901"/>
      <c r="M869" s="1999"/>
      <c r="N869" s="1999"/>
      <c r="O869" s="1999"/>
      <c r="P869" s="2002"/>
      <c r="Q869" s="2002"/>
      <c r="R869" s="482"/>
      <c r="S869" s="482"/>
      <c r="T869" s="482"/>
      <c r="U869" s="482"/>
      <c r="V869" s="384"/>
      <c r="W869" s="563"/>
      <c r="Y869" s="563"/>
      <c r="AA869" s="384"/>
      <c r="AB869" s="384"/>
      <c r="AC869" s="384"/>
      <c r="AD869" s="384"/>
      <c r="AE869" s="384"/>
      <c r="AF869" s="384"/>
      <c r="AG869" s="384"/>
      <c r="AH869" s="384"/>
      <c r="AI869" s="384"/>
      <c r="AJ869" s="384"/>
      <c r="AK869" s="384"/>
      <c r="AL869" s="384"/>
      <c r="AM869" s="384"/>
    </row>
    <row r="870" spans="1:39" ht="15.75" customHeight="1">
      <c r="A870" s="563"/>
      <c r="B870" s="384"/>
      <c r="C870" s="563"/>
      <c r="D870" s="1997"/>
      <c r="E870" s="1998"/>
      <c r="F870" s="1954"/>
      <c r="G870" s="563"/>
      <c r="H870" s="563"/>
      <c r="I870" s="2000"/>
      <c r="J870" s="563"/>
      <c r="K870" s="384"/>
      <c r="L870" s="1901"/>
      <c r="M870" s="1999"/>
      <c r="N870" s="1999"/>
      <c r="O870" s="1999"/>
      <c r="P870" s="2002"/>
      <c r="Q870" s="2002"/>
      <c r="R870" s="482"/>
      <c r="S870" s="482"/>
      <c r="T870" s="482"/>
      <c r="U870" s="482"/>
      <c r="V870" s="384"/>
      <c r="W870" s="563"/>
      <c r="Y870" s="563"/>
      <c r="AA870" s="384"/>
      <c r="AB870" s="384"/>
      <c r="AC870" s="384"/>
      <c r="AD870" s="384"/>
      <c r="AE870" s="384"/>
      <c r="AF870" s="384"/>
      <c r="AG870" s="384"/>
      <c r="AH870" s="384"/>
      <c r="AI870" s="384"/>
      <c r="AJ870" s="384"/>
      <c r="AK870" s="384"/>
      <c r="AL870" s="384"/>
      <c r="AM870" s="384"/>
    </row>
    <row r="871" spans="1:39" ht="15.75" customHeight="1">
      <c r="A871" s="563"/>
      <c r="B871" s="384"/>
      <c r="C871" s="563"/>
      <c r="D871" s="1997"/>
      <c r="E871" s="1998"/>
      <c r="F871" s="1954"/>
      <c r="G871" s="563"/>
      <c r="H871" s="563"/>
      <c r="I871" s="2000"/>
      <c r="J871" s="563"/>
      <c r="K871" s="384"/>
      <c r="L871" s="1901"/>
      <c r="M871" s="1999"/>
      <c r="N871" s="1999"/>
      <c r="O871" s="1999"/>
      <c r="P871" s="2002"/>
      <c r="Q871" s="2002"/>
      <c r="R871" s="482"/>
      <c r="S871" s="482"/>
      <c r="T871" s="482"/>
      <c r="U871" s="482"/>
      <c r="V871" s="384"/>
      <c r="W871" s="563"/>
      <c r="Y871" s="563"/>
      <c r="AA871" s="384"/>
      <c r="AB871" s="384"/>
      <c r="AC871" s="384"/>
      <c r="AD871" s="384"/>
      <c r="AE871" s="384"/>
      <c r="AF871" s="384"/>
      <c r="AG871" s="384"/>
      <c r="AH871" s="384"/>
      <c r="AI871" s="384"/>
      <c r="AJ871" s="384"/>
      <c r="AK871" s="384"/>
      <c r="AL871" s="384"/>
      <c r="AM871" s="384"/>
    </row>
    <row r="872" spans="1:39" ht="15.75" customHeight="1">
      <c r="A872" s="563"/>
      <c r="B872" s="384"/>
      <c r="C872" s="563"/>
      <c r="D872" s="1997"/>
      <c r="E872" s="1998"/>
      <c r="F872" s="1954"/>
      <c r="G872" s="563"/>
      <c r="H872" s="563"/>
      <c r="I872" s="2000"/>
      <c r="J872" s="563"/>
      <c r="K872" s="384"/>
      <c r="L872" s="1901"/>
      <c r="M872" s="1999"/>
      <c r="N872" s="1999"/>
      <c r="O872" s="1999"/>
      <c r="P872" s="2002"/>
      <c r="Q872" s="2002"/>
      <c r="R872" s="482"/>
      <c r="S872" s="482"/>
      <c r="T872" s="482"/>
      <c r="U872" s="482"/>
      <c r="V872" s="384"/>
      <c r="W872" s="563"/>
      <c r="Y872" s="563"/>
      <c r="AA872" s="384"/>
      <c r="AB872" s="384"/>
      <c r="AC872" s="384"/>
      <c r="AD872" s="384"/>
      <c r="AE872" s="384"/>
      <c r="AF872" s="384"/>
      <c r="AG872" s="384"/>
      <c r="AH872" s="384"/>
      <c r="AI872" s="384"/>
      <c r="AJ872" s="384"/>
      <c r="AK872" s="384"/>
      <c r="AL872" s="384"/>
      <c r="AM872" s="384"/>
    </row>
    <row r="873" spans="1:39" ht="15.75" customHeight="1">
      <c r="A873" s="563"/>
      <c r="B873" s="384"/>
      <c r="C873" s="563"/>
      <c r="D873" s="1997"/>
      <c r="E873" s="1998"/>
      <c r="F873" s="1954"/>
      <c r="G873" s="563"/>
      <c r="H873" s="563"/>
      <c r="I873" s="2000"/>
      <c r="J873" s="563"/>
      <c r="K873" s="384"/>
      <c r="L873" s="1901"/>
      <c r="M873" s="1999"/>
      <c r="N873" s="1999"/>
      <c r="O873" s="1999"/>
      <c r="P873" s="2002"/>
      <c r="Q873" s="2002"/>
      <c r="R873" s="482"/>
      <c r="S873" s="482"/>
      <c r="T873" s="482"/>
      <c r="U873" s="482"/>
      <c r="V873" s="384"/>
      <c r="W873" s="563"/>
      <c r="Y873" s="563"/>
      <c r="AA873" s="384"/>
      <c r="AB873" s="384"/>
      <c r="AC873" s="384"/>
      <c r="AD873" s="384"/>
      <c r="AE873" s="384"/>
      <c r="AF873" s="384"/>
      <c r="AG873" s="384"/>
      <c r="AH873" s="384"/>
      <c r="AI873" s="384"/>
      <c r="AJ873" s="384"/>
      <c r="AK873" s="384"/>
      <c r="AL873" s="384"/>
      <c r="AM873" s="384"/>
    </row>
    <row r="874" spans="1:39" ht="15.75" customHeight="1">
      <c r="A874" s="563"/>
      <c r="B874" s="384"/>
      <c r="C874" s="563"/>
      <c r="D874" s="1997"/>
      <c r="E874" s="1998"/>
      <c r="F874" s="1954"/>
      <c r="G874" s="563"/>
      <c r="H874" s="563"/>
      <c r="I874" s="2000"/>
      <c r="J874" s="563"/>
      <c r="K874" s="384"/>
      <c r="L874" s="1901"/>
      <c r="M874" s="1999"/>
      <c r="N874" s="1999"/>
      <c r="O874" s="1999"/>
      <c r="P874" s="2002"/>
      <c r="Q874" s="2002"/>
      <c r="R874" s="482"/>
      <c r="S874" s="482"/>
      <c r="T874" s="482"/>
      <c r="U874" s="482"/>
      <c r="V874" s="384"/>
      <c r="W874" s="563"/>
      <c r="Y874" s="563"/>
      <c r="AA874" s="384"/>
      <c r="AB874" s="384"/>
      <c r="AC874" s="384"/>
      <c r="AD874" s="384"/>
      <c r="AE874" s="384"/>
      <c r="AF874" s="384"/>
      <c r="AG874" s="384"/>
      <c r="AH874" s="384"/>
      <c r="AI874" s="384"/>
      <c r="AJ874" s="384"/>
      <c r="AK874" s="384"/>
      <c r="AL874" s="384"/>
      <c r="AM874" s="384"/>
    </row>
    <row r="875" spans="1:39" ht="15.75" customHeight="1">
      <c r="A875" s="563"/>
      <c r="B875" s="384"/>
      <c r="C875" s="563"/>
      <c r="D875" s="1997"/>
      <c r="E875" s="1998"/>
      <c r="F875" s="1954"/>
      <c r="G875" s="563"/>
      <c r="H875" s="563"/>
      <c r="I875" s="2000"/>
      <c r="J875" s="563"/>
      <c r="K875" s="384"/>
      <c r="L875" s="1901"/>
      <c r="M875" s="1999"/>
      <c r="N875" s="1999"/>
      <c r="O875" s="1999"/>
      <c r="P875" s="2002"/>
      <c r="Q875" s="2002"/>
      <c r="R875" s="482"/>
      <c r="S875" s="482"/>
      <c r="T875" s="482"/>
      <c r="U875" s="482"/>
      <c r="V875" s="384"/>
      <c r="W875" s="563"/>
      <c r="Y875" s="563"/>
      <c r="AA875" s="384"/>
      <c r="AB875" s="384"/>
      <c r="AC875" s="384"/>
      <c r="AD875" s="384"/>
      <c r="AE875" s="384"/>
      <c r="AF875" s="384"/>
      <c r="AG875" s="384"/>
      <c r="AH875" s="384"/>
      <c r="AI875" s="384"/>
      <c r="AJ875" s="384"/>
      <c r="AK875" s="384"/>
      <c r="AL875" s="384"/>
      <c r="AM875" s="384"/>
    </row>
    <row r="876" spans="1:39" ht="15.75" customHeight="1">
      <c r="A876" s="563"/>
      <c r="B876" s="384"/>
      <c r="C876" s="563"/>
      <c r="D876" s="1997"/>
      <c r="E876" s="1998"/>
      <c r="F876" s="1954"/>
      <c r="G876" s="563"/>
      <c r="H876" s="563"/>
      <c r="I876" s="2000"/>
      <c r="J876" s="563"/>
      <c r="K876" s="384"/>
      <c r="L876" s="1901"/>
      <c r="M876" s="1999"/>
      <c r="N876" s="1999"/>
      <c r="O876" s="1999"/>
      <c r="P876" s="2002"/>
      <c r="Q876" s="2002"/>
      <c r="R876" s="482"/>
      <c r="S876" s="482"/>
      <c r="T876" s="482"/>
      <c r="U876" s="482"/>
      <c r="V876" s="384"/>
      <c r="W876" s="563"/>
      <c r="Y876" s="563"/>
      <c r="AA876" s="384"/>
      <c r="AB876" s="384"/>
      <c r="AC876" s="384"/>
      <c r="AD876" s="384"/>
      <c r="AE876" s="384"/>
      <c r="AF876" s="384"/>
      <c r="AG876" s="384"/>
      <c r="AH876" s="384"/>
      <c r="AI876" s="384"/>
      <c r="AJ876" s="384"/>
      <c r="AK876" s="384"/>
      <c r="AL876" s="384"/>
      <c r="AM876" s="384"/>
    </row>
    <row r="877" spans="1:39" ht="15.75" customHeight="1">
      <c r="A877" s="563"/>
      <c r="B877" s="384"/>
      <c r="C877" s="563"/>
      <c r="D877" s="1997"/>
      <c r="E877" s="1998"/>
      <c r="F877" s="1954"/>
      <c r="G877" s="563"/>
      <c r="H877" s="563"/>
      <c r="I877" s="2000"/>
      <c r="J877" s="563"/>
      <c r="K877" s="384"/>
      <c r="L877" s="1901"/>
      <c r="M877" s="1999"/>
      <c r="N877" s="1999"/>
      <c r="O877" s="1999"/>
      <c r="P877" s="2002"/>
      <c r="Q877" s="2002"/>
      <c r="R877" s="482"/>
      <c r="S877" s="482"/>
      <c r="T877" s="482"/>
      <c r="U877" s="482"/>
      <c r="V877" s="384"/>
      <c r="W877" s="563"/>
      <c r="Y877" s="563"/>
      <c r="AA877" s="384"/>
      <c r="AB877" s="384"/>
      <c r="AC877" s="384"/>
      <c r="AD877" s="384"/>
      <c r="AE877" s="384"/>
      <c r="AF877" s="384"/>
      <c r="AG877" s="384"/>
      <c r="AH877" s="384"/>
      <c r="AI877" s="384"/>
      <c r="AJ877" s="384"/>
      <c r="AK877" s="384"/>
      <c r="AL877" s="384"/>
      <c r="AM877" s="384"/>
    </row>
    <row r="878" spans="1:39" ht="15.75" customHeight="1">
      <c r="A878" s="563"/>
      <c r="B878" s="384"/>
      <c r="C878" s="563"/>
      <c r="D878" s="1997"/>
      <c r="E878" s="1998"/>
      <c r="F878" s="1954"/>
      <c r="G878" s="563"/>
      <c r="H878" s="563"/>
      <c r="I878" s="2000"/>
      <c r="J878" s="563"/>
      <c r="K878" s="384"/>
      <c r="L878" s="1901"/>
      <c r="M878" s="1999"/>
      <c r="N878" s="1999"/>
      <c r="O878" s="1999"/>
      <c r="P878" s="2002"/>
      <c r="Q878" s="2002"/>
      <c r="R878" s="482"/>
      <c r="S878" s="482"/>
      <c r="T878" s="482"/>
      <c r="U878" s="482"/>
      <c r="V878" s="384"/>
      <c r="W878" s="563"/>
      <c r="Y878" s="563"/>
      <c r="AA878" s="384"/>
      <c r="AB878" s="384"/>
      <c r="AC878" s="384"/>
      <c r="AD878" s="384"/>
      <c r="AE878" s="384"/>
      <c r="AF878" s="384"/>
      <c r="AG878" s="384"/>
      <c r="AH878" s="384"/>
      <c r="AI878" s="384"/>
      <c r="AJ878" s="384"/>
      <c r="AK878" s="384"/>
      <c r="AL878" s="384"/>
      <c r="AM878" s="384"/>
    </row>
    <row r="879" spans="1:39" ht="15.75" customHeight="1">
      <c r="A879" s="563"/>
      <c r="B879" s="384"/>
      <c r="C879" s="563"/>
      <c r="D879" s="1997"/>
      <c r="E879" s="1998"/>
      <c r="F879" s="1954"/>
      <c r="G879" s="563"/>
      <c r="H879" s="563"/>
      <c r="I879" s="2000"/>
      <c r="J879" s="563"/>
      <c r="K879" s="384"/>
      <c r="L879" s="1901"/>
      <c r="M879" s="1999"/>
      <c r="N879" s="1999"/>
      <c r="O879" s="1999"/>
      <c r="P879" s="2002"/>
      <c r="Q879" s="2002"/>
      <c r="R879" s="482"/>
      <c r="S879" s="482"/>
      <c r="T879" s="482"/>
      <c r="U879" s="482"/>
      <c r="V879" s="384"/>
      <c r="W879" s="563"/>
      <c r="Y879" s="563"/>
      <c r="AA879" s="384"/>
      <c r="AB879" s="384"/>
      <c r="AC879" s="384"/>
      <c r="AD879" s="384"/>
      <c r="AE879" s="384"/>
      <c r="AF879" s="384"/>
      <c r="AG879" s="384"/>
      <c r="AH879" s="384"/>
      <c r="AI879" s="384"/>
      <c r="AJ879" s="384"/>
      <c r="AK879" s="384"/>
      <c r="AL879" s="384"/>
      <c r="AM879" s="384"/>
    </row>
    <row r="880" spans="1:39" ht="15.75" customHeight="1">
      <c r="A880" s="563"/>
      <c r="B880" s="384"/>
      <c r="C880" s="563"/>
      <c r="D880" s="1997"/>
      <c r="E880" s="1998"/>
      <c r="F880" s="1954"/>
      <c r="G880" s="563"/>
      <c r="H880" s="563"/>
      <c r="I880" s="2000"/>
      <c r="J880" s="563"/>
      <c r="K880" s="384"/>
      <c r="L880" s="1901"/>
      <c r="M880" s="1999"/>
      <c r="N880" s="1999"/>
      <c r="O880" s="1999"/>
      <c r="P880" s="2002"/>
      <c r="Q880" s="2002"/>
      <c r="R880" s="482"/>
      <c r="S880" s="482"/>
      <c r="T880" s="482"/>
      <c r="U880" s="482"/>
      <c r="V880" s="384"/>
      <c r="W880" s="563"/>
      <c r="Y880" s="563"/>
      <c r="AA880" s="384"/>
      <c r="AB880" s="384"/>
      <c r="AC880" s="384"/>
      <c r="AD880" s="384"/>
      <c r="AE880" s="384"/>
      <c r="AF880" s="384"/>
      <c r="AG880" s="384"/>
      <c r="AH880" s="384"/>
      <c r="AI880" s="384"/>
      <c r="AJ880" s="384"/>
      <c r="AK880" s="384"/>
      <c r="AL880" s="384"/>
      <c r="AM880" s="384"/>
    </row>
    <row r="881" spans="1:39" ht="15.75" customHeight="1">
      <c r="A881" s="563"/>
      <c r="B881" s="384"/>
      <c r="C881" s="563"/>
      <c r="D881" s="1997"/>
      <c r="E881" s="1998"/>
      <c r="F881" s="1954"/>
      <c r="G881" s="563"/>
      <c r="H881" s="563"/>
      <c r="I881" s="2000"/>
      <c r="J881" s="563"/>
      <c r="K881" s="384"/>
      <c r="L881" s="1901"/>
      <c r="M881" s="1999"/>
      <c r="N881" s="1999"/>
      <c r="O881" s="1999"/>
      <c r="P881" s="2002"/>
      <c r="Q881" s="2002"/>
      <c r="R881" s="482"/>
      <c r="S881" s="482"/>
      <c r="T881" s="482"/>
      <c r="U881" s="482"/>
      <c r="V881" s="384"/>
      <c r="W881" s="563"/>
      <c r="Y881" s="563"/>
      <c r="AA881" s="384"/>
      <c r="AB881" s="384"/>
      <c r="AC881" s="384"/>
      <c r="AD881" s="384"/>
      <c r="AE881" s="384"/>
      <c r="AF881" s="384"/>
      <c r="AG881" s="384"/>
      <c r="AH881" s="384"/>
      <c r="AI881" s="384"/>
      <c r="AJ881" s="384"/>
      <c r="AK881" s="384"/>
      <c r="AL881" s="384"/>
      <c r="AM881" s="384"/>
    </row>
    <row r="882" spans="1:39" ht="15.75" customHeight="1">
      <c r="A882" s="563"/>
      <c r="B882" s="384"/>
      <c r="C882" s="563"/>
      <c r="D882" s="1997"/>
      <c r="E882" s="1998"/>
      <c r="F882" s="1954"/>
      <c r="G882" s="563"/>
      <c r="H882" s="563"/>
      <c r="I882" s="2000"/>
      <c r="J882" s="563"/>
      <c r="K882" s="384"/>
      <c r="L882" s="1901"/>
      <c r="M882" s="1999"/>
      <c r="N882" s="1999"/>
      <c r="O882" s="1999"/>
      <c r="P882" s="2002"/>
      <c r="Q882" s="2002"/>
      <c r="R882" s="482"/>
      <c r="S882" s="482"/>
      <c r="T882" s="482"/>
      <c r="U882" s="482"/>
      <c r="V882" s="384"/>
      <c r="W882" s="563"/>
      <c r="Y882" s="563"/>
      <c r="AA882" s="384"/>
      <c r="AB882" s="384"/>
      <c r="AC882" s="384"/>
      <c r="AD882" s="384"/>
      <c r="AE882" s="384"/>
      <c r="AF882" s="384"/>
      <c r="AG882" s="384"/>
      <c r="AH882" s="384"/>
      <c r="AI882" s="384"/>
      <c r="AJ882" s="384"/>
      <c r="AK882" s="384"/>
      <c r="AL882" s="384"/>
      <c r="AM882" s="384"/>
    </row>
    <row r="883" spans="1:39" ht="15.75" customHeight="1">
      <c r="A883" s="563"/>
      <c r="B883" s="384"/>
      <c r="C883" s="563"/>
      <c r="D883" s="1997"/>
      <c r="E883" s="1998"/>
      <c r="F883" s="1954"/>
      <c r="G883" s="563"/>
      <c r="H883" s="563"/>
      <c r="I883" s="2000"/>
      <c r="J883" s="563"/>
      <c r="K883" s="384"/>
      <c r="L883" s="1901"/>
      <c r="M883" s="1999"/>
      <c r="N883" s="1999"/>
      <c r="O883" s="1999"/>
      <c r="P883" s="2002"/>
      <c r="Q883" s="2002"/>
      <c r="R883" s="482"/>
      <c r="S883" s="482"/>
      <c r="T883" s="482"/>
      <c r="U883" s="482"/>
      <c r="V883" s="384"/>
      <c r="W883" s="563"/>
      <c r="Y883" s="563"/>
      <c r="AA883" s="384"/>
      <c r="AB883" s="384"/>
      <c r="AC883" s="384"/>
      <c r="AD883" s="384"/>
      <c r="AE883" s="384"/>
      <c r="AF883" s="384"/>
      <c r="AG883" s="384"/>
      <c r="AH883" s="384"/>
      <c r="AI883" s="384"/>
      <c r="AJ883" s="384"/>
      <c r="AK883" s="384"/>
      <c r="AL883" s="384"/>
      <c r="AM883" s="384"/>
    </row>
    <row r="884" spans="1:39" ht="15.75" customHeight="1">
      <c r="A884" s="563"/>
      <c r="B884" s="384"/>
      <c r="C884" s="563"/>
      <c r="D884" s="1997"/>
      <c r="E884" s="1998"/>
      <c r="F884" s="1954"/>
      <c r="G884" s="563"/>
      <c r="H884" s="563"/>
      <c r="I884" s="2000"/>
      <c r="J884" s="563"/>
      <c r="K884" s="384"/>
      <c r="L884" s="1901"/>
      <c r="M884" s="1999"/>
      <c r="N884" s="1999"/>
      <c r="O884" s="1999"/>
      <c r="P884" s="2002"/>
      <c r="Q884" s="2002"/>
      <c r="R884" s="482"/>
      <c r="S884" s="482"/>
      <c r="T884" s="482"/>
      <c r="U884" s="482"/>
      <c r="V884" s="384"/>
      <c r="W884" s="563"/>
      <c r="Y884" s="563"/>
      <c r="AA884" s="384"/>
      <c r="AB884" s="384"/>
      <c r="AC884" s="384"/>
      <c r="AD884" s="384"/>
      <c r="AE884" s="384"/>
      <c r="AF884" s="384"/>
      <c r="AG884" s="384"/>
      <c r="AH884" s="384"/>
      <c r="AI884" s="384"/>
      <c r="AJ884" s="384"/>
      <c r="AK884" s="384"/>
      <c r="AL884" s="384"/>
      <c r="AM884" s="384"/>
    </row>
    <row r="885" spans="1:39" ht="15.75" customHeight="1">
      <c r="A885" s="563"/>
      <c r="B885" s="384"/>
      <c r="C885" s="563"/>
      <c r="D885" s="1997"/>
      <c r="E885" s="1998"/>
      <c r="F885" s="1954"/>
      <c r="G885" s="563"/>
      <c r="H885" s="563"/>
      <c r="I885" s="2000"/>
      <c r="J885" s="563"/>
      <c r="K885" s="384"/>
      <c r="L885" s="1901"/>
      <c r="M885" s="1999"/>
      <c r="N885" s="1999"/>
      <c r="O885" s="1999"/>
      <c r="P885" s="2002"/>
      <c r="Q885" s="2002"/>
      <c r="R885" s="482"/>
      <c r="S885" s="482"/>
      <c r="T885" s="482"/>
      <c r="U885" s="482"/>
      <c r="V885" s="384"/>
      <c r="W885" s="563"/>
      <c r="Y885" s="563"/>
      <c r="AA885" s="384"/>
      <c r="AB885" s="384"/>
      <c r="AC885" s="384"/>
      <c r="AD885" s="384"/>
      <c r="AE885" s="384"/>
      <c r="AF885" s="384"/>
      <c r="AG885" s="384"/>
      <c r="AH885" s="384"/>
      <c r="AI885" s="384"/>
      <c r="AJ885" s="384"/>
      <c r="AK885" s="384"/>
      <c r="AL885" s="384"/>
      <c r="AM885" s="384"/>
    </row>
    <row r="886" spans="1:39" ht="15.75" customHeight="1">
      <c r="A886" s="563"/>
      <c r="B886" s="384"/>
      <c r="C886" s="563"/>
      <c r="D886" s="1997"/>
      <c r="E886" s="1998"/>
      <c r="F886" s="1954"/>
      <c r="G886" s="563"/>
      <c r="H886" s="563"/>
      <c r="I886" s="2000"/>
      <c r="J886" s="563"/>
      <c r="K886" s="384"/>
      <c r="L886" s="1901"/>
      <c r="M886" s="1999"/>
      <c r="N886" s="1999"/>
      <c r="O886" s="1999"/>
      <c r="P886" s="2002"/>
      <c r="Q886" s="2002"/>
      <c r="R886" s="482"/>
      <c r="S886" s="482"/>
      <c r="T886" s="482"/>
      <c r="U886" s="482"/>
      <c r="V886" s="384"/>
      <c r="W886" s="563"/>
      <c r="Y886" s="563"/>
      <c r="AA886" s="384"/>
      <c r="AB886" s="384"/>
      <c r="AC886" s="384"/>
      <c r="AD886" s="384"/>
      <c r="AE886" s="384"/>
      <c r="AF886" s="384"/>
      <c r="AG886" s="384"/>
      <c r="AH886" s="384"/>
      <c r="AI886" s="384"/>
      <c r="AJ886" s="384"/>
      <c r="AK886" s="384"/>
      <c r="AL886" s="384"/>
      <c r="AM886" s="384"/>
    </row>
    <row r="887" spans="1:39" ht="15.75" customHeight="1">
      <c r="A887" s="563"/>
      <c r="B887" s="384"/>
      <c r="C887" s="563"/>
      <c r="D887" s="1997"/>
      <c r="E887" s="1998"/>
      <c r="F887" s="1954"/>
      <c r="G887" s="563"/>
      <c r="H887" s="563"/>
      <c r="I887" s="2000"/>
      <c r="J887" s="563"/>
      <c r="K887" s="384"/>
      <c r="L887" s="1901"/>
      <c r="M887" s="1999"/>
      <c r="N887" s="1999"/>
      <c r="O887" s="1999"/>
      <c r="P887" s="2002"/>
      <c r="Q887" s="2002"/>
      <c r="R887" s="482"/>
      <c r="S887" s="482"/>
      <c r="T887" s="482"/>
      <c r="U887" s="482"/>
      <c r="V887" s="384"/>
      <c r="W887" s="563"/>
      <c r="Y887" s="563"/>
      <c r="AA887" s="384"/>
      <c r="AB887" s="384"/>
      <c r="AC887" s="384"/>
      <c r="AD887" s="384"/>
      <c r="AE887" s="384"/>
      <c r="AF887" s="384"/>
      <c r="AG887" s="384"/>
      <c r="AH887" s="384"/>
      <c r="AI887" s="384"/>
      <c r="AJ887" s="384"/>
      <c r="AK887" s="384"/>
      <c r="AL887" s="384"/>
      <c r="AM887" s="384"/>
    </row>
    <row r="888" spans="1:39" ht="15.75" customHeight="1">
      <c r="A888" s="563"/>
      <c r="B888" s="384"/>
      <c r="C888" s="563"/>
      <c r="D888" s="1997"/>
      <c r="E888" s="1998"/>
      <c r="F888" s="1954"/>
      <c r="G888" s="563"/>
      <c r="H888" s="563"/>
      <c r="I888" s="2000"/>
      <c r="J888" s="563"/>
      <c r="K888" s="384"/>
      <c r="L888" s="1901"/>
      <c r="M888" s="1999"/>
      <c r="N888" s="1999"/>
      <c r="O888" s="1999"/>
      <c r="P888" s="2002"/>
      <c r="Q888" s="2002"/>
      <c r="R888" s="482"/>
      <c r="S888" s="482"/>
      <c r="T888" s="482"/>
      <c r="U888" s="482"/>
      <c r="V888" s="384"/>
      <c r="W888" s="563"/>
      <c r="Y888" s="563"/>
      <c r="AA888" s="384"/>
      <c r="AB888" s="384"/>
      <c r="AC888" s="384"/>
      <c r="AD888" s="384"/>
      <c r="AE888" s="384"/>
      <c r="AF888" s="384"/>
      <c r="AG888" s="384"/>
      <c r="AH888" s="384"/>
      <c r="AI888" s="384"/>
      <c r="AJ888" s="384"/>
      <c r="AK888" s="384"/>
      <c r="AL888" s="384"/>
      <c r="AM888" s="384"/>
    </row>
    <row r="889" spans="1:39" ht="15.75" customHeight="1">
      <c r="A889" s="563"/>
      <c r="B889" s="384"/>
      <c r="C889" s="563"/>
      <c r="D889" s="1997"/>
      <c r="E889" s="1998"/>
      <c r="F889" s="1954"/>
      <c r="G889" s="563"/>
      <c r="H889" s="563"/>
      <c r="I889" s="2000"/>
      <c r="J889" s="563"/>
      <c r="K889" s="384"/>
      <c r="L889" s="1901"/>
      <c r="M889" s="1999"/>
      <c r="N889" s="1999"/>
      <c r="O889" s="1999"/>
      <c r="P889" s="2002"/>
      <c r="Q889" s="2002"/>
      <c r="R889" s="482"/>
      <c r="S889" s="482"/>
      <c r="T889" s="482"/>
      <c r="U889" s="482"/>
      <c r="V889" s="384"/>
      <c r="W889" s="563"/>
      <c r="Y889" s="563"/>
      <c r="AA889" s="384"/>
      <c r="AB889" s="384"/>
      <c r="AC889" s="384"/>
      <c r="AD889" s="384"/>
      <c r="AE889" s="384"/>
      <c r="AF889" s="384"/>
      <c r="AG889" s="384"/>
      <c r="AH889" s="384"/>
      <c r="AI889" s="384"/>
      <c r="AJ889" s="384"/>
      <c r="AK889" s="384"/>
      <c r="AL889" s="384"/>
      <c r="AM889" s="384"/>
    </row>
    <row r="890" spans="1:39" ht="15.75" customHeight="1">
      <c r="A890" s="563"/>
      <c r="B890" s="384"/>
      <c r="C890" s="563"/>
      <c r="D890" s="1997"/>
      <c r="E890" s="1998"/>
      <c r="F890" s="1954"/>
      <c r="G890" s="563"/>
      <c r="H890" s="563"/>
      <c r="I890" s="2000"/>
      <c r="J890" s="563"/>
      <c r="K890" s="384"/>
      <c r="L890" s="1901"/>
      <c r="M890" s="1999"/>
      <c r="N890" s="1999"/>
      <c r="O890" s="1999"/>
      <c r="P890" s="2002"/>
      <c r="Q890" s="2002"/>
      <c r="R890" s="482"/>
      <c r="S890" s="482"/>
      <c r="T890" s="482"/>
      <c r="U890" s="482"/>
      <c r="V890" s="384"/>
      <c r="W890" s="563"/>
      <c r="Y890" s="563"/>
      <c r="AA890" s="384"/>
      <c r="AB890" s="384"/>
      <c r="AC890" s="384"/>
      <c r="AD890" s="384"/>
      <c r="AE890" s="384"/>
      <c r="AF890" s="384"/>
      <c r="AG890" s="384"/>
      <c r="AH890" s="384"/>
      <c r="AI890" s="384"/>
      <c r="AJ890" s="384"/>
      <c r="AK890" s="384"/>
      <c r="AL890" s="384"/>
      <c r="AM890" s="384"/>
    </row>
    <row r="891" spans="1:39" ht="15.75" customHeight="1">
      <c r="A891" s="563"/>
      <c r="B891" s="384"/>
      <c r="C891" s="563"/>
      <c r="D891" s="1997"/>
      <c r="E891" s="1998"/>
      <c r="F891" s="1954"/>
      <c r="G891" s="563"/>
      <c r="H891" s="563"/>
      <c r="I891" s="2000"/>
      <c r="J891" s="563"/>
      <c r="K891" s="384"/>
      <c r="L891" s="1901"/>
      <c r="M891" s="1999"/>
      <c r="N891" s="1999"/>
      <c r="O891" s="1999"/>
      <c r="P891" s="2002"/>
      <c r="Q891" s="2002"/>
      <c r="R891" s="482"/>
      <c r="S891" s="482"/>
      <c r="T891" s="482"/>
      <c r="U891" s="482"/>
      <c r="V891" s="384"/>
      <c r="W891" s="563"/>
      <c r="Y891" s="563"/>
      <c r="AA891" s="384"/>
      <c r="AB891" s="384"/>
      <c r="AC891" s="384"/>
      <c r="AD891" s="384"/>
      <c r="AE891" s="384"/>
      <c r="AF891" s="384"/>
      <c r="AG891" s="384"/>
      <c r="AH891" s="384"/>
      <c r="AI891" s="384"/>
      <c r="AJ891" s="384"/>
      <c r="AK891" s="384"/>
      <c r="AL891" s="384"/>
      <c r="AM891" s="384"/>
    </row>
    <row r="892" spans="1:39" ht="15.75" customHeight="1">
      <c r="A892" s="563"/>
      <c r="B892" s="384"/>
      <c r="C892" s="563"/>
      <c r="D892" s="1997"/>
      <c r="E892" s="1998"/>
      <c r="F892" s="1954"/>
      <c r="G892" s="563"/>
      <c r="H892" s="563"/>
      <c r="I892" s="2000"/>
      <c r="J892" s="563"/>
      <c r="K892" s="384"/>
      <c r="L892" s="1901"/>
      <c r="M892" s="1999"/>
      <c r="N892" s="1999"/>
      <c r="O892" s="1999"/>
      <c r="P892" s="2002"/>
      <c r="Q892" s="2002"/>
      <c r="R892" s="482"/>
      <c r="S892" s="482"/>
      <c r="T892" s="482"/>
      <c r="U892" s="482"/>
      <c r="V892" s="384"/>
      <c r="W892" s="563"/>
      <c r="Y892" s="563"/>
      <c r="AA892" s="384"/>
      <c r="AB892" s="384"/>
      <c r="AC892" s="384"/>
      <c r="AD892" s="384"/>
      <c r="AE892" s="384"/>
      <c r="AF892" s="384"/>
      <c r="AG892" s="384"/>
      <c r="AH892" s="384"/>
      <c r="AI892" s="384"/>
      <c r="AJ892" s="384"/>
      <c r="AK892" s="384"/>
      <c r="AL892" s="384"/>
      <c r="AM892" s="384"/>
    </row>
    <row r="893" spans="1:39" ht="15.75" customHeight="1">
      <c r="A893" s="563"/>
      <c r="B893" s="384"/>
      <c r="C893" s="563"/>
      <c r="D893" s="1997"/>
      <c r="E893" s="1998"/>
      <c r="F893" s="1954"/>
      <c r="G893" s="563"/>
      <c r="H893" s="563"/>
      <c r="I893" s="2000"/>
      <c r="J893" s="563"/>
      <c r="K893" s="384"/>
      <c r="L893" s="1901"/>
      <c r="M893" s="1999"/>
      <c r="N893" s="1999"/>
      <c r="O893" s="1999"/>
      <c r="P893" s="2002"/>
      <c r="Q893" s="2002"/>
      <c r="R893" s="482"/>
      <c r="S893" s="482"/>
      <c r="T893" s="482"/>
      <c r="U893" s="482"/>
      <c r="V893" s="384"/>
      <c r="W893" s="563"/>
      <c r="Y893" s="563"/>
      <c r="AA893" s="384"/>
      <c r="AB893" s="384"/>
      <c r="AC893" s="384"/>
      <c r="AD893" s="384"/>
      <c r="AE893" s="384"/>
      <c r="AF893" s="384"/>
      <c r="AG893" s="384"/>
      <c r="AH893" s="384"/>
      <c r="AI893" s="384"/>
      <c r="AJ893" s="384"/>
      <c r="AK893" s="384"/>
      <c r="AL893" s="384"/>
      <c r="AM893" s="384"/>
    </row>
    <row r="894" spans="1:39" ht="15.75" customHeight="1">
      <c r="A894" s="563"/>
      <c r="B894" s="384"/>
      <c r="C894" s="563"/>
      <c r="D894" s="1997"/>
      <c r="E894" s="1998"/>
      <c r="F894" s="1954"/>
      <c r="G894" s="563"/>
      <c r="H894" s="563"/>
      <c r="I894" s="2000"/>
      <c r="J894" s="563"/>
      <c r="K894" s="384"/>
      <c r="L894" s="1901"/>
      <c r="M894" s="1999"/>
      <c r="N894" s="1999"/>
      <c r="O894" s="1999"/>
      <c r="P894" s="2002"/>
      <c r="Q894" s="2002"/>
      <c r="R894" s="482"/>
      <c r="S894" s="482"/>
      <c r="T894" s="482"/>
      <c r="U894" s="482"/>
      <c r="V894" s="384"/>
      <c r="W894" s="563"/>
      <c r="Y894" s="563"/>
      <c r="AA894" s="384"/>
      <c r="AB894" s="384"/>
      <c r="AC894" s="384"/>
      <c r="AD894" s="384"/>
      <c r="AE894" s="384"/>
      <c r="AF894" s="384"/>
      <c r="AG894" s="384"/>
      <c r="AH894" s="384"/>
      <c r="AI894" s="384"/>
      <c r="AJ894" s="384"/>
      <c r="AK894" s="384"/>
      <c r="AL894" s="384"/>
      <c r="AM894" s="384"/>
    </row>
    <row r="895" spans="1:39" ht="15.75" customHeight="1">
      <c r="A895" s="563"/>
      <c r="B895" s="384"/>
      <c r="C895" s="563"/>
      <c r="D895" s="1997"/>
      <c r="E895" s="1998"/>
      <c r="F895" s="1954"/>
      <c r="G895" s="563"/>
      <c r="H895" s="563"/>
      <c r="I895" s="2000"/>
      <c r="J895" s="563"/>
      <c r="K895" s="384"/>
      <c r="L895" s="1901"/>
      <c r="M895" s="1999"/>
      <c r="N895" s="1999"/>
      <c r="O895" s="1999"/>
      <c r="P895" s="2002"/>
      <c r="Q895" s="2002"/>
      <c r="R895" s="482"/>
      <c r="S895" s="482"/>
      <c r="T895" s="482"/>
      <c r="U895" s="482"/>
      <c r="V895" s="384"/>
      <c r="W895" s="563"/>
      <c r="Y895" s="563"/>
      <c r="AA895" s="384"/>
      <c r="AB895" s="384"/>
      <c r="AC895" s="384"/>
      <c r="AD895" s="384"/>
      <c r="AE895" s="384"/>
      <c r="AF895" s="384"/>
      <c r="AG895" s="384"/>
      <c r="AH895" s="384"/>
      <c r="AI895" s="384"/>
      <c r="AJ895" s="384"/>
      <c r="AK895" s="384"/>
      <c r="AL895" s="384"/>
      <c r="AM895" s="384"/>
    </row>
    <row r="896" spans="1:39" ht="15.75" customHeight="1">
      <c r="A896" s="563"/>
      <c r="B896" s="384"/>
      <c r="C896" s="563"/>
      <c r="D896" s="1997"/>
      <c r="E896" s="1998"/>
      <c r="F896" s="1954"/>
      <c r="G896" s="563"/>
      <c r="H896" s="563"/>
      <c r="I896" s="2000"/>
      <c r="J896" s="563"/>
      <c r="K896" s="384"/>
      <c r="L896" s="1901"/>
      <c r="M896" s="1999"/>
      <c r="N896" s="1999"/>
      <c r="O896" s="1999"/>
      <c r="P896" s="2002"/>
      <c r="Q896" s="2002"/>
      <c r="R896" s="482"/>
      <c r="S896" s="482"/>
      <c r="T896" s="482"/>
      <c r="U896" s="482"/>
      <c r="V896" s="384"/>
      <c r="W896" s="563"/>
      <c r="Y896" s="563"/>
      <c r="AA896" s="384"/>
      <c r="AB896" s="384"/>
      <c r="AC896" s="384"/>
      <c r="AD896" s="384"/>
      <c r="AE896" s="384"/>
      <c r="AF896" s="384"/>
      <c r="AG896" s="384"/>
      <c r="AH896" s="384"/>
      <c r="AI896" s="384"/>
      <c r="AJ896" s="384"/>
      <c r="AK896" s="384"/>
      <c r="AL896" s="384"/>
      <c r="AM896" s="384"/>
    </row>
    <row r="897" spans="1:39" ht="15.75" customHeight="1">
      <c r="A897" s="563"/>
      <c r="B897" s="384"/>
      <c r="C897" s="563"/>
      <c r="D897" s="1997"/>
      <c r="E897" s="1998"/>
      <c r="F897" s="1954"/>
      <c r="G897" s="563"/>
      <c r="H897" s="563"/>
      <c r="I897" s="2000"/>
      <c r="J897" s="563"/>
      <c r="K897" s="384"/>
      <c r="L897" s="1901"/>
      <c r="M897" s="1999"/>
      <c r="N897" s="1999"/>
      <c r="O897" s="1999"/>
      <c r="P897" s="2002"/>
      <c r="Q897" s="2002"/>
      <c r="R897" s="482"/>
      <c r="S897" s="482"/>
      <c r="T897" s="482"/>
      <c r="U897" s="482"/>
      <c r="V897" s="384"/>
      <c r="W897" s="563"/>
      <c r="Y897" s="563"/>
      <c r="AA897" s="384"/>
      <c r="AB897" s="384"/>
      <c r="AC897" s="384"/>
      <c r="AD897" s="384"/>
      <c r="AE897" s="384"/>
      <c r="AF897" s="384"/>
      <c r="AG897" s="384"/>
      <c r="AH897" s="384"/>
      <c r="AI897" s="384"/>
      <c r="AJ897" s="384"/>
      <c r="AK897" s="384"/>
      <c r="AL897" s="384"/>
      <c r="AM897" s="384"/>
    </row>
    <row r="898" spans="1:39" ht="15.75" customHeight="1">
      <c r="A898" s="563"/>
      <c r="B898" s="384"/>
      <c r="C898" s="563"/>
      <c r="D898" s="1997"/>
      <c r="E898" s="1998"/>
      <c r="F898" s="1954"/>
      <c r="G898" s="563"/>
      <c r="H898" s="563"/>
      <c r="I898" s="2000"/>
      <c r="J898" s="563"/>
      <c r="K898" s="384"/>
      <c r="L898" s="1901"/>
      <c r="M898" s="1999"/>
      <c r="N898" s="1999"/>
      <c r="O898" s="1999"/>
      <c r="P898" s="2002"/>
      <c r="Q898" s="2002"/>
      <c r="R898" s="482"/>
      <c r="S898" s="482"/>
      <c r="T898" s="482"/>
      <c r="U898" s="482"/>
      <c r="V898" s="384"/>
      <c r="W898" s="563"/>
      <c r="Y898" s="563"/>
      <c r="AA898" s="384"/>
      <c r="AB898" s="384"/>
      <c r="AC898" s="384"/>
      <c r="AD898" s="384"/>
      <c r="AE898" s="384"/>
      <c r="AF898" s="384"/>
      <c r="AG898" s="384"/>
      <c r="AH898" s="384"/>
      <c r="AI898" s="384"/>
      <c r="AJ898" s="384"/>
      <c r="AK898" s="384"/>
      <c r="AL898" s="384"/>
      <c r="AM898" s="384"/>
    </row>
    <row r="899" spans="1:39" ht="15.75" customHeight="1">
      <c r="A899" s="563"/>
      <c r="B899" s="384"/>
      <c r="C899" s="563"/>
      <c r="D899" s="1997"/>
      <c r="E899" s="1998"/>
      <c r="F899" s="1954"/>
      <c r="G899" s="563"/>
      <c r="H899" s="563"/>
      <c r="I899" s="2000"/>
      <c r="J899" s="563"/>
      <c r="K899" s="384"/>
      <c r="L899" s="1901"/>
      <c r="M899" s="1999"/>
      <c r="N899" s="1999"/>
      <c r="O899" s="1999"/>
      <c r="P899" s="2002"/>
      <c r="Q899" s="2002"/>
      <c r="R899" s="482"/>
      <c r="S899" s="482"/>
      <c r="T899" s="482"/>
      <c r="U899" s="482"/>
      <c r="V899" s="384"/>
      <c r="W899" s="563"/>
      <c r="Y899" s="563"/>
      <c r="AA899" s="384"/>
      <c r="AB899" s="384"/>
      <c r="AC899" s="384"/>
      <c r="AD899" s="384"/>
      <c r="AE899" s="384"/>
      <c r="AF899" s="384"/>
      <c r="AG899" s="384"/>
      <c r="AH899" s="384"/>
      <c r="AI899" s="384"/>
      <c r="AJ899" s="384"/>
      <c r="AK899" s="384"/>
      <c r="AL899" s="384"/>
      <c r="AM899" s="384"/>
    </row>
    <row r="900" spans="1:39" ht="15.75" customHeight="1">
      <c r="A900" s="563"/>
      <c r="B900" s="384"/>
      <c r="C900" s="563"/>
      <c r="D900" s="1997"/>
      <c r="E900" s="1998"/>
      <c r="F900" s="1954"/>
      <c r="G900" s="563"/>
      <c r="H900" s="563"/>
      <c r="I900" s="2000"/>
      <c r="J900" s="563"/>
      <c r="K900" s="384"/>
      <c r="L900" s="1901"/>
      <c r="M900" s="1999"/>
      <c r="N900" s="1999"/>
      <c r="O900" s="1999"/>
      <c r="P900" s="2002"/>
      <c r="Q900" s="2002"/>
      <c r="R900" s="482"/>
      <c r="S900" s="482"/>
      <c r="T900" s="482"/>
      <c r="U900" s="482"/>
      <c r="V900" s="384"/>
      <c r="W900" s="563"/>
      <c r="Y900" s="563"/>
      <c r="AA900" s="384"/>
      <c r="AB900" s="384"/>
      <c r="AC900" s="384"/>
      <c r="AD900" s="384"/>
      <c r="AE900" s="384"/>
      <c r="AF900" s="384"/>
      <c r="AG900" s="384"/>
      <c r="AH900" s="384"/>
      <c r="AI900" s="384"/>
      <c r="AJ900" s="384"/>
      <c r="AK900" s="384"/>
      <c r="AL900" s="384"/>
      <c r="AM900" s="384"/>
    </row>
    <row r="901" spans="1:39" ht="15.75" customHeight="1">
      <c r="A901" s="563"/>
      <c r="B901" s="384"/>
      <c r="C901" s="563"/>
      <c r="D901" s="1997"/>
      <c r="E901" s="1998"/>
      <c r="F901" s="1954"/>
      <c r="G901" s="563"/>
      <c r="H901" s="563"/>
      <c r="I901" s="2000"/>
      <c r="J901" s="563"/>
      <c r="K901" s="384"/>
      <c r="L901" s="1901"/>
      <c r="M901" s="1999"/>
      <c r="N901" s="1999"/>
      <c r="O901" s="1999"/>
      <c r="P901" s="2002"/>
      <c r="Q901" s="2002"/>
      <c r="R901" s="482"/>
      <c r="S901" s="482"/>
      <c r="T901" s="482"/>
      <c r="U901" s="482"/>
      <c r="V901" s="384"/>
      <c r="W901" s="563"/>
      <c r="Y901" s="563"/>
      <c r="AA901" s="384"/>
      <c r="AB901" s="384"/>
      <c r="AC901" s="384"/>
      <c r="AD901" s="384"/>
      <c r="AE901" s="384"/>
      <c r="AF901" s="384"/>
      <c r="AG901" s="384"/>
      <c r="AH901" s="384"/>
      <c r="AI901" s="384"/>
      <c r="AJ901" s="384"/>
      <c r="AK901" s="384"/>
      <c r="AL901" s="384"/>
      <c r="AM901" s="384"/>
    </row>
    <row r="902" spans="1:39" ht="15.75" customHeight="1">
      <c r="A902" s="563"/>
      <c r="B902" s="384"/>
      <c r="C902" s="563"/>
      <c r="D902" s="1997"/>
      <c r="E902" s="1998"/>
      <c r="F902" s="1954"/>
      <c r="G902" s="563"/>
      <c r="H902" s="563"/>
      <c r="I902" s="2000"/>
      <c r="J902" s="563"/>
      <c r="K902" s="384"/>
      <c r="L902" s="1901"/>
      <c r="M902" s="1999"/>
      <c r="N902" s="1999"/>
      <c r="O902" s="1999"/>
      <c r="P902" s="2002"/>
      <c r="Q902" s="2002"/>
      <c r="R902" s="482"/>
      <c r="S902" s="482"/>
      <c r="T902" s="482"/>
      <c r="U902" s="482"/>
      <c r="V902" s="384"/>
      <c r="W902" s="563"/>
      <c r="Y902" s="563"/>
      <c r="AA902" s="384"/>
      <c r="AB902" s="384"/>
      <c r="AC902" s="384"/>
      <c r="AD902" s="384"/>
      <c r="AE902" s="384"/>
      <c r="AF902" s="384"/>
      <c r="AG902" s="384"/>
      <c r="AH902" s="384"/>
      <c r="AI902" s="384"/>
      <c r="AJ902" s="384"/>
      <c r="AK902" s="384"/>
      <c r="AL902" s="384"/>
      <c r="AM902" s="384"/>
    </row>
    <row r="903" spans="1:39" ht="15.75" customHeight="1">
      <c r="A903" s="563"/>
      <c r="B903" s="384"/>
      <c r="C903" s="563"/>
      <c r="D903" s="1997"/>
      <c r="E903" s="1998"/>
      <c r="F903" s="1954"/>
      <c r="G903" s="563"/>
      <c r="H903" s="563"/>
      <c r="I903" s="2000"/>
      <c r="J903" s="563"/>
      <c r="K903" s="384"/>
      <c r="L903" s="1901"/>
      <c r="M903" s="1999"/>
      <c r="N903" s="1999"/>
      <c r="O903" s="1999"/>
      <c r="P903" s="2002"/>
      <c r="Q903" s="2002"/>
      <c r="R903" s="482"/>
      <c r="S903" s="482"/>
      <c r="T903" s="482"/>
      <c r="U903" s="482"/>
      <c r="V903" s="384"/>
      <c r="W903" s="563"/>
      <c r="Y903" s="563"/>
      <c r="AA903" s="384"/>
      <c r="AB903" s="384"/>
      <c r="AC903" s="384"/>
      <c r="AD903" s="384"/>
      <c r="AE903" s="384"/>
      <c r="AF903" s="384"/>
      <c r="AG903" s="384"/>
      <c r="AH903" s="384"/>
      <c r="AI903" s="384"/>
      <c r="AJ903" s="384"/>
      <c r="AK903" s="384"/>
      <c r="AL903" s="384"/>
      <c r="AM903" s="384"/>
    </row>
    <row r="904" spans="1:39" ht="15.75" customHeight="1">
      <c r="A904" s="563"/>
      <c r="B904" s="384"/>
      <c r="C904" s="563"/>
      <c r="D904" s="1997"/>
      <c r="E904" s="1998"/>
      <c r="F904" s="1954"/>
      <c r="G904" s="563"/>
      <c r="H904" s="563"/>
      <c r="I904" s="2000"/>
      <c r="J904" s="563"/>
      <c r="K904" s="384"/>
      <c r="L904" s="1901"/>
      <c r="M904" s="1999"/>
      <c r="N904" s="1999"/>
      <c r="O904" s="1999"/>
      <c r="P904" s="2002"/>
      <c r="Q904" s="2002"/>
      <c r="R904" s="482"/>
      <c r="S904" s="482"/>
      <c r="T904" s="482"/>
      <c r="U904" s="482"/>
      <c r="V904" s="384"/>
      <c r="W904" s="563"/>
      <c r="Y904" s="563"/>
      <c r="AA904" s="384"/>
      <c r="AB904" s="384"/>
      <c r="AC904" s="384"/>
      <c r="AD904" s="384"/>
      <c r="AE904" s="384"/>
      <c r="AF904" s="384"/>
      <c r="AG904" s="384"/>
      <c r="AH904" s="384"/>
      <c r="AI904" s="384"/>
      <c r="AJ904" s="384"/>
      <c r="AK904" s="384"/>
      <c r="AL904" s="384"/>
      <c r="AM904" s="384"/>
    </row>
    <row r="905" spans="1:39" ht="15.75" customHeight="1">
      <c r="A905" s="563"/>
      <c r="B905" s="384"/>
      <c r="C905" s="563"/>
      <c r="D905" s="1997"/>
      <c r="E905" s="1998"/>
      <c r="F905" s="1954"/>
      <c r="G905" s="563"/>
      <c r="H905" s="563"/>
      <c r="I905" s="2000"/>
      <c r="J905" s="563"/>
      <c r="K905" s="384"/>
      <c r="L905" s="1901"/>
      <c r="M905" s="1999"/>
      <c r="N905" s="1999"/>
      <c r="O905" s="1999"/>
      <c r="P905" s="2002"/>
      <c r="Q905" s="2002"/>
      <c r="R905" s="482"/>
      <c r="S905" s="482"/>
      <c r="T905" s="482"/>
      <c r="U905" s="482"/>
      <c r="V905" s="384"/>
      <c r="W905" s="563"/>
      <c r="Y905" s="563"/>
      <c r="AA905" s="384"/>
      <c r="AB905" s="384"/>
      <c r="AC905" s="384"/>
      <c r="AD905" s="384"/>
      <c r="AE905" s="384"/>
      <c r="AF905" s="384"/>
      <c r="AG905" s="384"/>
      <c r="AH905" s="384"/>
      <c r="AI905" s="384"/>
      <c r="AJ905" s="384"/>
      <c r="AK905" s="384"/>
      <c r="AL905" s="384"/>
      <c r="AM905" s="384"/>
    </row>
    <row r="906" spans="1:39" ht="15.75" customHeight="1">
      <c r="A906" s="563"/>
      <c r="B906" s="384"/>
      <c r="C906" s="563"/>
      <c r="D906" s="1997"/>
      <c r="E906" s="1998"/>
      <c r="F906" s="1954"/>
      <c r="G906" s="563"/>
      <c r="H906" s="563"/>
      <c r="I906" s="2000"/>
      <c r="J906" s="563"/>
      <c r="K906" s="384"/>
      <c r="L906" s="1901"/>
      <c r="M906" s="1999"/>
      <c r="N906" s="1999"/>
      <c r="O906" s="1999"/>
      <c r="P906" s="2002"/>
      <c r="Q906" s="2002"/>
      <c r="R906" s="482"/>
      <c r="S906" s="482"/>
      <c r="T906" s="482"/>
      <c r="U906" s="482"/>
      <c r="V906" s="384"/>
      <c r="W906" s="563"/>
      <c r="Y906" s="563"/>
      <c r="AA906" s="384"/>
      <c r="AB906" s="384"/>
      <c r="AC906" s="384"/>
      <c r="AD906" s="384"/>
      <c r="AE906" s="384"/>
      <c r="AF906" s="384"/>
      <c r="AG906" s="384"/>
      <c r="AH906" s="384"/>
      <c r="AI906" s="384"/>
      <c r="AJ906" s="384"/>
      <c r="AK906" s="384"/>
      <c r="AL906" s="384"/>
      <c r="AM906" s="384"/>
    </row>
    <row r="907" spans="1:39" ht="15.75" customHeight="1">
      <c r="A907" s="563"/>
      <c r="B907" s="384"/>
      <c r="C907" s="563"/>
      <c r="D907" s="1997"/>
      <c r="E907" s="1998"/>
      <c r="F907" s="1954"/>
      <c r="G907" s="563"/>
      <c r="H907" s="563"/>
      <c r="I907" s="2000"/>
      <c r="J907" s="563"/>
      <c r="K907" s="384"/>
      <c r="L907" s="1901"/>
      <c r="M907" s="1999"/>
      <c r="N907" s="1999"/>
      <c r="O907" s="1999"/>
      <c r="P907" s="2002"/>
      <c r="Q907" s="2002"/>
      <c r="R907" s="482"/>
      <c r="S907" s="482"/>
      <c r="T907" s="482"/>
      <c r="U907" s="482"/>
      <c r="V907" s="384"/>
      <c r="W907" s="563"/>
      <c r="Y907" s="563"/>
      <c r="AA907" s="384"/>
      <c r="AB907" s="384"/>
      <c r="AC907" s="384"/>
      <c r="AD907" s="384"/>
      <c r="AE907" s="384"/>
      <c r="AF907" s="384"/>
      <c r="AG907" s="384"/>
      <c r="AH907" s="384"/>
      <c r="AI907" s="384"/>
      <c r="AJ907" s="384"/>
      <c r="AK907" s="384"/>
      <c r="AL907" s="384"/>
      <c r="AM907" s="384"/>
    </row>
    <row r="908" spans="1:39" ht="15.75" customHeight="1">
      <c r="A908" s="563"/>
      <c r="B908" s="384"/>
      <c r="C908" s="563"/>
      <c r="D908" s="1997"/>
      <c r="E908" s="1998"/>
      <c r="F908" s="1954"/>
      <c r="G908" s="563"/>
      <c r="H908" s="563"/>
      <c r="I908" s="2000"/>
      <c r="J908" s="563"/>
      <c r="K908" s="384"/>
      <c r="L908" s="1901"/>
      <c r="M908" s="1999"/>
      <c r="N908" s="1999"/>
      <c r="O908" s="1999"/>
      <c r="P908" s="2002"/>
      <c r="Q908" s="2002"/>
      <c r="R908" s="482"/>
      <c r="S908" s="482"/>
      <c r="T908" s="482"/>
      <c r="U908" s="482"/>
      <c r="V908" s="384"/>
      <c r="W908" s="563"/>
      <c r="Y908" s="563"/>
      <c r="AA908" s="384"/>
      <c r="AB908" s="384"/>
      <c r="AC908" s="384"/>
      <c r="AD908" s="384"/>
      <c r="AE908" s="384"/>
      <c r="AF908" s="384"/>
      <c r="AG908" s="384"/>
      <c r="AH908" s="384"/>
      <c r="AI908" s="384"/>
      <c r="AJ908" s="384"/>
      <c r="AK908" s="384"/>
      <c r="AL908" s="384"/>
      <c r="AM908" s="384"/>
    </row>
    <row r="909" spans="1:39" ht="15.75" customHeight="1">
      <c r="A909" s="563"/>
      <c r="B909" s="384"/>
      <c r="C909" s="563"/>
      <c r="D909" s="1997"/>
      <c r="E909" s="1998"/>
      <c r="F909" s="1954"/>
      <c r="G909" s="563"/>
      <c r="H909" s="563"/>
      <c r="I909" s="2000"/>
      <c r="J909" s="563"/>
      <c r="K909" s="384"/>
      <c r="L909" s="1901"/>
      <c r="M909" s="1999"/>
      <c r="N909" s="1999"/>
      <c r="O909" s="1999"/>
      <c r="P909" s="2002"/>
      <c r="Q909" s="2002"/>
      <c r="R909" s="482"/>
      <c r="S909" s="482"/>
      <c r="T909" s="482"/>
      <c r="U909" s="482"/>
      <c r="V909" s="384"/>
      <c r="W909" s="563"/>
      <c r="Y909" s="563"/>
      <c r="AA909" s="384"/>
      <c r="AB909" s="384"/>
      <c r="AC909" s="384"/>
      <c r="AD909" s="384"/>
      <c r="AE909" s="384"/>
      <c r="AF909" s="384"/>
      <c r="AG909" s="384"/>
      <c r="AH909" s="384"/>
      <c r="AI909" s="384"/>
      <c r="AJ909" s="384"/>
      <c r="AK909" s="384"/>
      <c r="AL909" s="384"/>
      <c r="AM909" s="384"/>
    </row>
    <row r="910" spans="1:39" ht="15.75" customHeight="1">
      <c r="A910" s="563"/>
      <c r="B910" s="384"/>
      <c r="C910" s="563"/>
      <c r="D910" s="1997"/>
      <c r="E910" s="1998"/>
      <c r="F910" s="1954"/>
      <c r="G910" s="563"/>
      <c r="H910" s="563"/>
      <c r="I910" s="2000"/>
      <c r="J910" s="563"/>
      <c r="K910" s="384"/>
      <c r="L910" s="1901"/>
      <c r="M910" s="1999"/>
      <c r="N910" s="1999"/>
      <c r="O910" s="1999"/>
      <c r="P910" s="2002"/>
      <c r="Q910" s="2002"/>
      <c r="R910" s="482"/>
      <c r="S910" s="482"/>
      <c r="T910" s="482"/>
      <c r="U910" s="482"/>
      <c r="V910" s="384"/>
      <c r="W910" s="563"/>
      <c r="Y910" s="563"/>
      <c r="AA910" s="384"/>
      <c r="AB910" s="384"/>
      <c r="AC910" s="384"/>
      <c r="AD910" s="384"/>
      <c r="AE910" s="384"/>
      <c r="AF910" s="384"/>
      <c r="AG910" s="384"/>
      <c r="AH910" s="384"/>
      <c r="AI910" s="384"/>
      <c r="AJ910" s="384"/>
      <c r="AK910" s="384"/>
      <c r="AL910" s="384"/>
      <c r="AM910" s="384"/>
    </row>
    <row r="911" spans="1:39" ht="15.75" customHeight="1">
      <c r="A911" s="563"/>
      <c r="B911" s="384"/>
      <c r="C911" s="563"/>
      <c r="D911" s="1997"/>
      <c r="E911" s="1998"/>
      <c r="F911" s="1954"/>
      <c r="G911" s="563"/>
      <c r="H911" s="563"/>
      <c r="I911" s="2000"/>
      <c r="J911" s="563"/>
      <c r="K911" s="384"/>
      <c r="L911" s="1901"/>
      <c r="M911" s="1999"/>
      <c r="N911" s="1999"/>
      <c r="O911" s="1999"/>
      <c r="P911" s="2002"/>
      <c r="Q911" s="2002"/>
      <c r="R911" s="482"/>
      <c r="S911" s="482"/>
      <c r="T911" s="482"/>
      <c r="U911" s="482"/>
      <c r="V911" s="384"/>
      <c r="W911" s="563"/>
      <c r="Y911" s="563"/>
      <c r="AA911" s="384"/>
      <c r="AB911" s="384"/>
      <c r="AC911" s="384"/>
      <c r="AD911" s="384"/>
      <c r="AE911" s="384"/>
      <c r="AF911" s="384"/>
      <c r="AG911" s="384"/>
      <c r="AH911" s="384"/>
      <c r="AI911" s="384"/>
      <c r="AJ911" s="384"/>
      <c r="AK911" s="384"/>
      <c r="AL911" s="384"/>
      <c r="AM911" s="384"/>
    </row>
    <row r="912" spans="1:39" ht="15.75" customHeight="1">
      <c r="A912" s="563"/>
      <c r="B912" s="384"/>
      <c r="C912" s="563"/>
      <c r="D912" s="1997"/>
      <c r="E912" s="1998"/>
      <c r="F912" s="1954"/>
      <c r="G912" s="563"/>
      <c r="H912" s="563"/>
      <c r="I912" s="2000"/>
      <c r="J912" s="563"/>
      <c r="K912" s="384"/>
      <c r="L912" s="1901"/>
      <c r="M912" s="1999"/>
      <c r="N912" s="1999"/>
      <c r="O912" s="1999"/>
      <c r="P912" s="2002"/>
      <c r="Q912" s="2002"/>
      <c r="R912" s="482"/>
      <c r="S912" s="482"/>
      <c r="T912" s="482"/>
      <c r="U912" s="482"/>
      <c r="V912" s="384"/>
      <c r="W912" s="563"/>
      <c r="Y912" s="563"/>
      <c r="AA912" s="384"/>
      <c r="AB912" s="384"/>
      <c r="AC912" s="384"/>
      <c r="AD912" s="384"/>
      <c r="AE912" s="384"/>
      <c r="AF912" s="384"/>
      <c r="AG912" s="384"/>
      <c r="AH912" s="384"/>
      <c r="AI912" s="384"/>
      <c r="AJ912" s="384"/>
      <c r="AK912" s="384"/>
      <c r="AL912" s="384"/>
      <c r="AM912" s="384"/>
    </row>
    <row r="913" spans="1:39" ht="15.75" customHeight="1">
      <c r="A913" s="563"/>
      <c r="B913" s="384"/>
      <c r="C913" s="563"/>
      <c r="D913" s="1997"/>
      <c r="E913" s="1998"/>
      <c r="F913" s="1954"/>
      <c r="G913" s="563"/>
      <c r="H913" s="563"/>
      <c r="I913" s="2000"/>
      <c r="J913" s="563"/>
      <c r="K913" s="384"/>
      <c r="L913" s="1901"/>
      <c r="M913" s="1999"/>
      <c r="N913" s="1999"/>
      <c r="O913" s="1999"/>
      <c r="P913" s="2002"/>
      <c r="Q913" s="2002"/>
      <c r="R913" s="482"/>
      <c r="S913" s="482"/>
      <c r="T913" s="482"/>
      <c r="U913" s="482"/>
      <c r="V913" s="384"/>
      <c r="W913" s="563"/>
      <c r="Y913" s="563"/>
      <c r="AA913" s="384"/>
      <c r="AB913" s="384"/>
      <c r="AC913" s="384"/>
      <c r="AD913" s="384"/>
      <c r="AE913" s="384"/>
      <c r="AF913" s="384"/>
      <c r="AG913" s="384"/>
      <c r="AH913" s="384"/>
      <c r="AI913" s="384"/>
      <c r="AJ913" s="384"/>
      <c r="AK913" s="384"/>
      <c r="AL913" s="384"/>
      <c r="AM913" s="384"/>
    </row>
    <row r="914" spans="1:39" ht="15.75" customHeight="1">
      <c r="A914" s="563"/>
      <c r="B914" s="384"/>
      <c r="C914" s="563"/>
      <c r="D914" s="1997"/>
      <c r="E914" s="1998"/>
      <c r="F914" s="1954"/>
      <c r="G914" s="563"/>
      <c r="H914" s="563"/>
      <c r="I914" s="2000"/>
      <c r="J914" s="563"/>
      <c r="K914" s="384"/>
      <c r="L914" s="1901"/>
      <c r="M914" s="1999"/>
      <c r="N914" s="1999"/>
      <c r="O914" s="1999"/>
      <c r="P914" s="2002"/>
      <c r="Q914" s="2002"/>
      <c r="R914" s="482"/>
      <c r="S914" s="482"/>
      <c r="T914" s="482"/>
      <c r="U914" s="482"/>
      <c r="V914" s="384"/>
      <c r="W914" s="563"/>
      <c r="Y914" s="563"/>
      <c r="AA914" s="384"/>
      <c r="AB914" s="384"/>
      <c r="AC914" s="384"/>
      <c r="AD914" s="384"/>
      <c r="AE914" s="384"/>
      <c r="AF914" s="384"/>
      <c r="AG914" s="384"/>
      <c r="AH914" s="384"/>
      <c r="AI914" s="384"/>
      <c r="AJ914" s="384"/>
      <c r="AK914" s="384"/>
      <c r="AL914" s="384"/>
      <c r="AM914" s="384"/>
    </row>
    <row r="915" spans="1:39" ht="15.75" customHeight="1">
      <c r="A915" s="563"/>
      <c r="B915" s="384"/>
      <c r="C915" s="563"/>
      <c r="D915" s="1997"/>
      <c r="E915" s="1998"/>
      <c r="F915" s="1954"/>
      <c r="G915" s="563"/>
      <c r="H915" s="563"/>
      <c r="I915" s="2000"/>
      <c r="J915" s="563"/>
      <c r="K915" s="384"/>
      <c r="L915" s="1901"/>
      <c r="M915" s="1999"/>
      <c r="N915" s="1999"/>
      <c r="O915" s="1999"/>
      <c r="P915" s="2002"/>
      <c r="Q915" s="2002"/>
      <c r="R915" s="482"/>
      <c r="S915" s="482"/>
      <c r="T915" s="482"/>
      <c r="U915" s="482"/>
      <c r="V915" s="384"/>
      <c r="W915" s="563"/>
      <c r="Y915" s="563"/>
      <c r="AA915" s="384"/>
      <c r="AB915" s="384"/>
      <c r="AC915" s="384"/>
      <c r="AD915" s="384"/>
      <c r="AE915" s="384"/>
      <c r="AF915" s="384"/>
      <c r="AG915" s="384"/>
      <c r="AH915" s="384"/>
      <c r="AI915" s="384"/>
      <c r="AJ915" s="384"/>
      <c r="AK915" s="384"/>
      <c r="AL915" s="384"/>
      <c r="AM915" s="384"/>
    </row>
    <row r="916" spans="1:39" ht="15.75" customHeight="1">
      <c r="A916" s="563"/>
      <c r="B916" s="384"/>
      <c r="C916" s="563"/>
      <c r="D916" s="1997"/>
      <c r="E916" s="1998"/>
      <c r="F916" s="1954"/>
      <c r="G916" s="563"/>
      <c r="H916" s="563"/>
      <c r="I916" s="2000"/>
      <c r="J916" s="563"/>
      <c r="K916" s="384"/>
      <c r="L916" s="1901"/>
      <c r="M916" s="1999"/>
      <c r="N916" s="1999"/>
      <c r="O916" s="1999"/>
      <c r="P916" s="2002"/>
      <c r="Q916" s="2002"/>
      <c r="R916" s="482"/>
      <c r="S916" s="482"/>
      <c r="T916" s="482"/>
      <c r="U916" s="482"/>
      <c r="V916" s="384"/>
      <c r="W916" s="563"/>
      <c r="Y916" s="563"/>
      <c r="AA916" s="384"/>
      <c r="AB916" s="384"/>
      <c r="AC916" s="384"/>
      <c r="AD916" s="384"/>
      <c r="AE916" s="384"/>
      <c r="AF916" s="384"/>
      <c r="AG916" s="384"/>
      <c r="AH916" s="384"/>
      <c r="AI916" s="384"/>
      <c r="AJ916" s="384"/>
      <c r="AK916" s="384"/>
      <c r="AL916" s="384"/>
      <c r="AM916" s="384"/>
    </row>
    <row r="917" spans="1:39" ht="15.75" customHeight="1">
      <c r="A917" s="563"/>
      <c r="B917" s="384"/>
      <c r="C917" s="563"/>
      <c r="D917" s="1997"/>
      <c r="E917" s="1998"/>
      <c r="F917" s="1954"/>
      <c r="G917" s="563"/>
      <c r="H917" s="563"/>
      <c r="I917" s="2000"/>
      <c r="J917" s="563"/>
      <c r="K917" s="384"/>
      <c r="L917" s="1901"/>
      <c r="M917" s="1999"/>
      <c r="N917" s="1999"/>
      <c r="O917" s="1999"/>
      <c r="P917" s="2002"/>
      <c r="Q917" s="2002"/>
      <c r="R917" s="482"/>
      <c r="S917" s="482"/>
      <c r="T917" s="482"/>
      <c r="U917" s="482"/>
      <c r="V917" s="384"/>
      <c r="W917" s="563"/>
      <c r="Y917" s="563"/>
      <c r="AA917" s="384"/>
      <c r="AB917" s="384"/>
      <c r="AC917" s="384"/>
      <c r="AD917" s="384"/>
      <c r="AE917" s="384"/>
      <c r="AF917" s="384"/>
      <c r="AG917" s="384"/>
      <c r="AH917" s="384"/>
      <c r="AI917" s="384"/>
      <c r="AJ917" s="384"/>
      <c r="AK917" s="384"/>
      <c r="AL917" s="384"/>
      <c r="AM917" s="384"/>
    </row>
    <row r="918" spans="1:39" ht="15.75" customHeight="1">
      <c r="A918" s="563"/>
      <c r="B918" s="384"/>
      <c r="C918" s="563"/>
      <c r="D918" s="1997"/>
      <c r="E918" s="1998"/>
      <c r="F918" s="1954"/>
      <c r="G918" s="563"/>
      <c r="H918" s="563"/>
      <c r="I918" s="2000"/>
      <c r="J918" s="563"/>
      <c r="K918" s="384"/>
      <c r="L918" s="1901"/>
      <c r="M918" s="1999"/>
      <c r="N918" s="1999"/>
      <c r="O918" s="1999"/>
      <c r="P918" s="2002"/>
      <c r="Q918" s="2002"/>
      <c r="R918" s="482"/>
      <c r="S918" s="482"/>
      <c r="T918" s="482"/>
      <c r="U918" s="482"/>
      <c r="V918" s="384"/>
      <c r="W918" s="563"/>
      <c r="Y918" s="563"/>
      <c r="AA918" s="384"/>
      <c r="AB918" s="384"/>
      <c r="AC918" s="384"/>
      <c r="AD918" s="384"/>
      <c r="AE918" s="384"/>
      <c r="AF918" s="384"/>
      <c r="AG918" s="384"/>
      <c r="AH918" s="384"/>
      <c r="AI918" s="384"/>
      <c r="AJ918" s="384"/>
      <c r="AK918" s="384"/>
      <c r="AL918" s="384"/>
      <c r="AM918" s="384"/>
    </row>
    <row r="919" spans="1:39" ht="15.75" customHeight="1">
      <c r="A919" s="563"/>
      <c r="B919" s="384"/>
      <c r="C919" s="563"/>
      <c r="D919" s="1997"/>
      <c r="E919" s="1998"/>
      <c r="F919" s="1954"/>
      <c r="G919" s="563"/>
      <c r="H919" s="563"/>
      <c r="I919" s="2000"/>
      <c r="J919" s="563"/>
      <c r="K919" s="384"/>
      <c r="L919" s="1901"/>
      <c r="M919" s="1999"/>
      <c r="N919" s="1999"/>
      <c r="O919" s="1999"/>
      <c r="P919" s="2002"/>
      <c r="Q919" s="2002"/>
      <c r="R919" s="482"/>
      <c r="S919" s="482"/>
      <c r="T919" s="482"/>
      <c r="U919" s="482"/>
      <c r="V919" s="384"/>
      <c r="W919" s="563"/>
      <c r="Y919" s="563"/>
      <c r="AA919" s="384"/>
      <c r="AB919" s="384"/>
      <c r="AC919" s="384"/>
      <c r="AD919" s="384"/>
      <c r="AE919" s="384"/>
      <c r="AF919" s="384"/>
      <c r="AG919" s="384"/>
      <c r="AH919" s="384"/>
      <c r="AI919" s="384"/>
      <c r="AJ919" s="384"/>
      <c r="AK919" s="384"/>
      <c r="AL919" s="384"/>
      <c r="AM919" s="384"/>
    </row>
    <row r="920" spans="1:39" ht="15.75" customHeight="1">
      <c r="A920" s="563"/>
      <c r="B920" s="384"/>
      <c r="C920" s="563"/>
      <c r="D920" s="1997"/>
      <c r="E920" s="1998"/>
      <c r="F920" s="1954"/>
      <c r="G920" s="563"/>
      <c r="H920" s="563"/>
      <c r="I920" s="2000"/>
      <c r="J920" s="563"/>
      <c r="K920" s="384"/>
      <c r="L920" s="1901"/>
      <c r="M920" s="1999"/>
      <c r="N920" s="1999"/>
      <c r="O920" s="1999"/>
      <c r="P920" s="2002"/>
      <c r="Q920" s="2002"/>
      <c r="R920" s="482"/>
      <c r="S920" s="482"/>
      <c r="T920" s="482"/>
      <c r="U920" s="482"/>
      <c r="V920" s="384"/>
      <c r="W920" s="563"/>
      <c r="Y920" s="563"/>
      <c r="AA920" s="384"/>
      <c r="AB920" s="384"/>
      <c r="AC920" s="384"/>
      <c r="AD920" s="384"/>
      <c r="AE920" s="384"/>
      <c r="AF920" s="384"/>
      <c r="AG920" s="384"/>
      <c r="AH920" s="384"/>
      <c r="AI920" s="384"/>
      <c r="AJ920" s="384"/>
      <c r="AK920" s="384"/>
      <c r="AL920" s="384"/>
      <c r="AM920" s="384"/>
    </row>
    <row r="921" spans="1:39" ht="15.75" customHeight="1">
      <c r="A921" s="563"/>
      <c r="B921" s="384"/>
      <c r="C921" s="563"/>
      <c r="D921" s="1997"/>
      <c r="E921" s="1998"/>
      <c r="F921" s="1954"/>
      <c r="G921" s="563"/>
      <c r="H921" s="563"/>
      <c r="I921" s="2000"/>
      <c r="J921" s="563"/>
      <c r="K921" s="384"/>
      <c r="L921" s="1901"/>
      <c r="M921" s="1999"/>
      <c r="N921" s="1999"/>
      <c r="O921" s="1999"/>
      <c r="P921" s="2002"/>
      <c r="Q921" s="2002"/>
      <c r="R921" s="482"/>
      <c r="S921" s="482"/>
      <c r="T921" s="482"/>
      <c r="U921" s="482"/>
      <c r="V921" s="384"/>
      <c r="W921" s="563"/>
      <c r="Y921" s="563"/>
      <c r="AA921" s="384"/>
      <c r="AB921" s="384"/>
      <c r="AC921" s="384"/>
      <c r="AD921" s="384"/>
      <c r="AE921" s="384"/>
      <c r="AF921" s="384"/>
      <c r="AG921" s="384"/>
      <c r="AH921" s="384"/>
      <c r="AI921" s="384"/>
      <c r="AJ921" s="384"/>
      <c r="AK921" s="384"/>
      <c r="AL921" s="384"/>
      <c r="AM921" s="384"/>
    </row>
    <row r="922" spans="1:39" ht="15.75" customHeight="1">
      <c r="A922" s="563"/>
      <c r="B922" s="384"/>
      <c r="C922" s="563"/>
      <c r="D922" s="1997"/>
      <c r="E922" s="1998"/>
      <c r="F922" s="1954"/>
      <c r="G922" s="563"/>
      <c r="H922" s="563"/>
      <c r="I922" s="2000"/>
      <c r="J922" s="563"/>
      <c r="K922" s="384"/>
      <c r="L922" s="1901"/>
      <c r="M922" s="1999"/>
      <c r="N922" s="1999"/>
      <c r="O922" s="1999"/>
      <c r="P922" s="2002"/>
      <c r="Q922" s="2002"/>
      <c r="R922" s="482"/>
      <c r="S922" s="482"/>
      <c r="T922" s="482"/>
      <c r="U922" s="482"/>
      <c r="V922" s="384"/>
      <c r="W922" s="563"/>
      <c r="Y922" s="563"/>
      <c r="AA922" s="384"/>
      <c r="AB922" s="384"/>
      <c r="AC922" s="384"/>
      <c r="AD922" s="384"/>
      <c r="AE922" s="384"/>
      <c r="AF922" s="384"/>
      <c r="AG922" s="384"/>
      <c r="AH922" s="384"/>
      <c r="AI922" s="384"/>
      <c r="AJ922" s="384"/>
      <c r="AK922" s="384"/>
      <c r="AL922" s="384"/>
      <c r="AM922" s="384"/>
    </row>
    <row r="923" spans="1:39" ht="15.75" customHeight="1">
      <c r="A923" s="563"/>
      <c r="B923" s="384"/>
      <c r="C923" s="563"/>
      <c r="D923" s="1997"/>
      <c r="E923" s="1998"/>
      <c r="F923" s="1954"/>
      <c r="G923" s="563"/>
      <c r="H923" s="563"/>
      <c r="I923" s="2000"/>
      <c r="J923" s="563"/>
      <c r="K923" s="384"/>
      <c r="L923" s="1901"/>
      <c r="M923" s="1999"/>
      <c r="N923" s="1999"/>
      <c r="O923" s="1999"/>
      <c r="P923" s="2002"/>
      <c r="Q923" s="2002"/>
      <c r="R923" s="482"/>
      <c r="S923" s="482"/>
      <c r="T923" s="482"/>
      <c r="U923" s="482"/>
      <c r="V923" s="384"/>
      <c r="W923" s="563"/>
      <c r="Y923" s="563"/>
      <c r="AA923" s="384"/>
      <c r="AB923" s="384"/>
      <c r="AC923" s="384"/>
      <c r="AD923" s="384"/>
      <c r="AE923" s="384"/>
      <c r="AF923" s="384"/>
      <c r="AG923" s="384"/>
      <c r="AH923" s="384"/>
      <c r="AI923" s="384"/>
      <c r="AJ923" s="384"/>
      <c r="AK923" s="384"/>
      <c r="AL923" s="384"/>
      <c r="AM923" s="384"/>
    </row>
    <row r="924" spans="1:39" ht="15.75" customHeight="1">
      <c r="A924" s="563"/>
      <c r="B924" s="384"/>
      <c r="C924" s="563"/>
      <c r="D924" s="1997"/>
      <c r="E924" s="1998"/>
      <c r="F924" s="1954"/>
      <c r="G924" s="563"/>
      <c r="H924" s="563"/>
      <c r="I924" s="2000"/>
      <c r="J924" s="563"/>
      <c r="K924" s="384"/>
      <c r="L924" s="1901"/>
      <c r="M924" s="1999"/>
      <c r="N924" s="1999"/>
      <c r="O924" s="1999"/>
      <c r="P924" s="2002"/>
      <c r="Q924" s="2002"/>
      <c r="R924" s="482"/>
      <c r="S924" s="482"/>
      <c r="T924" s="482"/>
      <c r="U924" s="482"/>
      <c r="V924" s="384"/>
      <c r="W924" s="563"/>
      <c r="Y924" s="563"/>
      <c r="AA924" s="384"/>
      <c r="AB924" s="384"/>
      <c r="AC924" s="384"/>
      <c r="AD924" s="384"/>
      <c r="AE924" s="384"/>
      <c r="AF924" s="384"/>
      <c r="AG924" s="384"/>
      <c r="AH924" s="384"/>
      <c r="AI924" s="384"/>
      <c r="AJ924" s="384"/>
      <c r="AK924" s="384"/>
      <c r="AL924" s="384"/>
      <c r="AM924" s="384"/>
    </row>
    <row r="925" spans="1:39" ht="15.75" customHeight="1">
      <c r="A925" s="563"/>
      <c r="B925" s="384"/>
      <c r="C925" s="563"/>
      <c r="D925" s="1997"/>
      <c r="E925" s="1998"/>
      <c r="F925" s="1954"/>
      <c r="G925" s="563"/>
      <c r="H925" s="563"/>
      <c r="I925" s="2000"/>
      <c r="J925" s="563"/>
      <c r="K925" s="384"/>
      <c r="L925" s="1901"/>
      <c r="M925" s="1999"/>
      <c r="N925" s="1999"/>
      <c r="O925" s="1999"/>
      <c r="P925" s="2002"/>
      <c r="Q925" s="2002"/>
      <c r="R925" s="482"/>
      <c r="S925" s="482"/>
      <c r="T925" s="482"/>
      <c r="U925" s="482"/>
      <c r="V925" s="384"/>
      <c r="W925" s="563"/>
      <c r="Y925" s="563"/>
      <c r="AA925" s="384"/>
      <c r="AB925" s="384"/>
      <c r="AC925" s="384"/>
      <c r="AD925" s="384"/>
      <c r="AE925" s="384"/>
      <c r="AF925" s="384"/>
      <c r="AG925" s="384"/>
      <c r="AH925" s="384"/>
      <c r="AI925" s="384"/>
      <c r="AJ925" s="384"/>
      <c r="AK925" s="384"/>
      <c r="AL925" s="384"/>
      <c r="AM925" s="384"/>
    </row>
    <row r="926" spans="1:39" ht="15.75" customHeight="1">
      <c r="A926" s="563"/>
      <c r="B926" s="384"/>
      <c r="C926" s="563"/>
      <c r="D926" s="1997"/>
      <c r="E926" s="1998"/>
      <c r="F926" s="1954"/>
      <c r="G926" s="563"/>
      <c r="H926" s="563"/>
      <c r="I926" s="2000"/>
      <c r="J926" s="563"/>
      <c r="K926" s="384"/>
      <c r="L926" s="1901"/>
      <c r="M926" s="1999"/>
      <c r="N926" s="1999"/>
      <c r="O926" s="1999"/>
      <c r="P926" s="2002"/>
      <c r="Q926" s="2002"/>
      <c r="R926" s="482"/>
      <c r="S926" s="482"/>
      <c r="T926" s="482"/>
      <c r="U926" s="482"/>
      <c r="V926" s="384"/>
      <c r="W926" s="563"/>
      <c r="Y926" s="563"/>
      <c r="AA926" s="384"/>
      <c r="AB926" s="384"/>
      <c r="AC926" s="384"/>
      <c r="AD926" s="384"/>
      <c r="AE926" s="384"/>
      <c r="AF926" s="384"/>
      <c r="AG926" s="384"/>
      <c r="AH926" s="384"/>
      <c r="AI926" s="384"/>
      <c r="AJ926" s="384"/>
      <c r="AK926" s="384"/>
      <c r="AL926" s="384"/>
      <c r="AM926" s="384"/>
    </row>
    <row r="927" spans="1:39" ht="15.75" customHeight="1">
      <c r="A927" s="563"/>
      <c r="B927" s="384"/>
      <c r="C927" s="563"/>
      <c r="D927" s="1997"/>
      <c r="E927" s="1998"/>
      <c r="F927" s="1954"/>
      <c r="G927" s="563"/>
      <c r="H927" s="563"/>
      <c r="I927" s="2000"/>
      <c r="J927" s="563"/>
      <c r="K927" s="384"/>
      <c r="L927" s="1901"/>
      <c r="M927" s="1999"/>
      <c r="N927" s="1999"/>
      <c r="O927" s="1999"/>
      <c r="P927" s="2002"/>
      <c r="Q927" s="2002"/>
      <c r="R927" s="482"/>
      <c r="S927" s="482"/>
      <c r="T927" s="482"/>
      <c r="U927" s="482"/>
      <c r="V927" s="384"/>
      <c r="W927" s="563"/>
      <c r="Y927" s="563"/>
      <c r="AA927" s="384"/>
      <c r="AB927" s="384"/>
      <c r="AC927" s="384"/>
      <c r="AD927" s="384"/>
      <c r="AE927" s="384"/>
      <c r="AF927" s="384"/>
      <c r="AG927" s="384"/>
      <c r="AH927" s="384"/>
      <c r="AI927" s="384"/>
      <c r="AJ927" s="384"/>
      <c r="AK927" s="384"/>
      <c r="AL927" s="384"/>
      <c r="AM927" s="384"/>
    </row>
    <row r="928" spans="1:39" ht="15.75" customHeight="1">
      <c r="A928" s="563"/>
      <c r="B928" s="384"/>
      <c r="C928" s="563"/>
      <c r="D928" s="1997"/>
      <c r="E928" s="1998"/>
      <c r="F928" s="1954"/>
      <c r="G928" s="563"/>
      <c r="H928" s="563"/>
      <c r="I928" s="2000"/>
      <c r="J928" s="563"/>
      <c r="K928" s="384"/>
      <c r="L928" s="1901"/>
      <c r="M928" s="1999"/>
      <c r="N928" s="1999"/>
      <c r="O928" s="1999"/>
      <c r="P928" s="2002"/>
      <c r="Q928" s="2002"/>
      <c r="R928" s="482"/>
      <c r="S928" s="482"/>
      <c r="T928" s="482"/>
      <c r="U928" s="482"/>
      <c r="V928" s="384"/>
      <c r="W928" s="563"/>
      <c r="Y928" s="563"/>
      <c r="AA928" s="384"/>
      <c r="AB928" s="384"/>
      <c r="AC928" s="384"/>
      <c r="AD928" s="384"/>
      <c r="AE928" s="384"/>
      <c r="AF928" s="384"/>
      <c r="AG928" s="384"/>
      <c r="AH928" s="384"/>
      <c r="AI928" s="384"/>
      <c r="AJ928" s="384"/>
      <c r="AK928" s="384"/>
      <c r="AL928" s="384"/>
      <c r="AM928" s="384"/>
    </row>
    <row r="929" spans="1:39" ht="15.75" customHeight="1">
      <c r="A929" s="563"/>
      <c r="B929" s="384"/>
      <c r="C929" s="563"/>
      <c r="D929" s="1997"/>
      <c r="E929" s="1998"/>
      <c r="F929" s="1954"/>
      <c r="G929" s="563"/>
      <c r="H929" s="563"/>
      <c r="I929" s="2000"/>
      <c r="J929" s="563"/>
      <c r="K929" s="384"/>
      <c r="L929" s="1901"/>
      <c r="M929" s="1999"/>
      <c r="N929" s="1999"/>
      <c r="O929" s="1999"/>
      <c r="P929" s="2002"/>
      <c r="Q929" s="2002"/>
      <c r="R929" s="482"/>
      <c r="S929" s="482"/>
      <c r="T929" s="482"/>
      <c r="U929" s="482"/>
      <c r="V929" s="384"/>
      <c r="W929" s="563"/>
      <c r="Y929" s="563"/>
      <c r="AA929" s="384"/>
      <c r="AB929" s="384"/>
      <c r="AC929" s="384"/>
      <c r="AD929" s="384"/>
      <c r="AE929" s="384"/>
      <c r="AF929" s="384"/>
      <c r="AG929" s="384"/>
      <c r="AH929" s="384"/>
      <c r="AI929" s="384"/>
      <c r="AJ929" s="384"/>
      <c r="AK929" s="384"/>
      <c r="AL929" s="384"/>
      <c r="AM929" s="384"/>
    </row>
    <row r="930" spans="1:39" ht="15.75" customHeight="1">
      <c r="A930" s="563"/>
      <c r="B930" s="384"/>
      <c r="C930" s="563"/>
      <c r="D930" s="1997"/>
      <c r="E930" s="1998"/>
      <c r="F930" s="1954"/>
      <c r="G930" s="563"/>
      <c r="H930" s="563"/>
      <c r="I930" s="2000"/>
      <c r="J930" s="563"/>
      <c r="K930" s="384"/>
      <c r="L930" s="1901"/>
      <c r="M930" s="1999"/>
      <c r="N930" s="1999"/>
      <c r="O930" s="1999"/>
      <c r="P930" s="2002"/>
      <c r="Q930" s="2002"/>
      <c r="R930" s="482"/>
      <c r="S930" s="482"/>
      <c r="T930" s="482"/>
      <c r="U930" s="482"/>
      <c r="V930" s="384"/>
      <c r="W930" s="563"/>
      <c r="Y930" s="563"/>
      <c r="AA930" s="384"/>
      <c r="AB930" s="384"/>
      <c r="AC930" s="384"/>
      <c r="AD930" s="384"/>
      <c r="AE930" s="384"/>
      <c r="AF930" s="384"/>
      <c r="AG930" s="384"/>
      <c r="AH930" s="384"/>
      <c r="AI930" s="384"/>
      <c r="AJ930" s="384"/>
      <c r="AK930" s="384"/>
      <c r="AL930" s="384"/>
      <c r="AM930" s="384"/>
    </row>
    <row r="931" spans="1:39" ht="15.75" customHeight="1">
      <c r="A931" s="563"/>
      <c r="B931" s="384"/>
      <c r="C931" s="563"/>
      <c r="D931" s="1997"/>
      <c r="E931" s="1998"/>
      <c r="F931" s="1954"/>
      <c r="G931" s="563"/>
      <c r="H931" s="563"/>
      <c r="I931" s="2000"/>
      <c r="J931" s="563"/>
      <c r="K931" s="384"/>
      <c r="L931" s="1901"/>
      <c r="M931" s="1999"/>
      <c r="N931" s="1999"/>
      <c r="O931" s="1999"/>
      <c r="P931" s="2002"/>
      <c r="Q931" s="2002"/>
      <c r="R931" s="482"/>
      <c r="S931" s="482"/>
      <c r="T931" s="482"/>
      <c r="U931" s="482"/>
      <c r="V931" s="384"/>
      <c r="W931" s="563"/>
      <c r="Y931" s="563"/>
      <c r="AA931" s="384"/>
      <c r="AB931" s="384"/>
      <c r="AC931" s="384"/>
      <c r="AD931" s="384"/>
      <c r="AE931" s="384"/>
      <c r="AF931" s="384"/>
      <c r="AG931" s="384"/>
      <c r="AH931" s="384"/>
      <c r="AI931" s="384"/>
      <c r="AJ931" s="384"/>
      <c r="AK931" s="384"/>
      <c r="AL931" s="384"/>
      <c r="AM931" s="384"/>
    </row>
    <row r="932" spans="1:39" ht="15.75" customHeight="1">
      <c r="A932" s="563"/>
      <c r="B932" s="384"/>
      <c r="C932" s="563"/>
      <c r="D932" s="1997"/>
      <c r="E932" s="1998"/>
      <c r="F932" s="1954"/>
      <c r="G932" s="563"/>
      <c r="H932" s="563"/>
      <c r="I932" s="2000"/>
      <c r="J932" s="563"/>
      <c r="K932" s="384"/>
      <c r="L932" s="1901"/>
      <c r="M932" s="1999"/>
      <c r="N932" s="1999"/>
      <c r="O932" s="1999"/>
      <c r="P932" s="2002"/>
      <c r="Q932" s="2002"/>
      <c r="R932" s="482"/>
      <c r="S932" s="482"/>
      <c r="T932" s="482"/>
      <c r="U932" s="482"/>
      <c r="V932" s="384"/>
      <c r="W932" s="563"/>
      <c r="Y932" s="563"/>
      <c r="AA932" s="384"/>
      <c r="AB932" s="384"/>
      <c r="AC932" s="384"/>
      <c r="AD932" s="384"/>
      <c r="AE932" s="384"/>
      <c r="AF932" s="384"/>
      <c r="AG932" s="384"/>
      <c r="AH932" s="384"/>
      <c r="AI932" s="384"/>
      <c r="AJ932" s="384"/>
      <c r="AK932" s="384"/>
      <c r="AL932" s="384"/>
      <c r="AM932" s="384"/>
    </row>
    <row r="933" spans="1:39" ht="15.75" customHeight="1">
      <c r="A933" s="563"/>
      <c r="B933" s="384"/>
      <c r="C933" s="563"/>
      <c r="D933" s="1997"/>
      <c r="E933" s="1998"/>
      <c r="F933" s="1954"/>
      <c r="G933" s="563"/>
      <c r="H933" s="563"/>
      <c r="I933" s="2000"/>
      <c r="J933" s="563"/>
      <c r="K933" s="384"/>
      <c r="L933" s="1901"/>
      <c r="M933" s="1999"/>
      <c r="N933" s="1999"/>
      <c r="O933" s="1999"/>
      <c r="P933" s="2002"/>
      <c r="Q933" s="2002"/>
      <c r="R933" s="482"/>
      <c r="S933" s="482"/>
      <c r="T933" s="482"/>
      <c r="U933" s="482"/>
      <c r="V933" s="384"/>
      <c r="W933" s="563"/>
      <c r="Y933" s="563"/>
      <c r="AA933" s="384"/>
      <c r="AB933" s="384"/>
      <c r="AC933" s="384"/>
      <c r="AD933" s="384"/>
      <c r="AE933" s="384"/>
      <c r="AF933" s="384"/>
      <c r="AG933" s="384"/>
      <c r="AH933" s="384"/>
      <c r="AI933" s="384"/>
      <c r="AJ933" s="384"/>
      <c r="AK933" s="384"/>
      <c r="AL933" s="384"/>
      <c r="AM933" s="384"/>
    </row>
    <row r="934" spans="1:39" ht="15.75" customHeight="1">
      <c r="A934" s="563"/>
      <c r="B934" s="384"/>
      <c r="C934" s="563"/>
      <c r="D934" s="1997"/>
      <c r="E934" s="1998"/>
      <c r="F934" s="1954"/>
      <c r="G934" s="563"/>
      <c r="H934" s="563"/>
      <c r="I934" s="2000"/>
      <c r="J934" s="563"/>
      <c r="K934" s="384"/>
      <c r="L934" s="1901"/>
      <c r="M934" s="1999"/>
      <c r="N934" s="1999"/>
      <c r="O934" s="1999"/>
      <c r="P934" s="2002"/>
      <c r="Q934" s="2002"/>
      <c r="R934" s="482"/>
      <c r="S934" s="482"/>
      <c r="T934" s="482"/>
      <c r="U934" s="482"/>
      <c r="V934" s="384"/>
      <c r="W934" s="563"/>
      <c r="Y934" s="563"/>
      <c r="AA934" s="384"/>
      <c r="AB934" s="384"/>
      <c r="AC934" s="384"/>
      <c r="AD934" s="384"/>
      <c r="AE934" s="384"/>
      <c r="AF934" s="384"/>
      <c r="AG934" s="384"/>
      <c r="AH934" s="384"/>
      <c r="AI934" s="384"/>
      <c r="AJ934" s="384"/>
      <c r="AK934" s="384"/>
      <c r="AL934" s="384"/>
      <c r="AM934" s="384"/>
    </row>
    <row r="935" spans="1:39" ht="15.75" customHeight="1">
      <c r="A935" s="563"/>
      <c r="B935" s="384"/>
      <c r="C935" s="563"/>
      <c r="D935" s="1997"/>
      <c r="E935" s="1998"/>
      <c r="F935" s="1954"/>
      <c r="G935" s="563"/>
      <c r="H935" s="563"/>
      <c r="I935" s="2000"/>
      <c r="J935" s="563"/>
      <c r="K935" s="384"/>
      <c r="L935" s="1901"/>
      <c r="M935" s="1999"/>
      <c r="N935" s="1999"/>
      <c r="O935" s="1999"/>
      <c r="P935" s="2002"/>
      <c r="Q935" s="2002"/>
      <c r="R935" s="482"/>
      <c r="S935" s="482"/>
      <c r="T935" s="482"/>
      <c r="U935" s="482"/>
      <c r="V935" s="384"/>
      <c r="W935" s="563"/>
      <c r="Y935" s="563"/>
      <c r="AA935" s="384"/>
      <c r="AB935" s="384"/>
      <c r="AC935" s="384"/>
      <c r="AD935" s="384"/>
      <c r="AE935" s="384"/>
      <c r="AF935" s="384"/>
      <c r="AG935" s="384"/>
      <c r="AH935" s="384"/>
      <c r="AI935" s="384"/>
      <c r="AJ935" s="384"/>
      <c r="AK935" s="384"/>
      <c r="AL935" s="384"/>
      <c r="AM935" s="384"/>
    </row>
    <row r="936" spans="1:39" ht="15.75" customHeight="1">
      <c r="A936" s="563"/>
      <c r="B936" s="384"/>
      <c r="C936" s="563"/>
      <c r="D936" s="1997"/>
      <c r="E936" s="1998"/>
      <c r="F936" s="1954"/>
      <c r="G936" s="563"/>
      <c r="H936" s="563"/>
      <c r="I936" s="2000"/>
      <c r="J936" s="563"/>
      <c r="K936" s="384"/>
      <c r="L936" s="1901"/>
      <c r="M936" s="1999"/>
      <c r="N936" s="1999"/>
      <c r="O936" s="1999"/>
      <c r="P936" s="2002"/>
      <c r="Q936" s="2002"/>
      <c r="R936" s="482"/>
      <c r="S936" s="482"/>
      <c r="T936" s="482"/>
      <c r="U936" s="482"/>
      <c r="V936" s="384"/>
      <c r="W936" s="563"/>
      <c r="Y936" s="563"/>
      <c r="AA936" s="384"/>
      <c r="AB936" s="384"/>
      <c r="AC936" s="384"/>
      <c r="AD936" s="384"/>
      <c r="AE936" s="384"/>
      <c r="AF936" s="384"/>
      <c r="AG936" s="384"/>
      <c r="AH936" s="384"/>
      <c r="AI936" s="384"/>
      <c r="AJ936" s="384"/>
      <c r="AK936" s="384"/>
      <c r="AL936" s="384"/>
      <c r="AM936" s="384"/>
    </row>
    <row r="937" spans="1:39" ht="15.75" customHeight="1">
      <c r="A937" s="563"/>
      <c r="B937" s="384"/>
      <c r="C937" s="563"/>
      <c r="D937" s="1997"/>
      <c r="E937" s="1998"/>
      <c r="F937" s="1954"/>
      <c r="G937" s="563"/>
      <c r="H937" s="563"/>
      <c r="I937" s="2000"/>
      <c r="J937" s="563"/>
      <c r="K937" s="384"/>
      <c r="L937" s="1901"/>
      <c r="M937" s="1999"/>
      <c r="N937" s="1999"/>
      <c r="O937" s="1999"/>
      <c r="P937" s="2002"/>
      <c r="Q937" s="2002"/>
      <c r="R937" s="482"/>
      <c r="S937" s="482"/>
      <c r="T937" s="482"/>
      <c r="U937" s="482"/>
      <c r="V937" s="384"/>
      <c r="W937" s="563"/>
      <c r="Y937" s="563"/>
      <c r="AA937" s="384"/>
      <c r="AB937" s="384"/>
      <c r="AC937" s="384"/>
      <c r="AD937" s="384"/>
      <c r="AE937" s="384"/>
      <c r="AF937" s="384"/>
      <c r="AG937" s="384"/>
      <c r="AH937" s="384"/>
      <c r="AI937" s="384"/>
      <c r="AJ937" s="384"/>
      <c r="AK937" s="384"/>
      <c r="AL937" s="384"/>
      <c r="AM937" s="384"/>
    </row>
    <row r="938" spans="1:39" ht="15.75" customHeight="1">
      <c r="A938" s="563"/>
      <c r="B938" s="384"/>
      <c r="C938" s="563"/>
      <c r="D938" s="1997"/>
      <c r="E938" s="1998"/>
      <c r="F938" s="1954"/>
      <c r="G938" s="563"/>
      <c r="H938" s="563"/>
      <c r="I938" s="2000"/>
      <c r="J938" s="563"/>
      <c r="K938" s="384"/>
      <c r="L938" s="1901"/>
      <c r="M938" s="1999"/>
      <c r="N938" s="1999"/>
      <c r="O938" s="1999"/>
      <c r="P938" s="2002"/>
      <c r="Q938" s="2002"/>
      <c r="R938" s="482"/>
      <c r="S938" s="482"/>
      <c r="T938" s="482"/>
      <c r="U938" s="482"/>
      <c r="V938" s="384"/>
      <c r="W938" s="563"/>
      <c r="Y938" s="563"/>
      <c r="AA938" s="384"/>
      <c r="AB938" s="384"/>
      <c r="AC938" s="384"/>
      <c r="AD938" s="384"/>
      <c r="AE938" s="384"/>
      <c r="AF938" s="384"/>
      <c r="AG938" s="384"/>
      <c r="AH938" s="384"/>
      <c r="AI938" s="384"/>
      <c r="AJ938" s="384"/>
      <c r="AK938" s="384"/>
      <c r="AL938" s="384"/>
      <c r="AM938" s="384"/>
    </row>
    <row r="939" spans="1:39" ht="15.75" customHeight="1">
      <c r="A939" s="563"/>
      <c r="B939" s="384"/>
      <c r="C939" s="563"/>
      <c r="D939" s="1997"/>
      <c r="E939" s="1998"/>
      <c r="F939" s="1954"/>
      <c r="G939" s="563"/>
      <c r="H939" s="563"/>
      <c r="I939" s="2000"/>
      <c r="J939" s="563"/>
      <c r="K939" s="384"/>
      <c r="L939" s="1901"/>
      <c r="M939" s="1999"/>
      <c r="N939" s="1999"/>
      <c r="O939" s="1999"/>
      <c r="P939" s="2002"/>
      <c r="Q939" s="2002"/>
      <c r="R939" s="482"/>
      <c r="S939" s="482"/>
      <c r="T939" s="482"/>
      <c r="U939" s="482"/>
      <c r="V939" s="384"/>
      <c r="W939" s="563"/>
      <c r="Y939" s="563"/>
      <c r="AA939" s="384"/>
      <c r="AB939" s="384"/>
      <c r="AC939" s="384"/>
      <c r="AD939" s="384"/>
      <c r="AE939" s="384"/>
      <c r="AF939" s="384"/>
      <c r="AG939" s="384"/>
      <c r="AH939" s="384"/>
      <c r="AI939" s="384"/>
      <c r="AJ939" s="384"/>
      <c r="AK939" s="384"/>
      <c r="AL939" s="384"/>
      <c r="AM939" s="384"/>
    </row>
    <row r="940" spans="1:39" ht="15.75" customHeight="1">
      <c r="A940" s="563"/>
      <c r="B940" s="384"/>
      <c r="C940" s="563"/>
      <c r="D940" s="1997"/>
      <c r="E940" s="1998"/>
      <c r="F940" s="1954"/>
      <c r="G940" s="563"/>
      <c r="H940" s="563"/>
      <c r="I940" s="2000"/>
      <c r="J940" s="563"/>
      <c r="K940" s="384"/>
      <c r="L940" s="1901"/>
      <c r="M940" s="1999"/>
      <c r="N940" s="1999"/>
      <c r="O940" s="1999"/>
      <c r="P940" s="2002"/>
      <c r="Q940" s="2002"/>
      <c r="R940" s="482"/>
      <c r="S940" s="482"/>
      <c r="T940" s="482"/>
      <c r="U940" s="482"/>
      <c r="V940" s="384"/>
      <c r="W940" s="563"/>
      <c r="Y940" s="563"/>
      <c r="AA940" s="384"/>
      <c r="AB940" s="384"/>
      <c r="AC940" s="384"/>
      <c r="AD940" s="384"/>
      <c r="AE940" s="384"/>
      <c r="AF940" s="384"/>
      <c r="AG940" s="384"/>
      <c r="AH940" s="384"/>
      <c r="AI940" s="384"/>
      <c r="AJ940" s="384"/>
      <c r="AK940" s="384"/>
      <c r="AL940" s="384"/>
      <c r="AM940" s="384"/>
    </row>
    <row r="941" spans="1:39" ht="15.75" customHeight="1">
      <c r="A941" s="563"/>
      <c r="B941" s="384"/>
      <c r="C941" s="563"/>
      <c r="D941" s="1997"/>
      <c r="E941" s="1998"/>
      <c r="F941" s="1954"/>
      <c r="G941" s="563"/>
      <c r="H941" s="563"/>
      <c r="I941" s="2000"/>
      <c r="J941" s="563"/>
      <c r="K941" s="384"/>
      <c r="L941" s="1901"/>
      <c r="M941" s="1999"/>
      <c r="N941" s="1999"/>
      <c r="O941" s="1999"/>
      <c r="P941" s="2002"/>
      <c r="Q941" s="2002"/>
      <c r="R941" s="482"/>
      <c r="S941" s="482"/>
      <c r="T941" s="482"/>
      <c r="U941" s="482"/>
      <c r="V941" s="384"/>
      <c r="W941" s="563"/>
      <c r="Y941" s="563"/>
      <c r="AA941" s="384"/>
      <c r="AB941" s="384"/>
      <c r="AC941" s="384"/>
      <c r="AD941" s="384"/>
      <c r="AE941" s="384"/>
      <c r="AF941" s="384"/>
      <c r="AG941" s="384"/>
      <c r="AH941" s="384"/>
      <c r="AI941" s="384"/>
      <c r="AJ941" s="384"/>
      <c r="AK941" s="384"/>
      <c r="AL941" s="384"/>
      <c r="AM941" s="384"/>
    </row>
    <row r="942" spans="1:39" ht="15.75" customHeight="1">
      <c r="A942" s="563"/>
      <c r="B942" s="384"/>
      <c r="C942" s="563"/>
      <c r="D942" s="1997"/>
      <c r="E942" s="1998"/>
      <c r="F942" s="1954"/>
      <c r="G942" s="563"/>
      <c r="H942" s="563"/>
      <c r="I942" s="2000"/>
      <c r="J942" s="563"/>
      <c r="K942" s="384"/>
      <c r="L942" s="1901"/>
      <c r="M942" s="1999"/>
      <c r="N942" s="1999"/>
      <c r="O942" s="1999"/>
      <c r="P942" s="2002"/>
      <c r="Q942" s="2002"/>
      <c r="R942" s="482"/>
      <c r="S942" s="482"/>
      <c r="T942" s="482"/>
      <c r="U942" s="482"/>
      <c r="V942" s="384"/>
      <c r="W942" s="563"/>
      <c r="Y942" s="563"/>
      <c r="AA942" s="384"/>
      <c r="AB942" s="384"/>
      <c r="AC942" s="384"/>
      <c r="AD942" s="384"/>
      <c r="AE942" s="384"/>
      <c r="AF942" s="384"/>
      <c r="AG942" s="384"/>
      <c r="AH942" s="384"/>
      <c r="AI942" s="384"/>
      <c r="AJ942" s="384"/>
      <c r="AK942" s="384"/>
      <c r="AL942" s="384"/>
      <c r="AM942" s="384"/>
    </row>
    <row r="943" spans="1:39" ht="15.75" customHeight="1">
      <c r="A943" s="563"/>
      <c r="B943" s="384"/>
      <c r="C943" s="563"/>
      <c r="D943" s="1997"/>
      <c r="E943" s="1998"/>
      <c r="F943" s="1954"/>
      <c r="G943" s="563"/>
      <c r="H943" s="563"/>
      <c r="I943" s="2000"/>
      <c r="J943" s="563"/>
      <c r="K943" s="384"/>
      <c r="L943" s="1901"/>
      <c r="M943" s="1999"/>
      <c r="N943" s="1999"/>
      <c r="O943" s="1999"/>
      <c r="P943" s="2002"/>
      <c r="Q943" s="2002"/>
      <c r="R943" s="482"/>
      <c r="S943" s="482"/>
      <c r="T943" s="482"/>
      <c r="U943" s="482"/>
      <c r="V943" s="384"/>
      <c r="W943" s="563"/>
      <c r="Y943" s="563"/>
      <c r="AA943" s="384"/>
      <c r="AB943" s="384"/>
      <c r="AC943" s="384"/>
      <c r="AD943" s="384"/>
      <c r="AE943" s="384"/>
      <c r="AF943" s="384"/>
      <c r="AG943" s="384"/>
      <c r="AH943" s="384"/>
      <c r="AI943" s="384"/>
      <c r="AJ943" s="384"/>
      <c r="AK943" s="384"/>
      <c r="AL943" s="384"/>
      <c r="AM943" s="384"/>
    </row>
    <row r="944" spans="1:39" ht="15.75" customHeight="1">
      <c r="A944" s="563"/>
      <c r="B944" s="384"/>
      <c r="C944" s="563"/>
      <c r="D944" s="1997"/>
      <c r="E944" s="1998"/>
      <c r="F944" s="1954"/>
      <c r="G944" s="563"/>
      <c r="H944" s="563"/>
      <c r="I944" s="2000"/>
      <c r="J944" s="563"/>
      <c r="K944" s="384"/>
      <c r="L944" s="1901"/>
      <c r="M944" s="1999"/>
      <c r="N944" s="1999"/>
      <c r="O944" s="1999"/>
      <c r="P944" s="2002"/>
      <c r="Q944" s="2002"/>
      <c r="R944" s="482"/>
      <c r="S944" s="482"/>
      <c r="T944" s="482"/>
      <c r="U944" s="482"/>
      <c r="V944" s="384"/>
      <c r="W944" s="563"/>
      <c r="Y944" s="563"/>
      <c r="AA944" s="384"/>
      <c r="AB944" s="384"/>
      <c r="AC944" s="384"/>
      <c r="AD944" s="384"/>
      <c r="AE944" s="384"/>
      <c r="AF944" s="384"/>
      <c r="AG944" s="384"/>
      <c r="AH944" s="384"/>
      <c r="AI944" s="384"/>
      <c r="AJ944" s="384"/>
      <c r="AK944" s="384"/>
      <c r="AL944" s="384"/>
      <c r="AM944" s="384"/>
    </row>
    <row r="945" spans="1:39" ht="15.75" customHeight="1">
      <c r="A945" s="563"/>
      <c r="B945" s="384"/>
      <c r="C945" s="563"/>
      <c r="D945" s="1997"/>
      <c r="E945" s="1998"/>
      <c r="F945" s="1954"/>
      <c r="G945" s="563"/>
      <c r="H945" s="563"/>
      <c r="I945" s="2000"/>
      <c r="J945" s="563"/>
      <c r="K945" s="384"/>
      <c r="L945" s="1901"/>
      <c r="M945" s="1999"/>
      <c r="N945" s="1999"/>
      <c r="O945" s="1999"/>
      <c r="P945" s="2002"/>
      <c r="Q945" s="2002"/>
      <c r="R945" s="482"/>
      <c r="S945" s="482"/>
      <c r="T945" s="482"/>
      <c r="U945" s="482"/>
      <c r="V945" s="384"/>
      <c r="W945" s="563"/>
      <c r="Y945" s="563"/>
      <c r="AA945" s="384"/>
      <c r="AB945" s="384"/>
      <c r="AC945" s="384"/>
      <c r="AD945" s="384"/>
      <c r="AE945" s="384"/>
      <c r="AF945" s="384"/>
      <c r="AG945" s="384"/>
      <c r="AH945" s="384"/>
      <c r="AI945" s="384"/>
      <c r="AJ945" s="384"/>
      <c r="AK945" s="384"/>
      <c r="AL945" s="384"/>
      <c r="AM945" s="384"/>
    </row>
    <row r="946" spans="1:39" ht="15.75" customHeight="1">
      <c r="A946" s="563"/>
      <c r="B946" s="384"/>
      <c r="C946" s="563"/>
      <c r="D946" s="1997"/>
      <c r="E946" s="1998"/>
      <c r="F946" s="1954"/>
      <c r="G946" s="563"/>
      <c r="H946" s="563"/>
      <c r="I946" s="2000"/>
      <c r="J946" s="563"/>
      <c r="K946" s="384"/>
      <c r="L946" s="1901"/>
      <c r="M946" s="1999"/>
      <c r="N946" s="1999"/>
      <c r="O946" s="1999"/>
      <c r="P946" s="2002"/>
      <c r="Q946" s="2002"/>
      <c r="R946" s="482"/>
      <c r="S946" s="482"/>
      <c r="T946" s="482"/>
      <c r="U946" s="482"/>
      <c r="V946" s="384"/>
      <c r="W946" s="563"/>
      <c r="Y946" s="563"/>
      <c r="AA946" s="384"/>
      <c r="AB946" s="384"/>
      <c r="AC946" s="384"/>
      <c r="AD946" s="384"/>
      <c r="AE946" s="384"/>
      <c r="AF946" s="384"/>
      <c r="AG946" s="384"/>
      <c r="AH946" s="384"/>
      <c r="AI946" s="384"/>
      <c r="AJ946" s="384"/>
      <c r="AK946" s="384"/>
      <c r="AL946" s="384"/>
      <c r="AM946" s="384"/>
    </row>
    <row r="947" spans="1:39" ht="15.75" customHeight="1">
      <c r="A947" s="563"/>
      <c r="B947" s="384"/>
      <c r="C947" s="563"/>
      <c r="D947" s="1997"/>
      <c r="E947" s="1998"/>
      <c r="F947" s="1954"/>
      <c r="G947" s="563"/>
      <c r="H947" s="563"/>
      <c r="I947" s="2000"/>
      <c r="J947" s="563"/>
      <c r="K947" s="384"/>
      <c r="L947" s="1901"/>
      <c r="M947" s="1999"/>
      <c r="N947" s="1999"/>
      <c r="O947" s="1999"/>
      <c r="P947" s="2002"/>
      <c r="Q947" s="2002"/>
      <c r="R947" s="482"/>
      <c r="S947" s="482"/>
      <c r="T947" s="482"/>
      <c r="U947" s="482"/>
      <c r="V947" s="384"/>
      <c r="W947" s="563"/>
      <c r="Y947" s="563"/>
      <c r="AA947" s="384"/>
      <c r="AB947" s="384"/>
      <c r="AC947" s="384"/>
      <c r="AD947" s="384"/>
      <c r="AE947" s="384"/>
      <c r="AF947" s="384"/>
      <c r="AG947" s="384"/>
      <c r="AH947" s="384"/>
      <c r="AI947" s="384"/>
      <c r="AJ947" s="384"/>
      <c r="AK947" s="384"/>
      <c r="AL947" s="384"/>
      <c r="AM947" s="384"/>
    </row>
    <row r="948" spans="1:39" ht="15.75" customHeight="1">
      <c r="A948" s="563"/>
      <c r="B948" s="384"/>
      <c r="C948" s="563"/>
      <c r="D948" s="1997"/>
      <c r="E948" s="1998"/>
      <c r="F948" s="1954"/>
      <c r="G948" s="563"/>
      <c r="H948" s="563"/>
      <c r="I948" s="2000"/>
      <c r="J948" s="563"/>
      <c r="K948" s="384"/>
      <c r="L948" s="1901"/>
      <c r="M948" s="1999"/>
      <c r="N948" s="1999"/>
      <c r="O948" s="1999"/>
      <c r="P948" s="2002"/>
      <c r="Q948" s="2002"/>
      <c r="R948" s="482"/>
      <c r="S948" s="482"/>
      <c r="T948" s="482"/>
      <c r="U948" s="482"/>
      <c r="V948" s="384"/>
      <c r="W948" s="563"/>
      <c r="Y948" s="563"/>
      <c r="AA948" s="384"/>
      <c r="AB948" s="384"/>
      <c r="AC948" s="384"/>
      <c r="AD948" s="384"/>
      <c r="AE948" s="384"/>
      <c r="AF948" s="384"/>
      <c r="AG948" s="384"/>
      <c r="AH948" s="384"/>
      <c r="AI948" s="384"/>
      <c r="AJ948" s="384"/>
      <c r="AK948" s="384"/>
      <c r="AL948" s="384"/>
      <c r="AM948" s="384"/>
    </row>
    <row r="949" spans="1:39" ht="15.75" customHeight="1">
      <c r="A949" s="563"/>
      <c r="B949" s="384"/>
      <c r="C949" s="563"/>
      <c r="D949" s="1997"/>
      <c r="E949" s="1998"/>
      <c r="F949" s="1954"/>
      <c r="G949" s="563"/>
      <c r="H949" s="563"/>
      <c r="I949" s="2000"/>
      <c r="J949" s="563"/>
      <c r="K949" s="384"/>
      <c r="L949" s="1901"/>
      <c r="M949" s="1999"/>
      <c r="N949" s="1999"/>
      <c r="O949" s="1999"/>
      <c r="P949" s="2002"/>
      <c r="Q949" s="2002"/>
      <c r="R949" s="482"/>
      <c r="S949" s="482"/>
      <c r="T949" s="482"/>
      <c r="U949" s="482"/>
      <c r="V949" s="384"/>
      <c r="W949" s="563"/>
      <c r="Y949" s="563"/>
      <c r="AA949" s="384"/>
      <c r="AB949" s="384"/>
      <c r="AC949" s="384"/>
      <c r="AD949" s="384"/>
      <c r="AE949" s="384"/>
      <c r="AF949" s="384"/>
      <c r="AG949" s="384"/>
      <c r="AH949" s="384"/>
      <c r="AI949" s="384"/>
      <c r="AJ949" s="384"/>
      <c r="AK949" s="384"/>
      <c r="AL949" s="384"/>
      <c r="AM949" s="384"/>
    </row>
    <row r="950" spans="1:39" ht="15.75" customHeight="1">
      <c r="A950" s="563"/>
      <c r="B950" s="384"/>
      <c r="C950" s="563"/>
      <c r="D950" s="1997"/>
      <c r="E950" s="1998"/>
      <c r="F950" s="1954"/>
      <c r="G950" s="563"/>
      <c r="H950" s="563"/>
      <c r="I950" s="2000"/>
      <c r="J950" s="563"/>
      <c r="K950" s="384"/>
      <c r="L950" s="1901"/>
      <c r="M950" s="1999"/>
      <c r="N950" s="1999"/>
      <c r="O950" s="1999"/>
      <c r="P950" s="2002"/>
      <c r="Q950" s="2002"/>
      <c r="R950" s="482"/>
      <c r="S950" s="482"/>
      <c r="T950" s="482"/>
      <c r="U950" s="482"/>
      <c r="V950" s="384"/>
      <c r="W950" s="563"/>
      <c r="Y950" s="563"/>
      <c r="AA950" s="384"/>
      <c r="AB950" s="384"/>
      <c r="AC950" s="384"/>
      <c r="AD950" s="384"/>
      <c r="AE950" s="384"/>
      <c r="AF950" s="384"/>
      <c r="AG950" s="384"/>
      <c r="AH950" s="384"/>
      <c r="AI950" s="384"/>
      <c r="AJ950" s="384"/>
      <c r="AK950" s="384"/>
      <c r="AL950" s="384"/>
      <c r="AM950" s="384"/>
    </row>
    <row r="951" spans="1:39" ht="15.75" customHeight="1">
      <c r="A951" s="563"/>
      <c r="B951" s="384"/>
      <c r="C951" s="563"/>
      <c r="D951" s="1997"/>
      <c r="E951" s="1998"/>
      <c r="F951" s="1954"/>
      <c r="G951" s="563"/>
      <c r="H951" s="563"/>
      <c r="I951" s="2000"/>
      <c r="J951" s="563"/>
      <c r="K951" s="384"/>
      <c r="L951" s="1901"/>
      <c r="M951" s="1999"/>
      <c r="N951" s="1999"/>
      <c r="O951" s="1999"/>
      <c r="P951" s="2002"/>
      <c r="Q951" s="2002"/>
      <c r="R951" s="482"/>
      <c r="S951" s="482"/>
      <c r="T951" s="482"/>
      <c r="U951" s="482"/>
      <c r="V951" s="384"/>
      <c r="W951" s="563"/>
      <c r="Y951" s="563"/>
      <c r="AA951" s="384"/>
      <c r="AB951" s="384"/>
      <c r="AC951" s="384"/>
      <c r="AD951" s="384"/>
      <c r="AE951" s="384"/>
      <c r="AF951" s="384"/>
      <c r="AG951" s="384"/>
      <c r="AH951" s="384"/>
      <c r="AI951" s="384"/>
      <c r="AJ951" s="384"/>
      <c r="AK951" s="384"/>
      <c r="AL951" s="384"/>
      <c r="AM951" s="384"/>
    </row>
    <row r="952" spans="1:39" ht="15.75" customHeight="1">
      <c r="A952" s="563"/>
      <c r="B952" s="384"/>
      <c r="C952" s="563"/>
      <c r="D952" s="1997"/>
      <c r="E952" s="1998"/>
      <c r="F952" s="1954"/>
      <c r="G952" s="563"/>
      <c r="H952" s="563"/>
      <c r="I952" s="2000"/>
      <c r="J952" s="563"/>
      <c r="K952" s="384"/>
      <c r="L952" s="1901"/>
      <c r="M952" s="1999"/>
      <c r="N952" s="1999"/>
      <c r="O952" s="1999"/>
      <c r="P952" s="2002"/>
      <c r="Q952" s="2002"/>
      <c r="R952" s="482"/>
      <c r="S952" s="482"/>
      <c r="T952" s="482"/>
      <c r="U952" s="482"/>
      <c r="V952" s="384"/>
      <c r="W952" s="563"/>
      <c r="Y952" s="563"/>
      <c r="AA952" s="384"/>
      <c r="AB952" s="384"/>
      <c r="AC952" s="384"/>
      <c r="AD952" s="384"/>
      <c r="AE952" s="384"/>
      <c r="AF952" s="384"/>
      <c r="AG952" s="384"/>
      <c r="AH952" s="384"/>
      <c r="AI952" s="384"/>
      <c r="AJ952" s="384"/>
      <c r="AK952" s="384"/>
      <c r="AL952" s="384"/>
      <c r="AM952" s="384"/>
    </row>
    <row r="953" spans="1:39" ht="15.75" customHeight="1">
      <c r="A953" s="563"/>
      <c r="B953" s="384"/>
      <c r="C953" s="563"/>
      <c r="D953" s="1997"/>
      <c r="E953" s="1998"/>
      <c r="F953" s="1954"/>
      <c r="G953" s="563"/>
      <c r="H953" s="563"/>
      <c r="I953" s="2000"/>
      <c r="J953" s="563"/>
      <c r="K953" s="384"/>
      <c r="L953" s="1901"/>
      <c r="M953" s="1999"/>
      <c r="N953" s="1999"/>
      <c r="O953" s="1999"/>
      <c r="P953" s="2002"/>
      <c r="Q953" s="2002"/>
      <c r="R953" s="482"/>
      <c r="S953" s="482"/>
      <c r="T953" s="482"/>
      <c r="U953" s="482"/>
      <c r="V953" s="384"/>
      <c r="W953" s="563"/>
      <c r="Y953" s="563"/>
      <c r="AA953" s="384"/>
      <c r="AB953" s="384"/>
      <c r="AC953" s="384"/>
      <c r="AD953" s="384"/>
      <c r="AE953" s="384"/>
      <c r="AF953" s="384"/>
      <c r="AG953" s="384"/>
      <c r="AH953" s="384"/>
      <c r="AI953" s="384"/>
      <c r="AJ953" s="384"/>
      <c r="AK953" s="384"/>
      <c r="AL953" s="384"/>
      <c r="AM953" s="384"/>
    </row>
    <row r="954" spans="1:39" ht="15.75" customHeight="1">
      <c r="A954" s="563"/>
      <c r="B954" s="384"/>
      <c r="C954" s="563"/>
      <c r="D954" s="1997"/>
      <c r="E954" s="1998"/>
      <c r="F954" s="1954"/>
      <c r="G954" s="563"/>
      <c r="H954" s="563"/>
      <c r="I954" s="2000"/>
      <c r="J954" s="563"/>
      <c r="K954" s="384"/>
      <c r="L954" s="1901"/>
      <c r="M954" s="1999"/>
      <c r="N954" s="1999"/>
      <c r="O954" s="1999"/>
      <c r="P954" s="2002"/>
      <c r="Q954" s="2002"/>
      <c r="R954" s="482"/>
      <c r="S954" s="482"/>
      <c r="T954" s="482"/>
      <c r="U954" s="482"/>
      <c r="V954" s="384"/>
      <c r="W954" s="563"/>
      <c r="Y954" s="563"/>
      <c r="AA954" s="384"/>
      <c r="AB954" s="384"/>
      <c r="AC954" s="384"/>
      <c r="AD954" s="384"/>
      <c r="AE954" s="384"/>
      <c r="AF954" s="384"/>
      <c r="AG954" s="384"/>
      <c r="AH954" s="384"/>
      <c r="AI954" s="384"/>
      <c r="AJ954" s="384"/>
      <c r="AK954" s="384"/>
      <c r="AL954" s="384"/>
      <c r="AM954" s="384"/>
    </row>
    <row r="955" spans="1:39" ht="15.75" customHeight="1">
      <c r="A955" s="563"/>
      <c r="B955" s="384"/>
      <c r="C955" s="563"/>
      <c r="D955" s="1997"/>
      <c r="E955" s="1998"/>
      <c r="F955" s="1954"/>
      <c r="G955" s="563"/>
      <c r="H955" s="563"/>
      <c r="I955" s="2000"/>
      <c r="J955" s="563"/>
      <c r="K955" s="384"/>
      <c r="L955" s="1901"/>
      <c r="M955" s="1999"/>
      <c r="N955" s="1999"/>
      <c r="O955" s="1999"/>
      <c r="P955" s="2002"/>
      <c r="Q955" s="2002"/>
      <c r="R955" s="482"/>
      <c r="S955" s="482"/>
      <c r="T955" s="482"/>
      <c r="U955" s="482"/>
      <c r="V955" s="384"/>
      <c r="W955" s="563"/>
      <c r="Y955" s="563"/>
      <c r="AA955" s="384"/>
      <c r="AB955" s="384"/>
      <c r="AC955" s="384"/>
      <c r="AD955" s="384"/>
      <c r="AE955" s="384"/>
      <c r="AF955" s="384"/>
      <c r="AG955" s="384"/>
      <c r="AH955" s="384"/>
      <c r="AI955" s="384"/>
      <c r="AJ955" s="384"/>
      <c r="AK955" s="384"/>
      <c r="AL955" s="384"/>
      <c r="AM955" s="384"/>
    </row>
    <row r="956" spans="1:39" ht="15.75" customHeight="1">
      <c r="A956" s="563"/>
      <c r="B956" s="384"/>
      <c r="C956" s="563"/>
      <c r="D956" s="1997"/>
      <c r="E956" s="1998"/>
      <c r="F956" s="1954"/>
      <c r="G956" s="563"/>
      <c r="H956" s="563"/>
      <c r="I956" s="2000"/>
      <c r="J956" s="563"/>
      <c r="K956" s="384"/>
      <c r="L956" s="1901"/>
      <c r="M956" s="1999"/>
      <c r="N956" s="1999"/>
      <c r="O956" s="1999"/>
      <c r="P956" s="2002"/>
      <c r="Q956" s="2002"/>
      <c r="R956" s="482"/>
      <c r="S956" s="482"/>
      <c r="T956" s="482"/>
      <c r="U956" s="482"/>
      <c r="V956" s="384"/>
      <c r="W956" s="563"/>
      <c r="Y956" s="563"/>
      <c r="AA956" s="384"/>
      <c r="AB956" s="384"/>
      <c r="AC956" s="384"/>
      <c r="AD956" s="384"/>
      <c r="AE956" s="384"/>
      <c r="AF956" s="384"/>
      <c r="AG956" s="384"/>
      <c r="AH956" s="384"/>
      <c r="AI956" s="384"/>
      <c r="AJ956" s="384"/>
      <c r="AK956" s="384"/>
      <c r="AL956" s="384"/>
      <c r="AM956" s="384"/>
    </row>
    <row r="957" spans="1:39" ht="15.75" customHeight="1">
      <c r="A957" s="563"/>
      <c r="B957" s="384"/>
      <c r="C957" s="563"/>
      <c r="D957" s="1997"/>
      <c r="E957" s="1998"/>
      <c r="F957" s="1954"/>
      <c r="G957" s="563"/>
      <c r="H957" s="563"/>
      <c r="I957" s="2000"/>
      <c r="J957" s="563"/>
      <c r="K957" s="384"/>
      <c r="L957" s="1901"/>
      <c r="M957" s="1999"/>
      <c r="N957" s="1999"/>
      <c r="O957" s="1999"/>
      <c r="P957" s="2002"/>
      <c r="Q957" s="2002"/>
      <c r="R957" s="482"/>
      <c r="S957" s="482"/>
      <c r="T957" s="482"/>
      <c r="U957" s="482"/>
      <c r="V957" s="384"/>
      <c r="W957" s="563"/>
      <c r="Y957" s="563"/>
      <c r="AA957" s="384"/>
      <c r="AB957" s="384"/>
      <c r="AC957" s="384"/>
      <c r="AD957" s="384"/>
      <c r="AE957" s="384"/>
      <c r="AF957" s="384"/>
      <c r="AG957" s="384"/>
      <c r="AH957" s="384"/>
      <c r="AI957" s="384"/>
      <c r="AJ957" s="384"/>
      <c r="AK957" s="384"/>
      <c r="AL957" s="384"/>
      <c r="AM957" s="384"/>
    </row>
    <row r="958" spans="1:39" ht="15.75" customHeight="1">
      <c r="A958" s="563"/>
      <c r="B958" s="384"/>
      <c r="C958" s="563"/>
      <c r="D958" s="1997"/>
      <c r="E958" s="1998"/>
      <c r="F958" s="1954"/>
      <c r="G958" s="563"/>
      <c r="H958" s="563"/>
      <c r="I958" s="2000"/>
      <c r="J958" s="563"/>
      <c r="K958" s="384"/>
      <c r="L958" s="1901"/>
      <c r="M958" s="1999"/>
      <c r="N958" s="1999"/>
      <c r="O958" s="1999"/>
      <c r="P958" s="2002"/>
      <c r="Q958" s="2002"/>
      <c r="R958" s="482"/>
      <c r="S958" s="482"/>
      <c r="T958" s="482"/>
      <c r="U958" s="482"/>
      <c r="V958" s="384"/>
      <c r="W958" s="563"/>
      <c r="Y958" s="563"/>
      <c r="AA958" s="384"/>
      <c r="AB958" s="384"/>
      <c r="AC958" s="384"/>
      <c r="AD958" s="384"/>
      <c r="AE958" s="384"/>
      <c r="AF958" s="384"/>
      <c r="AG958" s="384"/>
      <c r="AH958" s="384"/>
      <c r="AI958" s="384"/>
      <c r="AJ958" s="384"/>
      <c r="AK958" s="384"/>
      <c r="AL958" s="384"/>
      <c r="AM958" s="384"/>
    </row>
    <row r="959" spans="1:39" ht="15.75" customHeight="1">
      <c r="A959" s="563"/>
      <c r="B959" s="384"/>
      <c r="C959" s="563"/>
      <c r="D959" s="1997"/>
      <c r="E959" s="1998"/>
      <c r="F959" s="1954"/>
      <c r="G959" s="563"/>
      <c r="H959" s="563"/>
      <c r="I959" s="2000"/>
      <c r="J959" s="563"/>
      <c r="K959" s="384"/>
      <c r="L959" s="1901"/>
      <c r="M959" s="1999"/>
      <c r="N959" s="1999"/>
      <c r="O959" s="1999"/>
      <c r="P959" s="2002"/>
      <c r="Q959" s="2002"/>
      <c r="R959" s="482"/>
      <c r="S959" s="482"/>
      <c r="T959" s="482"/>
      <c r="U959" s="482"/>
      <c r="V959" s="384"/>
      <c r="W959" s="563"/>
      <c r="Y959" s="563"/>
      <c r="AA959" s="384"/>
      <c r="AB959" s="384"/>
      <c r="AC959" s="384"/>
      <c r="AD959" s="384"/>
      <c r="AE959" s="384"/>
      <c r="AF959" s="384"/>
      <c r="AG959" s="384"/>
      <c r="AH959" s="384"/>
      <c r="AI959" s="384"/>
      <c r="AJ959" s="384"/>
      <c r="AK959" s="384"/>
      <c r="AL959" s="384"/>
      <c r="AM959" s="384"/>
    </row>
    <row r="960" spans="1:39" ht="15.75" customHeight="1">
      <c r="A960" s="563"/>
      <c r="B960" s="384"/>
      <c r="C960" s="563"/>
      <c r="D960" s="1997"/>
      <c r="E960" s="1998"/>
      <c r="F960" s="1954"/>
      <c r="G960" s="563"/>
      <c r="H960" s="563"/>
      <c r="I960" s="2000"/>
      <c r="J960" s="563"/>
      <c r="K960" s="384"/>
      <c r="L960" s="1901"/>
      <c r="M960" s="1999"/>
      <c r="N960" s="1999"/>
      <c r="O960" s="1999"/>
      <c r="P960" s="2002"/>
      <c r="Q960" s="2002"/>
      <c r="R960" s="482"/>
      <c r="S960" s="482"/>
      <c r="T960" s="482"/>
      <c r="U960" s="482"/>
      <c r="V960" s="384"/>
      <c r="W960" s="563"/>
      <c r="Y960" s="563"/>
      <c r="AA960" s="384"/>
      <c r="AB960" s="384"/>
      <c r="AC960" s="384"/>
      <c r="AD960" s="384"/>
      <c r="AE960" s="384"/>
      <c r="AF960" s="384"/>
      <c r="AG960" s="384"/>
      <c r="AH960" s="384"/>
      <c r="AI960" s="384"/>
      <c r="AJ960" s="384"/>
      <c r="AK960" s="384"/>
      <c r="AL960" s="384"/>
      <c r="AM960" s="384"/>
    </row>
    <row r="961" spans="1:39" ht="15.75" customHeight="1">
      <c r="A961" s="563"/>
      <c r="B961" s="384"/>
      <c r="C961" s="563"/>
      <c r="D961" s="1997"/>
      <c r="E961" s="1998"/>
      <c r="F961" s="1954"/>
      <c r="G961" s="563"/>
      <c r="H961" s="563"/>
      <c r="I961" s="2000"/>
      <c r="J961" s="563"/>
      <c r="K961" s="384"/>
      <c r="L961" s="1901"/>
      <c r="M961" s="1999"/>
      <c r="N961" s="1999"/>
      <c r="O961" s="1999"/>
      <c r="P961" s="2002"/>
      <c r="Q961" s="2002"/>
      <c r="R961" s="482"/>
      <c r="S961" s="482"/>
      <c r="T961" s="482"/>
      <c r="U961" s="482"/>
      <c r="V961" s="384"/>
      <c r="W961" s="563"/>
      <c r="Y961" s="563"/>
      <c r="AA961" s="384"/>
      <c r="AB961" s="384"/>
      <c r="AC961" s="384"/>
      <c r="AD961" s="384"/>
      <c r="AE961" s="384"/>
      <c r="AF961" s="384"/>
      <c r="AG961" s="384"/>
      <c r="AH961" s="384"/>
      <c r="AI961" s="384"/>
      <c r="AJ961" s="384"/>
      <c r="AK961" s="384"/>
      <c r="AL961" s="384"/>
      <c r="AM961" s="384"/>
    </row>
    <row r="962" spans="1:39" ht="15.75" customHeight="1">
      <c r="A962" s="563"/>
      <c r="B962" s="384"/>
      <c r="C962" s="563"/>
      <c r="D962" s="1997"/>
      <c r="E962" s="1998"/>
      <c r="F962" s="1954"/>
      <c r="G962" s="563"/>
      <c r="H962" s="563"/>
      <c r="I962" s="2000"/>
      <c r="J962" s="563"/>
      <c r="K962" s="384"/>
      <c r="L962" s="1901"/>
      <c r="M962" s="1999"/>
      <c r="N962" s="1999"/>
      <c r="O962" s="1999"/>
      <c r="P962" s="2002"/>
      <c r="Q962" s="2002"/>
      <c r="R962" s="482"/>
      <c r="S962" s="482"/>
      <c r="T962" s="482"/>
      <c r="U962" s="482"/>
      <c r="V962" s="384"/>
      <c r="W962" s="563"/>
      <c r="Y962" s="563"/>
      <c r="AA962" s="384"/>
      <c r="AB962" s="384"/>
      <c r="AC962" s="384"/>
      <c r="AD962" s="384"/>
      <c r="AE962" s="384"/>
      <c r="AF962" s="384"/>
      <c r="AG962" s="384"/>
      <c r="AH962" s="384"/>
      <c r="AI962" s="384"/>
      <c r="AJ962" s="384"/>
      <c r="AK962" s="384"/>
      <c r="AL962" s="384"/>
      <c r="AM962" s="384"/>
    </row>
    <row r="963" spans="1:39" ht="15.75" customHeight="1">
      <c r="A963" s="563"/>
      <c r="B963" s="384"/>
      <c r="C963" s="563"/>
      <c r="D963" s="1997"/>
      <c r="E963" s="1998"/>
      <c r="F963" s="1954"/>
      <c r="G963" s="563"/>
      <c r="H963" s="563"/>
      <c r="I963" s="2000"/>
      <c r="J963" s="563"/>
      <c r="K963" s="384"/>
      <c r="L963" s="1901"/>
      <c r="M963" s="1999"/>
      <c r="N963" s="1999"/>
      <c r="O963" s="1999"/>
      <c r="P963" s="2002"/>
      <c r="Q963" s="2002"/>
      <c r="R963" s="482"/>
      <c r="S963" s="482"/>
      <c r="T963" s="482"/>
      <c r="U963" s="482"/>
      <c r="V963" s="384"/>
      <c r="W963" s="563"/>
      <c r="Y963" s="563"/>
      <c r="AA963" s="384"/>
      <c r="AB963" s="384"/>
      <c r="AC963" s="384"/>
      <c r="AD963" s="384"/>
      <c r="AE963" s="384"/>
      <c r="AF963" s="384"/>
      <c r="AG963" s="384"/>
      <c r="AH963" s="384"/>
      <c r="AI963" s="384"/>
      <c r="AJ963" s="384"/>
      <c r="AK963" s="384"/>
      <c r="AL963" s="384"/>
      <c r="AM963" s="384"/>
    </row>
    <row r="964" spans="1:39" ht="15.75" customHeight="1">
      <c r="A964" s="563"/>
      <c r="B964" s="384"/>
      <c r="C964" s="563"/>
      <c r="D964" s="1997"/>
      <c r="E964" s="1998"/>
      <c r="F964" s="1954"/>
      <c r="G964" s="563"/>
      <c r="H964" s="563"/>
      <c r="I964" s="2000"/>
      <c r="J964" s="563"/>
      <c r="K964" s="384"/>
      <c r="L964" s="1901"/>
      <c r="M964" s="1999"/>
      <c r="N964" s="1999"/>
      <c r="O964" s="1999"/>
      <c r="P964" s="2002"/>
      <c r="Q964" s="2002"/>
      <c r="R964" s="482"/>
      <c r="S964" s="482"/>
      <c r="T964" s="482"/>
      <c r="U964" s="482"/>
      <c r="V964" s="384"/>
      <c r="W964" s="563"/>
      <c r="Y964" s="563"/>
      <c r="AA964" s="384"/>
      <c r="AB964" s="384"/>
      <c r="AC964" s="384"/>
      <c r="AD964" s="384"/>
      <c r="AE964" s="384"/>
      <c r="AF964" s="384"/>
      <c r="AG964" s="384"/>
      <c r="AH964" s="384"/>
      <c r="AI964" s="384"/>
      <c r="AJ964" s="384"/>
      <c r="AK964" s="384"/>
      <c r="AL964" s="384"/>
      <c r="AM964" s="384"/>
    </row>
    <row r="965" spans="1:39" ht="15.75" customHeight="1">
      <c r="A965" s="563"/>
      <c r="B965" s="384"/>
      <c r="C965" s="563"/>
      <c r="D965" s="1997"/>
      <c r="E965" s="1998"/>
      <c r="F965" s="1954"/>
      <c r="G965" s="563"/>
      <c r="H965" s="563"/>
      <c r="I965" s="2000"/>
      <c r="J965" s="563"/>
      <c r="K965" s="384"/>
      <c r="L965" s="1901"/>
      <c r="M965" s="1999"/>
      <c r="N965" s="1999"/>
      <c r="O965" s="1999"/>
      <c r="P965" s="2002"/>
      <c r="Q965" s="2002"/>
      <c r="R965" s="482"/>
      <c r="S965" s="482"/>
      <c r="T965" s="482"/>
      <c r="U965" s="482"/>
      <c r="V965" s="384"/>
      <c r="W965" s="563"/>
      <c r="Y965" s="563"/>
      <c r="AA965" s="384"/>
      <c r="AB965" s="384"/>
      <c r="AC965" s="384"/>
      <c r="AD965" s="384"/>
      <c r="AE965" s="384"/>
      <c r="AF965" s="384"/>
      <c r="AG965" s="384"/>
      <c r="AH965" s="384"/>
      <c r="AI965" s="384"/>
      <c r="AJ965" s="384"/>
      <c r="AK965" s="384"/>
      <c r="AL965" s="384"/>
      <c r="AM965" s="384"/>
    </row>
    <row r="966" spans="1:39" ht="15.75" customHeight="1">
      <c r="A966" s="563"/>
      <c r="B966" s="384"/>
      <c r="C966" s="563"/>
      <c r="D966" s="1997"/>
      <c r="E966" s="1998"/>
      <c r="F966" s="1954"/>
      <c r="G966" s="563"/>
      <c r="H966" s="563"/>
      <c r="I966" s="2000"/>
      <c r="J966" s="563"/>
      <c r="K966" s="384"/>
      <c r="L966" s="1901"/>
      <c r="M966" s="1999"/>
      <c r="N966" s="1999"/>
      <c r="O966" s="1999"/>
      <c r="P966" s="2002"/>
      <c r="Q966" s="2002"/>
      <c r="R966" s="482"/>
      <c r="S966" s="482"/>
      <c r="T966" s="482"/>
      <c r="U966" s="482"/>
      <c r="V966" s="384"/>
      <c r="W966" s="563"/>
      <c r="Y966" s="563"/>
      <c r="AA966" s="384"/>
      <c r="AB966" s="384"/>
      <c r="AC966" s="384"/>
      <c r="AD966" s="384"/>
      <c r="AE966" s="384"/>
      <c r="AF966" s="384"/>
      <c r="AG966" s="384"/>
      <c r="AH966" s="384"/>
      <c r="AI966" s="384"/>
      <c r="AJ966" s="384"/>
      <c r="AK966" s="384"/>
      <c r="AL966" s="384"/>
      <c r="AM966" s="384"/>
    </row>
    <row r="967" spans="1:39" ht="15.75" customHeight="1">
      <c r="A967" s="563"/>
      <c r="B967" s="384"/>
      <c r="C967" s="563"/>
      <c r="D967" s="1997"/>
      <c r="E967" s="1998"/>
      <c r="F967" s="1954"/>
      <c r="G967" s="563"/>
      <c r="H967" s="563"/>
      <c r="I967" s="2000"/>
      <c r="J967" s="563"/>
      <c r="K967" s="384"/>
      <c r="L967" s="1901"/>
      <c r="M967" s="1999"/>
      <c r="N967" s="1999"/>
      <c r="O967" s="1999"/>
      <c r="P967" s="2002"/>
      <c r="Q967" s="2002"/>
      <c r="R967" s="482"/>
      <c r="S967" s="482"/>
      <c r="T967" s="482"/>
      <c r="U967" s="482"/>
      <c r="V967" s="384"/>
      <c r="W967" s="563"/>
      <c r="Y967" s="563"/>
      <c r="AA967" s="384"/>
      <c r="AB967" s="384"/>
      <c r="AC967" s="384"/>
      <c r="AD967" s="384"/>
      <c r="AE967" s="384"/>
      <c r="AF967" s="384"/>
      <c r="AG967" s="384"/>
      <c r="AH967" s="384"/>
      <c r="AI967" s="384"/>
      <c r="AJ967" s="384"/>
      <c r="AK967" s="384"/>
      <c r="AL967" s="384"/>
      <c r="AM967" s="384"/>
    </row>
    <row r="968" spans="1:39" ht="15.75" customHeight="1">
      <c r="A968" s="563"/>
      <c r="B968" s="384"/>
      <c r="C968" s="563"/>
      <c r="D968" s="1997"/>
      <c r="E968" s="1998"/>
      <c r="F968" s="1954"/>
      <c r="G968" s="563"/>
      <c r="H968" s="563"/>
      <c r="I968" s="2000"/>
      <c r="J968" s="563"/>
      <c r="K968" s="384"/>
      <c r="L968" s="1901"/>
      <c r="M968" s="1999"/>
      <c r="N968" s="1999"/>
      <c r="O968" s="1999"/>
      <c r="P968" s="2002"/>
      <c r="Q968" s="2002"/>
      <c r="R968" s="482"/>
      <c r="S968" s="482"/>
      <c r="T968" s="482"/>
      <c r="U968" s="482"/>
      <c r="V968" s="384"/>
      <c r="W968" s="563"/>
      <c r="Y968" s="563"/>
      <c r="AA968" s="384"/>
      <c r="AB968" s="384"/>
      <c r="AC968" s="384"/>
      <c r="AD968" s="384"/>
      <c r="AE968" s="384"/>
      <c r="AF968" s="384"/>
      <c r="AG968" s="384"/>
      <c r="AH968" s="384"/>
      <c r="AI968" s="384"/>
      <c r="AJ968" s="384"/>
      <c r="AK968" s="384"/>
      <c r="AL968" s="384"/>
      <c r="AM968" s="384"/>
    </row>
    <row r="969" spans="1:39" ht="15.75" customHeight="1">
      <c r="A969" s="563"/>
      <c r="B969" s="384"/>
      <c r="C969" s="563"/>
      <c r="D969" s="1997"/>
      <c r="E969" s="1998"/>
      <c r="F969" s="1954"/>
      <c r="G969" s="563"/>
      <c r="H969" s="563"/>
      <c r="I969" s="2000"/>
      <c r="J969" s="563"/>
      <c r="K969" s="384"/>
      <c r="L969" s="1901"/>
      <c r="M969" s="1999"/>
      <c r="N969" s="1999"/>
      <c r="O969" s="1999"/>
      <c r="P969" s="2002"/>
      <c r="Q969" s="2002"/>
      <c r="R969" s="482"/>
      <c r="S969" s="482"/>
      <c r="T969" s="482"/>
      <c r="U969" s="482"/>
      <c r="V969" s="384"/>
      <c r="W969" s="563"/>
      <c r="Y969" s="563"/>
      <c r="AA969" s="384"/>
      <c r="AB969" s="384"/>
      <c r="AC969" s="384"/>
      <c r="AD969" s="384"/>
      <c r="AE969" s="384"/>
      <c r="AF969" s="384"/>
      <c r="AG969" s="384"/>
      <c r="AH969" s="384"/>
      <c r="AI969" s="384"/>
      <c r="AJ969" s="384"/>
      <c r="AK969" s="384"/>
      <c r="AL969" s="384"/>
      <c r="AM969" s="384"/>
    </row>
    <row r="970" spans="1:39" ht="15.75" customHeight="1">
      <c r="A970" s="563"/>
      <c r="B970" s="384"/>
      <c r="C970" s="563"/>
      <c r="D970" s="1997"/>
      <c r="E970" s="1998"/>
      <c r="F970" s="1954"/>
      <c r="G970" s="563"/>
      <c r="H970" s="563"/>
      <c r="I970" s="2000"/>
      <c r="J970" s="563"/>
      <c r="K970" s="384"/>
      <c r="L970" s="1901"/>
      <c r="M970" s="1999"/>
      <c r="N970" s="1999"/>
      <c r="O970" s="1999"/>
      <c r="P970" s="2002"/>
      <c r="Q970" s="2002"/>
      <c r="R970" s="482"/>
      <c r="S970" s="482"/>
      <c r="T970" s="482"/>
      <c r="U970" s="482"/>
      <c r="V970" s="384"/>
      <c r="W970" s="563"/>
      <c r="Y970" s="563"/>
      <c r="AA970" s="384"/>
      <c r="AB970" s="384"/>
      <c r="AC970" s="384"/>
      <c r="AD970" s="384"/>
      <c r="AE970" s="384"/>
      <c r="AF970" s="384"/>
      <c r="AG970" s="384"/>
      <c r="AH970" s="384"/>
      <c r="AI970" s="384"/>
      <c r="AJ970" s="384"/>
      <c r="AK970" s="384"/>
      <c r="AL970" s="384"/>
      <c r="AM970" s="384"/>
    </row>
    <row r="971" spans="1:39" ht="15.75" customHeight="1">
      <c r="A971" s="563"/>
      <c r="B971" s="384"/>
      <c r="C971" s="563"/>
      <c r="D971" s="1997"/>
      <c r="E971" s="1998"/>
      <c r="F971" s="1954"/>
      <c r="G971" s="563"/>
      <c r="H971" s="563"/>
      <c r="I971" s="2000"/>
      <c r="J971" s="563"/>
      <c r="K971" s="384"/>
      <c r="L971" s="1901"/>
      <c r="M971" s="1999"/>
      <c r="N971" s="1999"/>
      <c r="O971" s="1999"/>
      <c r="P971" s="2002"/>
      <c r="Q971" s="2002"/>
      <c r="R971" s="482"/>
      <c r="S971" s="482"/>
      <c r="T971" s="482"/>
      <c r="U971" s="482"/>
      <c r="V971" s="384"/>
      <c r="W971" s="563"/>
      <c r="Y971" s="563"/>
      <c r="AA971" s="384"/>
      <c r="AB971" s="384"/>
      <c r="AC971" s="384"/>
      <c r="AD971" s="384"/>
      <c r="AE971" s="384"/>
      <c r="AF971" s="384"/>
      <c r="AG971" s="384"/>
      <c r="AH971" s="384"/>
      <c r="AI971" s="384"/>
      <c r="AJ971" s="384"/>
      <c r="AK971" s="384"/>
      <c r="AL971" s="384"/>
      <c r="AM971" s="384"/>
    </row>
    <row r="972" spans="1:39" ht="15.75" customHeight="1">
      <c r="A972" s="563"/>
      <c r="B972" s="384"/>
      <c r="C972" s="563"/>
      <c r="D972" s="1997"/>
      <c r="E972" s="1998"/>
      <c r="F972" s="1954"/>
      <c r="G972" s="563"/>
      <c r="H972" s="563"/>
      <c r="I972" s="2000"/>
      <c r="J972" s="563"/>
      <c r="K972" s="384"/>
      <c r="L972" s="1901"/>
      <c r="M972" s="1999"/>
      <c r="N972" s="1999"/>
      <c r="O972" s="1999"/>
      <c r="P972" s="2002"/>
      <c r="Q972" s="2002"/>
      <c r="R972" s="482"/>
      <c r="S972" s="482"/>
      <c r="T972" s="482"/>
      <c r="U972" s="482"/>
      <c r="V972" s="384"/>
      <c r="W972" s="563"/>
      <c r="Y972" s="563"/>
      <c r="AA972" s="384"/>
      <c r="AB972" s="384"/>
      <c r="AC972" s="384"/>
      <c r="AD972" s="384"/>
      <c r="AE972" s="384"/>
      <c r="AF972" s="384"/>
      <c r="AG972" s="384"/>
      <c r="AH972" s="384"/>
      <c r="AI972" s="384"/>
      <c r="AJ972" s="384"/>
      <c r="AK972" s="384"/>
      <c r="AL972" s="384"/>
      <c r="AM972" s="384"/>
    </row>
    <row r="973" spans="1:39" ht="15.75" customHeight="1">
      <c r="A973" s="563"/>
      <c r="B973" s="384"/>
      <c r="C973" s="563"/>
      <c r="D973" s="1997"/>
      <c r="E973" s="1998"/>
      <c r="F973" s="1954"/>
      <c r="G973" s="563"/>
      <c r="H973" s="563"/>
      <c r="I973" s="2000"/>
      <c r="J973" s="563"/>
      <c r="K973" s="384"/>
      <c r="L973" s="1901"/>
      <c r="M973" s="1999"/>
      <c r="N973" s="1999"/>
      <c r="O973" s="1999"/>
      <c r="P973" s="2002"/>
      <c r="Q973" s="2002"/>
      <c r="R973" s="482"/>
      <c r="S973" s="482"/>
      <c r="T973" s="482"/>
      <c r="U973" s="482"/>
      <c r="V973" s="384"/>
      <c r="W973" s="563"/>
      <c r="Y973" s="563"/>
      <c r="AA973" s="384"/>
      <c r="AB973" s="384"/>
      <c r="AC973" s="384"/>
      <c r="AD973" s="384"/>
      <c r="AE973" s="384"/>
      <c r="AF973" s="384"/>
      <c r="AG973" s="384"/>
      <c r="AH973" s="384"/>
      <c r="AI973" s="384"/>
      <c r="AJ973" s="384"/>
      <c r="AK973" s="384"/>
      <c r="AL973" s="384"/>
      <c r="AM973" s="384"/>
    </row>
  </sheetData>
  <customSheetViews>
    <customSheetView guid="{E35DC7DC-3457-48C8-A5BC-48210E8789BE}" filter="1" showAutoFilter="1">
      <pageMargins left="0.7" right="0.7" top="0.75" bottom="0.75" header="0.3" footer="0.3"/>
      <autoFilter ref="A1:AB49"/>
    </customSheetView>
  </customSheetViews>
  <conditionalFormatting sqref="P46">
    <cfRule type="expression" dxfId="1261" priority="1">
      <formula>AND(ISNUMBER(P46),TRUNC(P46)&lt;TODAY())</formula>
    </cfRule>
  </conditionalFormatting>
  <conditionalFormatting sqref="Q46">
    <cfRule type="expression" dxfId="1260" priority="2">
      <formula>AND(ISNUMBER(Q46),TRUNC(Q46)&lt;TODAY())</formula>
    </cfRule>
  </conditionalFormatting>
  <conditionalFormatting sqref="O46">
    <cfRule type="expression" dxfId="1259" priority="3">
      <formula>AND(ISNUMBER(O46),TRUNC(O46)&lt;TODAY())</formula>
    </cfRule>
  </conditionalFormatting>
  <conditionalFormatting sqref="V46">
    <cfRule type="notContainsBlanks" dxfId="1258" priority="4">
      <formula>LEN(TRIM(V46))&gt;0</formula>
    </cfRule>
  </conditionalFormatting>
  <conditionalFormatting sqref="O45:Q45">
    <cfRule type="expression" dxfId="1257" priority="5">
      <formula>AND(ISNUMBER(O45),TRUNC(O45)&lt;TODAY())</formula>
    </cfRule>
  </conditionalFormatting>
  <conditionalFormatting sqref="F45:F46">
    <cfRule type="containsText" dxfId="1256" priority="6" operator="containsText" text="F">
      <formula>NOT(ISERROR(SEARCH(("F"),(F45))))</formula>
    </cfRule>
  </conditionalFormatting>
  <conditionalFormatting sqref="F44">
    <cfRule type="containsText" dxfId="1255" priority="7" operator="containsText" text="F">
      <formula>NOT(ISERROR(SEARCH(("F"),(F44))))</formula>
    </cfRule>
  </conditionalFormatting>
  <conditionalFormatting sqref="O44:Q44">
    <cfRule type="expression" dxfId="1254" priority="8">
      <formula>AND(ISNUMBER(O44),TRUNC(O44)&lt;TODAY())</formula>
    </cfRule>
  </conditionalFormatting>
  <conditionalFormatting sqref="O19:Q19">
    <cfRule type="expression" dxfId="1253" priority="9">
      <formula>AND(ISNUMBER(O19),TRUNC(O19)&lt;TODAY())</formula>
    </cfRule>
  </conditionalFormatting>
  <conditionalFormatting sqref="F19">
    <cfRule type="containsText" dxfId="1252" priority="10" operator="containsText" text="F">
      <formula>NOT(ISERROR(SEARCH(("F"),(F19))))</formula>
    </cfRule>
  </conditionalFormatting>
  <conditionalFormatting sqref="O18:Q18">
    <cfRule type="expression" dxfId="1251" priority="11">
      <formula>AND(ISNUMBER(O18),TRUNC(O18)&lt;TODAY())</formula>
    </cfRule>
  </conditionalFormatting>
  <conditionalFormatting sqref="F18">
    <cfRule type="containsText" dxfId="1250" priority="12" operator="containsText" text="F">
      <formula>NOT(ISERROR(SEARCH(("F"),(F18))))</formula>
    </cfRule>
  </conditionalFormatting>
  <conditionalFormatting sqref="F17">
    <cfRule type="containsText" dxfId="1249" priority="13" operator="containsText" text="F">
      <formula>NOT(ISERROR(SEARCH(("F"),(F17))))</formula>
    </cfRule>
  </conditionalFormatting>
  <conditionalFormatting sqref="O17:Q17">
    <cfRule type="expression" dxfId="1248" priority="14">
      <formula>AND(ISNUMBER(O17),TRUNC(O17)&lt;TODAY())</formula>
    </cfRule>
  </conditionalFormatting>
  <conditionalFormatting sqref="O43:Q43">
    <cfRule type="expression" dxfId="1247" priority="15">
      <formula>AND(ISNUMBER(O43),TRUNC(O43)&lt;TODAY())</formula>
    </cfRule>
  </conditionalFormatting>
  <conditionalFormatting sqref="F43">
    <cfRule type="containsText" dxfId="1246" priority="16" operator="containsText" text="F">
      <formula>NOT(ISERROR(SEARCH(("F"),(F43))))</formula>
    </cfRule>
  </conditionalFormatting>
  <conditionalFormatting sqref="F42">
    <cfRule type="containsText" dxfId="1245" priority="17" operator="containsText" text="F">
      <formula>NOT(ISERROR(SEARCH(("F"),(F42))))</formula>
    </cfRule>
  </conditionalFormatting>
  <conditionalFormatting sqref="O42:Q42">
    <cfRule type="expression" dxfId="1244" priority="18">
      <formula>AND(ISNUMBER(O42),TRUNC(O42)&lt;TODAY())</formula>
    </cfRule>
  </conditionalFormatting>
  <conditionalFormatting sqref="O41:Q41">
    <cfRule type="expression" dxfId="1243" priority="19">
      <formula>AND(ISNUMBER(O41),TRUNC(O41)&lt;TODAY())</formula>
    </cfRule>
  </conditionalFormatting>
  <conditionalFormatting sqref="O40:Q40">
    <cfRule type="expression" dxfId="1242" priority="20">
      <formula>AND(ISNUMBER(O40),TRUNC(O40)&lt;TODAY())</formula>
    </cfRule>
  </conditionalFormatting>
  <conditionalFormatting sqref="F16">
    <cfRule type="containsText" dxfId="1241" priority="21" operator="containsText" text="F">
      <formula>NOT(ISERROR(SEARCH(("F"),(F16))))</formula>
    </cfRule>
  </conditionalFormatting>
  <conditionalFormatting sqref="O16:Q16">
    <cfRule type="expression" dxfId="1240" priority="22">
      <formula>AND(ISNUMBER(O16),TRUNC(O16)&lt;TODAY())</formula>
    </cfRule>
  </conditionalFormatting>
  <conditionalFormatting sqref="F15">
    <cfRule type="containsText" dxfId="1239" priority="23" operator="containsText" text="F">
      <formula>NOT(ISERROR(SEARCH(("F"),(F15))))</formula>
    </cfRule>
  </conditionalFormatting>
  <conditionalFormatting sqref="O15:Q15">
    <cfRule type="expression" dxfId="1238" priority="24">
      <formula>AND(ISNUMBER(O15),TRUNC(O15)&lt;TODAY())</formula>
    </cfRule>
  </conditionalFormatting>
  <conditionalFormatting sqref="F14">
    <cfRule type="containsText" dxfId="1237" priority="25" operator="containsText" text="F">
      <formula>NOT(ISERROR(SEARCH(("F"),(F14))))</formula>
    </cfRule>
  </conditionalFormatting>
  <conditionalFormatting sqref="O14:Q14">
    <cfRule type="expression" dxfId="1236" priority="26">
      <formula>AND(ISNUMBER(O14),TRUNC(O14)&lt;TODAY())</formula>
    </cfRule>
  </conditionalFormatting>
  <conditionalFormatting sqref="F13">
    <cfRule type="containsText" dxfId="1235" priority="27" operator="containsText" text="F">
      <formula>NOT(ISERROR(SEARCH(("F"),(F13))))</formula>
    </cfRule>
  </conditionalFormatting>
  <conditionalFormatting sqref="O13">
    <cfRule type="expression" dxfId="1234" priority="28">
      <formula>AND(ISNUMBER(O13),TRUNC(O13)&lt;TODAY())</formula>
    </cfRule>
  </conditionalFormatting>
  <conditionalFormatting sqref="P13">
    <cfRule type="expression" dxfId="1233" priority="29">
      <formula>AND(ISNUMBER(P13),TRUNC(P13)&lt;TODAY())</formula>
    </cfRule>
  </conditionalFormatting>
  <conditionalFormatting sqref="Q13">
    <cfRule type="expression" dxfId="1232" priority="30">
      <formula>AND(ISNUMBER(Q13),TRUNC(Q13)&lt;TODAY())</formula>
    </cfRule>
  </conditionalFormatting>
  <conditionalFormatting sqref="P39">
    <cfRule type="expression" dxfId="1231" priority="31">
      <formula>AND(ISNUMBER(P39),TRUNC(P39)&lt;TODAY())</formula>
    </cfRule>
  </conditionalFormatting>
  <conditionalFormatting sqref="P39">
    <cfRule type="expression" dxfId="1230" priority="32">
      <formula>AND(ISNUMBER(P39),TRUNC(P39)&lt;TODAY())</formula>
    </cfRule>
  </conditionalFormatting>
  <conditionalFormatting sqref="O39">
    <cfRule type="expression" dxfId="1229" priority="33">
      <formula>AND(ISNUMBER(O39),TRUNC(O39)&lt;TODAY())</formula>
    </cfRule>
  </conditionalFormatting>
  <conditionalFormatting sqref="Q39">
    <cfRule type="expression" dxfId="1228" priority="34">
      <formula>AND(ISNUMBER(Q39),TRUNC(Q39)&lt;TODAY())</formula>
    </cfRule>
  </conditionalFormatting>
  <conditionalFormatting sqref="F39">
    <cfRule type="containsText" dxfId="1227" priority="35" operator="containsText" text="F">
      <formula>NOT(ISERROR(SEARCH(("F"),(F39))))</formula>
    </cfRule>
  </conditionalFormatting>
  <conditionalFormatting sqref="O38:Q38">
    <cfRule type="expression" dxfId="1226" priority="36">
      <formula>AND(ISNUMBER(O38),TRUNC(O38)&lt;TODAY())</formula>
    </cfRule>
  </conditionalFormatting>
  <conditionalFormatting sqref="F38">
    <cfRule type="containsText" dxfId="1225" priority="37" operator="containsText" text="F">
      <formula>NOT(ISERROR(SEARCH(("F"),(F38))))</formula>
    </cfRule>
  </conditionalFormatting>
  <conditionalFormatting sqref="O37:Q37">
    <cfRule type="expression" dxfId="1224" priority="38">
      <formula>AND(ISNUMBER(O37),TRUNC(O37)&lt;TODAY())</formula>
    </cfRule>
  </conditionalFormatting>
  <conditionalFormatting sqref="O36:Q36">
    <cfRule type="expression" dxfId="1223" priority="39">
      <formula>AND(ISNUMBER(O36),TRUNC(O36)&lt;TODAY())</formula>
    </cfRule>
  </conditionalFormatting>
  <conditionalFormatting sqref="F36">
    <cfRule type="containsText" dxfId="1222" priority="40" operator="containsText" text="F">
      <formula>NOT(ISERROR(SEARCH(("F"),(F36))))</formula>
    </cfRule>
  </conditionalFormatting>
  <conditionalFormatting sqref="O35:Q35">
    <cfRule type="expression" dxfId="1221" priority="41">
      <formula>AND(ISNUMBER(O35),TRUNC(O35)&lt;TODAY())</formula>
    </cfRule>
  </conditionalFormatting>
  <conditionalFormatting sqref="F35">
    <cfRule type="containsText" dxfId="1220" priority="42" operator="containsText" text="F">
      <formula>NOT(ISERROR(SEARCH(("F"),(F35))))</formula>
    </cfRule>
  </conditionalFormatting>
  <conditionalFormatting sqref="O34:Q34">
    <cfRule type="expression" dxfId="1219" priority="43">
      <formula>AND(ISNUMBER(O34),TRUNC(O34)&lt;TODAY())</formula>
    </cfRule>
  </conditionalFormatting>
  <conditionalFormatting sqref="F34">
    <cfRule type="containsText" dxfId="1218" priority="44" operator="containsText" text="F">
      <formula>NOT(ISERROR(SEARCH(("F"),(F34))))</formula>
    </cfRule>
  </conditionalFormatting>
  <conditionalFormatting sqref="V34">
    <cfRule type="notContainsBlanks" dxfId="1217" priority="45">
      <formula>LEN(TRIM(V34))&gt;0</formula>
    </cfRule>
  </conditionalFormatting>
  <conditionalFormatting sqref="O33:Q33">
    <cfRule type="expression" dxfId="1216" priority="46">
      <formula>AND(ISNUMBER(O33),TRUNC(O33)&lt;TODAY())</formula>
    </cfRule>
  </conditionalFormatting>
  <conditionalFormatting sqref="F33">
    <cfRule type="containsText" dxfId="1215" priority="47" operator="containsText" text="F">
      <formula>NOT(ISERROR(SEARCH(("F"),(F33))))</formula>
    </cfRule>
  </conditionalFormatting>
  <conditionalFormatting sqref="O69">
    <cfRule type="expression" dxfId="1214" priority="48">
      <formula>AND(ISNUMBER(O69),TRUNC(O69)&lt;TODAY())</formula>
    </cfRule>
  </conditionalFormatting>
  <conditionalFormatting sqref="Q69">
    <cfRule type="expression" dxfId="1213" priority="49">
      <formula>AND(ISNUMBER(Q69),TRUNC(Q69)&lt;TODAY())</formula>
    </cfRule>
  </conditionalFormatting>
  <conditionalFormatting sqref="P69">
    <cfRule type="expression" dxfId="1212" priority="50">
      <formula>AND(ISNUMBER(P69),TRUNC(P69)&lt;TODAY())</formula>
    </cfRule>
  </conditionalFormatting>
  <conditionalFormatting sqref="F69">
    <cfRule type="containsText" dxfId="1211" priority="51" operator="containsText" text="F">
      <formula>NOT(ISERROR(SEARCH(("F"),(F69))))</formula>
    </cfRule>
  </conditionalFormatting>
  <conditionalFormatting sqref="O68:Q68">
    <cfRule type="expression" dxfId="1210" priority="52">
      <formula>AND(ISNUMBER(O68),TRUNC(O68)&lt;TODAY())</formula>
    </cfRule>
  </conditionalFormatting>
  <conditionalFormatting sqref="F68">
    <cfRule type="containsText" dxfId="1209" priority="53" operator="containsText" text="F">
      <formula>NOT(ISERROR(SEARCH(("F"),(F68))))</formula>
    </cfRule>
  </conditionalFormatting>
  <conditionalFormatting sqref="O21:Q21">
    <cfRule type="expression" dxfId="1208" priority="54">
      <formula>AND(ISNUMBER(O21),TRUNC(O21)&lt;TODAY())</formula>
    </cfRule>
  </conditionalFormatting>
  <conditionalFormatting sqref="F21">
    <cfRule type="containsText" dxfId="1207" priority="55" operator="containsText" text="F">
      <formula>NOT(ISERROR(SEARCH(("F"),(F21))))</formula>
    </cfRule>
  </conditionalFormatting>
  <conditionalFormatting sqref="V21">
    <cfRule type="notContainsBlanks" dxfId="1206" priority="56">
      <formula>LEN(TRIM(V21))&gt;0</formula>
    </cfRule>
  </conditionalFormatting>
  <conditionalFormatting sqref="F12">
    <cfRule type="containsText" dxfId="1205" priority="57" operator="containsText" text="F">
      <formula>NOT(ISERROR(SEARCH(("F"),(F12))))</formula>
    </cfRule>
  </conditionalFormatting>
  <conditionalFormatting sqref="O12:Q12">
    <cfRule type="expression" dxfId="1204" priority="58">
      <formula>AND(ISNUMBER(O12),TRUNC(O12)&lt;TODAY())</formula>
    </cfRule>
  </conditionalFormatting>
  <conditionalFormatting sqref="F32">
    <cfRule type="containsText" dxfId="1203" priority="59" operator="containsText" text="F">
      <formula>NOT(ISERROR(SEARCH(("F"),(F32))))</formula>
    </cfRule>
  </conditionalFormatting>
  <conditionalFormatting sqref="O32:Q32">
    <cfRule type="expression" dxfId="1202" priority="60">
      <formula>AND(ISNUMBER(O32),TRUNC(O32)&lt;TODAY())</formula>
    </cfRule>
  </conditionalFormatting>
  <conditionalFormatting sqref="O31:Q31">
    <cfRule type="expression" dxfId="1201" priority="61">
      <formula>AND(ISNUMBER(O31),TRUNC(O31)&lt;TODAY())</formula>
    </cfRule>
  </conditionalFormatting>
  <conditionalFormatting sqref="O11:Q11">
    <cfRule type="expression" dxfId="1200" priority="62">
      <formula>AND(ISNUMBER(O11),TRUNC(O11)&lt;TODAY())</formula>
    </cfRule>
  </conditionalFormatting>
  <conditionalFormatting sqref="F11">
    <cfRule type="containsText" dxfId="1199" priority="63" operator="containsText" text="F">
      <formula>NOT(ISERROR(SEARCH(("F"),(F11))))</formula>
    </cfRule>
  </conditionalFormatting>
  <conditionalFormatting sqref="V67">
    <cfRule type="notContainsBlanks" dxfId="1198" priority="64">
      <formula>LEN(TRIM(V67))&gt;0</formula>
    </cfRule>
  </conditionalFormatting>
  <conditionalFormatting sqref="F67">
    <cfRule type="containsText" dxfId="1197" priority="65" operator="containsText" text="F">
      <formula>NOT(ISERROR(SEARCH(("F"),(F67))))</formula>
    </cfRule>
  </conditionalFormatting>
  <conditionalFormatting sqref="O67">
    <cfRule type="expression" dxfId="1196" priority="66">
      <formula>AND(ISNUMBER(O67),TRUNC(O67)&lt;TODAY())</formula>
    </cfRule>
  </conditionalFormatting>
  <conditionalFormatting sqref="Q67">
    <cfRule type="expression" dxfId="1195" priority="67">
      <formula>AND(ISNUMBER(Q67),TRUNC(Q67)&lt;TODAY())</formula>
    </cfRule>
  </conditionalFormatting>
  <conditionalFormatting sqref="P67">
    <cfRule type="expression" dxfId="1194" priority="68">
      <formula>AND(ISNUMBER(P67),TRUNC(P67)&lt;TODAY())</formula>
    </cfRule>
  </conditionalFormatting>
  <conditionalFormatting sqref="O30:Q30">
    <cfRule type="expression" dxfId="1193" priority="69">
      <formula>AND(ISNUMBER(O30),TRUNC(O30)&lt;TODAY())</formula>
    </cfRule>
  </conditionalFormatting>
  <conditionalFormatting sqref="F30">
    <cfRule type="containsText" dxfId="1192" priority="70" operator="containsText" text="F">
      <formula>NOT(ISERROR(SEARCH(("F"),(F30))))</formula>
    </cfRule>
  </conditionalFormatting>
  <conditionalFormatting sqref="P29">
    <cfRule type="expression" dxfId="1191" priority="71">
      <formula>AND(ISNUMBER(P29),TRUNC(P29)&lt;TODAY())</formula>
    </cfRule>
  </conditionalFormatting>
  <conditionalFormatting sqref="O29:Q29">
    <cfRule type="expression" dxfId="1190" priority="72">
      <formula>AND(ISNUMBER(O29),TRUNC(O29)&lt;TODAY())</formula>
    </cfRule>
  </conditionalFormatting>
  <conditionalFormatting sqref="F29">
    <cfRule type="containsText" dxfId="1189" priority="73" operator="containsText" text="F">
      <formula>NOT(ISERROR(SEARCH(("F"),(F29))))</formula>
    </cfRule>
  </conditionalFormatting>
  <conditionalFormatting sqref="O28">
    <cfRule type="expression" dxfId="1188" priority="74">
      <formula>AND(ISNUMBER(O28),TRUNC(O28)&lt;TODAY())</formula>
    </cfRule>
  </conditionalFormatting>
  <conditionalFormatting sqref="P28">
    <cfRule type="expression" dxfId="1187" priority="75">
      <formula>AND(ISNUMBER(P28),TRUNC(P28)&lt;TODAY())</formula>
    </cfRule>
  </conditionalFormatting>
  <conditionalFormatting sqref="P28">
    <cfRule type="expression" dxfId="1186" priority="76">
      <formula>AND(ISNUMBER(P28),TRUNC(P28)&lt;TODAY())</formula>
    </cfRule>
  </conditionalFormatting>
  <conditionalFormatting sqref="F28">
    <cfRule type="containsText" dxfId="1185" priority="77" operator="containsText" text="F">
      <formula>NOT(ISERROR(SEARCH(("F"),(F28))))</formula>
    </cfRule>
  </conditionalFormatting>
  <conditionalFormatting sqref="O27:Q27">
    <cfRule type="expression" dxfId="1184" priority="78">
      <formula>AND(ISNUMBER(O27),TRUNC(O27)&lt;TODAY())</formula>
    </cfRule>
  </conditionalFormatting>
  <conditionalFormatting sqref="F27">
    <cfRule type="containsText" dxfId="1183" priority="79" operator="containsText" text="F">
      <formula>NOT(ISERROR(SEARCH(("F"),(F27))))</formula>
    </cfRule>
  </conditionalFormatting>
  <conditionalFormatting sqref="Q64">
    <cfRule type="expression" dxfId="1182" priority="80">
      <formula>AND(ISNUMBER(Q64),TRUNC(Q64)&lt;TODAY())</formula>
    </cfRule>
  </conditionalFormatting>
  <conditionalFormatting sqref="P64">
    <cfRule type="expression" dxfId="1181" priority="81">
      <formula>AND(ISNUMBER(P64),TRUNC(P64)&lt;TODAY())</formula>
    </cfRule>
  </conditionalFormatting>
  <conditionalFormatting sqref="F64">
    <cfRule type="containsText" dxfId="1180" priority="82" operator="containsText" text="F">
      <formula>NOT(ISERROR(SEARCH(("F"),(F64))))</formula>
    </cfRule>
  </conditionalFormatting>
  <conditionalFormatting sqref="V64">
    <cfRule type="notContainsBlanks" dxfId="1179" priority="83">
      <formula>LEN(TRIM(V64))&gt;0</formula>
    </cfRule>
  </conditionalFormatting>
  <conditionalFormatting sqref="O64">
    <cfRule type="expression" dxfId="1178" priority="84">
      <formula>AND(ISNUMBER(O64),TRUNC(O64)&lt;TODAY())</formula>
    </cfRule>
  </conditionalFormatting>
  <conditionalFormatting sqref="Q60">
    <cfRule type="expression" dxfId="1177" priority="85">
      <formula>AND(ISNUMBER(Q60),TRUNC(Q60)&lt;TODAY())</formula>
    </cfRule>
  </conditionalFormatting>
  <conditionalFormatting sqref="O60">
    <cfRule type="expression" dxfId="1176" priority="86">
      <formula>AND(ISNUMBER(O60),TRUNC(O60)&lt;TODAY())</formula>
    </cfRule>
  </conditionalFormatting>
  <conditionalFormatting sqref="P60">
    <cfRule type="expression" dxfId="1175" priority="87">
      <formula>AND(ISNUMBER(P60),TRUNC(P60)&lt;TODAY())</formula>
    </cfRule>
  </conditionalFormatting>
  <conditionalFormatting sqref="F60">
    <cfRule type="containsText" dxfId="1174" priority="88" operator="containsText" text="F">
      <formula>NOT(ISERROR(SEARCH(("F"),(F60))))</formula>
    </cfRule>
  </conditionalFormatting>
  <conditionalFormatting sqref="F26">
    <cfRule type="containsText" dxfId="1173" priority="89" operator="containsText" text="F">
      <formula>NOT(ISERROR(SEARCH(("F"),(F26))))</formula>
    </cfRule>
  </conditionalFormatting>
  <conditionalFormatting sqref="F10">
    <cfRule type="containsText" dxfId="1172" priority="90" operator="containsText" text="F">
      <formula>NOT(ISERROR(SEARCH(("F"),(F10))))</formula>
    </cfRule>
  </conditionalFormatting>
  <conditionalFormatting sqref="O10:Q10">
    <cfRule type="expression" dxfId="1171" priority="91">
      <formula>AND(ISNUMBER(O10),TRUNC(O10)&lt;TODAY())</formula>
    </cfRule>
  </conditionalFormatting>
  <conditionalFormatting sqref="F9">
    <cfRule type="containsText" dxfId="1170" priority="92" operator="containsText" text="F">
      <formula>NOT(ISERROR(SEARCH(("F"),(F9))))</formula>
    </cfRule>
  </conditionalFormatting>
  <conditionalFormatting sqref="P9">
    <cfRule type="expression" dxfId="1169" priority="93">
      <formula>AND(ISNUMBER(P9),TRUNC(P9)&lt;TODAY())</formula>
    </cfRule>
  </conditionalFormatting>
  <conditionalFormatting sqref="Q9">
    <cfRule type="expression" dxfId="1168" priority="94">
      <formula>AND(ISNUMBER(Q9),TRUNC(Q9)&lt;TODAY())</formula>
    </cfRule>
  </conditionalFormatting>
  <conditionalFormatting sqref="O9">
    <cfRule type="expression" dxfId="1167" priority="95">
      <formula>AND(ISNUMBER(O9),TRUNC(O9)&lt;TODAY())</formula>
    </cfRule>
  </conditionalFormatting>
  <conditionalFormatting sqref="P25">
    <cfRule type="expression" dxfId="1166" priority="96">
      <formula>AND(ISNUMBER(P25),TRUNC(P25)&lt;TODAY())</formula>
    </cfRule>
  </conditionalFormatting>
  <conditionalFormatting sqref="Q25">
    <cfRule type="expression" dxfId="1165" priority="97">
      <formula>AND(ISNUMBER(Q25),TRUNC(Q25)&lt;TODAY())</formula>
    </cfRule>
  </conditionalFormatting>
  <conditionalFormatting sqref="O25">
    <cfRule type="expression" dxfId="1164" priority="98">
      <formula>AND(ISNUMBER(O25),TRUNC(O25)&lt;TODAY())</formula>
    </cfRule>
  </conditionalFormatting>
  <conditionalFormatting sqref="F25">
    <cfRule type="containsText" dxfId="1163" priority="99" operator="containsText" text="F">
      <formula>NOT(ISERROR(SEARCH(("F"),(F25))))</formula>
    </cfRule>
  </conditionalFormatting>
  <conditionalFormatting sqref="F24">
    <cfRule type="containsText" dxfId="1162" priority="100" operator="containsText" text="F">
      <formula>NOT(ISERROR(SEARCH(("F"),(F24))))</formula>
    </cfRule>
  </conditionalFormatting>
  <conditionalFormatting sqref="Q24">
    <cfRule type="expression" dxfId="1161" priority="101">
      <formula>AND(ISNUMBER(Q24),TRUNC(Q24)&lt;TODAY())</formula>
    </cfRule>
  </conditionalFormatting>
  <conditionalFormatting sqref="P24">
    <cfRule type="expression" dxfId="1160" priority="102">
      <formula>AND(ISNUMBER(P24),TRUNC(P24)&lt;TODAY())</formula>
    </cfRule>
  </conditionalFormatting>
  <conditionalFormatting sqref="O24">
    <cfRule type="expression" dxfId="1159" priority="103">
      <formula>AND(ISNUMBER(O24),TRUNC(O24)&lt;TODAY())</formula>
    </cfRule>
  </conditionalFormatting>
  <conditionalFormatting sqref="P24">
    <cfRule type="expression" dxfId="1158" priority="104">
      <formula>AND(ISNUMBER(P24),TRUNC(P24)&lt;TODAY())</formula>
    </cfRule>
  </conditionalFormatting>
  <conditionalFormatting sqref="F55">
    <cfRule type="containsText" dxfId="1157" priority="105" operator="containsText" text="F">
      <formula>NOT(ISERROR(SEARCH(("F"),(F55))))</formula>
    </cfRule>
  </conditionalFormatting>
  <conditionalFormatting sqref="O55:Q55">
    <cfRule type="expression" dxfId="1156" priority="106">
      <formula>AND(ISNUMBER(O55),TRUNC(O55)&lt;TODAY())</formula>
    </cfRule>
  </conditionalFormatting>
  <conditionalFormatting sqref="F8">
    <cfRule type="containsText" dxfId="1155" priority="107" operator="containsText" text="F">
      <formula>NOT(ISERROR(SEARCH(("F"),(F8))))</formula>
    </cfRule>
  </conditionalFormatting>
  <conditionalFormatting sqref="O8:Q8">
    <cfRule type="expression" dxfId="1154" priority="108">
      <formula>AND(ISNUMBER(O8),TRUNC(O8)&lt;TODAY())</formula>
    </cfRule>
  </conditionalFormatting>
  <conditionalFormatting sqref="F7">
    <cfRule type="containsText" dxfId="1153" priority="109" operator="containsText" text="F">
      <formula>NOT(ISERROR(SEARCH(("F"),(F7))))</formula>
    </cfRule>
  </conditionalFormatting>
  <conditionalFormatting sqref="O7:Q7">
    <cfRule type="expression" dxfId="1152" priority="110">
      <formula>AND(ISNUMBER(O7),TRUNC(O7)&lt;TODAY())</formula>
    </cfRule>
  </conditionalFormatting>
  <conditionalFormatting sqref="O57:Q57">
    <cfRule type="expression" dxfId="1151" priority="111">
      <formula>AND(ISNUMBER(O57),TRUNC(O57)&lt;TODAY())</formula>
    </cfRule>
  </conditionalFormatting>
  <conditionalFormatting sqref="F57">
    <cfRule type="containsText" dxfId="1150" priority="112" operator="containsText" text="F">
      <formula>NOT(ISERROR(SEARCH(("F"),(F57))))</formula>
    </cfRule>
  </conditionalFormatting>
  <conditionalFormatting sqref="O6:Q6">
    <cfRule type="expression" dxfId="1149" priority="113">
      <formula>AND(ISNUMBER(O6),TRUNC(O6)&lt;TODAY())</formula>
    </cfRule>
  </conditionalFormatting>
  <conditionalFormatting sqref="F6">
    <cfRule type="containsText" dxfId="1148" priority="114" operator="containsText" text="F">
      <formula>NOT(ISERROR(SEARCH(("F"),(F6))))</formula>
    </cfRule>
  </conditionalFormatting>
  <conditionalFormatting sqref="O23">
    <cfRule type="expression" dxfId="1147" priority="115">
      <formula>AND(ISNUMBER(O23),TRUNC(O23)&lt;TODAY())</formula>
    </cfRule>
  </conditionalFormatting>
  <conditionalFormatting sqref="P23">
    <cfRule type="expression" dxfId="1146" priority="116">
      <formula>AND(ISNUMBER(P23),TRUNC(P23)&lt;TODAY())</formula>
    </cfRule>
  </conditionalFormatting>
  <conditionalFormatting sqref="Q23">
    <cfRule type="expression" dxfId="1145" priority="117">
      <formula>AND(ISNUMBER(Q23),TRUNC(Q23)&lt;TODAY())</formula>
    </cfRule>
  </conditionalFormatting>
  <conditionalFormatting sqref="O59:Q59">
    <cfRule type="expression" dxfId="1144" priority="118">
      <formula>AND(ISNUMBER(O59),TRUNC(O59)&lt;TODAY())</formula>
    </cfRule>
  </conditionalFormatting>
  <conditionalFormatting sqref="F59">
    <cfRule type="containsText" dxfId="1143" priority="119" operator="containsText" text="F">
      <formula>NOT(ISERROR(SEARCH(("F"),(F59))))</formula>
    </cfRule>
  </conditionalFormatting>
  <conditionalFormatting sqref="O65">
    <cfRule type="expression" dxfId="1142" priority="120">
      <formula>AND(ISNUMBER(O65),TRUNC(O65)&lt;TODAY())</formula>
    </cfRule>
  </conditionalFormatting>
  <conditionalFormatting sqref="P65">
    <cfRule type="expression" dxfId="1141" priority="121">
      <formula>AND(ISNUMBER(P65),TRUNC(P65)&lt;TODAY())</formula>
    </cfRule>
  </conditionalFormatting>
  <conditionalFormatting sqref="Q65">
    <cfRule type="expression" dxfId="1140" priority="122">
      <formula>AND(ISNUMBER(Q65),TRUNC(Q65)&lt;TODAY())</formula>
    </cfRule>
  </conditionalFormatting>
  <conditionalFormatting sqref="F65">
    <cfRule type="containsText" dxfId="1139" priority="123" operator="containsText" text="F">
      <formula>NOT(ISERROR(SEARCH(("F"),(F65))))</formula>
    </cfRule>
  </conditionalFormatting>
  <conditionalFormatting sqref="O62:Q62">
    <cfRule type="expression" dxfId="1138" priority="124">
      <formula>AND(ISNUMBER(O62),TRUNC(O62)&lt;TODAY())</formula>
    </cfRule>
  </conditionalFormatting>
  <conditionalFormatting sqref="F62">
    <cfRule type="containsText" dxfId="1137" priority="125" operator="containsText" text="F">
      <formula>NOT(ISERROR(SEARCH(("F"),(F62))))</formula>
    </cfRule>
  </conditionalFormatting>
  <conditionalFormatting sqref="O66:Q66">
    <cfRule type="expression" dxfId="1136" priority="126">
      <formula>AND(ISNUMBER(O66),TRUNC(O66)&lt;TODAY())</formula>
    </cfRule>
  </conditionalFormatting>
  <conditionalFormatting sqref="F66">
    <cfRule type="containsText" dxfId="1135" priority="127" operator="containsText" text="F">
      <formula>NOT(ISERROR(SEARCH(("F"),(F66))))</formula>
    </cfRule>
  </conditionalFormatting>
  <conditionalFormatting sqref="V52">
    <cfRule type="notContainsBlanks" dxfId="1134" priority="128">
      <formula>LEN(TRIM(V52))&gt;0</formula>
    </cfRule>
  </conditionalFormatting>
  <conditionalFormatting sqref="F52">
    <cfRule type="containsText" dxfId="1133" priority="129" operator="containsText" text="F">
      <formula>NOT(ISERROR(SEARCH(("F"),(F52))))</formula>
    </cfRule>
  </conditionalFormatting>
  <conditionalFormatting sqref="O52:Q52">
    <cfRule type="expression" dxfId="1132" priority="130">
      <formula>AND(ISNUMBER(O52),TRUNC(O52)&lt;TODAY())</formula>
    </cfRule>
  </conditionalFormatting>
  <conditionalFormatting sqref="F51">
    <cfRule type="containsText" dxfId="1131" priority="131" operator="containsText" text="F">
      <formula>NOT(ISERROR(SEARCH(("F"),(F51))))</formula>
    </cfRule>
  </conditionalFormatting>
  <conditionalFormatting sqref="O51:Q51">
    <cfRule type="expression" dxfId="1130" priority="132">
      <formula>AND(ISNUMBER(O51),TRUNC(O51)&lt;TODAY())</formula>
    </cfRule>
  </conditionalFormatting>
  <conditionalFormatting sqref="V51">
    <cfRule type="notContainsBlanks" dxfId="1129" priority="133">
      <formula>LEN(TRIM(V51))&gt;0</formula>
    </cfRule>
  </conditionalFormatting>
  <conditionalFormatting sqref="O50:Q50">
    <cfRule type="expression" dxfId="1128" priority="134">
      <formula>AND(ISNUMBER(O50),TRUNC(O50)&lt;TODAY())</formula>
    </cfRule>
  </conditionalFormatting>
  <conditionalFormatting sqref="F50">
    <cfRule type="containsText" dxfId="1127" priority="135" operator="containsText" text="F">
      <formula>NOT(ISERROR(SEARCH(("F"),(F50))))</formula>
    </cfRule>
  </conditionalFormatting>
  <conditionalFormatting sqref="V50">
    <cfRule type="notContainsBlanks" dxfId="1126" priority="136">
      <formula>LEN(TRIM(V50))&gt;0</formula>
    </cfRule>
  </conditionalFormatting>
  <conditionalFormatting sqref="F5">
    <cfRule type="containsText" dxfId="1125" priority="137" operator="containsText" text="F">
      <formula>NOT(ISERROR(SEARCH(("F"),(F5))))</formula>
    </cfRule>
  </conditionalFormatting>
  <conditionalFormatting sqref="O5:Q5">
    <cfRule type="expression" dxfId="1124" priority="138">
      <formula>AND(ISNUMBER(O5),TRUNC(O5)&lt;TODAY())</formula>
    </cfRule>
  </conditionalFormatting>
  <conditionalFormatting sqref="F4">
    <cfRule type="containsText" dxfId="1123" priority="139" operator="containsText" text="F">
      <formula>NOT(ISERROR(SEARCH(("F"),(F4))))</formula>
    </cfRule>
  </conditionalFormatting>
  <conditionalFormatting sqref="O4:Q4">
    <cfRule type="expression" dxfId="1122" priority="140">
      <formula>AND(ISNUMBER(O4),TRUNC(O4)&lt;TODAY())</formula>
    </cfRule>
  </conditionalFormatting>
  <conditionalFormatting sqref="F3">
    <cfRule type="containsText" dxfId="1121" priority="141" operator="containsText" text="F">
      <formula>NOT(ISERROR(SEARCH(("F"),(F3))))</formula>
    </cfRule>
  </conditionalFormatting>
  <conditionalFormatting sqref="O3:Q3">
    <cfRule type="expression" dxfId="1120" priority="142">
      <formula>AND(ISNUMBER(O3),TRUNC(O3)&lt;TODAY())</formula>
    </cfRule>
  </conditionalFormatting>
  <conditionalFormatting sqref="O54:Q54">
    <cfRule type="expression" dxfId="1119" priority="143">
      <formula>AND(ISNUMBER(O54),TRUNC(O54)&lt;TODAY())</formula>
    </cfRule>
  </conditionalFormatting>
  <conditionalFormatting sqref="F54">
    <cfRule type="containsText" dxfId="1118" priority="144" operator="containsText" text="F">
      <formula>NOT(ISERROR(SEARCH(("F"),(F54))))</formula>
    </cfRule>
  </conditionalFormatting>
  <conditionalFormatting sqref="Q22">
    <cfRule type="expression" dxfId="1117" priority="145">
      <formula>AND(ISNUMBER(Q22),TRUNC(Q22)&lt;TODAY())</formula>
    </cfRule>
  </conditionalFormatting>
  <conditionalFormatting sqref="P63">
    <cfRule type="expression" dxfId="1116" priority="146">
      <formula>AND(ISNUMBER(P63),TRUNC(P63)&lt;TODAY())</formula>
    </cfRule>
  </conditionalFormatting>
  <conditionalFormatting sqref="O61">
    <cfRule type="expression" dxfId="1115" priority="147">
      <formula>AND(ISNUMBER(O61),TRUNC(O61)&lt;TODAY())</formula>
    </cfRule>
  </conditionalFormatting>
  <conditionalFormatting sqref="P61">
    <cfRule type="expression" dxfId="1114" priority="148">
      <formula>AND(ISNUMBER(P61),TRUNC(P61)&lt;TODAY())</formula>
    </cfRule>
  </conditionalFormatting>
  <conditionalFormatting sqref="Q61">
    <cfRule type="expression" dxfId="1113" priority="149">
      <formula>AND(ISNUMBER(Q61),TRUNC(Q61)&lt;TODAY())</formula>
    </cfRule>
  </conditionalFormatting>
  <conditionalFormatting sqref="F61">
    <cfRule type="containsText" dxfId="1112" priority="150" operator="containsText" text="F">
      <formula>NOT(ISERROR(SEARCH(("F"),(F61))))</formula>
    </cfRule>
  </conditionalFormatting>
  <conditionalFormatting sqref="F58">
    <cfRule type="containsText" dxfId="1111" priority="151" operator="containsText" text="F">
      <formula>NOT(ISERROR(SEARCH(("F"),(F58))))</formula>
    </cfRule>
  </conditionalFormatting>
  <conditionalFormatting sqref="P58">
    <cfRule type="expression" dxfId="1110" priority="152">
      <formula>AND(ISNUMBER(P58),TRUNC(P58)&lt;TODAY())</formula>
    </cfRule>
  </conditionalFormatting>
  <conditionalFormatting sqref="O58">
    <cfRule type="expression" dxfId="1109" priority="153">
      <formula>AND(ISNUMBER(O58),TRUNC(O58)&lt;TODAY())</formula>
    </cfRule>
  </conditionalFormatting>
  <conditionalFormatting sqref="Q58">
    <cfRule type="expression" dxfId="1108" priority="154">
      <formula>AND(ISNUMBER(Q58),TRUNC(Q58)&lt;TODAY())</formula>
    </cfRule>
  </conditionalFormatting>
  <conditionalFormatting sqref="O49">
    <cfRule type="expression" dxfId="1107" priority="155">
      <formula>AND(ISNUMBER(O49),TRUNC(O49)&lt;TODAY())</formula>
    </cfRule>
  </conditionalFormatting>
  <conditionalFormatting sqref="Q49">
    <cfRule type="expression" dxfId="1106" priority="156">
      <formula>AND(ISNUMBER(Q49),TRUNC(Q49)&lt;TODAY())</formula>
    </cfRule>
  </conditionalFormatting>
  <conditionalFormatting sqref="F49">
    <cfRule type="containsText" dxfId="1105" priority="157" operator="containsText" text="F">
      <formula>NOT(ISERROR(SEARCH(("F"),(F49))))</formula>
    </cfRule>
  </conditionalFormatting>
  <conditionalFormatting sqref="P49">
    <cfRule type="expression" dxfId="1104" priority="158">
      <formula>AND(ISNUMBER(P49),TRUNC(P49)&lt;TODAY())</formula>
    </cfRule>
  </conditionalFormatting>
  <conditionalFormatting sqref="Q2">
    <cfRule type="expression" dxfId="1103" priority="159">
      <formula>AND(ISNUMBER(Q2),TRUNC(Q2)&lt;TODAY())</formula>
    </cfRule>
  </conditionalFormatting>
  <conditionalFormatting sqref="O2">
    <cfRule type="expression" dxfId="1102" priority="160">
      <formula>AND(ISNUMBER(O2),TRUNC(O2)&lt;TODAY())</formula>
    </cfRule>
  </conditionalFormatting>
  <conditionalFormatting sqref="P2">
    <cfRule type="expression" dxfId="1101" priority="161">
      <formula>AND(ISNUMBER(P2),TRUNC(P2)&lt;TODAY())</formula>
    </cfRule>
  </conditionalFormatting>
  <conditionalFormatting sqref="Q56">
    <cfRule type="expression" dxfId="1100" priority="162">
      <formula>AND(ISNUMBER(Q56),TRUNC(Q56)&lt;TODAY())</formula>
    </cfRule>
  </conditionalFormatting>
  <conditionalFormatting sqref="P56">
    <cfRule type="expression" dxfId="1099" priority="163">
      <formula>AND(ISNUMBER(P56),TRUNC(P56)&lt;TODAY())</formula>
    </cfRule>
  </conditionalFormatting>
  <conditionalFormatting sqref="O56">
    <cfRule type="expression" dxfId="1098" priority="164">
      <formula>AND(ISNUMBER(O56),TRUNC(O56)&lt;TODAY())</formula>
    </cfRule>
  </conditionalFormatting>
  <conditionalFormatting sqref="O47">
    <cfRule type="expression" dxfId="1097" priority="165">
      <formula>AND(ISNUMBER(O47),TRUNC(O47)&lt;TODAY())</formula>
    </cfRule>
  </conditionalFormatting>
  <conditionalFormatting sqref="O1 O20 O22 O47:O48 Q47 O53 O63 O71:O81 O89:O973">
    <cfRule type="expression" dxfId="1096" priority="166">
      <formula>AND(ISNUMBER(O1),TRUNC(O1)&lt;TODAY())</formula>
    </cfRule>
  </conditionalFormatting>
  <conditionalFormatting sqref="P1 P20 P22 P47:P48 P53 P63:Q63 P71:P973">
    <cfRule type="expression" dxfId="1095" priority="167">
      <formula>AND(ISNUMBER(P1),TRUNC(P1)&lt;TODAY())</formula>
    </cfRule>
  </conditionalFormatting>
  <conditionalFormatting sqref="Q1 Q22 Q47:Q48 Q63 Q71:Q973">
    <cfRule type="expression" dxfId="1094" priority="168">
      <formula>AND(ISNUMBER(Q1),TRUNC(Q1)&lt;TODAY())</formula>
    </cfRule>
  </conditionalFormatting>
  <conditionalFormatting sqref="F1:F2 F20 F22 F47:F48 F53 F56 F63 F71:F973">
    <cfRule type="containsText" dxfId="1093" priority="169" operator="containsText" text="F">
      <formula>NOT(ISERROR(SEARCH(("F"),(F1))))</formula>
    </cfRule>
  </conditionalFormatting>
  <dataValidations count="7">
    <dataValidation type="list" allowBlank="1" sqref="H2:H41 H43:H69">
      <formula1>"A,B,C"</formula1>
    </dataValidation>
    <dataValidation type="list" allowBlank="1" showInputMessage="1" showErrorMessage="1" prompt="Either M or F" sqref="F1:F41 F43:F69 F71:F973">
      <formula1>"M,F"</formula1>
    </dataValidation>
    <dataValidation type="custom" allowBlank="1" showDropDown="1" showInputMessage="1" showErrorMessage="1" prompt="Enter a valid date" sqref="M1:Q1 M2:M6 P2:Q6 M7:Q11 M12:M16 P12:Q16 M17:Q18 M19 M20:O20 Q20 M21:Q22 M23:O23 Q23 P24:Q24 M24:M25 Q25 M27:Q27 Q28:Q29 M28:M30 M31:Q31 M32 P32:Q32 M33:Q34 M35 Q35 M36:Q39 M40:P40 M41:Q44 M45:O45 Q45 M46 P46:Q46 M47:Q51 M52 M53:O53 Q52:Q53 M54:Q55 M56:O56 Q56 M57:Q69 K73 M71:Q73 O74:Q80 M81:Q973">
      <formula1>OR(NOT(ISERROR(DATEVALUE(K1))), AND(ISNUMBER(K1), LEFT(CELL("format", K1))="D"))</formula1>
    </dataValidation>
    <dataValidation type="list" allowBlank="1" sqref="G1 G7:G11 G17:G18 G21:G22 G26 G33:G34 G44:G45 G47 G49 G54:G69 G71:G973">
      <formula1>"UR,SC,ST"</formula1>
    </dataValidation>
    <dataValidation type="list" allowBlank="1" sqref="V46:V47">
      <formula1>"YES,NO,DW"</formula1>
    </dataValidation>
    <dataValidation type="list" allowBlank="1" showErrorMessage="1" sqref="G2:G6 G12:G16 G19:G20 G23:G25 G27:G32 G35:G43 J46 G48 G50:G53">
      <formula1>"UR,SC,ST"</formula1>
    </dataValidation>
    <dataValidation type="custom" allowBlank="1" showDropDown="1" showErrorMessage="1" sqref="N2:O6 N12:O16 N19:R19 P20 P23 N24:O24 N25:P25 N28:P30 N32:O32 N35:P35 P45 N46:O46 N52:P52 P53 P56">
      <formula1>OR(NOT(ISERROR(DATEVALUE(N2))), AND(ISNUMBER(N2), LEFT(CELL("format", N2))="D"))</formula1>
    </dataValidation>
  </dataValidations>
  <hyperlinks>
    <hyperlink ref="R2" r:id="rId1"/>
    <hyperlink ref="T2" r:id="rId2"/>
    <hyperlink ref="R3" r:id="rId3"/>
    <hyperlink ref="R6" r:id="rId4"/>
    <hyperlink ref="R7" r:id="rId5"/>
    <hyperlink ref="S7" r:id="rId6"/>
    <hyperlink ref="R8" r:id="rId7"/>
    <hyperlink ref="S8" r:id="rId8"/>
    <hyperlink ref="R9" r:id="rId9"/>
    <hyperlink ref="R11" r:id="rId10"/>
    <hyperlink ref="R12" r:id="rId11"/>
    <hyperlink ref="R13" r:id="rId12"/>
    <hyperlink ref="R14" r:id="rId13"/>
    <hyperlink ref="R15" r:id="rId14"/>
    <hyperlink ref="R16" r:id="rId15"/>
    <hyperlink ref="R17" r:id="rId16"/>
    <hyperlink ref="R18" r:id="rId17"/>
    <hyperlink ref="T20" r:id="rId18"/>
    <hyperlink ref="U20" r:id="rId19"/>
    <hyperlink ref="T21" r:id="rId20"/>
    <hyperlink ref="U21" r:id="rId21"/>
    <hyperlink ref="T23" r:id="rId22"/>
    <hyperlink ref="U23" r:id="rId23"/>
    <hyperlink ref="U24" r:id="rId24"/>
    <hyperlink ref="T25" r:id="rId25"/>
    <hyperlink ref="U25" r:id="rId26"/>
    <hyperlink ref="T27" r:id="rId27"/>
    <hyperlink ref="U27" r:id="rId28"/>
    <hyperlink ref="T28" r:id="rId29"/>
    <hyperlink ref="U28" r:id="rId30"/>
    <hyperlink ref="T29" r:id="rId31"/>
    <hyperlink ref="U29" r:id="rId32"/>
    <hyperlink ref="T30" r:id="rId33"/>
    <hyperlink ref="U30" r:id="rId34"/>
    <hyperlink ref="T31" r:id="rId35"/>
    <hyperlink ref="U31" r:id="rId36"/>
    <hyperlink ref="T32" r:id="rId37"/>
    <hyperlink ref="U32" r:id="rId38"/>
    <hyperlink ref="T33" r:id="rId39"/>
    <hyperlink ref="T34" r:id="rId40"/>
    <hyperlink ref="U34" r:id="rId41"/>
    <hyperlink ref="T35" r:id="rId42"/>
    <hyperlink ref="U35" r:id="rId43"/>
    <hyperlink ref="T36" r:id="rId44"/>
    <hyperlink ref="U36" r:id="rId45"/>
    <hyperlink ref="T37" r:id="rId46"/>
    <hyperlink ref="U37" r:id="rId47"/>
    <hyperlink ref="T38" r:id="rId48"/>
    <hyperlink ref="U38" r:id="rId49"/>
    <hyperlink ref="T39" r:id="rId50"/>
    <hyperlink ref="U39" r:id="rId51"/>
    <hyperlink ref="T40" r:id="rId52"/>
    <hyperlink ref="U40" r:id="rId53"/>
    <hyperlink ref="T41" r:id="rId54"/>
    <hyperlink ref="U41" r:id="rId55"/>
    <hyperlink ref="T42" r:id="rId56"/>
    <hyperlink ref="U42" r:id="rId57"/>
    <hyperlink ref="T43" r:id="rId58"/>
    <hyperlink ref="U43" r:id="rId59"/>
    <hyperlink ref="T44" r:id="rId60"/>
    <hyperlink ref="U44" r:id="rId61"/>
    <hyperlink ref="T45" r:id="rId62"/>
    <hyperlink ref="U45" r:id="rId63"/>
    <hyperlink ref="T46" r:id="rId64"/>
    <hyperlink ref="R47" r:id="rId65"/>
    <hyperlink ref="S48" r:id="rId66"/>
    <hyperlink ref="S49" r:id="rId67"/>
    <hyperlink ref="S50" r:id="rId68"/>
    <hyperlink ref="S51" r:id="rId69"/>
    <hyperlink ref="S52" r:id="rId70"/>
    <hyperlink ref="S53" r:id="rId71"/>
    <hyperlink ref="R54" r:id="rId72"/>
    <hyperlink ref="R55" r:id="rId73"/>
    <hyperlink ref="R56" r:id="rId74"/>
    <hyperlink ref="S56" r:id="rId75"/>
    <hyperlink ref="R57" r:id="rId76"/>
    <hyperlink ref="R58" r:id="rId77"/>
    <hyperlink ref="R59" r:id="rId78"/>
    <hyperlink ref="S59" r:id="rId79"/>
    <hyperlink ref="R60" r:id="rId80"/>
    <hyperlink ref="R61" r:id="rId81"/>
    <hyperlink ref="R62" r:id="rId82"/>
    <hyperlink ref="R63" r:id="rId83"/>
    <hyperlink ref="R64" r:id="rId84"/>
    <hyperlink ref="S64" r:id="rId85"/>
    <hyperlink ref="R65" r:id="rId86"/>
    <hyperlink ref="R66" r:id="rId87"/>
    <hyperlink ref="R67" r:id="rId88"/>
    <hyperlink ref="R68" r:id="rId89"/>
    <hyperlink ref="R69" r:id="rId90"/>
  </hyperlinks>
  <pageMargins left="0.7" right="0.7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184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ColWidth="14.42578125" defaultRowHeight="15" customHeight="1"/>
  <cols>
    <col min="1" max="1" width="7.7109375" customWidth="1"/>
    <col min="2" max="2" width="27.85546875" customWidth="1"/>
    <col min="3" max="3" width="7.85546875" customWidth="1"/>
    <col min="4" max="4" width="18.140625" customWidth="1"/>
    <col min="5" max="5" width="12.140625" customWidth="1"/>
    <col min="6" max="6" width="9.85546875" customWidth="1"/>
    <col min="7" max="7" width="10.140625" customWidth="1"/>
    <col min="8" max="8" width="9.7109375" customWidth="1"/>
    <col min="9" max="9" width="14.5703125" customWidth="1"/>
    <col min="10" max="10" width="14.140625" customWidth="1"/>
    <col min="11" max="11" width="11.85546875" customWidth="1"/>
    <col min="12" max="12" width="29.140625" customWidth="1"/>
    <col min="13" max="13" width="16" customWidth="1"/>
    <col min="14" max="14" width="12.7109375" customWidth="1"/>
    <col min="15" max="15" width="15" customWidth="1"/>
    <col min="16" max="16" width="16" customWidth="1"/>
    <col min="17" max="17" width="21.28515625" customWidth="1"/>
    <col min="18" max="18" width="15" customWidth="1"/>
    <col min="19" max="19" width="11.28515625" customWidth="1"/>
    <col min="20" max="20" width="11.42578125" customWidth="1"/>
    <col min="21" max="21" width="10" customWidth="1"/>
    <col min="22" max="22" width="11.5703125" customWidth="1"/>
    <col min="23" max="23" width="15.140625" customWidth="1"/>
  </cols>
  <sheetData>
    <row r="1" spans="1:39" ht="27" customHeight="1">
      <c r="A1" s="2003" t="s">
        <v>6683</v>
      </c>
      <c r="B1" s="2004" t="s">
        <v>430</v>
      </c>
      <c r="C1" s="2005" t="s">
        <v>431</v>
      </c>
      <c r="D1" s="2006" t="s">
        <v>432</v>
      </c>
      <c r="E1" s="2007" t="s">
        <v>433</v>
      </c>
      <c r="F1" s="2008" t="s">
        <v>2759</v>
      </c>
      <c r="G1" s="2009" t="s">
        <v>15</v>
      </c>
      <c r="H1" s="2009" t="s">
        <v>2760</v>
      </c>
      <c r="I1" s="2009" t="s">
        <v>2761</v>
      </c>
      <c r="J1" s="2010" t="s">
        <v>1006</v>
      </c>
      <c r="K1" s="2005" t="s">
        <v>678</v>
      </c>
      <c r="L1" s="2009" t="s">
        <v>23</v>
      </c>
      <c r="M1" s="2011" t="s">
        <v>435</v>
      </c>
      <c r="N1" s="2011" t="s">
        <v>130</v>
      </c>
      <c r="O1" s="2012" t="s">
        <v>1007</v>
      </c>
      <c r="P1" s="2011" t="s">
        <v>1008</v>
      </c>
      <c r="Q1" s="2011" t="s">
        <v>1009</v>
      </c>
      <c r="R1" s="2013" t="s">
        <v>6684</v>
      </c>
      <c r="S1" s="2013" t="s">
        <v>5627</v>
      </c>
      <c r="T1" s="2013" t="s">
        <v>2764</v>
      </c>
      <c r="U1" s="2013" t="s">
        <v>2765</v>
      </c>
      <c r="V1" s="2013" t="s">
        <v>5629</v>
      </c>
      <c r="W1" s="2014" t="s">
        <v>4167</v>
      </c>
      <c r="X1" s="2015"/>
      <c r="Y1" s="2015"/>
      <c r="Z1" s="2015"/>
      <c r="AA1" s="2015"/>
      <c r="AB1" s="2015"/>
      <c r="AC1" s="2015"/>
      <c r="AD1" s="2015"/>
      <c r="AE1" s="2015"/>
      <c r="AF1" s="2015"/>
      <c r="AG1" s="2015"/>
      <c r="AH1" s="2015"/>
      <c r="AI1" s="2015"/>
      <c r="AJ1" s="2015"/>
      <c r="AK1" s="2015"/>
      <c r="AL1" s="2015"/>
      <c r="AM1" s="2015"/>
    </row>
    <row r="2" spans="1:39">
      <c r="A2" s="980">
        <v>5</v>
      </c>
      <c r="B2" s="301" t="s">
        <v>6685</v>
      </c>
      <c r="C2" s="284" t="s">
        <v>22</v>
      </c>
      <c r="D2" s="1645" t="s">
        <v>6686</v>
      </c>
      <c r="E2" s="478" t="s">
        <v>6687</v>
      </c>
      <c r="F2" s="274" t="s">
        <v>759</v>
      </c>
      <c r="G2" s="284" t="s">
        <v>77</v>
      </c>
      <c r="H2" s="391"/>
      <c r="I2" s="536">
        <v>8013840446</v>
      </c>
      <c r="J2" s="536">
        <v>8013840446</v>
      </c>
      <c r="K2" s="275" t="s">
        <v>315</v>
      </c>
      <c r="L2" s="125" t="s">
        <v>67</v>
      </c>
      <c r="M2" s="2016">
        <v>31913</v>
      </c>
      <c r="N2" s="272">
        <v>53843</v>
      </c>
      <c r="O2" s="2017">
        <v>46144</v>
      </c>
      <c r="P2" s="279">
        <v>45452</v>
      </c>
      <c r="Q2" s="302">
        <v>45552</v>
      </c>
      <c r="R2" s="394" t="s">
        <v>6688</v>
      </c>
      <c r="S2" s="393"/>
      <c r="T2" s="403"/>
      <c r="U2" s="393"/>
      <c r="V2" s="383"/>
      <c r="W2" s="395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</row>
    <row r="3" spans="1:39" ht="15.75" customHeight="1">
      <c r="A3" s="980">
        <v>16</v>
      </c>
      <c r="B3" s="301" t="s">
        <v>6689</v>
      </c>
      <c r="C3" s="284" t="s">
        <v>22</v>
      </c>
      <c r="D3" s="1699" t="s">
        <v>6690</v>
      </c>
      <c r="E3" s="1702" t="s">
        <v>6691</v>
      </c>
      <c r="F3" s="274" t="s">
        <v>759</v>
      </c>
      <c r="G3" s="284" t="s">
        <v>76</v>
      </c>
      <c r="H3" s="391"/>
      <c r="I3" s="284">
        <v>9674938582</v>
      </c>
      <c r="J3" s="284"/>
      <c r="K3" s="275" t="s">
        <v>315</v>
      </c>
      <c r="L3" s="274" t="s">
        <v>44</v>
      </c>
      <c r="M3" s="272">
        <v>34347</v>
      </c>
      <c r="N3" s="272">
        <v>56280</v>
      </c>
      <c r="O3" s="400">
        <v>45171</v>
      </c>
      <c r="P3" s="279">
        <v>44941</v>
      </c>
      <c r="Q3" s="302">
        <v>46045</v>
      </c>
      <c r="R3" s="403"/>
      <c r="S3" s="393"/>
      <c r="T3" s="403"/>
      <c r="U3" s="393"/>
      <c r="V3" s="383"/>
      <c r="W3" s="395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</row>
    <row r="4" spans="1:39" ht="15.75" customHeight="1">
      <c r="A4" s="980">
        <v>24</v>
      </c>
      <c r="B4" s="301" t="s">
        <v>6692</v>
      </c>
      <c r="C4" s="284" t="s">
        <v>22</v>
      </c>
      <c r="D4" s="1645" t="s">
        <v>6693</v>
      </c>
      <c r="E4" s="595" t="s">
        <v>6694</v>
      </c>
      <c r="F4" s="274" t="s">
        <v>759</v>
      </c>
      <c r="G4" s="284" t="s">
        <v>76</v>
      </c>
      <c r="H4" s="391"/>
      <c r="I4" s="1295">
        <v>918101092471</v>
      </c>
      <c r="J4" s="284"/>
      <c r="K4" s="275" t="s">
        <v>315</v>
      </c>
      <c r="L4" s="274" t="s">
        <v>44</v>
      </c>
      <c r="M4" s="272">
        <v>34116</v>
      </c>
      <c r="N4" s="272">
        <f t="shared" ref="N4:N5" si="0">EOMONTH(M4,(12*60))</f>
        <v>56035</v>
      </c>
      <c r="O4" s="400"/>
      <c r="P4" s="279"/>
      <c r="Q4" s="302"/>
      <c r="R4" s="403"/>
      <c r="S4" s="393"/>
      <c r="T4" s="403"/>
      <c r="U4" s="393"/>
      <c r="V4" s="383"/>
      <c r="W4" s="395"/>
      <c r="X4" s="79"/>
      <c r="Y4" s="3"/>
      <c r="Z4" s="79"/>
      <c r="AA4" s="79"/>
      <c r="AB4" s="382"/>
      <c r="AC4" s="79"/>
      <c r="AD4" s="79"/>
      <c r="AE4" s="79"/>
      <c r="AF4" s="79"/>
      <c r="AG4" s="79"/>
      <c r="AH4" s="79"/>
    </row>
    <row r="5" spans="1:39">
      <c r="A5" s="980">
        <v>39</v>
      </c>
      <c r="B5" s="301" t="s">
        <v>6695</v>
      </c>
      <c r="C5" s="284" t="s">
        <v>22</v>
      </c>
      <c r="D5" s="1645" t="s">
        <v>6696</v>
      </c>
      <c r="E5" s="527"/>
      <c r="F5" s="274" t="s">
        <v>759</v>
      </c>
      <c r="G5" s="284" t="s">
        <v>77</v>
      </c>
      <c r="H5" s="391"/>
      <c r="I5" s="1295">
        <v>919230881587</v>
      </c>
      <c r="J5" s="284"/>
      <c r="K5" s="275" t="s">
        <v>315</v>
      </c>
      <c r="L5" s="274" t="s">
        <v>43</v>
      </c>
      <c r="M5" s="272">
        <v>32748</v>
      </c>
      <c r="N5" s="272">
        <f t="shared" si="0"/>
        <v>54666</v>
      </c>
      <c r="O5" s="400"/>
      <c r="P5" s="279"/>
      <c r="Q5" s="302"/>
      <c r="R5" s="394" t="s">
        <v>6697</v>
      </c>
      <c r="S5" s="393"/>
      <c r="T5" s="403"/>
      <c r="U5" s="393"/>
      <c r="V5" s="383"/>
      <c r="W5" s="395"/>
      <c r="X5" s="79"/>
      <c r="Y5" s="3"/>
      <c r="Z5" s="79"/>
      <c r="AA5" s="79"/>
      <c r="AB5" s="382"/>
      <c r="AC5" s="79"/>
      <c r="AD5" s="79"/>
      <c r="AE5" s="79"/>
      <c r="AF5" s="79"/>
      <c r="AG5" s="79"/>
      <c r="AH5" s="79"/>
    </row>
    <row r="6" spans="1:39">
      <c r="A6" s="980">
        <v>61</v>
      </c>
      <c r="B6" s="301" t="s">
        <v>6698</v>
      </c>
      <c r="C6" s="284" t="s">
        <v>22</v>
      </c>
      <c r="D6" s="1646" t="s">
        <v>6699</v>
      </c>
      <c r="E6" s="1120" t="s">
        <v>6700</v>
      </c>
      <c r="F6" s="274" t="s">
        <v>759</v>
      </c>
      <c r="G6" s="284" t="s">
        <v>76</v>
      </c>
      <c r="H6" s="391"/>
      <c r="I6" s="1295">
        <v>919123364434</v>
      </c>
      <c r="J6" s="284"/>
      <c r="K6" s="275" t="s">
        <v>315</v>
      </c>
      <c r="L6" s="274" t="s">
        <v>62</v>
      </c>
      <c r="M6" s="272">
        <v>33883</v>
      </c>
      <c r="N6" s="272">
        <v>55823</v>
      </c>
      <c r="O6" s="400">
        <v>45111</v>
      </c>
      <c r="P6" s="279">
        <v>45342</v>
      </c>
      <c r="Q6" s="302">
        <v>45342</v>
      </c>
      <c r="R6" s="403"/>
      <c r="S6" s="393"/>
      <c r="T6" s="403"/>
      <c r="U6" s="393"/>
      <c r="V6" s="383"/>
      <c r="W6" s="395"/>
      <c r="X6" s="79"/>
      <c r="Y6" s="395"/>
      <c r="Z6" s="79"/>
      <c r="AA6" s="383"/>
      <c r="AB6" s="282"/>
      <c r="AC6" s="383"/>
      <c r="AD6" s="383"/>
      <c r="AE6" s="383"/>
      <c r="AF6" s="383"/>
      <c r="AG6" s="383"/>
      <c r="AH6" s="383"/>
      <c r="AI6" s="384"/>
      <c r="AJ6" s="384"/>
      <c r="AK6" s="384"/>
      <c r="AL6" s="384"/>
      <c r="AM6" s="384"/>
    </row>
    <row r="7" spans="1:39">
      <c r="A7" s="980">
        <v>66</v>
      </c>
      <c r="B7" s="301" t="s">
        <v>6701</v>
      </c>
      <c r="C7" s="284" t="s">
        <v>22</v>
      </c>
      <c r="D7" s="1796" t="s">
        <v>6702</v>
      </c>
      <c r="E7" s="681" t="s">
        <v>6703</v>
      </c>
      <c r="F7" s="274" t="s">
        <v>759</v>
      </c>
      <c r="G7" s="284" t="s">
        <v>77</v>
      </c>
      <c r="H7" s="391"/>
      <c r="I7" s="580">
        <v>9038744541</v>
      </c>
      <c r="J7" s="284"/>
      <c r="K7" s="275" t="s">
        <v>315</v>
      </c>
      <c r="L7" s="274" t="s">
        <v>351</v>
      </c>
      <c r="M7" s="272">
        <v>33836</v>
      </c>
      <c r="N7" s="272">
        <v>55762</v>
      </c>
      <c r="O7" s="400">
        <v>45171</v>
      </c>
      <c r="P7" s="279">
        <v>44941</v>
      </c>
      <c r="Q7" s="302">
        <v>45951</v>
      </c>
      <c r="R7" s="403"/>
      <c r="S7" s="393"/>
      <c r="T7" s="403"/>
      <c r="U7" s="393"/>
      <c r="V7" s="383"/>
      <c r="W7" s="395"/>
      <c r="X7" s="79"/>
      <c r="Y7" s="395"/>
      <c r="Z7" s="79"/>
      <c r="AA7" s="383"/>
      <c r="AB7" s="282"/>
      <c r="AC7" s="383"/>
      <c r="AD7" s="383"/>
      <c r="AE7" s="383"/>
      <c r="AF7" s="383"/>
      <c r="AG7" s="383"/>
      <c r="AH7" s="383"/>
      <c r="AI7" s="384"/>
      <c r="AJ7" s="384"/>
      <c r="AK7" s="384"/>
      <c r="AL7" s="384"/>
      <c r="AM7" s="384"/>
    </row>
    <row r="8" spans="1:39">
      <c r="A8" s="980">
        <v>69</v>
      </c>
      <c r="B8" s="2018" t="s">
        <v>6704</v>
      </c>
      <c r="C8" s="284" t="s">
        <v>22</v>
      </c>
      <c r="D8" s="1645" t="s">
        <v>6705</v>
      </c>
      <c r="E8" s="527" t="s">
        <v>6706</v>
      </c>
      <c r="F8" s="274" t="s">
        <v>3258</v>
      </c>
      <c r="G8" s="284" t="s">
        <v>77</v>
      </c>
      <c r="H8" s="391"/>
      <c r="I8" s="1295">
        <v>919062714530</v>
      </c>
      <c r="J8" s="284"/>
      <c r="K8" s="275" t="s">
        <v>315</v>
      </c>
      <c r="L8" s="275" t="s">
        <v>43</v>
      </c>
      <c r="M8" s="272">
        <v>33443</v>
      </c>
      <c r="N8" s="272">
        <f>EOMONTH(M8,(12*60))</f>
        <v>55365</v>
      </c>
      <c r="O8" s="400"/>
      <c r="P8" s="279"/>
      <c r="Q8" s="302"/>
      <c r="R8" s="394" t="s">
        <v>6707</v>
      </c>
      <c r="S8" s="393"/>
      <c r="T8" s="403"/>
      <c r="U8" s="393"/>
      <c r="V8" s="383"/>
      <c r="W8" s="395"/>
      <c r="X8" s="79"/>
      <c r="Y8" s="395"/>
      <c r="Z8" s="79"/>
      <c r="AA8" s="383"/>
      <c r="AB8" s="282"/>
      <c r="AC8" s="383"/>
      <c r="AD8" s="383"/>
      <c r="AE8" s="383"/>
      <c r="AF8" s="383"/>
      <c r="AG8" s="383"/>
      <c r="AH8" s="383"/>
      <c r="AI8" s="384"/>
      <c r="AJ8" s="384"/>
      <c r="AK8" s="384"/>
      <c r="AL8" s="384"/>
      <c r="AM8" s="384"/>
    </row>
    <row r="9" spans="1:39">
      <c r="A9" s="980">
        <v>72</v>
      </c>
      <c r="B9" s="2019" t="s">
        <v>6708</v>
      </c>
      <c r="C9" s="284" t="s">
        <v>22</v>
      </c>
      <c r="D9" s="1699" t="s">
        <v>6709</v>
      </c>
      <c r="E9" s="1120" t="s">
        <v>6710</v>
      </c>
      <c r="F9" s="274" t="s">
        <v>759</v>
      </c>
      <c r="G9" s="284" t="s">
        <v>76</v>
      </c>
      <c r="H9" s="391"/>
      <c r="I9" s="1295">
        <v>919230881626</v>
      </c>
      <c r="J9" s="284"/>
      <c r="K9" s="275" t="s">
        <v>315</v>
      </c>
      <c r="L9" s="274" t="s">
        <v>69</v>
      </c>
      <c r="M9" s="272">
        <v>32215</v>
      </c>
      <c r="N9" s="272">
        <v>54148</v>
      </c>
      <c r="O9" s="400">
        <v>45113</v>
      </c>
      <c r="P9" s="279">
        <v>45298</v>
      </c>
      <c r="Q9" s="302">
        <v>45298</v>
      </c>
      <c r="R9" s="403"/>
      <c r="S9" s="393"/>
      <c r="T9" s="403"/>
      <c r="U9" s="393"/>
      <c r="V9" s="383"/>
      <c r="W9" s="395"/>
      <c r="X9" s="79"/>
      <c r="Y9" s="395"/>
      <c r="Z9" s="79"/>
      <c r="AA9" s="383"/>
      <c r="AB9" s="282"/>
      <c r="AC9" s="383"/>
      <c r="AD9" s="383"/>
      <c r="AE9" s="383"/>
      <c r="AF9" s="383"/>
      <c r="AG9" s="383"/>
      <c r="AH9" s="383"/>
      <c r="AI9" s="384"/>
      <c r="AJ9" s="384"/>
      <c r="AK9" s="384"/>
      <c r="AL9" s="384"/>
      <c r="AM9" s="384"/>
    </row>
    <row r="10" spans="1:39">
      <c r="A10" s="980">
        <v>77</v>
      </c>
      <c r="B10" s="301" t="s">
        <v>6711</v>
      </c>
      <c r="C10" s="284" t="s">
        <v>22</v>
      </c>
      <c r="D10" s="1645" t="s">
        <v>6712</v>
      </c>
      <c r="E10" s="527" t="s">
        <v>6713</v>
      </c>
      <c r="F10" s="274" t="s">
        <v>3258</v>
      </c>
      <c r="G10" s="284" t="s">
        <v>76</v>
      </c>
      <c r="H10" s="391"/>
      <c r="I10" s="1295">
        <v>917890098688</v>
      </c>
      <c r="J10" s="284"/>
      <c r="K10" s="275" t="s">
        <v>315</v>
      </c>
      <c r="L10" s="274" t="s">
        <v>55</v>
      </c>
      <c r="M10" s="272">
        <v>33524</v>
      </c>
      <c r="N10" s="272">
        <f t="shared" ref="N10:N16" si="1">EOMONTH(M10,(12*60))</f>
        <v>55457</v>
      </c>
      <c r="O10" s="400"/>
      <c r="P10" s="279"/>
      <c r="Q10" s="302"/>
      <c r="R10" s="394" t="s">
        <v>3973</v>
      </c>
      <c r="S10" s="393"/>
      <c r="T10" s="403"/>
      <c r="U10" s="393"/>
      <c r="V10" s="383"/>
      <c r="W10" s="395"/>
      <c r="X10" s="79"/>
      <c r="Y10" s="395"/>
      <c r="Z10" s="79"/>
      <c r="AA10" s="383"/>
      <c r="AB10" s="282"/>
      <c r="AC10" s="383"/>
      <c r="AD10" s="383"/>
      <c r="AE10" s="383"/>
      <c r="AF10" s="383"/>
      <c r="AG10" s="383"/>
      <c r="AH10" s="383"/>
      <c r="AI10" s="384"/>
      <c r="AJ10" s="384"/>
      <c r="AK10" s="384"/>
      <c r="AL10" s="384"/>
      <c r="AM10" s="384"/>
    </row>
    <row r="11" spans="1:39">
      <c r="A11" s="980">
        <v>90</v>
      </c>
      <c r="B11" s="301" t="s">
        <v>6714</v>
      </c>
      <c r="C11" s="284" t="s">
        <v>22</v>
      </c>
      <c r="D11" s="1645" t="s">
        <v>6715</v>
      </c>
      <c r="E11" s="527"/>
      <c r="F11" s="274" t="s">
        <v>759</v>
      </c>
      <c r="G11" s="284" t="s">
        <v>77</v>
      </c>
      <c r="H11" s="391"/>
      <c r="I11" s="1295">
        <v>919851116537</v>
      </c>
      <c r="J11" s="284"/>
      <c r="K11" s="275" t="s">
        <v>315</v>
      </c>
      <c r="L11" s="274" t="s">
        <v>62</v>
      </c>
      <c r="M11" s="272">
        <v>33677</v>
      </c>
      <c r="N11" s="272">
        <f t="shared" si="1"/>
        <v>55609</v>
      </c>
      <c r="O11" s="400"/>
      <c r="P11" s="279"/>
      <c r="Q11" s="302"/>
      <c r="R11" s="394" t="s">
        <v>6716</v>
      </c>
      <c r="S11" s="393"/>
      <c r="T11" s="403"/>
      <c r="U11" s="393"/>
      <c r="V11" s="383"/>
      <c r="W11" s="395"/>
      <c r="X11" s="79"/>
      <c r="Y11" s="395"/>
      <c r="Z11" s="79"/>
      <c r="AA11" s="383"/>
      <c r="AB11" s="282"/>
      <c r="AC11" s="383"/>
      <c r="AD11" s="383"/>
      <c r="AE11" s="383"/>
      <c r="AF11" s="383"/>
      <c r="AG11" s="383"/>
      <c r="AH11" s="383"/>
      <c r="AI11" s="384"/>
      <c r="AJ11" s="384"/>
      <c r="AK11" s="384"/>
      <c r="AL11" s="384"/>
      <c r="AM11" s="384"/>
    </row>
    <row r="12" spans="1:39">
      <c r="A12" s="980">
        <v>95</v>
      </c>
      <c r="B12" s="301" t="s">
        <v>6717</v>
      </c>
      <c r="C12" s="284" t="s">
        <v>22</v>
      </c>
      <c r="D12" s="1646" t="s">
        <v>6718</v>
      </c>
      <c r="E12" s="681" t="s">
        <v>6719</v>
      </c>
      <c r="F12" s="274" t="s">
        <v>759</v>
      </c>
      <c r="G12" s="284" t="s">
        <v>76</v>
      </c>
      <c r="H12" s="391"/>
      <c r="I12" s="1295">
        <v>919800881582</v>
      </c>
      <c r="J12" s="284"/>
      <c r="K12" s="275" t="s">
        <v>315</v>
      </c>
      <c r="L12" s="18" t="s">
        <v>256</v>
      </c>
      <c r="M12" s="272">
        <v>33151</v>
      </c>
      <c r="N12" s="272">
        <f t="shared" si="1"/>
        <v>55092</v>
      </c>
      <c r="O12" s="400"/>
      <c r="P12" s="279"/>
      <c r="Q12" s="418"/>
      <c r="R12" s="338"/>
      <c r="S12" s="393"/>
      <c r="T12" s="403"/>
      <c r="U12" s="393"/>
      <c r="V12" s="383"/>
      <c r="W12" s="395"/>
      <c r="X12" s="79"/>
      <c r="Y12" s="395"/>
      <c r="Z12" s="79"/>
      <c r="AA12" s="383"/>
      <c r="AB12" s="282"/>
      <c r="AC12" s="383"/>
      <c r="AD12" s="383"/>
      <c r="AE12" s="383"/>
      <c r="AF12" s="383"/>
      <c r="AG12" s="383"/>
      <c r="AH12" s="383"/>
      <c r="AI12" s="384"/>
      <c r="AJ12" s="384"/>
      <c r="AK12" s="384"/>
      <c r="AL12" s="384"/>
      <c r="AM12" s="384"/>
    </row>
    <row r="13" spans="1:39">
      <c r="A13" s="980">
        <v>97</v>
      </c>
      <c r="B13" s="301" t="s">
        <v>6720</v>
      </c>
      <c r="C13" s="284" t="s">
        <v>22</v>
      </c>
      <c r="D13" s="1646" t="s">
        <v>6721</v>
      </c>
      <c r="E13" s="681" t="s">
        <v>6722</v>
      </c>
      <c r="F13" s="274" t="s">
        <v>759</v>
      </c>
      <c r="G13" s="284" t="s">
        <v>78</v>
      </c>
      <c r="H13" s="391"/>
      <c r="I13" s="1295">
        <v>918918315939</v>
      </c>
      <c r="J13" s="284"/>
      <c r="K13" s="275" t="s">
        <v>315</v>
      </c>
      <c r="L13" s="274" t="s">
        <v>55</v>
      </c>
      <c r="M13" s="272">
        <v>32756</v>
      </c>
      <c r="N13" s="272">
        <f t="shared" si="1"/>
        <v>54696</v>
      </c>
      <c r="O13" s="400"/>
      <c r="P13" s="279"/>
      <c r="Q13" s="418"/>
      <c r="R13" s="338"/>
      <c r="S13" s="393"/>
      <c r="T13" s="403"/>
      <c r="U13" s="393"/>
      <c r="V13" s="383"/>
      <c r="W13" s="395"/>
      <c r="X13" s="79"/>
      <c r="Y13" s="395"/>
      <c r="Z13" s="79"/>
      <c r="AA13" s="383"/>
      <c r="AB13" s="282"/>
      <c r="AC13" s="383"/>
      <c r="AD13" s="383"/>
      <c r="AE13" s="383"/>
      <c r="AF13" s="383"/>
      <c r="AG13" s="383"/>
      <c r="AH13" s="383"/>
      <c r="AI13" s="384"/>
      <c r="AJ13" s="384"/>
      <c r="AK13" s="384"/>
      <c r="AL13" s="384"/>
      <c r="AM13" s="384"/>
    </row>
    <row r="14" spans="1:39">
      <c r="A14" s="980">
        <v>99</v>
      </c>
      <c r="B14" s="301" t="s">
        <v>6723</v>
      </c>
      <c r="C14" s="284" t="s">
        <v>22</v>
      </c>
      <c r="D14" s="1646" t="s">
        <v>6724</v>
      </c>
      <c r="E14" s="681" t="s">
        <v>6725</v>
      </c>
      <c r="F14" s="274" t="s">
        <v>759</v>
      </c>
      <c r="G14" s="284" t="s">
        <v>76</v>
      </c>
      <c r="H14" s="391"/>
      <c r="I14" s="1295">
        <v>919230881621</v>
      </c>
      <c r="J14" s="284"/>
      <c r="K14" s="275" t="s">
        <v>315</v>
      </c>
      <c r="L14" s="275" t="s">
        <v>43</v>
      </c>
      <c r="M14" s="272">
        <v>35077</v>
      </c>
      <c r="N14" s="272">
        <f t="shared" si="1"/>
        <v>57010</v>
      </c>
      <c r="O14" s="400"/>
      <c r="P14" s="279"/>
      <c r="Q14" s="418"/>
      <c r="R14" s="338"/>
      <c r="S14" s="393"/>
      <c r="T14" s="403"/>
      <c r="U14" s="393"/>
      <c r="V14" s="383"/>
      <c r="W14" s="395"/>
      <c r="X14" s="79"/>
      <c r="Y14" s="395"/>
      <c r="Z14" s="79"/>
      <c r="AA14" s="383"/>
      <c r="AB14" s="282"/>
      <c r="AC14" s="383"/>
      <c r="AD14" s="383"/>
      <c r="AE14" s="383"/>
      <c r="AF14" s="383"/>
      <c r="AG14" s="383"/>
      <c r="AH14" s="383"/>
      <c r="AI14" s="384"/>
      <c r="AJ14" s="384"/>
      <c r="AK14" s="384"/>
      <c r="AL14" s="384"/>
      <c r="AM14" s="384"/>
    </row>
    <row r="15" spans="1:39">
      <c r="A15" s="980">
        <v>100</v>
      </c>
      <c r="B15" s="301" t="s">
        <v>5773</v>
      </c>
      <c r="C15" s="284" t="s">
        <v>22</v>
      </c>
      <c r="D15" s="1646" t="s">
        <v>6726</v>
      </c>
      <c r="E15" s="681" t="s">
        <v>6727</v>
      </c>
      <c r="F15" s="274" t="s">
        <v>759</v>
      </c>
      <c r="G15" s="284" t="s">
        <v>76</v>
      </c>
      <c r="H15" s="391"/>
      <c r="I15" s="1295">
        <v>919097616714</v>
      </c>
      <c r="J15" s="284"/>
      <c r="K15" s="275" t="s">
        <v>315</v>
      </c>
      <c r="L15" s="274" t="s">
        <v>50</v>
      </c>
      <c r="M15" s="272">
        <v>35856</v>
      </c>
      <c r="N15" s="272">
        <f t="shared" si="1"/>
        <v>57800</v>
      </c>
      <c r="O15" s="400"/>
      <c r="P15" s="279"/>
      <c r="Q15" s="418"/>
      <c r="R15" s="338"/>
      <c r="S15" s="393"/>
      <c r="T15" s="403"/>
      <c r="U15" s="393"/>
      <c r="V15" s="383"/>
      <c r="W15" s="395"/>
      <c r="X15" s="79"/>
      <c r="Y15" s="395"/>
      <c r="Z15" s="79"/>
      <c r="AA15" s="383"/>
      <c r="AB15" s="282"/>
      <c r="AC15" s="383"/>
      <c r="AD15" s="383"/>
      <c r="AE15" s="383"/>
      <c r="AF15" s="383"/>
      <c r="AG15" s="383"/>
      <c r="AH15" s="383"/>
      <c r="AI15" s="384"/>
      <c r="AJ15" s="384"/>
      <c r="AK15" s="384"/>
      <c r="AL15" s="384"/>
      <c r="AM15" s="384"/>
    </row>
    <row r="16" spans="1:39">
      <c r="A16" s="980">
        <v>101</v>
      </c>
      <c r="B16" s="301" t="s">
        <v>6728</v>
      </c>
      <c r="C16" s="284" t="s">
        <v>22</v>
      </c>
      <c r="D16" s="1646" t="s">
        <v>6729</v>
      </c>
      <c r="E16" s="681" t="s">
        <v>6730</v>
      </c>
      <c r="F16" s="274" t="s">
        <v>759</v>
      </c>
      <c r="G16" s="284" t="s">
        <v>76</v>
      </c>
      <c r="H16" s="391"/>
      <c r="I16" s="1295">
        <v>919230881644</v>
      </c>
      <c r="J16" s="284"/>
      <c r="K16" s="275" t="s">
        <v>315</v>
      </c>
      <c r="L16" s="274" t="s">
        <v>50</v>
      </c>
      <c r="M16" s="272">
        <v>35918</v>
      </c>
      <c r="N16" s="272">
        <f t="shared" si="1"/>
        <v>57861</v>
      </c>
      <c r="O16" s="400"/>
      <c r="P16" s="279"/>
      <c r="Q16" s="418"/>
      <c r="R16" s="338"/>
      <c r="S16" s="393"/>
      <c r="T16" s="403"/>
      <c r="U16" s="393"/>
      <c r="V16" s="383"/>
      <c r="W16" s="395"/>
      <c r="X16" s="79"/>
      <c r="Y16" s="395"/>
      <c r="Z16" s="79"/>
      <c r="AA16" s="383"/>
      <c r="AB16" s="282"/>
      <c r="AC16" s="383"/>
      <c r="AD16" s="383"/>
      <c r="AE16" s="383"/>
      <c r="AF16" s="383"/>
      <c r="AG16" s="383"/>
      <c r="AH16" s="383"/>
      <c r="AI16" s="384"/>
      <c r="AJ16" s="384"/>
      <c r="AK16" s="384"/>
      <c r="AL16" s="384"/>
      <c r="AM16" s="384"/>
    </row>
    <row r="17" spans="1:39" ht="15" customHeight="1">
      <c r="A17" s="980">
        <v>102</v>
      </c>
      <c r="B17" s="286" t="s">
        <v>6731</v>
      </c>
      <c r="C17" s="18" t="s">
        <v>22</v>
      </c>
      <c r="D17" s="1645" t="s">
        <v>6732</v>
      </c>
      <c r="E17" s="18" t="s">
        <v>6733</v>
      </c>
      <c r="F17" s="274" t="s">
        <v>759</v>
      </c>
      <c r="G17" s="284" t="s">
        <v>76</v>
      </c>
      <c r="H17" s="79"/>
      <c r="I17" s="1295">
        <v>917980342445</v>
      </c>
      <c r="J17" s="79"/>
      <c r="K17" s="275" t="s">
        <v>315</v>
      </c>
      <c r="L17" s="274" t="s">
        <v>59</v>
      </c>
      <c r="M17" s="1980">
        <v>34325</v>
      </c>
      <c r="N17" s="1980">
        <v>56249</v>
      </c>
      <c r="O17" s="79"/>
      <c r="P17" s="79"/>
      <c r="Q17" s="79"/>
      <c r="R17" s="281" t="s">
        <v>6734</v>
      </c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</row>
    <row r="18" spans="1:39">
      <c r="A18" s="980">
        <v>103</v>
      </c>
      <c r="B18" s="301" t="s">
        <v>6735</v>
      </c>
      <c r="C18" s="284" t="s">
        <v>22</v>
      </c>
      <c r="D18" s="1646" t="s">
        <v>6736</v>
      </c>
      <c r="E18" s="681" t="s">
        <v>6737</v>
      </c>
      <c r="F18" s="274" t="s">
        <v>759</v>
      </c>
      <c r="G18" s="284" t="s">
        <v>77</v>
      </c>
      <c r="H18" s="391"/>
      <c r="I18" s="1295">
        <v>919230881649</v>
      </c>
      <c r="J18" s="284"/>
      <c r="K18" s="275" t="s">
        <v>315</v>
      </c>
      <c r="L18" s="274" t="s">
        <v>256</v>
      </c>
      <c r="M18" s="272">
        <v>28484</v>
      </c>
      <c r="N18" s="272">
        <f t="shared" ref="N18:N31" si="2">EOMONTH(M18,(12*60))</f>
        <v>50405</v>
      </c>
      <c r="O18" s="400"/>
      <c r="P18" s="279"/>
      <c r="Q18" s="418"/>
      <c r="R18" s="338"/>
      <c r="S18" s="393"/>
      <c r="T18" s="403"/>
      <c r="U18" s="393"/>
      <c r="V18" s="383"/>
      <c r="W18" s="395"/>
      <c r="X18" s="79"/>
      <c r="Y18" s="395"/>
      <c r="Z18" s="79"/>
      <c r="AA18" s="383"/>
      <c r="AB18" s="282"/>
      <c r="AC18" s="383"/>
      <c r="AD18" s="383"/>
      <c r="AE18" s="383"/>
      <c r="AF18" s="383"/>
      <c r="AG18" s="383"/>
      <c r="AH18" s="383"/>
      <c r="AI18" s="384"/>
      <c r="AJ18" s="384"/>
      <c r="AK18" s="384"/>
      <c r="AL18" s="384"/>
      <c r="AM18" s="384"/>
    </row>
    <row r="19" spans="1:39">
      <c r="A19" s="980">
        <v>106</v>
      </c>
      <c r="B19" s="301" t="s">
        <v>6738</v>
      </c>
      <c r="C19" s="284" t="s">
        <v>22</v>
      </c>
      <c r="D19" s="1646" t="s">
        <v>6739</v>
      </c>
      <c r="E19" s="681" t="s">
        <v>6740</v>
      </c>
      <c r="F19" s="274" t="s">
        <v>759</v>
      </c>
      <c r="G19" s="284" t="s">
        <v>77</v>
      </c>
      <c r="H19" s="391"/>
      <c r="I19" s="1295">
        <v>919230881548</v>
      </c>
      <c r="J19" s="284"/>
      <c r="K19" s="275" t="s">
        <v>315</v>
      </c>
      <c r="L19" s="18" t="s">
        <v>64</v>
      </c>
      <c r="M19" s="272">
        <v>34025</v>
      </c>
      <c r="N19" s="272">
        <f t="shared" si="2"/>
        <v>55943</v>
      </c>
      <c r="O19" s="400"/>
      <c r="P19" s="279"/>
      <c r="Q19" s="418"/>
      <c r="R19" s="338"/>
      <c r="S19" s="393"/>
      <c r="T19" s="403"/>
      <c r="U19" s="393"/>
      <c r="V19" s="383"/>
      <c r="W19" s="395"/>
      <c r="X19" s="79"/>
      <c r="Y19" s="395"/>
      <c r="Z19" s="79"/>
      <c r="AA19" s="383"/>
      <c r="AB19" s="282"/>
      <c r="AC19" s="383"/>
      <c r="AD19" s="383"/>
      <c r="AE19" s="383"/>
      <c r="AF19" s="383"/>
      <c r="AG19" s="383"/>
      <c r="AH19" s="383"/>
      <c r="AI19" s="384"/>
      <c r="AJ19" s="384"/>
      <c r="AK19" s="384"/>
      <c r="AL19" s="384"/>
      <c r="AM19" s="384"/>
    </row>
    <row r="20" spans="1:39">
      <c r="A20" s="980">
        <v>107</v>
      </c>
      <c r="B20" s="301" t="s">
        <v>6741</v>
      </c>
      <c r="C20" s="284" t="s">
        <v>22</v>
      </c>
      <c r="D20" s="1646" t="s">
        <v>6742</v>
      </c>
      <c r="E20" s="681" t="s">
        <v>6743</v>
      </c>
      <c r="F20" s="274" t="s">
        <v>759</v>
      </c>
      <c r="G20" s="284" t="s">
        <v>77</v>
      </c>
      <c r="H20" s="391"/>
      <c r="I20" s="1295">
        <v>918116759477</v>
      </c>
      <c r="J20" s="284"/>
      <c r="K20" s="275" t="s">
        <v>315</v>
      </c>
      <c r="L20" s="274" t="s">
        <v>417</v>
      </c>
      <c r="M20" s="272">
        <v>33003</v>
      </c>
      <c r="N20" s="272">
        <f t="shared" si="2"/>
        <v>54939</v>
      </c>
      <c r="O20" s="400"/>
      <c r="P20" s="279"/>
      <c r="Q20" s="418"/>
      <c r="R20" s="338"/>
      <c r="S20" s="393"/>
      <c r="T20" s="403"/>
      <c r="U20" s="393"/>
      <c r="V20" s="383"/>
      <c r="W20" s="395"/>
      <c r="X20" s="79"/>
      <c r="Y20" s="395"/>
      <c r="Z20" s="79"/>
      <c r="AA20" s="383"/>
      <c r="AB20" s="282"/>
      <c r="AC20" s="383"/>
      <c r="AD20" s="383"/>
      <c r="AE20" s="383"/>
      <c r="AF20" s="383"/>
      <c r="AG20" s="383"/>
      <c r="AH20" s="383"/>
      <c r="AI20" s="384"/>
      <c r="AJ20" s="384"/>
      <c r="AK20" s="384"/>
      <c r="AL20" s="384"/>
      <c r="AM20" s="384"/>
    </row>
    <row r="21" spans="1:39">
      <c r="A21" s="980">
        <v>108</v>
      </c>
      <c r="B21" s="301" t="s">
        <v>6744</v>
      </c>
      <c r="C21" s="284" t="s">
        <v>22</v>
      </c>
      <c r="D21" s="1646" t="s">
        <v>6745</v>
      </c>
      <c r="E21" s="681" t="s">
        <v>6746</v>
      </c>
      <c r="F21" s="274" t="s">
        <v>759</v>
      </c>
      <c r="G21" s="284" t="s">
        <v>76</v>
      </c>
      <c r="H21" s="391"/>
      <c r="I21" s="1295">
        <v>918250037767</v>
      </c>
      <c r="J21" s="284"/>
      <c r="K21" s="275" t="s">
        <v>315</v>
      </c>
      <c r="L21" s="445" t="s">
        <v>56</v>
      </c>
      <c r="M21" s="272">
        <v>34351</v>
      </c>
      <c r="N21" s="272">
        <f t="shared" si="2"/>
        <v>56280</v>
      </c>
      <c r="O21" s="400"/>
      <c r="P21" s="279"/>
      <c r="Q21" s="418"/>
      <c r="R21" s="338"/>
      <c r="S21" s="393"/>
      <c r="T21" s="403"/>
      <c r="U21" s="393"/>
      <c r="V21" s="383"/>
      <c r="W21" s="395"/>
      <c r="X21" s="79"/>
      <c r="Y21" s="395"/>
      <c r="Z21" s="79"/>
      <c r="AA21" s="383"/>
      <c r="AB21" s="282"/>
      <c r="AC21" s="383"/>
      <c r="AD21" s="383"/>
      <c r="AE21" s="383"/>
      <c r="AF21" s="383"/>
      <c r="AG21" s="383"/>
      <c r="AH21" s="383"/>
      <c r="AI21" s="384"/>
      <c r="AJ21" s="384"/>
      <c r="AK21" s="384"/>
      <c r="AL21" s="384"/>
      <c r="AM21" s="384"/>
    </row>
    <row r="22" spans="1:39">
      <c r="A22" s="980">
        <v>109</v>
      </c>
      <c r="B22" s="301" t="s">
        <v>6747</v>
      </c>
      <c r="C22" s="284" t="s">
        <v>22</v>
      </c>
      <c r="D22" s="1646" t="s">
        <v>6748</v>
      </c>
      <c r="E22" s="1120" t="s">
        <v>6749</v>
      </c>
      <c r="F22" s="274" t="s">
        <v>759</v>
      </c>
      <c r="G22" s="284" t="s">
        <v>76</v>
      </c>
      <c r="H22" s="391"/>
      <c r="I22" s="1295">
        <v>918697631953</v>
      </c>
      <c r="J22" s="284"/>
      <c r="K22" s="275" t="s">
        <v>315</v>
      </c>
      <c r="L22" s="18" t="s">
        <v>55</v>
      </c>
      <c r="M22" s="272">
        <v>32957</v>
      </c>
      <c r="N22" s="272">
        <f t="shared" si="2"/>
        <v>54878</v>
      </c>
      <c r="O22" s="400"/>
      <c r="P22" s="279"/>
      <c r="Q22" s="418"/>
      <c r="R22" s="338"/>
      <c r="S22" s="393"/>
      <c r="T22" s="403"/>
      <c r="U22" s="393"/>
      <c r="V22" s="383"/>
      <c r="W22" s="395"/>
      <c r="X22" s="79"/>
      <c r="Y22" s="395"/>
      <c r="Z22" s="79"/>
      <c r="AA22" s="383"/>
      <c r="AB22" s="282"/>
      <c r="AC22" s="383"/>
      <c r="AD22" s="383"/>
      <c r="AE22" s="383"/>
      <c r="AF22" s="383"/>
      <c r="AG22" s="383"/>
      <c r="AH22" s="383"/>
      <c r="AI22" s="384"/>
      <c r="AJ22" s="384"/>
      <c r="AK22" s="384"/>
      <c r="AL22" s="384"/>
      <c r="AM22" s="384"/>
    </row>
    <row r="23" spans="1:39">
      <c r="A23" s="980">
        <v>110</v>
      </c>
      <c r="B23" s="301" t="s">
        <v>6750</v>
      </c>
      <c r="C23" s="284" t="s">
        <v>22</v>
      </c>
      <c r="D23" s="1646" t="s">
        <v>6751</v>
      </c>
      <c r="E23" s="1120" t="s">
        <v>6752</v>
      </c>
      <c r="F23" s="274" t="s">
        <v>759</v>
      </c>
      <c r="G23" s="284" t="s">
        <v>77</v>
      </c>
      <c r="H23" s="391"/>
      <c r="I23" s="1295">
        <v>919230881552</v>
      </c>
      <c r="J23" s="284"/>
      <c r="K23" s="275" t="s">
        <v>315</v>
      </c>
      <c r="L23" s="125" t="s">
        <v>69</v>
      </c>
      <c r="M23" s="272">
        <v>34039</v>
      </c>
      <c r="N23" s="272">
        <f t="shared" si="2"/>
        <v>55974</v>
      </c>
      <c r="O23" s="400"/>
      <c r="P23" s="279"/>
      <c r="Q23" s="418"/>
      <c r="R23" s="338"/>
      <c r="S23" s="393"/>
      <c r="T23" s="403"/>
      <c r="U23" s="393"/>
      <c r="V23" s="383"/>
      <c r="W23" s="395"/>
      <c r="X23" s="79"/>
      <c r="Y23" s="395"/>
      <c r="Z23" s="79"/>
      <c r="AA23" s="383"/>
      <c r="AB23" s="282"/>
      <c r="AC23" s="383"/>
      <c r="AD23" s="383"/>
      <c r="AE23" s="383"/>
      <c r="AF23" s="383"/>
      <c r="AG23" s="383"/>
      <c r="AH23" s="383"/>
      <c r="AI23" s="384"/>
      <c r="AJ23" s="384"/>
      <c r="AK23" s="384"/>
      <c r="AL23" s="384"/>
      <c r="AM23" s="384"/>
    </row>
    <row r="24" spans="1:39">
      <c r="A24" s="980">
        <v>113</v>
      </c>
      <c r="B24" s="557" t="s">
        <v>6753</v>
      </c>
      <c r="C24" s="284" t="s">
        <v>22</v>
      </c>
      <c r="D24" s="1646" t="s">
        <v>6754</v>
      </c>
      <c r="E24" s="527" t="s">
        <v>6755</v>
      </c>
      <c r="F24" s="274" t="s">
        <v>759</v>
      </c>
      <c r="G24" s="284" t="s">
        <v>76</v>
      </c>
      <c r="H24" s="391"/>
      <c r="I24" s="1295">
        <v>918574302968</v>
      </c>
      <c r="J24" s="284"/>
      <c r="K24" s="275" t="s">
        <v>315</v>
      </c>
      <c r="L24" s="284" t="s">
        <v>299</v>
      </c>
      <c r="M24" s="272">
        <v>34190</v>
      </c>
      <c r="N24" s="272">
        <f t="shared" si="2"/>
        <v>56127</v>
      </c>
      <c r="O24" s="400"/>
      <c r="P24" s="279"/>
      <c r="Q24" s="418"/>
      <c r="R24" s="338"/>
      <c r="S24" s="393"/>
      <c r="T24" s="403"/>
      <c r="U24" s="393"/>
      <c r="V24" s="383"/>
      <c r="W24" s="395"/>
      <c r="X24" s="79"/>
      <c r="Y24" s="395"/>
      <c r="Z24" s="79"/>
      <c r="AA24" s="383"/>
      <c r="AB24" s="282"/>
      <c r="AC24" s="383"/>
      <c r="AD24" s="383"/>
      <c r="AE24" s="383"/>
      <c r="AF24" s="383"/>
      <c r="AG24" s="383"/>
      <c r="AH24" s="383"/>
      <c r="AI24" s="384"/>
      <c r="AJ24" s="384"/>
      <c r="AK24" s="384"/>
      <c r="AL24" s="384"/>
      <c r="AM24" s="384"/>
    </row>
    <row r="25" spans="1:39">
      <c r="A25" s="980">
        <v>114</v>
      </c>
      <c r="B25" s="301" t="s">
        <v>6756</v>
      </c>
      <c r="C25" s="284" t="s">
        <v>22</v>
      </c>
      <c r="D25" s="1646" t="s">
        <v>6757</v>
      </c>
      <c r="E25" s="527" t="s">
        <v>6758</v>
      </c>
      <c r="F25" s="274" t="s">
        <v>759</v>
      </c>
      <c r="G25" s="284" t="s">
        <v>76</v>
      </c>
      <c r="H25" s="391"/>
      <c r="I25" s="1295">
        <v>919230881612</v>
      </c>
      <c r="J25" s="284"/>
      <c r="K25" s="275" t="s">
        <v>315</v>
      </c>
      <c r="L25" s="274" t="s">
        <v>69</v>
      </c>
      <c r="M25" s="272">
        <v>34869</v>
      </c>
      <c r="N25" s="272">
        <f t="shared" si="2"/>
        <v>56795</v>
      </c>
      <c r="O25" s="400"/>
      <c r="P25" s="279"/>
      <c r="Q25" s="418"/>
      <c r="R25" s="338"/>
      <c r="S25" s="393"/>
      <c r="T25" s="403"/>
      <c r="U25" s="393"/>
      <c r="V25" s="383"/>
      <c r="W25" s="395"/>
      <c r="X25" s="79"/>
      <c r="Y25" s="395"/>
      <c r="Z25" s="79"/>
      <c r="AA25" s="383"/>
      <c r="AB25" s="282"/>
      <c r="AC25" s="383"/>
      <c r="AD25" s="383"/>
      <c r="AE25" s="383"/>
      <c r="AF25" s="383"/>
      <c r="AG25" s="383"/>
      <c r="AH25" s="383"/>
      <c r="AI25" s="384"/>
      <c r="AJ25" s="384"/>
      <c r="AK25" s="384"/>
      <c r="AL25" s="384"/>
      <c r="AM25" s="384"/>
    </row>
    <row r="26" spans="1:39">
      <c r="A26" s="980">
        <v>117</v>
      </c>
      <c r="B26" s="286" t="s">
        <v>6759</v>
      </c>
      <c r="C26" s="18" t="s">
        <v>22</v>
      </c>
      <c r="D26" s="1645" t="s">
        <v>6760</v>
      </c>
      <c r="E26" s="18" t="s">
        <v>6761</v>
      </c>
      <c r="F26" s="274" t="s">
        <v>759</v>
      </c>
      <c r="G26" s="284" t="s">
        <v>76</v>
      </c>
      <c r="H26" s="391"/>
      <c r="I26" s="1295">
        <v>919230881645</v>
      </c>
      <c r="J26" s="79"/>
      <c r="K26" s="275" t="s">
        <v>315</v>
      </c>
      <c r="L26" s="18" t="s">
        <v>43</v>
      </c>
      <c r="M26" s="1979">
        <v>33649</v>
      </c>
      <c r="N26" s="272">
        <f t="shared" si="2"/>
        <v>55578</v>
      </c>
      <c r="O26" s="79"/>
      <c r="P26" s="79"/>
      <c r="Q26" s="79"/>
      <c r="R26" s="280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</row>
    <row r="27" spans="1:39">
      <c r="A27" s="980">
        <v>118</v>
      </c>
      <c r="B27" s="426" t="s">
        <v>6762</v>
      </c>
      <c r="C27" s="18" t="s">
        <v>22</v>
      </c>
      <c r="D27" s="2020" t="s">
        <v>6763</v>
      </c>
      <c r="E27" s="18" t="s">
        <v>6764</v>
      </c>
      <c r="F27" s="18" t="s">
        <v>759</v>
      </c>
      <c r="G27" s="18" t="s">
        <v>77</v>
      </c>
      <c r="H27" s="3"/>
      <c r="I27" s="1295">
        <v>919230881658</v>
      </c>
      <c r="J27" s="79"/>
      <c r="K27" s="275" t="s">
        <v>315</v>
      </c>
      <c r="L27" s="274" t="s">
        <v>61</v>
      </c>
      <c r="M27" s="1979">
        <v>35828</v>
      </c>
      <c r="N27" s="272">
        <f t="shared" si="2"/>
        <v>57769</v>
      </c>
      <c r="O27" s="79"/>
      <c r="P27" s="79"/>
      <c r="Q27" s="602"/>
      <c r="R27" s="281" t="s">
        <v>6765</v>
      </c>
      <c r="S27" s="280"/>
      <c r="T27" s="280"/>
      <c r="U27" s="280"/>
      <c r="V27" s="280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</row>
    <row r="28" spans="1:39">
      <c r="A28" s="980">
        <v>119</v>
      </c>
      <c r="B28" s="426" t="s">
        <v>6766</v>
      </c>
      <c r="C28" s="18" t="s">
        <v>22</v>
      </c>
      <c r="D28" s="2020" t="s">
        <v>6767</v>
      </c>
      <c r="E28" s="18" t="s">
        <v>6768</v>
      </c>
      <c r="F28" s="18" t="s">
        <v>759</v>
      </c>
      <c r="G28" s="18" t="s">
        <v>76</v>
      </c>
      <c r="H28" s="3"/>
      <c r="I28" s="1295">
        <v>917905769702</v>
      </c>
      <c r="J28" s="79"/>
      <c r="K28" s="275" t="s">
        <v>315</v>
      </c>
      <c r="L28" s="274" t="s">
        <v>69</v>
      </c>
      <c r="M28" s="1979">
        <v>33731</v>
      </c>
      <c r="N28" s="272">
        <f t="shared" si="2"/>
        <v>55670</v>
      </c>
      <c r="O28" s="79"/>
      <c r="P28" s="79"/>
      <c r="Q28" s="602"/>
      <c r="R28" s="280"/>
      <c r="S28" s="280"/>
      <c r="T28" s="280"/>
      <c r="U28" s="280"/>
      <c r="V28" s="280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</row>
    <row r="29" spans="1:39" ht="15.75">
      <c r="A29" s="980">
        <v>120</v>
      </c>
      <c r="B29" s="426" t="s">
        <v>6769</v>
      </c>
      <c r="C29" s="18" t="s">
        <v>22</v>
      </c>
      <c r="D29" s="2021" t="s">
        <v>6770</v>
      </c>
      <c r="E29" s="527" t="s">
        <v>6771</v>
      </c>
      <c r="F29" s="674" t="s">
        <v>759</v>
      </c>
      <c r="G29" s="18" t="s">
        <v>76</v>
      </c>
      <c r="H29" s="3"/>
      <c r="I29" s="1295">
        <v>918240687276</v>
      </c>
      <c r="J29" s="79"/>
      <c r="K29" s="275" t="s">
        <v>315</v>
      </c>
      <c r="L29" s="18" t="s">
        <v>64</v>
      </c>
      <c r="M29" s="1980">
        <v>35363</v>
      </c>
      <c r="N29" s="272">
        <f t="shared" si="2"/>
        <v>57284</v>
      </c>
      <c r="O29" s="79"/>
      <c r="P29" s="602"/>
      <c r="Q29" s="602"/>
      <c r="R29" s="281" t="s">
        <v>6772</v>
      </c>
      <c r="S29" s="280"/>
      <c r="T29" s="280"/>
      <c r="U29" s="280"/>
      <c r="V29" s="280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</row>
    <row r="30" spans="1:39" ht="12.75" customHeight="1">
      <c r="A30" s="980">
        <v>122</v>
      </c>
      <c r="B30" s="634" t="s">
        <v>6773</v>
      </c>
      <c r="C30" s="366" t="s">
        <v>22</v>
      </c>
      <c r="D30" s="2022" t="s">
        <v>6774</v>
      </c>
      <c r="E30" s="2023" t="s">
        <v>6775</v>
      </c>
      <c r="F30" s="2024" t="s">
        <v>759</v>
      </c>
      <c r="G30" s="1707" t="s">
        <v>77</v>
      </c>
      <c r="H30" s="633"/>
      <c r="I30" s="1295">
        <v>918918758273</v>
      </c>
      <c r="J30" s="334"/>
      <c r="K30" s="2025" t="s">
        <v>315</v>
      </c>
      <c r="L30" s="18" t="s">
        <v>417</v>
      </c>
      <c r="M30" s="2026">
        <v>32940</v>
      </c>
      <c r="N30" s="272">
        <f t="shared" si="2"/>
        <v>54878</v>
      </c>
      <c r="O30" s="633"/>
      <c r="P30" s="632"/>
      <c r="Q30" s="632"/>
      <c r="R30" s="333" t="s">
        <v>6776</v>
      </c>
      <c r="S30" s="334"/>
      <c r="T30" s="334"/>
      <c r="U30" s="334"/>
      <c r="V30" s="334"/>
      <c r="W30" s="334"/>
      <c r="X30" s="633"/>
      <c r="Y30" s="633"/>
      <c r="Z30" s="633"/>
      <c r="AA30" s="633"/>
      <c r="AB30" s="633"/>
      <c r="AC30" s="633"/>
      <c r="AD30" s="633"/>
      <c r="AE30" s="633"/>
      <c r="AF30" s="633"/>
      <c r="AG30" s="633"/>
      <c r="AH30" s="633"/>
      <c r="AI30" s="633"/>
      <c r="AJ30" s="633"/>
      <c r="AK30" s="199"/>
      <c r="AL30" s="199"/>
      <c r="AM30" s="199"/>
    </row>
    <row r="31" spans="1:39" ht="15.75" customHeight="1">
      <c r="A31" s="1388">
        <v>124</v>
      </c>
      <c r="B31" s="1200" t="s">
        <v>6777</v>
      </c>
      <c r="C31" s="274" t="s">
        <v>22</v>
      </c>
      <c r="D31" s="1646" t="s">
        <v>6778</v>
      </c>
      <c r="E31" s="491" t="s">
        <v>6779</v>
      </c>
      <c r="F31" s="674" t="s">
        <v>3258</v>
      </c>
      <c r="G31" s="274" t="s">
        <v>76</v>
      </c>
      <c r="H31" s="275"/>
      <c r="I31" s="284">
        <v>9564636492</v>
      </c>
      <c r="J31" s="275"/>
      <c r="K31" s="2025" t="s">
        <v>315</v>
      </c>
      <c r="L31" s="274" t="s">
        <v>299</v>
      </c>
      <c r="M31" s="272">
        <v>31453</v>
      </c>
      <c r="N31" s="272">
        <f t="shared" si="2"/>
        <v>53386</v>
      </c>
      <c r="O31" s="320"/>
      <c r="P31" s="272"/>
      <c r="Q31" s="419"/>
      <c r="R31" s="338"/>
      <c r="S31" s="280"/>
      <c r="T31" s="280"/>
      <c r="U31" s="280"/>
      <c r="V31" s="280"/>
      <c r="W31" s="282"/>
      <c r="X31" s="79"/>
      <c r="Y31" s="79"/>
      <c r="Z31" s="79"/>
      <c r="AA31" s="79"/>
    </row>
    <row r="32" spans="1:39" ht="15.75" customHeight="1">
      <c r="A32" s="1388">
        <v>126</v>
      </c>
      <c r="B32" s="1389" t="s">
        <v>6780</v>
      </c>
      <c r="C32" s="1121" t="s">
        <v>22</v>
      </c>
      <c r="D32" s="1646" t="s">
        <v>6781</v>
      </c>
      <c r="E32" s="1308" t="s">
        <v>6782</v>
      </c>
      <c r="F32" s="674" t="s">
        <v>759</v>
      </c>
      <c r="G32" s="18" t="s">
        <v>77</v>
      </c>
      <c r="H32" s="275"/>
      <c r="I32" s="580">
        <v>7001838129</v>
      </c>
      <c r="J32" s="3"/>
      <c r="K32" s="275" t="s">
        <v>315</v>
      </c>
      <c r="L32" s="2027" t="s">
        <v>67</v>
      </c>
      <c r="M32" s="418">
        <v>32569</v>
      </c>
      <c r="N32" s="418">
        <v>54513</v>
      </c>
      <c r="O32" s="428"/>
      <c r="P32" s="418"/>
      <c r="Q32" s="418"/>
      <c r="R32" s="338"/>
      <c r="S32" s="280"/>
      <c r="T32" s="280"/>
      <c r="U32" s="280"/>
      <c r="V32" s="280"/>
      <c r="W32" s="282"/>
      <c r="X32" s="79"/>
      <c r="Y32" s="395"/>
      <c r="Z32" s="79"/>
      <c r="AA32" s="383"/>
      <c r="AB32" s="208"/>
      <c r="AC32" s="384"/>
      <c r="AD32" s="384"/>
      <c r="AE32" s="384"/>
      <c r="AF32" s="384"/>
      <c r="AG32" s="384"/>
      <c r="AH32" s="384"/>
      <c r="AI32" s="384"/>
      <c r="AJ32" s="384"/>
      <c r="AK32" s="384"/>
      <c r="AL32" s="384"/>
      <c r="AM32" s="384"/>
    </row>
    <row r="33" spans="1:39" ht="15.75" customHeight="1">
      <c r="A33" s="1388">
        <v>127</v>
      </c>
      <c r="B33" s="1389" t="s">
        <v>6783</v>
      </c>
      <c r="C33" s="1121" t="s">
        <v>22</v>
      </c>
      <c r="D33" s="1646" t="s">
        <v>6784</v>
      </c>
      <c r="E33" s="1391" t="s">
        <v>6785</v>
      </c>
      <c r="F33" s="674" t="s">
        <v>759</v>
      </c>
      <c r="G33" s="18" t="s">
        <v>77</v>
      </c>
      <c r="H33" s="275"/>
      <c r="I33" s="580">
        <v>7980572616</v>
      </c>
      <c r="J33" s="3"/>
      <c r="K33" s="275" t="s">
        <v>315</v>
      </c>
      <c r="L33" s="274" t="s">
        <v>351</v>
      </c>
      <c r="M33" s="418">
        <v>33045</v>
      </c>
      <c r="N33" s="418">
        <v>54969</v>
      </c>
      <c r="O33" s="428"/>
      <c r="P33" s="418"/>
      <c r="Q33" s="418"/>
      <c r="R33" s="281" t="s">
        <v>6786</v>
      </c>
      <c r="S33" s="280"/>
      <c r="T33" s="280"/>
      <c r="U33" s="280"/>
      <c r="V33" s="280"/>
      <c r="W33" s="282"/>
      <c r="X33" s="79"/>
      <c r="Y33" s="395"/>
      <c r="Z33" s="79"/>
      <c r="AA33" s="383"/>
      <c r="AB33" s="208"/>
      <c r="AC33" s="384"/>
      <c r="AD33" s="384"/>
      <c r="AE33" s="384"/>
      <c r="AF33" s="384"/>
      <c r="AG33" s="384"/>
      <c r="AH33" s="384"/>
      <c r="AI33" s="384"/>
      <c r="AJ33" s="384"/>
      <c r="AK33" s="384"/>
      <c r="AL33" s="384"/>
      <c r="AM33" s="384"/>
    </row>
    <row r="34" spans="1:39" ht="15.75" customHeight="1">
      <c r="A34" s="1388">
        <v>128</v>
      </c>
      <c r="B34" s="1389" t="s">
        <v>6787</v>
      </c>
      <c r="C34" s="1121" t="s">
        <v>22</v>
      </c>
      <c r="D34" s="1646" t="s">
        <v>6788</v>
      </c>
      <c r="E34" s="1391" t="s">
        <v>6789</v>
      </c>
      <c r="F34" s="674" t="s">
        <v>759</v>
      </c>
      <c r="G34" s="18" t="s">
        <v>76</v>
      </c>
      <c r="H34" s="275"/>
      <c r="I34" s="580">
        <v>8961479830</v>
      </c>
      <c r="J34" s="3"/>
      <c r="K34" s="275" t="s">
        <v>315</v>
      </c>
      <c r="L34" s="275" t="s">
        <v>43</v>
      </c>
      <c r="M34" s="418">
        <v>33984</v>
      </c>
      <c r="N34" s="418">
        <v>55915</v>
      </c>
      <c r="O34" s="428"/>
      <c r="P34" s="418"/>
      <c r="Q34" s="418"/>
      <c r="R34" s="281" t="s">
        <v>6790</v>
      </c>
      <c r="S34" s="280"/>
      <c r="T34" s="280"/>
      <c r="U34" s="280"/>
      <c r="V34" s="280"/>
      <c r="W34" s="282"/>
      <c r="X34" s="79"/>
      <c r="Y34" s="395"/>
      <c r="Z34" s="79"/>
      <c r="AA34" s="383"/>
      <c r="AB34" s="208"/>
      <c r="AC34" s="384"/>
      <c r="AD34" s="384"/>
      <c r="AE34" s="384"/>
      <c r="AF34" s="384"/>
      <c r="AG34" s="384"/>
      <c r="AH34" s="384"/>
      <c r="AI34" s="384"/>
      <c r="AJ34" s="384"/>
      <c r="AK34" s="384"/>
      <c r="AL34" s="384"/>
      <c r="AM34" s="384"/>
    </row>
    <row r="35" spans="1:39">
      <c r="A35" s="1051"/>
      <c r="B35" s="688" t="s">
        <v>6791</v>
      </c>
      <c r="C35" s="274" t="s">
        <v>22</v>
      </c>
      <c r="D35" s="1733" t="s">
        <v>6792</v>
      </c>
      <c r="E35" s="527" t="s">
        <v>6793</v>
      </c>
      <c r="F35" s="946" t="s">
        <v>3258</v>
      </c>
      <c r="G35" s="303" t="s">
        <v>76</v>
      </c>
      <c r="H35" s="391"/>
      <c r="I35" s="1644">
        <v>9007393793</v>
      </c>
      <c r="J35" s="601"/>
      <c r="K35" s="275" t="s">
        <v>315</v>
      </c>
      <c r="L35" s="18" t="s">
        <v>61</v>
      </c>
      <c r="M35" s="272">
        <v>34575</v>
      </c>
      <c r="N35" s="272">
        <v>56492</v>
      </c>
      <c r="O35" s="289"/>
      <c r="P35" s="272"/>
      <c r="Q35" s="316"/>
      <c r="R35" s="603" t="s">
        <v>6794</v>
      </c>
      <c r="S35" s="888"/>
      <c r="T35" s="888"/>
      <c r="U35" s="888"/>
      <c r="V35" s="297"/>
      <c r="W35" s="297"/>
      <c r="X35" s="297"/>
      <c r="Y35" s="3"/>
      <c r="Z35" s="79"/>
      <c r="AA35" s="79"/>
    </row>
    <row r="36" spans="1:39" ht="14.25" customHeight="1">
      <c r="A36" s="1051"/>
      <c r="B36" s="688" t="s">
        <v>6795</v>
      </c>
      <c r="C36" s="274" t="s">
        <v>22</v>
      </c>
      <c r="D36" s="1733" t="s">
        <v>6796</v>
      </c>
      <c r="E36" s="674" t="s">
        <v>6797</v>
      </c>
      <c r="F36" s="946" t="s">
        <v>759</v>
      </c>
      <c r="G36" s="303" t="s">
        <v>76</v>
      </c>
      <c r="H36" s="391"/>
      <c r="I36" s="1644">
        <v>8002334376</v>
      </c>
      <c r="J36" s="601"/>
      <c r="K36" s="275" t="s">
        <v>315</v>
      </c>
      <c r="L36" s="18" t="s">
        <v>351</v>
      </c>
      <c r="M36" s="272">
        <v>33828</v>
      </c>
      <c r="N36" s="272">
        <v>55762</v>
      </c>
      <c r="O36" s="289"/>
      <c r="P36" s="272"/>
      <c r="Q36" s="316"/>
      <c r="R36" s="603" t="s">
        <v>6798</v>
      </c>
      <c r="S36" s="888"/>
      <c r="T36" s="888"/>
      <c r="U36" s="888"/>
      <c r="V36" s="297"/>
      <c r="W36" s="297"/>
      <c r="X36" s="297"/>
      <c r="Y36" s="3"/>
      <c r="Z36" s="79"/>
      <c r="AA36" s="79"/>
    </row>
    <row r="37" spans="1:39" ht="18.75">
      <c r="A37" s="1051"/>
      <c r="B37" s="305" t="s">
        <v>6799</v>
      </c>
      <c r="C37" s="274" t="s">
        <v>22</v>
      </c>
      <c r="D37" s="1642" t="s">
        <v>6800</v>
      </c>
      <c r="E37" s="527" t="s">
        <v>6801</v>
      </c>
      <c r="F37" s="946" t="s">
        <v>759</v>
      </c>
      <c r="G37" s="337" t="s">
        <v>76</v>
      </c>
      <c r="H37" s="303"/>
      <c r="I37" s="1827">
        <v>9208012926</v>
      </c>
      <c r="J37" s="307"/>
      <c r="K37" s="275" t="s">
        <v>315</v>
      </c>
      <c r="L37" s="18" t="s">
        <v>50</v>
      </c>
      <c r="M37" s="315">
        <v>33261</v>
      </c>
      <c r="N37" s="315">
        <v>55184</v>
      </c>
      <c r="O37" s="315"/>
      <c r="P37" s="272"/>
      <c r="Q37" s="272"/>
      <c r="R37" s="318" t="s">
        <v>6802</v>
      </c>
      <c r="S37" s="317"/>
      <c r="T37" s="317"/>
      <c r="U37" s="285"/>
      <c r="V37" s="285"/>
      <c r="W37" s="3"/>
      <c r="X37" s="3"/>
      <c r="Y37" s="382"/>
      <c r="Z37" s="382"/>
      <c r="AA37" s="382"/>
      <c r="AB37" s="311"/>
      <c r="AC37" s="311"/>
      <c r="AD37" s="311"/>
      <c r="AE37" s="311"/>
      <c r="AF37" s="311"/>
      <c r="AG37" s="311"/>
      <c r="AH37" s="311"/>
      <c r="AI37" s="311"/>
      <c r="AJ37" s="311"/>
      <c r="AK37" s="311"/>
      <c r="AL37" s="311"/>
      <c r="AM37" s="311"/>
    </row>
    <row r="38" spans="1:39" ht="15.75" customHeight="1">
      <c r="A38" s="980">
        <v>36</v>
      </c>
      <c r="B38" s="426" t="s">
        <v>6803</v>
      </c>
      <c r="C38" s="18" t="s">
        <v>22</v>
      </c>
      <c r="D38" s="1645" t="s">
        <v>6804</v>
      </c>
      <c r="E38" s="681" t="s">
        <v>6805</v>
      </c>
      <c r="F38" s="674" t="s">
        <v>3258</v>
      </c>
      <c r="G38" s="18" t="s">
        <v>77</v>
      </c>
      <c r="H38" s="275"/>
      <c r="I38" s="580">
        <v>8981178310</v>
      </c>
      <c r="J38" s="3"/>
      <c r="K38" s="275" t="s">
        <v>315</v>
      </c>
      <c r="L38" s="274" t="s">
        <v>351</v>
      </c>
      <c r="M38" s="418">
        <v>33082</v>
      </c>
      <c r="N38" s="418">
        <v>55000</v>
      </c>
      <c r="O38" s="428">
        <v>45888</v>
      </c>
      <c r="P38" s="418">
        <v>45485</v>
      </c>
      <c r="Q38" s="418">
        <v>45353</v>
      </c>
      <c r="R38" s="281" t="s">
        <v>6806</v>
      </c>
      <c r="S38" s="280"/>
      <c r="T38" s="280"/>
      <c r="U38" s="280"/>
      <c r="V38" s="280"/>
      <c r="W38" s="282">
        <f t="shared" ref="W38:W39" ca="1" si="3">INT((TODAY()-M38)/365)</f>
        <v>35</v>
      </c>
      <c r="Y38" s="90"/>
      <c r="AB38" s="311"/>
    </row>
    <row r="39" spans="1:39" ht="15.75" customHeight="1">
      <c r="A39" s="980">
        <v>17</v>
      </c>
      <c r="B39" s="426" t="s">
        <v>6807</v>
      </c>
      <c r="C39" s="18" t="s">
        <v>22</v>
      </c>
      <c r="D39" s="1645" t="s">
        <v>6808</v>
      </c>
      <c r="E39" s="681" t="s">
        <v>6809</v>
      </c>
      <c r="F39" s="970" t="s">
        <v>3258</v>
      </c>
      <c r="G39" s="18" t="s">
        <v>76</v>
      </c>
      <c r="H39" s="275"/>
      <c r="I39" s="887">
        <v>8420911927</v>
      </c>
      <c r="J39" s="3"/>
      <c r="K39" s="275" t="s">
        <v>315</v>
      </c>
      <c r="L39" s="274" t="s">
        <v>351</v>
      </c>
      <c r="M39" s="418">
        <v>33273</v>
      </c>
      <c r="N39" s="418">
        <v>55212</v>
      </c>
      <c r="O39" s="428">
        <v>45469</v>
      </c>
      <c r="P39" s="418">
        <v>45270</v>
      </c>
      <c r="Q39" s="418">
        <v>45113</v>
      </c>
      <c r="R39" s="281" t="s">
        <v>6810</v>
      </c>
      <c r="S39" s="280"/>
      <c r="T39" s="280"/>
      <c r="U39" s="280"/>
      <c r="V39" s="280"/>
      <c r="W39" s="282">
        <f t="shared" ca="1" si="3"/>
        <v>35</v>
      </c>
    </row>
    <row r="40" spans="1:39" ht="15.75" customHeight="1">
      <c r="A40" s="2028">
        <v>40</v>
      </c>
      <c r="B40" s="2029" t="s">
        <v>6811</v>
      </c>
      <c r="C40" s="2030" t="s">
        <v>22</v>
      </c>
      <c r="D40" s="2031">
        <v>50205618423</v>
      </c>
      <c r="E40" s="2032" t="s">
        <v>6812</v>
      </c>
      <c r="F40" s="2033" t="s">
        <v>3258</v>
      </c>
      <c r="G40" s="2034" t="s">
        <v>76</v>
      </c>
      <c r="H40" s="2030" t="s">
        <v>1567</v>
      </c>
      <c r="I40" s="966">
        <v>7980828601</v>
      </c>
      <c r="J40" s="2030">
        <v>8442869915</v>
      </c>
      <c r="K40" s="275" t="s">
        <v>315</v>
      </c>
      <c r="L40" s="1314" t="s">
        <v>55</v>
      </c>
      <c r="M40" s="2035">
        <v>33600</v>
      </c>
      <c r="N40" s="2035">
        <v>55518</v>
      </c>
      <c r="O40" s="2036">
        <v>46211</v>
      </c>
      <c r="P40" s="849">
        <v>45396</v>
      </c>
      <c r="Q40" s="849">
        <v>45369</v>
      </c>
      <c r="R40" s="2037" t="s">
        <v>6813</v>
      </c>
      <c r="S40" s="2037" t="s">
        <v>6814</v>
      </c>
      <c r="T40" s="2038"/>
      <c r="U40" s="2038"/>
      <c r="V40" s="2038">
        <f>LEN(D40)</f>
        <v>11</v>
      </c>
      <c r="W40" s="2039" t="s">
        <v>6815</v>
      </c>
      <c r="X40" s="2040"/>
      <c r="Y40" s="2040"/>
      <c r="Z40" s="2041"/>
      <c r="AA40" s="2041"/>
      <c r="AB40" s="2042">
        <f ca="1">INT((TODAY()-M40)/365)</f>
        <v>34</v>
      </c>
      <c r="AC40" s="1092"/>
      <c r="AD40" s="1092"/>
      <c r="AE40" s="1092"/>
      <c r="AF40" s="1092"/>
      <c r="AG40" s="1092"/>
      <c r="AH40" s="1092"/>
      <c r="AI40" s="1092"/>
      <c r="AJ40" s="1092"/>
      <c r="AK40" s="1092"/>
      <c r="AL40" s="1092"/>
      <c r="AM40" s="1092"/>
    </row>
    <row r="41" spans="1:39" ht="18.75">
      <c r="A41" s="1051"/>
      <c r="B41" s="1687" t="s">
        <v>6816</v>
      </c>
      <c r="C41" s="18" t="s">
        <v>22</v>
      </c>
      <c r="D41" s="1645" t="s">
        <v>6817</v>
      </c>
      <c r="E41" s="681" t="s">
        <v>6818</v>
      </c>
      <c r="F41" s="946" t="s">
        <v>759</v>
      </c>
      <c r="G41" s="1689" t="s">
        <v>77</v>
      </c>
      <c r="H41" s="303"/>
      <c r="I41" s="887">
        <v>7908830615</v>
      </c>
      <c r="J41" s="307"/>
      <c r="K41" s="275" t="s">
        <v>315</v>
      </c>
      <c r="L41" s="274" t="s">
        <v>50</v>
      </c>
      <c r="M41" s="418">
        <v>34943</v>
      </c>
      <c r="N41" s="315">
        <v>56857</v>
      </c>
      <c r="O41" s="315"/>
      <c r="P41" s="272"/>
      <c r="Q41" s="272"/>
      <c r="R41" s="318" t="s">
        <v>6819</v>
      </c>
      <c r="S41" s="317"/>
      <c r="T41" s="317"/>
      <c r="U41" s="285"/>
      <c r="V41" s="285"/>
      <c r="W41" s="3"/>
      <c r="X41" s="90"/>
      <c r="Y41" s="311"/>
      <c r="Z41" s="311"/>
      <c r="AA41" s="311"/>
      <c r="AB41" s="311"/>
      <c r="AC41" s="311"/>
      <c r="AD41" s="311"/>
      <c r="AE41" s="311"/>
      <c r="AF41" s="311"/>
      <c r="AG41" s="311"/>
      <c r="AH41" s="311"/>
      <c r="AI41" s="311"/>
      <c r="AJ41" s="311"/>
      <c r="AK41" s="311"/>
      <c r="AL41" s="311"/>
      <c r="AM41" s="311"/>
    </row>
    <row r="42" spans="1:39" ht="18.75">
      <c r="A42" s="1051"/>
      <c r="B42" s="1687" t="s">
        <v>6820</v>
      </c>
      <c r="C42" s="18" t="s">
        <v>22</v>
      </c>
      <c r="D42" s="1645" t="s">
        <v>6821</v>
      </c>
      <c r="E42" s="681" t="s">
        <v>6822</v>
      </c>
      <c r="F42" s="946" t="s">
        <v>759</v>
      </c>
      <c r="G42" s="1689" t="s">
        <v>77</v>
      </c>
      <c r="H42" s="303"/>
      <c r="I42" s="887">
        <v>8536082430</v>
      </c>
      <c r="J42" s="307"/>
      <c r="K42" s="275" t="s">
        <v>315</v>
      </c>
      <c r="L42" s="274" t="s">
        <v>50</v>
      </c>
      <c r="M42" s="418">
        <v>34874</v>
      </c>
      <c r="N42" s="315">
        <v>56795</v>
      </c>
      <c r="O42" s="315"/>
      <c r="P42" s="272"/>
      <c r="Q42" s="272"/>
      <c r="R42" s="318" t="s">
        <v>6823</v>
      </c>
      <c r="S42" s="317"/>
      <c r="T42" s="317"/>
      <c r="U42" s="285"/>
      <c r="V42" s="285"/>
      <c r="W42" s="3"/>
      <c r="X42" s="90"/>
      <c r="Y42" s="311"/>
      <c r="Z42" s="311"/>
      <c r="AA42" s="311"/>
      <c r="AB42" s="311"/>
      <c r="AC42" s="311"/>
      <c r="AD42" s="311"/>
      <c r="AE42" s="311"/>
      <c r="AF42" s="311"/>
      <c r="AG42" s="311"/>
      <c r="AH42" s="311"/>
      <c r="AI42" s="311"/>
      <c r="AJ42" s="311"/>
      <c r="AK42" s="311"/>
      <c r="AL42" s="311"/>
      <c r="AM42" s="311"/>
    </row>
    <row r="43" spans="1:39" ht="18.75">
      <c r="A43" s="1051"/>
      <c r="B43" s="1687" t="s">
        <v>6824</v>
      </c>
      <c r="C43" s="18" t="s">
        <v>22</v>
      </c>
      <c r="D43" s="1645" t="s">
        <v>6825</v>
      </c>
      <c r="E43" s="681" t="s">
        <v>6826</v>
      </c>
      <c r="F43" s="946" t="s">
        <v>759</v>
      </c>
      <c r="G43" s="1689" t="s">
        <v>76</v>
      </c>
      <c r="H43" s="303"/>
      <c r="I43" s="536">
        <v>6207052944</v>
      </c>
      <c r="J43" s="307"/>
      <c r="K43" s="275" t="s">
        <v>315</v>
      </c>
      <c r="L43" s="274" t="s">
        <v>50</v>
      </c>
      <c r="M43" s="418">
        <v>36290</v>
      </c>
      <c r="N43" s="315">
        <v>58226</v>
      </c>
      <c r="O43" s="315"/>
      <c r="P43" s="272"/>
      <c r="Q43" s="272"/>
      <c r="R43" s="318" t="s">
        <v>6827</v>
      </c>
      <c r="S43" s="317"/>
      <c r="T43" s="317"/>
      <c r="U43" s="285"/>
      <c r="V43" s="285"/>
      <c r="W43" s="3"/>
      <c r="X43" s="90"/>
      <c r="Y43" s="311"/>
      <c r="Z43" s="311"/>
      <c r="AA43" s="311"/>
      <c r="AB43" s="311"/>
      <c r="AC43" s="311"/>
      <c r="AD43" s="311"/>
      <c r="AE43" s="311"/>
      <c r="AF43" s="311"/>
      <c r="AG43" s="311"/>
      <c r="AH43" s="311"/>
      <c r="AI43" s="311"/>
      <c r="AJ43" s="311"/>
      <c r="AK43" s="311"/>
      <c r="AL43" s="311"/>
      <c r="AM43" s="311"/>
    </row>
    <row r="44" spans="1:39" ht="18.75">
      <c r="A44" s="1051"/>
      <c r="B44" s="1687" t="s">
        <v>6828</v>
      </c>
      <c r="C44" s="18" t="s">
        <v>22</v>
      </c>
      <c r="D44" s="1645" t="s">
        <v>6829</v>
      </c>
      <c r="E44" s="681" t="s">
        <v>6830</v>
      </c>
      <c r="F44" s="946" t="s">
        <v>759</v>
      </c>
      <c r="G44" s="1689" t="s">
        <v>76</v>
      </c>
      <c r="H44" s="303"/>
      <c r="I44" s="536">
        <v>9800707810</v>
      </c>
      <c r="J44" s="307"/>
      <c r="K44" s="275" t="s">
        <v>315</v>
      </c>
      <c r="L44" s="274" t="s">
        <v>50</v>
      </c>
      <c r="M44" s="418">
        <v>36642</v>
      </c>
      <c r="N44" s="315">
        <f t="shared" ref="N44:N57" si="4">EOMONTH(M44,(12*60))</f>
        <v>58561</v>
      </c>
      <c r="O44" s="315"/>
      <c r="P44" s="272"/>
      <c r="Q44" s="272"/>
      <c r="R44" s="318" t="s">
        <v>6831</v>
      </c>
      <c r="S44" s="317"/>
      <c r="T44" s="317"/>
      <c r="U44" s="285"/>
      <c r="V44" s="285"/>
      <c r="W44" s="3"/>
      <c r="X44" s="90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</row>
    <row r="45" spans="1:39" ht="18.75">
      <c r="A45" s="1051"/>
      <c r="B45" s="1687" t="s">
        <v>6832</v>
      </c>
      <c r="C45" s="18" t="s">
        <v>22</v>
      </c>
      <c r="D45" s="1645" t="s">
        <v>6833</v>
      </c>
      <c r="E45" s="681" t="s">
        <v>6834</v>
      </c>
      <c r="F45" s="946" t="s">
        <v>759</v>
      </c>
      <c r="G45" s="1689" t="s">
        <v>76</v>
      </c>
      <c r="H45" s="303"/>
      <c r="I45" s="536">
        <v>9932426809</v>
      </c>
      <c r="J45" s="307"/>
      <c r="K45" s="275" t="s">
        <v>315</v>
      </c>
      <c r="L45" s="274" t="s">
        <v>50</v>
      </c>
      <c r="M45" s="418">
        <v>35243</v>
      </c>
      <c r="N45" s="315">
        <f t="shared" si="4"/>
        <v>57161</v>
      </c>
      <c r="O45" s="315"/>
      <c r="P45" s="272"/>
      <c r="Q45" s="272"/>
      <c r="R45" s="318" t="s">
        <v>6835</v>
      </c>
      <c r="S45" s="317"/>
      <c r="T45" s="317"/>
      <c r="U45" s="285"/>
      <c r="V45" s="285"/>
      <c r="W45" s="3"/>
      <c r="X45" s="90"/>
      <c r="Y45" s="311"/>
      <c r="Z45" s="311"/>
      <c r="AA45" s="311"/>
      <c r="AB45" s="311"/>
      <c r="AC45" s="311"/>
      <c r="AD45" s="311"/>
      <c r="AE45" s="311"/>
      <c r="AF45" s="311"/>
      <c r="AG45" s="311"/>
      <c r="AH45" s="311"/>
      <c r="AI45" s="311"/>
      <c r="AJ45" s="311"/>
      <c r="AK45" s="311"/>
      <c r="AL45" s="311"/>
      <c r="AM45" s="311"/>
    </row>
    <row r="46" spans="1:39" ht="18.75">
      <c r="A46" s="1051"/>
      <c r="B46" s="1687" t="s">
        <v>6836</v>
      </c>
      <c r="C46" s="18" t="s">
        <v>22</v>
      </c>
      <c r="D46" s="1645" t="s">
        <v>6837</v>
      </c>
      <c r="E46" s="681" t="s">
        <v>6838</v>
      </c>
      <c r="F46" s="946" t="s">
        <v>759</v>
      </c>
      <c r="G46" s="1689" t="s">
        <v>76</v>
      </c>
      <c r="H46" s="303"/>
      <c r="I46" s="536">
        <v>8409758633</v>
      </c>
      <c r="J46" s="307"/>
      <c r="K46" s="275" t="s">
        <v>315</v>
      </c>
      <c r="L46" s="274" t="s">
        <v>351</v>
      </c>
      <c r="M46" s="418">
        <v>35751</v>
      </c>
      <c r="N46" s="315">
        <f t="shared" si="4"/>
        <v>57679</v>
      </c>
      <c r="O46" s="315"/>
      <c r="P46" s="272"/>
      <c r="Q46" s="272"/>
      <c r="R46" s="318" t="s">
        <v>6839</v>
      </c>
      <c r="S46" s="317"/>
      <c r="T46" s="317"/>
      <c r="U46" s="285"/>
      <c r="V46" s="285"/>
      <c r="W46" s="3"/>
      <c r="X46" s="90"/>
      <c r="Y46" s="311"/>
      <c r="Z46" s="311"/>
      <c r="AA46" s="311"/>
      <c r="AB46" s="311"/>
      <c r="AC46" s="311"/>
      <c r="AD46" s="311"/>
      <c r="AE46" s="311"/>
      <c r="AF46" s="311"/>
      <c r="AG46" s="311"/>
      <c r="AH46" s="311"/>
      <c r="AI46" s="311"/>
      <c r="AJ46" s="311"/>
      <c r="AK46" s="311"/>
      <c r="AL46" s="311"/>
      <c r="AM46" s="311"/>
    </row>
    <row r="47" spans="1:39" ht="18.75">
      <c r="A47" s="1051"/>
      <c r="B47" s="1687" t="s">
        <v>6840</v>
      </c>
      <c r="C47" s="18" t="s">
        <v>22</v>
      </c>
      <c r="D47" s="1645" t="s">
        <v>6841</v>
      </c>
      <c r="E47" s="681" t="s">
        <v>6842</v>
      </c>
      <c r="F47" s="946" t="s">
        <v>759</v>
      </c>
      <c r="G47" s="1689" t="s">
        <v>76</v>
      </c>
      <c r="H47" s="303"/>
      <c r="I47" s="536">
        <v>6291581387</v>
      </c>
      <c r="J47" s="307"/>
      <c r="K47" s="275" t="s">
        <v>315</v>
      </c>
      <c r="L47" s="274" t="s">
        <v>62</v>
      </c>
      <c r="M47" s="418">
        <v>36844</v>
      </c>
      <c r="N47" s="315">
        <f t="shared" si="4"/>
        <v>58775</v>
      </c>
      <c r="O47" s="315"/>
      <c r="P47" s="272"/>
      <c r="Q47" s="272"/>
      <c r="R47" s="318" t="s">
        <v>6843</v>
      </c>
      <c r="S47" s="317"/>
      <c r="T47" s="317"/>
      <c r="U47" s="285"/>
      <c r="V47" s="285"/>
      <c r="W47" s="3"/>
      <c r="X47" s="90"/>
      <c r="Y47" s="311"/>
      <c r="Z47" s="311"/>
      <c r="AA47" s="311"/>
      <c r="AB47" s="311"/>
      <c r="AC47" s="311"/>
      <c r="AD47" s="311"/>
      <c r="AE47" s="311"/>
      <c r="AF47" s="311"/>
      <c r="AG47" s="311"/>
      <c r="AH47" s="311"/>
      <c r="AI47" s="311"/>
      <c r="AJ47" s="311"/>
      <c r="AK47" s="311"/>
      <c r="AL47" s="311"/>
      <c r="AM47" s="311"/>
    </row>
    <row r="48" spans="1:39" ht="18.75">
      <c r="A48" s="1051"/>
      <c r="B48" s="1687" t="s">
        <v>6844</v>
      </c>
      <c r="C48" s="18" t="s">
        <v>22</v>
      </c>
      <c r="D48" s="1645" t="s">
        <v>6845</v>
      </c>
      <c r="E48" s="681" t="s">
        <v>6846</v>
      </c>
      <c r="F48" s="946" t="s">
        <v>759</v>
      </c>
      <c r="G48" s="1689" t="s">
        <v>76</v>
      </c>
      <c r="H48" s="303"/>
      <c r="I48" s="536">
        <v>9038979011</v>
      </c>
      <c r="J48" s="307"/>
      <c r="K48" s="275" t="s">
        <v>315</v>
      </c>
      <c r="L48" s="398" t="s">
        <v>64</v>
      </c>
      <c r="M48" s="418">
        <v>33999</v>
      </c>
      <c r="N48" s="315">
        <f t="shared" si="4"/>
        <v>55915</v>
      </c>
      <c r="O48" s="315"/>
      <c r="P48" s="272"/>
      <c r="Q48" s="272"/>
      <c r="R48" s="318" t="s">
        <v>6847</v>
      </c>
      <c r="S48" s="317"/>
      <c r="T48" s="317"/>
      <c r="U48" s="285"/>
      <c r="V48" s="285"/>
      <c r="W48" s="3"/>
      <c r="X48" s="90"/>
      <c r="Y48" s="311"/>
      <c r="Z48" s="311"/>
      <c r="AA48" s="311"/>
      <c r="AB48" s="311"/>
      <c r="AC48" s="311"/>
      <c r="AD48" s="311"/>
      <c r="AE48" s="311"/>
      <c r="AF48" s="311"/>
      <c r="AG48" s="311"/>
      <c r="AH48" s="311"/>
      <c r="AI48" s="311"/>
      <c r="AJ48" s="311"/>
      <c r="AK48" s="311"/>
      <c r="AL48" s="311"/>
      <c r="AM48" s="311"/>
    </row>
    <row r="49" spans="1:39" ht="18.75">
      <c r="A49" s="1051"/>
      <c r="B49" s="1687" t="s">
        <v>6848</v>
      </c>
      <c r="C49" s="18" t="s">
        <v>22</v>
      </c>
      <c r="D49" s="1645" t="s">
        <v>6849</v>
      </c>
      <c r="E49" s="681" t="s">
        <v>6850</v>
      </c>
      <c r="F49" s="946" t="s">
        <v>759</v>
      </c>
      <c r="G49" s="1689" t="s">
        <v>76</v>
      </c>
      <c r="H49" s="303"/>
      <c r="I49" s="536">
        <v>8820418094</v>
      </c>
      <c r="J49" s="307"/>
      <c r="K49" s="275" t="s">
        <v>315</v>
      </c>
      <c r="L49" s="125" t="s">
        <v>67</v>
      </c>
      <c r="M49" s="418">
        <v>35869</v>
      </c>
      <c r="N49" s="315">
        <f t="shared" si="4"/>
        <v>57800</v>
      </c>
      <c r="O49" s="315"/>
      <c r="P49" s="272"/>
      <c r="Q49" s="272"/>
      <c r="R49" s="318" t="s">
        <v>6851</v>
      </c>
      <c r="S49" s="317"/>
      <c r="T49" s="317"/>
      <c r="U49" s="285"/>
      <c r="V49" s="285"/>
      <c r="W49" s="3"/>
      <c r="X49" s="90"/>
      <c r="Y49" s="311"/>
      <c r="Z49" s="311"/>
      <c r="AA49" s="311"/>
      <c r="AB49" s="311"/>
      <c r="AC49" s="311"/>
      <c r="AD49" s="311"/>
      <c r="AE49" s="311"/>
      <c r="AF49" s="311"/>
      <c r="AG49" s="311"/>
      <c r="AH49" s="311"/>
      <c r="AI49" s="311"/>
      <c r="AJ49" s="311"/>
      <c r="AK49" s="311"/>
      <c r="AL49" s="311"/>
      <c r="AM49" s="311"/>
    </row>
    <row r="50" spans="1:39" ht="18.75">
      <c r="A50" s="1051"/>
      <c r="B50" s="1687" t="s">
        <v>6852</v>
      </c>
      <c r="C50" s="18" t="s">
        <v>22</v>
      </c>
      <c r="D50" s="1645" t="s">
        <v>6853</v>
      </c>
      <c r="E50" s="681" t="s">
        <v>6854</v>
      </c>
      <c r="F50" s="946" t="s">
        <v>759</v>
      </c>
      <c r="G50" s="1689" t="s">
        <v>77</v>
      </c>
      <c r="H50" s="303"/>
      <c r="I50" s="1122">
        <v>6295681515</v>
      </c>
      <c r="J50" s="307"/>
      <c r="K50" s="275" t="s">
        <v>315</v>
      </c>
      <c r="L50" s="274" t="s">
        <v>299</v>
      </c>
      <c r="M50" s="418">
        <v>36733</v>
      </c>
      <c r="N50" s="315">
        <f t="shared" si="4"/>
        <v>58653</v>
      </c>
      <c r="O50" s="315"/>
      <c r="P50" s="272"/>
      <c r="Q50" s="272"/>
      <c r="R50" s="318" t="s">
        <v>6855</v>
      </c>
      <c r="S50" s="317"/>
      <c r="T50" s="317"/>
      <c r="U50" s="285"/>
      <c r="V50" s="285"/>
      <c r="W50" s="3"/>
      <c r="X50" s="90"/>
      <c r="Y50" s="311"/>
      <c r="Z50" s="311"/>
      <c r="AA50" s="311"/>
      <c r="AB50" s="311"/>
      <c r="AC50" s="311"/>
      <c r="AD50" s="311"/>
      <c r="AE50" s="311"/>
      <c r="AF50" s="311"/>
      <c r="AG50" s="311"/>
      <c r="AH50" s="311"/>
      <c r="AI50" s="311"/>
      <c r="AJ50" s="311"/>
      <c r="AK50" s="311"/>
      <c r="AL50" s="311"/>
      <c r="AM50" s="311"/>
    </row>
    <row r="51" spans="1:39" ht="18.75">
      <c r="A51" s="1051"/>
      <c r="B51" s="1687" t="s">
        <v>6856</v>
      </c>
      <c r="C51" s="18" t="s">
        <v>22</v>
      </c>
      <c r="D51" s="1645" t="s">
        <v>6857</v>
      </c>
      <c r="E51" s="681" t="s">
        <v>6858</v>
      </c>
      <c r="F51" s="946" t="s">
        <v>759</v>
      </c>
      <c r="G51" s="1689" t="s">
        <v>76</v>
      </c>
      <c r="H51" s="303"/>
      <c r="I51" s="1122">
        <v>7549832691</v>
      </c>
      <c r="J51" s="307"/>
      <c r="K51" s="275" t="s">
        <v>315</v>
      </c>
      <c r="L51" s="274" t="s">
        <v>256</v>
      </c>
      <c r="M51" s="418">
        <v>34339</v>
      </c>
      <c r="N51" s="315">
        <f t="shared" si="4"/>
        <v>56280</v>
      </c>
      <c r="O51" s="315"/>
      <c r="P51" s="272"/>
      <c r="Q51" s="272"/>
      <c r="R51" s="318" t="s">
        <v>6859</v>
      </c>
      <c r="S51" s="317"/>
      <c r="T51" s="317"/>
      <c r="U51" s="285"/>
      <c r="V51" s="285"/>
      <c r="W51" s="3"/>
      <c r="X51" s="90"/>
      <c r="Y51" s="311"/>
      <c r="Z51" s="311"/>
      <c r="AA51" s="311"/>
      <c r="AB51" s="311"/>
      <c r="AC51" s="311"/>
      <c r="AD51" s="311"/>
      <c r="AE51" s="311"/>
      <c r="AF51" s="311"/>
      <c r="AG51" s="311"/>
      <c r="AH51" s="311"/>
      <c r="AI51" s="311"/>
      <c r="AJ51" s="311"/>
      <c r="AK51" s="311"/>
      <c r="AL51" s="311"/>
      <c r="AM51" s="311"/>
    </row>
    <row r="52" spans="1:39" ht="18.75">
      <c r="A52" s="79"/>
      <c r="B52" s="1687" t="s">
        <v>6860</v>
      </c>
      <c r="C52" s="18" t="s">
        <v>22</v>
      </c>
      <c r="D52" s="1645">
        <v>3329806283</v>
      </c>
      <c r="E52" s="427" t="s">
        <v>6861</v>
      </c>
      <c r="F52" s="946" t="s">
        <v>759</v>
      </c>
      <c r="G52" s="1689" t="s">
        <v>77</v>
      </c>
      <c r="H52" s="79"/>
      <c r="I52" s="1122">
        <v>8768444828</v>
      </c>
      <c r="J52" s="79"/>
      <c r="K52" s="275" t="s">
        <v>315</v>
      </c>
      <c r="L52" s="274" t="s">
        <v>256</v>
      </c>
      <c r="M52" s="418">
        <v>35238</v>
      </c>
      <c r="N52" s="315">
        <f t="shared" si="4"/>
        <v>57161</v>
      </c>
      <c r="O52" s="79"/>
      <c r="P52" s="79"/>
      <c r="Q52" s="79"/>
      <c r="R52" s="281" t="s">
        <v>6862</v>
      </c>
      <c r="S52" s="79"/>
      <c r="T52" s="79"/>
      <c r="U52" s="79"/>
      <c r="V52" s="79"/>
      <c r="W52" s="79"/>
    </row>
    <row r="53" spans="1:39" ht="18.75">
      <c r="A53" s="1051"/>
      <c r="B53" s="1687" t="s">
        <v>6863</v>
      </c>
      <c r="C53" s="18" t="s">
        <v>22</v>
      </c>
      <c r="D53" s="1645" t="s">
        <v>6864</v>
      </c>
      <c r="E53" s="427" t="s">
        <v>6865</v>
      </c>
      <c r="F53" s="946" t="s">
        <v>759</v>
      </c>
      <c r="G53" s="1689" t="s">
        <v>76</v>
      </c>
      <c r="H53" s="303"/>
      <c r="I53" s="1122">
        <v>8348564606</v>
      </c>
      <c r="J53" s="307"/>
      <c r="K53" s="275" t="s">
        <v>315</v>
      </c>
      <c r="L53" s="274" t="s">
        <v>44</v>
      </c>
      <c r="M53" s="418">
        <v>36494</v>
      </c>
      <c r="N53" s="315">
        <f t="shared" si="4"/>
        <v>58409</v>
      </c>
      <c r="O53" s="315"/>
      <c r="P53" s="272"/>
      <c r="Q53" s="272"/>
      <c r="R53" s="318" t="s">
        <v>6866</v>
      </c>
      <c r="S53" s="317"/>
      <c r="T53" s="317"/>
      <c r="U53" s="285"/>
      <c r="V53" s="285"/>
      <c r="W53" s="3"/>
      <c r="X53" s="90"/>
      <c r="Y53" s="311"/>
      <c r="Z53" s="311"/>
      <c r="AA53" s="311"/>
      <c r="AB53" s="311"/>
      <c r="AC53" s="311"/>
      <c r="AD53" s="311"/>
      <c r="AE53" s="311"/>
      <c r="AF53" s="311"/>
      <c r="AG53" s="311"/>
      <c r="AH53" s="311"/>
      <c r="AI53" s="311"/>
      <c r="AJ53" s="311"/>
      <c r="AK53" s="311"/>
      <c r="AL53" s="311"/>
      <c r="AM53" s="311"/>
    </row>
    <row r="54" spans="1:39" ht="18.75">
      <c r="A54" s="1051"/>
      <c r="B54" s="1687" t="s">
        <v>3887</v>
      </c>
      <c r="C54" s="18" t="s">
        <v>22</v>
      </c>
      <c r="D54" s="1645" t="s">
        <v>6867</v>
      </c>
      <c r="E54" s="427" t="s">
        <v>6868</v>
      </c>
      <c r="F54" s="946" t="s">
        <v>759</v>
      </c>
      <c r="G54" s="1689" t="s">
        <v>76</v>
      </c>
      <c r="H54" s="303"/>
      <c r="I54" s="1122">
        <v>8804359127</v>
      </c>
      <c r="J54" s="307"/>
      <c r="K54" s="275" t="s">
        <v>315</v>
      </c>
      <c r="L54" s="274" t="s">
        <v>44</v>
      </c>
      <c r="M54" s="418">
        <v>35080</v>
      </c>
      <c r="N54" s="315">
        <f t="shared" si="4"/>
        <v>57010</v>
      </c>
      <c r="O54" s="315"/>
      <c r="P54" s="272"/>
      <c r="Q54" s="272"/>
      <c r="R54" s="318" t="s">
        <v>6869</v>
      </c>
      <c r="S54" s="317"/>
      <c r="T54" s="317"/>
      <c r="U54" s="285"/>
      <c r="V54" s="285"/>
      <c r="W54" s="3"/>
      <c r="X54" s="90"/>
      <c r="Y54" s="311"/>
      <c r="Z54" s="311"/>
      <c r="AA54" s="311"/>
      <c r="AB54" s="311"/>
      <c r="AC54" s="311"/>
      <c r="AD54" s="311"/>
      <c r="AE54" s="311"/>
      <c r="AF54" s="311"/>
      <c r="AG54" s="311"/>
      <c r="AH54" s="311"/>
      <c r="AI54" s="311"/>
      <c r="AJ54" s="311"/>
      <c r="AK54" s="311"/>
      <c r="AL54" s="311"/>
      <c r="AM54" s="311"/>
    </row>
    <row r="55" spans="1:39" ht="24" customHeight="1">
      <c r="B55" s="1687" t="s">
        <v>6870</v>
      </c>
      <c r="C55" s="18" t="s">
        <v>22</v>
      </c>
      <c r="D55" s="2043">
        <v>3329806344</v>
      </c>
      <c r="E55" s="427" t="s">
        <v>6871</v>
      </c>
      <c r="F55" s="946" t="s">
        <v>759</v>
      </c>
      <c r="G55" s="1689" t="s">
        <v>76</v>
      </c>
      <c r="I55" s="1122">
        <v>7766091567</v>
      </c>
      <c r="K55" s="275" t="s">
        <v>315</v>
      </c>
      <c r="L55" s="18" t="s">
        <v>351</v>
      </c>
      <c r="M55" s="418">
        <v>36014</v>
      </c>
      <c r="N55" s="315">
        <f t="shared" si="4"/>
        <v>57953</v>
      </c>
      <c r="O55" s="79"/>
      <c r="P55" s="79"/>
      <c r="Q55" s="79"/>
      <c r="R55" s="281" t="s">
        <v>6872</v>
      </c>
      <c r="S55" s="79"/>
      <c r="T55" s="79"/>
      <c r="U55" s="79"/>
      <c r="V55" s="79"/>
      <c r="W55" s="79"/>
    </row>
    <row r="56" spans="1:39" ht="18.75">
      <c r="A56" s="1051"/>
      <c r="B56" s="1687" t="s">
        <v>6873</v>
      </c>
      <c r="C56" s="18" t="s">
        <v>22</v>
      </c>
      <c r="D56" s="2044" t="s">
        <v>6874</v>
      </c>
      <c r="E56" s="427" t="s">
        <v>6875</v>
      </c>
      <c r="F56" s="946" t="s">
        <v>759</v>
      </c>
      <c r="G56" s="1689" t="s">
        <v>76</v>
      </c>
      <c r="H56" s="303"/>
      <c r="I56" s="1122">
        <v>7033589768</v>
      </c>
      <c r="J56" s="307"/>
      <c r="K56" s="275" t="s">
        <v>315</v>
      </c>
      <c r="L56" s="18" t="s">
        <v>351</v>
      </c>
      <c r="M56" s="418">
        <v>36221</v>
      </c>
      <c r="N56" s="315">
        <f t="shared" si="4"/>
        <v>58165</v>
      </c>
      <c r="O56" s="315"/>
      <c r="P56" s="272"/>
      <c r="Q56" s="272"/>
      <c r="R56" s="318" t="s">
        <v>6876</v>
      </c>
      <c r="S56" s="317"/>
      <c r="T56" s="317"/>
      <c r="U56" s="285"/>
      <c r="V56" s="285"/>
      <c r="W56" s="3"/>
      <c r="X56" s="90"/>
      <c r="Y56" s="311"/>
      <c r="Z56" s="311"/>
      <c r="AA56" s="311"/>
      <c r="AB56" s="311"/>
      <c r="AC56" s="311"/>
      <c r="AD56" s="311"/>
      <c r="AE56" s="311"/>
      <c r="AF56" s="311"/>
      <c r="AG56" s="311"/>
      <c r="AH56" s="311"/>
      <c r="AI56" s="311"/>
      <c r="AJ56" s="311"/>
      <c r="AK56" s="311"/>
      <c r="AL56" s="311"/>
      <c r="AM56" s="311"/>
    </row>
    <row r="57" spans="1:39" ht="18.75">
      <c r="A57" s="1051"/>
      <c r="B57" s="1687" t="s">
        <v>6877</v>
      </c>
      <c r="C57" s="18" t="s">
        <v>22</v>
      </c>
      <c r="D57" s="2044" t="s">
        <v>6878</v>
      </c>
      <c r="E57" s="427" t="s">
        <v>6879</v>
      </c>
      <c r="F57" s="946" t="s">
        <v>759</v>
      </c>
      <c r="G57" s="1689" t="s">
        <v>76</v>
      </c>
      <c r="H57" s="303"/>
      <c r="I57" s="1613">
        <v>9973892264</v>
      </c>
      <c r="J57" s="307"/>
      <c r="K57" s="275" t="s">
        <v>315</v>
      </c>
      <c r="L57" s="274" t="s">
        <v>67</v>
      </c>
      <c r="M57" s="418">
        <v>36975</v>
      </c>
      <c r="N57" s="315">
        <f t="shared" si="4"/>
        <v>58896</v>
      </c>
      <c r="O57" s="315"/>
      <c r="P57" s="272"/>
      <c r="Q57" s="272"/>
      <c r="R57" s="318" t="s">
        <v>6880</v>
      </c>
      <c r="S57" s="317"/>
      <c r="T57" s="317"/>
      <c r="U57" s="285"/>
      <c r="V57" s="285"/>
      <c r="W57" s="3"/>
      <c r="X57" s="90"/>
      <c r="Y57" s="311"/>
      <c r="Z57" s="311"/>
      <c r="AA57" s="311"/>
      <c r="AB57" s="311"/>
      <c r="AC57" s="311"/>
      <c r="AD57" s="311"/>
      <c r="AE57" s="311"/>
      <c r="AF57" s="311"/>
      <c r="AG57" s="311"/>
      <c r="AH57" s="311"/>
      <c r="AI57" s="311"/>
      <c r="AJ57" s="311"/>
      <c r="AK57" s="311"/>
      <c r="AL57" s="311"/>
      <c r="AM57" s="311"/>
    </row>
    <row r="58" spans="1:39" ht="15.75" customHeight="1">
      <c r="A58" s="1647"/>
      <c r="B58" s="1687" t="s">
        <v>6881</v>
      </c>
      <c r="C58" s="18" t="s">
        <v>22</v>
      </c>
      <c r="D58" s="2044" t="s">
        <v>6882</v>
      </c>
      <c r="E58" s="1687" t="s">
        <v>6883</v>
      </c>
      <c r="F58" s="674" t="s">
        <v>759</v>
      </c>
      <c r="G58" s="1689" t="s">
        <v>76</v>
      </c>
      <c r="H58" s="1586"/>
      <c r="I58" s="1613">
        <v>8808874756</v>
      </c>
      <c r="J58" s="1586"/>
      <c r="K58" s="275" t="s">
        <v>315</v>
      </c>
      <c r="L58" s="1133" t="s">
        <v>664</v>
      </c>
      <c r="M58" s="418">
        <v>35490</v>
      </c>
      <c r="N58" s="315">
        <v>57404</v>
      </c>
      <c r="O58" s="602"/>
      <c r="P58" s="602"/>
      <c r="Q58" s="602"/>
      <c r="R58" s="486" t="s">
        <v>6884</v>
      </c>
      <c r="S58" s="485"/>
      <c r="T58" s="485"/>
      <c r="U58" s="485"/>
      <c r="V58" s="382"/>
      <c r="W58" s="382"/>
      <c r="X58" s="1647"/>
      <c r="Y58" s="311"/>
      <c r="Z58" s="311"/>
      <c r="AA58" s="311"/>
      <c r="AB58" s="311"/>
      <c r="AC58" s="311"/>
      <c r="AD58" s="311"/>
      <c r="AE58" s="311"/>
      <c r="AF58" s="311"/>
      <c r="AG58" s="311"/>
      <c r="AH58" s="311"/>
      <c r="AI58" s="311"/>
      <c r="AJ58" s="311"/>
      <c r="AK58" s="311"/>
      <c r="AL58" s="311"/>
      <c r="AM58" s="311"/>
    </row>
    <row r="59" spans="1:39" ht="18.75">
      <c r="B59" s="1687" t="s">
        <v>6885</v>
      </c>
      <c r="C59" s="18" t="s">
        <v>22</v>
      </c>
      <c r="D59" s="2043">
        <v>3329806114</v>
      </c>
      <c r="E59" s="1687" t="s">
        <v>6886</v>
      </c>
      <c r="F59" s="674" t="s">
        <v>759</v>
      </c>
      <c r="G59" s="1689" t="s">
        <v>76</v>
      </c>
      <c r="H59" s="79"/>
      <c r="I59" s="79"/>
      <c r="J59" s="79"/>
      <c r="K59" s="275" t="s">
        <v>315</v>
      </c>
      <c r="L59" s="125" t="s">
        <v>67</v>
      </c>
      <c r="M59" s="418">
        <v>34839</v>
      </c>
      <c r="N59" s="315">
        <f t="shared" ref="N59:N73" si="5">EOMONTH(M59,(12*60))</f>
        <v>56765</v>
      </c>
      <c r="O59" s="79"/>
      <c r="P59" s="79"/>
      <c r="Q59" s="79"/>
      <c r="R59" s="281" t="s">
        <v>6887</v>
      </c>
      <c r="S59" s="79"/>
      <c r="T59" s="79"/>
      <c r="U59" s="79"/>
      <c r="V59" s="79"/>
      <c r="W59" s="79"/>
    </row>
    <row r="60" spans="1:39" ht="20.25" customHeight="1">
      <c r="A60" s="1051"/>
      <c r="B60" s="1687" t="s">
        <v>6888</v>
      </c>
      <c r="C60" s="18" t="s">
        <v>22</v>
      </c>
      <c r="D60" s="2044" t="s">
        <v>6889</v>
      </c>
      <c r="E60" s="1687" t="s">
        <v>6890</v>
      </c>
      <c r="F60" s="674" t="s">
        <v>759</v>
      </c>
      <c r="G60" s="1689" t="s">
        <v>78</v>
      </c>
      <c r="H60" s="303"/>
      <c r="I60" s="1643"/>
      <c r="J60" s="307"/>
      <c r="K60" s="275" t="s">
        <v>315</v>
      </c>
      <c r="L60" s="274" t="s">
        <v>62</v>
      </c>
      <c r="M60" s="418">
        <v>35183</v>
      </c>
      <c r="N60" s="315">
        <f t="shared" si="5"/>
        <v>57100</v>
      </c>
      <c r="O60" s="315"/>
      <c r="P60" s="272"/>
      <c r="Q60" s="272"/>
      <c r="R60" s="318" t="s">
        <v>6891</v>
      </c>
      <c r="S60" s="317"/>
      <c r="T60" s="317"/>
      <c r="U60" s="285"/>
      <c r="V60" s="285"/>
      <c r="W60" s="3"/>
      <c r="X60" s="90"/>
      <c r="Y60" s="311"/>
      <c r="Z60" s="311"/>
      <c r="AA60" s="311"/>
      <c r="AB60" s="311"/>
      <c r="AC60" s="311"/>
      <c r="AD60" s="311"/>
      <c r="AE60" s="311"/>
      <c r="AF60" s="311"/>
      <c r="AG60" s="311"/>
      <c r="AH60" s="311"/>
      <c r="AI60" s="311"/>
      <c r="AJ60" s="311"/>
      <c r="AK60" s="311"/>
      <c r="AL60" s="311"/>
      <c r="AM60" s="311"/>
    </row>
    <row r="61" spans="1:39" ht="18.75">
      <c r="A61" s="1051"/>
      <c r="B61" s="1687" t="s">
        <v>6892</v>
      </c>
      <c r="C61" s="18" t="s">
        <v>22</v>
      </c>
      <c r="D61" s="2044" t="s">
        <v>6893</v>
      </c>
      <c r="E61" s="1687" t="s">
        <v>6894</v>
      </c>
      <c r="F61" s="674" t="s">
        <v>759</v>
      </c>
      <c r="G61" s="1689" t="s">
        <v>76</v>
      </c>
      <c r="H61" s="303"/>
      <c r="I61" s="1643"/>
      <c r="J61" s="307"/>
      <c r="K61" s="275" t="s">
        <v>315</v>
      </c>
      <c r="L61" s="274" t="s">
        <v>64</v>
      </c>
      <c r="M61" s="418">
        <v>35851</v>
      </c>
      <c r="N61" s="315">
        <f t="shared" si="5"/>
        <v>57769</v>
      </c>
      <c r="O61" s="315"/>
      <c r="P61" s="272"/>
      <c r="Q61" s="272"/>
      <c r="R61" s="318" t="s">
        <v>6895</v>
      </c>
      <c r="S61" s="317"/>
      <c r="T61" s="317"/>
      <c r="U61" s="285"/>
      <c r="V61" s="285"/>
      <c r="W61" s="3"/>
      <c r="X61" s="90"/>
      <c r="Y61" s="311"/>
      <c r="Z61" s="311"/>
      <c r="AA61" s="311"/>
      <c r="AB61" s="311"/>
      <c r="AC61" s="311"/>
      <c r="AD61" s="311"/>
      <c r="AE61" s="311"/>
      <c r="AF61" s="311"/>
      <c r="AG61" s="311"/>
      <c r="AH61" s="311"/>
      <c r="AI61" s="311"/>
      <c r="AJ61" s="311"/>
      <c r="AK61" s="311"/>
      <c r="AL61" s="311"/>
      <c r="AM61" s="311"/>
    </row>
    <row r="62" spans="1:39" ht="18.75">
      <c r="A62" s="1051"/>
      <c r="B62" s="1687" t="s">
        <v>6896</v>
      </c>
      <c r="C62" s="18" t="s">
        <v>22</v>
      </c>
      <c r="D62" s="2044" t="s">
        <v>6897</v>
      </c>
      <c r="E62" s="1687" t="s">
        <v>6898</v>
      </c>
      <c r="F62" s="674" t="s">
        <v>759</v>
      </c>
      <c r="G62" s="1689" t="s">
        <v>76</v>
      </c>
      <c r="H62" s="303"/>
      <c r="I62" s="1643"/>
      <c r="J62" s="307"/>
      <c r="K62" s="275" t="s">
        <v>315</v>
      </c>
      <c r="L62" s="274" t="s">
        <v>69</v>
      </c>
      <c r="M62" s="418">
        <v>33831</v>
      </c>
      <c r="N62" s="315">
        <f t="shared" si="5"/>
        <v>55762</v>
      </c>
      <c r="O62" s="315"/>
      <c r="P62" s="272"/>
      <c r="Q62" s="272"/>
      <c r="R62" s="318" t="s">
        <v>6899</v>
      </c>
      <c r="S62" s="317"/>
      <c r="T62" s="317"/>
      <c r="U62" s="285"/>
      <c r="V62" s="285"/>
      <c r="W62" s="3"/>
      <c r="X62" s="90"/>
      <c r="Y62" s="311"/>
      <c r="Z62" s="311"/>
      <c r="AA62" s="311"/>
      <c r="AB62" s="311"/>
      <c r="AC62" s="311"/>
      <c r="AD62" s="311"/>
      <c r="AE62" s="311"/>
      <c r="AF62" s="311"/>
      <c r="AG62" s="311"/>
      <c r="AH62" s="311"/>
      <c r="AI62" s="311"/>
      <c r="AJ62" s="311"/>
      <c r="AK62" s="311"/>
      <c r="AL62" s="311"/>
      <c r="AM62" s="311"/>
    </row>
    <row r="63" spans="1:39" ht="19.5" customHeight="1">
      <c r="A63" s="1051"/>
      <c r="B63" s="1687" t="s">
        <v>6900</v>
      </c>
      <c r="C63" s="18" t="s">
        <v>22</v>
      </c>
      <c r="D63" s="2045" t="s">
        <v>6901</v>
      </c>
      <c r="E63" s="1687" t="s">
        <v>6902</v>
      </c>
      <c r="F63" s="946" t="s">
        <v>759</v>
      </c>
      <c r="G63" s="1689" t="s">
        <v>76</v>
      </c>
      <c r="H63" s="303"/>
      <c r="I63" s="1643"/>
      <c r="J63" s="307"/>
      <c r="K63" s="275" t="s">
        <v>315</v>
      </c>
      <c r="L63" s="274" t="s">
        <v>55</v>
      </c>
      <c r="M63" s="418">
        <v>36786</v>
      </c>
      <c r="N63" s="315">
        <f t="shared" si="5"/>
        <v>58714</v>
      </c>
      <c r="O63" s="315"/>
      <c r="P63" s="272"/>
      <c r="Q63" s="272"/>
      <c r="R63" s="318" t="s">
        <v>6903</v>
      </c>
      <c r="S63" s="317"/>
      <c r="T63" s="317"/>
      <c r="U63" s="285"/>
      <c r="V63" s="285"/>
      <c r="W63" s="3"/>
      <c r="X63" s="90"/>
      <c r="Y63" s="311"/>
      <c r="Z63" s="311"/>
      <c r="AA63" s="311"/>
      <c r="AB63" s="311"/>
      <c r="AC63" s="311"/>
      <c r="AD63" s="311"/>
      <c r="AE63" s="311"/>
      <c r="AF63" s="311"/>
      <c r="AG63" s="311"/>
      <c r="AH63" s="311"/>
      <c r="AI63" s="311"/>
      <c r="AJ63" s="311"/>
      <c r="AK63" s="311"/>
      <c r="AL63" s="311"/>
      <c r="AM63" s="311"/>
    </row>
    <row r="64" spans="1:39" ht="20.25" customHeight="1">
      <c r="A64" s="1051"/>
      <c r="B64" s="1687" t="s">
        <v>6904</v>
      </c>
      <c r="C64" s="18" t="s">
        <v>22</v>
      </c>
      <c r="D64" s="2045" t="s">
        <v>6905</v>
      </c>
      <c r="E64" s="1687" t="s">
        <v>6906</v>
      </c>
      <c r="F64" s="946" t="s">
        <v>759</v>
      </c>
      <c r="G64" s="1689" t="s">
        <v>77</v>
      </c>
      <c r="H64" s="303"/>
      <c r="I64" s="1643"/>
      <c r="J64" s="307"/>
      <c r="K64" s="275" t="s">
        <v>315</v>
      </c>
      <c r="L64" s="274" t="s">
        <v>55</v>
      </c>
      <c r="M64" s="2046">
        <v>35277</v>
      </c>
      <c r="N64" s="315">
        <f t="shared" si="5"/>
        <v>57192</v>
      </c>
      <c r="O64" s="315"/>
      <c r="P64" s="272"/>
      <c r="Q64" s="272"/>
      <c r="R64" s="318" t="s">
        <v>6907</v>
      </c>
      <c r="S64" s="317"/>
      <c r="T64" s="317"/>
      <c r="U64" s="285"/>
      <c r="V64" s="285"/>
      <c r="W64" s="3"/>
      <c r="X64" s="90"/>
      <c r="Y64" s="311"/>
      <c r="Z64" s="311"/>
      <c r="AA64" s="311"/>
      <c r="AB64" s="311"/>
      <c r="AC64" s="311"/>
      <c r="AD64" s="311"/>
      <c r="AE64" s="311"/>
      <c r="AF64" s="311"/>
      <c r="AG64" s="311"/>
      <c r="AH64" s="311"/>
      <c r="AI64" s="311"/>
      <c r="AJ64" s="311"/>
      <c r="AK64" s="311"/>
      <c r="AL64" s="311"/>
      <c r="AM64" s="311"/>
    </row>
    <row r="65" spans="1:39" ht="18.75">
      <c r="A65" s="1051"/>
      <c r="B65" s="1687" t="s">
        <v>6908</v>
      </c>
      <c r="C65" s="18" t="s">
        <v>22</v>
      </c>
      <c r="D65" s="2045" t="s">
        <v>6909</v>
      </c>
      <c r="E65" s="1687" t="s">
        <v>6910</v>
      </c>
      <c r="F65" s="946" t="s">
        <v>759</v>
      </c>
      <c r="G65" s="1689" t="s">
        <v>76</v>
      </c>
      <c r="H65" s="303"/>
      <c r="I65" s="1643"/>
      <c r="J65" s="307"/>
      <c r="K65" s="275" t="s">
        <v>315</v>
      </c>
      <c r="L65" s="274" t="s">
        <v>64</v>
      </c>
      <c r="M65" s="2046">
        <v>35690</v>
      </c>
      <c r="N65" s="315">
        <f t="shared" si="5"/>
        <v>57618</v>
      </c>
      <c r="O65" s="315"/>
      <c r="P65" s="272"/>
      <c r="Q65" s="272"/>
      <c r="R65" s="318" t="s">
        <v>6911</v>
      </c>
      <c r="S65" s="317"/>
      <c r="T65" s="317"/>
      <c r="U65" s="285"/>
      <c r="V65" s="285"/>
      <c r="W65" s="3"/>
      <c r="X65" s="90"/>
      <c r="Y65" s="311"/>
      <c r="Z65" s="311"/>
      <c r="AA65" s="311"/>
      <c r="AB65" s="311"/>
      <c r="AC65" s="311"/>
      <c r="AD65" s="311"/>
      <c r="AE65" s="311"/>
      <c r="AF65" s="311"/>
      <c r="AG65" s="311"/>
      <c r="AH65" s="311"/>
      <c r="AI65" s="311"/>
      <c r="AJ65" s="311"/>
      <c r="AK65" s="311"/>
      <c r="AL65" s="311"/>
      <c r="AM65" s="311"/>
    </row>
    <row r="66" spans="1:39" ht="18" customHeight="1">
      <c r="A66" s="1051"/>
      <c r="B66" s="305" t="s">
        <v>6912</v>
      </c>
      <c r="C66" s="274" t="s">
        <v>22</v>
      </c>
      <c r="D66" s="1642" t="s">
        <v>6913</v>
      </c>
      <c r="E66" s="557" t="s">
        <v>6914</v>
      </c>
      <c r="F66" s="946" t="s">
        <v>759</v>
      </c>
      <c r="G66" s="337" t="s">
        <v>77</v>
      </c>
      <c r="H66" s="303"/>
      <c r="I66" s="519">
        <v>8420766854</v>
      </c>
      <c r="J66" s="307"/>
      <c r="K66" s="275" t="s">
        <v>315</v>
      </c>
      <c r="L66" s="125" t="s">
        <v>67</v>
      </c>
      <c r="M66" s="315">
        <v>36626</v>
      </c>
      <c r="N66" s="315">
        <f t="shared" si="5"/>
        <v>58561</v>
      </c>
      <c r="O66" s="315"/>
      <c r="P66" s="272"/>
      <c r="Q66" s="272"/>
      <c r="R66" s="318" t="s">
        <v>6915</v>
      </c>
      <c r="S66" s="317"/>
      <c r="T66" s="317"/>
      <c r="U66" s="285"/>
      <c r="V66" s="285"/>
      <c r="W66" s="3"/>
      <c r="X66" s="90"/>
      <c r="Y66" s="311"/>
      <c r="Z66" s="311"/>
      <c r="AA66" s="311"/>
      <c r="AB66" s="311"/>
      <c r="AC66" s="311"/>
      <c r="AD66" s="311"/>
      <c r="AE66" s="311"/>
      <c r="AF66" s="311"/>
      <c r="AG66" s="311"/>
      <c r="AH66" s="311"/>
      <c r="AI66" s="311"/>
      <c r="AJ66" s="311"/>
      <c r="AK66" s="311"/>
      <c r="AL66" s="311"/>
      <c r="AM66" s="311"/>
    </row>
    <row r="67" spans="1:39" ht="18.75">
      <c r="A67" s="1051"/>
      <c r="B67" s="1684" t="s">
        <v>6916</v>
      </c>
      <c r="C67" s="274" t="s">
        <v>22</v>
      </c>
      <c r="D67" s="2047" t="s">
        <v>6917</v>
      </c>
      <c r="E67" s="620"/>
      <c r="F67" s="946" t="s">
        <v>759</v>
      </c>
      <c r="G67" s="337" t="s">
        <v>76</v>
      </c>
      <c r="H67" s="303"/>
      <c r="I67" s="1643"/>
      <c r="J67" s="307"/>
      <c r="K67" s="275" t="s">
        <v>315</v>
      </c>
      <c r="L67" s="274" t="s">
        <v>50</v>
      </c>
      <c r="M67" s="315">
        <v>35779</v>
      </c>
      <c r="N67" s="315">
        <f t="shared" si="5"/>
        <v>57710</v>
      </c>
      <c r="O67" s="315"/>
      <c r="P67" s="272"/>
      <c r="Q67" s="272"/>
      <c r="R67" s="318" t="s">
        <v>6918</v>
      </c>
      <c r="S67" s="317"/>
      <c r="T67" s="317"/>
      <c r="U67" s="285"/>
      <c r="V67" s="285"/>
      <c r="W67" s="3"/>
      <c r="X67" s="90"/>
      <c r="Y67" s="311"/>
      <c r="Z67" s="311"/>
      <c r="AA67" s="311"/>
      <c r="AB67" s="311"/>
      <c r="AC67" s="311"/>
      <c r="AD67" s="311"/>
      <c r="AE67" s="311"/>
      <c r="AF67" s="311"/>
      <c r="AG67" s="311"/>
      <c r="AH67" s="311"/>
      <c r="AI67" s="311"/>
      <c r="AJ67" s="311"/>
      <c r="AK67" s="311"/>
      <c r="AL67" s="311"/>
      <c r="AM67" s="311"/>
    </row>
    <row r="68" spans="1:39" ht="18.75">
      <c r="A68" s="1051"/>
      <c r="B68" s="1684" t="s">
        <v>6919</v>
      </c>
      <c r="C68" s="274" t="s">
        <v>22</v>
      </c>
      <c r="D68" s="2047" t="s">
        <v>6920</v>
      </c>
      <c r="E68" s="620"/>
      <c r="F68" s="946" t="s">
        <v>759</v>
      </c>
      <c r="G68" s="337"/>
      <c r="H68" s="303"/>
      <c r="I68" s="1643"/>
      <c r="J68" s="307"/>
      <c r="K68" s="275" t="s">
        <v>315</v>
      </c>
      <c r="L68" s="1686" t="s">
        <v>6921</v>
      </c>
      <c r="M68" s="315">
        <v>33793</v>
      </c>
      <c r="N68" s="315">
        <f t="shared" si="5"/>
        <v>55731</v>
      </c>
      <c r="O68" s="315"/>
      <c r="P68" s="272"/>
      <c r="Q68" s="272"/>
      <c r="R68" s="318" t="s">
        <v>6922</v>
      </c>
      <c r="S68" s="317"/>
      <c r="T68" s="317"/>
      <c r="U68" s="285"/>
      <c r="V68" s="285"/>
      <c r="W68" s="3"/>
      <c r="X68" s="90"/>
      <c r="Y68" s="311"/>
      <c r="Z68" s="311"/>
      <c r="AA68" s="311"/>
      <c r="AB68" s="311"/>
      <c r="AC68" s="311"/>
      <c r="AD68" s="311"/>
      <c r="AE68" s="311"/>
      <c r="AF68" s="311"/>
      <c r="AG68" s="311"/>
      <c r="AH68" s="311"/>
      <c r="AI68" s="311"/>
      <c r="AJ68" s="311"/>
      <c r="AK68" s="311"/>
      <c r="AL68" s="311"/>
      <c r="AM68" s="311"/>
    </row>
    <row r="69" spans="1:39" ht="18.75">
      <c r="A69" s="1051"/>
      <c r="B69" s="1684" t="s">
        <v>6923</v>
      </c>
      <c r="C69" s="274" t="s">
        <v>22</v>
      </c>
      <c r="D69" s="2047" t="s">
        <v>6924</v>
      </c>
      <c r="E69" s="620"/>
      <c r="F69" s="946" t="s">
        <v>759</v>
      </c>
      <c r="G69" s="337"/>
      <c r="H69" s="303"/>
      <c r="I69" s="1643"/>
      <c r="J69" s="307"/>
      <c r="K69" s="275" t="s">
        <v>315</v>
      </c>
      <c r="L69" s="274" t="s">
        <v>43</v>
      </c>
      <c r="M69" s="315">
        <v>36267</v>
      </c>
      <c r="N69" s="315">
        <f t="shared" si="5"/>
        <v>58195</v>
      </c>
      <c r="O69" s="315"/>
      <c r="P69" s="272"/>
      <c r="Q69" s="272"/>
      <c r="R69" s="318" t="s">
        <v>6925</v>
      </c>
      <c r="S69" s="317"/>
      <c r="T69" s="317"/>
      <c r="U69" s="285"/>
      <c r="V69" s="285"/>
      <c r="W69" s="3"/>
      <c r="X69" s="90"/>
      <c r="Y69" s="311"/>
      <c r="Z69" s="311"/>
      <c r="AA69" s="311"/>
      <c r="AB69" s="311"/>
      <c r="AC69" s="311"/>
      <c r="AD69" s="311"/>
      <c r="AE69" s="311"/>
      <c r="AF69" s="311"/>
      <c r="AG69" s="311"/>
      <c r="AH69" s="311"/>
      <c r="AI69" s="311"/>
      <c r="AJ69" s="311"/>
      <c r="AK69" s="311"/>
      <c r="AL69" s="311"/>
      <c r="AM69" s="311"/>
    </row>
    <row r="70" spans="1:39" ht="18.75">
      <c r="A70" s="1051"/>
      <c r="B70" s="1684" t="s">
        <v>6926</v>
      </c>
      <c r="C70" s="274" t="s">
        <v>22</v>
      </c>
      <c r="D70" s="2047" t="s">
        <v>6927</v>
      </c>
      <c r="E70" s="620"/>
      <c r="F70" s="946" t="s">
        <v>759</v>
      </c>
      <c r="G70" s="337"/>
      <c r="H70" s="303"/>
      <c r="I70" s="1643"/>
      <c r="J70" s="307"/>
      <c r="K70" s="275" t="s">
        <v>315</v>
      </c>
      <c r="L70" s="1686" t="s">
        <v>55</v>
      </c>
      <c r="M70" s="315">
        <v>34475</v>
      </c>
      <c r="N70" s="315">
        <f t="shared" si="5"/>
        <v>56400</v>
      </c>
      <c r="O70" s="315"/>
      <c r="P70" s="272"/>
      <c r="Q70" s="272"/>
      <c r="R70" s="318" t="s">
        <v>6928</v>
      </c>
      <c r="S70" s="317"/>
      <c r="T70" s="317"/>
      <c r="U70" s="285"/>
      <c r="V70" s="285"/>
      <c r="W70" s="3"/>
      <c r="X70" s="90"/>
      <c r="Y70" s="311"/>
      <c r="Z70" s="311"/>
      <c r="AA70" s="311"/>
      <c r="AB70" s="311"/>
      <c r="AC70" s="311"/>
      <c r="AD70" s="311"/>
      <c r="AE70" s="311"/>
      <c r="AF70" s="311"/>
      <c r="AG70" s="311"/>
      <c r="AH70" s="311"/>
      <c r="AI70" s="311"/>
      <c r="AJ70" s="311"/>
      <c r="AK70" s="311"/>
      <c r="AL70" s="311"/>
      <c r="AM70" s="311"/>
    </row>
    <row r="71" spans="1:39" ht="18.75">
      <c r="A71" s="1051"/>
      <c r="B71" s="1684" t="s">
        <v>6929</v>
      </c>
      <c r="C71" s="274" t="s">
        <v>22</v>
      </c>
      <c r="D71" s="2047" t="s">
        <v>6930</v>
      </c>
      <c r="E71" s="620"/>
      <c r="F71" s="946" t="s">
        <v>759</v>
      </c>
      <c r="G71" s="337"/>
      <c r="H71" s="303"/>
      <c r="I71" s="1643"/>
      <c r="J71" s="307"/>
      <c r="K71" s="275" t="s">
        <v>315</v>
      </c>
      <c r="L71" s="1686" t="s">
        <v>69</v>
      </c>
      <c r="M71" s="315">
        <v>34808</v>
      </c>
      <c r="N71" s="315">
        <f t="shared" si="5"/>
        <v>56734</v>
      </c>
      <c r="O71" s="315"/>
      <c r="P71" s="272"/>
      <c r="Q71" s="272"/>
      <c r="R71" s="318" t="s">
        <v>6931</v>
      </c>
      <c r="S71" s="317"/>
      <c r="T71" s="317"/>
      <c r="U71" s="285"/>
      <c r="V71" s="285"/>
      <c r="W71" s="3"/>
      <c r="X71" s="90"/>
      <c r="Y71" s="311"/>
      <c r="Z71" s="311"/>
      <c r="AA71" s="311"/>
      <c r="AB71" s="311"/>
      <c r="AC71" s="311"/>
      <c r="AD71" s="311"/>
      <c r="AE71" s="311"/>
      <c r="AF71" s="311"/>
      <c r="AG71" s="311"/>
      <c r="AH71" s="311"/>
      <c r="AI71" s="311"/>
      <c r="AJ71" s="311"/>
      <c r="AK71" s="311"/>
      <c r="AL71" s="311"/>
      <c r="AM71" s="311"/>
    </row>
    <row r="72" spans="1:39" ht="18.75">
      <c r="A72" s="1051"/>
      <c r="B72" s="1684" t="s">
        <v>6932</v>
      </c>
      <c r="C72" s="274" t="s">
        <v>22</v>
      </c>
      <c r="D72" s="2047" t="s">
        <v>6933</v>
      </c>
      <c r="E72" s="620"/>
      <c r="F72" s="946" t="s">
        <v>759</v>
      </c>
      <c r="G72" s="337"/>
      <c r="H72" s="303"/>
      <c r="I72" s="1643"/>
      <c r="J72" s="307"/>
      <c r="K72" s="275" t="s">
        <v>315</v>
      </c>
      <c r="L72" s="1686" t="s">
        <v>45</v>
      </c>
      <c r="M72" s="315">
        <v>33248</v>
      </c>
      <c r="N72" s="315">
        <f t="shared" si="5"/>
        <v>55184</v>
      </c>
      <c r="O72" s="315"/>
      <c r="P72" s="272"/>
      <c r="Q72" s="272"/>
      <c r="R72" s="318" t="s">
        <v>6934</v>
      </c>
      <c r="S72" s="317"/>
      <c r="T72" s="317"/>
      <c r="U72" s="285"/>
      <c r="V72" s="285"/>
      <c r="W72" s="3"/>
      <c r="X72" s="90"/>
      <c r="Y72" s="311"/>
      <c r="Z72" s="311"/>
      <c r="AA72" s="311"/>
      <c r="AB72" s="311"/>
      <c r="AC72" s="311"/>
      <c r="AD72" s="311"/>
      <c r="AE72" s="311"/>
      <c r="AF72" s="311"/>
      <c r="AG72" s="311"/>
      <c r="AH72" s="311"/>
      <c r="AI72" s="311"/>
      <c r="AJ72" s="311"/>
      <c r="AK72" s="311"/>
      <c r="AL72" s="311"/>
      <c r="AM72" s="311"/>
    </row>
    <row r="73" spans="1:39" ht="18.75">
      <c r="A73" s="1051"/>
      <c r="B73" s="1684" t="s">
        <v>6935</v>
      </c>
      <c r="C73" s="274" t="s">
        <v>22</v>
      </c>
      <c r="D73" s="2047" t="s">
        <v>6936</v>
      </c>
      <c r="E73" s="620"/>
      <c r="F73" s="946" t="s">
        <v>759</v>
      </c>
      <c r="G73" s="337" t="s">
        <v>78</v>
      </c>
      <c r="H73" s="303"/>
      <c r="I73" s="1643"/>
      <c r="J73" s="307"/>
      <c r="K73" s="275" t="s">
        <v>315</v>
      </c>
      <c r="L73" s="1686" t="s">
        <v>47</v>
      </c>
      <c r="M73" s="315">
        <v>36017</v>
      </c>
      <c r="N73" s="315">
        <f t="shared" si="5"/>
        <v>57953</v>
      </c>
      <c r="O73" s="315"/>
      <c r="P73" s="272"/>
      <c r="Q73" s="272"/>
      <c r="R73" s="318" t="s">
        <v>6937</v>
      </c>
      <c r="S73" s="317"/>
      <c r="T73" s="317"/>
      <c r="U73" s="285"/>
      <c r="V73" s="285"/>
      <c r="W73" s="3"/>
      <c r="X73" s="90"/>
      <c r="Y73" s="311"/>
      <c r="Z73" s="311"/>
      <c r="AA73" s="311"/>
      <c r="AB73" s="311"/>
      <c r="AC73" s="311"/>
      <c r="AD73" s="311"/>
      <c r="AE73" s="311"/>
      <c r="AF73" s="311"/>
      <c r="AG73" s="311"/>
      <c r="AH73" s="311"/>
      <c r="AI73" s="311"/>
      <c r="AJ73" s="311"/>
      <c r="AK73" s="311"/>
      <c r="AL73" s="311"/>
      <c r="AM73" s="311"/>
    </row>
    <row r="74" spans="1:39" ht="15.75" customHeight="1">
      <c r="A74" s="980">
        <v>14</v>
      </c>
      <c r="B74" s="305" t="s">
        <v>6938</v>
      </c>
      <c r="C74" s="303" t="s">
        <v>22</v>
      </c>
      <c r="D74" s="1645" t="s">
        <v>6939</v>
      </c>
      <c r="E74" s="1010" t="s">
        <v>6940</v>
      </c>
      <c r="F74" s="946" t="s">
        <v>759</v>
      </c>
      <c r="G74" s="337" t="s">
        <v>77</v>
      </c>
      <c r="H74" s="307"/>
      <c r="I74" s="303">
        <v>7003099374</v>
      </c>
      <c r="J74" s="2048">
        <v>7003099374</v>
      </c>
      <c r="K74" s="275" t="s">
        <v>315</v>
      </c>
      <c r="L74" s="274" t="s">
        <v>43</v>
      </c>
      <c r="M74" s="315">
        <v>34302</v>
      </c>
      <c r="N74" s="315">
        <v>56218</v>
      </c>
      <c r="O74" s="315">
        <v>45112</v>
      </c>
      <c r="P74" s="272">
        <v>45145</v>
      </c>
      <c r="Q74" s="418">
        <v>46032</v>
      </c>
      <c r="R74" s="318" t="s">
        <v>6941</v>
      </c>
      <c r="S74" s="285"/>
      <c r="T74" s="317"/>
      <c r="U74" s="285"/>
      <c r="V74" s="285"/>
      <c r="W74" s="3"/>
      <c r="X74" s="90"/>
    </row>
    <row r="75" spans="1:39" ht="15.75" customHeight="1">
      <c r="A75" s="980"/>
      <c r="B75" s="305" t="s">
        <v>6942</v>
      </c>
      <c r="C75" s="303" t="s">
        <v>22</v>
      </c>
      <c r="D75" s="1645" t="s">
        <v>6943</v>
      </c>
      <c r="E75" s="1010"/>
      <c r="F75" s="946" t="s">
        <v>759</v>
      </c>
      <c r="G75" s="337" t="s">
        <v>6944</v>
      </c>
      <c r="H75" s="307"/>
      <c r="I75" s="303"/>
      <c r="J75" s="2048"/>
      <c r="K75" s="275" t="s">
        <v>315</v>
      </c>
      <c r="L75" s="274" t="s">
        <v>664</v>
      </c>
      <c r="M75" s="2049">
        <v>35345</v>
      </c>
      <c r="N75" s="315"/>
      <c r="O75" s="315"/>
      <c r="P75" s="272"/>
      <c r="Q75" s="418"/>
      <c r="R75" s="317"/>
      <c r="S75" s="285"/>
      <c r="T75" s="317"/>
      <c r="U75" s="285"/>
      <c r="V75" s="285"/>
      <c r="W75" s="3"/>
      <c r="X75" s="90"/>
    </row>
    <row r="76" spans="1:39" ht="15.75" customHeight="1">
      <c r="A76" s="980"/>
      <c r="B76" s="305" t="s">
        <v>6945</v>
      </c>
      <c r="C76" s="303" t="s">
        <v>22</v>
      </c>
      <c r="D76" s="1645" t="s">
        <v>6946</v>
      </c>
      <c r="E76" s="1010"/>
      <c r="F76" s="946" t="s">
        <v>759</v>
      </c>
      <c r="G76" s="337" t="s">
        <v>76</v>
      </c>
      <c r="H76" s="307"/>
      <c r="I76" s="303"/>
      <c r="J76" s="2048"/>
      <c r="K76" s="275" t="s">
        <v>315</v>
      </c>
      <c r="L76" s="274" t="s">
        <v>664</v>
      </c>
      <c r="M76" s="315">
        <v>33927</v>
      </c>
      <c r="N76" s="315"/>
      <c r="O76" s="315"/>
      <c r="P76" s="272"/>
      <c r="Q76" s="418"/>
      <c r="R76" s="317"/>
      <c r="S76" s="285"/>
      <c r="T76" s="317"/>
      <c r="U76" s="285"/>
      <c r="V76" s="285"/>
      <c r="W76" s="3"/>
      <c r="X76" s="90"/>
    </row>
    <row r="77" spans="1:39" ht="13.5" customHeight="1">
      <c r="A77" s="1566">
        <v>52</v>
      </c>
      <c r="B77" s="1734" t="s">
        <v>6947</v>
      </c>
      <c r="C77" s="274" t="s">
        <v>22</v>
      </c>
      <c r="D77" s="1284">
        <v>53162131242</v>
      </c>
      <c r="E77" s="274" t="s">
        <v>6948</v>
      </c>
      <c r="F77" s="286" t="s">
        <v>759</v>
      </c>
      <c r="G77" s="274" t="s">
        <v>76</v>
      </c>
      <c r="H77" s="274"/>
      <c r="I77" s="274">
        <v>9523362795</v>
      </c>
      <c r="J77" s="275"/>
      <c r="K77" s="275" t="s">
        <v>315</v>
      </c>
      <c r="L77" s="274" t="s">
        <v>52</v>
      </c>
      <c r="M77" s="272">
        <v>31120</v>
      </c>
      <c r="N77" s="272">
        <v>53052</v>
      </c>
      <c r="O77" s="272"/>
      <c r="P77" s="279"/>
      <c r="Q77" s="272"/>
      <c r="R77" s="638" t="s">
        <v>6949</v>
      </c>
      <c r="S77" s="485"/>
      <c r="T77" s="952"/>
      <c r="U77" s="952"/>
      <c r="V77" s="382"/>
      <c r="W77" s="382"/>
      <c r="X77" s="282">
        <f t="shared" ref="X77:X78" ca="1" si="6">INT((TODAY()-M77)/365)</f>
        <v>41</v>
      </c>
      <c r="Y77" s="79"/>
      <c r="Z77" s="79"/>
      <c r="AB77" s="311"/>
      <c r="AC77" s="311"/>
      <c r="AD77" s="311"/>
      <c r="AE77" s="311"/>
      <c r="AF77" s="311"/>
      <c r="AG77" s="311"/>
      <c r="AH77" s="311"/>
      <c r="AI77" s="311"/>
      <c r="AJ77" s="311"/>
      <c r="AK77" s="311"/>
      <c r="AL77" s="311"/>
      <c r="AM77" s="311"/>
    </row>
    <row r="78" spans="1:39" ht="15.75" customHeight="1">
      <c r="A78" s="1006">
        <v>65</v>
      </c>
      <c r="B78" s="301" t="s">
        <v>6950</v>
      </c>
      <c r="C78" s="274" t="s">
        <v>20</v>
      </c>
      <c r="D78" s="562" t="s">
        <v>6951</v>
      </c>
      <c r="E78" s="1004" t="s">
        <v>6952</v>
      </c>
      <c r="F78" s="274" t="s">
        <v>759</v>
      </c>
      <c r="G78" s="274" t="s">
        <v>77</v>
      </c>
      <c r="H78" s="275"/>
      <c r="I78" s="275">
        <v>9564023080</v>
      </c>
      <c r="J78" s="690">
        <v>9564023080</v>
      </c>
      <c r="K78" s="275" t="s">
        <v>315</v>
      </c>
      <c r="L78" s="274" t="s">
        <v>43</v>
      </c>
      <c r="M78" s="272">
        <v>33971</v>
      </c>
      <c r="N78" s="272">
        <v>55915</v>
      </c>
      <c r="O78" s="272">
        <v>46557</v>
      </c>
      <c r="P78" s="687">
        <v>46040</v>
      </c>
      <c r="Q78" s="687">
        <v>45913</v>
      </c>
      <c r="R78" s="603" t="s">
        <v>6953</v>
      </c>
      <c r="S78" s="485"/>
      <c r="T78" s="79"/>
      <c r="U78" s="485"/>
      <c r="V78" s="285"/>
      <c r="W78" s="382"/>
      <c r="X78" s="282">
        <f t="shared" ca="1" si="6"/>
        <v>33</v>
      </c>
      <c r="Y78" s="382"/>
      <c r="Z78" s="382"/>
      <c r="AA78" s="382"/>
      <c r="AB78" s="311"/>
    </row>
    <row r="79" spans="1:39" ht="15.75" customHeight="1">
      <c r="A79" s="1131">
        <v>47</v>
      </c>
      <c r="B79" s="351" t="s">
        <v>6954</v>
      </c>
      <c r="C79" s="1301" t="s">
        <v>20</v>
      </c>
      <c r="D79" s="1587" t="s">
        <v>6955</v>
      </c>
      <c r="E79" s="1004" t="s">
        <v>6956</v>
      </c>
      <c r="F79" s="946" t="s">
        <v>759</v>
      </c>
      <c r="G79" s="274" t="s">
        <v>77</v>
      </c>
      <c r="H79" s="275"/>
      <c r="I79" s="275">
        <v>7980544147</v>
      </c>
      <c r="J79" s="275"/>
      <c r="K79" s="275" t="s">
        <v>315</v>
      </c>
      <c r="L79" s="274" t="s">
        <v>64</v>
      </c>
      <c r="M79" s="272">
        <v>29935</v>
      </c>
      <c r="N79" s="272">
        <v>51866</v>
      </c>
      <c r="O79" s="277">
        <v>46371</v>
      </c>
      <c r="P79" s="272">
        <v>45653</v>
      </c>
      <c r="Q79" s="419">
        <v>45636</v>
      </c>
      <c r="R79" s="281" t="s">
        <v>6957</v>
      </c>
      <c r="S79" s="281" t="s">
        <v>6958</v>
      </c>
      <c r="T79" s="280"/>
      <c r="U79" s="280"/>
      <c r="V79" s="285"/>
      <c r="W79" s="79"/>
      <c r="X79" s="79"/>
      <c r="Y79" s="79"/>
      <c r="Z79" s="79"/>
      <c r="AA79" s="79"/>
      <c r="AB79" s="311">
        <f t="shared" ref="AB79:AB81" ca="1" si="7">INT((TODAY()-M79)/365)</f>
        <v>44</v>
      </c>
    </row>
    <row r="80" spans="1:39" ht="12.75" customHeight="1">
      <c r="A80" s="1131">
        <v>48</v>
      </c>
      <c r="B80" s="351" t="s">
        <v>6959</v>
      </c>
      <c r="C80" s="561" t="s">
        <v>20</v>
      </c>
      <c r="D80" s="1931" t="s">
        <v>6960</v>
      </c>
      <c r="E80" s="303" t="s">
        <v>6961</v>
      </c>
      <c r="F80" s="946" t="s">
        <v>759</v>
      </c>
      <c r="G80" s="274" t="s">
        <v>77</v>
      </c>
      <c r="H80" s="275"/>
      <c r="I80" s="275">
        <v>9775151775</v>
      </c>
      <c r="J80" s="275"/>
      <c r="K80" s="275" t="s">
        <v>315</v>
      </c>
      <c r="L80" s="274" t="s">
        <v>256</v>
      </c>
      <c r="M80" s="272">
        <v>31970</v>
      </c>
      <c r="N80" s="272">
        <v>53904</v>
      </c>
      <c r="O80" s="320">
        <v>45979</v>
      </c>
      <c r="P80" s="272">
        <v>45874</v>
      </c>
      <c r="Q80" s="279">
        <v>45833</v>
      </c>
      <c r="R80" s="281" t="s">
        <v>6962</v>
      </c>
      <c r="S80" s="280"/>
      <c r="T80" s="281" t="s">
        <v>6963</v>
      </c>
      <c r="U80" s="280"/>
      <c r="V80" s="285"/>
      <c r="W80" s="79"/>
      <c r="X80" s="79"/>
      <c r="Y80" s="79"/>
      <c r="Z80" s="79"/>
      <c r="AA80" s="79"/>
      <c r="AB80" s="311">
        <f t="shared" ca="1" si="7"/>
        <v>38</v>
      </c>
    </row>
    <row r="81" spans="1:39" ht="15.75" customHeight="1">
      <c r="A81" s="1929">
        <v>17</v>
      </c>
      <c r="B81" s="351" t="s">
        <v>6964</v>
      </c>
      <c r="C81" s="274" t="s">
        <v>20</v>
      </c>
      <c r="D81" s="621" t="s">
        <v>6965</v>
      </c>
      <c r="E81" s="1676" t="s">
        <v>6966</v>
      </c>
      <c r="F81" s="274" t="s">
        <v>759</v>
      </c>
      <c r="G81" s="274" t="s">
        <v>76</v>
      </c>
      <c r="H81" s="391"/>
      <c r="I81" s="275">
        <v>9801336005</v>
      </c>
      <c r="J81" s="275">
        <v>9801336005</v>
      </c>
      <c r="K81" s="275" t="s">
        <v>315</v>
      </c>
      <c r="L81" s="18" t="s">
        <v>299</v>
      </c>
      <c r="M81" s="272">
        <v>33429</v>
      </c>
      <c r="N81" s="272">
        <v>55365</v>
      </c>
      <c r="O81" s="277">
        <v>45482</v>
      </c>
      <c r="P81" s="278">
        <v>45637</v>
      </c>
      <c r="Q81" s="279"/>
      <c r="R81" s="281" t="s">
        <v>6967</v>
      </c>
      <c r="S81" s="281" t="s">
        <v>6968</v>
      </c>
      <c r="T81" s="281" t="s">
        <v>6969</v>
      </c>
      <c r="U81" s="280"/>
      <c r="V81" s="79">
        <f>LEN(D81)</f>
        <v>10</v>
      </c>
      <c r="W81" s="79"/>
      <c r="X81" s="79"/>
      <c r="Y81" s="704"/>
      <c r="Z81" s="704"/>
      <c r="AA81" s="704"/>
      <c r="AB81" s="311">
        <f t="shared" ca="1" si="7"/>
        <v>34</v>
      </c>
    </row>
    <row r="82" spans="1:39" ht="15.75" customHeight="1">
      <c r="A82" s="1263">
        <v>19</v>
      </c>
      <c r="B82" s="688" t="s">
        <v>6970</v>
      </c>
      <c r="C82" s="274" t="s">
        <v>20</v>
      </c>
      <c r="D82" s="1651" t="s">
        <v>6971</v>
      </c>
      <c r="E82" s="1004" t="s">
        <v>6972</v>
      </c>
      <c r="F82" s="274" t="s">
        <v>759</v>
      </c>
      <c r="G82" s="274" t="s">
        <v>77</v>
      </c>
      <c r="H82" s="275"/>
      <c r="I82" s="274">
        <v>8509323660</v>
      </c>
      <c r="J82" s="2050">
        <v>8509323660</v>
      </c>
      <c r="K82" s="275" t="s">
        <v>315</v>
      </c>
      <c r="L82" s="274" t="s">
        <v>58</v>
      </c>
      <c r="M82" s="272">
        <v>33338</v>
      </c>
      <c r="N82" s="272">
        <v>55273</v>
      </c>
      <c r="O82" s="272">
        <v>46517</v>
      </c>
      <c r="P82" s="279">
        <v>45905</v>
      </c>
      <c r="Q82" s="279">
        <v>45951</v>
      </c>
      <c r="R82" s="377" t="s">
        <v>6973</v>
      </c>
      <c r="S82" s="485"/>
      <c r="T82" s="79"/>
      <c r="U82" s="485"/>
      <c r="V82" s="285"/>
      <c r="W82" s="311"/>
      <c r="X82" s="208">
        <f ca="1">INT((TODAY()-M82)/365)</f>
        <v>34</v>
      </c>
      <c r="Y82" s="311"/>
      <c r="Z82" s="311"/>
      <c r="AA82" s="311"/>
      <c r="AB82" s="311"/>
    </row>
    <row r="83" spans="1:39" ht="15.75" customHeight="1">
      <c r="A83" s="1263">
        <v>18</v>
      </c>
      <c r="B83" s="351" t="s">
        <v>6974</v>
      </c>
      <c r="C83" s="274" t="s">
        <v>20</v>
      </c>
      <c r="D83" s="1781" t="s">
        <v>6975</v>
      </c>
      <c r="E83" s="1004" t="s">
        <v>6976</v>
      </c>
      <c r="F83" s="970" t="s">
        <v>759</v>
      </c>
      <c r="G83" s="274" t="s">
        <v>77</v>
      </c>
      <c r="H83" s="275"/>
      <c r="I83" s="275">
        <v>7602044715</v>
      </c>
      <c r="J83" s="275">
        <v>7602044715</v>
      </c>
      <c r="K83" s="275" t="s">
        <v>315</v>
      </c>
      <c r="L83" s="274" t="s">
        <v>417</v>
      </c>
      <c r="M83" s="272">
        <v>34478</v>
      </c>
      <c r="N83" s="272">
        <v>56400</v>
      </c>
      <c r="O83" s="277">
        <v>46515</v>
      </c>
      <c r="P83" s="272">
        <v>45996</v>
      </c>
      <c r="Q83" s="419">
        <v>46087</v>
      </c>
      <c r="R83" s="281" t="s">
        <v>6977</v>
      </c>
      <c r="S83" s="281" t="s">
        <v>6978</v>
      </c>
      <c r="T83" s="79"/>
      <c r="U83" s="280"/>
      <c r="V83" s="285"/>
      <c r="W83" s="208">
        <f t="shared" ref="W83:W84" ca="1" si="8">INT((TODAY()-M83)/365)</f>
        <v>31</v>
      </c>
      <c r="AD83" s="311"/>
      <c r="AE83" s="311"/>
      <c r="AF83" s="311"/>
      <c r="AG83" s="311"/>
      <c r="AH83" s="311"/>
      <c r="AI83" s="311"/>
      <c r="AJ83" s="311"/>
      <c r="AK83" s="311"/>
      <c r="AL83" s="311"/>
      <c r="AM83" s="311"/>
    </row>
    <row r="84" spans="1:39" ht="15.75" customHeight="1">
      <c r="A84" s="944">
        <v>22</v>
      </c>
      <c r="B84" s="351" t="s">
        <v>6979</v>
      </c>
      <c r="C84" s="274" t="s">
        <v>20</v>
      </c>
      <c r="D84" s="1781" t="s">
        <v>6980</v>
      </c>
      <c r="E84" s="540" t="s">
        <v>6981</v>
      </c>
      <c r="F84" s="970" t="s">
        <v>759</v>
      </c>
      <c r="G84" s="274" t="s">
        <v>77</v>
      </c>
      <c r="H84" s="275"/>
      <c r="I84" s="275">
        <v>8250321953</v>
      </c>
      <c r="J84" s="275"/>
      <c r="K84" s="275" t="s">
        <v>315</v>
      </c>
      <c r="L84" s="274" t="s">
        <v>60</v>
      </c>
      <c r="M84" s="272">
        <v>34546</v>
      </c>
      <c r="N84" s="272">
        <v>56461</v>
      </c>
      <c r="O84" s="277">
        <v>46515</v>
      </c>
      <c r="P84" s="272">
        <v>45905</v>
      </c>
      <c r="Q84" s="419">
        <v>45860</v>
      </c>
      <c r="R84" s="281" t="s">
        <v>6982</v>
      </c>
      <c r="S84" s="280"/>
      <c r="T84" s="280"/>
      <c r="U84" s="280"/>
      <c r="V84" s="280">
        <f>LEN(D84)</f>
        <v>11</v>
      </c>
      <c r="W84" s="282">
        <f t="shared" ca="1" si="8"/>
        <v>31</v>
      </c>
      <c r="X84" s="79"/>
      <c r="Y84" s="79"/>
      <c r="Z84" s="79"/>
      <c r="AA84" s="79"/>
    </row>
    <row r="85" spans="1:39" ht="15.75" customHeight="1">
      <c r="A85" s="1036">
        <v>10</v>
      </c>
      <c r="B85" s="351" t="s">
        <v>6983</v>
      </c>
      <c r="C85" s="1301" t="s">
        <v>20</v>
      </c>
      <c r="D85" s="621" t="s">
        <v>6984</v>
      </c>
      <c r="E85" s="703" t="s">
        <v>6985</v>
      </c>
      <c r="F85" s="946" t="s">
        <v>759</v>
      </c>
      <c r="G85" s="284" t="s">
        <v>77</v>
      </c>
      <c r="H85" s="275"/>
      <c r="I85" s="275">
        <v>8101144202</v>
      </c>
      <c r="J85" s="935">
        <v>8101144202</v>
      </c>
      <c r="K85" s="275" t="s">
        <v>315</v>
      </c>
      <c r="L85" s="445" t="s">
        <v>58</v>
      </c>
      <c r="M85" s="272">
        <v>32962</v>
      </c>
      <c r="N85" s="272">
        <v>54878</v>
      </c>
      <c r="O85" s="320">
        <v>45992</v>
      </c>
      <c r="P85" s="272">
        <v>45874</v>
      </c>
      <c r="Q85" s="419">
        <v>45833</v>
      </c>
      <c r="R85" s="281" t="s">
        <v>6986</v>
      </c>
      <c r="S85" s="281" t="s">
        <v>6987</v>
      </c>
      <c r="T85" s="280"/>
      <c r="U85" s="280"/>
      <c r="V85" s="285"/>
      <c r="W85" s="79"/>
      <c r="X85" s="79"/>
      <c r="Y85" s="79"/>
      <c r="Z85" s="79"/>
      <c r="AA85" s="79"/>
      <c r="AB85" s="311">
        <f ca="1">INT((TODAY()-M85)/365)</f>
        <v>35</v>
      </c>
    </row>
    <row r="86" spans="1:39">
      <c r="A86" s="1929">
        <v>15</v>
      </c>
      <c r="B86" s="351" t="s">
        <v>6988</v>
      </c>
      <c r="C86" s="274" t="s">
        <v>20</v>
      </c>
      <c r="D86" s="1781" t="s">
        <v>6989</v>
      </c>
      <c r="E86" s="703" t="s">
        <v>6990</v>
      </c>
      <c r="F86" s="1024" t="s">
        <v>759</v>
      </c>
      <c r="G86" s="284" t="s">
        <v>77</v>
      </c>
      <c r="H86" s="275"/>
      <c r="I86" s="275">
        <v>8789733822</v>
      </c>
      <c r="J86" s="1835">
        <v>8972277234</v>
      </c>
      <c r="K86" s="275" t="s">
        <v>315</v>
      </c>
      <c r="L86" s="537" t="s">
        <v>48</v>
      </c>
      <c r="M86" s="272">
        <v>27342</v>
      </c>
      <c r="N86" s="272">
        <v>49278</v>
      </c>
      <c r="O86" s="320">
        <v>45238</v>
      </c>
      <c r="P86" s="272">
        <v>45307</v>
      </c>
      <c r="Q86" s="302">
        <v>45248</v>
      </c>
      <c r="R86" s="281" t="s">
        <v>6991</v>
      </c>
      <c r="S86" s="280"/>
      <c r="T86" s="281" t="s">
        <v>6992</v>
      </c>
      <c r="U86" s="280"/>
      <c r="V86" s="285"/>
    </row>
    <row r="87" spans="1:39" ht="15.75" customHeight="1">
      <c r="A87" s="1930">
        <v>18</v>
      </c>
      <c r="B87" s="351" t="s">
        <v>6993</v>
      </c>
      <c r="C87" s="274" t="s">
        <v>20</v>
      </c>
      <c r="D87" s="1587" t="s">
        <v>6994</v>
      </c>
      <c r="E87" s="18" t="s">
        <v>6995</v>
      </c>
      <c r="F87" s="686" t="s">
        <v>759</v>
      </c>
      <c r="G87" s="274" t="s">
        <v>77</v>
      </c>
      <c r="H87" s="391"/>
      <c r="I87" s="275">
        <v>8697692066</v>
      </c>
      <c r="J87" s="284">
        <v>9934395740</v>
      </c>
      <c r="K87" s="275" t="s">
        <v>315</v>
      </c>
      <c r="L87" s="284" t="s">
        <v>62</v>
      </c>
      <c r="M87" s="272">
        <v>26995</v>
      </c>
      <c r="N87" s="272">
        <v>48913</v>
      </c>
      <c r="O87" s="277">
        <v>45633</v>
      </c>
      <c r="P87" s="418">
        <v>45693</v>
      </c>
      <c r="Q87" s="419">
        <v>45682</v>
      </c>
      <c r="R87" s="281" t="s">
        <v>6996</v>
      </c>
      <c r="S87" s="281" t="s">
        <v>6997</v>
      </c>
      <c r="T87" s="281" t="s">
        <v>6998</v>
      </c>
      <c r="U87" s="280"/>
      <c r="V87" s="382">
        <f>LEN(D87)</f>
        <v>11</v>
      </c>
      <c r="W87" s="79"/>
      <c r="X87" s="79"/>
      <c r="Y87" s="79"/>
      <c r="Z87" s="79"/>
      <c r="AA87" s="79"/>
      <c r="AB87" s="208">
        <f t="shared" ref="AB87:AB88" ca="1" si="9">INT((TODAY()-M87)/365)</f>
        <v>52</v>
      </c>
    </row>
    <row r="88" spans="1:39" ht="15.75" customHeight="1">
      <c r="A88" s="1131">
        <v>68</v>
      </c>
      <c r="B88" s="688" t="s">
        <v>6999</v>
      </c>
      <c r="C88" s="1301" t="s">
        <v>20</v>
      </c>
      <c r="D88" s="1839" t="s">
        <v>7000</v>
      </c>
      <c r="E88" s="1004" t="s">
        <v>7001</v>
      </c>
      <c r="F88" s="946" t="s">
        <v>759</v>
      </c>
      <c r="G88" s="274" t="s">
        <v>77</v>
      </c>
      <c r="H88" s="275"/>
      <c r="I88" s="275">
        <v>9123252548</v>
      </c>
      <c r="J88" s="415">
        <v>9123252548</v>
      </c>
      <c r="K88" s="275" t="s">
        <v>315</v>
      </c>
      <c r="L88" s="274" t="s">
        <v>64</v>
      </c>
      <c r="M88" s="272">
        <v>28204</v>
      </c>
      <c r="N88" s="272">
        <v>50130</v>
      </c>
      <c r="O88" s="272">
        <v>45380</v>
      </c>
      <c r="P88" s="279">
        <v>45765</v>
      </c>
      <c r="Q88" s="279">
        <v>45804</v>
      </c>
      <c r="R88" s="603" t="s">
        <v>7002</v>
      </c>
      <c r="S88" s="486" t="s">
        <v>7003</v>
      </c>
      <c r="T88" s="485"/>
      <c r="U88" s="952"/>
      <c r="V88" s="285"/>
      <c r="W88" s="382"/>
      <c r="X88" s="382"/>
      <c r="Y88" s="382"/>
      <c r="Z88" s="382"/>
      <c r="AA88" s="382"/>
      <c r="AB88" s="311">
        <f t="shared" ca="1" si="9"/>
        <v>49</v>
      </c>
      <c r="AC88" s="311"/>
      <c r="AD88" s="311"/>
      <c r="AE88" s="311"/>
      <c r="AF88" s="311"/>
      <c r="AG88" s="311"/>
      <c r="AH88" s="311"/>
      <c r="AI88" s="311"/>
      <c r="AJ88" s="311"/>
      <c r="AK88" s="311"/>
      <c r="AL88" s="311"/>
      <c r="AM88" s="311"/>
    </row>
    <row r="89" spans="1:39" ht="18.75">
      <c r="A89" s="1051">
        <v>3</v>
      </c>
      <c r="B89" s="276" t="s">
        <v>7004</v>
      </c>
      <c r="C89" s="274" t="s">
        <v>20</v>
      </c>
      <c r="D89" s="1642" t="s">
        <v>7005</v>
      </c>
      <c r="E89" s="620" t="s">
        <v>7006</v>
      </c>
      <c r="F89" s="946" t="s">
        <v>759</v>
      </c>
      <c r="G89" s="337" t="s">
        <v>77</v>
      </c>
      <c r="H89" s="303" t="s">
        <v>1567</v>
      </c>
      <c r="I89" s="1643">
        <v>9002079773</v>
      </c>
      <c r="J89" s="307">
        <v>9748195440</v>
      </c>
      <c r="K89" s="275" t="s">
        <v>315</v>
      </c>
      <c r="L89" s="274" t="s">
        <v>664</v>
      </c>
      <c r="M89" s="315">
        <v>31670</v>
      </c>
      <c r="N89" s="315">
        <v>53600</v>
      </c>
      <c r="O89" s="315">
        <v>46229</v>
      </c>
      <c r="P89" s="272">
        <v>45396</v>
      </c>
      <c r="Q89" s="272">
        <v>45369</v>
      </c>
      <c r="R89" s="318" t="s">
        <v>7007</v>
      </c>
      <c r="S89" s="318" t="s">
        <v>7008</v>
      </c>
      <c r="T89" s="318" t="s">
        <v>7009</v>
      </c>
      <c r="U89" s="285"/>
      <c r="V89" s="285"/>
      <c r="W89" s="3"/>
      <c r="X89" s="3"/>
      <c r="Y89" s="382"/>
      <c r="Z89" s="382"/>
      <c r="AA89" s="382"/>
      <c r="AB89" s="382"/>
      <c r="AC89" s="382"/>
      <c r="AD89" s="382"/>
      <c r="AE89" s="382"/>
      <c r="AF89" s="382"/>
      <c r="AG89" s="382"/>
      <c r="AH89" s="382"/>
      <c r="AI89" s="311"/>
      <c r="AJ89" s="311"/>
      <c r="AK89" s="311"/>
      <c r="AL89" s="311"/>
      <c r="AM89" s="311"/>
    </row>
    <row r="90" spans="1:39" ht="18.75">
      <c r="A90" s="697">
        <v>6</v>
      </c>
      <c r="B90" s="509" t="s">
        <v>7010</v>
      </c>
      <c r="C90" s="484" t="s">
        <v>20</v>
      </c>
      <c r="D90" s="1830" t="s">
        <v>7011</v>
      </c>
      <c r="E90" s="1838" t="s">
        <v>7012</v>
      </c>
      <c r="F90" s="484" t="s">
        <v>759</v>
      </c>
      <c r="G90" s="1270" t="s">
        <v>77</v>
      </c>
      <c r="H90" s="499" t="s">
        <v>1567</v>
      </c>
      <c r="I90" s="455">
        <v>9674634860</v>
      </c>
      <c r="J90" s="499">
        <v>9674634860</v>
      </c>
      <c r="K90" s="496" t="s">
        <v>315</v>
      </c>
      <c r="L90" s="125" t="s">
        <v>57</v>
      </c>
      <c r="M90" s="512">
        <v>33234</v>
      </c>
      <c r="N90" s="512">
        <v>55153</v>
      </c>
      <c r="O90" s="512">
        <v>46244</v>
      </c>
      <c r="P90" s="498">
        <v>45363</v>
      </c>
      <c r="Q90" s="498">
        <v>45307</v>
      </c>
      <c r="R90" s="516" t="s">
        <v>7013</v>
      </c>
      <c r="S90" s="2051" t="s">
        <v>7014</v>
      </c>
      <c r="T90" s="516" t="s">
        <v>7015</v>
      </c>
      <c r="U90" s="1287"/>
      <c r="V90" s="515"/>
      <c r="W90" s="2052"/>
      <c r="X90" s="2052"/>
      <c r="Y90" s="507"/>
      <c r="Z90" s="507"/>
      <c r="AA90" s="507"/>
      <c r="AB90" s="507">
        <f t="shared" ref="AB90:AB92" ca="1" si="10">INT((TODAY()-M90)/365)</f>
        <v>35</v>
      </c>
      <c r="AC90" s="522"/>
      <c r="AD90" s="522"/>
      <c r="AE90" s="522"/>
      <c r="AF90" s="522"/>
      <c r="AG90" s="522"/>
      <c r="AH90" s="522"/>
      <c r="AI90" s="145"/>
      <c r="AJ90" s="145"/>
      <c r="AK90" s="145"/>
      <c r="AL90" s="145"/>
      <c r="AM90" s="145"/>
    </row>
    <row r="91" spans="1:39">
      <c r="A91" s="1051">
        <v>17</v>
      </c>
      <c r="B91" s="1008" t="s">
        <v>7016</v>
      </c>
      <c r="C91" s="274" t="s">
        <v>20</v>
      </c>
      <c r="D91" s="1585" t="s">
        <v>7017</v>
      </c>
      <c r="E91" s="681" t="s">
        <v>7018</v>
      </c>
      <c r="F91" s="946" t="s">
        <v>759</v>
      </c>
      <c r="G91" s="385" t="s">
        <v>76</v>
      </c>
      <c r="H91" s="303" t="s">
        <v>1567</v>
      </c>
      <c r="I91" s="966">
        <v>8637512373</v>
      </c>
      <c r="J91" s="307"/>
      <c r="K91" s="275" t="s">
        <v>315</v>
      </c>
      <c r="L91" s="274" t="s">
        <v>59</v>
      </c>
      <c r="M91" s="315">
        <v>31573</v>
      </c>
      <c r="N91" s="315">
        <v>53508</v>
      </c>
      <c r="O91" s="315">
        <v>46175</v>
      </c>
      <c r="P91" s="272">
        <v>45363</v>
      </c>
      <c r="Q91" s="272">
        <v>45307</v>
      </c>
      <c r="R91" s="318" t="s">
        <v>7019</v>
      </c>
      <c r="S91" s="318" t="s">
        <v>7020</v>
      </c>
      <c r="T91" s="318" t="s">
        <v>7021</v>
      </c>
      <c r="U91" s="285"/>
      <c r="V91" s="3"/>
      <c r="W91" s="3"/>
      <c r="X91" s="90"/>
      <c r="Y91" s="563"/>
      <c r="AA91" s="384"/>
      <c r="AB91" s="208">
        <f t="shared" ca="1" si="10"/>
        <v>39</v>
      </c>
      <c r="AC91" s="384"/>
      <c r="AD91" s="384"/>
      <c r="AE91" s="384"/>
      <c r="AF91" s="384"/>
      <c r="AG91" s="384"/>
      <c r="AH91" s="384"/>
      <c r="AI91" s="384"/>
      <c r="AJ91" s="384"/>
      <c r="AK91" s="384"/>
      <c r="AL91" s="384"/>
      <c r="AM91" s="384"/>
    </row>
    <row r="92" spans="1:39">
      <c r="A92" s="1051">
        <v>30</v>
      </c>
      <c r="B92" s="399" t="s">
        <v>7022</v>
      </c>
      <c r="C92" s="274" t="s">
        <v>20</v>
      </c>
      <c r="D92" s="1642" t="s">
        <v>7023</v>
      </c>
      <c r="E92" s="18" t="s">
        <v>7024</v>
      </c>
      <c r="F92" s="1631" t="s">
        <v>759</v>
      </c>
      <c r="G92" s="284" t="s">
        <v>77</v>
      </c>
      <c r="H92" s="303" t="s">
        <v>266</v>
      </c>
      <c r="I92" s="1643">
        <v>9002071806</v>
      </c>
      <c r="J92" s="284">
        <v>9836816115</v>
      </c>
      <c r="K92" s="275" t="s">
        <v>315</v>
      </c>
      <c r="L92" s="125" t="s">
        <v>54</v>
      </c>
      <c r="M92" s="289">
        <v>31169</v>
      </c>
      <c r="N92" s="289">
        <v>53113</v>
      </c>
      <c r="O92" s="392">
        <v>46221</v>
      </c>
      <c r="P92" s="272">
        <v>45363</v>
      </c>
      <c r="Q92" s="272">
        <v>45307</v>
      </c>
      <c r="R92" s="394" t="s">
        <v>7025</v>
      </c>
      <c r="S92" s="394" t="s">
        <v>7026</v>
      </c>
      <c r="T92" s="394" t="s">
        <v>7027</v>
      </c>
      <c r="U92" s="393"/>
      <c r="V92" s="383">
        <f t="shared" ref="V92:V94" si="11">LEN(TEXT(D92,0))</f>
        <v>11</v>
      </c>
      <c r="W92" s="395"/>
      <c r="Y92" s="563"/>
      <c r="AA92" s="2053"/>
      <c r="AB92" s="208">
        <f t="shared" ca="1" si="10"/>
        <v>40</v>
      </c>
      <c r="AD92" s="384"/>
      <c r="AE92" s="384"/>
      <c r="AF92" s="384"/>
    </row>
    <row r="93" spans="1:39">
      <c r="A93" s="1051">
        <v>32</v>
      </c>
      <c r="B93" s="1648" t="s">
        <v>7028</v>
      </c>
      <c r="C93" s="274" t="s">
        <v>20</v>
      </c>
      <c r="D93" s="1585" t="s">
        <v>7029</v>
      </c>
      <c r="E93" s="681" t="s">
        <v>7030</v>
      </c>
      <c r="F93" s="274" t="s">
        <v>759</v>
      </c>
      <c r="G93" s="284" t="s">
        <v>76</v>
      </c>
      <c r="H93" s="303" t="s">
        <v>266</v>
      </c>
      <c r="I93" s="391">
        <v>7903235879</v>
      </c>
      <c r="J93" s="391">
        <v>7903235879</v>
      </c>
      <c r="K93" s="275" t="s">
        <v>315</v>
      </c>
      <c r="L93" s="18" t="s">
        <v>64</v>
      </c>
      <c r="M93" s="289">
        <v>32487</v>
      </c>
      <c r="N93" s="289">
        <v>54423</v>
      </c>
      <c r="O93" s="400">
        <v>45978</v>
      </c>
      <c r="P93" s="279">
        <v>45397</v>
      </c>
      <c r="Q93" s="302">
        <v>45369</v>
      </c>
      <c r="R93" s="394" t="s">
        <v>7031</v>
      </c>
      <c r="S93" s="394" t="s">
        <v>7032</v>
      </c>
      <c r="T93" s="394" t="s">
        <v>7033</v>
      </c>
      <c r="U93" s="393"/>
      <c r="V93" s="383">
        <f t="shared" si="11"/>
        <v>11</v>
      </c>
      <c r="W93" s="395"/>
      <c r="Y93" s="311"/>
      <c r="Z93" s="311"/>
      <c r="AA93" s="311"/>
      <c r="AB93" s="311"/>
      <c r="AC93" s="311"/>
      <c r="AD93" s="311"/>
      <c r="AE93" s="311"/>
      <c r="AF93" s="311"/>
      <c r="AG93" s="311"/>
      <c r="AH93" s="311"/>
      <c r="AI93" s="311"/>
      <c r="AJ93" s="311"/>
      <c r="AK93" s="311"/>
      <c r="AL93" s="311"/>
      <c r="AM93" s="311"/>
    </row>
    <row r="94" spans="1:39">
      <c r="A94" s="1051">
        <v>36</v>
      </c>
      <c r="B94" s="301" t="s">
        <v>7034</v>
      </c>
      <c r="C94" s="274" t="s">
        <v>20</v>
      </c>
      <c r="D94" s="1642" t="s">
        <v>7035</v>
      </c>
      <c r="E94" s="18" t="s">
        <v>7036</v>
      </c>
      <c r="F94" s="274" t="s">
        <v>759</v>
      </c>
      <c r="G94" s="284" t="s">
        <v>76</v>
      </c>
      <c r="H94" s="303" t="s">
        <v>1567</v>
      </c>
      <c r="I94" s="391">
        <v>8820140582</v>
      </c>
      <c r="J94" s="391"/>
      <c r="K94" s="275" t="s">
        <v>315</v>
      </c>
      <c r="L94" s="274" t="s">
        <v>664</v>
      </c>
      <c r="M94" s="289">
        <v>29864</v>
      </c>
      <c r="N94" s="289">
        <v>51805</v>
      </c>
      <c r="O94" s="392">
        <v>46215</v>
      </c>
      <c r="P94" s="272">
        <v>45363</v>
      </c>
      <c r="Q94" s="272">
        <v>45307</v>
      </c>
      <c r="R94" s="394" t="s">
        <v>352</v>
      </c>
      <c r="S94" s="394" t="s">
        <v>7037</v>
      </c>
      <c r="T94" s="394" t="s">
        <v>7038</v>
      </c>
      <c r="U94" s="393"/>
      <c r="V94" s="383">
        <f t="shared" si="11"/>
        <v>11</v>
      </c>
      <c r="W94" s="395"/>
      <c r="Y94" s="563"/>
      <c r="AA94" s="384"/>
      <c r="AB94" s="311">
        <f ca="1">INT((TODAY()-M94)/365)</f>
        <v>44</v>
      </c>
      <c r="AC94" s="384"/>
      <c r="AD94" s="384"/>
      <c r="AE94" s="384"/>
      <c r="AF94" s="384"/>
      <c r="AG94" s="384"/>
      <c r="AH94" s="384"/>
      <c r="AI94" s="384"/>
      <c r="AJ94" s="384"/>
      <c r="AK94" s="384"/>
      <c r="AL94" s="384"/>
      <c r="AM94" s="384"/>
    </row>
    <row r="95" spans="1:39" ht="15.75" customHeight="1">
      <c r="A95" s="1051">
        <v>43</v>
      </c>
      <c r="B95" s="305" t="s">
        <v>7039</v>
      </c>
      <c r="C95" s="274" t="s">
        <v>20</v>
      </c>
      <c r="D95" s="1642" t="s">
        <v>7040</v>
      </c>
      <c r="E95" s="674" t="s">
        <v>7041</v>
      </c>
      <c r="F95" s="274" t="s">
        <v>759</v>
      </c>
      <c r="G95" s="337" t="s">
        <v>77</v>
      </c>
      <c r="H95" s="303" t="s">
        <v>1567</v>
      </c>
      <c r="I95" s="966">
        <v>7980601413</v>
      </c>
      <c r="J95" s="703">
        <v>9163130113</v>
      </c>
      <c r="K95" s="275" t="s">
        <v>315</v>
      </c>
      <c r="L95" s="398" t="s">
        <v>67</v>
      </c>
      <c r="M95" s="315">
        <v>31533</v>
      </c>
      <c r="N95" s="315">
        <v>53468</v>
      </c>
      <c r="O95" s="278">
        <v>46215</v>
      </c>
      <c r="P95" s="272">
        <v>45363</v>
      </c>
      <c r="Q95" s="272">
        <v>45307</v>
      </c>
      <c r="R95" s="318" t="s">
        <v>7042</v>
      </c>
      <c r="S95" s="318" t="s">
        <v>7043</v>
      </c>
      <c r="T95" s="318" t="s">
        <v>7044</v>
      </c>
      <c r="U95" s="285"/>
      <c r="V95" s="285">
        <f>LEN(D95)</f>
        <v>11</v>
      </c>
      <c r="W95" s="282">
        <f ca="1">INT((TODAY()-M95)/365)</f>
        <v>39</v>
      </c>
      <c r="X95" s="90"/>
      <c r="Y95" s="90"/>
    </row>
    <row r="96" spans="1:39" ht="15.75" customHeight="1">
      <c r="A96" s="1051">
        <v>55</v>
      </c>
      <c r="B96" s="1431" t="s">
        <v>7045</v>
      </c>
      <c r="C96" s="2054" t="s">
        <v>20</v>
      </c>
      <c r="D96" s="2055" t="s">
        <v>7046</v>
      </c>
      <c r="E96" s="2056" t="s">
        <v>7047</v>
      </c>
      <c r="F96" s="2057" t="s">
        <v>759</v>
      </c>
      <c r="G96" s="1435" t="s">
        <v>76</v>
      </c>
      <c r="H96" s="1361" t="s">
        <v>266</v>
      </c>
      <c r="I96" s="1432">
        <v>8016030027</v>
      </c>
      <c r="J96" s="1435">
        <v>8016030027</v>
      </c>
      <c r="K96" s="2058" t="s">
        <v>315</v>
      </c>
      <c r="L96" s="125" t="s">
        <v>57</v>
      </c>
      <c r="M96" s="289">
        <v>31125</v>
      </c>
      <c r="N96" s="289">
        <v>53052</v>
      </c>
      <c r="O96" s="400">
        <v>46181</v>
      </c>
      <c r="P96" s="687">
        <v>45397</v>
      </c>
      <c r="Q96" s="387">
        <v>45369</v>
      </c>
      <c r="R96" s="394" t="s">
        <v>7048</v>
      </c>
      <c r="S96" s="394" t="s">
        <v>7049</v>
      </c>
      <c r="T96" s="394" t="s">
        <v>7050</v>
      </c>
      <c r="U96" s="393"/>
      <c r="V96" s="383">
        <f>LEN(TEXT(D96,0))</f>
        <v>11</v>
      </c>
      <c r="W96" s="395"/>
      <c r="Y96" s="563"/>
      <c r="AA96" s="384"/>
      <c r="AB96" s="208">
        <f t="shared" ref="AB96:AB98" ca="1" si="12">INT((TODAY()-M96)/365)</f>
        <v>41</v>
      </c>
      <c r="AC96" s="384"/>
      <c r="AD96" s="384"/>
      <c r="AE96" s="384"/>
      <c r="AF96" s="384"/>
      <c r="AG96" s="384"/>
      <c r="AH96" s="384"/>
      <c r="AI96" s="384"/>
      <c r="AJ96" s="384"/>
      <c r="AK96" s="384"/>
      <c r="AL96" s="384"/>
      <c r="AM96" s="384"/>
    </row>
    <row r="97" spans="1:39" ht="15.75" customHeight="1">
      <c r="A97" s="1051">
        <v>57</v>
      </c>
      <c r="B97" s="1461" t="s">
        <v>7051</v>
      </c>
      <c r="C97" s="274" t="s">
        <v>20</v>
      </c>
      <c r="D97" s="1642" t="s">
        <v>7052</v>
      </c>
      <c r="E97" s="620" t="s">
        <v>7053</v>
      </c>
      <c r="F97" s="685" t="s">
        <v>759</v>
      </c>
      <c r="G97" s="337" t="s">
        <v>77</v>
      </c>
      <c r="H97" s="303" t="s">
        <v>266</v>
      </c>
      <c r="I97" s="1643">
        <v>9002071743</v>
      </c>
      <c r="J97" s="703">
        <v>9903127001</v>
      </c>
      <c r="K97" s="275" t="s">
        <v>315</v>
      </c>
      <c r="L97" s="484" t="s">
        <v>256</v>
      </c>
      <c r="M97" s="315">
        <v>32483</v>
      </c>
      <c r="N97" s="315">
        <v>54423</v>
      </c>
      <c r="O97" s="315">
        <v>46237</v>
      </c>
      <c r="P97" s="272">
        <v>45363</v>
      </c>
      <c r="Q97" s="272">
        <v>45307</v>
      </c>
      <c r="R97" s="318" t="s">
        <v>7054</v>
      </c>
      <c r="S97" s="318" t="s">
        <v>7055</v>
      </c>
      <c r="T97" s="318" t="s">
        <v>7056</v>
      </c>
      <c r="U97" s="285"/>
      <c r="V97" s="285"/>
      <c r="W97" s="382"/>
      <c r="X97" s="90"/>
      <c r="Y97" s="90"/>
      <c r="AB97" s="311">
        <f t="shared" ca="1" si="12"/>
        <v>37</v>
      </c>
      <c r="AC97" s="311"/>
      <c r="AD97" s="311"/>
      <c r="AE97" s="311"/>
      <c r="AF97" s="311"/>
      <c r="AG97" s="311"/>
      <c r="AH97" s="311"/>
      <c r="AI97" s="311"/>
      <c r="AJ97" s="311"/>
      <c r="AK97" s="311"/>
      <c r="AL97" s="311"/>
      <c r="AM97" s="311"/>
    </row>
    <row r="98" spans="1:39" ht="15.75" customHeight="1">
      <c r="A98" s="1051">
        <v>62</v>
      </c>
      <c r="B98" s="644" t="s">
        <v>7057</v>
      </c>
      <c r="C98" s="274" t="s">
        <v>20</v>
      </c>
      <c r="D98" s="1585" t="s">
        <v>7058</v>
      </c>
      <c r="E98" s="18" t="s">
        <v>7059</v>
      </c>
      <c r="F98" s="958" t="s">
        <v>759</v>
      </c>
      <c r="G98" s="385" t="s">
        <v>77</v>
      </c>
      <c r="H98" s="303" t="s">
        <v>266</v>
      </c>
      <c r="I98" s="1644">
        <v>9002071116</v>
      </c>
      <c r="J98" s="857">
        <v>8942821300</v>
      </c>
      <c r="K98" s="275" t="s">
        <v>315</v>
      </c>
      <c r="L98" s="274" t="s">
        <v>55</v>
      </c>
      <c r="M98" s="278">
        <v>28799</v>
      </c>
      <c r="N98" s="678">
        <v>50739</v>
      </c>
      <c r="O98" s="678">
        <v>45235</v>
      </c>
      <c r="P98" s="981">
        <v>45388</v>
      </c>
      <c r="Q98" s="424">
        <v>45271</v>
      </c>
      <c r="R98" s="318" t="s">
        <v>7060</v>
      </c>
      <c r="S98" s="318" t="s">
        <v>7061</v>
      </c>
      <c r="T98" s="318" t="s">
        <v>7062</v>
      </c>
      <c r="U98" s="285"/>
      <c r="V98" s="1189">
        <f ca="1">INT((TODAY()-M98)/365)</f>
        <v>47</v>
      </c>
      <c r="W98" s="3"/>
      <c r="X98" s="90"/>
      <c r="Y98" s="90"/>
      <c r="AB98" s="311">
        <f t="shared" ca="1" si="12"/>
        <v>47</v>
      </c>
      <c r="AC98" s="384"/>
      <c r="AD98" s="384"/>
      <c r="AE98" s="384"/>
      <c r="AF98" s="384"/>
      <c r="AG98" s="384"/>
      <c r="AH98" s="384"/>
      <c r="AI98" s="384"/>
      <c r="AJ98" s="384"/>
      <c r="AK98" s="384"/>
      <c r="AL98" s="384"/>
      <c r="AM98" s="384"/>
    </row>
    <row r="99" spans="1:39" ht="15.75" customHeight="1">
      <c r="A99" s="1051">
        <v>64</v>
      </c>
      <c r="B99" s="276" t="s">
        <v>7063</v>
      </c>
      <c r="C99" s="274" t="s">
        <v>20</v>
      </c>
      <c r="D99" s="1642" t="s">
        <v>7064</v>
      </c>
      <c r="E99" s="620" t="s">
        <v>7065</v>
      </c>
      <c r="F99" s="685" t="s">
        <v>759</v>
      </c>
      <c r="G99" s="337" t="s">
        <v>77</v>
      </c>
      <c r="H99" s="303" t="s">
        <v>266</v>
      </c>
      <c r="I99" s="1995">
        <v>9002071180</v>
      </c>
      <c r="J99" s="703">
        <v>8981893596</v>
      </c>
      <c r="K99" s="275" t="s">
        <v>315</v>
      </c>
      <c r="L99" s="274" t="s">
        <v>44</v>
      </c>
      <c r="M99" s="315">
        <v>31417</v>
      </c>
      <c r="N99" s="315">
        <v>53358</v>
      </c>
      <c r="O99" s="315">
        <v>46207</v>
      </c>
      <c r="P99" s="315">
        <v>45141</v>
      </c>
      <c r="Q99" s="302">
        <v>45111</v>
      </c>
      <c r="R99" s="318" t="s">
        <v>7066</v>
      </c>
      <c r="S99" s="318" t="s">
        <v>7067</v>
      </c>
      <c r="T99" s="318" t="s">
        <v>7068</v>
      </c>
      <c r="U99" s="285"/>
      <c r="V99" s="285"/>
      <c r="W99" s="3"/>
      <c r="X99" s="3"/>
      <c r="Y99" s="79"/>
      <c r="Z99" s="79"/>
      <c r="AA99" s="382">
        <f ca="1">INT((TODAY()-M99)/365)</f>
        <v>40</v>
      </c>
    </row>
    <row r="100" spans="1:39" ht="15.75" customHeight="1">
      <c r="A100" s="1051">
        <v>67</v>
      </c>
      <c r="B100" s="2059" t="s">
        <v>7069</v>
      </c>
      <c r="C100" s="274" t="s">
        <v>20</v>
      </c>
      <c r="D100" s="2060" t="s">
        <v>7070</v>
      </c>
      <c r="E100" s="18" t="s">
        <v>7071</v>
      </c>
      <c r="F100" s="1024" t="s">
        <v>759</v>
      </c>
      <c r="G100" s="2061" t="s">
        <v>77</v>
      </c>
      <c r="H100" s="303" t="s">
        <v>1567</v>
      </c>
      <c r="I100" s="461">
        <v>9002071154</v>
      </c>
      <c r="J100" s="1817"/>
      <c r="K100" s="275" t="s">
        <v>315</v>
      </c>
      <c r="L100" s="1817" t="s">
        <v>44</v>
      </c>
      <c r="M100" s="315">
        <v>33302</v>
      </c>
      <c r="N100" s="315">
        <v>55243</v>
      </c>
      <c r="O100" s="315">
        <v>46225</v>
      </c>
      <c r="P100" s="272">
        <v>45363</v>
      </c>
      <c r="Q100" s="272">
        <v>45307</v>
      </c>
      <c r="R100" s="318" t="s">
        <v>7072</v>
      </c>
      <c r="S100" s="318" t="s">
        <v>7073</v>
      </c>
      <c r="T100" s="318" t="s">
        <v>7074</v>
      </c>
      <c r="U100" s="285"/>
      <c r="V100" s="285">
        <f>LEN(D100)</f>
        <v>11</v>
      </c>
      <c r="W100" s="3"/>
      <c r="X100" s="3"/>
      <c r="Y100" s="395"/>
      <c r="Z100" s="79"/>
      <c r="AA100" s="383"/>
      <c r="AB100" s="208">
        <f t="shared" ref="AB100:AB104" ca="1" si="13">INT((TODAY()-M100)/365)</f>
        <v>35</v>
      </c>
    </row>
    <row r="101" spans="1:39" ht="15.75" customHeight="1">
      <c r="A101" s="1051">
        <v>71</v>
      </c>
      <c r="B101" s="1882" t="s">
        <v>7075</v>
      </c>
      <c r="C101" s="274" t="s">
        <v>20</v>
      </c>
      <c r="D101" s="1585" t="s">
        <v>7076</v>
      </c>
      <c r="E101" s="1053" t="s">
        <v>7077</v>
      </c>
      <c r="F101" s="946" t="s">
        <v>759</v>
      </c>
      <c r="G101" s="337" t="s">
        <v>76</v>
      </c>
      <c r="H101" s="303" t="s">
        <v>266</v>
      </c>
      <c r="I101" s="1309">
        <v>9002071117</v>
      </c>
      <c r="J101" s="703">
        <v>9831841757</v>
      </c>
      <c r="K101" s="275" t="s">
        <v>315</v>
      </c>
      <c r="L101" s="274" t="s">
        <v>62</v>
      </c>
      <c r="M101" s="315">
        <v>32635</v>
      </c>
      <c r="N101" s="315">
        <v>54574</v>
      </c>
      <c r="O101" s="315">
        <v>45984</v>
      </c>
      <c r="P101" s="279">
        <v>45531</v>
      </c>
      <c r="Q101" s="302">
        <v>45506</v>
      </c>
      <c r="R101" s="318" t="s">
        <v>7078</v>
      </c>
      <c r="S101" s="318" t="s">
        <v>7079</v>
      </c>
      <c r="T101" s="285"/>
      <c r="U101" s="285"/>
      <c r="V101" s="285"/>
      <c r="W101" s="3"/>
      <c r="X101" s="3"/>
      <c r="Y101" s="3"/>
      <c r="Z101" s="79"/>
      <c r="AA101" s="79"/>
      <c r="AB101" s="311">
        <f t="shared" ca="1" si="13"/>
        <v>36</v>
      </c>
    </row>
    <row r="102" spans="1:39" ht="15.75" customHeight="1">
      <c r="A102" s="1051">
        <v>72</v>
      </c>
      <c r="B102" s="276" t="s">
        <v>7080</v>
      </c>
      <c r="C102" s="274" t="s">
        <v>20</v>
      </c>
      <c r="D102" s="1642" t="s">
        <v>7081</v>
      </c>
      <c r="E102" s="1004" t="s">
        <v>7082</v>
      </c>
      <c r="F102" s="946" t="s">
        <v>759</v>
      </c>
      <c r="G102" s="337" t="s">
        <v>77</v>
      </c>
      <c r="H102" s="303" t="s">
        <v>266</v>
      </c>
      <c r="I102" s="461">
        <v>9002071724</v>
      </c>
      <c r="J102" s="307">
        <v>9007514863</v>
      </c>
      <c r="K102" s="275" t="s">
        <v>315</v>
      </c>
      <c r="L102" s="656" t="s">
        <v>62</v>
      </c>
      <c r="M102" s="315">
        <v>27310</v>
      </c>
      <c r="N102" s="315">
        <v>49248</v>
      </c>
      <c r="O102" s="315">
        <v>45207</v>
      </c>
      <c r="P102" s="315">
        <v>46193</v>
      </c>
      <c r="Q102" s="856">
        <v>46146</v>
      </c>
      <c r="R102" s="318" t="s">
        <v>7083</v>
      </c>
      <c r="S102" s="318" t="s">
        <v>7084</v>
      </c>
      <c r="T102" s="318" t="s">
        <v>7085</v>
      </c>
      <c r="U102" s="285"/>
      <c r="V102" s="285"/>
      <c r="W102" s="3"/>
      <c r="X102" s="3"/>
      <c r="Y102" s="3"/>
      <c r="Z102" s="79"/>
      <c r="AA102" s="79"/>
      <c r="AB102" s="311">
        <f t="shared" ca="1" si="13"/>
        <v>51</v>
      </c>
      <c r="AC102" s="384"/>
      <c r="AD102" s="384"/>
      <c r="AE102" s="384"/>
      <c r="AF102" s="384"/>
      <c r="AG102" s="384"/>
      <c r="AH102" s="384"/>
      <c r="AI102" s="384"/>
      <c r="AJ102" s="384"/>
      <c r="AK102" s="384"/>
      <c r="AL102" s="384"/>
      <c r="AM102" s="384"/>
    </row>
    <row r="103" spans="1:39" ht="15.75" customHeight="1">
      <c r="A103" s="1051">
        <v>74</v>
      </c>
      <c r="B103" s="1648" t="s">
        <v>7086</v>
      </c>
      <c r="C103" s="274" t="s">
        <v>20</v>
      </c>
      <c r="D103" s="2062" t="s">
        <v>7087</v>
      </c>
      <c r="E103" s="582" t="s">
        <v>7088</v>
      </c>
      <c r="F103" s="274" t="s">
        <v>759</v>
      </c>
      <c r="G103" s="284" t="s">
        <v>77</v>
      </c>
      <c r="H103" s="284" t="s">
        <v>266</v>
      </c>
      <c r="I103" s="1309">
        <v>9002071171</v>
      </c>
      <c r="J103" s="391">
        <v>8343097852</v>
      </c>
      <c r="K103" s="275" t="s">
        <v>315</v>
      </c>
      <c r="L103" s="398" t="s">
        <v>55</v>
      </c>
      <c r="M103" s="390">
        <v>33013</v>
      </c>
      <c r="N103" s="390">
        <v>54939</v>
      </c>
      <c r="O103" s="392">
        <v>46201</v>
      </c>
      <c r="P103" s="272">
        <v>45363</v>
      </c>
      <c r="Q103" s="272">
        <v>45307</v>
      </c>
      <c r="R103" s="394" t="s">
        <v>7089</v>
      </c>
      <c r="S103" s="394" t="s">
        <v>7090</v>
      </c>
      <c r="T103" s="394" t="s">
        <v>7091</v>
      </c>
      <c r="U103" s="393"/>
      <c r="V103" s="383">
        <f>LEN(TEXT(D103,0))</f>
        <v>11</v>
      </c>
      <c r="W103" s="395"/>
      <c r="X103" s="208">
        <f ca="1">INT((TODAY()-M103)/365)</f>
        <v>35</v>
      </c>
      <c r="Y103" s="563"/>
      <c r="AA103" s="384"/>
      <c r="AB103" s="208">
        <f t="shared" ca="1" si="13"/>
        <v>35</v>
      </c>
      <c r="AC103" s="384"/>
      <c r="AD103" s="384"/>
      <c r="AE103" s="384"/>
      <c r="AF103" s="384"/>
      <c r="AG103" s="384"/>
      <c r="AH103" s="384"/>
      <c r="AI103" s="384"/>
      <c r="AJ103" s="384"/>
      <c r="AK103" s="384"/>
      <c r="AL103" s="384"/>
      <c r="AM103" s="384"/>
    </row>
    <row r="104" spans="1:39" ht="15.75" customHeight="1">
      <c r="A104" s="1051">
        <v>75</v>
      </c>
      <c r="B104" s="293" t="s">
        <v>7092</v>
      </c>
      <c r="C104" s="274" t="s">
        <v>20</v>
      </c>
      <c r="D104" s="1642" t="s">
        <v>7093</v>
      </c>
      <c r="E104" s="565" t="s">
        <v>7094</v>
      </c>
      <c r="F104" s="946" t="s">
        <v>759</v>
      </c>
      <c r="G104" s="284" t="s">
        <v>77</v>
      </c>
      <c r="H104" s="274" t="s">
        <v>1567</v>
      </c>
      <c r="I104" s="461">
        <v>9002079796</v>
      </c>
      <c r="J104" s="275">
        <v>9143740476</v>
      </c>
      <c r="K104" s="275" t="s">
        <v>315</v>
      </c>
      <c r="L104" s="274" t="s">
        <v>59</v>
      </c>
      <c r="M104" s="272">
        <v>32481</v>
      </c>
      <c r="N104" s="272">
        <v>54423</v>
      </c>
      <c r="O104" s="272">
        <v>46258</v>
      </c>
      <c r="P104" s="272">
        <v>45363</v>
      </c>
      <c r="Q104" s="272">
        <v>45307</v>
      </c>
      <c r="R104" s="603" t="s">
        <v>2917</v>
      </c>
      <c r="S104" s="486" t="s">
        <v>7095</v>
      </c>
      <c r="T104" s="486" t="s">
        <v>7096</v>
      </c>
      <c r="U104" s="485"/>
      <c r="V104" s="382">
        <f>LEN(D104)</f>
        <v>11</v>
      </c>
      <c r="W104" s="382"/>
      <c r="X104" s="311"/>
      <c r="Y104" s="311"/>
      <c r="Z104" s="311"/>
      <c r="AA104" s="311"/>
      <c r="AB104" s="311">
        <f t="shared" ca="1" si="13"/>
        <v>37</v>
      </c>
    </row>
    <row r="105" spans="1:39" ht="15.75" customHeight="1">
      <c r="A105" s="1051">
        <v>76</v>
      </c>
      <c r="B105" s="276" t="s">
        <v>7097</v>
      </c>
      <c r="C105" s="274" t="s">
        <v>20</v>
      </c>
      <c r="D105" s="1642" t="s">
        <v>7098</v>
      </c>
      <c r="E105" s="681" t="s">
        <v>7099</v>
      </c>
      <c r="F105" s="1024" t="s">
        <v>759</v>
      </c>
      <c r="G105" s="385" t="s">
        <v>77</v>
      </c>
      <c r="H105" s="274" t="s">
        <v>266</v>
      </c>
      <c r="I105" s="461">
        <v>9002071137</v>
      </c>
      <c r="J105" s="703">
        <v>7699542024</v>
      </c>
      <c r="K105" s="275" t="s">
        <v>315</v>
      </c>
      <c r="L105" s="274" t="s">
        <v>256</v>
      </c>
      <c r="M105" s="315">
        <v>31520</v>
      </c>
      <c r="N105" s="315">
        <v>53812</v>
      </c>
      <c r="O105" s="315">
        <v>46265</v>
      </c>
      <c r="P105" s="272">
        <v>45363</v>
      </c>
      <c r="Q105" s="272">
        <v>45307</v>
      </c>
      <c r="R105" s="318" t="s">
        <v>7100</v>
      </c>
      <c r="S105" s="318" t="s">
        <v>7101</v>
      </c>
      <c r="T105" s="318" t="s">
        <v>7102</v>
      </c>
      <c r="U105" s="285"/>
      <c r="V105" s="3"/>
      <c r="W105" s="3"/>
      <c r="X105" s="3"/>
      <c r="Y105" s="79"/>
      <c r="Z105" s="79"/>
      <c r="AA105" s="311">
        <f ca="1">INT((TODAY()-M105)/365)</f>
        <v>39</v>
      </c>
    </row>
    <row r="106" spans="1:39" ht="15.75" customHeight="1">
      <c r="A106" s="697">
        <v>77</v>
      </c>
      <c r="B106" s="287" t="s">
        <v>7103</v>
      </c>
      <c r="C106" s="484" t="s">
        <v>20</v>
      </c>
      <c r="D106" s="1830" t="s">
        <v>7104</v>
      </c>
      <c r="E106" s="544" t="s">
        <v>7105</v>
      </c>
      <c r="F106" s="2063" t="s">
        <v>759</v>
      </c>
      <c r="G106" s="520" t="s">
        <v>77</v>
      </c>
      <c r="H106" s="484" t="s">
        <v>1567</v>
      </c>
      <c r="I106" s="2064">
        <v>9088468816</v>
      </c>
      <c r="J106" s="2064"/>
      <c r="K106" s="496" t="s">
        <v>315</v>
      </c>
      <c r="L106" s="484" t="s">
        <v>256</v>
      </c>
      <c r="M106" s="498">
        <v>28132</v>
      </c>
      <c r="N106" s="498">
        <v>50071</v>
      </c>
      <c r="O106" s="498">
        <v>45302</v>
      </c>
      <c r="P106" s="498">
        <v>45363</v>
      </c>
      <c r="Q106" s="1945">
        <v>45385</v>
      </c>
      <c r="R106" s="523" t="s">
        <v>7106</v>
      </c>
      <c r="S106" s="506" t="s">
        <v>7107</v>
      </c>
      <c r="T106" s="505"/>
      <c r="U106" s="505"/>
      <c r="V106" s="515"/>
      <c r="W106" s="507"/>
      <c r="X106" s="282">
        <f ca="1">INT((TODAY()-M106)/365)</f>
        <v>49</v>
      </c>
      <c r="Y106" s="507"/>
      <c r="Z106" s="507"/>
      <c r="AA106" s="507"/>
      <c r="AB106" s="508"/>
      <c r="AC106" s="145"/>
      <c r="AD106" s="145"/>
      <c r="AE106" s="145"/>
      <c r="AF106" s="145"/>
      <c r="AG106" s="145"/>
      <c r="AH106" s="145"/>
      <c r="AI106" s="145"/>
      <c r="AJ106" s="145"/>
      <c r="AK106" s="145"/>
      <c r="AL106" s="145"/>
      <c r="AM106" s="145"/>
    </row>
    <row r="107" spans="1:39" ht="15.75" customHeight="1">
      <c r="A107" s="1051">
        <v>78</v>
      </c>
      <c r="B107" s="351" t="s">
        <v>7108</v>
      </c>
      <c r="C107" s="274" t="s">
        <v>20</v>
      </c>
      <c r="D107" s="1642" t="s">
        <v>7109</v>
      </c>
      <c r="E107" s="1136" t="s">
        <v>7110</v>
      </c>
      <c r="F107" s="274" t="s">
        <v>759</v>
      </c>
      <c r="G107" s="306" t="s">
        <v>77</v>
      </c>
      <c r="H107" s="274" t="s">
        <v>1567</v>
      </c>
      <c r="I107" s="1309">
        <v>9002071291</v>
      </c>
      <c r="J107" s="284">
        <v>9126428459</v>
      </c>
      <c r="K107" s="275" t="s">
        <v>315</v>
      </c>
      <c r="L107" s="274" t="s">
        <v>44</v>
      </c>
      <c r="M107" s="289">
        <v>28316</v>
      </c>
      <c r="N107" s="289">
        <v>50252</v>
      </c>
      <c r="O107" s="400">
        <v>45481</v>
      </c>
      <c r="P107" s="279">
        <v>45397</v>
      </c>
      <c r="Q107" s="302">
        <v>45369</v>
      </c>
      <c r="R107" s="394" t="s">
        <v>7111</v>
      </c>
      <c r="S107" s="394" t="s">
        <v>7112</v>
      </c>
      <c r="T107" s="394" t="s">
        <v>7113</v>
      </c>
      <c r="U107" s="393"/>
      <c r="V107" s="395"/>
      <c r="W107" s="79"/>
      <c r="X107" s="395"/>
      <c r="Y107" s="79"/>
      <c r="Z107" s="383"/>
      <c r="AA107" s="282">
        <f ca="1">INT((TODAY()-M107)/365)</f>
        <v>48</v>
      </c>
      <c r="AB107" s="384"/>
      <c r="AC107" s="384"/>
      <c r="AD107" s="384"/>
      <c r="AE107" s="384"/>
      <c r="AF107" s="384"/>
      <c r="AG107" s="384"/>
      <c r="AH107" s="384"/>
      <c r="AI107" s="384"/>
      <c r="AJ107" s="384"/>
      <c r="AK107" s="384"/>
      <c r="AL107" s="384"/>
      <c r="AM107" s="384"/>
    </row>
    <row r="108" spans="1:39" ht="15.75" customHeight="1">
      <c r="A108" s="1051">
        <v>80</v>
      </c>
      <c r="B108" s="276" t="s">
        <v>7114</v>
      </c>
      <c r="C108" s="274" t="s">
        <v>20</v>
      </c>
      <c r="D108" s="1585" t="s">
        <v>7115</v>
      </c>
      <c r="E108" s="943" t="s">
        <v>7116</v>
      </c>
      <c r="F108" s="685" t="s">
        <v>759</v>
      </c>
      <c r="G108" s="337" t="s">
        <v>77</v>
      </c>
      <c r="H108" s="274" t="s">
        <v>266</v>
      </c>
      <c r="I108" s="1309">
        <v>9002071238</v>
      </c>
      <c r="J108" s="690"/>
      <c r="K108" s="275" t="s">
        <v>315</v>
      </c>
      <c r="L108" s="303" t="s">
        <v>62</v>
      </c>
      <c r="M108" s="315">
        <v>27154</v>
      </c>
      <c r="N108" s="315">
        <v>49095</v>
      </c>
      <c r="O108" s="315">
        <v>45116</v>
      </c>
      <c r="P108" s="315">
        <v>46039</v>
      </c>
      <c r="Q108" s="316">
        <v>46064</v>
      </c>
      <c r="R108" s="318" t="s">
        <v>7117</v>
      </c>
      <c r="S108" s="318" t="s">
        <v>7118</v>
      </c>
      <c r="T108" s="318" t="s">
        <v>7119</v>
      </c>
      <c r="U108" s="285"/>
      <c r="V108" s="285">
        <f t="shared" ref="V108:V109" si="14">LEN(D108)</f>
        <v>11</v>
      </c>
      <c r="W108" s="3"/>
      <c r="X108" s="3"/>
      <c r="Y108" s="3"/>
      <c r="Z108" s="79"/>
      <c r="AA108" s="79"/>
      <c r="AB108" s="311">
        <f ca="1">INT((TODAY()-M108)/365)</f>
        <v>51</v>
      </c>
    </row>
    <row r="109" spans="1:39" ht="15.75" customHeight="1">
      <c r="A109" s="1051">
        <v>81</v>
      </c>
      <c r="B109" s="1145" t="s">
        <v>7120</v>
      </c>
      <c r="C109" s="274" t="s">
        <v>20</v>
      </c>
      <c r="D109" s="1642" t="s">
        <v>7121</v>
      </c>
      <c r="E109" s="970" t="s">
        <v>7122</v>
      </c>
      <c r="F109" s="946" t="s">
        <v>759</v>
      </c>
      <c r="G109" s="875" t="s">
        <v>77</v>
      </c>
      <c r="H109" s="274" t="s">
        <v>266</v>
      </c>
      <c r="I109" s="966">
        <v>9679796909</v>
      </c>
      <c r="J109" s="703">
        <v>9679796909</v>
      </c>
      <c r="K109" s="275" t="s">
        <v>315</v>
      </c>
      <c r="L109" s="656" t="s">
        <v>64</v>
      </c>
      <c r="M109" s="315">
        <v>30405</v>
      </c>
      <c r="N109" s="315">
        <v>52321</v>
      </c>
      <c r="O109" s="315">
        <v>46284</v>
      </c>
      <c r="P109" s="279">
        <v>45531</v>
      </c>
      <c r="Q109" s="302">
        <v>45506</v>
      </c>
      <c r="R109" s="318" t="s">
        <v>7123</v>
      </c>
      <c r="S109" s="318" t="s">
        <v>7124</v>
      </c>
      <c r="T109" s="285"/>
      <c r="U109" s="285"/>
      <c r="V109" s="285">
        <f t="shared" si="14"/>
        <v>11</v>
      </c>
      <c r="W109" s="3"/>
      <c r="X109" s="90"/>
      <c r="Y109" s="298"/>
      <c r="Z109" s="298"/>
      <c r="AA109" s="298"/>
      <c r="AB109" s="298"/>
      <c r="AC109" s="298"/>
      <c r="AD109" s="298"/>
      <c r="AE109" s="298"/>
      <c r="AF109" s="298"/>
      <c r="AG109" s="298"/>
      <c r="AH109" s="298"/>
      <c r="AI109" s="298"/>
      <c r="AJ109" s="298"/>
      <c r="AK109" s="298"/>
      <c r="AL109" s="298"/>
      <c r="AM109" s="298"/>
    </row>
    <row r="110" spans="1:39" ht="15.75" customHeight="1">
      <c r="A110" s="1051">
        <v>82</v>
      </c>
      <c r="B110" s="351" t="s">
        <v>7125</v>
      </c>
      <c r="C110" s="274" t="s">
        <v>20</v>
      </c>
      <c r="D110" s="1642" t="s">
        <v>7126</v>
      </c>
      <c r="E110" s="18" t="s">
        <v>7127</v>
      </c>
      <c r="F110" s="274" t="s">
        <v>759</v>
      </c>
      <c r="G110" s="306" t="s">
        <v>77</v>
      </c>
      <c r="H110" s="274" t="s">
        <v>1567</v>
      </c>
      <c r="I110" s="1851">
        <v>9002071624</v>
      </c>
      <c r="J110" s="284">
        <v>9851858509</v>
      </c>
      <c r="K110" s="275" t="s">
        <v>315</v>
      </c>
      <c r="L110" s="274" t="s">
        <v>44</v>
      </c>
      <c r="M110" s="390">
        <v>31340</v>
      </c>
      <c r="N110" s="272">
        <v>53266</v>
      </c>
      <c r="O110" s="400">
        <v>46259</v>
      </c>
      <c r="P110" s="279">
        <v>45531</v>
      </c>
      <c r="Q110" s="302">
        <v>45506</v>
      </c>
      <c r="R110" s="394" t="s">
        <v>7128</v>
      </c>
      <c r="S110" s="394" t="s">
        <v>7129</v>
      </c>
      <c r="T110" s="403"/>
      <c r="U110" s="393"/>
      <c r="V110" s="395"/>
      <c r="W110" s="79"/>
      <c r="X110" s="563"/>
      <c r="Z110" s="384"/>
      <c r="AA110" s="208">
        <f ca="1">INT((TODAY()-M110)/365)</f>
        <v>40</v>
      </c>
      <c r="AB110" s="384"/>
      <c r="AC110" s="384"/>
      <c r="AD110" s="384"/>
      <c r="AE110" s="384"/>
      <c r="AF110" s="384"/>
      <c r="AG110" s="384"/>
      <c r="AH110" s="384"/>
      <c r="AI110" s="384"/>
      <c r="AJ110" s="384"/>
      <c r="AK110" s="384"/>
      <c r="AL110" s="384"/>
      <c r="AM110" s="384"/>
    </row>
    <row r="111" spans="1:39" ht="15.75" customHeight="1">
      <c r="A111" s="1051">
        <v>83</v>
      </c>
      <c r="B111" s="276" t="s">
        <v>7130</v>
      </c>
      <c r="C111" s="274" t="s">
        <v>20</v>
      </c>
      <c r="D111" s="1642" t="s">
        <v>3555</v>
      </c>
      <c r="E111" s="1004" t="s">
        <v>7131</v>
      </c>
      <c r="F111" s="946" t="s">
        <v>759</v>
      </c>
      <c r="G111" s="337" t="s">
        <v>77</v>
      </c>
      <c r="H111" s="274" t="s">
        <v>266</v>
      </c>
      <c r="I111" s="307">
        <v>9007646446</v>
      </c>
      <c r="J111" s="307"/>
      <c r="K111" s="275" t="s">
        <v>315</v>
      </c>
      <c r="L111" s="274" t="s">
        <v>59</v>
      </c>
      <c r="M111" s="278">
        <v>28551</v>
      </c>
      <c r="N111" s="315">
        <v>50495</v>
      </c>
      <c r="O111" s="278">
        <v>45512</v>
      </c>
      <c r="P111" s="279">
        <v>45531</v>
      </c>
      <c r="Q111" s="302">
        <v>45506</v>
      </c>
      <c r="R111" s="318" t="s">
        <v>7132</v>
      </c>
      <c r="S111" s="318" t="s">
        <v>7133</v>
      </c>
      <c r="T111" s="285"/>
      <c r="U111" s="285"/>
      <c r="V111" s="285"/>
      <c r="W111" s="3"/>
      <c r="X111" s="3"/>
      <c r="Y111" s="3"/>
      <c r="Z111" s="79"/>
      <c r="AA111" s="79"/>
      <c r="AB111" s="311">
        <f t="shared" ref="AB111:AB130" ca="1" si="15">INT((TODAY()-M111)/365)</f>
        <v>48</v>
      </c>
      <c r="AC111" s="311"/>
      <c r="AD111" s="311"/>
      <c r="AE111" s="311"/>
      <c r="AF111" s="311"/>
      <c r="AG111" s="311"/>
      <c r="AH111" s="311"/>
      <c r="AI111" s="311"/>
      <c r="AJ111" s="311"/>
      <c r="AK111" s="311"/>
      <c r="AL111" s="311"/>
      <c r="AM111" s="311"/>
    </row>
    <row r="112" spans="1:39" ht="18.75">
      <c r="A112" s="1051">
        <v>86</v>
      </c>
      <c r="B112" s="276" t="s">
        <v>7134</v>
      </c>
      <c r="C112" s="274" t="s">
        <v>20</v>
      </c>
      <c r="D112" s="1642" t="s">
        <v>7135</v>
      </c>
      <c r="E112" s="491" t="s">
        <v>7136</v>
      </c>
      <c r="F112" s="946" t="s">
        <v>759</v>
      </c>
      <c r="G112" s="337" t="s">
        <v>77</v>
      </c>
      <c r="H112" s="274" t="s">
        <v>1567</v>
      </c>
      <c r="I112" s="307">
        <v>8906589339</v>
      </c>
      <c r="J112" s="703">
        <v>8250792820</v>
      </c>
      <c r="K112" s="275" t="s">
        <v>315</v>
      </c>
      <c r="L112" s="398" t="s">
        <v>64</v>
      </c>
      <c r="M112" s="315">
        <v>28460</v>
      </c>
      <c r="N112" s="315">
        <v>50405</v>
      </c>
      <c r="O112" s="315">
        <v>45631</v>
      </c>
      <c r="P112" s="315">
        <v>45503</v>
      </c>
      <c r="Q112" s="316">
        <v>45524</v>
      </c>
      <c r="R112" s="318" t="s">
        <v>7137</v>
      </c>
      <c r="S112" s="318" t="s">
        <v>7138</v>
      </c>
      <c r="T112" s="982" t="s">
        <v>7139</v>
      </c>
      <c r="U112" s="285"/>
      <c r="V112" s="285">
        <f>LEN(D112)</f>
        <v>11</v>
      </c>
      <c r="W112" s="3"/>
      <c r="X112" s="90"/>
      <c r="Y112" s="90"/>
      <c r="AB112" s="311">
        <f t="shared" ca="1" si="15"/>
        <v>48</v>
      </c>
    </row>
    <row r="113" spans="1:39" ht="15.75" customHeight="1">
      <c r="A113" s="1051">
        <v>87</v>
      </c>
      <c r="B113" s="276" t="s">
        <v>7140</v>
      </c>
      <c r="C113" s="274" t="s">
        <v>20</v>
      </c>
      <c r="D113" s="1585" t="s">
        <v>7141</v>
      </c>
      <c r="E113" s="1053" t="s">
        <v>7142</v>
      </c>
      <c r="F113" s="946" t="s">
        <v>759</v>
      </c>
      <c r="G113" s="2065" t="s">
        <v>76</v>
      </c>
      <c r="H113" s="274" t="s">
        <v>266</v>
      </c>
      <c r="I113" s="307">
        <v>6290698048</v>
      </c>
      <c r="J113" s="391"/>
      <c r="K113" s="275" t="s">
        <v>315</v>
      </c>
      <c r="L113" s="274" t="s">
        <v>67</v>
      </c>
      <c r="M113" s="315">
        <v>29640</v>
      </c>
      <c r="N113" s="315">
        <v>51560</v>
      </c>
      <c r="O113" s="315">
        <v>46074</v>
      </c>
      <c r="P113" s="279">
        <v>45531</v>
      </c>
      <c r="Q113" s="302">
        <v>45506</v>
      </c>
      <c r="R113" s="318" t="s">
        <v>7143</v>
      </c>
      <c r="S113" s="285"/>
      <c r="T113" s="285"/>
      <c r="U113" s="285"/>
      <c r="V113" s="285"/>
      <c r="W113" s="3"/>
      <c r="X113" s="3"/>
      <c r="Y113" s="3"/>
      <c r="Z113" s="79"/>
      <c r="AA113" s="79"/>
      <c r="AB113" s="311">
        <f t="shared" ca="1" si="15"/>
        <v>45</v>
      </c>
    </row>
    <row r="114" spans="1:39" ht="15.75" customHeight="1">
      <c r="A114" s="1051">
        <v>88</v>
      </c>
      <c r="B114" s="276" t="s">
        <v>7144</v>
      </c>
      <c r="C114" s="274" t="s">
        <v>20</v>
      </c>
      <c r="D114" s="1585" t="s">
        <v>7145</v>
      </c>
      <c r="E114" s="1053" t="s">
        <v>7146</v>
      </c>
      <c r="F114" s="946" t="s">
        <v>759</v>
      </c>
      <c r="G114" s="337" t="s">
        <v>77</v>
      </c>
      <c r="H114" s="274" t="s">
        <v>1567</v>
      </c>
      <c r="I114" s="307">
        <v>8145480201</v>
      </c>
      <c r="J114" s="703">
        <v>8145480201</v>
      </c>
      <c r="K114" s="275" t="s">
        <v>315</v>
      </c>
      <c r="L114" s="274" t="s">
        <v>56</v>
      </c>
      <c r="M114" s="315">
        <v>29143</v>
      </c>
      <c r="N114" s="315">
        <v>51074</v>
      </c>
      <c r="O114" s="315">
        <v>45580</v>
      </c>
      <c r="P114" s="279">
        <v>45531</v>
      </c>
      <c r="Q114" s="302">
        <v>45506</v>
      </c>
      <c r="R114" s="318" t="s">
        <v>7147</v>
      </c>
      <c r="S114" s="318" t="s">
        <v>7148</v>
      </c>
      <c r="T114" s="638" t="s">
        <v>7149</v>
      </c>
      <c r="U114" s="285"/>
      <c r="V114" s="285"/>
      <c r="W114" s="3"/>
      <c r="X114" s="3"/>
      <c r="Y114" s="3"/>
      <c r="Z114" s="79"/>
      <c r="AA114" s="79"/>
      <c r="AB114" s="311">
        <f t="shared" ca="1" si="15"/>
        <v>46</v>
      </c>
    </row>
    <row r="115" spans="1:39" ht="15.75" customHeight="1">
      <c r="A115" s="1051">
        <v>89</v>
      </c>
      <c r="B115" s="351" t="s">
        <v>7150</v>
      </c>
      <c r="C115" s="274" t="s">
        <v>20</v>
      </c>
      <c r="D115" s="1642" t="s">
        <v>7151</v>
      </c>
      <c r="E115" s="1053" t="s">
        <v>7152</v>
      </c>
      <c r="F115" s="946" t="s">
        <v>759</v>
      </c>
      <c r="G115" s="274" t="s">
        <v>76</v>
      </c>
      <c r="H115" s="303" t="s">
        <v>1567</v>
      </c>
      <c r="I115" s="275">
        <v>9831288955</v>
      </c>
      <c r="J115" s="284">
        <v>9831288955</v>
      </c>
      <c r="K115" s="275" t="s">
        <v>315</v>
      </c>
      <c r="L115" s="274" t="s">
        <v>48</v>
      </c>
      <c r="M115" s="272">
        <v>30922</v>
      </c>
      <c r="N115" s="272">
        <v>52840</v>
      </c>
      <c r="O115" s="277">
        <v>46146</v>
      </c>
      <c r="P115" s="279">
        <v>45531</v>
      </c>
      <c r="Q115" s="302">
        <v>45506</v>
      </c>
      <c r="R115" s="281" t="s">
        <v>7153</v>
      </c>
      <c r="S115" s="318" t="s">
        <v>7154</v>
      </c>
      <c r="T115" s="280"/>
      <c r="U115" s="280"/>
      <c r="V115" s="285"/>
      <c r="W115" s="79"/>
      <c r="X115" s="79"/>
      <c r="Y115" s="3"/>
      <c r="Z115" s="79"/>
      <c r="AA115" s="79"/>
      <c r="AB115" s="311">
        <f t="shared" ca="1" si="15"/>
        <v>41</v>
      </c>
      <c r="AC115" s="384"/>
      <c r="AD115" s="384"/>
      <c r="AE115" s="384"/>
      <c r="AF115" s="384"/>
      <c r="AG115" s="384"/>
      <c r="AH115" s="384"/>
      <c r="AI115" s="384"/>
      <c r="AJ115" s="384"/>
      <c r="AK115" s="384"/>
      <c r="AL115" s="384"/>
      <c r="AM115" s="384"/>
    </row>
    <row r="116" spans="1:39" ht="15.75" customHeight="1">
      <c r="A116" s="1051">
        <v>95</v>
      </c>
      <c r="B116" s="293" t="s">
        <v>7155</v>
      </c>
      <c r="C116" s="274" t="s">
        <v>20</v>
      </c>
      <c r="D116" s="1585" t="s">
        <v>7156</v>
      </c>
      <c r="E116" s="1053" t="s">
        <v>7157</v>
      </c>
      <c r="F116" s="946" t="s">
        <v>759</v>
      </c>
      <c r="G116" s="284" t="s">
        <v>77</v>
      </c>
      <c r="H116" s="303" t="s">
        <v>266</v>
      </c>
      <c r="I116" s="284">
        <v>9088330020</v>
      </c>
      <c r="J116" s="306">
        <v>9088330020</v>
      </c>
      <c r="K116" s="275" t="s">
        <v>315</v>
      </c>
      <c r="L116" s="274" t="s">
        <v>256</v>
      </c>
      <c r="M116" s="272">
        <v>31239</v>
      </c>
      <c r="N116" s="272">
        <v>53174</v>
      </c>
      <c r="O116" s="272">
        <v>45899</v>
      </c>
      <c r="P116" s="279">
        <v>45531</v>
      </c>
      <c r="Q116" s="302">
        <v>45506</v>
      </c>
      <c r="R116" s="603" t="s">
        <v>7158</v>
      </c>
      <c r="S116" s="486" t="s">
        <v>7159</v>
      </c>
      <c r="T116" s="485"/>
      <c r="U116" s="485"/>
      <c r="V116" s="285"/>
      <c r="W116" s="382"/>
      <c r="X116" s="382"/>
      <c r="Y116" s="3"/>
      <c r="Z116" s="79"/>
      <c r="AA116" s="382"/>
      <c r="AB116" s="311">
        <f t="shared" ca="1" si="15"/>
        <v>40</v>
      </c>
      <c r="AC116" s="311"/>
      <c r="AD116" s="311"/>
      <c r="AE116" s="311"/>
      <c r="AF116" s="311"/>
      <c r="AG116" s="311"/>
      <c r="AH116" s="311"/>
      <c r="AI116" s="311"/>
      <c r="AJ116" s="311"/>
      <c r="AK116" s="311"/>
      <c r="AL116" s="311"/>
      <c r="AM116" s="311"/>
    </row>
    <row r="117" spans="1:39" ht="15.75" customHeight="1">
      <c r="A117" s="1051">
        <v>98</v>
      </c>
      <c r="B117" s="351" t="s">
        <v>7160</v>
      </c>
      <c r="C117" s="1301" t="s">
        <v>20</v>
      </c>
      <c r="D117" s="1733" t="s">
        <v>7161</v>
      </c>
      <c r="E117" s="1019" t="s">
        <v>7162</v>
      </c>
      <c r="F117" s="274" t="s">
        <v>759</v>
      </c>
      <c r="G117" s="284" t="s">
        <v>77</v>
      </c>
      <c r="H117" s="284" t="s">
        <v>266</v>
      </c>
      <c r="I117" s="275">
        <v>8420458449</v>
      </c>
      <c r="J117" s="1835">
        <v>8420458449</v>
      </c>
      <c r="K117" s="275" t="s">
        <v>315</v>
      </c>
      <c r="L117" s="125" t="s">
        <v>58</v>
      </c>
      <c r="M117" s="272">
        <v>30635</v>
      </c>
      <c r="N117" s="272">
        <v>52565</v>
      </c>
      <c r="O117" s="277">
        <v>45908</v>
      </c>
      <c r="P117" s="279">
        <v>45531</v>
      </c>
      <c r="Q117" s="302">
        <v>45506</v>
      </c>
      <c r="R117" s="321" t="s">
        <v>7163</v>
      </c>
      <c r="S117" s="281" t="s">
        <v>7164</v>
      </c>
      <c r="T117" s="281" t="s">
        <v>7165</v>
      </c>
      <c r="U117" s="280"/>
      <c r="V117" s="285"/>
      <c r="W117" s="79"/>
      <c r="X117" s="79"/>
      <c r="Y117" s="3"/>
      <c r="Z117" s="79"/>
      <c r="AA117" s="79"/>
      <c r="AB117" s="208">
        <f t="shared" ca="1" si="15"/>
        <v>42</v>
      </c>
    </row>
    <row r="118" spans="1:39" ht="15.75" customHeight="1">
      <c r="A118" s="1131">
        <v>42</v>
      </c>
      <c r="B118" s="351" t="s">
        <v>7166</v>
      </c>
      <c r="C118" s="303" t="s">
        <v>20</v>
      </c>
      <c r="D118" s="1698" t="s">
        <v>7167</v>
      </c>
      <c r="E118" s="303" t="s">
        <v>7168</v>
      </c>
      <c r="F118" s="1024" t="s">
        <v>759</v>
      </c>
      <c r="G118" s="274" t="s">
        <v>78</v>
      </c>
      <c r="H118" s="274" t="s">
        <v>266</v>
      </c>
      <c r="I118" s="275">
        <v>9647188753</v>
      </c>
      <c r="J118" s="935">
        <v>9647188753</v>
      </c>
      <c r="K118" s="275" t="s">
        <v>315</v>
      </c>
      <c r="L118" s="275" t="s">
        <v>43</v>
      </c>
      <c r="M118" s="272">
        <v>30709</v>
      </c>
      <c r="N118" s="272">
        <v>52627</v>
      </c>
      <c r="O118" s="277">
        <v>46146</v>
      </c>
      <c r="P118" s="272">
        <v>45363</v>
      </c>
      <c r="Q118" s="272">
        <v>45307</v>
      </c>
      <c r="R118" s="281" t="s">
        <v>7169</v>
      </c>
      <c r="S118" s="280"/>
      <c r="T118" s="281" t="s">
        <v>7170</v>
      </c>
      <c r="U118" s="280"/>
      <c r="V118" s="285"/>
      <c r="W118" s="79"/>
      <c r="AB118" s="311">
        <f t="shared" ca="1" si="15"/>
        <v>42</v>
      </c>
    </row>
    <row r="119" spans="1:39" ht="15.75" customHeight="1">
      <c r="A119" s="937">
        <v>7</v>
      </c>
      <c r="B119" s="351" t="s">
        <v>7171</v>
      </c>
      <c r="C119" s="274" t="s">
        <v>20</v>
      </c>
      <c r="D119" s="1819" t="s">
        <v>7172</v>
      </c>
      <c r="E119" s="703" t="s">
        <v>7173</v>
      </c>
      <c r="F119" s="946" t="s">
        <v>759</v>
      </c>
      <c r="G119" s="284" t="s">
        <v>78</v>
      </c>
      <c r="H119" s="274" t="s">
        <v>266</v>
      </c>
      <c r="I119" s="275">
        <v>6203942964</v>
      </c>
      <c r="J119" s="275"/>
      <c r="K119" s="275" t="s">
        <v>315</v>
      </c>
      <c r="L119" s="274" t="s">
        <v>59</v>
      </c>
      <c r="M119" s="272">
        <v>32114</v>
      </c>
      <c r="N119" s="272">
        <v>54057</v>
      </c>
      <c r="O119" s="320">
        <v>46138</v>
      </c>
      <c r="P119" s="424">
        <v>45363</v>
      </c>
      <c r="Q119" s="272">
        <v>45307</v>
      </c>
      <c r="R119" s="281" t="s">
        <v>4772</v>
      </c>
      <c r="S119" s="280"/>
      <c r="T119" s="281" t="s">
        <v>7174</v>
      </c>
      <c r="U119" s="280"/>
      <c r="V119" s="285"/>
      <c r="W119" s="79"/>
      <c r="AB119" s="311">
        <f t="shared" ca="1" si="15"/>
        <v>38</v>
      </c>
    </row>
    <row r="120" spans="1:39" ht="15.75" customHeight="1">
      <c r="A120" s="1051">
        <v>120</v>
      </c>
      <c r="B120" s="293" t="s">
        <v>7175</v>
      </c>
      <c r="C120" s="274" t="s">
        <v>20</v>
      </c>
      <c r="D120" s="1585" t="s">
        <v>7176</v>
      </c>
      <c r="E120" s="620" t="s">
        <v>7177</v>
      </c>
      <c r="F120" s="686" t="s">
        <v>759</v>
      </c>
      <c r="G120" s="284" t="s">
        <v>77</v>
      </c>
      <c r="H120" s="284" t="s">
        <v>266</v>
      </c>
      <c r="I120" s="275">
        <v>9933199975</v>
      </c>
      <c r="J120" s="275"/>
      <c r="K120" s="275" t="s">
        <v>315</v>
      </c>
      <c r="L120" s="274" t="s">
        <v>60</v>
      </c>
      <c r="M120" s="272">
        <v>31116</v>
      </c>
      <c r="N120" s="272">
        <v>53052</v>
      </c>
      <c r="O120" s="272">
        <v>45899</v>
      </c>
      <c r="P120" s="279">
        <v>45531</v>
      </c>
      <c r="Q120" s="302">
        <v>45506</v>
      </c>
      <c r="R120" s="603" t="s">
        <v>7178</v>
      </c>
      <c r="S120" s="486" t="s">
        <v>7179</v>
      </c>
      <c r="T120" s="486" t="s">
        <v>7180</v>
      </c>
      <c r="U120" s="485"/>
      <c r="V120" s="285"/>
      <c r="W120" s="382"/>
      <c r="X120" s="90"/>
      <c r="Y120" s="1647"/>
      <c r="AA120" s="311"/>
      <c r="AB120" s="208">
        <f t="shared" ca="1" si="15"/>
        <v>41</v>
      </c>
      <c r="AC120" s="384"/>
      <c r="AD120" s="384"/>
      <c r="AE120" s="384"/>
      <c r="AF120" s="384"/>
      <c r="AG120" s="384"/>
      <c r="AH120" s="384"/>
      <c r="AI120" s="384"/>
      <c r="AJ120" s="384"/>
      <c r="AK120" s="384"/>
      <c r="AL120" s="384"/>
      <c r="AM120" s="384"/>
    </row>
    <row r="121" spans="1:39">
      <c r="A121" s="1172">
        <v>4</v>
      </c>
      <c r="B121" s="1319" t="s">
        <v>7181</v>
      </c>
      <c r="C121" s="1172" t="s">
        <v>20</v>
      </c>
      <c r="D121" s="2066" t="s">
        <v>7182</v>
      </c>
      <c r="E121" s="1174" t="s">
        <v>7183</v>
      </c>
      <c r="F121" s="2067" t="s">
        <v>759</v>
      </c>
      <c r="G121" s="1174" t="s">
        <v>76</v>
      </c>
      <c r="H121" s="1172" t="s">
        <v>266</v>
      </c>
      <c r="I121" s="1176">
        <v>8420320060</v>
      </c>
      <c r="J121" s="1176"/>
      <c r="K121" s="275" t="s">
        <v>315</v>
      </c>
      <c r="L121" s="1172" t="s">
        <v>54</v>
      </c>
      <c r="M121" s="2068">
        <v>26949</v>
      </c>
      <c r="N121" s="2068">
        <v>48883</v>
      </c>
      <c r="O121" s="1228">
        <v>45583</v>
      </c>
      <c r="P121" s="1239">
        <v>46055</v>
      </c>
      <c r="Q121" s="1228">
        <v>46076</v>
      </c>
      <c r="R121" s="1274"/>
      <c r="S121" s="1275"/>
      <c r="T121" s="1275"/>
      <c r="U121" s="1230" t="s">
        <v>7184</v>
      </c>
      <c r="V121" s="1231">
        <f>LEN(D121)</f>
        <v>11</v>
      </c>
      <c r="W121" s="2069" t="s">
        <v>7185</v>
      </c>
      <c r="X121" s="2070">
        <f ca="1">INT((TODAY()-M121)/365)</f>
        <v>52</v>
      </c>
      <c r="Y121" s="1181"/>
      <c r="Z121" s="1178"/>
      <c r="AA121" s="1178"/>
      <c r="AB121" s="1231">
        <f t="shared" ca="1" si="15"/>
        <v>52</v>
      </c>
      <c r="AC121" s="1178"/>
      <c r="AD121" s="1178"/>
      <c r="AE121" s="1178"/>
      <c r="AF121" s="1178"/>
      <c r="AG121" s="1178"/>
      <c r="AH121" s="1178"/>
      <c r="AI121" s="1178"/>
      <c r="AJ121" s="1178"/>
      <c r="AK121" s="1178"/>
      <c r="AL121" s="1178"/>
      <c r="AM121" s="1178"/>
    </row>
    <row r="122" spans="1:39" ht="15.75" customHeight="1">
      <c r="A122" s="1131">
        <v>67</v>
      </c>
      <c r="B122" s="351" t="s">
        <v>7186</v>
      </c>
      <c r="C122" s="1301" t="s">
        <v>20</v>
      </c>
      <c r="D122" s="1698" t="s">
        <v>7187</v>
      </c>
      <c r="E122" s="620" t="s">
        <v>7188</v>
      </c>
      <c r="F122" s="946" t="s">
        <v>759</v>
      </c>
      <c r="G122" s="284" t="s">
        <v>77</v>
      </c>
      <c r="H122" s="307"/>
      <c r="I122" s="275">
        <v>9830616923</v>
      </c>
      <c r="J122" s="284">
        <v>9830616923</v>
      </c>
      <c r="K122" s="275" t="s">
        <v>315</v>
      </c>
      <c r="L122" s="303" t="s">
        <v>664</v>
      </c>
      <c r="M122" s="272">
        <v>30551</v>
      </c>
      <c r="N122" s="272">
        <v>52474</v>
      </c>
      <c r="O122" s="277">
        <v>46244</v>
      </c>
      <c r="P122" s="278">
        <v>45637</v>
      </c>
      <c r="Q122" s="279">
        <v>45602</v>
      </c>
      <c r="R122" s="281" t="s">
        <v>7189</v>
      </c>
      <c r="S122" s="281" t="s">
        <v>7190</v>
      </c>
      <c r="T122" s="281" t="s">
        <v>7191</v>
      </c>
      <c r="U122" s="280"/>
      <c r="V122" s="285"/>
      <c r="W122" s="79"/>
      <c r="AB122" s="311">
        <f t="shared" ca="1" si="15"/>
        <v>42</v>
      </c>
    </row>
    <row r="123" spans="1:39" ht="15.75" customHeight="1">
      <c r="A123" s="1131">
        <v>57</v>
      </c>
      <c r="B123" s="351" t="s">
        <v>7192</v>
      </c>
      <c r="C123" s="1301" t="s">
        <v>20</v>
      </c>
      <c r="D123" s="1698" t="s">
        <v>7193</v>
      </c>
      <c r="E123" s="1676" t="s">
        <v>7194</v>
      </c>
      <c r="F123" s="274" t="s">
        <v>759</v>
      </c>
      <c r="G123" s="274" t="s">
        <v>76</v>
      </c>
      <c r="H123" s="391"/>
      <c r="I123" s="275">
        <v>9476368683</v>
      </c>
      <c r="J123" s="2071">
        <v>9476368683</v>
      </c>
      <c r="K123" s="275" t="s">
        <v>315</v>
      </c>
      <c r="L123" s="398" t="s">
        <v>59</v>
      </c>
      <c r="M123" s="272">
        <v>33133</v>
      </c>
      <c r="N123" s="272">
        <v>55061</v>
      </c>
      <c r="O123" s="277">
        <v>45482</v>
      </c>
      <c r="P123" s="278">
        <v>45637</v>
      </c>
      <c r="Q123" s="279">
        <v>45602</v>
      </c>
      <c r="R123" s="281" t="s">
        <v>7195</v>
      </c>
      <c r="S123" s="281" t="s">
        <v>7196</v>
      </c>
      <c r="T123" s="281" t="s">
        <v>7197</v>
      </c>
      <c r="U123" s="280"/>
      <c r="V123" s="79">
        <f t="shared" ref="V123:V125" si="16">LEN(D123)</f>
        <v>10</v>
      </c>
      <c r="W123" s="79"/>
      <c r="X123" s="79"/>
      <c r="Y123" s="79"/>
      <c r="Z123" s="79"/>
      <c r="AA123" s="79"/>
      <c r="AB123" s="208">
        <f t="shared" ca="1" si="15"/>
        <v>35</v>
      </c>
    </row>
    <row r="124" spans="1:39" ht="15.75" customHeight="1">
      <c r="A124" s="1131">
        <v>69</v>
      </c>
      <c r="B124" s="301" t="s">
        <v>7198</v>
      </c>
      <c r="C124" s="1301" t="s">
        <v>20</v>
      </c>
      <c r="D124" s="1698" t="s">
        <v>7199</v>
      </c>
      <c r="E124" s="1676" t="s">
        <v>7200</v>
      </c>
      <c r="F124" s="274" t="s">
        <v>759</v>
      </c>
      <c r="G124" s="274" t="s">
        <v>76</v>
      </c>
      <c r="H124" s="391"/>
      <c r="I124" s="275">
        <v>9062371412</v>
      </c>
      <c r="J124" s="275">
        <v>9062371412</v>
      </c>
      <c r="K124" s="275" t="s">
        <v>315</v>
      </c>
      <c r="L124" s="125" t="s">
        <v>67</v>
      </c>
      <c r="M124" s="272">
        <v>33361</v>
      </c>
      <c r="N124" s="272">
        <v>55304</v>
      </c>
      <c r="O124" s="320">
        <v>45753</v>
      </c>
      <c r="P124" s="278">
        <v>45637</v>
      </c>
      <c r="Q124" s="279">
        <v>45602</v>
      </c>
      <c r="R124" s="281" t="s">
        <v>7201</v>
      </c>
      <c r="S124" s="281" t="s">
        <v>7202</v>
      </c>
      <c r="T124" s="281" t="s">
        <v>7203</v>
      </c>
      <c r="U124" s="280"/>
      <c r="V124" s="382">
        <f t="shared" si="16"/>
        <v>10</v>
      </c>
      <c r="W124" s="79"/>
      <c r="X124" s="79"/>
      <c r="Y124" s="79"/>
      <c r="Z124" s="79"/>
      <c r="AA124" s="79"/>
      <c r="AB124" s="208">
        <f t="shared" ca="1" si="15"/>
        <v>34</v>
      </c>
      <c r="AD124" s="705"/>
      <c r="AE124" s="705"/>
      <c r="AF124" s="705"/>
      <c r="AG124" s="705"/>
      <c r="AH124" s="705"/>
      <c r="AI124" s="705"/>
      <c r="AJ124" s="705"/>
      <c r="AK124" s="705"/>
      <c r="AL124" s="705"/>
      <c r="AM124" s="705"/>
    </row>
    <row r="125" spans="1:39" ht="15.75" customHeight="1">
      <c r="A125" s="1131">
        <v>40</v>
      </c>
      <c r="B125" s="351" t="s">
        <v>7204</v>
      </c>
      <c r="C125" s="561" t="s">
        <v>20</v>
      </c>
      <c r="D125" s="1698" t="s">
        <v>7205</v>
      </c>
      <c r="E125" s="1676" t="s">
        <v>7206</v>
      </c>
      <c r="F125" s="274" t="s">
        <v>759</v>
      </c>
      <c r="G125" s="284" t="s">
        <v>77</v>
      </c>
      <c r="H125" s="307"/>
      <c r="I125" s="275">
        <v>9934973697</v>
      </c>
      <c r="J125" s="275">
        <v>9934973697</v>
      </c>
      <c r="K125" s="275" t="s">
        <v>315</v>
      </c>
      <c r="L125" s="439" t="s">
        <v>44</v>
      </c>
      <c r="M125" s="272">
        <v>31052</v>
      </c>
      <c r="N125" s="272">
        <v>52993</v>
      </c>
      <c r="O125" s="320">
        <v>45482</v>
      </c>
      <c r="P125" s="278">
        <v>45637</v>
      </c>
      <c r="Q125" s="279"/>
      <c r="R125" s="281" t="s">
        <v>7207</v>
      </c>
      <c r="S125" s="281" t="s">
        <v>7208</v>
      </c>
      <c r="T125" s="281" t="s">
        <v>7209</v>
      </c>
      <c r="U125" s="280"/>
      <c r="V125" s="382">
        <f t="shared" si="16"/>
        <v>10</v>
      </c>
      <c r="W125" s="79"/>
      <c r="X125" s="79"/>
      <c r="Y125" s="79"/>
      <c r="Z125" s="79"/>
      <c r="AA125" s="79"/>
      <c r="AB125" s="208">
        <f t="shared" ca="1" si="15"/>
        <v>41</v>
      </c>
      <c r="AC125" s="311"/>
      <c r="AD125" s="311"/>
      <c r="AE125" s="311"/>
      <c r="AF125" s="311"/>
      <c r="AG125" s="311"/>
      <c r="AH125" s="311"/>
      <c r="AI125" s="311"/>
      <c r="AJ125" s="311"/>
      <c r="AK125" s="311"/>
      <c r="AL125" s="311"/>
      <c r="AM125" s="311"/>
    </row>
    <row r="126" spans="1:39" ht="15.75" customHeight="1">
      <c r="A126" s="1263">
        <v>12</v>
      </c>
      <c r="B126" s="351" t="s">
        <v>7210</v>
      </c>
      <c r="C126" s="274" t="s">
        <v>20</v>
      </c>
      <c r="D126" s="1698" t="s">
        <v>7211</v>
      </c>
      <c r="E126" s="1053" t="s">
        <v>7212</v>
      </c>
      <c r="F126" s="946" t="s">
        <v>759</v>
      </c>
      <c r="G126" s="284" t="s">
        <v>77</v>
      </c>
      <c r="H126" s="307"/>
      <c r="I126" s="275">
        <v>9932638389</v>
      </c>
      <c r="J126" s="275"/>
      <c r="K126" s="275" t="s">
        <v>315</v>
      </c>
      <c r="L126" s="275" t="s">
        <v>43</v>
      </c>
      <c r="M126" s="272">
        <v>28856</v>
      </c>
      <c r="N126" s="272">
        <v>50770</v>
      </c>
      <c r="O126" s="277">
        <v>45292</v>
      </c>
      <c r="P126" s="272">
        <v>6693519</v>
      </c>
      <c r="Q126" s="2072">
        <v>46114</v>
      </c>
      <c r="R126" s="281" t="s">
        <v>7213</v>
      </c>
      <c r="S126" s="281" t="s">
        <v>7214</v>
      </c>
      <c r="T126" s="281" t="s">
        <v>7215</v>
      </c>
      <c r="U126" s="280"/>
      <c r="V126" s="285"/>
      <c r="W126" s="79"/>
      <c r="X126" s="79"/>
      <c r="Y126" s="79"/>
      <c r="Z126" s="79"/>
      <c r="AA126" s="79"/>
      <c r="AB126" s="311">
        <f t="shared" ca="1" si="15"/>
        <v>47</v>
      </c>
    </row>
    <row r="127" spans="1:39" ht="15.75" customHeight="1">
      <c r="A127" s="1263">
        <v>14</v>
      </c>
      <c r="B127" s="351" t="s">
        <v>7216</v>
      </c>
      <c r="C127" s="274" t="s">
        <v>20</v>
      </c>
      <c r="D127" s="1819" t="s">
        <v>7217</v>
      </c>
      <c r="E127" s="345" t="s">
        <v>7218</v>
      </c>
      <c r="F127" s="274" t="s">
        <v>759</v>
      </c>
      <c r="G127" s="274" t="s">
        <v>76</v>
      </c>
      <c r="H127" s="275"/>
      <c r="I127" s="293">
        <v>7003468285</v>
      </c>
      <c r="J127" s="935">
        <v>9614353667</v>
      </c>
      <c r="K127" s="275" t="s">
        <v>315</v>
      </c>
      <c r="L127" s="274" t="s">
        <v>60</v>
      </c>
      <c r="M127" s="272">
        <v>31469</v>
      </c>
      <c r="N127" s="272">
        <v>53386</v>
      </c>
      <c r="O127" s="277">
        <v>45453</v>
      </c>
      <c r="P127" s="315">
        <v>45774</v>
      </c>
      <c r="Q127" s="302">
        <v>45746</v>
      </c>
      <c r="R127" s="281" t="s">
        <v>7219</v>
      </c>
      <c r="S127" s="281" t="s">
        <v>7220</v>
      </c>
      <c r="T127" s="281" t="s">
        <v>7221</v>
      </c>
      <c r="U127" s="280"/>
      <c r="V127" s="79">
        <f t="shared" ref="V127:V128" si="17">LEN(D127)</f>
        <v>10</v>
      </c>
      <c r="W127" s="79"/>
      <c r="X127" s="79"/>
      <c r="Y127" s="79"/>
      <c r="Z127" s="79"/>
      <c r="AA127" s="79"/>
      <c r="AB127" s="208">
        <f t="shared" ca="1" si="15"/>
        <v>40</v>
      </c>
    </row>
    <row r="128" spans="1:39" ht="15.75" customHeight="1">
      <c r="A128" s="1263">
        <v>13</v>
      </c>
      <c r="B128" s="351" t="s">
        <v>7222</v>
      </c>
      <c r="C128" s="274" t="s">
        <v>20</v>
      </c>
      <c r="D128" s="1819" t="s">
        <v>7223</v>
      </c>
      <c r="E128" s="274" t="s">
        <v>7224</v>
      </c>
      <c r="F128" s="274" t="s">
        <v>759</v>
      </c>
      <c r="G128" s="274" t="s">
        <v>77</v>
      </c>
      <c r="H128" s="275"/>
      <c r="I128" s="275">
        <v>9804101213</v>
      </c>
      <c r="J128" s="275"/>
      <c r="K128" s="275" t="s">
        <v>315</v>
      </c>
      <c r="L128" s="274" t="s">
        <v>60</v>
      </c>
      <c r="M128" s="272">
        <v>31155</v>
      </c>
      <c r="N128" s="272">
        <v>53082</v>
      </c>
      <c r="O128" s="320">
        <v>46074</v>
      </c>
      <c r="P128" s="315">
        <v>45874</v>
      </c>
      <c r="Q128" s="279">
        <v>45833</v>
      </c>
      <c r="R128" s="281" t="s">
        <v>7225</v>
      </c>
      <c r="S128" s="281" t="s">
        <v>7226</v>
      </c>
      <c r="T128" s="281" t="s">
        <v>7227</v>
      </c>
      <c r="U128" s="280"/>
      <c r="V128" s="382">
        <f t="shared" si="17"/>
        <v>11</v>
      </c>
      <c r="W128" s="79"/>
      <c r="AB128" s="208">
        <f t="shared" ca="1" si="15"/>
        <v>40</v>
      </c>
      <c r="AC128" s="311"/>
      <c r="AD128" s="311"/>
      <c r="AE128" s="311"/>
      <c r="AF128" s="311"/>
      <c r="AG128" s="311"/>
      <c r="AH128" s="311"/>
      <c r="AI128" s="311"/>
      <c r="AJ128" s="311"/>
      <c r="AK128" s="311"/>
      <c r="AL128" s="311"/>
      <c r="AM128" s="311"/>
    </row>
    <row r="129" spans="1:39" ht="15.75" customHeight="1">
      <c r="A129" s="1263">
        <v>15</v>
      </c>
      <c r="B129" s="351" t="s">
        <v>7228</v>
      </c>
      <c r="C129" s="274" t="s">
        <v>20</v>
      </c>
      <c r="D129" s="1585" t="s">
        <v>7229</v>
      </c>
      <c r="E129" s="703" t="s">
        <v>7230</v>
      </c>
      <c r="F129" s="946" t="s">
        <v>759</v>
      </c>
      <c r="G129" s="284" t="s">
        <v>77</v>
      </c>
      <c r="H129" s="275"/>
      <c r="I129" s="391">
        <v>7980305269</v>
      </c>
      <c r="J129" s="391">
        <v>7980305269</v>
      </c>
      <c r="K129" s="275" t="s">
        <v>315</v>
      </c>
      <c r="L129" s="631" t="s">
        <v>43</v>
      </c>
      <c r="M129" s="272">
        <v>29361</v>
      </c>
      <c r="N129" s="272">
        <v>51287</v>
      </c>
      <c r="O129" s="320">
        <v>45797</v>
      </c>
      <c r="P129" s="272">
        <v>45874</v>
      </c>
      <c r="Q129" s="419">
        <v>45833</v>
      </c>
      <c r="R129" s="1592" t="s">
        <v>7231</v>
      </c>
      <c r="S129" s="1778"/>
      <c r="T129" s="1592" t="s">
        <v>7232</v>
      </c>
      <c r="U129" s="1778"/>
      <c r="V129" s="285"/>
      <c r="W129" s="704"/>
      <c r="X129" s="704"/>
      <c r="Y129" s="704"/>
      <c r="Z129" s="704"/>
      <c r="AA129" s="704"/>
      <c r="AB129" s="311">
        <f t="shared" ca="1" si="15"/>
        <v>45</v>
      </c>
    </row>
    <row r="130" spans="1:39" ht="15.75" customHeight="1">
      <c r="A130" s="1131">
        <v>23</v>
      </c>
      <c r="B130" s="399" t="s">
        <v>7233</v>
      </c>
      <c r="C130" s="303" t="s">
        <v>20</v>
      </c>
      <c r="D130" s="1698" t="s">
        <v>7234</v>
      </c>
      <c r="E130" s="303" t="s">
        <v>7235</v>
      </c>
      <c r="F130" s="946" t="s">
        <v>759</v>
      </c>
      <c r="G130" s="274" t="s">
        <v>76</v>
      </c>
      <c r="H130" s="275"/>
      <c r="I130" s="275">
        <v>7906630545</v>
      </c>
      <c r="J130" s="275"/>
      <c r="K130" s="275" t="s">
        <v>315</v>
      </c>
      <c r="L130" s="274" t="s">
        <v>58</v>
      </c>
      <c r="M130" s="272">
        <v>34440</v>
      </c>
      <c r="N130" s="272">
        <v>56369</v>
      </c>
      <c r="O130" s="277">
        <v>45733</v>
      </c>
      <c r="P130" s="315">
        <v>45774</v>
      </c>
      <c r="Q130" s="302">
        <v>45746</v>
      </c>
      <c r="R130" s="281" t="s">
        <v>7236</v>
      </c>
      <c r="S130" s="281" t="s">
        <v>7237</v>
      </c>
      <c r="T130" s="281" t="s">
        <v>7238</v>
      </c>
      <c r="U130" s="280"/>
      <c r="V130" s="285"/>
      <c r="W130" s="79"/>
      <c r="AB130" s="311">
        <f t="shared" ca="1" si="15"/>
        <v>31</v>
      </c>
    </row>
    <row r="131" spans="1:39" ht="15.75" customHeight="1">
      <c r="A131" s="944">
        <v>4</v>
      </c>
      <c r="B131" s="301" t="s">
        <v>7239</v>
      </c>
      <c r="C131" s="274" t="s">
        <v>20</v>
      </c>
      <c r="D131" s="1642" t="s">
        <v>7240</v>
      </c>
      <c r="E131" s="303" t="s">
        <v>7241</v>
      </c>
      <c r="F131" s="686" t="s">
        <v>759</v>
      </c>
      <c r="G131" s="274" t="s">
        <v>77</v>
      </c>
      <c r="H131" s="275"/>
      <c r="I131" s="275">
        <v>9046396943</v>
      </c>
      <c r="J131" s="284">
        <v>9749594682</v>
      </c>
      <c r="K131" s="275" t="s">
        <v>315</v>
      </c>
      <c r="L131" s="18" t="s">
        <v>55</v>
      </c>
      <c r="M131" s="272">
        <v>33175</v>
      </c>
      <c r="N131" s="272">
        <v>55092</v>
      </c>
      <c r="O131" s="320">
        <v>45126</v>
      </c>
      <c r="P131" s="272">
        <v>46019</v>
      </c>
      <c r="Q131" s="419">
        <v>45913</v>
      </c>
      <c r="R131" s="281" t="s">
        <v>7242</v>
      </c>
      <c r="S131" s="280"/>
      <c r="T131" s="79"/>
      <c r="U131" s="79"/>
      <c r="V131" s="435"/>
      <c r="W131" s="435"/>
      <c r="X131" s="436"/>
      <c r="Y131" s="311"/>
      <c r="Z131" s="311"/>
      <c r="AA131" s="311"/>
      <c r="AB131" s="311"/>
      <c r="AC131" s="311"/>
      <c r="AD131" s="311"/>
      <c r="AE131" s="311"/>
      <c r="AF131" s="311"/>
      <c r="AG131" s="311"/>
      <c r="AH131" s="311"/>
      <c r="AI131" s="311"/>
      <c r="AJ131" s="311"/>
      <c r="AK131" s="311"/>
      <c r="AL131" s="311"/>
      <c r="AM131" s="311"/>
    </row>
    <row r="132" spans="1:39" ht="15.75" customHeight="1">
      <c r="A132" s="944">
        <v>99</v>
      </c>
      <c r="B132" s="301" t="s">
        <v>7243</v>
      </c>
      <c r="C132" s="274" t="s">
        <v>20</v>
      </c>
      <c r="D132" s="1649" t="s">
        <v>7244</v>
      </c>
      <c r="E132" s="274" t="s">
        <v>7245</v>
      </c>
      <c r="F132" s="674" t="s">
        <v>759</v>
      </c>
      <c r="G132" s="274" t="s">
        <v>77</v>
      </c>
      <c r="H132" s="275"/>
      <c r="I132" s="407">
        <v>919002071812</v>
      </c>
      <c r="J132" s="275"/>
      <c r="K132" s="275" t="s">
        <v>315</v>
      </c>
      <c r="L132" s="275" t="s">
        <v>44</v>
      </c>
      <c r="M132" s="272">
        <v>34384</v>
      </c>
      <c r="N132" s="272">
        <v>56308</v>
      </c>
      <c r="O132" s="320">
        <v>46536</v>
      </c>
      <c r="P132" s="272">
        <v>45396</v>
      </c>
      <c r="Q132" s="272">
        <v>45369</v>
      </c>
      <c r="R132" s="281" t="s">
        <v>7246</v>
      </c>
      <c r="S132" s="280"/>
      <c r="T132" s="281" t="s">
        <v>7247</v>
      </c>
      <c r="U132" s="280"/>
      <c r="V132" s="382">
        <f t="shared" ref="V132:V133" si="18">LEN(D132)</f>
        <v>11</v>
      </c>
      <c r="W132" s="282">
        <f ca="1">INT((TODAY()-M132)/365)</f>
        <v>32</v>
      </c>
      <c r="X132" s="79"/>
      <c r="Y132" s="79"/>
      <c r="Z132" s="79"/>
      <c r="AA132" s="79"/>
    </row>
    <row r="133" spans="1:39" ht="15.75" customHeight="1">
      <c r="A133" s="944">
        <v>18</v>
      </c>
      <c r="B133" s="688" t="s">
        <v>7248</v>
      </c>
      <c r="C133" s="274" t="s">
        <v>20</v>
      </c>
      <c r="D133" s="1645" t="s">
        <v>7249</v>
      </c>
      <c r="E133" s="274" t="s">
        <v>7250</v>
      </c>
      <c r="F133" s="18" t="s">
        <v>759</v>
      </c>
      <c r="G133" s="274" t="s">
        <v>77</v>
      </c>
      <c r="H133" s="275"/>
      <c r="I133" s="275">
        <v>9064116924</v>
      </c>
      <c r="J133" s="1835">
        <v>9064116924</v>
      </c>
      <c r="K133" s="275" t="s">
        <v>315</v>
      </c>
      <c r="L133" s="274" t="s">
        <v>351</v>
      </c>
      <c r="M133" s="272">
        <v>34255</v>
      </c>
      <c r="N133" s="272">
        <v>56188</v>
      </c>
      <c r="O133" s="320">
        <v>45138</v>
      </c>
      <c r="P133" s="272">
        <v>46019</v>
      </c>
      <c r="Q133" s="419">
        <v>45913</v>
      </c>
      <c r="R133" s="281" t="s">
        <v>2917</v>
      </c>
      <c r="S133" s="280"/>
      <c r="T133" s="280"/>
      <c r="U133" s="280"/>
      <c r="V133" s="280">
        <f t="shared" si="18"/>
        <v>11</v>
      </c>
      <c r="W133" s="79"/>
      <c r="X133" s="208">
        <f ca="1">INT((TODAY()-M133)/365)</f>
        <v>32</v>
      </c>
    </row>
    <row r="134" spans="1:39" ht="15.75" customHeight="1">
      <c r="A134" s="1263">
        <v>16</v>
      </c>
      <c r="B134" s="351" t="s">
        <v>7251</v>
      </c>
      <c r="C134" s="274" t="s">
        <v>20</v>
      </c>
      <c r="D134" s="1698" t="s">
        <v>7252</v>
      </c>
      <c r="E134" s="1004" t="s">
        <v>7253</v>
      </c>
      <c r="F134" s="946" t="s">
        <v>759</v>
      </c>
      <c r="G134" s="274" t="s">
        <v>77</v>
      </c>
      <c r="H134" s="275"/>
      <c r="I134" s="275">
        <v>7044579547</v>
      </c>
      <c r="J134" s="275"/>
      <c r="K134" s="275" t="s">
        <v>315</v>
      </c>
      <c r="L134" s="274" t="s">
        <v>60</v>
      </c>
      <c r="M134" s="272">
        <v>30014</v>
      </c>
      <c r="N134" s="272">
        <v>51956</v>
      </c>
      <c r="O134" s="320">
        <v>46077</v>
      </c>
      <c r="P134" s="272">
        <v>45874</v>
      </c>
      <c r="Q134" s="419">
        <v>45833</v>
      </c>
      <c r="R134" s="281" t="s">
        <v>7254</v>
      </c>
      <c r="S134" s="281" t="s">
        <v>7255</v>
      </c>
      <c r="T134" s="281" t="s">
        <v>7256</v>
      </c>
      <c r="U134" s="280"/>
      <c r="V134" s="285"/>
      <c r="W134" s="79"/>
      <c r="X134" s="79"/>
      <c r="Y134" s="79"/>
      <c r="Z134" s="79"/>
      <c r="AA134" s="79"/>
      <c r="AB134" s="311">
        <f t="shared" ref="AB134:AB137" ca="1" si="19">INT((TODAY()-M134)/365)</f>
        <v>44</v>
      </c>
    </row>
    <row r="135" spans="1:39" ht="15.75" customHeight="1">
      <c r="A135" s="1263">
        <v>20</v>
      </c>
      <c r="B135" s="351" t="s">
        <v>7257</v>
      </c>
      <c r="C135" s="274" t="s">
        <v>20</v>
      </c>
      <c r="D135" s="1698" t="s">
        <v>7258</v>
      </c>
      <c r="E135" s="1004" t="s">
        <v>7259</v>
      </c>
      <c r="F135" s="946" t="s">
        <v>759</v>
      </c>
      <c r="G135" s="274" t="s">
        <v>76</v>
      </c>
      <c r="H135" s="275"/>
      <c r="I135" s="275">
        <v>8777830056</v>
      </c>
      <c r="J135" s="275">
        <v>8777830056</v>
      </c>
      <c r="K135" s="275" t="s">
        <v>315</v>
      </c>
      <c r="L135" s="274" t="s">
        <v>56</v>
      </c>
      <c r="M135" s="272">
        <v>29842</v>
      </c>
      <c r="N135" s="272">
        <v>51774</v>
      </c>
      <c r="O135" s="277">
        <v>45524</v>
      </c>
      <c r="P135" s="279">
        <v>45261</v>
      </c>
      <c r="Q135" s="419">
        <v>45296</v>
      </c>
      <c r="R135" s="281" t="s">
        <v>7260</v>
      </c>
      <c r="S135" s="338"/>
      <c r="T135" s="281" t="s">
        <v>7261</v>
      </c>
      <c r="U135" s="280"/>
      <c r="V135" s="285"/>
      <c r="W135" s="79"/>
      <c r="X135" s="79"/>
      <c r="Y135" s="79"/>
      <c r="Z135" s="79"/>
      <c r="AA135" s="79"/>
      <c r="AB135" s="311">
        <f t="shared" ca="1" si="19"/>
        <v>44</v>
      </c>
    </row>
    <row r="136" spans="1:39" ht="15.75" customHeight="1">
      <c r="A136" s="1131">
        <v>2</v>
      </c>
      <c r="B136" s="301" t="s">
        <v>7262</v>
      </c>
      <c r="C136" s="1301" t="s">
        <v>20</v>
      </c>
      <c r="D136" s="1819" t="s">
        <v>7263</v>
      </c>
      <c r="E136" s="1004" t="s">
        <v>7264</v>
      </c>
      <c r="F136" s="946" t="s">
        <v>759</v>
      </c>
      <c r="G136" s="274" t="s">
        <v>76</v>
      </c>
      <c r="H136" s="274"/>
      <c r="I136" s="275">
        <v>7903737689</v>
      </c>
      <c r="J136" s="275">
        <v>7903737689</v>
      </c>
      <c r="K136" s="275" t="s">
        <v>315</v>
      </c>
      <c r="L136" s="439" t="s">
        <v>54</v>
      </c>
      <c r="M136" s="272">
        <v>32946</v>
      </c>
      <c r="N136" s="272">
        <v>54878</v>
      </c>
      <c r="O136" s="277">
        <v>45482</v>
      </c>
      <c r="P136" s="315">
        <v>45774</v>
      </c>
      <c r="Q136" s="302">
        <v>45746</v>
      </c>
      <c r="R136" s="281" t="s">
        <v>7265</v>
      </c>
      <c r="S136" s="281" t="s">
        <v>7266</v>
      </c>
      <c r="T136" s="281" t="s">
        <v>7267</v>
      </c>
      <c r="U136" s="280"/>
      <c r="V136" s="285"/>
      <c r="W136" s="79"/>
      <c r="X136" s="79"/>
      <c r="Y136" s="79"/>
      <c r="Z136" s="79"/>
      <c r="AA136" s="79"/>
      <c r="AB136" s="311">
        <f t="shared" ca="1" si="19"/>
        <v>36</v>
      </c>
      <c r="AC136" s="311"/>
      <c r="AD136" s="311"/>
      <c r="AE136" s="311"/>
      <c r="AF136" s="311"/>
      <c r="AG136" s="311"/>
      <c r="AH136" s="311"/>
      <c r="AI136" s="311"/>
      <c r="AJ136" s="311"/>
      <c r="AK136" s="311"/>
      <c r="AL136" s="311"/>
      <c r="AM136" s="311"/>
    </row>
    <row r="137" spans="1:39" ht="15.75" customHeight="1">
      <c r="A137" s="1131">
        <v>15</v>
      </c>
      <c r="B137" s="399" t="s">
        <v>7268</v>
      </c>
      <c r="C137" s="303" t="s">
        <v>20</v>
      </c>
      <c r="D137" s="1698" t="s">
        <v>7269</v>
      </c>
      <c r="E137" s="303" t="s">
        <v>7270</v>
      </c>
      <c r="F137" s="946" t="s">
        <v>759</v>
      </c>
      <c r="G137" s="274" t="s">
        <v>76</v>
      </c>
      <c r="H137" s="275"/>
      <c r="I137" s="275">
        <v>8873647416</v>
      </c>
      <c r="J137" s="935">
        <v>8873647416</v>
      </c>
      <c r="K137" s="275" t="s">
        <v>315</v>
      </c>
      <c r="L137" s="125" t="s">
        <v>69</v>
      </c>
      <c r="M137" s="272">
        <v>32570</v>
      </c>
      <c r="N137" s="272">
        <v>54513</v>
      </c>
      <c r="O137" s="277">
        <v>45497</v>
      </c>
      <c r="P137" s="315">
        <v>45774</v>
      </c>
      <c r="Q137" s="302">
        <v>45746</v>
      </c>
      <c r="R137" s="281" t="s">
        <v>7271</v>
      </c>
      <c r="S137" s="1833"/>
      <c r="T137" s="1592" t="s">
        <v>7272</v>
      </c>
      <c r="U137" s="1833"/>
      <c r="V137" s="285"/>
      <c r="W137" s="79"/>
      <c r="AB137" s="311">
        <f t="shared" ca="1" si="19"/>
        <v>37</v>
      </c>
    </row>
    <row r="138" spans="1:39">
      <c r="A138" s="944">
        <v>2</v>
      </c>
      <c r="B138" s="293" t="s">
        <v>7273</v>
      </c>
      <c r="C138" s="275" t="s">
        <v>21</v>
      </c>
      <c r="D138" s="1585" t="s">
        <v>7274</v>
      </c>
      <c r="E138" s="274" t="s">
        <v>7275</v>
      </c>
      <c r="F138" s="686" t="s">
        <v>3258</v>
      </c>
      <c r="G138" s="274" t="s">
        <v>78</v>
      </c>
      <c r="H138" s="275"/>
      <c r="I138" s="407">
        <v>919002079062</v>
      </c>
      <c r="J138" s="890">
        <v>9002079062</v>
      </c>
      <c r="K138" s="275" t="s">
        <v>315</v>
      </c>
      <c r="L138" s="275" t="s">
        <v>43</v>
      </c>
      <c r="M138" s="272">
        <v>31048</v>
      </c>
      <c r="N138" s="272">
        <v>52962</v>
      </c>
      <c r="O138" s="272">
        <v>46397</v>
      </c>
      <c r="P138" s="279">
        <v>45697</v>
      </c>
      <c r="Q138" s="302">
        <v>45160</v>
      </c>
      <c r="R138" s="485"/>
      <c r="S138" s="486" t="s">
        <v>7276</v>
      </c>
      <c r="T138" s="952"/>
      <c r="U138" s="485"/>
      <c r="V138" s="485">
        <f>LEN(TEXT(D138,0))</f>
        <v>11</v>
      </c>
      <c r="W138" s="1189">
        <f t="shared" ref="W138:W139" ca="1" si="20">INT((TODAY()-M138)/365)</f>
        <v>41</v>
      </c>
      <c r="X138" s="311"/>
      <c r="Y138" s="311"/>
      <c r="Z138" s="311"/>
      <c r="AA138" s="311"/>
      <c r="AB138" s="311"/>
      <c r="AC138" s="311"/>
      <c r="AD138" s="311"/>
      <c r="AE138" s="311"/>
      <c r="AF138" s="311"/>
      <c r="AG138" s="311"/>
      <c r="AH138" s="311"/>
      <c r="AI138" s="311"/>
      <c r="AJ138" s="311"/>
      <c r="AK138" s="311"/>
      <c r="AL138" s="311"/>
      <c r="AM138" s="311"/>
    </row>
    <row r="139" spans="1:39" ht="15.75">
      <c r="A139" s="944">
        <v>8</v>
      </c>
      <c r="B139" s="351" t="s">
        <v>7277</v>
      </c>
      <c r="C139" s="274" t="s">
        <v>21</v>
      </c>
      <c r="D139" s="2073" t="s">
        <v>7278</v>
      </c>
      <c r="E139" s="540" t="s">
        <v>7279</v>
      </c>
      <c r="F139" s="943" t="s">
        <v>759</v>
      </c>
      <c r="G139" s="274" t="s">
        <v>76</v>
      </c>
      <c r="H139" s="275"/>
      <c r="I139" s="407">
        <v>918617062522</v>
      </c>
      <c r="J139" s="275"/>
      <c r="K139" s="275" t="s">
        <v>315</v>
      </c>
      <c r="L139" s="274" t="s">
        <v>65</v>
      </c>
      <c r="M139" s="272">
        <v>27761</v>
      </c>
      <c r="N139" s="272">
        <v>49705</v>
      </c>
      <c r="O139" s="320">
        <v>45198</v>
      </c>
      <c r="P139" s="272">
        <v>45485</v>
      </c>
      <c r="Q139" s="316">
        <v>45468</v>
      </c>
      <c r="R139" s="281" t="s">
        <v>7280</v>
      </c>
      <c r="S139" s="280"/>
      <c r="T139" s="280"/>
      <c r="U139" s="280"/>
      <c r="V139" s="280">
        <f t="shared" ref="V139:V140" si="21">LEN(D139)</f>
        <v>11</v>
      </c>
      <c r="W139" s="282">
        <f t="shared" ca="1" si="20"/>
        <v>50</v>
      </c>
      <c r="X139" s="79"/>
      <c r="AA139" s="79"/>
    </row>
    <row r="140" spans="1:39">
      <c r="A140" s="1678">
        <v>50</v>
      </c>
      <c r="B140" s="301" t="s">
        <v>7281</v>
      </c>
      <c r="C140" s="1301" t="s">
        <v>20</v>
      </c>
      <c r="D140" s="1649" t="s">
        <v>7282</v>
      </c>
      <c r="E140" s="620" t="s">
        <v>7283</v>
      </c>
      <c r="F140" s="946" t="s">
        <v>759</v>
      </c>
      <c r="G140" s="284" t="s">
        <v>77</v>
      </c>
      <c r="H140" s="307"/>
      <c r="I140" s="275">
        <v>9153424353</v>
      </c>
      <c r="J140" s="284">
        <v>9153424353</v>
      </c>
      <c r="K140" s="274" t="s">
        <v>315</v>
      </c>
      <c r="L140" s="274" t="s">
        <v>62</v>
      </c>
      <c r="M140" s="424">
        <v>34773</v>
      </c>
      <c r="N140" s="424">
        <v>56704</v>
      </c>
      <c r="O140" s="2074">
        <v>46531</v>
      </c>
      <c r="P140" s="424">
        <v>46019</v>
      </c>
      <c r="Q140" s="1836">
        <v>45913</v>
      </c>
      <c r="R140" s="281" t="s">
        <v>7284</v>
      </c>
      <c r="S140" s="280"/>
      <c r="T140" s="280"/>
      <c r="U140" s="280"/>
      <c r="V140" s="79">
        <f t="shared" si="21"/>
        <v>11</v>
      </c>
      <c r="W140" s="79"/>
      <c r="AB140" s="311">
        <f t="shared" ref="AB140:AB141" ca="1" si="22">INT((TODAY()-M140)/365)</f>
        <v>31</v>
      </c>
    </row>
    <row r="141" spans="1:39" ht="15.75" customHeight="1">
      <c r="A141" s="1930">
        <v>16</v>
      </c>
      <c r="B141" s="351" t="s">
        <v>3061</v>
      </c>
      <c r="C141" s="274" t="s">
        <v>20</v>
      </c>
      <c r="D141" s="1832" t="s">
        <v>7285</v>
      </c>
      <c r="E141" s="1053" t="s">
        <v>7286</v>
      </c>
      <c r="F141" s="946" t="s">
        <v>759</v>
      </c>
      <c r="G141" s="284" t="s">
        <v>77</v>
      </c>
      <c r="H141" s="307"/>
      <c r="I141" s="391">
        <v>8777391728</v>
      </c>
      <c r="J141" s="1835">
        <v>8777391728</v>
      </c>
      <c r="K141" s="274" t="s">
        <v>315</v>
      </c>
      <c r="L141" s="398" t="s">
        <v>59</v>
      </c>
      <c r="M141" s="272">
        <v>28924</v>
      </c>
      <c r="N141" s="272">
        <v>50860</v>
      </c>
      <c r="O141" s="277">
        <v>45361</v>
      </c>
      <c r="P141" s="315">
        <v>45222</v>
      </c>
      <c r="Q141" s="302">
        <v>45248</v>
      </c>
      <c r="R141" s="1592" t="s">
        <v>4797</v>
      </c>
      <c r="S141" s="1592" t="s">
        <v>7287</v>
      </c>
      <c r="T141" s="79"/>
      <c r="U141" s="1833"/>
      <c r="V141" s="285"/>
      <c r="W141" s="704"/>
      <c r="X141" s="704"/>
      <c r="Y141" s="79"/>
      <c r="Z141" s="79"/>
      <c r="AA141" s="79"/>
      <c r="AB141" s="311">
        <f t="shared" ca="1" si="22"/>
        <v>47</v>
      </c>
    </row>
    <row r="142" spans="1:39" ht="15.75" customHeight="1">
      <c r="A142" s="1012">
        <v>23</v>
      </c>
      <c r="B142" s="688" t="s">
        <v>7288</v>
      </c>
      <c r="C142" s="274" t="s">
        <v>20</v>
      </c>
      <c r="D142" s="1651" t="s">
        <v>7289</v>
      </c>
      <c r="E142" s="344" t="s">
        <v>7290</v>
      </c>
      <c r="F142" s="274" t="s">
        <v>759</v>
      </c>
      <c r="G142" s="284" t="s">
        <v>77</v>
      </c>
      <c r="H142" s="275"/>
      <c r="I142" s="275">
        <v>8825227042</v>
      </c>
      <c r="J142" s="963">
        <v>8825227042</v>
      </c>
      <c r="K142" s="274" t="s">
        <v>315</v>
      </c>
      <c r="L142" s="398" t="s">
        <v>59</v>
      </c>
      <c r="M142" s="272">
        <v>27041</v>
      </c>
      <c r="N142" s="272">
        <v>48975</v>
      </c>
      <c r="O142" s="272">
        <v>45663</v>
      </c>
      <c r="P142" s="278">
        <v>45141</v>
      </c>
      <c r="Q142" s="302">
        <v>45111</v>
      </c>
      <c r="R142" s="603" t="s">
        <v>7291</v>
      </c>
      <c r="S142" s="486" t="s">
        <v>7292</v>
      </c>
      <c r="T142" s="485"/>
      <c r="U142" s="485"/>
      <c r="V142" s="382">
        <f>LEN(D142)</f>
        <v>11</v>
      </c>
      <c r="W142" s="311"/>
      <c r="X142" s="208">
        <f ca="1">INT((TODAY()-M142)/365)</f>
        <v>52</v>
      </c>
      <c r="Y142" s="311"/>
      <c r="Z142" s="311"/>
      <c r="AA142" s="311"/>
      <c r="AB142" s="311"/>
    </row>
    <row r="143" spans="1:39" ht="15.75" customHeight="1">
      <c r="A143" s="1263">
        <v>21</v>
      </c>
      <c r="B143" s="351" t="s">
        <v>7293</v>
      </c>
      <c r="C143" s="274" t="s">
        <v>20</v>
      </c>
      <c r="D143" s="1820" t="s">
        <v>7294</v>
      </c>
      <c r="E143" s="857" t="s">
        <v>7295</v>
      </c>
      <c r="F143" s="946" t="s">
        <v>759</v>
      </c>
      <c r="G143" s="284" t="s">
        <v>77</v>
      </c>
      <c r="H143" s="275"/>
      <c r="I143" s="284">
        <v>8001610760</v>
      </c>
      <c r="J143" s="2071">
        <v>8001610760</v>
      </c>
      <c r="K143" s="274" t="s">
        <v>315</v>
      </c>
      <c r="L143" s="303" t="s">
        <v>52</v>
      </c>
      <c r="M143" s="272">
        <v>28581</v>
      </c>
      <c r="N143" s="272">
        <v>50495</v>
      </c>
      <c r="O143" s="277">
        <v>45746</v>
      </c>
      <c r="P143" s="272">
        <v>46206</v>
      </c>
      <c r="Q143" s="302">
        <v>46174</v>
      </c>
      <c r="R143" s="281" t="s">
        <v>7296</v>
      </c>
      <c r="S143" s="281" t="s">
        <v>7297</v>
      </c>
      <c r="T143" s="281" t="s">
        <v>7298</v>
      </c>
      <c r="U143" s="280"/>
      <c r="V143" s="285"/>
      <c r="W143" s="79"/>
      <c r="X143" s="79"/>
      <c r="Y143" s="79"/>
      <c r="Z143" s="79"/>
      <c r="AA143" s="79"/>
      <c r="AB143" s="311">
        <f ca="1">INT((TODAY()-M143)/365)</f>
        <v>47</v>
      </c>
      <c r="AD143" s="311"/>
      <c r="AE143" s="311"/>
      <c r="AF143" s="311"/>
      <c r="AG143" s="311"/>
      <c r="AH143" s="311"/>
      <c r="AI143" s="311"/>
      <c r="AJ143" s="311"/>
      <c r="AK143" s="311"/>
      <c r="AL143" s="311"/>
      <c r="AM143" s="311"/>
    </row>
    <row r="144" spans="1:39" ht="15.75" customHeight="1">
      <c r="A144" s="944">
        <v>75</v>
      </c>
      <c r="B144" s="688" t="s">
        <v>7299</v>
      </c>
      <c r="C144" s="274" t="s">
        <v>21</v>
      </c>
      <c r="D144" s="1649" t="s">
        <v>7300</v>
      </c>
      <c r="E144" s="2075" t="s">
        <v>7301</v>
      </c>
      <c r="F144" s="674" t="s">
        <v>759</v>
      </c>
      <c r="G144" s="274" t="s">
        <v>76</v>
      </c>
      <c r="H144" s="275"/>
      <c r="I144" s="407">
        <v>919681103910</v>
      </c>
      <c r="J144" s="275"/>
      <c r="K144" s="274" t="s">
        <v>315</v>
      </c>
      <c r="L144" s="274" t="s">
        <v>43</v>
      </c>
      <c r="M144" s="272">
        <v>33441</v>
      </c>
      <c r="N144" s="272">
        <v>55365</v>
      </c>
      <c r="O144" s="320">
        <v>46519</v>
      </c>
      <c r="P144" s="272">
        <v>46038</v>
      </c>
      <c r="Q144" s="419">
        <v>45916</v>
      </c>
      <c r="R144" s="281" t="s">
        <v>7302</v>
      </c>
      <c r="S144" s="280"/>
      <c r="T144" s="280"/>
      <c r="U144" s="280"/>
      <c r="V144" s="280">
        <f t="shared" ref="V144:V147" si="23">LEN(D144)</f>
        <v>11</v>
      </c>
      <c r="W144" s="282">
        <f t="shared" ref="W144:W147" ca="1" si="24">INT((TODAY()-M144)/365)</f>
        <v>34</v>
      </c>
    </row>
    <row r="145" spans="1:39" ht="15.75" customHeight="1">
      <c r="A145" s="944">
        <v>51</v>
      </c>
      <c r="B145" s="351" t="s">
        <v>7303</v>
      </c>
      <c r="C145" s="274" t="s">
        <v>21</v>
      </c>
      <c r="D145" s="1649" t="s">
        <v>7304</v>
      </c>
      <c r="E145" s="303" t="s">
        <v>7305</v>
      </c>
      <c r="F145" s="18" t="s">
        <v>759</v>
      </c>
      <c r="G145" s="274" t="s">
        <v>76</v>
      </c>
      <c r="H145" s="275"/>
      <c r="I145" s="274">
        <v>9002071283</v>
      </c>
      <c r="J145" s="275"/>
      <c r="K145" s="275" t="s">
        <v>315</v>
      </c>
      <c r="L145" s="274" t="s">
        <v>65</v>
      </c>
      <c r="M145" s="272">
        <v>34748</v>
      </c>
      <c r="N145" s="272">
        <v>56673</v>
      </c>
      <c r="O145" s="320">
        <v>46529</v>
      </c>
      <c r="P145" s="418">
        <v>45905</v>
      </c>
      <c r="Q145" s="418">
        <v>45916</v>
      </c>
      <c r="R145" s="281" t="s">
        <v>7306</v>
      </c>
      <c r="S145" s="280"/>
      <c r="T145" s="280"/>
      <c r="U145" s="280"/>
      <c r="V145" s="280">
        <f t="shared" si="23"/>
        <v>11</v>
      </c>
      <c r="W145" s="282">
        <f t="shared" ca="1" si="24"/>
        <v>31</v>
      </c>
    </row>
    <row r="146" spans="1:39" ht="15.75" customHeight="1">
      <c r="A146" s="944">
        <v>1</v>
      </c>
      <c r="B146" s="301" t="s">
        <v>7307</v>
      </c>
      <c r="C146" s="274" t="s">
        <v>21</v>
      </c>
      <c r="D146" s="1649" t="s">
        <v>7308</v>
      </c>
      <c r="E146" s="1004" t="s">
        <v>7309</v>
      </c>
      <c r="F146" s="18" t="s">
        <v>759</v>
      </c>
      <c r="G146" s="274" t="s">
        <v>76</v>
      </c>
      <c r="H146" s="275"/>
      <c r="I146" s="407">
        <v>919002071284</v>
      </c>
      <c r="J146" s="275"/>
      <c r="K146" s="275" t="s">
        <v>315</v>
      </c>
      <c r="L146" s="18" t="s">
        <v>62</v>
      </c>
      <c r="M146" s="272">
        <v>33092</v>
      </c>
      <c r="N146" s="272">
        <v>55031</v>
      </c>
      <c r="O146" s="320">
        <v>46536</v>
      </c>
      <c r="P146" s="272">
        <v>46038</v>
      </c>
      <c r="Q146" s="419">
        <v>45916</v>
      </c>
      <c r="R146" s="281" t="s">
        <v>7310</v>
      </c>
      <c r="S146" s="280"/>
      <c r="T146" s="280"/>
      <c r="U146" s="280"/>
      <c r="V146" s="280">
        <f t="shared" si="23"/>
        <v>11</v>
      </c>
      <c r="W146" s="282">
        <f t="shared" ca="1" si="24"/>
        <v>35</v>
      </c>
      <c r="X146" s="79"/>
      <c r="Y146" s="79"/>
      <c r="Z146" s="79"/>
      <c r="AA146" s="79"/>
    </row>
    <row r="147" spans="1:39" ht="15.75">
      <c r="A147" s="944">
        <v>36</v>
      </c>
      <c r="B147" s="301" t="s">
        <v>7311</v>
      </c>
      <c r="C147" s="274" t="s">
        <v>21</v>
      </c>
      <c r="D147" s="1649" t="s">
        <v>7312</v>
      </c>
      <c r="E147" s="491" t="s">
        <v>7313</v>
      </c>
      <c r="F147" s="674" t="s">
        <v>759</v>
      </c>
      <c r="G147" s="274" t="s">
        <v>76</v>
      </c>
      <c r="H147" s="275"/>
      <c r="I147" s="275">
        <v>7980702273</v>
      </c>
      <c r="J147" s="1857">
        <v>8017487688</v>
      </c>
      <c r="K147" s="275" t="s">
        <v>315</v>
      </c>
      <c r="L147" s="274" t="s">
        <v>50</v>
      </c>
      <c r="M147" s="272">
        <v>34208</v>
      </c>
      <c r="N147" s="272">
        <v>56127</v>
      </c>
      <c r="O147" s="320">
        <v>45126</v>
      </c>
      <c r="P147" s="272">
        <v>46074</v>
      </c>
      <c r="Q147" s="419">
        <v>45977</v>
      </c>
      <c r="R147" s="281" t="s">
        <v>7314</v>
      </c>
      <c r="S147" s="280"/>
      <c r="T147" s="280"/>
      <c r="U147" s="280"/>
      <c r="V147" s="280">
        <f t="shared" si="23"/>
        <v>11</v>
      </c>
      <c r="W147" s="282">
        <f t="shared" ca="1" si="24"/>
        <v>32</v>
      </c>
      <c r="X147" s="79"/>
      <c r="Y147" s="79"/>
      <c r="Z147" s="79"/>
      <c r="AA147" s="79"/>
      <c r="AB147" s="79"/>
      <c r="AC147" s="79"/>
      <c r="AD147" s="79"/>
      <c r="AE147" s="79"/>
    </row>
    <row r="148" spans="1:39" ht="15.75" customHeight="1">
      <c r="A148" s="937">
        <v>75</v>
      </c>
      <c r="B148" s="293" t="s">
        <v>7315</v>
      </c>
      <c r="C148" s="405" t="s">
        <v>21</v>
      </c>
      <c r="D148" s="1642" t="s">
        <v>7316</v>
      </c>
      <c r="E148" s="303" t="s">
        <v>7317</v>
      </c>
      <c r="F148" s="1007" t="s">
        <v>759</v>
      </c>
      <c r="G148" s="274" t="s">
        <v>76</v>
      </c>
      <c r="H148" s="275"/>
      <c r="I148" s="407">
        <v>919883229006</v>
      </c>
      <c r="J148" s="690">
        <v>9883229006</v>
      </c>
      <c r="K148" s="275" t="s">
        <v>315</v>
      </c>
      <c r="L148" s="303" t="s">
        <v>52</v>
      </c>
      <c r="M148" s="272">
        <v>33968</v>
      </c>
      <c r="N148" s="272">
        <v>55884</v>
      </c>
      <c r="O148" s="272">
        <v>46526</v>
      </c>
      <c r="P148" s="279">
        <v>45905</v>
      </c>
      <c r="Q148" s="279">
        <v>45951</v>
      </c>
      <c r="R148" s="603" t="s">
        <v>7318</v>
      </c>
      <c r="S148" s="485"/>
      <c r="T148" s="280"/>
      <c r="U148" s="485"/>
      <c r="V148" s="285"/>
      <c r="W148" s="382"/>
      <c r="X148" s="282">
        <f t="shared" ref="X148:X150" ca="1" si="25">INT((TODAY()-M148)/365)</f>
        <v>33</v>
      </c>
      <c r="Y148" s="382"/>
      <c r="Z148" s="382"/>
      <c r="AA148" s="382"/>
      <c r="AB148" s="311"/>
      <c r="AC148" s="311"/>
      <c r="AD148" s="311"/>
      <c r="AE148" s="311"/>
      <c r="AF148" s="311"/>
      <c r="AG148" s="311"/>
      <c r="AH148" s="311"/>
      <c r="AI148" s="311"/>
      <c r="AJ148" s="311"/>
      <c r="AK148" s="311"/>
      <c r="AL148" s="311"/>
      <c r="AM148" s="311"/>
    </row>
    <row r="149" spans="1:39">
      <c r="A149" s="944">
        <v>63</v>
      </c>
      <c r="B149" s="688" t="s">
        <v>7319</v>
      </c>
      <c r="C149" s="274" t="s">
        <v>21</v>
      </c>
      <c r="D149" s="1649" t="s">
        <v>7320</v>
      </c>
      <c r="E149" s="686" t="s">
        <v>7321</v>
      </c>
      <c r="F149" s="18" t="s">
        <v>759</v>
      </c>
      <c r="G149" s="274" t="s">
        <v>76</v>
      </c>
      <c r="H149" s="275"/>
      <c r="I149" s="275">
        <v>9046445517</v>
      </c>
      <c r="J149" s="275"/>
      <c r="K149" s="275" t="s">
        <v>315</v>
      </c>
      <c r="L149" s="274" t="s">
        <v>256</v>
      </c>
      <c r="M149" s="272">
        <v>34433</v>
      </c>
      <c r="N149" s="272">
        <v>56369</v>
      </c>
      <c r="O149" s="272">
        <v>46526</v>
      </c>
      <c r="P149" s="279">
        <v>46106</v>
      </c>
      <c r="Q149" s="279">
        <v>45977</v>
      </c>
      <c r="R149" s="603" t="s">
        <v>316</v>
      </c>
      <c r="S149" s="486" t="s">
        <v>7322</v>
      </c>
      <c r="T149" s="280"/>
      <c r="U149" s="485"/>
      <c r="V149" s="382">
        <f t="shared" ref="V149:V150" si="26">LEN(D149)</f>
        <v>11</v>
      </c>
      <c r="W149" s="382"/>
      <c r="X149" s="208">
        <f t="shared" ca="1" si="25"/>
        <v>31</v>
      </c>
      <c r="Y149" s="311"/>
      <c r="Z149" s="311"/>
      <c r="AA149" s="311"/>
      <c r="AB149" s="311"/>
    </row>
    <row r="150" spans="1:39">
      <c r="A150" s="944">
        <v>33</v>
      </c>
      <c r="B150" s="301" t="s">
        <v>7323</v>
      </c>
      <c r="C150" s="274" t="s">
        <v>21</v>
      </c>
      <c r="D150" s="1649" t="s">
        <v>7324</v>
      </c>
      <c r="E150" s="274" t="s">
        <v>7325</v>
      </c>
      <c r="F150" s="274" t="s">
        <v>759</v>
      </c>
      <c r="G150" s="274" t="s">
        <v>76</v>
      </c>
      <c r="H150" s="275"/>
      <c r="I150" s="275">
        <v>7384548725</v>
      </c>
      <c r="J150" s="275"/>
      <c r="K150" s="275" t="s">
        <v>315</v>
      </c>
      <c r="L150" s="303" t="s">
        <v>64</v>
      </c>
      <c r="M150" s="272">
        <v>34753</v>
      </c>
      <c r="N150" s="272">
        <v>56673</v>
      </c>
      <c r="O150" s="320">
        <v>46526</v>
      </c>
      <c r="P150" s="272">
        <v>46040</v>
      </c>
      <c r="Q150" s="419">
        <v>45948</v>
      </c>
      <c r="R150" s="281" t="s">
        <v>7326</v>
      </c>
      <c r="S150" s="281" t="s">
        <v>7327</v>
      </c>
      <c r="T150" s="79"/>
      <c r="U150" s="280"/>
      <c r="V150" s="79">
        <f t="shared" si="26"/>
        <v>11</v>
      </c>
      <c r="W150" s="79"/>
      <c r="X150" s="208">
        <f t="shared" ca="1" si="25"/>
        <v>31</v>
      </c>
      <c r="Y150" s="311"/>
      <c r="Z150" s="311"/>
      <c r="AA150" s="311"/>
      <c r="AB150" s="311"/>
      <c r="AC150" s="311"/>
      <c r="AD150" s="311"/>
      <c r="AE150" s="311"/>
      <c r="AF150" s="311"/>
      <c r="AG150" s="311"/>
      <c r="AH150" s="311"/>
      <c r="AI150" s="311"/>
      <c r="AJ150" s="311"/>
      <c r="AK150" s="311"/>
      <c r="AL150" s="311"/>
      <c r="AM150" s="311"/>
    </row>
    <row r="151" spans="1:39" ht="15.75" customHeight="1">
      <c r="A151" s="944">
        <v>11</v>
      </c>
      <c r="B151" s="426" t="s">
        <v>7328</v>
      </c>
      <c r="C151" s="303" t="s">
        <v>20</v>
      </c>
      <c r="D151" s="1645" t="s">
        <v>7329</v>
      </c>
      <c r="E151" s="1053" t="s">
        <v>7330</v>
      </c>
      <c r="F151" s="274" t="s">
        <v>759</v>
      </c>
      <c r="G151" s="18" t="s">
        <v>77</v>
      </c>
      <c r="H151" s="275"/>
      <c r="I151" s="432">
        <v>7978420667</v>
      </c>
      <c r="J151" s="3"/>
      <c r="K151" s="275" t="s">
        <v>315</v>
      </c>
      <c r="L151" s="274" t="s">
        <v>56</v>
      </c>
      <c r="M151" s="418">
        <v>29186</v>
      </c>
      <c r="N151" s="418">
        <v>51104</v>
      </c>
      <c r="O151" s="428">
        <v>45623</v>
      </c>
      <c r="P151" s="272">
        <v>45791</v>
      </c>
      <c r="Q151" s="418">
        <v>45980</v>
      </c>
      <c r="R151" s="281" t="s">
        <v>7331</v>
      </c>
      <c r="S151" s="281" t="s">
        <v>7332</v>
      </c>
      <c r="T151" s="79"/>
      <c r="U151" s="79"/>
      <c r="V151" s="435"/>
      <c r="W151" s="435"/>
      <c r="X151" s="435"/>
      <c r="Y151" s="382"/>
      <c r="Z151" s="382"/>
      <c r="AA151" s="382"/>
      <c r="AB151" s="311"/>
    </row>
    <row r="152" spans="1:39" ht="15.75" customHeight="1">
      <c r="A152" s="944">
        <v>3</v>
      </c>
      <c r="B152" s="688" t="s">
        <v>7333</v>
      </c>
      <c r="C152" s="539" t="s">
        <v>21</v>
      </c>
      <c r="D152" s="1448" t="s">
        <v>7334</v>
      </c>
      <c r="E152" s="274" t="s">
        <v>7335</v>
      </c>
      <c r="F152" s="284" t="s">
        <v>759</v>
      </c>
      <c r="G152" s="274" t="s">
        <v>77</v>
      </c>
      <c r="H152" s="275"/>
      <c r="I152" s="275">
        <v>8420320017</v>
      </c>
      <c r="J152" s="690"/>
      <c r="K152" s="275" t="s">
        <v>315</v>
      </c>
      <c r="L152" s="274" t="s">
        <v>299</v>
      </c>
      <c r="M152" s="272">
        <v>30444</v>
      </c>
      <c r="N152" s="272">
        <v>52382</v>
      </c>
      <c r="O152" s="272">
        <v>45999</v>
      </c>
      <c r="P152" s="278">
        <v>45562</v>
      </c>
      <c r="Q152" s="302">
        <v>45160</v>
      </c>
      <c r="R152" s="309"/>
      <c r="S152" s="310" t="s">
        <v>7336</v>
      </c>
      <c r="T152" s="309"/>
      <c r="U152" s="309"/>
      <c r="V152" s="309">
        <f>LEN(TEXT(D152,0))</f>
        <v>11</v>
      </c>
      <c r="W152" s="388">
        <f ca="1">INT((TODAY()-M152)/365)</f>
        <v>42</v>
      </c>
      <c r="X152" s="311"/>
      <c r="Y152" s="311"/>
      <c r="Z152" s="311"/>
      <c r="AA152" s="311"/>
      <c r="AB152" s="208">
        <f ca="1">INT((TODAY()-M152)/365)</f>
        <v>42</v>
      </c>
      <c r="AC152" s="311"/>
      <c r="AD152" s="311"/>
      <c r="AE152" s="311"/>
      <c r="AF152" s="311"/>
      <c r="AG152" s="311"/>
      <c r="AH152" s="311"/>
      <c r="AI152" s="311"/>
      <c r="AJ152" s="311"/>
      <c r="AK152" s="311"/>
      <c r="AL152" s="311"/>
      <c r="AM152" s="311"/>
    </row>
    <row r="153" spans="1:39" ht="15.75">
      <c r="A153" s="2076">
        <v>69</v>
      </c>
      <c r="B153" s="426" t="s">
        <v>7337</v>
      </c>
      <c r="C153" s="18" t="s">
        <v>22</v>
      </c>
      <c r="D153" s="1645" t="s">
        <v>7338</v>
      </c>
      <c r="E153" s="557" t="s">
        <v>7339</v>
      </c>
      <c r="F153" s="674" t="s">
        <v>759</v>
      </c>
      <c r="G153" s="3"/>
      <c r="H153" s="3"/>
      <c r="I153" s="3"/>
      <c r="J153" s="3"/>
      <c r="K153" s="275" t="s">
        <v>315</v>
      </c>
      <c r="L153" s="18" t="s">
        <v>57</v>
      </c>
      <c r="M153" s="418">
        <v>31837</v>
      </c>
      <c r="N153" s="2077">
        <v>53751</v>
      </c>
      <c r="O153" s="2078"/>
      <c r="P153" s="602"/>
      <c r="Q153" s="602"/>
      <c r="R153" s="281" t="s">
        <v>7340</v>
      </c>
      <c r="S153" s="280"/>
      <c r="T153" s="280"/>
      <c r="U153" s="280"/>
      <c r="V153" s="280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</row>
    <row r="154" spans="1:39" ht="15.75">
      <c r="A154" s="980">
        <v>70</v>
      </c>
      <c r="B154" s="2079" t="s">
        <v>7341</v>
      </c>
      <c r="C154" s="18" t="s">
        <v>22</v>
      </c>
      <c r="D154" s="1645" t="s">
        <v>7342</v>
      </c>
      <c r="E154" s="557" t="s">
        <v>7343</v>
      </c>
      <c r="F154" s="674" t="s">
        <v>759</v>
      </c>
      <c r="G154" s="18" t="s">
        <v>76</v>
      </c>
      <c r="H154" s="3"/>
      <c r="I154" s="519">
        <v>9931127862</v>
      </c>
      <c r="J154" s="3"/>
      <c r="K154" s="275" t="s">
        <v>315</v>
      </c>
      <c r="L154" s="18" t="s">
        <v>57</v>
      </c>
      <c r="M154" s="418">
        <v>36252</v>
      </c>
      <c r="N154" s="315">
        <f>EOMONTH(M154,(12*60))</f>
        <v>58195</v>
      </c>
      <c r="O154" s="2078"/>
      <c r="P154" s="602"/>
      <c r="Q154" s="602"/>
      <c r="R154" s="281" t="s">
        <v>7344</v>
      </c>
      <c r="S154" s="280"/>
      <c r="T154" s="280"/>
      <c r="U154" s="280"/>
      <c r="V154" s="280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</row>
    <row r="155" spans="1:39" ht="15.75">
      <c r="A155" s="2080"/>
      <c r="B155" s="705"/>
      <c r="C155" s="90"/>
      <c r="D155" s="2081"/>
      <c r="E155" s="2082"/>
      <c r="F155" s="943"/>
      <c r="G155" s="90"/>
      <c r="H155" s="90"/>
      <c r="I155" s="90"/>
      <c r="J155" s="90"/>
      <c r="K155" s="90"/>
      <c r="L155" s="90"/>
      <c r="M155" s="836"/>
      <c r="N155" s="836"/>
      <c r="O155" s="2083"/>
      <c r="P155" s="836"/>
      <c r="Q155" s="836"/>
      <c r="R155" s="280"/>
      <c r="S155" s="280"/>
      <c r="T155" s="280"/>
      <c r="U155" s="280"/>
      <c r="V155" s="280"/>
      <c r="W155" s="79"/>
    </row>
    <row r="156" spans="1:39">
      <c r="A156" s="2080"/>
      <c r="B156" s="705"/>
      <c r="C156" s="90"/>
      <c r="D156" s="2081"/>
      <c r="E156" s="2082"/>
      <c r="F156" s="1152"/>
      <c r="G156" s="90"/>
      <c r="H156" s="90"/>
      <c r="I156" s="90"/>
      <c r="J156" s="90"/>
      <c r="K156" s="90"/>
      <c r="L156" s="90"/>
      <c r="M156" s="836"/>
      <c r="N156" s="836"/>
      <c r="O156" s="2083"/>
      <c r="P156" s="836"/>
      <c r="Q156" s="836"/>
      <c r="R156" s="280"/>
      <c r="S156" s="280"/>
      <c r="T156" s="280"/>
      <c r="U156" s="280"/>
      <c r="V156" s="280"/>
      <c r="W156" s="79"/>
    </row>
    <row r="157" spans="1:39" ht="15.75">
      <c r="A157" s="2080"/>
      <c r="B157" s="705"/>
      <c r="C157" s="90"/>
      <c r="D157" s="2081"/>
      <c r="E157" s="2082"/>
      <c r="F157" s="943"/>
      <c r="G157" s="90"/>
      <c r="H157" s="90"/>
      <c r="I157" s="90"/>
      <c r="J157" s="90"/>
      <c r="K157" s="90"/>
      <c r="L157" s="90"/>
      <c r="M157" s="836"/>
      <c r="N157" s="836"/>
      <c r="O157" s="2083"/>
      <c r="P157" s="836"/>
      <c r="Q157" s="836"/>
      <c r="R157" s="280"/>
      <c r="S157" s="280"/>
      <c r="T157" s="280"/>
      <c r="U157" s="280"/>
      <c r="V157" s="280"/>
      <c r="W157" s="79"/>
    </row>
    <row r="158" spans="1:39" ht="15.75">
      <c r="A158" s="2080"/>
      <c r="B158" s="705"/>
      <c r="C158" s="90"/>
      <c r="D158" s="2081"/>
      <c r="E158" s="2082"/>
      <c r="F158" s="943"/>
      <c r="G158" s="90"/>
      <c r="H158" s="90"/>
      <c r="I158" s="90"/>
      <c r="J158" s="90"/>
      <c r="K158" s="90"/>
      <c r="L158" s="90"/>
      <c r="M158" s="836"/>
      <c r="N158" s="836"/>
      <c r="O158" s="2083"/>
      <c r="P158" s="836"/>
      <c r="Q158" s="836"/>
      <c r="R158" s="280"/>
      <c r="S158" s="280"/>
      <c r="T158" s="280"/>
      <c r="U158" s="280"/>
      <c r="V158" s="280"/>
      <c r="W158" s="79"/>
    </row>
    <row r="159" spans="1:39" ht="15.75">
      <c r="A159" s="2080"/>
      <c r="B159" s="705"/>
      <c r="C159" s="90"/>
      <c r="D159" s="2081"/>
      <c r="E159" s="2082"/>
      <c r="F159" s="943"/>
      <c r="G159" s="90"/>
      <c r="H159" s="90"/>
      <c r="I159" s="90"/>
      <c r="J159" s="90"/>
      <c r="K159" s="90"/>
      <c r="L159" s="90"/>
      <c r="M159" s="836"/>
      <c r="N159" s="836"/>
      <c r="O159" s="2083"/>
      <c r="P159" s="836"/>
      <c r="Q159" s="836"/>
      <c r="R159" s="280"/>
      <c r="S159" s="280"/>
      <c r="T159" s="280"/>
      <c r="U159" s="280"/>
      <c r="V159" s="280"/>
      <c r="W159" s="79"/>
    </row>
    <row r="160" spans="1:39" ht="15.75">
      <c r="A160" s="2080"/>
      <c r="B160" s="705"/>
      <c r="C160" s="90"/>
      <c r="D160" s="2081"/>
      <c r="E160" s="2082"/>
      <c r="F160" s="943"/>
      <c r="G160" s="90"/>
      <c r="H160" s="90"/>
      <c r="I160" s="90"/>
      <c r="J160" s="90"/>
      <c r="K160" s="90"/>
      <c r="L160" s="90"/>
      <c r="M160" s="836"/>
      <c r="N160" s="836"/>
      <c r="O160" s="2083"/>
      <c r="P160" s="836"/>
      <c r="Q160" s="836"/>
      <c r="R160" s="280"/>
      <c r="S160" s="280"/>
      <c r="T160" s="280"/>
      <c r="U160" s="280"/>
      <c r="V160" s="280"/>
      <c r="W160" s="79"/>
    </row>
    <row r="161" spans="1:23" ht="15.75">
      <c r="A161" s="2080"/>
      <c r="B161" s="705"/>
      <c r="C161" s="90"/>
      <c r="D161" s="2081"/>
      <c r="E161" s="2082"/>
      <c r="F161" s="943"/>
      <c r="G161" s="90"/>
      <c r="H161" s="90"/>
      <c r="I161" s="90"/>
      <c r="J161" s="90"/>
      <c r="K161" s="90"/>
      <c r="L161" s="90"/>
      <c r="M161" s="836"/>
      <c r="N161" s="836"/>
      <c r="O161" s="2083"/>
      <c r="P161" s="836"/>
      <c r="Q161" s="836"/>
      <c r="R161" s="280"/>
      <c r="S161" s="280"/>
      <c r="T161" s="280"/>
      <c r="U161" s="280"/>
      <c r="V161" s="280"/>
      <c r="W161" s="79"/>
    </row>
    <row r="162" spans="1:23" ht="15.75">
      <c r="A162" s="2080"/>
      <c r="B162" s="705"/>
      <c r="C162" s="90"/>
      <c r="D162" s="2081"/>
      <c r="E162" s="2082"/>
      <c r="F162" s="943"/>
      <c r="G162" s="90"/>
      <c r="H162" s="90"/>
      <c r="I162" s="90"/>
      <c r="J162" s="90"/>
      <c r="K162" s="90"/>
      <c r="L162" s="90"/>
      <c r="M162" s="836"/>
      <c r="N162" s="836"/>
      <c r="O162" s="2083"/>
      <c r="P162" s="836"/>
      <c r="Q162" s="836"/>
      <c r="R162" s="280"/>
      <c r="S162" s="280"/>
      <c r="T162" s="280"/>
      <c r="U162" s="280"/>
      <c r="V162" s="280"/>
      <c r="W162" s="79"/>
    </row>
    <row r="163" spans="1:23" ht="15.75">
      <c r="A163" s="2080"/>
      <c r="B163" s="705"/>
      <c r="C163" s="90"/>
      <c r="D163" s="2081"/>
      <c r="E163" s="2082"/>
      <c r="F163" s="943"/>
      <c r="G163" s="90"/>
      <c r="H163" s="90"/>
      <c r="I163" s="90"/>
      <c r="J163" s="90"/>
      <c r="K163" s="90"/>
      <c r="L163" s="90"/>
      <c r="M163" s="836"/>
      <c r="N163" s="836"/>
      <c r="O163" s="2083"/>
      <c r="P163" s="836"/>
      <c r="Q163" s="836"/>
      <c r="R163" s="280"/>
      <c r="S163" s="280"/>
      <c r="T163" s="280"/>
      <c r="U163" s="280"/>
      <c r="V163" s="280"/>
      <c r="W163" s="79"/>
    </row>
    <row r="164" spans="1:23">
      <c r="A164" s="2080"/>
      <c r="B164" s="705"/>
      <c r="C164" s="90"/>
      <c r="D164" s="2081"/>
      <c r="E164" s="2082"/>
      <c r="F164" s="1152"/>
      <c r="G164" s="90"/>
      <c r="H164" s="90"/>
      <c r="I164" s="90"/>
      <c r="J164" s="90"/>
      <c r="K164" s="90"/>
      <c r="L164" s="90"/>
      <c r="M164" s="836"/>
      <c r="N164" s="836"/>
      <c r="O164" s="2083"/>
      <c r="P164" s="836"/>
      <c r="Q164" s="836"/>
      <c r="R164" s="280"/>
      <c r="S164" s="280"/>
      <c r="T164" s="280"/>
      <c r="U164" s="280"/>
      <c r="V164" s="280"/>
      <c r="W164" s="79"/>
    </row>
    <row r="165" spans="1:23" ht="15.75">
      <c r="A165" s="2080"/>
      <c r="B165" s="705"/>
      <c r="C165" s="90"/>
      <c r="D165" s="2081"/>
      <c r="E165" s="2082"/>
      <c r="F165" s="943"/>
      <c r="G165" s="90"/>
      <c r="H165" s="90"/>
      <c r="I165" s="90"/>
      <c r="J165" s="90"/>
      <c r="K165" s="90"/>
      <c r="L165" s="90"/>
      <c r="M165" s="836"/>
      <c r="N165" s="836"/>
      <c r="O165" s="2083"/>
      <c r="P165" s="836"/>
      <c r="Q165" s="836"/>
      <c r="R165" s="280"/>
      <c r="S165" s="280"/>
      <c r="T165" s="280"/>
      <c r="U165" s="280"/>
      <c r="V165" s="280"/>
      <c r="W165" s="79"/>
    </row>
    <row r="166" spans="1:23" ht="15.75">
      <c r="A166" s="2080"/>
      <c r="B166" s="705"/>
      <c r="C166" s="90"/>
      <c r="D166" s="2081"/>
      <c r="E166" s="2082"/>
      <c r="F166" s="943"/>
      <c r="G166" s="90"/>
      <c r="H166" s="90"/>
      <c r="I166" s="90"/>
      <c r="J166" s="90"/>
      <c r="K166" s="90"/>
      <c r="L166" s="90"/>
      <c r="M166" s="836"/>
      <c r="N166" s="836"/>
      <c r="O166" s="2083"/>
      <c r="P166" s="836"/>
      <c r="Q166" s="836"/>
      <c r="R166" s="280"/>
      <c r="S166" s="280"/>
      <c r="T166" s="280"/>
      <c r="U166" s="280"/>
      <c r="V166" s="280"/>
      <c r="W166" s="79"/>
    </row>
    <row r="167" spans="1:23">
      <c r="A167" s="2080"/>
      <c r="B167" s="705"/>
      <c r="C167" s="90"/>
      <c r="D167" s="2081"/>
      <c r="E167" s="2082"/>
      <c r="F167" s="366"/>
      <c r="G167" s="90"/>
      <c r="H167" s="90"/>
      <c r="I167" s="90"/>
      <c r="J167" s="90"/>
      <c r="K167" s="90"/>
      <c r="L167" s="90"/>
      <c r="M167" s="836"/>
      <c r="N167" s="836"/>
      <c r="O167" s="2083"/>
      <c r="P167" s="836"/>
      <c r="Q167" s="836"/>
      <c r="R167" s="280"/>
      <c r="S167" s="280"/>
      <c r="T167" s="280"/>
      <c r="U167" s="280"/>
      <c r="V167" s="280"/>
      <c r="W167" s="79"/>
    </row>
    <row r="168" spans="1:23" ht="15.75">
      <c r="A168" s="2080"/>
      <c r="B168" s="705"/>
      <c r="C168" s="90"/>
      <c r="D168" s="2081"/>
      <c r="E168" s="2082"/>
      <c r="F168" s="1954"/>
      <c r="G168" s="90"/>
      <c r="H168" s="90"/>
      <c r="I168" s="90"/>
      <c r="J168" s="90"/>
      <c r="K168" s="90"/>
      <c r="L168" s="90"/>
      <c r="M168" s="836"/>
      <c r="N168" s="836"/>
      <c r="O168" s="2083"/>
      <c r="P168" s="836"/>
      <c r="Q168" s="836"/>
      <c r="R168" s="280"/>
      <c r="S168" s="280"/>
      <c r="T168" s="280"/>
      <c r="U168" s="280"/>
      <c r="V168" s="280"/>
      <c r="W168" s="79"/>
    </row>
    <row r="169" spans="1:23" ht="15.75">
      <c r="A169" s="2080"/>
      <c r="B169" s="705"/>
      <c r="C169" s="90"/>
      <c r="D169" s="2081"/>
      <c r="E169" s="2082"/>
      <c r="F169" s="1954"/>
      <c r="G169" s="90"/>
      <c r="H169" s="90"/>
      <c r="I169" s="90"/>
      <c r="J169" s="90"/>
      <c r="K169" s="90"/>
      <c r="L169" s="90"/>
      <c r="M169" s="836"/>
      <c r="N169" s="836"/>
      <c r="O169" s="2083"/>
      <c r="P169" s="836"/>
      <c r="Q169" s="836"/>
      <c r="R169" s="280"/>
      <c r="S169" s="280"/>
      <c r="T169" s="280"/>
      <c r="U169" s="280"/>
      <c r="V169" s="280"/>
      <c r="W169" s="79"/>
    </row>
    <row r="170" spans="1:23" ht="15.75">
      <c r="A170" s="2080"/>
      <c r="B170" s="705"/>
      <c r="C170" s="90"/>
      <c r="D170" s="2081"/>
      <c r="E170" s="2082"/>
      <c r="F170" s="1954"/>
      <c r="G170" s="90"/>
      <c r="H170" s="90"/>
      <c r="I170" s="90"/>
      <c r="J170" s="90"/>
      <c r="K170" s="90"/>
      <c r="L170" s="90"/>
      <c r="M170" s="836"/>
      <c r="N170" s="836"/>
      <c r="O170" s="2083"/>
      <c r="P170" s="836"/>
      <c r="Q170" s="836"/>
      <c r="R170" s="280"/>
      <c r="S170" s="280"/>
      <c r="T170" s="280"/>
      <c r="U170" s="280"/>
      <c r="V170" s="280"/>
      <c r="W170" s="79"/>
    </row>
    <row r="171" spans="1:23" ht="15.75">
      <c r="A171" s="2080"/>
      <c r="B171" s="705"/>
      <c r="C171" s="90"/>
      <c r="D171" s="2081"/>
      <c r="E171" s="2082"/>
      <c r="F171" s="1954"/>
      <c r="G171" s="90"/>
      <c r="H171" s="90"/>
      <c r="I171" s="90"/>
      <c r="J171" s="90"/>
      <c r="K171" s="90"/>
      <c r="L171" s="90"/>
      <c r="M171" s="836"/>
      <c r="N171" s="836"/>
      <c r="O171" s="2083"/>
      <c r="P171" s="836"/>
      <c r="Q171" s="836"/>
      <c r="R171" s="280"/>
      <c r="S171" s="280"/>
      <c r="T171" s="280"/>
      <c r="U171" s="280"/>
      <c r="V171" s="280"/>
      <c r="W171" s="79"/>
    </row>
    <row r="172" spans="1:23" ht="15.75">
      <c r="A172" s="2080"/>
      <c r="B172" s="705"/>
      <c r="C172" s="90"/>
      <c r="D172" s="2081"/>
      <c r="E172" s="2082"/>
      <c r="F172" s="1954"/>
      <c r="G172" s="90"/>
      <c r="H172" s="90"/>
      <c r="I172" s="90"/>
      <c r="J172" s="90"/>
      <c r="K172" s="90"/>
      <c r="L172" s="90"/>
      <c r="M172" s="1956"/>
      <c r="N172" s="643"/>
      <c r="O172" s="2083"/>
      <c r="P172" s="643"/>
      <c r="Q172" s="643"/>
      <c r="R172" s="280"/>
      <c r="S172" s="280"/>
      <c r="T172" s="280"/>
      <c r="U172" s="280"/>
      <c r="V172" s="280"/>
      <c r="W172" s="79"/>
    </row>
    <row r="173" spans="1:23" ht="15.75">
      <c r="A173" s="2080"/>
      <c r="B173" s="705"/>
      <c r="C173" s="90"/>
      <c r="D173" s="2081"/>
      <c r="E173" s="2082"/>
      <c r="F173" s="1954"/>
      <c r="G173" s="90"/>
      <c r="H173" s="90"/>
      <c r="I173" s="90"/>
      <c r="J173" s="90"/>
      <c r="K173" s="90"/>
      <c r="L173" s="90"/>
      <c r="M173" s="1956"/>
      <c r="N173" s="643"/>
      <c r="O173" s="2083"/>
      <c r="P173" s="643"/>
      <c r="Q173" s="643"/>
      <c r="R173" s="280"/>
      <c r="S173" s="280"/>
      <c r="T173" s="280"/>
      <c r="U173" s="280"/>
      <c r="V173" s="280"/>
      <c r="W173" s="79"/>
    </row>
    <row r="174" spans="1:23" ht="15.75">
      <c r="A174" s="2080"/>
      <c r="B174" s="705"/>
      <c r="C174" s="90"/>
      <c r="D174" s="2081"/>
      <c r="E174" s="2082"/>
      <c r="F174" s="1954"/>
      <c r="G174" s="90"/>
      <c r="H174" s="90"/>
      <c r="I174" s="90"/>
      <c r="J174" s="90"/>
      <c r="K174" s="90"/>
      <c r="L174" s="90"/>
      <c r="M174" s="1956"/>
      <c r="N174" s="643"/>
      <c r="O174" s="2083"/>
      <c r="P174" s="643"/>
      <c r="Q174" s="643"/>
      <c r="R174" s="280"/>
      <c r="S174" s="280"/>
      <c r="T174" s="280"/>
      <c r="U174" s="280"/>
      <c r="V174" s="280"/>
      <c r="W174" s="79"/>
    </row>
    <row r="175" spans="1:23" ht="15.75">
      <c r="A175" s="2080"/>
      <c r="B175" s="705"/>
      <c r="C175" s="90"/>
      <c r="D175" s="2081"/>
      <c r="E175" s="2082"/>
      <c r="F175" s="1954"/>
      <c r="G175" s="90"/>
      <c r="H175" s="90"/>
      <c r="I175" s="90"/>
      <c r="J175" s="90"/>
      <c r="K175" s="90"/>
      <c r="L175" s="90"/>
      <c r="M175" s="1956"/>
      <c r="N175" s="643"/>
      <c r="O175" s="2083"/>
      <c r="P175" s="643"/>
      <c r="Q175" s="643"/>
      <c r="R175" s="280"/>
      <c r="S175" s="280"/>
      <c r="T175" s="280"/>
      <c r="U175" s="280"/>
      <c r="V175" s="280"/>
      <c r="W175" s="79"/>
    </row>
    <row r="176" spans="1:23" ht="15.75">
      <c r="A176" s="2080"/>
      <c r="B176" s="705"/>
      <c r="C176" s="90"/>
      <c r="D176" s="2081"/>
      <c r="E176" s="2082"/>
      <c r="F176" s="1954"/>
      <c r="G176" s="90"/>
      <c r="H176" s="90"/>
      <c r="I176" s="90"/>
      <c r="J176" s="90"/>
      <c r="K176" s="90"/>
      <c r="L176" s="90"/>
      <c r="M176" s="1956"/>
      <c r="N176" s="643"/>
      <c r="O176" s="2083"/>
      <c r="P176" s="643"/>
      <c r="Q176" s="643"/>
      <c r="R176" s="280"/>
      <c r="S176" s="280"/>
      <c r="T176" s="280"/>
      <c r="U176" s="280"/>
      <c r="V176" s="280"/>
      <c r="W176" s="79"/>
    </row>
    <row r="177" spans="1:23" ht="15.75">
      <c r="A177" s="2080"/>
      <c r="B177" s="705"/>
      <c r="C177" s="90"/>
      <c r="D177" s="2081"/>
      <c r="E177" s="2082"/>
      <c r="F177" s="1954"/>
      <c r="G177" s="90"/>
      <c r="H177" s="90"/>
      <c r="I177" s="90"/>
      <c r="J177" s="90"/>
      <c r="K177" s="90"/>
      <c r="L177" s="90"/>
      <c r="M177" s="1956"/>
      <c r="N177" s="643"/>
      <c r="O177" s="2083"/>
      <c r="P177" s="643"/>
      <c r="Q177" s="643"/>
      <c r="R177" s="280"/>
      <c r="S177" s="280"/>
      <c r="T177" s="280"/>
      <c r="U177" s="280"/>
      <c r="V177" s="280"/>
      <c r="W177" s="79"/>
    </row>
    <row r="178" spans="1:23" ht="15.75">
      <c r="A178" s="2080"/>
      <c r="B178" s="705"/>
      <c r="C178" s="90"/>
      <c r="D178" s="2081"/>
      <c r="E178" s="2082"/>
      <c r="F178" s="1954"/>
      <c r="G178" s="90"/>
      <c r="H178" s="90"/>
      <c r="I178" s="90"/>
      <c r="J178" s="90"/>
      <c r="K178" s="90"/>
      <c r="L178" s="90"/>
      <c r="M178" s="1956"/>
      <c r="N178" s="643"/>
      <c r="O178" s="2083"/>
      <c r="P178" s="643"/>
      <c r="Q178" s="643"/>
      <c r="R178" s="280"/>
      <c r="S178" s="280"/>
      <c r="T178" s="280"/>
      <c r="U178" s="280"/>
      <c r="V178" s="280"/>
      <c r="W178" s="79"/>
    </row>
    <row r="179" spans="1:23" ht="15.75">
      <c r="A179" s="2080"/>
      <c r="B179" s="705"/>
      <c r="C179" s="90"/>
      <c r="D179" s="2081"/>
      <c r="E179" s="2082"/>
      <c r="F179" s="1954"/>
      <c r="G179" s="90"/>
      <c r="H179" s="90"/>
      <c r="I179" s="90"/>
      <c r="J179" s="90"/>
      <c r="K179" s="90"/>
      <c r="L179" s="90"/>
      <c r="M179" s="1956"/>
      <c r="N179" s="643"/>
      <c r="O179" s="2083"/>
      <c r="P179" s="643"/>
      <c r="Q179" s="643"/>
      <c r="R179" s="280"/>
      <c r="S179" s="280"/>
      <c r="T179" s="280"/>
      <c r="U179" s="280"/>
      <c r="V179" s="280"/>
      <c r="W179" s="79"/>
    </row>
    <row r="180" spans="1:23" ht="15.75">
      <c r="A180" s="2080"/>
      <c r="B180" s="705"/>
      <c r="C180" s="90"/>
      <c r="D180" s="2081"/>
      <c r="E180" s="2082"/>
      <c r="F180" s="1954"/>
      <c r="G180" s="90"/>
      <c r="H180" s="90"/>
      <c r="I180" s="90"/>
      <c r="J180" s="90"/>
      <c r="K180" s="90"/>
      <c r="L180" s="90"/>
      <c r="M180" s="1956"/>
      <c r="N180" s="643"/>
      <c r="O180" s="2083"/>
      <c r="P180" s="643"/>
      <c r="Q180" s="643"/>
      <c r="R180" s="280"/>
      <c r="S180" s="280"/>
      <c r="T180" s="280"/>
      <c r="U180" s="280"/>
      <c r="V180" s="280"/>
      <c r="W180" s="79"/>
    </row>
    <row r="181" spans="1:23" ht="15.75">
      <c r="A181" s="2080"/>
      <c r="B181" s="705"/>
      <c r="C181" s="90"/>
      <c r="D181" s="2081"/>
      <c r="E181" s="2082"/>
      <c r="F181" s="1954"/>
      <c r="G181" s="90"/>
      <c r="H181" s="90"/>
      <c r="I181" s="90"/>
      <c r="J181" s="90"/>
      <c r="K181" s="90"/>
      <c r="L181" s="90"/>
      <c r="M181" s="1956"/>
      <c r="N181" s="643"/>
      <c r="O181" s="2083"/>
      <c r="P181" s="643"/>
      <c r="Q181" s="643"/>
      <c r="R181" s="280"/>
      <c r="S181" s="280"/>
      <c r="T181" s="280"/>
      <c r="U181" s="280"/>
      <c r="V181" s="280"/>
      <c r="W181" s="79"/>
    </row>
    <row r="182" spans="1:23" ht="15.75">
      <c r="A182" s="2080"/>
      <c r="B182" s="705"/>
      <c r="C182" s="90"/>
      <c r="D182" s="2081"/>
      <c r="E182" s="2082"/>
      <c r="F182" s="1954"/>
      <c r="G182" s="90"/>
      <c r="H182" s="90"/>
      <c r="I182" s="90"/>
      <c r="J182" s="90"/>
      <c r="K182" s="90"/>
      <c r="L182" s="90"/>
      <c r="M182" s="1956"/>
      <c r="N182" s="643"/>
      <c r="O182" s="2083"/>
      <c r="P182" s="643"/>
      <c r="Q182" s="643"/>
      <c r="R182" s="280"/>
      <c r="S182" s="280"/>
      <c r="T182" s="280"/>
      <c r="U182" s="280"/>
      <c r="V182" s="280"/>
      <c r="W182" s="79"/>
    </row>
    <row r="183" spans="1:23" ht="15.75">
      <c r="A183" s="2080"/>
      <c r="B183" s="705"/>
      <c r="C183" s="90"/>
      <c r="D183" s="2081"/>
      <c r="E183" s="2082"/>
      <c r="F183" s="1954"/>
      <c r="G183" s="90"/>
      <c r="H183" s="90"/>
      <c r="I183" s="90"/>
      <c r="J183" s="90"/>
      <c r="K183" s="90"/>
      <c r="L183" s="90"/>
      <c r="M183" s="1956"/>
      <c r="N183" s="643"/>
      <c r="O183" s="2083"/>
      <c r="P183" s="643"/>
      <c r="Q183" s="643"/>
      <c r="R183" s="280"/>
      <c r="S183" s="280"/>
      <c r="T183" s="280"/>
      <c r="U183" s="280"/>
      <c r="V183" s="280"/>
      <c r="W183" s="79"/>
    </row>
    <row r="184" spans="1:23" ht="15.75">
      <c r="A184" s="2080"/>
      <c r="B184" s="705"/>
      <c r="C184" s="90"/>
      <c r="D184" s="2081"/>
      <c r="E184" s="2082"/>
      <c r="F184" s="1954"/>
      <c r="G184" s="90"/>
      <c r="H184" s="90"/>
      <c r="I184" s="90"/>
      <c r="J184" s="90"/>
      <c r="K184" s="90"/>
      <c r="L184" s="90"/>
      <c r="M184" s="1956"/>
      <c r="N184" s="643"/>
      <c r="O184" s="2083"/>
      <c r="P184" s="643"/>
      <c r="Q184" s="643"/>
      <c r="R184" s="280"/>
      <c r="S184" s="280"/>
      <c r="T184" s="280"/>
      <c r="U184" s="280"/>
      <c r="V184" s="280"/>
      <c r="W184" s="79"/>
    </row>
    <row r="185" spans="1:23" ht="15.75">
      <c r="A185" s="2080"/>
      <c r="B185" s="705"/>
      <c r="C185" s="90"/>
      <c r="D185" s="2081"/>
      <c r="E185" s="2082"/>
      <c r="F185" s="1954"/>
      <c r="G185" s="90"/>
      <c r="H185" s="90"/>
      <c r="I185" s="90"/>
      <c r="J185" s="90"/>
      <c r="K185" s="90"/>
      <c r="L185" s="90"/>
      <c r="M185" s="1956"/>
      <c r="N185" s="643"/>
      <c r="O185" s="2083"/>
      <c r="P185" s="643"/>
      <c r="Q185" s="643"/>
      <c r="R185" s="280"/>
      <c r="S185" s="280"/>
      <c r="T185" s="280"/>
      <c r="U185" s="280"/>
      <c r="V185" s="280"/>
      <c r="W185" s="79"/>
    </row>
    <row r="186" spans="1:23" ht="15.75">
      <c r="A186" s="2080"/>
      <c r="B186" s="705"/>
      <c r="C186" s="90"/>
      <c r="D186" s="2081"/>
      <c r="E186" s="2082"/>
      <c r="F186" s="1954"/>
      <c r="G186" s="90"/>
      <c r="H186" s="90"/>
      <c r="I186" s="90"/>
      <c r="J186" s="90"/>
      <c r="K186" s="90"/>
      <c r="L186" s="90"/>
      <c r="M186" s="1956"/>
      <c r="N186" s="643"/>
      <c r="O186" s="2083"/>
      <c r="P186" s="643"/>
      <c r="Q186" s="643"/>
      <c r="R186" s="280"/>
      <c r="S186" s="280"/>
      <c r="T186" s="280"/>
      <c r="U186" s="280"/>
      <c r="V186" s="280"/>
      <c r="W186" s="79"/>
    </row>
    <row r="187" spans="1:23" ht="15.75">
      <c r="A187" s="2080"/>
      <c r="B187" s="705"/>
      <c r="C187" s="90"/>
      <c r="D187" s="2081"/>
      <c r="E187" s="2082"/>
      <c r="F187" s="1954"/>
      <c r="G187" s="90"/>
      <c r="H187" s="90"/>
      <c r="I187" s="90"/>
      <c r="J187" s="90"/>
      <c r="K187" s="90"/>
      <c r="L187" s="90"/>
      <c r="M187" s="1956"/>
      <c r="N187" s="643"/>
      <c r="O187" s="2083"/>
      <c r="P187" s="643"/>
      <c r="Q187" s="643"/>
      <c r="R187" s="280"/>
      <c r="S187" s="280"/>
      <c r="T187" s="280"/>
      <c r="U187" s="280"/>
      <c r="V187" s="280"/>
      <c r="W187" s="79"/>
    </row>
    <row r="188" spans="1:23" ht="15.75">
      <c r="A188" s="2080"/>
      <c r="B188" s="705"/>
      <c r="C188" s="90"/>
      <c r="D188" s="2081"/>
      <c r="E188" s="2082"/>
      <c r="F188" s="1954"/>
      <c r="G188" s="90"/>
      <c r="H188" s="90"/>
      <c r="I188" s="90"/>
      <c r="J188" s="90"/>
      <c r="K188" s="90"/>
      <c r="L188" s="90"/>
      <c r="M188" s="1956"/>
      <c r="N188" s="643"/>
      <c r="O188" s="2083"/>
      <c r="P188" s="643"/>
      <c r="Q188" s="643"/>
      <c r="R188" s="280"/>
      <c r="S188" s="280"/>
      <c r="T188" s="280"/>
      <c r="U188" s="280"/>
      <c r="V188" s="280"/>
      <c r="W188" s="79"/>
    </row>
    <row r="189" spans="1:23" ht="15.75">
      <c r="A189" s="2080"/>
      <c r="B189" s="705"/>
      <c r="C189" s="90"/>
      <c r="D189" s="2081"/>
      <c r="E189" s="2082"/>
      <c r="F189" s="1954"/>
      <c r="G189" s="90"/>
      <c r="H189" s="90"/>
      <c r="I189" s="90"/>
      <c r="J189" s="90"/>
      <c r="K189" s="90"/>
      <c r="L189" s="90"/>
      <c r="M189" s="1956"/>
      <c r="N189" s="643"/>
      <c r="O189" s="2083"/>
      <c r="P189" s="643"/>
      <c r="Q189" s="643"/>
      <c r="R189" s="280"/>
      <c r="S189" s="280"/>
      <c r="T189" s="280"/>
      <c r="U189" s="280"/>
      <c r="V189" s="280"/>
      <c r="W189" s="79"/>
    </row>
    <row r="190" spans="1:23" ht="15.75">
      <c r="A190" s="2080"/>
      <c r="B190" s="705"/>
      <c r="C190" s="90"/>
      <c r="D190" s="2081"/>
      <c r="E190" s="2082"/>
      <c r="F190" s="1954"/>
      <c r="G190" s="90"/>
      <c r="H190" s="90"/>
      <c r="I190" s="90"/>
      <c r="J190" s="90"/>
      <c r="K190" s="90"/>
      <c r="L190" s="90"/>
      <c r="M190" s="1956"/>
      <c r="N190" s="643"/>
      <c r="O190" s="2083"/>
      <c r="P190" s="643"/>
      <c r="Q190" s="643"/>
      <c r="R190" s="280"/>
      <c r="S190" s="280"/>
      <c r="T190" s="280"/>
      <c r="U190" s="280"/>
      <c r="V190" s="280"/>
      <c r="W190" s="79"/>
    </row>
    <row r="191" spans="1:23" ht="15.75">
      <c r="A191" s="2080"/>
      <c r="B191" s="705"/>
      <c r="C191" s="90"/>
      <c r="D191" s="2081"/>
      <c r="E191" s="2082"/>
      <c r="F191" s="1954"/>
      <c r="G191" s="90"/>
      <c r="H191" s="90"/>
      <c r="I191" s="90"/>
      <c r="J191" s="90"/>
      <c r="K191" s="90"/>
      <c r="L191" s="90"/>
      <c r="M191" s="1956"/>
      <c r="N191" s="643"/>
      <c r="O191" s="2083"/>
      <c r="P191" s="643"/>
      <c r="Q191" s="643"/>
      <c r="R191" s="280"/>
      <c r="S191" s="280"/>
      <c r="T191" s="280"/>
      <c r="U191" s="280"/>
      <c r="V191" s="280"/>
      <c r="W191" s="79"/>
    </row>
    <row r="192" spans="1:23" ht="15.75">
      <c r="A192" s="2080"/>
      <c r="B192" s="705"/>
      <c r="C192" s="90"/>
      <c r="D192" s="2081"/>
      <c r="E192" s="2082"/>
      <c r="F192" s="1954"/>
      <c r="G192" s="90"/>
      <c r="H192" s="90"/>
      <c r="I192" s="90"/>
      <c r="J192" s="90"/>
      <c r="K192" s="90"/>
      <c r="L192" s="90"/>
      <c r="M192" s="1956"/>
      <c r="N192" s="643"/>
      <c r="O192" s="2083"/>
      <c r="P192" s="643"/>
      <c r="Q192" s="643"/>
      <c r="R192" s="280"/>
      <c r="S192" s="280"/>
      <c r="T192" s="280"/>
      <c r="U192" s="280"/>
      <c r="V192" s="280"/>
      <c r="W192" s="79"/>
    </row>
    <row r="193" spans="1:23" ht="15.75">
      <c r="A193" s="2080"/>
      <c r="B193" s="705"/>
      <c r="C193" s="90"/>
      <c r="D193" s="2081"/>
      <c r="E193" s="2082"/>
      <c r="F193" s="1954"/>
      <c r="G193" s="90"/>
      <c r="H193" s="90"/>
      <c r="I193" s="90"/>
      <c r="J193" s="90"/>
      <c r="K193" s="90"/>
      <c r="L193" s="90"/>
      <c r="M193" s="1956"/>
      <c r="N193" s="643"/>
      <c r="O193" s="2083"/>
      <c r="P193" s="643"/>
      <c r="Q193" s="643"/>
      <c r="R193" s="280"/>
      <c r="S193" s="280"/>
      <c r="T193" s="280"/>
      <c r="U193" s="280"/>
      <c r="V193" s="280"/>
      <c r="W193" s="79"/>
    </row>
    <row r="194" spans="1:23" ht="15.75">
      <c r="A194" s="2080"/>
      <c r="B194" s="705"/>
      <c r="C194" s="90"/>
      <c r="D194" s="2081"/>
      <c r="E194" s="2082"/>
      <c r="F194" s="1954"/>
      <c r="G194" s="90"/>
      <c r="H194" s="90"/>
      <c r="I194" s="90"/>
      <c r="J194" s="90"/>
      <c r="K194" s="90"/>
      <c r="L194" s="90"/>
      <c r="M194" s="1956"/>
      <c r="N194" s="643"/>
      <c r="O194" s="2083"/>
      <c r="P194" s="643"/>
      <c r="Q194" s="643"/>
      <c r="R194" s="280"/>
      <c r="S194" s="280"/>
      <c r="T194" s="280"/>
      <c r="U194" s="280"/>
      <c r="V194" s="280"/>
      <c r="W194" s="79"/>
    </row>
    <row r="195" spans="1:23" ht="15.75">
      <c r="A195" s="2080"/>
      <c r="B195" s="705"/>
      <c r="C195" s="90"/>
      <c r="D195" s="2081"/>
      <c r="E195" s="2082"/>
      <c r="F195" s="1954"/>
      <c r="G195" s="90"/>
      <c r="H195" s="90"/>
      <c r="I195" s="90"/>
      <c r="J195" s="90"/>
      <c r="K195" s="90"/>
      <c r="L195" s="90"/>
      <c r="M195" s="1956"/>
      <c r="N195" s="643"/>
      <c r="O195" s="2083"/>
      <c r="P195" s="643"/>
      <c r="Q195" s="643"/>
      <c r="R195" s="280"/>
      <c r="S195" s="280"/>
      <c r="T195" s="280"/>
      <c r="U195" s="280"/>
      <c r="V195" s="280"/>
      <c r="W195" s="79"/>
    </row>
    <row r="196" spans="1:23" ht="15.75">
      <c r="A196" s="2080"/>
      <c r="B196" s="705"/>
      <c r="C196" s="90"/>
      <c r="D196" s="2081"/>
      <c r="E196" s="2082"/>
      <c r="F196" s="1954"/>
      <c r="G196" s="90"/>
      <c r="H196" s="90"/>
      <c r="I196" s="90"/>
      <c r="J196" s="90"/>
      <c r="K196" s="90"/>
      <c r="L196" s="90"/>
      <c r="M196" s="1956"/>
      <c r="N196" s="643"/>
      <c r="O196" s="2083"/>
      <c r="P196" s="643"/>
      <c r="Q196" s="643"/>
      <c r="R196" s="280"/>
      <c r="S196" s="280"/>
      <c r="T196" s="280"/>
      <c r="U196" s="280"/>
      <c r="V196" s="280"/>
      <c r="W196" s="79"/>
    </row>
    <row r="197" spans="1:23" ht="15.75">
      <c r="A197" s="2080"/>
      <c r="B197" s="705"/>
      <c r="C197" s="90"/>
      <c r="D197" s="2081"/>
      <c r="E197" s="2082"/>
      <c r="F197" s="1954"/>
      <c r="G197" s="90"/>
      <c r="H197" s="90"/>
      <c r="I197" s="90"/>
      <c r="J197" s="90"/>
      <c r="K197" s="90"/>
      <c r="L197" s="90"/>
      <c r="M197" s="1956"/>
      <c r="N197" s="643"/>
      <c r="O197" s="2083"/>
      <c r="P197" s="643"/>
      <c r="Q197" s="643"/>
      <c r="R197" s="280"/>
      <c r="S197" s="280"/>
      <c r="T197" s="280"/>
      <c r="U197" s="280"/>
      <c r="V197" s="280"/>
      <c r="W197" s="79"/>
    </row>
    <row r="198" spans="1:23" ht="15.75">
      <c r="A198" s="2080"/>
      <c r="B198" s="705"/>
      <c r="C198" s="90"/>
      <c r="D198" s="2081"/>
      <c r="E198" s="2082"/>
      <c r="F198" s="1954"/>
      <c r="G198" s="90"/>
      <c r="H198" s="90"/>
      <c r="I198" s="90"/>
      <c r="J198" s="90"/>
      <c r="K198" s="90"/>
      <c r="L198" s="90"/>
      <c r="M198" s="1956"/>
      <c r="N198" s="643"/>
      <c r="O198" s="2083"/>
      <c r="P198" s="643"/>
      <c r="Q198" s="643"/>
      <c r="R198" s="280"/>
      <c r="S198" s="280"/>
      <c r="T198" s="280"/>
      <c r="U198" s="280"/>
      <c r="V198" s="280"/>
      <c r="W198" s="79"/>
    </row>
    <row r="199" spans="1:23" ht="15.75">
      <c r="A199" s="2080"/>
      <c r="B199" s="705"/>
      <c r="C199" s="90"/>
      <c r="D199" s="2081"/>
      <c r="E199" s="2082"/>
      <c r="F199" s="1954"/>
      <c r="G199" s="90"/>
      <c r="H199" s="90"/>
      <c r="I199" s="90"/>
      <c r="J199" s="90"/>
      <c r="K199" s="90"/>
      <c r="L199" s="90"/>
      <c r="M199" s="1956"/>
      <c r="N199" s="643"/>
      <c r="O199" s="2083"/>
      <c r="P199" s="643"/>
      <c r="Q199" s="643"/>
      <c r="R199" s="280"/>
      <c r="S199" s="280"/>
      <c r="T199" s="280"/>
      <c r="U199" s="280"/>
      <c r="V199" s="280"/>
      <c r="W199" s="79"/>
    </row>
    <row r="200" spans="1:23" ht="15.75">
      <c r="A200" s="2080"/>
      <c r="B200" s="705"/>
      <c r="C200" s="90"/>
      <c r="D200" s="2081"/>
      <c r="E200" s="2082"/>
      <c r="F200" s="1954"/>
      <c r="G200" s="90"/>
      <c r="H200" s="90"/>
      <c r="I200" s="90"/>
      <c r="J200" s="90"/>
      <c r="K200" s="90"/>
      <c r="L200" s="90"/>
      <c r="M200" s="1956"/>
      <c r="N200" s="643"/>
      <c r="O200" s="2083"/>
      <c r="P200" s="643"/>
      <c r="Q200" s="643"/>
      <c r="R200" s="280"/>
      <c r="S200" s="280"/>
      <c r="T200" s="280"/>
      <c r="U200" s="280"/>
      <c r="V200" s="280"/>
      <c r="W200" s="79"/>
    </row>
    <row r="201" spans="1:23" ht="15.75">
      <c r="A201" s="2080"/>
      <c r="B201" s="705"/>
      <c r="C201" s="90"/>
      <c r="D201" s="2081"/>
      <c r="E201" s="2082"/>
      <c r="F201" s="1954"/>
      <c r="G201" s="90"/>
      <c r="H201" s="90"/>
      <c r="I201" s="90"/>
      <c r="J201" s="90"/>
      <c r="K201" s="90"/>
      <c r="L201" s="90"/>
      <c r="M201" s="1956"/>
      <c r="N201" s="643"/>
      <c r="O201" s="2083"/>
      <c r="P201" s="643"/>
      <c r="Q201" s="643"/>
      <c r="R201" s="280"/>
      <c r="S201" s="280"/>
      <c r="T201" s="280"/>
      <c r="U201" s="280"/>
      <c r="V201" s="280"/>
      <c r="W201" s="79"/>
    </row>
    <row r="202" spans="1:23" ht="15.75">
      <c r="A202" s="2080"/>
      <c r="B202" s="705"/>
      <c r="C202" s="90"/>
      <c r="D202" s="2081"/>
      <c r="E202" s="2082"/>
      <c r="F202" s="1954"/>
      <c r="G202" s="90"/>
      <c r="H202" s="90"/>
      <c r="I202" s="90"/>
      <c r="J202" s="90"/>
      <c r="K202" s="90"/>
      <c r="L202" s="90"/>
      <c r="M202" s="1956"/>
      <c r="N202" s="643"/>
      <c r="O202" s="2083"/>
      <c r="P202" s="643"/>
      <c r="Q202" s="643"/>
      <c r="R202" s="280"/>
      <c r="S202" s="280"/>
      <c r="T202" s="280"/>
      <c r="U202" s="280"/>
      <c r="V202" s="280"/>
      <c r="W202" s="79"/>
    </row>
    <row r="203" spans="1:23" ht="15.75">
      <c r="A203" s="2080"/>
      <c r="B203" s="705"/>
      <c r="C203" s="90"/>
      <c r="D203" s="2081"/>
      <c r="E203" s="2082"/>
      <c r="F203" s="1954"/>
      <c r="G203" s="90"/>
      <c r="H203" s="90"/>
      <c r="I203" s="90"/>
      <c r="J203" s="90"/>
      <c r="K203" s="90"/>
      <c r="L203" s="90"/>
      <c r="M203" s="1956"/>
      <c r="N203" s="643"/>
      <c r="O203" s="2083"/>
      <c r="P203" s="643"/>
      <c r="Q203" s="643"/>
      <c r="R203" s="280"/>
      <c r="S203" s="280"/>
      <c r="T203" s="280"/>
      <c r="U203" s="280"/>
      <c r="V203" s="280"/>
      <c r="W203" s="79"/>
    </row>
    <row r="204" spans="1:23" ht="15.75">
      <c r="A204" s="2080"/>
      <c r="B204" s="705"/>
      <c r="C204" s="90"/>
      <c r="D204" s="2081"/>
      <c r="E204" s="2082"/>
      <c r="F204" s="1954"/>
      <c r="G204" s="90"/>
      <c r="H204" s="90"/>
      <c r="I204" s="90"/>
      <c r="J204" s="90"/>
      <c r="K204" s="90"/>
      <c r="L204" s="90"/>
      <c r="M204" s="1956"/>
      <c r="N204" s="643"/>
      <c r="O204" s="2083"/>
      <c r="P204" s="643"/>
      <c r="Q204" s="643"/>
      <c r="R204" s="280"/>
      <c r="S204" s="280"/>
      <c r="T204" s="280"/>
      <c r="U204" s="280"/>
      <c r="V204" s="280"/>
      <c r="W204" s="79"/>
    </row>
    <row r="205" spans="1:23" ht="15.75">
      <c r="A205" s="2080"/>
      <c r="B205" s="705"/>
      <c r="C205" s="90"/>
      <c r="D205" s="2081"/>
      <c r="E205" s="2082"/>
      <c r="F205" s="1954"/>
      <c r="G205" s="90"/>
      <c r="H205" s="90"/>
      <c r="I205" s="90"/>
      <c r="J205" s="90"/>
      <c r="K205" s="90"/>
      <c r="L205" s="90"/>
      <c r="M205" s="1956"/>
      <c r="N205" s="643"/>
      <c r="O205" s="2083"/>
      <c r="P205" s="643"/>
      <c r="Q205" s="643"/>
      <c r="R205" s="280"/>
      <c r="S205" s="280"/>
      <c r="T205" s="280"/>
      <c r="U205" s="280"/>
      <c r="V205" s="280"/>
      <c r="W205" s="79"/>
    </row>
    <row r="206" spans="1:23" ht="15.75">
      <c r="A206" s="2080"/>
      <c r="B206" s="705"/>
      <c r="C206" s="90"/>
      <c r="D206" s="2081"/>
      <c r="E206" s="2082"/>
      <c r="F206" s="1954"/>
      <c r="G206" s="90"/>
      <c r="H206" s="90"/>
      <c r="I206" s="90"/>
      <c r="J206" s="90"/>
      <c r="K206" s="90"/>
      <c r="L206" s="90"/>
      <c r="M206" s="1956"/>
      <c r="N206" s="643"/>
      <c r="O206" s="2083"/>
      <c r="P206" s="643"/>
      <c r="Q206" s="643"/>
      <c r="R206" s="280"/>
      <c r="S206" s="280"/>
      <c r="T206" s="280"/>
      <c r="U206" s="280"/>
      <c r="V206" s="280"/>
      <c r="W206" s="79"/>
    </row>
    <row r="207" spans="1:23" ht="15.75">
      <c r="A207" s="2080"/>
      <c r="B207" s="705"/>
      <c r="C207" s="90"/>
      <c r="D207" s="2081"/>
      <c r="E207" s="2082"/>
      <c r="F207" s="1954"/>
      <c r="G207" s="90"/>
      <c r="H207" s="90"/>
      <c r="I207" s="90"/>
      <c r="J207" s="90"/>
      <c r="K207" s="90"/>
      <c r="L207" s="90"/>
      <c r="M207" s="1956"/>
      <c r="N207" s="643"/>
      <c r="O207" s="2083"/>
      <c r="P207" s="643"/>
      <c r="Q207" s="643"/>
      <c r="R207" s="280"/>
      <c r="S207" s="280"/>
      <c r="T207" s="280"/>
      <c r="U207" s="280"/>
      <c r="V207" s="280"/>
      <c r="W207" s="79"/>
    </row>
    <row r="208" spans="1:23" ht="15.75">
      <c r="A208" s="2080"/>
      <c r="B208" s="705"/>
      <c r="C208" s="90"/>
      <c r="D208" s="2081"/>
      <c r="E208" s="2082"/>
      <c r="F208" s="1954"/>
      <c r="G208" s="90"/>
      <c r="H208" s="90"/>
      <c r="I208" s="90"/>
      <c r="J208" s="90"/>
      <c r="K208" s="90"/>
      <c r="L208" s="90"/>
      <c r="M208" s="1956"/>
      <c r="N208" s="643"/>
      <c r="O208" s="2083"/>
      <c r="P208" s="643"/>
      <c r="Q208" s="643"/>
      <c r="R208" s="280"/>
      <c r="S208" s="280"/>
      <c r="T208" s="280"/>
      <c r="U208" s="280"/>
      <c r="V208" s="280"/>
      <c r="W208" s="79"/>
    </row>
    <row r="209" spans="1:23" ht="15.75">
      <c r="A209" s="2080"/>
      <c r="B209" s="705"/>
      <c r="C209" s="90"/>
      <c r="D209" s="2081"/>
      <c r="E209" s="2082"/>
      <c r="F209" s="1954"/>
      <c r="G209" s="90"/>
      <c r="H209" s="90"/>
      <c r="I209" s="90"/>
      <c r="J209" s="90"/>
      <c r="K209" s="90"/>
      <c r="L209" s="90"/>
      <c r="M209" s="1956"/>
      <c r="N209" s="643"/>
      <c r="O209" s="2083"/>
      <c r="P209" s="643"/>
      <c r="Q209" s="643"/>
      <c r="R209" s="280"/>
      <c r="S209" s="280"/>
      <c r="T209" s="280"/>
      <c r="U209" s="280"/>
      <c r="V209" s="280"/>
      <c r="W209" s="79"/>
    </row>
    <row r="210" spans="1:23" ht="15.75">
      <c r="A210" s="2080"/>
      <c r="B210" s="705"/>
      <c r="C210" s="90"/>
      <c r="D210" s="2081"/>
      <c r="E210" s="2082"/>
      <c r="F210" s="1954"/>
      <c r="G210" s="90"/>
      <c r="H210" s="90"/>
      <c r="I210" s="90"/>
      <c r="J210" s="90"/>
      <c r="K210" s="90"/>
      <c r="L210" s="90"/>
      <c r="M210" s="1956"/>
      <c r="N210" s="643"/>
      <c r="O210" s="2083"/>
      <c r="P210" s="643"/>
      <c r="Q210" s="643"/>
      <c r="R210" s="280"/>
      <c r="S210" s="280"/>
      <c r="T210" s="280"/>
      <c r="U210" s="280"/>
      <c r="V210" s="280"/>
      <c r="W210" s="79"/>
    </row>
    <row r="211" spans="1:23" ht="15.75">
      <c r="A211" s="2080"/>
      <c r="B211" s="705"/>
      <c r="C211" s="90"/>
      <c r="D211" s="2081"/>
      <c r="E211" s="2082"/>
      <c r="F211" s="1954"/>
      <c r="G211" s="90"/>
      <c r="H211" s="90"/>
      <c r="I211" s="90"/>
      <c r="J211" s="90"/>
      <c r="K211" s="90"/>
      <c r="L211" s="90"/>
      <c r="M211" s="1956"/>
      <c r="N211" s="643"/>
      <c r="O211" s="2083"/>
      <c r="P211" s="643"/>
      <c r="Q211" s="643"/>
      <c r="R211" s="280"/>
      <c r="S211" s="280"/>
      <c r="T211" s="280"/>
      <c r="U211" s="280"/>
      <c r="V211" s="280"/>
      <c r="W211" s="79"/>
    </row>
    <row r="212" spans="1:23" ht="15.75">
      <c r="A212" s="2080"/>
      <c r="B212" s="705"/>
      <c r="C212" s="90"/>
      <c r="D212" s="2081"/>
      <c r="E212" s="2082"/>
      <c r="F212" s="1954"/>
      <c r="G212" s="90"/>
      <c r="H212" s="90"/>
      <c r="I212" s="90"/>
      <c r="J212" s="90"/>
      <c r="K212" s="90"/>
      <c r="L212" s="90"/>
      <c r="M212" s="1956"/>
      <c r="N212" s="643"/>
      <c r="O212" s="2083"/>
      <c r="P212" s="643"/>
      <c r="Q212" s="643"/>
      <c r="R212" s="280"/>
      <c r="S212" s="280"/>
      <c r="T212" s="280"/>
      <c r="U212" s="280"/>
      <c r="V212" s="280"/>
      <c r="W212" s="79"/>
    </row>
    <row r="213" spans="1:23" ht="15.75">
      <c r="A213" s="2080"/>
      <c r="B213" s="705"/>
      <c r="C213" s="90"/>
      <c r="D213" s="2081"/>
      <c r="E213" s="2082"/>
      <c r="F213" s="1954"/>
      <c r="G213" s="90"/>
      <c r="H213" s="90"/>
      <c r="I213" s="90"/>
      <c r="J213" s="90"/>
      <c r="K213" s="90"/>
      <c r="L213" s="90"/>
      <c r="M213" s="1956"/>
      <c r="N213" s="643"/>
      <c r="O213" s="2083"/>
      <c r="P213" s="643"/>
      <c r="Q213" s="643"/>
      <c r="R213" s="280"/>
      <c r="S213" s="280"/>
      <c r="T213" s="280"/>
      <c r="U213" s="280"/>
      <c r="V213" s="280"/>
      <c r="W213" s="79"/>
    </row>
    <row r="214" spans="1:23" ht="15.75">
      <c r="A214" s="2080"/>
      <c r="B214" s="705"/>
      <c r="C214" s="90"/>
      <c r="D214" s="2081"/>
      <c r="E214" s="2082"/>
      <c r="F214" s="1954"/>
      <c r="G214" s="90"/>
      <c r="H214" s="90"/>
      <c r="I214" s="90"/>
      <c r="J214" s="90"/>
      <c r="K214" s="90"/>
      <c r="L214" s="90"/>
      <c r="M214" s="1956"/>
      <c r="N214" s="643"/>
      <c r="O214" s="2083"/>
      <c r="P214" s="643"/>
      <c r="Q214" s="643"/>
      <c r="R214" s="280"/>
      <c r="S214" s="280"/>
      <c r="T214" s="280"/>
      <c r="U214" s="280"/>
      <c r="V214" s="280"/>
      <c r="W214" s="79"/>
    </row>
    <row r="215" spans="1:23" ht="15.75">
      <c r="A215" s="2080"/>
      <c r="B215" s="705"/>
      <c r="C215" s="90"/>
      <c r="D215" s="2081"/>
      <c r="E215" s="2082"/>
      <c r="F215" s="1954"/>
      <c r="G215" s="90"/>
      <c r="H215" s="90"/>
      <c r="I215" s="90"/>
      <c r="J215" s="90"/>
      <c r="K215" s="90"/>
      <c r="L215" s="90"/>
      <c r="M215" s="1956"/>
      <c r="N215" s="643"/>
      <c r="O215" s="2083"/>
      <c r="P215" s="643"/>
      <c r="Q215" s="643"/>
      <c r="R215" s="280"/>
      <c r="S215" s="280"/>
      <c r="T215" s="280"/>
      <c r="U215" s="280"/>
      <c r="V215" s="280"/>
      <c r="W215" s="79"/>
    </row>
    <row r="216" spans="1:23" ht="15.75">
      <c r="A216" s="2080"/>
      <c r="B216" s="705"/>
      <c r="C216" s="90"/>
      <c r="D216" s="2081"/>
      <c r="E216" s="2082"/>
      <c r="F216" s="1954"/>
      <c r="G216" s="90"/>
      <c r="H216" s="90"/>
      <c r="I216" s="90"/>
      <c r="J216" s="90"/>
      <c r="K216" s="90"/>
      <c r="L216" s="90"/>
      <c r="M216" s="1956"/>
      <c r="N216" s="643"/>
      <c r="O216" s="2083"/>
      <c r="P216" s="643"/>
      <c r="Q216" s="643"/>
      <c r="R216" s="280"/>
      <c r="S216" s="280"/>
      <c r="T216" s="280"/>
      <c r="U216" s="280"/>
      <c r="V216" s="280"/>
      <c r="W216" s="79"/>
    </row>
    <row r="217" spans="1:23" ht="15.75">
      <c r="A217" s="2080"/>
      <c r="B217" s="705"/>
      <c r="C217" s="90"/>
      <c r="D217" s="2081"/>
      <c r="E217" s="2082"/>
      <c r="F217" s="1954"/>
      <c r="G217" s="90"/>
      <c r="H217" s="90"/>
      <c r="I217" s="90"/>
      <c r="J217" s="90"/>
      <c r="K217" s="90"/>
      <c r="L217" s="90"/>
      <c r="M217" s="1956"/>
      <c r="N217" s="643"/>
      <c r="O217" s="2083"/>
      <c r="P217" s="643"/>
      <c r="Q217" s="643"/>
      <c r="R217" s="280"/>
      <c r="S217" s="280"/>
      <c r="T217" s="280"/>
      <c r="U217" s="280"/>
      <c r="V217" s="280"/>
      <c r="W217" s="79"/>
    </row>
    <row r="218" spans="1:23" ht="15.75">
      <c r="A218" s="2080"/>
      <c r="B218" s="705"/>
      <c r="C218" s="90"/>
      <c r="D218" s="2081"/>
      <c r="E218" s="2082"/>
      <c r="F218" s="1954"/>
      <c r="G218" s="90"/>
      <c r="H218" s="90"/>
      <c r="I218" s="90"/>
      <c r="J218" s="90"/>
      <c r="K218" s="90"/>
      <c r="L218" s="90"/>
      <c r="M218" s="1956"/>
      <c r="N218" s="643"/>
      <c r="O218" s="2083"/>
      <c r="P218" s="643"/>
      <c r="Q218" s="643"/>
      <c r="R218" s="280"/>
      <c r="S218" s="280"/>
      <c r="T218" s="280"/>
      <c r="U218" s="280"/>
      <c r="V218" s="280"/>
      <c r="W218" s="79"/>
    </row>
    <row r="219" spans="1:23" ht="15.75">
      <c r="A219" s="2080"/>
      <c r="B219" s="705"/>
      <c r="C219" s="90"/>
      <c r="D219" s="2081"/>
      <c r="E219" s="2082"/>
      <c r="F219" s="1954"/>
      <c r="G219" s="90"/>
      <c r="H219" s="90"/>
      <c r="I219" s="90"/>
      <c r="J219" s="90"/>
      <c r="K219" s="90"/>
      <c r="L219" s="90"/>
      <c r="M219" s="1956"/>
      <c r="N219" s="643"/>
      <c r="O219" s="2083"/>
      <c r="P219" s="643"/>
      <c r="Q219" s="643"/>
      <c r="R219" s="280"/>
      <c r="S219" s="280"/>
      <c r="T219" s="280"/>
      <c r="U219" s="280"/>
      <c r="V219" s="280"/>
      <c r="W219" s="79"/>
    </row>
    <row r="220" spans="1:23" ht="15.75">
      <c r="A220" s="2080"/>
      <c r="B220" s="705"/>
      <c r="C220" s="90"/>
      <c r="D220" s="2081"/>
      <c r="E220" s="2082"/>
      <c r="F220" s="1954"/>
      <c r="G220" s="90"/>
      <c r="H220" s="90"/>
      <c r="I220" s="90"/>
      <c r="J220" s="90"/>
      <c r="K220" s="90"/>
      <c r="L220" s="90"/>
      <c r="M220" s="1956"/>
      <c r="N220" s="643"/>
      <c r="O220" s="2083"/>
      <c r="P220" s="643"/>
      <c r="Q220" s="643"/>
      <c r="R220" s="280"/>
      <c r="S220" s="280"/>
      <c r="T220" s="280"/>
      <c r="U220" s="280"/>
      <c r="V220" s="280"/>
      <c r="W220" s="79"/>
    </row>
    <row r="221" spans="1:23" ht="15.75">
      <c r="A221" s="2080"/>
      <c r="B221" s="705"/>
      <c r="C221" s="90"/>
      <c r="D221" s="2081"/>
      <c r="E221" s="2082"/>
      <c r="F221" s="1954"/>
      <c r="G221" s="90"/>
      <c r="H221" s="90"/>
      <c r="I221" s="90"/>
      <c r="J221" s="90"/>
      <c r="K221" s="90"/>
      <c r="L221" s="90"/>
      <c r="M221" s="1956"/>
      <c r="N221" s="643"/>
      <c r="O221" s="2083"/>
      <c r="P221" s="643"/>
      <c r="Q221" s="643"/>
      <c r="R221" s="280"/>
      <c r="S221" s="280"/>
      <c r="T221" s="280"/>
      <c r="U221" s="280"/>
      <c r="V221" s="280"/>
      <c r="W221" s="79"/>
    </row>
    <row r="222" spans="1:23" ht="15.75">
      <c r="A222" s="2080"/>
      <c r="B222" s="705"/>
      <c r="C222" s="90"/>
      <c r="D222" s="2081"/>
      <c r="E222" s="2082"/>
      <c r="F222" s="1954"/>
      <c r="G222" s="90"/>
      <c r="H222" s="90"/>
      <c r="I222" s="90"/>
      <c r="J222" s="90"/>
      <c r="K222" s="90"/>
      <c r="L222" s="90"/>
      <c r="M222" s="1956"/>
      <c r="N222" s="643"/>
      <c r="O222" s="2083"/>
      <c r="P222" s="643"/>
      <c r="Q222" s="643"/>
      <c r="R222" s="280"/>
      <c r="S222" s="280"/>
      <c r="T222" s="280"/>
      <c r="U222" s="280"/>
      <c r="V222" s="280"/>
      <c r="W222" s="79"/>
    </row>
    <row r="223" spans="1:23" ht="15.75">
      <c r="A223" s="2080"/>
      <c r="B223" s="705"/>
      <c r="C223" s="90"/>
      <c r="D223" s="2081"/>
      <c r="E223" s="2082"/>
      <c r="F223" s="1954"/>
      <c r="G223" s="90"/>
      <c r="H223" s="90"/>
      <c r="I223" s="90"/>
      <c r="J223" s="90"/>
      <c r="K223" s="90"/>
      <c r="L223" s="90"/>
      <c r="M223" s="1956"/>
      <c r="N223" s="643"/>
      <c r="O223" s="2083"/>
      <c r="P223" s="643"/>
      <c r="Q223" s="643"/>
      <c r="R223" s="280"/>
      <c r="S223" s="280"/>
      <c r="T223" s="280"/>
      <c r="U223" s="280"/>
      <c r="V223" s="280"/>
      <c r="W223" s="79"/>
    </row>
    <row r="224" spans="1:23" ht="15.75">
      <c r="A224" s="2080"/>
      <c r="B224" s="705"/>
      <c r="C224" s="90"/>
      <c r="D224" s="2081"/>
      <c r="E224" s="2082"/>
      <c r="F224" s="1954"/>
      <c r="G224" s="90"/>
      <c r="H224" s="90"/>
      <c r="I224" s="90"/>
      <c r="J224" s="90"/>
      <c r="K224" s="90"/>
      <c r="L224" s="90"/>
      <c r="M224" s="1956"/>
      <c r="N224" s="643"/>
      <c r="O224" s="2083"/>
      <c r="P224" s="643"/>
      <c r="Q224" s="643"/>
      <c r="R224" s="280"/>
      <c r="S224" s="280"/>
      <c r="T224" s="280"/>
      <c r="U224" s="280"/>
      <c r="V224" s="280"/>
      <c r="W224" s="79"/>
    </row>
    <row r="225" spans="1:23" ht="15.75">
      <c r="A225" s="2080"/>
      <c r="B225" s="705"/>
      <c r="C225" s="90"/>
      <c r="D225" s="2081"/>
      <c r="E225" s="2082"/>
      <c r="F225" s="1954"/>
      <c r="G225" s="90"/>
      <c r="H225" s="90"/>
      <c r="I225" s="90"/>
      <c r="J225" s="90"/>
      <c r="K225" s="90"/>
      <c r="L225" s="90"/>
      <c r="M225" s="1956"/>
      <c r="N225" s="643"/>
      <c r="O225" s="2083"/>
      <c r="P225" s="643"/>
      <c r="Q225" s="643"/>
      <c r="R225" s="280"/>
      <c r="S225" s="280"/>
      <c r="T225" s="280"/>
      <c r="U225" s="280"/>
      <c r="V225" s="280"/>
      <c r="W225" s="79"/>
    </row>
    <row r="226" spans="1:23" ht="15.75">
      <c r="A226" s="2080"/>
      <c r="B226" s="705"/>
      <c r="C226" s="90"/>
      <c r="D226" s="2081"/>
      <c r="E226" s="2082"/>
      <c r="F226" s="1954"/>
      <c r="G226" s="90"/>
      <c r="H226" s="90"/>
      <c r="I226" s="90"/>
      <c r="J226" s="90"/>
      <c r="K226" s="90"/>
      <c r="L226" s="90"/>
      <c r="M226" s="1956"/>
      <c r="N226" s="643"/>
      <c r="O226" s="2083"/>
      <c r="P226" s="643"/>
      <c r="Q226" s="643"/>
      <c r="R226" s="280"/>
      <c r="S226" s="280"/>
      <c r="T226" s="280"/>
      <c r="U226" s="280"/>
      <c r="V226" s="280"/>
      <c r="W226" s="79"/>
    </row>
    <row r="227" spans="1:23" ht="15.75">
      <c r="A227" s="2080"/>
      <c r="B227" s="705"/>
      <c r="C227" s="90"/>
      <c r="D227" s="2081"/>
      <c r="E227" s="2082"/>
      <c r="F227" s="1954"/>
      <c r="G227" s="90"/>
      <c r="H227" s="90"/>
      <c r="I227" s="90"/>
      <c r="J227" s="90"/>
      <c r="K227" s="90"/>
      <c r="L227" s="90"/>
      <c r="M227" s="1956"/>
      <c r="N227" s="643"/>
      <c r="O227" s="2083"/>
      <c r="P227" s="643"/>
      <c r="Q227" s="643"/>
      <c r="R227" s="280"/>
      <c r="S227" s="280"/>
      <c r="T227" s="280"/>
      <c r="U227" s="280"/>
      <c r="V227" s="280"/>
      <c r="W227" s="79"/>
    </row>
    <row r="228" spans="1:23" ht="15.75">
      <c r="A228" s="2080"/>
      <c r="B228" s="705"/>
      <c r="C228" s="90"/>
      <c r="D228" s="2081"/>
      <c r="E228" s="2082"/>
      <c r="F228" s="1954"/>
      <c r="G228" s="90"/>
      <c r="H228" s="90"/>
      <c r="I228" s="90"/>
      <c r="J228" s="90"/>
      <c r="K228" s="90"/>
      <c r="L228" s="90"/>
      <c r="M228" s="1956"/>
      <c r="N228" s="643"/>
      <c r="O228" s="2083"/>
      <c r="P228" s="643"/>
      <c r="Q228" s="643"/>
      <c r="R228" s="280"/>
      <c r="S228" s="280"/>
      <c r="T228" s="280"/>
      <c r="U228" s="280"/>
      <c r="V228" s="280"/>
      <c r="W228" s="79"/>
    </row>
    <row r="229" spans="1:23" ht="15.75">
      <c r="A229" s="2080"/>
      <c r="B229" s="705"/>
      <c r="C229" s="90"/>
      <c r="D229" s="2081"/>
      <c r="E229" s="2082"/>
      <c r="F229" s="1954"/>
      <c r="G229" s="90"/>
      <c r="H229" s="90"/>
      <c r="I229" s="90"/>
      <c r="J229" s="90"/>
      <c r="K229" s="90"/>
      <c r="L229" s="90"/>
      <c r="M229" s="1956"/>
      <c r="N229" s="643"/>
      <c r="O229" s="2083"/>
      <c r="P229" s="643"/>
      <c r="Q229" s="643"/>
      <c r="R229" s="280"/>
      <c r="S229" s="280"/>
      <c r="T229" s="280"/>
      <c r="U229" s="280"/>
      <c r="V229" s="280"/>
      <c r="W229" s="79"/>
    </row>
    <row r="230" spans="1:23" ht="15.75">
      <c r="A230" s="2080"/>
      <c r="B230" s="705"/>
      <c r="C230" s="90"/>
      <c r="D230" s="2081"/>
      <c r="E230" s="2082"/>
      <c r="F230" s="1954"/>
      <c r="G230" s="90"/>
      <c r="H230" s="90"/>
      <c r="I230" s="90"/>
      <c r="J230" s="90"/>
      <c r="K230" s="90"/>
      <c r="L230" s="90"/>
      <c r="M230" s="1956"/>
      <c r="N230" s="643"/>
      <c r="O230" s="2083"/>
      <c r="P230" s="643"/>
      <c r="Q230" s="643"/>
      <c r="R230" s="280"/>
      <c r="S230" s="280"/>
      <c r="T230" s="280"/>
      <c r="U230" s="280"/>
      <c r="V230" s="280"/>
      <c r="W230" s="79"/>
    </row>
    <row r="231" spans="1:23" ht="15.75">
      <c r="A231" s="2080"/>
      <c r="B231" s="705"/>
      <c r="C231" s="90"/>
      <c r="D231" s="2081"/>
      <c r="E231" s="2082"/>
      <c r="F231" s="1954"/>
      <c r="G231" s="90"/>
      <c r="H231" s="90"/>
      <c r="I231" s="90"/>
      <c r="J231" s="90"/>
      <c r="K231" s="90"/>
      <c r="L231" s="90"/>
      <c r="M231" s="1956"/>
      <c r="N231" s="643"/>
      <c r="O231" s="2083"/>
      <c r="P231" s="643"/>
      <c r="Q231" s="643"/>
      <c r="R231" s="280"/>
      <c r="S231" s="280"/>
      <c r="T231" s="280"/>
      <c r="U231" s="280"/>
      <c r="V231" s="280"/>
      <c r="W231" s="79"/>
    </row>
    <row r="232" spans="1:23" ht="15.75">
      <c r="A232" s="2080"/>
      <c r="B232" s="705"/>
      <c r="C232" s="90"/>
      <c r="D232" s="2081"/>
      <c r="E232" s="2082"/>
      <c r="F232" s="1954"/>
      <c r="G232" s="90"/>
      <c r="H232" s="90"/>
      <c r="I232" s="90"/>
      <c r="J232" s="90"/>
      <c r="K232" s="90"/>
      <c r="L232" s="90"/>
      <c r="M232" s="1956"/>
      <c r="N232" s="643"/>
      <c r="O232" s="2083"/>
      <c r="P232" s="643"/>
      <c r="Q232" s="643"/>
      <c r="R232" s="280"/>
      <c r="S232" s="280"/>
      <c r="T232" s="280"/>
      <c r="U232" s="280"/>
      <c r="V232" s="280"/>
      <c r="W232" s="79"/>
    </row>
    <row r="233" spans="1:23" ht="15.75">
      <c r="A233" s="2080"/>
      <c r="B233" s="705"/>
      <c r="C233" s="90"/>
      <c r="D233" s="2081"/>
      <c r="E233" s="2082"/>
      <c r="F233" s="1954"/>
      <c r="G233" s="90"/>
      <c r="H233" s="90"/>
      <c r="I233" s="90"/>
      <c r="J233" s="90"/>
      <c r="K233" s="90"/>
      <c r="L233" s="90"/>
      <c r="M233" s="1956"/>
      <c r="N233" s="643"/>
      <c r="O233" s="2083"/>
      <c r="P233" s="643"/>
      <c r="Q233" s="643"/>
      <c r="R233" s="280"/>
      <c r="S233" s="280"/>
      <c r="T233" s="280"/>
      <c r="U233" s="280"/>
      <c r="V233" s="280"/>
      <c r="W233" s="79"/>
    </row>
    <row r="234" spans="1:23" ht="15.75">
      <c r="A234" s="2080"/>
      <c r="B234" s="705"/>
      <c r="C234" s="90"/>
      <c r="D234" s="2081"/>
      <c r="E234" s="2082"/>
      <c r="F234" s="1954"/>
      <c r="G234" s="90"/>
      <c r="H234" s="90"/>
      <c r="I234" s="90"/>
      <c r="J234" s="90"/>
      <c r="K234" s="90"/>
      <c r="L234" s="90"/>
      <c r="M234" s="1956"/>
      <c r="N234" s="643"/>
      <c r="O234" s="2083"/>
      <c r="P234" s="643"/>
      <c r="Q234" s="643"/>
      <c r="R234" s="280"/>
      <c r="S234" s="280"/>
      <c r="T234" s="280"/>
      <c r="U234" s="280"/>
      <c r="V234" s="280"/>
      <c r="W234" s="79"/>
    </row>
    <row r="235" spans="1:23" ht="15.75">
      <c r="A235" s="2080"/>
      <c r="B235" s="705"/>
      <c r="C235" s="90"/>
      <c r="D235" s="2081"/>
      <c r="E235" s="2082"/>
      <c r="F235" s="1954"/>
      <c r="G235" s="90"/>
      <c r="H235" s="90"/>
      <c r="I235" s="90"/>
      <c r="J235" s="90"/>
      <c r="K235" s="90"/>
      <c r="L235" s="90"/>
      <c r="M235" s="1956"/>
      <c r="N235" s="643"/>
      <c r="O235" s="2083"/>
      <c r="P235" s="643"/>
      <c r="Q235" s="643"/>
      <c r="R235" s="280"/>
      <c r="S235" s="280"/>
      <c r="T235" s="280"/>
      <c r="U235" s="280"/>
      <c r="V235" s="280"/>
      <c r="W235" s="79"/>
    </row>
    <row r="236" spans="1:23" ht="15.75">
      <c r="A236" s="2080"/>
      <c r="B236" s="705"/>
      <c r="C236" s="90"/>
      <c r="D236" s="2081"/>
      <c r="E236" s="2082"/>
      <c r="F236" s="1954"/>
      <c r="G236" s="90"/>
      <c r="H236" s="90"/>
      <c r="I236" s="90"/>
      <c r="J236" s="90"/>
      <c r="K236" s="90"/>
      <c r="L236" s="90"/>
      <c r="M236" s="1956"/>
      <c r="N236" s="643"/>
      <c r="O236" s="2083"/>
      <c r="P236" s="643"/>
      <c r="Q236" s="643"/>
      <c r="R236" s="280"/>
      <c r="S236" s="280"/>
      <c r="T236" s="280"/>
      <c r="U236" s="280"/>
      <c r="V236" s="280"/>
      <c r="W236" s="79"/>
    </row>
    <row r="237" spans="1:23" ht="15.75">
      <c r="A237" s="2080"/>
      <c r="B237" s="705"/>
      <c r="C237" s="90"/>
      <c r="D237" s="2081"/>
      <c r="E237" s="2082"/>
      <c r="F237" s="1954"/>
      <c r="G237" s="90"/>
      <c r="H237" s="90"/>
      <c r="I237" s="90"/>
      <c r="J237" s="90"/>
      <c r="K237" s="90"/>
      <c r="L237" s="90"/>
      <c r="M237" s="1956"/>
      <c r="N237" s="643"/>
      <c r="O237" s="2083"/>
      <c r="P237" s="643"/>
      <c r="Q237" s="643"/>
      <c r="R237" s="280"/>
      <c r="S237" s="280"/>
      <c r="T237" s="280"/>
      <c r="U237" s="280"/>
      <c r="V237" s="280"/>
      <c r="W237" s="79"/>
    </row>
    <row r="238" spans="1:23" ht="15.75">
      <c r="A238" s="2080"/>
      <c r="B238" s="705"/>
      <c r="C238" s="90"/>
      <c r="D238" s="2081"/>
      <c r="E238" s="2082"/>
      <c r="F238" s="1954"/>
      <c r="G238" s="90"/>
      <c r="H238" s="90"/>
      <c r="I238" s="90"/>
      <c r="J238" s="90"/>
      <c r="K238" s="90"/>
      <c r="L238" s="90"/>
      <c r="M238" s="1956"/>
      <c r="N238" s="643"/>
      <c r="O238" s="2083"/>
      <c r="P238" s="643"/>
      <c r="Q238" s="643"/>
      <c r="R238" s="280"/>
      <c r="S238" s="280"/>
      <c r="T238" s="280"/>
      <c r="U238" s="280"/>
      <c r="V238" s="280"/>
      <c r="W238" s="79"/>
    </row>
    <row r="239" spans="1:23" ht="15.75">
      <c r="A239" s="2080"/>
      <c r="B239" s="705"/>
      <c r="C239" s="90"/>
      <c r="D239" s="2081"/>
      <c r="E239" s="2082"/>
      <c r="F239" s="1954"/>
      <c r="G239" s="90"/>
      <c r="H239" s="90"/>
      <c r="I239" s="90"/>
      <c r="J239" s="90"/>
      <c r="K239" s="90"/>
      <c r="L239" s="90"/>
      <c r="M239" s="1956"/>
      <c r="N239" s="643"/>
      <c r="O239" s="2083"/>
      <c r="P239" s="643"/>
      <c r="Q239" s="643"/>
      <c r="R239" s="280"/>
      <c r="S239" s="280"/>
      <c r="T239" s="280"/>
      <c r="U239" s="280"/>
      <c r="V239" s="280"/>
      <c r="W239" s="79"/>
    </row>
    <row r="240" spans="1:23" ht="15.75">
      <c r="A240" s="2080"/>
      <c r="B240" s="705"/>
      <c r="C240" s="90"/>
      <c r="D240" s="2081"/>
      <c r="E240" s="2082"/>
      <c r="F240" s="1954"/>
      <c r="G240" s="90"/>
      <c r="H240" s="90"/>
      <c r="I240" s="90"/>
      <c r="J240" s="90"/>
      <c r="K240" s="90"/>
      <c r="L240" s="90"/>
      <c r="M240" s="1956"/>
      <c r="N240" s="643"/>
      <c r="O240" s="2083"/>
      <c r="P240" s="643"/>
      <c r="Q240" s="643"/>
      <c r="R240" s="280"/>
      <c r="S240" s="280"/>
      <c r="T240" s="280"/>
      <c r="U240" s="280"/>
      <c r="V240" s="280"/>
      <c r="W240" s="79"/>
    </row>
    <row r="241" spans="1:23" ht="15.75">
      <c r="A241" s="2080"/>
      <c r="B241" s="705"/>
      <c r="C241" s="90"/>
      <c r="D241" s="2081"/>
      <c r="E241" s="2082"/>
      <c r="F241" s="1954"/>
      <c r="G241" s="90"/>
      <c r="H241" s="90"/>
      <c r="I241" s="90"/>
      <c r="J241" s="90"/>
      <c r="K241" s="90"/>
      <c r="L241" s="90"/>
      <c r="M241" s="1956"/>
      <c r="N241" s="643"/>
      <c r="O241" s="2083"/>
      <c r="P241" s="643"/>
      <c r="Q241" s="643"/>
      <c r="R241" s="280"/>
      <c r="S241" s="280"/>
      <c r="T241" s="280"/>
      <c r="U241" s="280"/>
      <c r="V241" s="280"/>
      <c r="W241" s="79"/>
    </row>
    <row r="242" spans="1:23" ht="15.75">
      <c r="A242" s="2080"/>
      <c r="B242" s="705"/>
      <c r="C242" s="90"/>
      <c r="D242" s="2081"/>
      <c r="E242" s="2082"/>
      <c r="F242" s="1954"/>
      <c r="G242" s="90"/>
      <c r="H242" s="90"/>
      <c r="I242" s="90"/>
      <c r="J242" s="90"/>
      <c r="K242" s="90"/>
      <c r="L242" s="90"/>
      <c r="M242" s="1956"/>
      <c r="N242" s="643"/>
      <c r="O242" s="2083"/>
      <c r="P242" s="643"/>
      <c r="Q242" s="643"/>
      <c r="R242" s="280"/>
      <c r="S242" s="280"/>
      <c r="T242" s="280"/>
      <c r="U242" s="280"/>
      <c r="V242" s="280"/>
      <c r="W242" s="79"/>
    </row>
    <row r="243" spans="1:23" ht="15.75">
      <c r="A243" s="2080"/>
      <c r="B243" s="705"/>
      <c r="C243" s="90"/>
      <c r="D243" s="2081"/>
      <c r="E243" s="2082"/>
      <c r="F243" s="1954"/>
      <c r="G243" s="90"/>
      <c r="H243" s="90"/>
      <c r="I243" s="90"/>
      <c r="J243" s="90"/>
      <c r="K243" s="90"/>
      <c r="L243" s="90"/>
      <c r="M243" s="1956"/>
      <c r="N243" s="643"/>
      <c r="O243" s="2083"/>
      <c r="P243" s="643"/>
      <c r="Q243" s="643"/>
      <c r="R243" s="280"/>
      <c r="S243" s="280"/>
      <c r="T243" s="280"/>
      <c r="U243" s="280"/>
      <c r="V243" s="280"/>
      <c r="W243" s="79"/>
    </row>
    <row r="244" spans="1:23" ht="15.75">
      <c r="A244" s="2080"/>
      <c r="B244" s="705"/>
      <c r="C244" s="90"/>
      <c r="D244" s="2081"/>
      <c r="E244" s="2082"/>
      <c r="F244" s="1954"/>
      <c r="G244" s="90"/>
      <c r="H244" s="90"/>
      <c r="I244" s="90"/>
      <c r="J244" s="90"/>
      <c r="K244" s="90"/>
      <c r="L244" s="90"/>
      <c r="M244" s="1956"/>
      <c r="N244" s="643"/>
      <c r="O244" s="2083"/>
      <c r="P244" s="643"/>
      <c r="Q244" s="643"/>
      <c r="R244" s="280"/>
      <c r="S244" s="280"/>
      <c r="T244" s="280"/>
      <c r="U244" s="280"/>
      <c r="V244" s="280"/>
      <c r="W244" s="79"/>
    </row>
    <row r="245" spans="1:23" ht="15.75">
      <c r="A245" s="2080"/>
      <c r="B245" s="705"/>
      <c r="C245" s="90"/>
      <c r="D245" s="2081"/>
      <c r="E245" s="2082"/>
      <c r="F245" s="1954"/>
      <c r="G245" s="90"/>
      <c r="H245" s="90"/>
      <c r="I245" s="90"/>
      <c r="J245" s="90"/>
      <c r="K245" s="90"/>
      <c r="L245" s="90"/>
      <c r="M245" s="1956"/>
      <c r="N245" s="643"/>
      <c r="O245" s="2083"/>
      <c r="P245" s="643"/>
      <c r="Q245" s="643"/>
      <c r="R245" s="280"/>
      <c r="S245" s="280"/>
      <c r="T245" s="280"/>
      <c r="U245" s="280"/>
      <c r="V245" s="280"/>
      <c r="W245" s="79"/>
    </row>
    <row r="246" spans="1:23" ht="15.75">
      <c r="A246" s="2080"/>
      <c r="B246" s="705"/>
      <c r="C246" s="90"/>
      <c r="D246" s="2081"/>
      <c r="E246" s="2082"/>
      <c r="F246" s="1954"/>
      <c r="G246" s="90"/>
      <c r="H246" s="90"/>
      <c r="I246" s="90"/>
      <c r="J246" s="90"/>
      <c r="K246" s="90"/>
      <c r="L246" s="90"/>
      <c r="M246" s="1956"/>
      <c r="N246" s="643"/>
      <c r="O246" s="2083"/>
      <c r="P246" s="643"/>
      <c r="Q246" s="643"/>
      <c r="R246" s="280"/>
      <c r="S246" s="280"/>
      <c r="T246" s="280"/>
      <c r="U246" s="280"/>
      <c r="V246" s="280"/>
      <c r="W246" s="79"/>
    </row>
    <row r="247" spans="1:23" ht="15.75">
      <c r="A247" s="2080"/>
      <c r="B247" s="705"/>
      <c r="C247" s="90"/>
      <c r="D247" s="2081"/>
      <c r="E247" s="2082"/>
      <c r="F247" s="1954"/>
      <c r="G247" s="90"/>
      <c r="H247" s="90"/>
      <c r="I247" s="90"/>
      <c r="J247" s="90"/>
      <c r="K247" s="90"/>
      <c r="L247" s="90"/>
      <c r="M247" s="1956"/>
      <c r="N247" s="643"/>
      <c r="O247" s="2083"/>
      <c r="P247" s="643"/>
      <c r="Q247" s="643"/>
      <c r="R247" s="280"/>
      <c r="S247" s="280"/>
      <c r="T247" s="280"/>
      <c r="U247" s="280"/>
      <c r="V247" s="280"/>
      <c r="W247" s="79"/>
    </row>
    <row r="248" spans="1:23" ht="15.75">
      <c r="A248" s="2080"/>
      <c r="B248" s="705"/>
      <c r="C248" s="90"/>
      <c r="D248" s="2081"/>
      <c r="E248" s="2082"/>
      <c r="F248" s="1954"/>
      <c r="G248" s="90"/>
      <c r="H248" s="90"/>
      <c r="I248" s="90"/>
      <c r="J248" s="90"/>
      <c r="K248" s="90"/>
      <c r="L248" s="90"/>
      <c r="M248" s="1956"/>
      <c r="N248" s="643"/>
      <c r="O248" s="2083"/>
      <c r="P248" s="643"/>
      <c r="Q248" s="643"/>
      <c r="R248" s="280"/>
      <c r="S248" s="280"/>
      <c r="T248" s="280"/>
      <c r="U248" s="280"/>
      <c r="V248" s="280"/>
      <c r="W248" s="79"/>
    </row>
    <row r="249" spans="1:23" ht="15.75">
      <c r="A249" s="2080"/>
      <c r="B249" s="705"/>
      <c r="C249" s="90"/>
      <c r="D249" s="2081"/>
      <c r="E249" s="2082"/>
      <c r="F249" s="1954"/>
      <c r="G249" s="90"/>
      <c r="H249" s="90"/>
      <c r="I249" s="90"/>
      <c r="J249" s="90"/>
      <c r="K249" s="90"/>
      <c r="L249" s="90"/>
      <c r="M249" s="1956"/>
      <c r="N249" s="643"/>
      <c r="O249" s="2083"/>
      <c r="P249" s="643"/>
      <c r="Q249" s="643"/>
      <c r="R249" s="280"/>
      <c r="S249" s="280"/>
      <c r="T249" s="280"/>
      <c r="U249" s="280"/>
      <c r="V249" s="280"/>
      <c r="W249" s="79"/>
    </row>
    <row r="250" spans="1:23" ht="15.75">
      <c r="A250" s="2080"/>
      <c r="B250" s="705"/>
      <c r="C250" s="90"/>
      <c r="D250" s="2081"/>
      <c r="E250" s="2082"/>
      <c r="F250" s="1954"/>
      <c r="G250" s="90"/>
      <c r="H250" s="90"/>
      <c r="I250" s="90"/>
      <c r="J250" s="90"/>
      <c r="K250" s="90"/>
      <c r="L250" s="90"/>
      <c r="M250" s="1956"/>
      <c r="N250" s="643"/>
      <c r="O250" s="2083"/>
      <c r="P250" s="643"/>
      <c r="Q250" s="643"/>
      <c r="R250" s="280"/>
      <c r="S250" s="280"/>
      <c r="T250" s="280"/>
      <c r="U250" s="280"/>
      <c r="V250" s="280"/>
      <c r="W250" s="79"/>
    </row>
    <row r="251" spans="1:23" ht="15.75">
      <c r="A251" s="2080"/>
      <c r="B251" s="705"/>
      <c r="C251" s="90"/>
      <c r="D251" s="2081"/>
      <c r="E251" s="2082"/>
      <c r="F251" s="1954"/>
      <c r="G251" s="90"/>
      <c r="H251" s="90"/>
      <c r="I251" s="90"/>
      <c r="J251" s="90"/>
      <c r="K251" s="90"/>
      <c r="L251" s="90"/>
      <c r="M251" s="1956"/>
      <c r="N251" s="643"/>
      <c r="O251" s="2083"/>
      <c r="P251" s="643"/>
      <c r="Q251" s="643"/>
      <c r="R251" s="280"/>
      <c r="S251" s="280"/>
      <c r="T251" s="280"/>
      <c r="U251" s="280"/>
      <c r="V251" s="280"/>
      <c r="W251" s="79"/>
    </row>
    <row r="252" spans="1:23" ht="15.75">
      <c r="A252" s="2080"/>
      <c r="B252" s="705"/>
      <c r="C252" s="90"/>
      <c r="D252" s="2081"/>
      <c r="E252" s="2082"/>
      <c r="F252" s="1954"/>
      <c r="G252" s="90"/>
      <c r="H252" s="90"/>
      <c r="I252" s="90"/>
      <c r="J252" s="90"/>
      <c r="K252" s="90"/>
      <c r="L252" s="90"/>
      <c r="M252" s="1956"/>
      <c r="N252" s="643"/>
      <c r="O252" s="2083"/>
      <c r="P252" s="643"/>
      <c r="Q252" s="643"/>
      <c r="R252" s="280"/>
      <c r="S252" s="280"/>
      <c r="T252" s="280"/>
      <c r="U252" s="280"/>
      <c r="V252" s="280"/>
      <c r="W252" s="79"/>
    </row>
    <row r="253" spans="1:23" ht="15.75">
      <c r="A253" s="2080"/>
      <c r="B253" s="705"/>
      <c r="C253" s="90"/>
      <c r="D253" s="2081"/>
      <c r="E253" s="2082"/>
      <c r="F253" s="1954"/>
      <c r="G253" s="90"/>
      <c r="H253" s="90"/>
      <c r="I253" s="90"/>
      <c r="J253" s="90"/>
      <c r="K253" s="90"/>
      <c r="L253" s="90"/>
      <c r="M253" s="1956"/>
      <c r="N253" s="643"/>
      <c r="O253" s="2083"/>
      <c r="P253" s="643"/>
      <c r="Q253" s="643"/>
      <c r="R253" s="280"/>
      <c r="S253" s="280"/>
      <c r="T253" s="280"/>
      <c r="U253" s="280"/>
      <c r="V253" s="280"/>
      <c r="W253" s="79"/>
    </row>
    <row r="254" spans="1:23" ht="15.75">
      <c r="A254" s="2080"/>
      <c r="B254" s="705"/>
      <c r="C254" s="90"/>
      <c r="D254" s="2081"/>
      <c r="E254" s="2082"/>
      <c r="F254" s="1954"/>
      <c r="G254" s="90"/>
      <c r="H254" s="90"/>
      <c r="I254" s="90"/>
      <c r="J254" s="90"/>
      <c r="K254" s="90"/>
      <c r="L254" s="90"/>
      <c r="M254" s="1956"/>
      <c r="N254" s="643"/>
      <c r="O254" s="2083"/>
      <c r="P254" s="643"/>
      <c r="Q254" s="643"/>
      <c r="R254" s="280"/>
      <c r="S254" s="280"/>
      <c r="T254" s="280"/>
      <c r="U254" s="280"/>
      <c r="V254" s="280"/>
      <c r="W254" s="79"/>
    </row>
    <row r="255" spans="1:23" ht="15.75">
      <c r="A255" s="2080"/>
      <c r="B255" s="705"/>
      <c r="C255" s="90"/>
      <c r="D255" s="2081"/>
      <c r="E255" s="2082"/>
      <c r="F255" s="1954"/>
      <c r="G255" s="90"/>
      <c r="H255" s="90"/>
      <c r="I255" s="90"/>
      <c r="J255" s="90"/>
      <c r="K255" s="90"/>
      <c r="L255" s="90"/>
      <c r="M255" s="1956"/>
      <c r="N255" s="643"/>
      <c r="O255" s="2083"/>
      <c r="P255" s="643"/>
      <c r="Q255" s="643"/>
      <c r="R255" s="280"/>
      <c r="S255" s="280"/>
      <c r="T255" s="280"/>
      <c r="U255" s="280"/>
      <c r="V255" s="280"/>
      <c r="W255" s="79"/>
    </row>
    <row r="256" spans="1:23" ht="15.75">
      <c r="A256" s="2080"/>
      <c r="B256" s="705"/>
      <c r="C256" s="90"/>
      <c r="D256" s="2081"/>
      <c r="E256" s="2082"/>
      <c r="F256" s="1954"/>
      <c r="G256" s="90"/>
      <c r="H256" s="90"/>
      <c r="I256" s="90"/>
      <c r="J256" s="90"/>
      <c r="K256" s="90"/>
      <c r="L256" s="90"/>
      <c r="M256" s="1956"/>
      <c r="N256" s="643"/>
      <c r="O256" s="2083"/>
      <c r="P256" s="643"/>
      <c r="Q256" s="643"/>
      <c r="R256" s="280"/>
      <c r="S256" s="280"/>
      <c r="T256" s="280"/>
      <c r="U256" s="280"/>
      <c r="V256" s="280"/>
      <c r="W256" s="79"/>
    </row>
    <row r="257" spans="1:23" ht="15.75">
      <c r="A257" s="2080"/>
      <c r="B257" s="705"/>
      <c r="C257" s="90"/>
      <c r="D257" s="2081"/>
      <c r="E257" s="2082"/>
      <c r="F257" s="1954"/>
      <c r="G257" s="90"/>
      <c r="H257" s="90"/>
      <c r="I257" s="90"/>
      <c r="J257" s="90"/>
      <c r="K257" s="90"/>
      <c r="L257" s="90"/>
      <c r="M257" s="1956"/>
      <c r="N257" s="643"/>
      <c r="O257" s="2083"/>
      <c r="P257" s="643"/>
      <c r="Q257" s="643"/>
      <c r="R257" s="280"/>
      <c r="S257" s="280"/>
      <c r="T257" s="280"/>
      <c r="U257" s="280"/>
      <c r="V257" s="280"/>
      <c r="W257" s="79"/>
    </row>
    <row r="258" spans="1:23" ht="15.75">
      <c r="A258" s="2080"/>
      <c r="B258" s="705"/>
      <c r="C258" s="90"/>
      <c r="D258" s="2081"/>
      <c r="E258" s="2082"/>
      <c r="F258" s="1954"/>
      <c r="G258" s="90"/>
      <c r="H258" s="90"/>
      <c r="I258" s="90"/>
      <c r="J258" s="90"/>
      <c r="K258" s="90"/>
      <c r="L258" s="90"/>
      <c r="M258" s="1956"/>
      <c r="N258" s="643"/>
      <c r="O258" s="2083"/>
      <c r="P258" s="643"/>
      <c r="Q258" s="643"/>
      <c r="R258" s="280"/>
      <c r="S258" s="280"/>
      <c r="T258" s="280"/>
      <c r="U258" s="280"/>
      <c r="V258" s="280"/>
      <c r="W258" s="79"/>
    </row>
    <row r="259" spans="1:23" ht="15.75">
      <c r="A259" s="2080"/>
      <c r="B259" s="705"/>
      <c r="C259" s="90"/>
      <c r="D259" s="2081"/>
      <c r="E259" s="2082"/>
      <c r="F259" s="1954"/>
      <c r="G259" s="90"/>
      <c r="H259" s="90"/>
      <c r="I259" s="90"/>
      <c r="J259" s="90"/>
      <c r="K259" s="90"/>
      <c r="L259" s="90"/>
      <c r="M259" s="1956"/>
      <c r="N259" s="643"/>
      <c r="O259" s="2083"/>
      <c r="P259" s="643"/>
      <c r="Q259" s="643"/>
      <c r="R259" s="280"/>
      <c r="S259" s="280"/>
      <c r="T259" s="280"/>
      <c r="U259" s="280"/>
      <c r="V259" s="280"/>
      <c r="W259" s="79"/>
    </row>
    <row r="260" spans="1:23" ht="15.75">
      <c r="A260" s="2080"/>
      <c r="B260" s="705"/>
      <c r="C260" s="90"/>
      <c r="D260" s="2081"/>
      <c r="E260" s="2082"/>
      <c r="F260" s="1954"/>
      <c r="G260" s="90"/>
      <c r="H260" s="90"/>
      <c r="I260" s="90"/>
      <c r="J260" s="90"/>
      <c r="K260" s="90"/>
      <c r="L260" s="90"/>
      <c r="M260" s="1956"/>
      <c r="N260" s="643"/>
      <c r="O260" s="2083"/>
      <c r="P260" s="643"/>
      <c r="Q260" s="643"/>
      <c r="R260" s="280"/>
      <c r="S260" s="280"/>
      <c r="T260" s="280"/>
      <c r="U260" s="280"/>
      <c r="V260" s="280"/>
      <c r="W260" s="79"/>
    </row>
    <row r="261" spans="1:23" ht="15.75">
      <c r="A261" s="2080"/>
      <c r="B261" s="705"/>
      <c r="C261" s="90"/>
      <c r="D261" s="2081"/>
      <c r="E261" s="2082"/>
      <c r="F261" s="1954"/>
      <c r="G261" s="90"/>
      <c r="H261" s="90"/>
      <c r="I261" s="90"/>
      <c r="J261" s="90"/>
      <c r="K261" s="90"/>
      <c r="L261" s="90"/>
      <c r="M261" s="1956"/>
      <c r="N261" s="643"/>
      <c r="O261" s="2083"/>
      <c r="P261" s="643"/>
      <c r="Q261" s="643"/>
      <c r="R261" s="280"/>
      <c r="S261" s="280"/>
      <c r="T261" s="280"/>
      <c r="U261" s="280"/>
      <c r="V261" s="280"/>
      <c r="W261" s="79"/>
    </row>
    <row r="262" spans="1:23" ht="15.75">
      <c r="A262" s="2080"/>
      <c r="B262" s="705"/>
      <c r="C262" s="90"/>
      <c r="D262" s="2081"/>
      <c r="E262" s="2082"/>
      <c r="F262" s="1954"/>
      <c r="G262" s="90"/>
      <c r="H262" s="90"/>
      <c r="I262" s="90"/>
      <c r="J262" s="90"/>
      <c r="K262" s="90"/>
      <c r="L262" s="90"/>
      <c r="M262" s="1956"/>
      <c r="N262" s="643"/>
      <c r="O262" s="2083"/>
      <c r="P262" s="643"/>
      <c r="Q262" s="643"/>
      <c r="R262" s="280"/>
      <c r="S262" s="280"/>
      <c r="T262" s="280"/>
      <c r="U262" s="280"/>
      <c r="V262" s="280"/>
      <c r="W262" s="79"/>
    </row>
    <row r="263" spans="1:23" ht="15.75">
      <c r="A263" s="2080"/>
      <c r="B263" s="705"/>
      <c r="C263" s="90"/>
      <c r="D263" s="2081"/>
      <c r="E263" s="2082"/>
      <c r="F263" s="1954"/>
      <c r="G263" s="90"/>
      <c r="H263" s="90"/>
      <c r="I263" s="90"/>
      <c r="J263" s="90"/>
      <c r="K263" s="90"/>
      <c r="L263" s="90"/>
      <c r="M263" s="1956"/>
      <c r="N263" s="643"/>
      <c r="O263" s="2083"/>
      <c r="P263" s="643"/>
      <c r="Q263" s="643"/>
      <c r="R263" s="280"/>
      <c r="S263" s="280"/>
      <c r="T263" s="280"/>
      <c r="U263" s="280"/>
      <c r="V263" s="280"/>
      <c r="W263" s="79"/>
    </row>
    <row r="264" spans="1:23" ht="15.75">
      <c r="A264" s="2080"/>
      <c r="B264" s="705"/>
      <c r="C264" s="90"/>
      <c r="D264" s="2081"/>
      <c r="E264" s="2082"/>
      <c r="F264" s="1954"/>
      <c r="G264" s="90"/>
      <c r="H264" s="90"/>
      <c r="I264" s="90"/>
      <c r="J264" s="90"/>
      <c r="K264" s="90"/>
      <c r="L264" s="90"/>
      <c r="M264" s="1956"/>
      <c r="N264" s="643"/>
      <c r="O264" s="2083"/>
      <c r="P264" s="643"/>
      <c r="Q264" s="643"/>
      <c r="R264" s="280"/>
      <c r="S264" s="280"/>
      <c r="T264" s="280"/>
      <c r="U264" s="280"/>
      <c r="V264" s="280"/>
      <c r="W264" s="79"/>
    </row>
    <row r="265" spans="1:23" ht="15.75">
      <c r="A265" s="2080"/>
      <c r="B265" s="705"/>
      <c r="C265" s="90"/>
      <c r="D265" s="2081"/>
      <c r="E265" s="2082"/>
      <c r="F265" s="1954"/>
      <c r="G265" s="90"/>
      <c r="H265" s="90"/>
      <c r="I265" s="90"/>
      <c r="J265" s="90"/>
      <c r="K265" s="90"/>
      <c r="L265" s="90"/>
      <c r="M265" s="1956"/>
      <c r="N265" s="643"/>
      <c r="O265" s="2083"/>
      <c r="P265" s="643"/>
      <c r="Q265" s="643"/>
      <c r="R265" s="280"/>
      <c r="S265" s="280"/>
      <c r="T265" s="280"/>
      <c r="U265" s="280"/>
      <c r="V265" s="280"/>
      <c r="W265" s="79"/>
    </row>
    <row r="266" spans="1:23" ht="15.75">
      <c r="A266" s="2080"/>
      <c r="B266" s="705"/>
      <c r="C266" s="90"/>
      <c r="D266" s="2081"/>
      <c r="E266" s="2082"/>
      <c r="F266" s="1954"/>
      <c r="G266" s="90"/>
      <c r="H266" s="90"/>
      <c r="I266" s="90"/>
      <c r="J266" s="90"/>
      <c r="K266" s="90"/>
      <c r="L266" s="90"/>
      <c r="M266" s="1956"/>
      <c r="N266" s="643"/>
      <c r="O266" s="2083"/>
      <c r="P266" s="643"/>
      <c r="Q266" s="643"/>
      <c r="R266" s="280"/>
      <c r="S266" s="280"/>
      <c r="T266" s="280"/>
      <c r="U266" s="280"/>
      <c r="V266" s="280"/>
      <c r="W266" s="79"/>
    </row>
    <row r="267" spans="1:23" ht="15.75">
      <c r="A267" s="2080"/>
      <c r="B267" s="705"/>
      <c r="C267" s="90"/>
      <c r="D267" s="2081"/>
      <c r="E267" s="2082"/>
      <c r="F267" s="1954"/>
      <c r="G267" s="90"/>
      <c r="H267" s="90"/>
      <c r="I267" s="90"/>
      <c r="J267" s="90"/>
      <c r="K267" s="90"/>
      <c r="L267" s="90"/>
      <c r="M267" s="1956"/>
      <c r="N267" s="643"/>
      <c r="O267" s="2083"/>
      <c r="P267" s="643"/>
      <c r="Q267" s="643"/>
      <c r="R267" s="280"/>
      <c r="S267" s="280"/>
      <c r="T267" s="280"/>
      <c r="U267" s="280"/>
      <c r="V267" s="280"/>
      <c r="W267" s="79"/>
    </row>
    <row r="268" spans="1:23" ht="15.75">
      <c r="A268" s="2080"/>
      <c r="B268" s="705"/>
      <c r="C268" s="90"/>
      <c r="D268" s="2081"/>
      <c r="E268" s="2082"/>
      <c r="F268" s="1954"/>
      <c r="G268" s="90"/>
      <c r="H268" s="90"/>
      <c r="I268" s="90"/>
      <c r="J268" s="90"/>
      <c r="K268" s="90"/>
      <c r="L268" s="90"/>
      <c r="M268" s="1956"/>
      <c r="N268" s="643"/>
      <c r="O268" s="2083"/>
      <c r="P268" s="643"/>
      <c r="Q268" s="643"/>
      <c r="R268" s="280"/>
      <c r="S268" s="280"/>
      <c r="T268" s="280"/>
      <c r="U268" s="280"/>
      <c r="V268" s="280"/>
      <c r="W268" s="79"/>
    </row>
    <row r="269" spans="1:23" ht="15.75">
      <c r="A269" s="2080"/>
      <c r="B269" s="705"/>
      <c r="C269" s="90"/>
      <c r="D269" s="2081"/>
      <c r="E269" s="2082"/>
      <c r="F269" s="1954"/>
      <c r="G269" s="90"/>
      <c r="H269" s="90"/>
      <c r="I269" s="90"/>
      <c r="J269" s="90"/>
      <c r="K269" s="90"/>
      <c r="L269" s="90"/>
      <c r="M269" s="1956"/>
      <c r="N269" s="643"/>
      <c r="O269" s="2083"/>
      <c r="P269" s="643"/>
      <c r="Q269" s="643"/>
      <c r="R269" s="280"/>
      <c r="S269" s="280"/>
      <c r="T269" s="280"/>
      <c r="U269" s="280"/>
      <c r="V269" s="280"/>
      <c r="W269" s="79"/>
    </row>
    <row r="270" spans="1:23" ht="15.75">
      <c r="A270" s="2080"/>
      <c r="B270" s="705"/>
      <c r="C270" s="90"/>
      <c r="D270" s="2081"/>
      <c r="E270" s="2082"/>
      <c r="F270" s="1954"/>
      <c r="G270" s="90"/>
      <c r="H270" s="90"/>
      <c r="I270" s="90"/>
      <c r="J270" s="90"/>
      <c r="K270" s="90"/>
      <c r="L270" s="90"/>
      <c r="M270" s="1956"/>
      <c r="N270" s="643"/>
      <c r="O270" s="2083"/>
      <c r="P270" s="643"/>
      <c r="Q270" s="643"/>
      <c r="R270" s="280"/>
      <c r="S270" s="280"/>
      <c r="T270" s="280"/>
      <c r="U270" s="280"/>
      <c r="V270" s="280"/>
      <c r="W270" s="79"/>
    </row>
    <row r="271" spans="1:23" ht="15.75">
      <c r="A271" s="2080"/>
      <c r="B271" s="705"/>
      <c r="C271" s="90"/>
      <c r="D271" s="2081"/>
      <c r="E271" s="2082"/>
      <c r="F271" s="1954"/>
      <c r="G271" s="90"/>
      <c r="H271" s="90"/>
      <c r="I271" s="90"/>
      <c r="J271" s="90"/>
      <c r="K271" s="90"/>
      <c r="L271" s="90"/>
      <c r="M271" s="1956"/>
      <c r="N271" s="643"/>
      <c r="O271" s="2083"/>
      <c r="P271" s="643"/>
      <c r="Q271" s="643"/>
      <c r="R271" s="280"/>
      <c r="S271" s="280"/>
      <c r="T271" s="280"/>
      <c r="U271" s="280"/>
      <c r="V271" s="280"/>
      <c r="W271" s="79"/>
    </row>
    <row r="272" spans="1:23" ht="15.75">
      <c r="A272" s="2080"/>
      <c r="B272" s="705"/>
      <c r="C272" s="90"/>
      <c r="D272" s="2081"/>
      <c r="E272" s="2082"/>
      <c r="F272" s="1954"/>
      <c r="G272" s="90"/>
      <c r="H272" s="90"/>
      <c r="I272" s="90"/>
      <c r="J272" s="90"/>
      <c r="K272" s="90"/>
      <c r="L272" s="90"/>
      <c r="M272" s="1956"/>
      <c r="N272" s="643"/>
      <c r="O272" s="2083"/>
      <c r="P272" s="643"/>
      <c r="Q272" s="643"/>
      <c r="R272" s="280"/>
      <c r="S272" s="280"/>
      <c r="T272" s="280"/>
      <c r="U272" s="280"/>
      <c r="V272" s="280"/>
      <c r="W272" s="79"/>
    </row>
    <row r="273" spans="1:23" ht="15.75">
      <c r="A273" s="2080"/>
      <c r="B273" s="705"/>
      <c r="C273" s="90"/>
      <c r="D273" s="2081"/>
      <c r="E273" s="2082"/>
      <c r="F273" s="1954"/>
      <c r="G273" s="90"/>
      <c r="H273" s="90"/>
      <c r="I273" s="90"/>
      <c r="J273" s="90"/>
      <c r="K273" s="90"/>
      <c r="L273" s="90"/>
      <c r="M273" s="1956"/>
      <c r="N273" s="643"/>
      <c r="O273" s="2083"/>
      <c r="P273" s="643"/>
      <c r="Q273" s="643"/>
      <c r="R273" s="280"/>
      <c r="S273" s="280"/>
      <c r="T273" s="280"/>
      <c r="U273" s="280"/>
      <c r="V273" s="280"/>
      <c r="W273" s="79"/>
    </row>
    <row r="274" spans="1:23" ht="15.75">
      <c r="A274" s="2080"/>
      <c r="B274" s="705"/>
      <c r="C274" s="90"/>
      <c r="D274" s="2081"/>
      <c r="E274" s="2082"/>
      <c r="F274" s="1954"/>
      <c r="G274" s="90"/>
      <c r="H274" s="90"/>
      <c r="I274" s="90"/>
      <c r="J274" s="90"/>
      <c r="K274" s="90"/>
      <c r="L274" s="90"/>
      <c r="M274" s="1956"/>
      <c r="N274" s="643"/>
      <c r="O274" s="2083"/>
      <c r="P274" s="643"/>
      <c r="Q274" s="643"/>
      <c r="R274" s="280"/>
      <c r="S274" s="280"/>
      <c r="T274" s="280"/>
      <c r="U274" s="280"/>
      <c r="V274" s="280"/>
      <c r="W274" s="79"/>
    </row>
    <row r="275" spans="1:23" ht="15.75">
      <c r="A275" s="2080"/>
      <c r="B275" s="705"/>
      <c r="C275" s="90"/>
      <c r="D275" s="2081"/>
      <c r="E275" s="2082"/>
      <c r="F275" s="1954"/>
      <c r="G275" s="90"/>
      <c r="H275" s="90"/>
      <c r="I275" s="90"/>
      <c r="J275" s="90"/>
      <c r="K275" s="90"/>
      <c r="L275" s="90"/>
      <c r="M275" s="1956"/>
      <c r="N275" s="643"/>
      <c r="O275" s="2083"/>
      <c r="P275" s="643"/>
      <c r="Q275" s="643"/>
      <c r="R275" s="280"/>
      <c r="S275" s="280"/>
      <c r="T275" s="280"/>
      <c r="U275" s="280"/>
      <c r="V275" s="280"/>
      <c r="W275" s="79"/>
    </row>
    <row r="276" spans="1:23" ht="15.75">
      <c r="A276" s="2080"/>
      <c r="B276" s="705"/>
      <c r="C276" s="90"/>
      <c r="D276" s="2081"/>
      <c r="E276" s="2082"/>
      <c r="F276" s="1954"/>
      <c r="G276" s="90"/>
      <c r="H276" s="90"/>
      <c r="I276" s="90"/>
      <c r="J276" s="90"/>
      <c r="K276" s="90"/>
      <c r="L276" s="90"/>
      <c r="M276" s="1956"/>
      <c r="N276" s="643"/>
      <c r="O276" s="2083"/>
      <c r="P276" s="643"/>
      <c r="Q276" s="643"/>
      <c r="R276" s="280"/>
      <c r="S276" s="280"/>
      <c r="T276" s="280"/>
      <c r="U276" s="280"/>
      <c r="V276" s="280"/>
      <c r="W276" s="79"/>
    </row>
    <row r="277" spans="1:23" ht="15.75">
      <c r="A277" s="2080"/>
      <c r="B277" s="705"/>
      <c r="C277" s="90"/>
      <c r="D277" s="2081"/>
      <c r="E277" s="2082"/>
      <c r="F277" s="1954"/>
      <c r="G277" s="90"/>
      <c r="H277" s="90"/>
      <c r="I277" s="90"/>
      <c r="J277" s="90"/>
      <c r="K277" s="90"/>
      <c r="L277" s="90"/>
      <c r="M277" s="1956"/>
      <c r="N277" s="643"/>
      <c r="O277" s="2083"/>
      <c r="P277" s="643"/>
      <c r="Q277" s="643"/>
      <c r="R277" s="280"/>
      <c r="S277" s="280"/>
      <c r="T277" s="280"/>
      <c r="U277" s="280"/>
      <c r="V277" s="280"/>
      <c r="W277" s="79"/>
    </row>
    <row r="278" spans="1:23" ht="15.75">
      <c r="A278" s="2080"/>
      <c r="B278" s="705"/>
      <c r="C278" s="90"/>
      <c r="D278" s="2081"/>
      <c r="E278" s="2082"/>
      <c r="F278" s="1954"/>
      <c r="G278" s="90"/>
      <c r="H278" s="90"/>
      <c r="I278" s="90"/>
      <c r="J278" s="90"/>
      <c r="K278" s="90"/>
      <c r="L278" s="90"/>
      <c r="M278" s="1956"/>
      <c r="N278" s="643"/>
      <c r="O278" s="2083"/>
      <c r="P278" s="643"/>
      <c r="Q278" s="643"/>
      <c r="R278" s="280"/>
      <c r="S278" s="280"/>
      <c r="T278" s="280"/>
      <c r="U278" s="280"/>
      <c r="V278" s="280"/>
      <c r="W278" s="79"/>
    </row>
    <row r="279" spans="1:23" ht="15.75">
      <c r="A279" s="2080"/>
      <c r="B279" s="705"/>
      <c r="C279" s="90"/>
      <c r="D279" s="2081"/>
      <c r="E279" s="2082"/>
      <c r="F279" s="1954"/>
      <c r="G279" s="90"/>
      <c r="H279" s="90"/>
      <c r="I279" s="90"/>
      <c r="J279" s="90"/>
      <c r="K279" s="90"/>
      <c r="L279" s="90"/>
      <c r="M279" s="1956"/>
      <c r="N279" s="643"/>
      <c r="O279" s="2083"/>
      <c r="P279" s="643"/>
      <c r="Q279" s="643"/>
      <c r="R279" s="280"/>
      <c r="S279" s="280"/>
      <c r="T279" s="280"/>
      <c r="U279" s="280"/>
      <c r="V279" s="280"/>
      <c r="W279" s="79"/>
    </row>
    <row r="280" spans="1:23" ht="15.75">
      <c r="A280" s="2080"/>
      <c r="B280" s="705"/>
      <c r="C280" s="90"/>
      <c r="D280" s="2081"/>
      <c r="E280" s="2082"/>
      <c r="F280" s="1954"/>
      <c r="G280" s="90"/>
      <c r="H280" s="90"/>
      <c r="I280" s="90"/>
      <c r="J280" s="90"/>
      <c r="K280" s="90"/>
      <c r="L280" s="90"/>
      <c r="M280" s="1956"/>
      <c r="N280" s="643"/>
      <c r="O280" s="2083"/>
      <c r="P280" s="643"/>
      <c r="Q280" s="643"/>
      <c r="R280" s="280"/>
      <c r="S280" s="280"/>
      <c r="T280" s="280"/>
      <c r="U280" s="280"/>
      <c r="V280" s="280"/>
      <c r="W280" s="79"/>
    </row>
    <row r="281" spans="1:23" ht="15.75">
      <c r="A281" s="2080"/>
      <c r="B281" s="705"/>
      <c r="C281" s="90"/>
      <c r="D281" s="2081"/>
      <c r="E281" s="2082"/>
      <c r="F281" s="1954"/>
      <c r="G281" s="90"/>
      <c r="H281" s="90"/>
      <c r="I281" s="90"/>
      <c r="J281" s="90"/>
      <c r="K281" s="90"/>
      <c r="L281" s="90"/>
      <c r="M281" s="1956"/>
      <c r="N281" s="643"/>
      <c r="O281" s="2083"/>
      <c r="P281" s="643"/>
      <c r="Q281" s="643"/>
      <c r="R281" s="280"/>
      <c r="S281" s="280"/>
      <c r="T281" s="280"/>
      <c r="U281" s="280"/>
      <c r="V281" s="280"/>
      <c r="W281" s="79"/>
    </row>
    <row r="282" spans="1:23" ht="15.75">
      <c r="A282" s="2080"/>
      <c r="B282" s="705"/>
      <c r="C282" s="90"/>
      <c r="D282" s="2081"/>
      <c r="E282" s="2082"/>
      <c r="F282" s="1954"/>
      <c r="G282" s="90"/>
      <c r="H282" s="90"/>
      <c r="I282" s="90"/>
      <c r="J282" s="90"/>
      <c r="K282" s="90"/>
      <c r="L282" s="90"/>
      <c r="M282" s="1956"/>
      <c r="N282" s="643"/>
      <c r="O282" s="2083"/>
      <c r="P282" s="643"/>
      <c r="Q282" s="643"/>
      <c r="R282" s="280"/>
      <c r="S282" s="280"/>
      <c r="T282" s="280"/>
      <c r="U282" s="280"/>
      <c r="V282" s="280"/>
      <c r="W282" s="79"/>
    </row>
    <row r="283" spans="1:23" ht="15.75">
      <c r="A283" s="2080"/>
      <c r="B283" s="705"/>
      <c r="C283" s="90"/>
      <c r="D283" s="2081"/>
      <c r="E283" s="2082"/>
      <c r="F283" s="1954"/>
      <c r="G283" s="90"/>
      <c r="H283" s="90"/>
      <c r="I283" s="90"/>
      <c r="J283" s="90"/>
      <c r="K283" s="90"/>
      <c r="L283" s="90"/>
      <c r="M283" s="1956"/>
      <c r="N283" s="643"/>
      <c r="O283" s="2083"/>
      <c r="P283" s="643"/>
      <c r="Q283" s="643"/>
      <c r="R283" s="280"/>
      <c r="S283" s="280"/>
      <c r="T283" s="280"/>
      <c r="U283" s="280"/>
      <c r="V283" s="280"/>
      <c r="W283" s="79"/>
    </row>
    <row r="284" spans="1:23" ht="15.75">
      <c r="A284" s="2080"/>
      <c r="B284" s="705"/>
      <c r="C284" s="90"/>
      <c r="D284" s="2081"/>
      <c r="E284" s="2082"/>
      <c r="F284" s="1954"/>
      <c r="G284" s="90"/>
      <c r="H284" s="90"/>
      <c r="I284" s="90"/>
      <c r="J284" s="90"/>
      <c r="K284" s="90"/>
      <c r="L284" s="90"/>
      <c r="M284" s="1956"/>
      <c r="N284" s="643"/>
      <c r="O284" s="2083"/>
      <c r="P284" s="643"/>
      <c r="Q284" s="643"/>
      <c r="R284" s="280"/>
      <c r="S284" s="280"/>
      <c r="T284" s="280"/>
      <c r="U284" s="280"/>
      <c r="V284" s="280"/>
      <c r="W284" s="79"/>
    </row>
    <row r="285" spans="1:23" ht="15.75">
      <c r="A285" s="2080"/>
      <c r="B285" s="705"/>
      <c r="C285" s="90"/>
      <c r="D285" s="2081"/>
      <c r="E285" s="2082"/>
      <c r="F285" s="1954"/>
      <c r="G285" s="90"/>
      <c r="H285" s="90"/>
      <c r="I285" s="90"/>
      <c r="J285" s="90"/>
      <c r="K285" s="90"/>
      <c r="L285" s="90"/>
      <c r="M285" s="1956"/>
      <c r="N285" s="643"/>
      <c r="O285" s="2083"/>
      <c r="P285" s="643"/>
      <c r="Q285" s="643"/>
      <c r="R285" s="280"/>
      <c r="S285" s="280"/>
      <c r="T285" s="280"/>
      <c r="U285" s="280"/>
      <c r="V285" s="280"/>
      <c r="W285" s="79"/>
    </row>
    <row r="286" spans="1:23" ht="15.75">
      <c r="A286" s="2080"/>
      <c r="B286" s="705"/>
      <c r="C286" s="90"/>
      <c r="D286" s="2081"/>
      <c r="E286" s="2082"/>
      <c r="F286" s="1954"/>
      <c r="G286" s="90"/>
      <c r="H286" s="90"/>
      <c r="I286" s="90"/>
      <c r="J286" s="90"/>
      <c r="K286" s="90"/>
      <c r="L286" s="90"/>
      <c r="M286" s="1956"/>
      <c r="N286" s="643"/>
      <c r="O286" s="2083"/>
      <c r="P286" s="643"/>
      <c r="Q286" s="643"/>
      <c r="R286" s="280"/>
      <c r="S286" s="280"/>
      <c r="T286" s="280"/>
      <c r="U286" s="280"/>
      <c r="V286" s="280"/>
      <c r="W286" s="79"/>
    </row>
    <row r="287" spans="1:23" ht="15.75">
      <c r="A287" s="2080"/>
      <c r="B287" s="705"/>
      <c r="C287" s="90"/>
      <c r="D287" s="2081"/>
      <c r="E287" s="2082"/>
      <c r="F287" s="1954"/>
      <c r="G287" s="90"/>
      <c r="H287" s="90"/>
      <c r="I287" s="90"/>
      <c r="J287" s="90"/>
      <c r="K287" s="90"/>
      <c r="L287" s="90"/>
      <c r="M287" s="1956"/>
      <c r="N287" s="643"/>
      <c r="O287" s="2083"/>
      <c r="P287" s="643"/>
      <c r="Q287" s="643"/>
      <c r="R287" s="280"/>
      <c r="S287" s="280"/>
      <c r="T287" s="280"/>
      <c r="U287" s="280"/>
      <c r="V287" s="280"/>
      <c r="W287" s="79"/>
    </row>
    <row r="288" spans="1:23" ht="15.75">
      <c r="A288" s="2080"/>
      <c r="B288" s="705"/>
      <c r="C288" s="90"/>
      <c r="D288" s="2081"/>
      <c r="E288" s="2082"/>
      <c r="F288" s="1954"/>
      <c r="G288" s="90"/>
      <c r="H288" s="90"/>
      <c r="I288" s="90"/>
      <c r="J288" s="90"/>
      <c r="K288" s="90"/>
      <c r="L288" s="90"/>
      <c r="M288" s="1956"/>
      <c r="N288" s="643"/>
      <c r="O288" s="2083"/>
      <c r="P288" s="643"/>
      <c r="Q288" s="643"/>
      <c r="R288" s="280"/>
      <c r="S288" s="280"/>
      <c r="T288" s="280"/>
      <c r="U288" s="280"/>
      <c r="V288" s="280"/>
      <c r="W288" s="79"/>
    </row>
    <row r="289" spans="1:23" ht="15.75">
      <c r="A289" s="2080"/>
      <c r="B289" s="705"/>
      <c r="C289" s="90"/>
      <c r="D289" s="2081"/>
      <c r="E289" s="2082"/>
      <c r="F289" s="1954"/>
      <c r="G289" s="90"/>
      <c r="H289" s="90"/>
      <c r="I289" s="90"/>
      <c r="J289" s="90"/>
      <c r="K289" s="90"/>
      <c r="L289" s="90"/>
      <c r="M289" s="1956"/>
      <c r="N289" s="643"/>
      <c r="O289" s="2083"/>
      <c r="P289" s="643"/>
      <c r="Q289" s="643"/>
      <c r="R289" s="280"/>
      <c r="S289" s="280"/>
      <c r="T289" s="280"/>
      <c r="U289" s="280"/>
      <c r="V289" s="280"/>
      <c r="W289" s="79"/>
    </row>
    <row r="290" spans="1:23" ht="15.75">
      <c r="A290" s="2080"/>
      <c r="B290" s="705"/>
      <c r="C290" s="90"/>
      <c r="D290" s="2081"/>
      <c r="E290" s="2082"/>
      <c r="F290" s="1954"/>
      <c r="G290" s="90"/>
      <c r="H290" s="90"/>
      <c r="I290" s="90"/>
      <c r="J290" s="90"/>
      <c r="K290" s="90"/>
      <c r="L290" s="90"/>
      <c r="M290" s="1956"/>
      <c r="N290" s="643"/>
      <c r="O290" s="2083"/>
      <c r="P290" s="643"/>
      <c r="Q290" s="643"/>
      <c r="R290" s="280"/>
      <c r="S290" s="280"/>
      <c r="T290" s="280"/>
      <c r="U290" s="280"/>
      <c r="V290" s="280"/>
      <c r="W290" s="79"/>
    </row>
    <row r="291" spans="1:23" ht="15.75">
      <c r="A291" s="2080"/>
      <c r="B291" s="705"/>
      <c r="C291" s="90"/>
      <c r="D291" s="2081"/>
      <c r="E291" s="2082"/>
      <c r="F291" s="1954"/>
      <c r="G291" s="90"/>
      <c r="H291" s="90"/>
      <c r="I291" s="90"/>
      <c r="J291" s="90"/>
      <c r="K291" s="90"/>
      <c r="L291" s="90"/>
      <c r="M291" s="1956"/>
      <c r="N291" s="643"/>
      <c r="O291" s="2083"/>
      <c r="P291" s="643"/>
      <c r="Q291" s="643"/>
      <c r="R291" s="280"/>
      <c r="S291" s="280"/>
      <c r="T291" s="280"/>
      <c r="U291" s="280"/>
      <c r="V291" s="280"/>
      <c r="W291" s="79"/>
    </row>
    <row r="292" spans="1:23" ht="15.75">
      <c r="A292" s="2080"/>
      <c r="B292" s="705"/>
      <c r="C292" s="90"/>
      <c r="D292" s="2081"/>
      <c r="E292" s="2082"/>
      <c r="F292" s="1954"/>
      <c r="G292" s="90"/>
      <c r="H292" s="90"/>
      <c r="I292" s="90"/>
      <c r="J292" s="90"/>
      <c r="K292" s="90"/>
      <c r="L292" s="90"/>
      <c r="M292" s="1956"/>
      <c r="N292" s="643"/>
      <c r="O292" s="2083"/>
      <c r="P292" s="643"/>
      <c r="Q292" s="643"/>
      <c r="R292" s="280"/>
      <c r="S292" s="280"/>
      <c r="T292" s="280"/>
      <c r="U292" s="280"/>
      <c r="V292" s="280"/>
      <c r="W292" s="79"/>
    </row>
    <row r="293" spans="1:23" ht="15.75">
      <c r="A293" s="2080"/>
      <c r="B293" s="705"/>
      <c r="C293" s="90"/>
      <c r="D293" s="2081"/>
      <c r="E293" s="2082"/>
      <c r="F293" s="1954"/>
      <c r="G293" s="90"/>
      <c r="H293" s="90"/>
      <c r="I293" s="90"/>
      <c r="J293" s="90"/>
      <c r="K293" s="90"/>
      <c r="L293" s="90"/>
      <c r="M293" s="1956"/>
      <c r="N293" s="643"/>
      <c r="O293" s="2083"/>
      <c r="P293" s="643"/>
      <c r="Q293" s="643"/>
      <c r="R293" s="280"/>
      <c r="S293" s="280"/>
      <c r="T293" s="280"/>
      <c r="U293" s="280"/>
      <c r="V293" s="280"/>
      <c r="W293" s="79"/>
    </row>
    <row r="294" spans="1:23" ht="15.75">
      <c r="A294" s="2080"/>
      <c r="B294" s="705"/>
      <c r="C294" s="90"/>
      <c r="D294" s="2081"/>
      <c r="E294" s="2082"/>
      <c r="F294" s="1954"/>
      <c r="G294" s="90"/>
      <c r="H294" s="90"/>
      <c r="I294" s="90"/>
      <c r="J294" s="90"/>
      <c r="K294" s="90"/>
      <c r="L294" s="90"/>
      <c r="M294" s="1956"/>
      <c r="N294" s="643"/>
      <c r="O294" s="2083"/>
      <c r="P294" s="643"/>
      <c r="Q294" s="643"/>
      <c r="R294" s="280"/>
      <c r="S294" s="280"/>
      <c r="T294" s="280"/>
      <c r="U294" s="280"/>
      <c r="V294" s="280"/>
      <c r="W294" s="79"/>
    </row>
    <row r="295" spans="1:23" ht="15.75">
      <c r="A295" s="2080"/>
      <c r="B295" s="705"/>
      <c r="C295" s="90"/>
      <c r="D295" s="2081"/>
      <c r="E295" s="2082"/>
      <c r="F295" s="1954"/>
      <c r="G295" s="90"/>
      <c r="H295" s="90"/>
      <c r="I295" s="90"/>
      <c r="J295" s="90"/>
      <c r="K295" s="90"/>
      <c r="L295" s="90"/>
      <c r="M295" s="1956"/>
      <c r="N295" s="643"/>
      <c r="O295" s="2083"/>
      <c r="P295" s="643"/>
      <c r="Q295" s="643"/>
      <c r="R295" s="280"/>
      <c r="S295" s="280"/>
      <c r="T295" s="280"/>
      <c r="U295" s="280"/>
      <c r="V295" s="280"/>
      <c r="W295" s="79"/>
    </row>
    <row r="296" spans="1:23" ht="15.75">
      <c r="A296" s="2080"/>
      <c r="B296" s="705"/>
      <c r="C296" s="90"/>
      <c r="D296" s="2081"/>
      <c r="E296" s="2082"/>
      <c r="F296" s="1954"/>
      <c r="G296" s="90"/>
      <c r="H296" s="90"/>
      <c r="I296" s="90"/>
      <c r="J296" s="90"/>
      <c r="K296" s="90"/>
      <c r="L296" s="90"/>
      <c r="M296" s="1956"/>
      <c r="N296" s="643"/>
      <c r="O296" s="2083"/>
      <c r="P296" s="643"/>
      <c r="Q296" s="643"/>
      <c r="R296" s="280"/>
      <c r="S296" s="280"/>
      <c r="T296" s="280"/>
      <c r="U296" s="280"/>
      <c r="V296" s="280"/>
      <c r="W296" s="79"/>
    </row>
    <row r="297" spans="1:23" ht="15.75">
      <c r="A297" s="2080"/>
      <c r="B297" s="705"/>
      <c r="C297" s="90"/>
      <c r="D297" s="2081"/>
      <c r="E297" s="2082"/>
      <c r="F297" s="1954"/>
      <c r="G297" s="90"/>
      <c r="H297" s="90"/>
      <c r="I297" s="90"/>
      <c r="J297" s="90"/>
      <c r="K297" s="90"/>
      <c r="L297" s="90"/>
      <c r="M297" s="1956"/>
      <c r="N297" s="643"/>
      <c r="O297" s="2083"/>
      <c r="P297" s="643"/>
      <c r="Q297" s="643"/>
      <c r="R297" s="280"/>
      <c r="S297" s="280"/>
      <c r="T297" s="280"/>
      <c r="U297" s="280"/>
      <c r="V297" s="280"/>
      <c r="W297" s="79"/>
    </row>
    <row r="298" spans="1:23" ht="15.75">
      <c r="A298" s="2080"/>
      <c r="B298" s="705"/>
      <c r="C298" s="90"/>
      <c r="D298" s="2081"/>
      <c r="E298" s="2082"/>
      <c r="F298" s="1954"/>
      <c r="G298" s="90"/>
      <c r="H298" s="90"/>
      <c r="I298" s="90"/>
      <c r="J298" s="90"/>
      <c r="K298" s="90"/>
      <c r="L298" s="90"/>
      <c r="M298" s="1956"/>
      <c r="N298" s="643"/>
      <c r="O298" s="2083"/>
      <c r="P298" s="643"/>
      <c r="Q298" s="643"/>
      <c r="R298" s="280"/>
      <c r="S298" s="280"/>
      <c r="T298" s="280"/>
      <c r="U298" s="280"/>
      <c r="V298" s="280"/>
      <c r="W298" s="79"/>
    </row>
    <row r="299" spans="1:23" ht="15.75">
      <c r="A299" s="2080"/>
      <c r="B299" s="705"/>
      <c r="C299" s="90"/>
      <c r="D299" s="2081"/>
      <c r="E299" s="2082"/>
      <c r="F299" s="1954"/>
      <c r="G299" s="90"/>
      <c r="H299" s="90"/>
      <c r="I299" s="90"/>
      <c r="J299" s="90"/>
      <c r="K299" s="90"/>
      <c r="L299" s="90"/>
      <c r="M299" s="1956"/>
      <c r="N299" s="643"/>
      <c r="O299" s="2083"/>
      <c r="P299" s="643"/>
      <c r="Q299" s="643"/>
      <c r="R299" s="280"/>
      <c r="S299" s="280"/>
      <c r="T299" s="280"/>
      <c r="U299" s="280"/>
      <c r="V299" s="280"/>
      <c r="W299" s="79"/>
    </row>
    <row r="300" spans="1:23" ht="15.75">
      <c r="A300" s="2080"/>
      <c r="B300" s="705"/>
      <c r="C300" s="90"/>
      <c r="D300" s="2081"/>
      <c r="E300" s="2082"/>
      <c r="F300" s="1954"/>
      <c r="G300" s="90"/>
      <c r="H300" s="90"/>
      <c r="I300" s="90"/>
      <c r="J300" s="90"/>
      <c r="K300" s="90"/>
      <c r="L300" s="90"/>
      <c r="M300" s="1956"/>
      <c r="N300" s="643"/>
      <c r="O300" s="2083"/>
      <c r="P300" s="643"/>
      <c r="Q300" s="643"/>
      <c r="R300" s="280"/>
      <c r="S300" s="280"/>
      <c r="T300" s="280"/>
      <c r="U300" s="280"/>
      <c r="V300" s="280"/>
      <c r="W300" s="79"/>
    </row>
    <row r="301" spans="1:23" ht="15.75">
      <c r="A301" s="2080"/>
      <c r="B301" s="705"/>
      <c r="C301" s="90"/>
      <c r="D301" s="2081"/>
      <c r="E301" s="2082"/>
      <c r="F301" s="1954"/>
      <c r="G301" s="90"/>
      <c r="H301" s="90"/>
      <c r="I301" s="90"/>
      <c r="J301" s="90"/>
      <c r="K301" s="90"/>
      <c r="L301" s="90"/>
      <c r="M301" s="1956"/>
      <c r="N301" s="643"/>
      <c r="O301" s="2083"/>
      <c r="P301" s="643"/>
      <c r="Q301" s="643"/>
      <c r="R301" s="280"/>
      <c r="S301" s="280"/>
      <c r="T301" s="280"/>
      <c r="U301" s="280"/>
      <c r="V301" s="280"/>
      <c r="W301" s="79"/>
    </row>
    <row r="302" spans="1:23" ht="15.75">
      <c r="A302" s="2080"/>
      <c r="B302" s="705"/>
      <c r="C302" s="90"/>
      <c r="D302" s="2081"/>
      <c r="E302" s="2082"/>
      <c r="F302" s="1954"/>
      <c r="G302" s="90"/>
      <c r="H302" s="90"/>
      <c r="I302" s="90"/>
      <c r="J302" s="90"/>
      <c r="K302" s="90"/>
      <c r="L302" s="90"/>
      <c r="M302" s="1956"/>
      <c r="N302" s="643"/>
      <c r="O302" s="2083"/>
      <c r="P302" s="643"/>
      <c r="Q302" s="643"/>
      <c r="R302" s="280"/>
      <c r="S302" s="280"/>
      <c r="T302" s="280"/>
      <c r="U302" s="280"/>
      <c r="V302" s="280"/>
      <c r="W302" s="79"/>
    </row>
    <row r="303" spans="1:23" ht="15.75">
      <c r="A303" s="2080"/>
      <c r="B303" s="705"/>
      <c r="C303" s="90"/>
      <c r="D303" s="2081"/>
      <c r="E303" s="2082"/>
      <c r="F303" s="1954"/>
      <c r="G303" s="90"/>
      <c r="H303" s="90"/>
      <c r="I303" s="90"/>
      <c r="J303" s="90"/>
      <c r="K303" s="90"/>
      <c r="L303" s="90"/>
      <c r="M303" s="1956"/>
      <c r="N303" s="643"/>
      <c r="O303" s="2083"/>
      <c r="P303" s="643"/>
      <c r="Q303" s="643"/>
      <c r="R303" s="280"/>
      <c r="S303" s="280"/>
      <c r="T303" s="280"/>
      <c r="U303" s="280"/>
      <c r="V303" s="280"/>
      <c r="W303" s="79"/>
    </row>
    <row r="304" spans="1:23" ht="15.75">
      <c r="A304" s="2080"/>
      <c r="B304" s="705"/>
      <c r="C304" s="90"/>
      <c r="D304" s="2081"/>
      <c r="E304" s="2082"/>
      <c r="F304" s="1954"/>
      <c r="G304" s="90"/>
      <c r="H304" s="90"/>
      <c r="I304" s="90"/>
      <c r="J304" s="90"/>
      <c r="K304" s="90"/>
      <c r="L304" s="90"/>
      <c r="M304" s="1956"/>
      <c r="N304" s="643"/>
      <c r="O304" s="2083"/>
      <c r="P304" s="643"/>
      <c r="Q304" s="643"/>
      <c r="R304" s="280"/>
      <c r="S304" s="280"/>
      <c r="T304" s="280"/>
      <c r="U304" s="280"/>
      <c r="V304" s="280"/>
      <c r="W304" s="79"/>
    </row>
    <row r="305" spans="1:23" ht="15.75">
      <c r="A305" s="2080"/>
      <c r="B305" s="705"/>
      <c r="C305" s="90"/>
      <c r="D305" s="2081"/>
      <c r="E305" s="2082"/>
      <c r="F305" s="1954"/>
      <c r="G305" s="90"/>
      <c r="H305" s="90"/>
      <c r="I305" s="90"/>
      <c r="J305" s="90"/>
      <c r="K305" s="90"/>
      <c r="L305" s="90"/>
      <c r="M305" s="1956"/>
      <c r="N305" s="643"/>
      <c r="O305" s="2083"/>
      <c r="P305" s="643"/>
      <c r="Q305" s="643"/>
      <c r="R305" s="280"/>
      <c r="S305" s="280"/>
      <c r="T305" s="280"/>
      <c r="U305" s="280"/>
      <c r="V305" s="280"/>
      <c r="W305" s="79"/>
    </row>
    <row r="306" spans="1:23" ht="15.75">
      <c r="A306" s="2080"/>
      <c r="B306" s="705"/>
      <c r="C306" s="90"/>
      <c r="D306" s="2081"/>
      <c r="E306" s="2082"/>
      <c r="F306" s="1954"/>
      <c r="G306" s="90"/>
      <c r="H306" s="90"/>
      <c r="I306" s="90"/>
      <c r="J306" s="90"/>
      <c r="K306" s="90"/>
      <c r="L306" s="90"/>
      <c r="M306" s="1956"/>
      <c r="N306" s="643"/>
      <c r="O306" s="2083"/>
      <c r="P306" s="643"/>
      <c r="Q306" s="643"/>
      <c r="R306" s="280"/>
      <c r="S306" s="280"/>
      <c r="T306" s="280"/>
      <c r="U306" s="280"/>
      <c r="V306" s="280"/>
      <c r="W306" s="79"/>
    </row>
    <row r="307" spans="1:23" ht="15.75">
      <c r="A307" s="2080"/>
      <c r="B307" s="705"/>
      <c r="C307" s="90"/>
      <c r="D307" s="2081"/>
      <c r="E307" s="2082"/>
      <c r="F307" s="1954"/>
      <c r="G307" s="90"/>
      <c r="H307" s="90"/>
      <c r="I307" s="90"/>
      <c r="J307" s="90"/>
      <c r="K307" s="90"/>
      <c r="L307" s="90"/>
      <c r="M307" s="1956"/>
      <c r="N307" s="643"/>
      <c r="O307" s="2083"/>
      <c r="P307" s="643"/>
      <c r="Q307" s="643"/>
      <c r="R307" s="280"/>
      <c r="S307" s="280"/>
      <c r="T307" s="280"/>
      <c r="U307" s="280"/>
      <c r="V307" s="280"/>
      <c r="W307" s="79"/>
    </row>
    <row r="308" spans="1:23" ht="15.75">
      <c r="A308" s="2080"/>
      <c r="B308" s="705"/>
      <c r="C308" s="90"/>
      <c r="D308" s="2081"/>
      <c r="E308" s="2082"/>
      <c r="F308" s="1954"/>
      <c r="G308" s="90"/>
      <c r="H308" s="90"/>
      <c r="I308" s="90"/>
      <c r="J308" s="90"/>
      <c r="K308" s="90"/>
      <c r="L308" s="90"/>
      <c r="M308" s="1956"/>
      <c r="N308" s="643"/>
      <c r="O308" s="2083"/>
      <c r="P308" s="643"/>
      <c r="Q308" s="643"/>
      <c r="R308" s="280"/>
      <c r="S308" s="280"/>
      <c r="T308" s="280"/>
      <c r="U308" s="280"/>
      <c r="V308" s="280"/>
      <c r="W308" s="79"/>
    </row>
    <row r="309" spans="1:23" ht="15.75">
      <c r="A309" s="2080"/>
      <c r="B309" s="705"/>
      <c r="C309" s="90"/>
      <c r="D309" s="2081"/>
      <c r="E309" s="2082"/>
      <c r="F309" s="1954"/>
      <c r="G309" s="90"/>
      <c r="H309" s="90"/>
      <c r="I309" s="90"/>
      <c r="J309" s="90"/>
      <c r="K309" s="90"/>
      <c r="L309" s="90"/>
      <c r="M309" s="1956"/>
      <c r="N309" s="643"/>
      <c r="O309" s="2083"/>
      <c r="P309" s="643"/>
      <c r="Q309" s="643"/>
      <c r="R309" s="280"/>
      <c r="S309" s="280"/>
      <c r="T309" s="280"/>
      <c r="U309" s="280"/>
      <c r="V309" s="280"/>
      <c r="W309" s="79"/>
    </row>
    <row r="310" spans="1:23" ht="15.75">
      <c r="A310" s="2080"/>
      <c r="B310" s="705"/>
      <c r="C310" s="90"/>
      <c r="D310" s="2081"/>
      <c r="E310" s="2082"/>
      <c r="F310" s="1954"/>
      <c r="G310" s="90"/>
      <c r="H310" s="90"/>
      <c r="I310" s="90"/>
      <c r="J310" s="90"/>
      <c r="K310" s="90"/>
      <c r="L310" s="90"/>
      <c r="M310" s="1956"/>
      <c r="N310" s="643"/>
      <c r="O310" s="2083"/>
      <c r="P310" s="643"/>
      <c r="Q310" s="643"/>
      <c r="R310" s="280"/>
      <c r="S310" s="280"/>
      <c r="T310" s="280"/>
      <c r="U310" s="280"/>
      <c r="V310" s="280"/>
      <c r="W310" s="79"/>
    </row>
    <row r="311" spans="1:23" ht="15.75">
      <c r="A311" s="2080"/>
      <c r="B311" s="705"/>
      <c r="C311" s="90"/>
      <c r="D311" s="2081"/>
      <c r="E311" s="2082"/>
      <c r="F311" s="1954"/>
      <c r="G311" s="90"/>
      <c r="H311" s="90"/>
      <c r="I311" s="90"/>
      <c r="J311" s="90"/>
      <c r="K311" s="90"/>
      <c r="L311" s="90"/>
      <c r="M311" s="1956"/>
      <c r="N311" s="643"/>
      <c r="O311" s="2083"/>
      <c r="P311" s="643"/>
      <c r="Q311" s="643"/>
      <c r="R311" s="280"/>
      <c r="S311" s="280"/>
      <c r="T311" s="280"/>
      <c r="U311" s="280"/>
      <c r="V311" s="280"/>
      <c r="W311" s="79"/>
    </row>
    <row r="312" spans="1:23" ht="15.75">
      <c r="A312" s="2080"/>
      <c r="B312" s="705"/>
      <c r="C312" s="90"/>
      <c r="D312" s="2081"/>
      <c r="E312" s="2082"/>
      <c r="F312" s="1954"/>
      <c r="G312" s="90"/>
      <c r="H312" s="90"/>
      <c r="I312" s="90"/>
      <c r="J312" s="90"/>
      <c r="K312" s="90"/>
      <c r="L312" s="90"/>
      <c r="M312" s="1956"/>
      <c r="N312" s="643"/>
      <c r="O312" s="2083"/>
      <c r="P312" s="643"/>
      <c r="Q312" s="643"/>
      <c r="R312" s="280"/>
      <c r="S312" s="280"/>
      <c r="T312" s="280"/>
      <c r="U312" s="280"/>
      <c r="V312" s="280"/>
      <c r="W312" s="79"/>
    </row>
    <row r="313" spans="1:23" ht="15.75">
      <c r="A313" s="2080"/>
      <c r="B313" s="705"/>
      <c r="C313" s="90"/>
      <c r="D313" s="2081"/>
      <c r="E313" s="2082"/>
      <c r="F313" s="1954"/>
      <c r="G313" s="90"/>
      <c r="H313" s="90"/>
      <c r="I313" s="90"/>
      <c r="J313" s="90"/>
      <c r="K313" s="90"/>
      <c r="L313" s="90"/>
      <c r="M313" s="1956"/>
      <c r="N313" s="643"/>
      <c r="O313" s="2083"/>
      <c r="P313" s="643"/>
      <c r="Q313" s="643"/>
      <c r="R313" s="280"/>
      <c r="S313" s="280"/>
      <c r="T313" s="280"/>
      <c r="U313" s="280"/>
      <c r="V313" s="280"/>
      <c r="W313" s="79"/>
    </row>
    <row r="314" spans="1:23" ht="15.75">
      <c r="A314" s="2080"/>
      <c r="B314" s="705"/>
      <c r="C314" s="90"/>
      <c r="D314" s="2081"/>
      <c r="E314" s="2082"/>
      <c r="F314" s="1954"/>
      <c r="G314" s="90"/>
      <c r="H314" s="90"/>
      <c r="I314" s="90"/>
      <c r="J314" s="90"/>
      <c r="K314" s="90"/>
      <c r="L314" s="90"/>
      <c r="M314" s="1956"/>
      <c r="N314" s="643"/>
      <c r="O314" s="2083"/>
      <c r="P314" s="643"/>
      <c r="Q314" s="643"/>
      <c r="R314" s="280"/>
      <c r="S314" s="280"/>
      <c r="T314" s="280"/>
      <c r="U314" s="280"/>
      <c r="V314" s="280"/>
      <c r="W314" s="79"/>
    </row>
    <row r="315" spans="1:23" ht="15.75">
      <c r="A315" s="2080"/>
      <c r="B315" s="705"/>
      <c r="C315" s="90"/>
      <c r="D315" s="2081"/>
      <c r="E315" s="2082"/>
      <c r="F315" s="1954"/>
      <c r="G315" s="90"/>
      <c r="H315" s="90"/>
      <c r="I315" s="90"/>
      <c r="J315" s="90"/>
      <c r="K315" s="90"/>
      <c r="L315" s="90"/>
      <c r="M315" s="1956"/>
      <c r="N315" s="643"/>
      <c r="O315" s="2083"/>
      <c r="P315" s="643"/>
      <c r="Q315" s="643"/>
      <c r="R315" s="280"/>
      <c r="S315" s="280"/>
      <c r="T315" s="280"/>
      <c r="U315" s="280"/>
      <c r="V315" s="280"/>
      <c r="W315" s="79"/>
    </row>
    <row r="316" spans="1:23" ht="15.75">
      <c r="A316" s="2080"/>
      <c r="B316" s="705"/>
      <c r="C316" s="90"/>
      <c r="D316" s="2081"/>
      <c r="E316" s="2082"/>
      <c r="F316" s="1954"/>
      <c r="G316" s="90"/>
      <c r="H316" s="90"/>
      <c r="I316" s="90"/>
      <c r="J316" s="90"/>
      <c r="K316" s="90"/>
      <c r="L316" s="90"/>
      <c r="M316" s="1956"/>
      <c r="N316" s="643"/>
      <c r="O316" s="2083"/>
      <c r="P316" s="643"/>
      <c r="Q316" s="643"/>
      <c r="R316" s="280"/>
      <c r="S316" s="280"/>
      <c r="T316" s="280"/>
      <c r="U316" s="280"/>
      <c r="V316" s="280"/>
      <c r="W316" s="79"/>
    </row>
    <row r="317" spans="1:23" ht="15.75">
      <c r="A317" s="2080"/>
      <c r="B317" s="705"/>
      <c r="C317" s="90"/>
      <c r="D317" s="2081"/>
      <c r="E317" s="2082"/>
      <c r="F317" s="1954"/>
      <c r="G317" s="90"/>
      <c r="H317" s="90"/>
      <c r="I317" s="90"/>
      <c r="J317" s="90"/>
      <c r="K317" s="90"/>
      <c r="L317" s="90"/>
      <c r="M317" s="1956"/>
      <c r="N317" s="643"/>
      <c r="O317" s="2083"/>
      <c r="P317" s="643"/>
      <c r="Q317" s="643"/>
      <c r="R317" s="280"/>
      <c r="S317" s="280"/>
      <c r="T317" s="280"/>
      <c r="U317" s="280"/>
      <c r="V317" s="280"/>
      <c r="W317" s="79"/>
    </row>
    <row r="318" spans="1:23" ht="15.75">
      <c r="A318" s="2080"/>
      <c r="B318" s="705"/>
      <c r="C318" s="90"/>
      <c r="D318" s="2081"/>
      <c r="E318" s="2082"/>
      <c r="F318" s="1954"/>
      <c r="G318" s="90"/>
      <c r="H318" s="90"/>
      <c r="I318" s="90"/>
      <c r="J318" s="90"/>
      <c r="K318" s="90"/>
      <c r="L318" s="90"/>
      <c r="M318" s="1956"/>
      <c r="N318" s="643"/>
      <c r="O318" s="2083"/>
      <c r="P318" s="643"/>
      <c r="Q318" s="643"/>
      <c r="R318" s="280"/>
      <c r="S318" s="280"/>
      <c r="T318" s="280"/>
      <c r="U318" s="280"/>
      <c r="V318" s="280"/>
      <c r="W318" s="79"/>
    </row>
    <row r="319" spans="1:23" ht="15.75">
      <c r="A319" s="2080"/>
      <c r="B319" s="705"/>
      <c r="C319" s="90"/>
      <c r="D319" s="2081"/>
      <c r="E319" s="2082"/>
      <c r="F319" s="1954"/>
      <c r="G319" s="90"/>
      <c r="H319" s="90"/>
      <c r="I319" s="90"/>
      <c r="J319" s="90"/>
      <c r="K319" s="90"/>
      <c r="L319" s="90"/>
      <c r="M319" s="1956"/>
      <c r="N319" s="643"/>
      <c r="O319" s="2083"/>
      <c r="P319" s="643"/>
      <c r="Q319" s="643"/>
      <c r="R319" s="280"/>
      <c r="S319" s="280"/>
      <c r="T319" s="280"/>
      <c r="U319" s="280"/>
      <c r="V319" s="280"/>
      <c r="W319" s="79"/>
    </row>
    <row r="320" spans="1:23" ht="15.75">
      <c r="A320" s="2080"/>
      <c r="B320" s="705"/>
      <c r="C320" s="90"/>
      <c r="D320" s="2081"/>
      <c r="E320" s="2082"/>
      <c r="F320" s="1954"/>
      <c r="G320" s="90"/>
      <c r="H320" s="90"/>
      <c r="I320" s="90"/>
      <c r="J320" s="90"/>
      <c r="K320" s="90"/>
      <c r="L320" s="90"/>
      <c r="M320" s="1956"/>
      <c r="N320" s="643"/>
      <c r="O320" s="2083"/>
      <c r="P320" s="643"/>
      <c r="Q320" s="643"/>
      <c r="R320" s="280"/>
      <c r="S320" s="280"/>
      <c r="T320" s="280"/>
      <c r="U320" s="280"/>
      <c r="V320" s="280"/>
      <c r="W320" s="79"/>
    </row>
    <row r="321" spans="1:23" ht="15.75">
      <c r="A321" s="2080"/>
      <c r="B321" s="705"/>
      <c r="C321" s="90"/>
      <c r="D321" s="2081"/>
      <c r="E321" s="2082"/>
      <c r="F321" s="1954"/>
      <c r="G321" s="90"/>
      <c r="H321" s="90"/>
      <c r="I321" s="90"/>
      <c r="J321" s="90"/>
      <c r="K321" s="90"/>
      <c r="L321" s="90"/>
      <c r="M321" s="1956"/>
      <c r="N321" s="643"/>
      <c r="O321" s="2083"/>
      <c r="P321" s="643"/>
      <c r="Q321" s="643"/>
      <c r="R321" s="280"/>
      <c r="S321" s="280"/>
      <c r="T321" s="280"/>
      <c r="U321" s="280"/>
      <c r="V321" s="280"/>
      <c r="W321" s="79"/>
    </row>
    <row r="322" spans="1:23" ht="15.75">
      <c r="A322" s="2080"/>
      <c r="B322" s="705"/>
      <c r="C322" s="90"/>
      <c r="D322" s="2081"/>
      <c r="E322" s="2082"/>
      <c r="F322" s="1954"/>
      <c r="G322" s="90"/>
      <c r="H322" s="90"/>
      <c r="I322" s="90"/>
      <c r="J322" s="90"/>
      <c r="K322" s="90"/>
      <c r="L322" s="90"/>
      <c r="M322" s="1956"/>
      <c r="N322" s="643"/>
      <c r="O322" s="2083"/>
      <c r="P322" s="643"/>
      <c r="Q322" s="643"/>
      <c r="R322" s="280"/>
      <c r="S322" s="280"/>
      <c r="T322" s="280"/>
      <c r="U322" s="280"/>
      <c r="V322" s="280"/>
      <c r="W322" s="79"/>
    </row>
    <row r="323" spans="1:23" ht="15.75">
      <c r="A323" s="2080"/>
      <c r="B323" s="705"/>
      <c r="C323" s="90"/>
      <c r="D323" s="2081"/>
      <c r="E323" s="2082"/>
      <c r="F323" s="1954"/>
      <c r="G323" s="90"/>
      <c r="H323" s="90"/>
      <c r="I323" s="90"/>
      <c r="J323" s="90"/>
      <c r="K323" s="90"/>
      <c r="L323" s="90"/>
      <c r="M323" s="1956"/>
      <c r="N323" s="643"/>
      <c r="O323" s="2083"/>
      <c r="P323" s="643"/>
      <c r="Q323" s="643"/>
      <c r="R323" s="280"/>
      <c r="S323" s="280"/>
      <c r="T323" s="280"/>
      <c r="U323" s="280"/>
      <c r="V323" s="280"/>
      <c r="W323" s="79"/>
    </row>
    <row r="324" spans="1:23" ht="15.75">
      <c r="A324" s="2080"/>
      <c r="B324" s="705"/>
      <c r="C324" s="90"/>
      <c r="D324" s="2081"/>
      <c r="E324" s="2082"/>
      <c r="F324" s="1954"/>
      <c r="G324" s="90"/>
      <c r="H324" s="90"/>
      <c r="I324" s="90"/>
      <c r="J324" s="90"/>
      <c r="K324" s="90"/>
      <c r="L324" s="90"/>
      <c r="M324" s="1956"/>
      <c r="N324" s="643"/>
      <c r="O324" s="2083"/>
      <c r="P324" s="643"/>
      <c r="Q324" s="643"/>
      <c r="R324" s="280"/>
      <c r="S324" s="280"/>
      <c r="T324" s="280"/>
      <c r="U324" s="280"/>
      <c r="V324" s="280"/>
      <c r="W324" s="79"/>
    </row>
    <row r="325" spans="1:23" ht="15.75">
      <c r="A325" s="2080"/>
      <c r="B325" s="705"/>
      <c r="C325" s="90"/>
      <c r="D325" s="2081"/>
      <c r="E325" s="2082"/>
      <c r="F325" s="1954"/>
      <c r="G325" s="90"/>
      <c r="H325" s="90"/>
      <c r="I325" s="90"/>
      <c r="J325" s="90"/>
      <c r="K325" s="90"/>
      <c r="L325" s="90"/>
      <c r="M325" s="1956"/>
      <c r="N325" s="643"/>
      <c r="O325" s="2083"/>
      <c r="P325" s="643"/>
      <c r="Q325" s="643"/>
      <c r="R325" s="280"/>
      <c r="S325" s="280"/>
      <c r="T325" s="280"/>
      <c r="U325" s="280"/>
      <c r="V325" s="280"/>
      <c r="W325" s="79"/>
    </row>
    <row r="326" spans="1:23" ht="15.75">
      <c r="A326" s="2080"/>
      <c r="B326" s="705"/>
      <c r="C326" s="90"/>
      <c r="D326" s="2081"/>
      <c r="E326" s="2082"/>
      <c r="F326" s="1954"/>
      <c r="G326" s="90"/>
      <c r="H326" s="90"/>
      <c r="I326" s="90"/>
      <c r="J326" s="90"/>
      <c r="K326" s="90"/>
      <c r="L326" s="90"/>
      <c r="M326" s="1956"/>
      <c r="N326" s="643"/>
      <c r="O326" s="2083"/>
      <c r="P326" s="643"/>
      <c r="Q326" s="643"/>
      <c r="R326" s="280"/>
      <c r="S326" s="280"/>
      <c r="T326" s="280"/>
      <c r="U326" s="280"/>
      <c r="V326" s="280"/>
      <c r="W326" s="79"/>
    </row>
    <row r="327" spans="1:23" ht="15.75">
      <c r="A327" s="2080"/>
      <c r="B327" s="705"/>
      <c r="C327" s="90"/>
      <c r="D327" s="2081"/>
      <c r="E327" s="2082"/>
      <c r="F327" s="1954"/>
      <c r="G327" s="90"/>
      <c r="H327" s="90"/>
      <c r="I327" s="90"/>
      <c r="J327" s="90"/>
      <c r="K327" s="90"/>
      <c r="L327" s="90"/>
      <c r="M327" s="1956"/>
      <c r="N327" s="643"/>
      <c r="O327" s="2083"/>
      <c r="P327" s="643"/>
      <c r="Q327" s="643"/>
      <c r="R327" s="280"/>
      <c r="S327" s="280"/>
      <c r="T327" s="280"/>
      <c r="U327" s="280"/>
      <c r="V327" s="280"/>
      <c r="W327" s="79"/>
    </row>
    <row r="328" spans="1:23" ht="15.75">
      <c r="A328" s="2080"/>
      <c r="B328" s="705"/>
      <c r="C328" s="90"/>
      <c r="D328" s="2081"/>
      <c r="E328" s="2082"/>
      <c r="F328" s="1954"/>
      <c r="G328" s="90"/>
      <c r="H328" s="90"/>
      <c r="I328" s="90"/>
      <c r="J328" s="90"/>
      <c r="K328" s="90"/>
      <c r="L328" s="90"/>
      <c r="M328" s="1956"/>
      <c r="N328" s="643"/>
      <c r="O328" s="2083"/>
      <c r="P328" s="643"/>
      <c r="Q328" s="643"/>
      <c r="R328" s="280"/>
      <c r="S328" s="280"/>
      <c r="T328" s="280"/>
      <c r="U328" s="280"/>
      <c r="V328" s="280"/>
      <c r="W328" s="79"/>
    </row>
    <row r="329" spans="1:23" ht="15.75">
      <c r="A329" s="2080"/>
      <c r="B329" s="705"/>
      <c r="C329" s="90"/>
      <c r="D329" s="2081"/>
      <c r="E329" s="2082"/>
      <c r="F329" s="1954"/>
      <c r="G329" s="90"/>
      <c r="H329" s="90"/>
      <c r="I329" s="90"/>
      <c r="J329" s="90"/>
      <c r="K329" s="90"/>
      <c r="L329" s="90"/>
      <c r="M329" s="1956"/>
      <c r="N329" s="643"/>
      <c r="O329" s="2083"/>
      <c r="P329" s="643"/>
      <c r="Q329" s="643"/>
      <c r="R329" s="280"/>
      <c r="S329" s="280"/>
      <c r="T329" s="280"/>
      <c r="U329" s="280"/>
      <c r="V329" s="280"/>
      <c r="W329" s="79"/>
    </row>
    <row r="330" spans="1:23" ht="15.75">
      <c r="A330" s="2080"/>
      <c r="B330" s="705"/>
      <c r="C330" s="90"/>
      <c r="D330" s="2081"/>
      <c r="E330" s="2082"/>
      <c r="F330" s="1954"/>
      <c r="G330" s="90"/>
      <c r="H330" s="90"/>
      <c r="I330" s="90"/>
      <c r="J330" s="90"/>
      <c r="K330" s="90"/>
      <c r="L330" s="90"/>
      <c r="M330" s="1956"/>
      <c r="N330" s="643"/>
      <c r="O330" s="2083"/>
      <c r="P330" s="643"/>
      <c r="Q330" s="643"/>
      <c r="R330" s="280"/>
      <c r="S330" s="280"/>
      <c r="T330" s="280"/>
      <c r="U330" s="280"/>
      <c r="V330" s="280"/>
      <c r="W330" s="79"/>
    </row>
    <row r="331" spans="1:23" ht="15.75">
      <c r="A331" s="2080"/>
      <c r="B331" s="705"/>
      <c r="C331" s="90"/>
      <c r="D331" s="2081"/>
      <c r="E331" s="2082"/>
      <c r="F331" s="1954"/>
      <c r="G331" s="90"/>
      <c r="H331" s="90"/>
      <c r="I331" s="90"/>
      <c r="J331" s="90"/>
      <c r="K331" s="90"/>
      <c r="L331" s="90"/>
      <c r="M331" s="1956"/>
      <c r="N331" s="643"/>
      <c r="O331" s="2083"/>
      <c r="P331" s="643"/>
      <c r="Q331" s="643"/>
      <c r="R331" s="280"/>
      <c r="S331" s="280"/>
      <c r="T331" s="280"/>
      <c r="U331" s="280"/>
      <c r="V331" s="280"/>
      <c r="W331" s="79"/>
    </row>
    <row r="332" spans="1:23" ht="15.75">
      <c r="A332" s="2080"/>
      <c r="B332" s="705"/>
      <c r="C332" s="90"/>
      <c r="D332" s="2081"/>
      <c r="E332" s="2082"/>
      <c r="F332" s="1954"/>
      <c r="G332" s="90"/>
      <c r="H332" s="90"/>
      <c r="I332" s="90"/>
      <c r="J332" s="90"/>
      <c r="K332" s="90"/>
      <c r="L332" s="90"/>
      <c r="M332" s="1956"/>
      <c r="N332" s="643"/>
      <c r="O332" s="2083"/>
      <c r="P332" s="643"/>
      <c r="Q332" s="643"/>
      <c r="R332" s="280"/>
      <c r="S332" s="280"/>
      <c r="T332" s="280"/>
      <c r="U332" s="280"/>
      <c r="V332" s="280"/>
      <c r="W332" s="79"/>
    </row>
    <row r="333" spans="1:23" ht="15.75">
      <c r="A333" s="2080"/>
      <c r="B333" s="705"/>
      <c r="C333" s="90"/>
      <c r="D333" s="2081"/>
      <c r="E333" s="2082"/>
      <c r="F333" s="1954"/>
      <c r="G333" s="90"/>
      <c r="H333" s="90"/>
      <c r="I333" s="90"/>
      <c r="J333" s="90"/>
      <c r="K333" s="90"/>
      <c r="L333" s="90"/>
      <c r="M333" s="1956"/>
      <c r="N333" s="643"/>
      <c r="O333" s="2083"/>
      <c r="P333" s="643"/>
      <c r="Q333" s="643"/>
      <c r="R333" s="280"/>
      <c r="S333" s="280"/>
      <c r="T333" s="280"/>
      <c r="U333" s="280"/>
      <c r="V333" s="280"/>
      <c r="W333" s="79"/>
    </row>
    <row r="334" spans="1:23" ht="15.75">
      <c r="A334" s="2080"/>
      <c r="B334" s="705"/>
      <c r="C334" s="90"/>
      <c r="D334" s="2081"/>
      <c r="E334" s="2082"/>
      <c r="F334" s="1954"/>
      <c r="G334" s="90"/>
      <c r="H334" s="90"/>
      <c r="I334" s="90"/>
      <c r="J334" s="90"/>
      <c r="K334" s="90"/>
      <c r="L334" s="90"/>
      <c r="M334" s="1956"/>
      <c r="N334" s="643"/>
      <c r="O334" s="2083"/>
      <c r="P334" s="643"/>
      <c r="Q334" s="643"/>
      <c r="R334" s="280"/>
      <c r="S334" s="280"/>
      <c r="T334" s="280"/>
      <c r="U334" s="280"/>
      <c r="V334" s="280"/>
      <c r="W334" s="79"/>
    </row>
    <row r="335" spans="1:23" ht="15.75">
      <c r="A335" s="2080"/>
      <c r="B335" s="705"/>
      <c r="C335" s="90"/>
      <c r="D335" s="2081"/>
      <c r="E335" s="2082"/>
      <c r="F335" s="1954"/>
      <c r="G335" s="90"/>
      <c r="H335" s="90"/>
      <c r="I335" s="90"/>
      <c r="J335" s="90"/>
      <c r="K335" s="90"/>
      <c r="L335" s="90"/>
      <c r="M335" s="1956"/>
      <c r="N335" s="643"/>
      <c r="O335" s="2083"/>
      <c r="P335" s="643"/>
      <c r="Q335" s="643"/>
      <c r="R335" s="280"/>
      <c r="S335" s="280"/>
      <c r="T335" s="280"/>
      <c r="U335" s="280"/>
      <c r="V335" s="280"/>
      <c r="W335" s="79"/>
    </row>
    <row r="336" spans="1:23" ht="15.75">
      <c r="A336" s="2080"/>
      <c r="B336" s="705"/>
      <c r="C336" s="90"/>
      <c r="D336" s="2081"/>
      <c r="E336" s="2082"/>
      <c r="F336" s="1954"/>
      <c r="G336" s="90"/>
      <c r="H336" s="90"/>
      <c r="I336" s="90"/>
      <c r="J336" s="90"/>
      <c r="K336" s="90"/>
      <c r="L336" s="90"/>
      <c r="M336" s="1956"/>
      <c r="N336" s="643"/>
      <c r="O336" s="2083"/>
      <c r="P336" s="643"/>
      <c r="Q336" s="643"/>
      <c r="R336" s="280"/>
      <c r="S336" s="280"/>
      <c r="T336" s="280"/>
      <c r="U336" s="280"/>
      <c r="V336" s="280"/>
      <c r="W336" s="79"/>
    </row>
    <row r="337" spans="1:23" ht="15.75">
      <c r="A337" s="2080"/>
      <c r="B337" s="705"/>
      <c r="C337" s="90"/>
      <c r="D337" s="2081"/>
      <c r="E337" s="2082"/>
      <c r="F337" s="1954"/>
      <c r="G337" s="90"/>
      <c r="H337" s="90"/>
      <c r="I337" s="90"/>
      <c r="J337" s="90"/>
      <c r="K337" s="90"/>
      <c r="L337" s="90"/>
      <c r="M337" s="1956"/>
      <c r="N337" s="643"/>
      <c r="O337" s="2083"/>
      <c r="P337" s="643"/>
      <c r="Q337" s="643"/>
      <c r="R337" s="280"/>
      <c r="S337" s="280"/>
      <c r="T337" s="280"/>
      <c r="U337" s="280"/>
      <c r="V337" s="280"/>
      <c r="W337" s="79"/>
    </row>
    <row r="338" spans="1:23" ht="15.75">
      <c r="A338" s="2080"/>
      <c r="B338" s="705"/>
      <c r="C338" s="90"/>
      <c r="D338" s="2081"/>
      <c r="E338" s="2082"/>
      <c r="F338" s="1954"/>
      <c r="G338" s="90"/>
      <c r="H338" s="90"/>
      <c r="I338" s="90"/>
      <c r="J338" s="90"/>
      <c r="K338" s="90"/>
      <c r="L338" s="90"/>
      <c r="M338" s="1956"/>
      <c r="N338" s="643"/>
      <c r="O338" s="2083"/>
      <c r="P338" s="643"/>
      <c r="Q338" s="643"/>
      <c r="R338" s="280"/>
      <c r="S338" s="280"/>
      <c r="T338" s="280"/>
      <c r="U338" s="280"/>
      <c r="V338" s="280"/>
      <c r="W338" s="79"/>
    </row>
    <row r="339" spans="1:23" ht="15.75">
      <c r="A339" s="2080"/>
      <c r="B339" s="705"/>
      <c r="C339" s="90"/>
      <c r="D339" s="2081"/>
      <c r="E339" s="2082"/>
      <c r="F339" s="1954"/>
      <c r="G339" s="90"/>
      <c r="H339" s="90"/>
      <c r="I339" s="90"/>
      <c r="J339" s="90"/>
      <c r="K339" s="90"/>
      <c r="L339" s="90"/>
      <c r="M339" s="1956"/>
      <c r="N339" s="643"/>
      <c r="O339" s="2083"/>
      <c r="P339" s="643"/>
      <c r="Q339" s="643"/>
      <c r="R339" s="280"/>
      <c r="S339" s="280"/>
      <c r="T339" s="280"/>
      <c r="U339" s="280"/>
      <c r="V339" s="280"/>
      <c r="W339" s="79"/>
    </row>
    <row r="340" spans="1:23" ht="15.75">
      <c r="A340" s="2080"/>
      <c r="B340" s="705"/>
      <c r="C340" s="90"/>
      <c r="D340" s="2081"/>
      <c r="E340" s="2082"/>
      <c r="F340" s="1954"/>
      <c r="G340" s="90"/>
      <c r="H340" s="90"/>
      <c r="I340" s="90"/>
      <c r="J340" s="90"/>
      <c r="K340" s="90"/>
      <c r="L340" s="90"/>
      <c r="M340" s="1956"/>
      <c r="N340" s="643"/>
      <c r="O340" s="2083"/>
      <c r="P340" s="643"/>
      <c r="Q340" s="643"/>
      <c r="R340" s="280"/>
      <c r="S340" s="280"/>
      <c r="T340" s="280"/>
      <c r="U340" s="280"/>
      <c r="V340" s="280"/>
      <c r="W340" s="79"/>
    </row>
    <row r="341" spans="1:23" ht="15.75">
      <c r="A341" s="2080"/>
      <c r="B341" s="705"/>
      <c r="C341" s="90"/>
      <c r="D341" s="2081"/>
      <c r="E341" s="2082"/>
      <c r="F341" s="1954"/>
      <c r="G341" s="90"/>
      <c r="H341" s="90"/>
      <c r="I341" s="90"/>
      <c r="J341" s="90"/>
      <c r="K341" s="90"/>
      <c r="L341" s="90"/>
      <c r="M341" s="1956"/>
      <c r="N341" s="643"/>
      <c r="O341" s="2083"/>
      <c r="P341" s="643"/>
      <c r="Q341" s="643"/>
      <c r="R341" s="280"/>
      <c r="S341" s="280"/>
      <c r="T341" s="280"/>
      <c r="U341" s="280"/>
      <c r="V341" s="280"/>
      <c r="W341" s="79"/>
    </row>
    <row r="342" spans="1:23" ht="15.75">
      <c r="A342" s="2080"/>
      <c r="B342" s="705"/>
      <c r="C342" s="90"/>
      <c r="D342" s="2081"/>
      <c r="E342" s="2082"/>
      <c r="F342" s="1954"/>
      <c r="G342" s="90"/>
      <c r="H342" s="90"/>
      <c r="I342" s="90"/>
      <c r="J342" s="90"/>
      <c r="K342" s="90"/>
      <c r="L342" s="90"/>
      <c r="M342" s="1956"/>
      <c r="N342" s="643"/>
      <c r="O342" s="2083"/>
      <c r="P342" s="643"/>
      <c r="Q342" s="643"/>
      <c r="R342" s="280"/>
      <c r="S342" s="280"/>
      <c r="T342" s="280"/>
      <c r="U342" s="280"/>
      <c r="V342" s="280"/>
      <c r="W342" s="79"/>
    </row>
    <row r="343" spans="1:23" ht="15.75">
      <c r="A343" s="2080"/>
      <c r="B343" s="705"/>
      <c r="C343" s="90"/>
      <c r="D343" s="2081"/>
      <c r="E343" s="2082"/>
      <c r="F343" s="1954"/>
      <c r="G343" s="90"/>
      <c r="H343" s="90"/>
      <c r="I343" s="90"/>
      <c r="J343" s="90"/>
      <c r="K343" s="90"/>
      <c r="L343" s="90"/>
      <c r="M343" s="1956"/>
      <c r="N343" s="643"/>
      <c r="O343" s="2083"/>
      <c r="P343" s="643"/>
      <c r="Q343" s="643"/>
      <c r="R343" s="280"/>
      <c r="S343" s="280"/>
      <c r="T343" s="280"/>
      <c r="U343" s="280"/>
      <c r="V343" s="280"/>
      <c r="W343" s="79"/>
    </row>
    <row r="344" spans="1:23" ht="15.75">
      <c r="A344" s="2080"/>
      <c r="B344" s="705"/>
      <c r="C344" s="90"/>
      <c r="D344" s="2081"/>
      <c r="E344" s="2082"/>
      <c r="F344" s="1954"/>
      <c r="G344" s="90"/>
      <c r="H344" s="90"/>
      <c r="I344" s="90"/>
      <c r="J344" s="90"/>
      <c r="K344" s="90"/>
      <c r="L344" s="90"/>
      <c r="M344" s="1956"/>
      <c r="N344" s="643"/>
      <c r="O344" s="2083"/>
      <c r="P344" s="643"/>
      <c r="Q344" s="643"/>
      <c r="R344" s="280"/>
      <c r="S344" s="280"/>
      <c r="T344" s="280"/>
      <c r="U344" s="280"/>
      <c r="V344" s="280"/>
      <c r="W344" s="79"/>
    </row>
    <row r="345" spans="1:23" ht="15.75">
      <c r="A345" s="2080"/>
      <c r="B345" s="705"/>
      <c r="C345" s="90"/>
      <c r="D345" s="2081"/>
      <c r="E345" s="2082"/>
      <c r="F345" s="1954"/>
      <c r="G345" s="90"/>
      <c r="H345" s="90"/>
      <c r="I345" s="90"/>
      <c r="J345" s="90"/>
      <c r="K345" s="90"/>
      <c r="L345" s="90"/>
      <c r="M345" s="1956"/>
      <c r="N345" s="643"/>
      <c r="O345" s="2083"/>
      <c r="P345" s="643"/>
      <c r="Q345" s="643"/>
      <c r="R345" s="280"/>
      <c r="S345" s="280"/>
      <c r="T345" s="280"/>
      <c r="U345" s="280"/>
      <c r="V345" s="280"/>
      <c r="W345" s="79"/>
    </row>
    <row r="346" spans="1:23" ht="15.75">
      <c r="A346" s="2080"/>
      <c r="B346" s="705"/>
      <c r="C346" s="90"/>
      <c r="D346" s="2081"/>
      <c r="E346" s="2082"/>
      <c r="F346" s="1954"/>
      <c r="G346" s="90"/>
      <c r="H346" s="90"/>
      <c r="I346" s="90"/>
      <c r="J346" s="90"/>
      <c r="K346" s="90"/>
      <c r="L346" s="90"/>
      <c r="M346" s="1956"/>
      <c r="N346" s="643"/>
      <c r="O346" s="2083"/>
      <c r="P346" s="643"/>
      <c r="Q346" s="643"/>
      <c r="R346" s="280"/>
      <c r="S346" s="280"/>
      <c r="T346" s="280"/>
      <c r="U346" s="280"/>
      <c r="V346" s="280"/>
      <c r="W346" s="79"/>
    </row>
    <row r="347" spans="1:23" ht="15.75">
      <c r="A347" s="2080"/>
      <c r="B347" s="705"/>
      <c r="C347" s="90"/>
      <c r="D347" s="2081"/>
      <c r="E347" s="2082"/>
      <c r="F347" s="1954"/>
      <c r="G347" s="90"/>
      <c r="H347" s="90"/>
      <c r="I347" s="90"/>
      <c r="J347" s="90"/>
      <c r="K347" s="90"/>
      <c r="L347" s="90"/>
      <c r="M347" s="1956"/>
      <c r="N347" s="643"/>
      <c r="O347" s="2083"/>
      <c r="P347" s="643"/>
      <c r="Q347" s="643"/>
      <c r="R347" s="280"/>
      <c r="S347" s="280"/>
      <c r="T347" s="280"/>
      <c r="U347" s="280"/>
      <c r="V347" s="280"/>
      <c r="W347" s="79"/>
    </row>
    <row r="348" spans="1:23" ht="15.75">
      <c r="A348" s="2080"/>
      <c r="B348" s="705"/>
      <c r="C348" s="90"/>
      <c r="D348" s="2081"/>
      <c r="E348" s="2082"/>
      <c r="F348" s="1954"/>
      <c r="G348" s="90"/>
      <c r="H348" s="90"/>
      <c r="I348" s="90"/>
      <c r="J348" s="90"/>
      <c r="K348" s="90"/>
      <c r="L348" s="90"/>
      <c r="M348" s="1956"/>
      <c r="N348" s="643"/>
      <c r="O348" s="2083"/>
      <c r="P348" s="643"/>
      <c r="Q348" s="643"/>
      <c r="R348" s="280"/>
      <c r="S348" s="280"/>
      <c r="T348" s="280"/>
      <c r="U348" s="280"/>
      <c r="V348" s="280"/>
      <c r="W348" s="79"/>
    </row>
    <row r="349" spans="1:23" ht="15.75">
      <c r="A349" s="2080"/>
      <c r="B349" s="705"/>
      <c r="C349" s="90"/>
      <c r="D349" s="2081"/>
      <c r="E349" s="2082"/>
      <c r="F349" s="1954"/>
      <c r="G349" s="90"/>
      <c r="H349" s="90"/>
      <c r="I349" s="90"/>
      <c r="J349" s="90"/>
      <c r="K349" s="90"/>
      <c r="L349" s="90"/>
      <c r="M349" s="1956"/>
      <c r="N349" s="643"/>
      <c r="O349" s="2083"/>
      <c r="P349" s="643"/>
      <c r="Q349" s="643"/>
      <c r="R349" s="280"/>
      <c r="S349" s="280"/>
      <c r="T349" s="280"/>
      <c r="U349" s="280"/>
      <c r="V349" s="280"/>
      <c r="W349" s="79"/>
    </row>
    <row r="350" spans="1:23" ht="15.75">
      <c r="A350" s="2080"/>
      <c r="B350" s="705"/>
      <c r="C350" s="90"/>
      <c r="D350" s="2081"/>
      <c r="E350" s="2082"/>
      <c r="F350" s="1954"/>
      <c r="G350" s="90"/>
      <c r="H350" s="90"/>
      <c r="I350" s="90"/>
      <c r="J350" s="90"/>
      <c r="K350" s="90"/>
      <c r="L350" s="90"/>
      <c r="M350" s="1956"/>
      <c r="N350" s="643"/>
      <c r="O350" s="2083"/>
      <c r="P350" s="643"/>
      <c r="Q350" s="643"/>
      <c r="R350" s="280"/>
      <c r="S350" s="280"/>
      <c r="T350" s="280"/>
      <c r="U350" s="280"/>
      <c r="V350" s="280"/>
      <c r="W350" s="79"/>
    </row>
    <row r="351" spans="1:23" ht="15.75">
      <c r="A351" s="2080"/>
      <c r="B351" s="705"/>
      <c r="C351" s="90"/>
      <c r="D351" s="2081"/>
      <c r="E351" s="2082"/>
      <c r="F351" s="1954"/>
      <c r="G351" s="90"/>
      <c r="H351" s="90"/>
      <c r="I351" s="90"/>
      <c r="J351" s="90"/>
      <c r="K351" s="90"/>
      <c r="L351" s="90"/>
      <c r="M351" s="1956"/>
      <c r="N351" s="643"/>
      <c r="O351" s="2083"/>
      <c r="P351" s="643"/>
      <c r="Q351" s="643"/>
      <c r="R351" s="280"/>
      <c r="S351" s="280"/>
      <c r="T351" s="280"/>
      <c r="U351" s="280"/>
      <c r="V351" s="280"/>
      <c r="W351" s="79"/>
    </row>
    <row r="352" spans="1:23" ht="15.75">
      <c r="A352" s="2080"/>
      <c r="B352" s="705"/>
      <c r="C352" s="90"/>
      <c r="D352" s="2081"/>
      <c r="E352" s="2082"/>
      <c r="F352" s="1954"/>
      <c r="G352" s="90"/>
      <c r="H352" s="90"/>
      <c r="I352" s="90"/>
      <c r="J352" s="90"/>
      <c r="K352" s="90"/>
      <c r="L352" s="90"/>
      <c r="M352" s="1956"/>
      <c r="N352" s="643"/>
      <c r="O352" s="2083"/>
      <c r="P352" s="643"/>
      <c r="Q352" s="643"/>
      <c r="R352" s="280"/>
      <c r="S352" s="280"/>
      <c r="T352" s="280"/>
      <c r="U352" s="280"/>
      <c r="V352" s="280"/>
      <c r="W352" s="79"/>
    </row>
    <row r="353" spans="1:23" ht="15.75">
      <c r="A353" s="2080"/>
      <c r="B353" s="705"/>
      <c r="C353" s="90"/>
      <c r="D353" s="2081"/>
      <c r="E353" s="2082"/>
      <c r="F353" s="1954"/>
      <c r="G353" s="90"/>
      <c r="H353" s="90"/>
      <c r="I353" s="90"/>
      <c r="J353" s="90"/>
      <c r="K353" s="90"/>
      <c r="L353" s="90"/>
      <c r="M353" s="1956"/>
      <c r="N353" s="643"/>
      <c r="O353" s="2083"/>
      <c r="P353" s="643"/>
      <c r="Q353" s="643"/>
      <c r="R353" s="280"/>
      <c r="S353" s="280"/>
      <c r="T353" s="280"/>
      <c r="U353" s="280"/>
      <c r="V353" s="280"/>
      <c r="W353" s="79"/>
    </row>
    <row r="354" spans="1:23" ht="15.75">
      <c r="A354" s="2080"/>
      <c r="B354" s="705"/>
      <c r="C354" s="90"/>
      <c r="D354" s="2081"/>
      <c r="E354" s="2082"/>
      <c r="F354" s="1954"/>
      <c r="G354" s="90"/>
      <c r="H354" s="90"/>
      <c r="I354" s="90"/>
      <c r="J354" s="90"/>
      <c r="K354" s="90"/>
      <c r="L354" s="90"/>
      <c r="M354" s="1956"/>
      <c r="N354" s="643"/>
      <c r="O354" s="2083"/>
      <c r="P354" s="643"/>
      <c r="Q354" s="643"/>
      <c r="R354" s="280"/>
      <c r="S354" s="280"/>
      <c r="T354" s="280"/>
      <c r="U354" s="280"/>
      <c r="V354" s="280"/>
      <c r="W354" s="79"/>
    </row>
    <row r="355" spans="1:23" ht="15.75">
      <c r="A355" s="2080"/>
      <c r="B355" s="705"/>
      <c r="C355" s="90"/>
      <c r="D355" s="2081"/>
      <c r="E355" s="2082"/>
      <c r="F355" s="1954"/>
      <c r="G355" s="90"/>
      <c r="H355" s="90"/>
      <c r="I355" s="90"/>
      <c r="J355" s="90"/>
      <c r="K355" s="90"/>
      <c r="L355" s="90"/>
      <c r="M355" s="1956"/>
      <c r="N355" s="643"/>
      <c r="O355" s="2083"/>
      <c r="P355" s="643"/>
      <c r="Q355" s="643"/>
      <c r="R355" s="280"/>
      <c r="S355" s="280"/>
      <c r="T355" s="280"/>
      <c r="U355" s="280"/>
      <c r="V355" s="280"/>
      <c r="W355" s="79"/>
    </row>
    <row r="356" spans="1:23" ht="15.75">
      <c r="A356" s="2080"/>
      <c r="B356" s="705"/>
      <c r="C356" s="90"/>
      <c r="D356" s="2081"/>
      <c r="E356" s="2082"/>
      <c r="F356" s="1954"/>
      <c r="G356" s="90"/>
      <c r="H356" s="90"/>
      <c r="I356" s="90"/>
      <c r="J356" s="90"/>
      <c r="K356" s="90"/>
      <c r="L356" s="90"/>
      <c r="M356" s="1956"/>
      <c r="N356" s="643"/>
      <c r="O356" s="2083"/>
      <c r="P356" s="643"/>
      <c r="Q356" s="643"/>
      <c r="R356" s="280"/>
      <c r="S356" s="280"/>
      <c r="T356" s="280"/>
      <c r="U356" s="280"/>
      <c r="V356" s="280"/>
      <c r="W356" s="79"/>
    </row>
    <row r="357" spans="1:23" ht="15.75">
      <c r="A357" s="2080"/>
      <c r="B357" s="705"/>
      <c r="C357" s="90"/>
      <c r="D357" s="2081"/>
      <c r="E357" s="2082"/>
      <c r="F357" s="1954"/>
      <c r="G357" s="90"/>
      <c r="H357" s="90"/>
      <c r="I357" s="90"/>
      <c r="J357" s="90"/>
      <c r="K357" s="90"/>
      <c r="L357" s="90"/>
      <c r="M357" s="1956"/>
      <c r="N357" s="643"/>
      <c r="O357" s="2083"/>
      <c r="P357" s="643"/>
      <c r="Q357" s="643"/>
      <c r="R357" s="280"/>
      <c r="S357" s="280"/>
      <c r="T357" s="280"/>
      <c r="U357" s="280"/>
      <c r="V357" s="280"/>
      <c r="W357" s="79"/>
    </row>
    <row r="358" spans="1:23" ht="15.75">
      <c r="A358" s="2080"/>
      <c r="B358" s="705"/>
      <c r="C358" s="90"/>
      <c r="D358" s="2081"/>
      <c r="E358" s="2082"/>
      <c r="F358" s="1954"/>
      <c r="G358" s="90"/>
      <c r="H358" s="90"/>
      <c r="I358" s="90"/>
      <c r="J358" s="90"/>
      <c r="K358" s="90"/>
      <c r="L358" s="90"/>
      <c r="M358" s="1956"/>
      <c r="N358" s="643"/>
      <c r="O358" s="2083"/>
      <c r="P358" s="643"/>
      <c r="Q358" s="643"/>
      <c r="R358" s="280"/>
      <c r="S358" s="280"/>
      <c r="T358" s="280"/>
      <c r="U358" s="280"/>
      <c r="V358" s="280"/>
      <c r="W358" s="79"/>
    </row>
    <row r="359" spans="1:23" ht="15.75">
      <c r="A359" s="2080"/>
      <c r="B359" s="705"/>
      <c r="C359" s="90"/>
      <c r="D359" s="2081"/>
      <c r="E359" s="2082"/>
      <c r="F359" s="1954"/>
      <c r="G359" s="90"/>
      <c r="H359" s="90"/>
      <c r="I359" s="90"/>
      <c r="J359" s="90"/>
      <c r="K359" s="90"/>
      <c r="L359" s="90"/>
      <c r="M359" s="1956"/>
      <c r="N359" s="643"/>
      <c r="O359" s="2083"/>
      <c r="P359" s="643"/>
      <c r="Q359" s="643"/>
      <c r="R359" s="280"/>
      <c r="S359" s="280"/>
      <c r="T359" s="280"/>
      <c r="U359" s="280"/>
      <c r="V359" s="280"/>
      <c r="W359" s="79"/>
    </row>
    <row r="360" spans="1:23" ht="15.75">
      <c r="A360" s="2080"/>
      <c r="B360" s="705"/>
      <c r="C360" s="90"/>
      <c r="D360" s="2081"/>
      <c r="E360" s="2082"/>
      <c r="F360" s="1954"/>
      <c r="G360" s="90"/>
      <c r="H360" s="90"/>
      <c r="I360" s="90"/>
      <c r="J360" s="90"/>
      <c r="K360" s="90"/>
      <c r="L360" s="90"/>
      <c r="M360" s="1956"/>
      <c r="N360" s="643"/>
      <c r="O360" s="2083"/>
      <c r="P360" s="643"/>
      <c r="Q360" s="643"/>
      <c r="R360" s="280"/>
      <c r="S360" s="280"/>
      <c r="T360" s="280"/>
      <c r="U360" s="280"/>
      <c r="V360" s="280"/>
      <c r="W360" s="79"/>
    </row>
    <row r="361" spans="1:23" ht="15.75">
      <c r="A361" s="2080"/>
      <c r="B361" s="705"/>
      <c r="C361" s="90"/>
      <c r="D361" s="2081"/>
      <c r="E361" s="2082"/>
      <c r="F361" s="1954"/>
      <c r="G361" s="90"/>
      <c r="H361" s="90"/>
      <c r="I361" s="90"/>
      <c r="J361" s="90"/>
      <c r="K361" s="90"/>
      <c r="L361" s="90"/>
      <c r="M361" s="1956"/>
      <c r="N361" s="643"/>
      <c r="O361" s="2083"/>
      <c r="P361" s="643"/>
      <c r="Q361" s="643"/>
      <c r="R361" s="280"/>
      <c r="S361" s="280"/>
      <c r="T361" s="280"/>
      <c r="U361" s="280"/>
      <c r="V361" s="280"/>
      <c r="W361" s="79"/>
    </row>
    <row r="362" spans="1:23" ht="15.75">
      <c r="A362" s="2080"/>
      <c r="B362" s="705"/>
      <c r="C362" s="90"/>
      <c r="D362" s="2081"/>
      <c r="E362" s="2082"/>
      <c r="F362" s="1954"/>
      <c r="G362" s="90"/>
      <c r="H362" s="90"/>
      <c r="I362" s="90"/>
      <c r="J362" s="90"/>
      <c r="K362" s="90"/>
      <c r="L362" s="90"/>
      <c r="M362" s="1956"/>
      <c r="N362" s="643"/>
      <c r="O362" s="2083"/>
      <c r="P362" s="643"/>
      <c r="Q362" s="643"/>
      <c r="R362" s="280"/>
      <c r="S362" s="280"/>
      <c r="T362" s="280"/>
      <c r="U362" s="280"/>
      <c r="V362" s="280"/>
      <c r="W362" s="79"/>
    </row>
    <row r="363" spans="1:23" ht="15.75">
      <c r="A363" s="2080"/>
      <c r="B363" s="705"/>
      <c r="C363" s="90"/>
      <c r="D363" s="2081"/>
      <c r="E363" s="2082"/>
      <c r="F363" s="1954"/>
      <c r="G363" s="90"/>
      <c r="H363" s="90"/>
      <c r="I363" s="90"/>
      <c r="J363" s="90"/>
      <c r="K363" s="90"/>
      <c r="L363" s="90"/>
      <c r="M363" s="1956"/>
      <c r="N363" s="643"/>
      <c r="O363" s="2083"/>
      <c r="P363" s="643"/>
      <c r="Q363" s="643"/>
      <c r="R363" s="280"/>
      <c r="S363" s="280"/>
      <c r="T363" s="280"/>
      <c r="U363" s="280"/>
      <c r="V363" s="280"/>
      <c r="W363" s="79"/>
    </row>
    <row r="364" spans="1:23" ht="15.75">
      <c r="A364" s="2080"/>
      <c r="B364" s="705"/>
      <c r="C364" s="90"/>
      <c r="D364" s="2081"/>
      <c r="E364" s="2082"/>
      <c r="F364" s="1954"/>
      <c r="G364" s="90"/>
      <c r="H364" s="90"/>
      <c r="I364" s="90"/>
      <c r="J364" s="90"/>
      <c r="K364" s="90"/>
      <c r="L364" s="90"/>
      <c r="M364" s="1956"/>
      <c r="N364" s="643"/>
      <c r="O364" s="2083"/>
      <c r="P364" s="643"/>
      <c r="Q364" s="643"/>
      <c r="R364" s="280"/>
      <c r="S364" s="280"/>
      <c r="T364" s="280"/>
      <c r="U364" s="280"/>
      <c r="V364" s="280"/>
      <c r="W364" s="79"/>
    </row>
    <row r="365" spans="1:23" ht="15.75">
      <c r="A365" s="2080"/>
      <c r="B365" s="705"/>
      <c r="C365" s="90"/>
      <c r="D365" s="2081"/>
      <c r="E365" s="2082"/>
      <c r="F365" s="1954"/>
      <c r="G365" s="90"/>
      <c r="H365" s="90"/>
      <c r="I365" s="90"/>
      <c r="J365" s="90"/>
      <c r="K365" s="90"/>
      <c r="L365" s="90"/>
      <c r="M365" s="1956"/>
      <c r="N365" s="643"/>
      <c r="O365" s="2083"/>
      <c r="P365" s="643"/>
      <c r="Q365" s="643"/>
      <c r="R365" s="280"/>
      <c r="S365" s="280"/>
      <c r="T365" s="280"/>
      <c r="U365" s="280"/>
      <c r="V365" s="280"/>
      <c r="W365" s="79"/>
    </row>
    <row r="366" spans="1:23" ht="15.75">
      <c r="A366" s="2080"/>
      <c r="B366" s="705"/>
      <c r="C366" s="90"/>
      <c r="D366" s="2081"/>
      <c r="E366" s="2082"/>
      <c r="F366" s="1954"/>
      <c r="G366" s="90"/>
      <c r="H366" s="90"/>
      <c r="I366" s="90"/>
      <c r="J366" s="90"/>
      <c r="K366" s="90"/>
      <c r="L366" s="90"/>
      <c r="M366" s="1956"/>
      <c r="N366" s="643"/>
      <c r="O366" s="2083"/>
      <c r="P366" s="643"/>
      <c r="Q366" s="643"/>
      <c r="R366" s="280"/>
      <c r="S366" s="280"/>
      <c r="T366" s="280"/>
      <c r="U366" s="280"/>
      <c r="V366" s="280"/>
      <c r="W366" s="79"/>
    </row>
    <row r="367" spans="1:23" ht="15.75">
      <c r="A367" s="2080"/>
      <c r="B367" s="705"/>
      <c r="C367" s="90"/>
      <c r="D367" s="2081"/>
      <c r="E367" s="2082"/>
      <c r="F367" s="1954"/>
      <c r="G367" s="90"/>
      <c r="H367" s="90"/>
      <c r="I367" s="90"/>
      <c r="J367" s="90"/>
      <c r="K367" s="90"/>
      <c r="L367" s="90"/>
      <c r="M367" s="1956"/>
      <c r="N367" s="643"/>
      <c r="O367" s="2083"/>
      <c r="P367" s="643"/>
      <c r="Q367" s="643"/>
      <c r="R367" s="280"/>
      <c r="S367" s="280"/>
      <c r="T367" s="280"/>
      <c r="U367" s="280"/>
      <c r="V367" s="280"/>
      <c r="W367" s="79"/>
    </row>
    <row r="368" spans="1:23" ht="15.75">
      <c r="A368" s="2080"/>
      <c r="B368" s="705"/>
      <c r="C368" s="90"/>
      <c r="D368" s="2081"/>
      <c r="E368" s="2082"/>
      <c r="F368" s="1954"/>
      <c r="G368" s="90"/>
      <c r="H368" s="90"/>
      <c r="I368" s="90"/>
      <c r="J368" s="90"/>
      <c r="K368" s="90"/>
      <c r="L368" s="90"/>
      <c r="M368" s="1956"/>
      <c r="N368" s="643"/>
      <c r="O368" s="2083"/>
      <c r="P368" s="643"/>
      <c r="Q368" s="643"/>
      <c r="R368" s="280"/>
      <c r="S368" s="280"/>
      <c r="T368" s="280"/>
      <c r="U368" s="280"/>
      <c r="V368" s="280"/>
      <c r="W368" s="79"/>
    </row>
    <row r="369" spans="1:23" ht="15.75">
      <c r="A369" s="2080"/>
      <c r="B369" s="705"/>
      <c r="C369" s="90"/>
      <c r="D369" s="2081"/>
      <c r="E369" s="2082"/>
      <c r="F369" s="1954"/>
      <c r="G369" s="90"/>
      <c r="H369" s="90"/>
      <c r="I369" s="90"/>
      <c r="J369" s="90"/>
      <c r="K369" s="90"/>
      <c r="L369" s="90"/>
      <c r="M369" s="1956"/>
      <c r="N369" s="643"/>
      <c r="O369" s="2083"/>
      <c r="P369" s="643"/>
      <c r="Q369" s="643"/>
      <c r="R369" s="280"/>
      <c r="S369" s="280"/>
      <c r="T369" s="280"/>
      <c r="U369" s="280"/>
      <c r="V369" s="280"/>
      <c r="W369" s="79"/>
    </row>
    <row r="370" spans="1:23" ht="15.75">
      <c r="A370" s="2080"/>
      <c r="B370" s="705"/>
      <c r="C370" s="90"/>
      <c r="D370" s="2081"/>
      <c r="E370" s="2082"/>
      <c r="F370" s="1954"/>
      <c r="G370" s="90"/>
      <c r="H370" s="90"/>
      <c r="I370" s="90"/>
      <c r="J370" s="90"/>
      <c r="K370" s="90"/>
      <c r="L370" s="90"/>
      <c r="M370" s="1956"/>
      <c r="N370" s="643"/>
      <c r="O370" s="2083"/>
      <c r="P370" s="643"/>
      <c r="Q370" s="643"/>
      <c r="R370" s="280"/>
      <c r="S370" s="280"/>
      <c r="T370" s="280"/>
      <c r="U370" s="280"/>
      <c r="V370" s="280"/>
      <c r="W370" s="79"/>
    </row>
    <row r="371" spans="1:23" ht="15.75">
      <c r="A371" s="2080"/>
      <c r="B371" s="705"/>
      <c r="C371" s="90"/>
      <c r="D371" s="2081"/>
      <c r="E371" s="2082"/>
      <c r="F371" s="1954"/>
      <c r="G371" s="90"/>
      <c r="H371" s="90"/>
      <c r="I371" s="90"/>
      <c r="J371" s="90"/>
      <c r="K371" s="90"/>
      <c r="L371" s="90"/>
      <c r="M371" s="1956"/>
      <c r="N371" s="643"/>
      <c r="O371" s="2083"/>
      <c r="P371" s="643"/>
      <c r="Q371" s="643"/>
      <c r="R371" s="280"/>
      <c r="S371" s="280"/>
      <c r="T371" s="280"/>
      <c r="U371" s="280"/>
      <c r="V371" s="280"/>
      <c r="W371" s="79"/>
    </row>
    <row r="372" spans="1:23" ht="15.75">
      <c r="A372" s="2080"/>
      <c r="B372" s="705"/>
      <c r="C372" s="90"/>
      <c r="D372" s="2081"/>
      <c r="E372" s="2082"/>
      <c r="F372" s="1954"/>
      <c r="G372" s="90"/>
      <c r="H372" s="90"/>
      <c r="I372" s="90"/>
      <c r="J372" s="90"/>
      <c r="K372" s="90"/>
      <c r="L372" s="90"/>
      <c r="M372" s="1956"/>
      <c r="N372" s="643"/>
      <c r="O372" s="2083"/>
      <c r="P372" s="643"/>
      <c r="Q372" s="643"/>
      <c r="R372" s="280"/>
      <c r="S372" s="280"/>
      <c r="T372" s="280"/>
      <c r="U372" s="280"/>
      <c r="V372" s="280"/>
      <c r="W372" s="79"/>
    </row>
    <row r="373" spans="1:23" ht="15.75">
      <c r="A373" s="2080"/>
      <c r="B373" s="705"/>
      <c r="C373" s="90"/>
      <c r="D373" s="2081"/>
      <c r="E373" s="2082"/>
      <c r="F373" s="1954"/>
      <c r="G373" s="90"/>
      <c r="H373" s="90"/>
      <c r="I373" s="90"/>
      <c r="J373" s="90"/>
      <c r="K373" s="90"/>
      <c r="L373" s="90"/>
      <c r="M373" s="1956"/>
      <c r="N373" s="643"/>
      <c r="O373" s="2083"/>
      <c r="P373" s="643"/>
      <c r="Q373" s="643"/>
      <c r="R373" s="280"/>
      <c r="S373" s="280"/>
      <c r="T373" s="280"/>
      <c r="U373" s="280"/>
      <c r="V373" s="280"/>
      <c r="W373" s="79"/>
    </row>
    <row r="374" spans="1:23" ht="15.75">
      <c r="A374" s="2080"/>
      <c r="B374" s="705"/>
      <c r="C374" s="90"/>
      <c r="D374" s="2081"/>
      <c r="E374" s="2082"/>
      <c r="F374" s="1954"/>
      <c r="G374" s="90"/>
      <c r="H374" s="90"/>
      <c r="I374" s="90"/>
      <c r="J374" s="90"/>
      <c r="K374" s="90"/>
      <c r="L374" s="90"/>
      <c r="M374" s="1956"/>
      <c r="N374" s="643"/>
      <c r="O374" s="2083"/>
      <c r="P374" s="643"/>
      <c r="Q374" s="643"/>
      <c r="R374" s="280"/>
      <c r="S374" s="280"/>
      <c r="T374" s="280"/>
      <c r="U374" s="280"/>
      <c r="V374" s="280"/>
      <c r="W374" s="79"/>
    </row>
    <row r="375" spans="1:23" ht="15.75">
      <c r="A375" s="2080"/>
      <c r="B375" s="705"/>
      <c r="C375" s="90"/>
      <c r="D375" s="2081"/>
      <c r="E375" s="2082"/>
      <c r="F375" s="1954"/>
      <c r="G375" s="90"/>
      <c r="H375" s="90"/>
      <c r="I375" s="90"/>
      <c r="J375" s="90"/>
      <c r="K375" s="90"/>
      <c r="L375" s="90"/>
      <c r="M375" s="1956"/>
      <c r="N375" s="643"/>
      <c r="O375" s="2083"/>
      <c r="P375" s="643"/>
      <c r="Q375" s="643"/>
      <c r="R375" s="280"/>
      <c r="S375" s="280"/>
      <c r="T375" s="280"/>
      <c r="U375" s="280"/>
      <c r="V375" s="280"/>
      <c r="W375" s="79"/>
    </row>
    <row r="376" spans="1:23" ht="15.75">
      <c r="A376" s="2080"/>
      <c r="B376" s="705"/>
      <c r="C376" s="90"/>
      <c r="D376" s="2081"/>
      <c r="E376" s="2082"/>
      <c r="F376" s="1954"/>
      <c r="G376" s="90"/>
      <c r="H376" s="90"/>
      <c r="I376" s="90"/>
      <c r="J376" s="90"/>
      <c r="K376" s="90"/>
      <c r="L376" s="90"/>
      <c r="M376" s="1956"/>
      <c r="N376" s="643"/>
      <c r="O376" s="2083"/>
      <c r="P376" s="643"/>
      <c r="Q376" s="643"/>
      <c r="R376" s="280"/>
      <c r="S376" s="280"/>
      <c r="T376" s="280"/>
      <c r="U376" s="280"/>
      <c r="V376" s="280"/>
      <c r="W376" s="79"/>
    </row>
    <row r="377" spans="1:23" ht="15.75">
      <c r="A377" s="2080"/>
      <c r="B377" s="705"/>
      <c r="C377" s="90"/>
      <c r="D377" s="2081"/>
      <c r="E377" s="2082"/>
      <c r="F377" s="1954"/>
      <c r="G377" s="90"/>
      <c r="H377" s="90"/>
      <c r="I377" s="90"/>
      <c r="J377" s="90"/>
      <c r="K377" s="90"/>
      <c r="L377" s="90"/>
      <c r="M377" s="1956"/>
      <c r="N377" s="643"/>
      <c r="O377" s="2083"/>
      <c r="P377" s="643"/>
      <c r="Q377" s="643"/>
      <c r="R377" s="280"/>
      <c r="S377" s="280"/>
      <c r="T377" s="280"/>
      <c r="U377" s="280"/>
      <c r="V377" s="280"/>
      <c r="W377" s="79"/>
    </row>
    <row r="378" spans="1:23" ht="15.75">
      <c r="A378" s="2080"/>
      <c r="B378" s="705"/>
      <c r="C378" s="90"/>
      <c r="D378" s="2081"/>
      <c r="E378" s="2082"/>
      <c r="F378" s="1954"/>
      <c r="G378" s="90"/>
      <c r="H378" s="90"/>
      <c r="I378" s="90"/>
      <c r="J378" s="90"/>
      <c r="K378" s="90"/>
      <c r="L378" s="90"/>
      <c r="M378" s="1956"/>
      <c r="N378" s="643"/>
      <c r="O378" s="2083"/>
      <c r="P378" s="643"/>
      <c r="Q378" s="643"/>
      <c r="R378" s="280"/>
      <c r="S378" s="280"/>
      <c r="T378" s="280"/>
      <c r="U378" s="280"/>
      <c r="V378" s="280"/>
      <c r="W378" s="79"/>
    </row>
    <row r="379" spans="1:23" ht="15.75">
      <c r="A379" s="2080"/>
      <c r="B379" s="705"/>
      <c r="C379" s="90"/>
      <c r="D379" s="2081"/>
      <c r="E379" s="2082"/>
      <c r="F379" s="1954"/>
      <c r="G379" s="90"/>
      <c r="H379" s="90"/>
      <c r="I379" s="90"/>
      <c r="J379" s="90"/>
      <c r="K379" s="90"/>
      <c r="L379" s="90"/>
      <c r="M379" s="1956"/>
      <c r="N379" s="643"/>
      <c r="O379" s="2083"/>
      <c r="P379" s="643"/>
      <c r="Q379" s="643"/>
      <c r="R379" s="280"/>
      <c r="S379" s="280"/>
      <c r="T379" s="280"/>
      <c r="U379" s="280"/>
      <c r="V379" s="280"/>
      <c r="W379" s="79"/>
    </row>
    <row r="380" spans="1:23" ht="15.75">
      <c r="A380" s="2080"/>
      <c r="B380" s="705"/>
      <c r="C380" s="90"/>
      <c r="D380" s="2081"/>
      <c r="E380" s="2082"/>
      <c r="F380" s="1954"/>
      <c r="G380" s="90"/>
      <c r="H380" s="90"/>
      <c r="I380" s="90"/>
      <c r="J380" s="90"/>
      <c r="K380" s="90"/>
      <c r="L380" s="90"/>
      <c r="M380" s="1956"/>
      <c r="N380" s="643"/>
      <c r="O380" s="2083"/>
      <c r="P380" s="643"/>
      <c r="Q380" s="643"/>
      <c r="R380" s="280"/>
      <c r="S380" s="280"/>
      <c r="T380" s="280"/>
      <c r="U380" s="280"/>
      <c r="V380" s="280"/>
      <c r="W380" s="79"/>
    </row>
    <row r="381" spans="1:23" ht="15.75">
      <c r="A381" s="2080"/>
      <c r="B381" s="705"/>
      <c r="C381" s="90"/>
      <c r="D381" s="2081"/>
      <c r="E381" s="2082"/>
      <c r="F381" s="1954"/>
      <c r="G381" s="90"/>
      <c r="H381" s="90"/>
      <c r="I381" s="90"/>
      <c r="J381" s="90"/>
      <c r="K381" s="90"/>
      <c r="L381" s="90"/>
      <c r="M381" s="1956"/>
      <c r="N381" s="643"/>
      <c r="O381" s="2083"/>
      <c r="P381" s="643"/>
      <c r="Q381" s="643"/>
      <c r="R381" s="280"/>
      <c r="S381" s="280"/>
      <c r="T381" s="280"/>
      <c r="U381" s="280"/>
      <c r="V381" s="280"/>
      <c r="W381" s="79"/>
    </row>
    <row r="382" spans="1:23" ht="15.75">
      <c r="A382" s="2080"/>
      <c r="B382" s="705"/>
      <c r="C382" s="90"/>
      <c r="D382" s="2081"/>
      <c r="E382" s="2082"/>
      <c r="F382" s="1954"/>
      <c r="G382" s="90"/>
      <c r="H382" s="90"/>
      <c r="I382" s="90"/>
      <c r="J382" s="90"/>
      <c r="K382" s="90"/>
      <c r="L382" s="90"/>
      <c r="M382" s="1956"/>
      <c r="N382" s="643"/>
      <c r="O382" s="2083"/>
      <c r="P382" s="643"/>
      <c r="Q382" s="643"/>
      <c r="R382" s="280"/>
      <c r="S382" s="280"/>
      <c r="T382" s="280"/>
      <c r="U382" s="280"/>
      <c r="V382" s="280"/>
      <c r="W382" s="79"/>
    </row>
    <row r="383" spans="1:23" ht="15.75">
      <c r="A383" s="2080"/>
      <c r="B383" s="705"/>
      <c r="C383" s="90"/>
      <c r="D383" s="2081"/>
      <c r="E383" s="2082"/>
      <c r="F383" s="1954"/>
      <c r="G383" s="90"/>
      <c r="H383" s="90"/>
      <c r="I383" s="90"/>
      <c r="J383" s="90"/>
      <c r="K383" s="90"/>
      <c r="L383" s="90"/>
      <c r="M383" s="1956"/>
      <c r="N383" s="643"/>
      <c r="O383" s="2083"/>
      <c r="P383" s="643"/>
      <c r="Q383" s="643"/>
      <c r="R383" s="280"/>
      <c r="S383" s="280"/>
      <c r="T383" s="280"/>
      <c r="U383" s="280"/>
      <c r="V383" s="280"/>
      <c r="W383" s="79"/>
    </row>
    <row r="384" spans="1:23" ht="15.75">
      <c r="A384" s="2080"/>
      <c r="B384" s="705"/>
      <c r="C384" s="90"/>
      <c r="D384" s="2081"/>
      <c r="E384" s="2082"/>
      <c r="F384" s="1954"/>
      <c r="G384" s="90"/>
      <c r="H384" s="90"/>
      <c r="I384" s="90"/>
      <c r="J384" s="90"/>
      <c r="K384" s="90"/>
      <c r="L384" s="90"/>
      <c r="M384" s="1956"/>
      <c r="N384" s="643"/>
      <c r="O384" s="2083"/>
      <c r="P384" s="643"/>
      <c r="Q384" s="643"/>
      <c r="R384" s="280"/>
      <c r="S384" s="280"/>
      <c r="T384" s="280"/>
      <c r="U384" s="280"/>
      <c r="V384" s="280"/>
      <c r="W384" s="79"/>
    </row>
    <row r="385" spans="1:23" ht="15.75">
      <c r="A385" s="2080"/>
      <c r="B385" s="705"/>
      <c r="C385" s="90"/>
      <c r="D385" s="2081"/>
      <c r="E385" s="2082"/>
      <c r="F385" s="1954"/>
      <c r="G385" s="90"/>
      <c r="H385" s="90"/>
      <c r="I385" s="90"/>
      <c r="J385" s="90"/>
      <c r="K385" s="90"/>
      <c r="L385" s="90"/>
      <c r="M385" s="1956"/>
      <c r="N385" s="643"/>
      <c r="O385" s="2083"/>
      <c r="P385" s="643"/>
      <c r="Q385" s="643"/>
      <c r="R385" s="280"/>
      <c r="S385" s="280"/>
      <c r="T385" s="280"/>
      <c r="U385" s="280"/>
      <c r="V385" s="280"/>
      <c r="W385" s="79"/>
    </row>
    <row r="386" spans="1:23" ht="15.75">
      <c r="A386" s="2080"/>
      <c r="B386" s="705"/>
      <c r="C386" s="90"/>
      <c r="D386" s="2081"/>
      <c r="E386" s="2082"/>
      <c r="F386" s="1954"/>
      <c r="G386" s="90"/>
      <c r="H386" s="90"/>
      <c r="I386" s="90"/>
      <c r="J386" s="90"/>
      <c r="K386" s="90"/>
      <c r="L386" s="90"/>
      <c r="M386" s="1956"/>
      <c r="N386" s="643"/>
      <c r="O386" s="2083"/>
      <c r="P386" s="643"/>
      <c r="Q386" s="643"/>
      <c r="R386" s="280"/>
      <c r="S386" s="280"/>
      <c r="T386" s="280"/>
      <c r="U386" s="280"/>
      <c r="V386" s="280"/>
      <c r="W386" s="79"/>
    </row>
    <row r="387" spans="1:23" ht="15.75">
      <c r="A387" s="2080"/>
      <c r="B387" s="705"/>
      <c r="C387" s="90"/>
      <c r="D387" s="2081"/>
      <c r="E387" s="2082"/>
      <c r="F387" s="1954"/>
      <c r="G387" s="90"/>
      <c r="H387" s="90"/>
      <c r="I387" s="90"/>
      <c r="J387" s="90"/>
      <c r="K387" s="90"/>
      <c r="L387" s="90"/>
      <c r="M387" s="1956"/>
      <c r="N387" s="643"/>
      <c r="O387" s="2083"/>
      <c r="P387" s="643"/>
      <c r="Q387" s="643"/>
      <c r="R387" s="280"/>
      <c r="S387" s="280"/>
      <c r="T387" s="280"/>
      <c r="U387" s="280"/>
      <c r="V387" s="280"/>
      <c r="W387" s="79"/>
    </row>
    <row r="388" spans="1:23" ht="15.75">
      <c r="A388" s="2080"/>
      <c r="B388" s="705"/>
      <c r="C388" s="90"/>
      <c r="D388" s="2081"/>
      <c r="E388" s="2082"/>
      <c r="F388" s="1954"/>
      <c r="G388" s="90"/>
      <c r="H388" s="90"/>
      <c r="I388" s="90"/>
      <c r="J388" s="90"/>
      <c r="K388" s="90"/>
      <c r="L388" s="90"/>
      <c r="M388" s="1956"/>
      <c r="N388" s="643"/>
      <c r="O388" s="2083"/>
      <c r="P388" s="643"/>
      <c r="Q388" s="643"/>
      <c r="R388" s="280"/>
      <c r="S388" s="280"/>
      <c r="T388" s="280"/>
      <c r="U388" s="280"/>
      <c r="V388" s="280"/>
      <c r="W388" s="79"/>
    </row>
    <row r="389" spans="1:23" ht="15.75">
      <c r="A389" s="2080"/>
      <c r="B389" s="705"/>
      <c r="C389" s="90"/>
      <c r="D389" s="2081"/>
      <c r="E389" s="2082"/>
      <c r="F389" s="1954"/>
      <c r="G389" s="90"/>
      <c r="H389" s="90"/>
      <c r="I389" s="90"/>
      <c r="J389" s="90"/>
      <c r="K389" s="90"/>
      <c r="L389" s="90"/>
      <c r="M389" s="1956"/>
      <c r="N389" s="643"/>
      <c r="O389" s="2083"/>
      <c r="P389" s="643"/>
      <c r="Q389" s="643"/>
      <c r="R389" s="280"/>
      <c r="S389" s="280"/>
      <c r="T389" s="280"/>
      <c r="U389" s="280"/>
      <c r="V389" s="280"/>
      <c r="W389" s="79"/>
    </row>
    <row r="390" spans="1:23" ht="15.75">
      <c r="A390" s="2080"/>
      <c r="B390" s="705"/>
      <c r="C390" s="90"/>
      <c r="D390" s="2081"/>
      <c r="E390" s="2082"/>
      <c r="F390" s="1954"/>
      <c r="G390" s="90"/>
      <c r="H390" s="90"/>
      <c r="I390" s="90"/>
      <c r="J390" s="90"/>
      <c r="K390" s="90"/>
      <c r="L390" s="90"/>
      <c r="M390" s="1956"/>
      <c r="N390" s="643"/>
      <c r="O390" s="2083"/>
      <c r="P390" s="643"/>
      <c r="Q390" s="643"/>
      <c r="R390" s="280"/>
      <c r="S390" s="280"/>
      <c r="T390" s="280"/>
      <c r="U390" s="280"/>
      <c r="V390" s="280"/>
      <c r="W390" s="79"/>
    </row>
    <row r="391" spans="1:23" ht="15.75">
      <c r="A391" s="2080"/>
      <c r="B391" s="705"/>
      <c r="C391" s="90"/>
      <c r="D391" s="2081"/>
      <c r="E391" s="2082"/>
      <c r="F391" s="1954"/>
      <c r="G391" s="90"/>
      <c r="H391" s="90"/>
      <c r="I391" s="90"/>
      <c r="J391" s="90"/>
      <c r="K391" s="90"/>
      <c r="L391" s="90"/>
      <c r="M391" s="1956"/>
      <c r="N391" s="643"/>
      <c r="O391" s="2083"/>
      <c r="P391" s="643"/>
      <c r="Q391" s="643"/>
      <c r="R391" s="280"/>
      <c r="S391" s="280"/>
      <c r="T391" s="280"/>
      <c r="U391" s="280"/>
      <c r="V391" s="280"/>
      <c r="W391" s="79"/>
    </row>
    <row r="392" spans="1:23" ht="15.75">
      <c r="A392" s="2080"/>
      <c r="B392" s="705"/>
      <c r="C392" s="90"/>
      <c r="D392" s="2081"/>
      <c r="E392" s="2082"/>
      <c r="F392" s="1954"/>
      <c r="G392" s="90"/>
      <c r="H392" s="90"/>
      <c r="I392" s="90"/>
      <c r="J392" s="90"/>
      <c r="K392" s="90"/>
      <c r="L392" s="90"/>
      <c r="M392" s="1956"/>
      <c r="N392" s="643"/>
      <c r="O392" s="2083"/>
      <c r="P392" s="643"/>
      <c r="Q392" s="643"/>
      <c r="R392" s="280"/>
      <c r="S392" s="280"/>
      <c r="T392" s="280"/>
      <c r="U392" s="280"/>
      <c r="V392" s="280"/>
      <c r="W392" s="79"/>
    </row>
    <row r="393" spans="1:23" ht="15.75">
      <c r="A393" s="2080"/>
      <c r="B393" s="705"/>
      <c r="C393" s="90"/>
      <c r="D393" s="2081"/>
      <c r="E393" s="2082"/>
      <c r="F393" s="1954"/>
      <c r="G393" s="90"/>
      <c r="H393" s="90"/>
      <c r="I393" s="90"/>
      <c r="J393" s="90"/>
      <c r="K393" s="90"/>
      <c r="L393" s="90"/>
      <c r="M393" s="1956"/>
      <c r="N393" s="643"/>
      <c r="O393" s="2083"/>
      <c r="P393" s="643"/>
      <c r="Q393" s="643"/>
      <c r="R393" s="280"/>
      <c r="S393" s="280"/>
      <c r="T393" s="280"/>
      <c r="U393" s="280"/>
      <c r="V393" s="280"/>
      <c r="W393" s="79"/>
    </row>
    <row r="394" spans="1:23" ht="15.75">
      <c r="A394" s="2080"/>
      <c r="B394" s="705"/>
      <c r="C394" s="90"/>
      <c r="D394" s="2081"/>
      <c r="E394" s="2082"/>
      <c r="F394" s="1954"/>
      <c r="G394" s="90"/>
      <c r="H394" s="90"/>
      <c r="I394" s="90"/>
      <c r="J394" s="90"/>
      <c r="K394" s="90"/>
      <c r="L394" s="90"/>
      <c r="M394" s="1956"/>
      <c r="N394" s="643"/>
      <c r="O394" s="2083"/>
      <c r="P394" s="643"/>
      <c r="Q394" s="643"/>
      <c r="R394" s="280"/>
      <c r="S394" s="280"/>
      <c r="T394" s="280"/>
      <c r="U394" s="280"/>
      <c r="V394" s="280"/>
      <c r="W394" s="79"/>
    </row>
    <row r="395" spans="1:23" ht="15.75">
      <c r="A395" s="2080"/>
      <c r="B395" s="705"/>
      <c r="C395" s="90"/>
      <c r="D395" s="2081"/>
      <c r="E395" s="2082"/>
      <c r="F395" s="1954"/>
      <c r="G395" s="90"/>
      <c r="H395" s="90"/>
      <c r="I395" s="90"/>
      <c r="J395" s="90"/>
      <c r="K395" s="90"/>
      <c r="L395" s="90"/>
      <c r="M395" s="1956"/>
      <c r="N395" s="643"/>
      <c r="O395" s="2083"/>
      <c r="P395" s="643"/>
      <c r="Q395" s="643"/>
      <c r="R395" s="280"/>
      <c r="S395" s="280"/>
      <c r="T395" s="280"/>
      <c r="U395" s="280"/>
      <c r="V395" s="280"/>
      <c r="W395" s="79"/>
    </row>
    <row r="396" spans="1:23" ht="15.75">
      <c r="A396" s="2080"/>
      <c r="B396" s="705"/>
      <c r="C396" s="90"/>
      <c r="D396" s="2081"/>
      <c r="E396" s="2082"/>
      <c r="F396" s="1954"/>
      <c r="G396" s="90"/>
      <c r="H396" s="90"/>
      <c r="I396" s="90"/>
      <c r="J396" s="90"/>
      <c r="K396" s="90"/>
      <c r="L396" s="90"/>
      <c r="M396" s="1956"/>
      <c r="N396" s="643"/>
      <c r="O396" s="2083"/>
      <c r="P396" s="643"/>
      <c r="Q396" s="643"/>
      <c r="R396" s="280"/>
      <c r="S396" s="280"/>
      <c r="T396" s="280"/>
      <c r="U396" s="280"/>
      <c r="V396" s="280"/>
      <c r="W396" s="79"/>
    </row>
    <row r="397" spans="1:23" ht="15.75">
      <c r="A397" s="2080"/>
      <c r="B397" s="705"/>
      <c r="C397" s="90"/>
      <c r="D397" s="2081"/>
      <c r="E397" s="2082"/>
      <c r="F397" s="1954"/>
      <c r="G397" s="90"/>
      <c r="H397" s="90"/>
      <c r="I397" s="90"/>
      <c r="J397" s="90"/>
      <c r="K397" s="90"/>
      <c r="L397" s="90"/>
      <c r="M397" s="1956"/>
      <c r="N397" s="643"/>
      <c r="O397" s="2083"/>
      <c r="P397" s="643"/>
      <c r="Q397" s="643"/>
      <c r="R397" s="280"/>
      <c r="S397" s="280"/>
      <c r="T397" s="280"/>
      <c r="U397" s="280"/>
      <c r="V397" s="280"/>
      <c r="W397" s="79"/>
    </row>
    <row r="398" spans="1:23" ht="15.75">
      <c r="A398" s="2080"/>
      <c r="B398" s="705"/>
      <c r="C398" s="90"/>
      <c r="D398" s="2081"/>
      <c r="E398" s="2082"/>
      <c r="F398" s="1954"/>
      <c r="G398" s="90"/>
      <c r="H398" s="90"/>
      <c r="I398" s="90"/>
      <c r="J398" s="90"/>
      <c r="K398" s="90"/>
      <c r="L398" s="90"/>
      <c r="M398" s="1956"/>
      <c r="N398" s="643"/>
      <c r="O398" s="2083"/>
      <c r="P398" s="643"/>
      <c r="Q398" s="643"/>
      <c r="R398" s="280"/>
      <c r="S398" s="280"/>
      <c r="T398" s="280"/>
      <c r="U398" s="280"/>
      <c r="V398" s="280"/>
      <c r="W398" s="79"/>
    </row>
    <row r="399" spans="1:23" ht="15.75">
      <c r="A399" s="2080"/>
      <c r="B399" s="705"/>
      <c r="C399" s="90"/>
      <c r="D399" s="2081"/>
      <c r="E399" s="2082"/>
      <c r="F399" s="1954"/>
      <c r="G399" s="90"/>
      <c r="H399" s="90"/>
      <c r="I399" s="90"/>
      <c r="J399" s="90"/>
      <c r="K399" s="90"/>
      <c r="L399" s="90"/>
      <c r="M399" s="1956"/>
      <c r="N399" s="643"/>
      <c r="O399" s="2083"/>
      <c r="P399" s="643"/>
      <c r="Q399" s="643"/>
      <c r="R399" s="280"/>
      <c r="S399" s="280"/>
      <c r="T399" s="280"/>
      <c r="U399" s="280"/>
      <c r="V399" s="280"/>
      <c r="W399" s="79"/>
    </row>
    <row r="400" spans="1:23" ht="15.75">
      <c r="A400" s="2080"/>
      <c r="B400" s="705"/>
      <c r="C400" s="90"/>
      <c r="D400" s="2081"/>
      <c r="E400" s="2082"/>
      <c r="F400" s="1954"/>
      <c r="G400" s="90"/>
      <c r="H400" s="90"/>
      <c r="I400" s="90"/>
      <c r="J400" s="90"/>
      <c r="K400" s="90"/>
      <c r="L400" s="90"/>
      <c r="M400" s="1956"/>
      <c r="N400" s="643"/>
      <c r="O400" s="2083"/>
      <c r="P400" s="643"/>
      <c r="Q400" s="643"/>
      <c r="R400" s="280"/>
      <c r="S400" s="280"/>
      <c r="T400" s="280"/>
      <c r="U400" s="280"/>
      <c r="V400" s="280"/>
      <c r="W400" s="79"/>
    </row>
    <row r="401" spans="1:23" ht="15.75">
      <c r="A401" s="2080"/>
      <c r="B401" s="705"/>
      <c r="C401" s="90"/>
      <c r="D401" s="2081"/>
      <c r="E401" s="2082"/>
      <c r="F401" s="1954"/>
      <c r="G401" s="90"/>
      <c r="H401" s="90"/>
      <c r="I401" s="90"/>
      <c r="J401" s="90"/>
      <c r="K401" s="90"/>
      <c r="L401" s="90"/>
      <c r="M401" s="1956"/>
      <c r="N401" s="643"/>
      <c r="O401" s="2083"/>
      <c r="P401" s="643"/>
      <c r="Q401" s="643"/>
      <c r="R401" s="280"/>
      <c r="S401" s="280"/>
      <c r="T401" s="280"/>
      <c r="U401" s="280"/>
      <c r="V401" s="280"/>
      <c r="W401" s="79"/>
    </row>
    <row r="402" spans="1:23" ht="15.75">
      <c r="A402" s="2080"/>
      <c r="B402" s="705"/>
      <c r="C402" s="90"/>
      <c r="D402" s="2081"/>
      <c r="E402" s="2082"/>
      <c r="F402" s="1954"/>
      <c r="G402" s="90"/>
      <c r="H402" s="90"/>
      <c r="I402" s="90"/>
      <c r="J402" s="90"/>
      <c r="K402" s="90"/>
      <c r="L402" s="90"/>
      <c r="M402" s="1956"/>
      <c r="N402" s="643"/>
      <c r="O402" s="2083"/>
      <c r="P402" s="643"/>
      <c r="Q402" s="643"/>
      <c r="R402" s="280"/>
      <c r="S402" s="280"/>
      <c r="T402" s="280"/>
      <c r="U402" s="280"/>
      <c r="V402" s="280"/>
      <c r="W402" s="79"/>
    </row>
    <row r="403" spans="1:23" ht="15.75">
      <c r="A403" s="2080"/>
      <c r="B403" s="705"/>
      <c r="C403" s="90"/>
      <c r="D403" s="2081"/>
      <c r="E403" s="2082"/>
      <c r="F403" s="1954"/>
      <c r="G403" s="90"/>
      <c r="H403" s="90"/>
      <c r="I403" s="90"/>
      <c r="J403" s="90"/>
      <c r="K403" s="90"/>
      <c r="L403" s="90"/>
      <c r="M403" s="1956"/>
      <c r="N403" s="643"/>
      <c r="O403" s="2083"/>
      <c r="P403" s="643"/>
      <c r="Q403" s="643"/>
      <c r="R403" s="280"/>
      <c r="S403" s="280"/>
      <c r="T403" s="280"/>
      <c r="U403" s="280"/>
      <c r="V403" s="280"/>
      <c r="W403" s="79"/>
    </row>
    <row r="404" spans="1:23" ht="15.75">
      <c r="A404" s="2080"/>
      <c r="B404" s="705"/>
      <c r="C404" s="90"/>
      <c r="D404" s="2081"/>
      <c r="E404" s="2082"/>
      <c r="F404" s="1954"/>
      <c r="G404" s="90"/>
      <c r="H404" s="90"/>
      <c r="I404" s="90"/>
      <c r="J404" s="90"/>
      <c r="K404" s="90"/>
      <c r="L404" s="90"/>
      <c r="M404" s="1956"/>
      <c r="N404" s="643"/>
      <c r="O404" s="2083"/>
      <c r="P404" s="643"/>
      <c r="Q404" s="643"/>
      <c r="R404" s="280"/>
      <c r="S404" s="280"/>
      <c r="T404" s="280"/>
      <c r="U404" s="280"/>
      <c r="V404" s="280"/>
      <c r="W404" s="79"/>
    </row>
    <row r="405" spans="1:23" ht="15.75">
      <c r="A405" s="2080"/>
      <c r="B405" s="705"/>
      <c r="C405" s="90"/>
      <c r="D405" s="2081"/>
      <c r="E405" s="2082"/>
      <c r="F405" s="1954"/>
      <c r="G405" s="90"/>
      <c r="H405" s="90"/>
      <c r="I405" s="90"/>
      <c r="J405" s="90"/>
      <c r="K405" s="90"/>
      <c r="L405" s="90"/>
      <c r="M405" s="1956"/>
      <c r="N405" s="643"/>
      <c r="O405" s="2083"/>
      <c r="P405" s="643"/>
      <c r="Q405" s="643"/>
      <c r="R405" s="280"/>
      <c r="S405" s="280"/>
      <c r="T405" s="280"/>
      <c r="U405" s="280"/>
      <c r="V405" s="280"/>
      <c r="W405" s="79"/>
    </row>
    <row r="406" spans="1:23" ht="15.75">
      <c r="A406" s="2080"/>
      <c r="B406" s="705"/>
      <c r="C406" s="90"/>
      <c r="D406" s="2081"/>
      <c r="E406" s="2082"/>
      <c r="F406" s="1954"/>
      <c r="G406" s="90"/>
      <c r="H406" s="90"/>
      <c r="I406" s="90"/>
      <c r="J406" s="90"/>
      <c r="K406" s="90"/>
      <c r="L406" s="90"/>
      <c r="M406" s="1956"/>
      <c r="N406" s="643"/>
      <c r="O406" s="2083"/>
      <c r="P406" s="643"/>
      <c r="Q406" s="643"/>
      <c r="R406" s="280"/>
      <c r="S406" s="280"/>
      <c r="T406" s="280"/>
      <c r="U406" s="280"/>
      <c r="V406" s="280"/>
      <c r="W406" s="79"/>
    </row>
    <row r="407" spans="1:23" ht="15.75">
      <c r="A407" s="2080"/>
      <c r="B407" s="705"/>
      <c r="C407" s="90"/>
      <c r="D407" s="2081"/>
      <c r="E407" s="2082"/>
      <c r="F407" s="1954"/>
      <c r="G407" s="90"/>
      <c r="H407" s="90"/>
      <c r="I407" s="90"/>
      <c r="J407" s="90"/>
      <c r="K407" s="90"/>
      <c r="L407" s="90"/>
      <c r="M407" s="1956"/>
      <c r="N407" s="643"/>
      <c r="O407" s="2083"/>
      <c r="P407" s="643"/>
      <c r="Q407" s="643"/>
      <c r="R407" s="280"/>
      <c r="S407" s="280"/>
      <c r="T407" s="280"/>
      <c r="U407" s="280"/>
      <c r="V407" s="280"/>
      <c r="W407" s="79"/>
    </row>
    <row r="408" spans="1:23" ht="15.75">
      <c r="A408" s="2080"/>
      <c r="B408" s="705"/>
      <c r="C408" s="90"/>
      <c r="D408" s="2081"/>
      <c r="E408" s="2082"/>
      <c r="F408" s="1954"/>
      <c r="G408" s="90"/>
      <c r="H408" s="90"/>
      <c r="I408" s="90"/>
      <c r="J408" s="90"/>
      <c r="K408" s="90"/>
      <c r="L408" s="90"/>
      <c r="M408" s="1956"/>
      <c r="N408" s="643"/>
      <c r="O408" s="2083"/>
      <c r="P408" s="643"/>
      <c r="Q408" s="643"/>
      <c r="R408" s="280"/>
      <c r="S408" s="280"/>
      <c r="T408" s="280"/>
      <c r="U408" s="280"/>
      <c r="V408" s="280"/>
      <c r="W408" s="79"/>
    </row>
    <row r="409" spans="1:23" ht="15.75">
      <c r="A409" s="2080"/>
      <c r="B409" s="705"/>
      <c r="C409" s="90"/>
      <c r="D409" s="2081"/>
      <c r="E409" s="2082"/>
      <c r="F409" s="1954"/>
      <c r="G409" s="90"/>
      <c r="H409" s="90"/>
      <c r="I409" s="90"/>
      <c r="J409" s="90"/>
      <c r="K409" s="90"/>
      <c r="L409" s="90"/>
      <c r="M409" s="1956"/>
      <c r="N409" s="643"/>
      <c r="O409" s="2083"/>
      <c r="P409" s="643"/>
      <c r="Q409" s="643"/>
      <c r="R409" s="280"/>
      <c r="S409" s="280"/>
      <c r="T409" s="280"/>
      <c r="U409" s="280"/>
      <c r="V409" s="280"/>
      <c r="W409" s="79"/>
    </row>
    <row r="410" spans="1:23" ht="15.75">
      <c r="A410" s="2080"/>
      <c r="B410" s="705"/>
      <c r="C410" s="90"/>
      <c r="D410" s="2081"/>
      <c r="E410" s="2082"/>
      <c r="F410" s="1954"/>
      <c r="G410" s="90"/>
      <c r="H410" s="90"/>
      <c r="I410" s="90"/>
      <c r="J410" s="90"/>
      <c r="K410" s="90"/>
      <c r="L410" s="90"/>
      <c r="M410" s="1956"/>
      <c r="N410" s="643"/>
      <c r="O410" s="2083"/>
      <c r="P410" s="643"/>
      <c r="Q410" s="643"/>
      <c r="R410" s="280"/>
      <c r="S410" s="280"/>
      <c r="T410" s="280"/>
      <c r="U410" s="280"/>
      <c r="V410" s="280"/>
      <c r="W410" s="79"/>
    </row>
    <row r="411" spans="1:23" ht="15.75">
      <c r="A411" s="2080"/>
      <c r="B411" s="705"/>
      <c r="C411" s="90"/>
      <c r="D411" s="2081"/>
      <c r="E411" s="2082"/>
      <c r="F411" s="1954"/>
      <c r="G411" s="90"/>
      <c r="H411" s="90"/>
      <c r="I411" s="90"/>
      <c r="J411" s="90"/>
      <c r="K411" s="90"/>
      <c r="L411" s="90"/>
      <c r="M411" s="1956"/>
      <c r="N411" s="643"/>
      <c r="O411" s="2083"/>
      <c r="P411" s="643"/>
      <c r="Q411" s="643"/>
      <c r="R411" s="280"/>
      <c r="S411" s="280"/>
      <c r="T411" s="280"/>
      <c r="U411" s="280"/>
      <c r="V411" s="280"/>
      <c r="W411" s="79"/>
    </row>
    <row r="412" spans="1:23" ht="15.75">
      <c r="A412" s="2080"/>
      <c r="B412" s="705"/>
      <c r="C412" s="90"/>
      <c r="D412" s="2081"/>
      <c r="E412" s="2082"/>
      <c r="F412" s="1954"/>
      <c r="G412" s="90"/>
      <c r="H412" s="90"/>
      <c r="I412" s="90"/>
      <c r="J412" s="90"/>
      <c r="K412" s="90"/>
      <c r="L412" s="90"/>
      <c r="M412" s="1956"/>
      <c r="N412" s="643"/>
      <c r="O412" s="2083"/>
      <c r="P412" s="643"/>
      <c r="Q412" s="643"/>
      <c r="R412" s="280"/>
      <c r="S412" s="280"/>
      <c r="T412" s="280"/>
      <c r="U412" s="280"/>
      <c r="V412" s="280"/>
      <c r="W412" s="79"/>
    </row>
    <row r="413" spans="1:23" ht="15.75">
      <c r="A413" s="2080"/>
      <c r="B413" s="705"/>
      <c r="C413" s="90"/>
      <c r="D413" s="2081"/>
      <c r="E413" s="2082"/>
      <c r="F413" s="1954"/>
      <c r="G413" s="90"/>
      <c r="H413" s="90"/>
      <c r="I413" s="90"/>
      <c r="J413" s="90"/>
      <c r="K413" s="90"/>
      <c r="L413" s="90"/>
      <c r="M413" s="1956"/>
      <c r="N413" s="643"/>
      <c r="O413" s="2083"/>
      <c r="P413" s="643"/>
      <c r="Q413" s="643"/>
      <c r="R413" s="280"/>
      <c r="S413" s="280"/>
      <c r="T413" s="280"/>
      <c r="U413" s="280"/>
      <c r="V413" s="280"/>
      <c r="W413" s="79"/>
    </row>
    <row r="414" spans="1:23" ht="15.75">
      <c r="A414" s="2080"/>
      <c r="B414" s="705"/>
      <c r="C414" s="90"/>
      <c r="D414" s="2081"/>
      <c r="E414" s="2082"/>
      <c r="F414" s="1954"/>
      <c r="G414" s="90"/>
      <c r="H414" s="90"/>
      <c r="I414" s="90"/>
      <c r="J414" s="90"/>
      <c r="K414" s="90"/>
      <c r="L414" s="90"/>
      <c r="M414" s="1956"/>
      <c r="N414" s="643"/>
      <c r="O414" s="2083"/>
      <c r="P414" s="643"/>
      <c r="Q414" s="643"/>
      <c r="R414" s="280"/>
      <c r="S414" s="280"/>
      <c r="T414" s="280"/>
      <c r="U414" s="280"/>
      <c r="V414" s="280"/>
      <c r="W414" s="79"/>
    </row>
    <row r="415" spans="1:23" ht="15.75">
      <c r="A415" s="2080"/>
      <c r="B415" s="705"/>
      <c r="C415" s="90"/>
      <c r="D415" s="2081"/>
      <c r="E415" s="2082"/>
      <c r="F415" s="1954"/>
      <c r="G415" s="90"/>
      <c r="H415" s="90"/>
      <c r="I415" s="90"/>
      <c r="J415" s="90"/>
      <c r="K415" s="90"/>
      <c r="L415" s="90"/>
      <c r="M415" s="1956"/>
      <c r="N415" s="643"/>
      <c r="O415" s="2083"/>
      <c r="P415" s="643"/>
      <c r="Q415" s="643"/>
      <c r="R415" s="280"/>
      <c r="S415" s="280"/>
      <c r="T415" s="280"/>
      <c r="U415" s="280"/>
      <c r="V415" s="280"/>
      <c r="W415" s="79"/>
    </row>
    <row r="416" spans="1:23" ht="15.75">
      <c r="A416" s="2080"/>
      <c r="B416" s="705"/>
      <c r="C416" s="90"/>
      <c r="D416" s="2081"/>
      <c r="E416" s="2082"/>
      <c r="F416" s="1954"/>
      <c r="G416" s="90"/>
      <c r="H416" s="90"/>
      <c r="I416" s="90"/>
      <c r="J416" s="90"/>
      <c r="K416" s="90"/>
      <c r="L416" s="90"/>
      <c r="M416" s="1956"/>
      <c r="N416" s="643"/>
      <c r="O416" s="2083"/>
      <c r="P416" s="643"/>
      <c r="Q416" s="643"/>
      <c r="R416" s="280"/>
      <c r="S416" s="280"/>
      <c r="T416" s="280"/>
      <c r="U416" s="280"/>
      <c r="V416" s="280"/>
      <c r="W416" s="79"/>
    </row>
    <row r="417" spans="1:23" ht="15.75">
      <c r="A417" s="2080"/>
      <c r="B417" s="705"/>
      <c r="C417" s="90"/>
      <c r="D417" s="2081"/>
      <c r="E417" s="2082"/>
      <c r="F417" s="1954"/>
      <c r="G417" s="90"/>
      <c r="H417" s="90"/>
      <c r="I417" s="90"/>
      <c r="J417" s="90"/>
      <c r="K417" s="90"/>
      <c r="L417" s="90"/>
      <c r="M417" s="1956"/>
      <c r="N417" s="643"/>
      <c r="O417" s="2083"/>
      <c r="P417" s="643"/>
      <c r="Q417" s="643"/>
      <c r="R417" s="280"/>
      <c r="S417" s="280"/>
      <c r="T417" s="280"/>
      <c r="U417" s="280"/>
      <c r="V417" s="280"/>
      <c r="W417" s="79"/>
    </row>
    <row r="418" spans="1:23" ht="15.75">
      <c r="A418" s="2080"/>
      <c r="B418" s="705"/>
      <c r="C418" s="90"/>
      <c r="D418" s="2081"/>
      <c r="E418" s="2082"/>
      <c r="F418" s="1954"/>
      <c r="G418" s="90"/>
      <c r="H418" s="90"/>
      <c r="I418" s="90"/>
      <c r="J418" s="90"/>
      <c r="K418" s="90"/>
      <c r="L418" s="90"/>
      <c r="M418" s="1956"/>
      <c r="N418" s="643"/>
      <c r="O418" s="2083"/>
      <c r="P418" s="643"/>
      <c r="Q418" s="643"/>
      <c r="R418" s="280"/>
      <c r="S418" s="280"/>
      <c r="T418" s="280"/>
      <c r="U418" s="280"/>
      <c r="V418" s="280"/>
      <c r="W418" s="79"/>
    </row>
    <row r="419" spans="1:23" ht="15.75">
      <c r="A419" s="2080"/>
      <c r="B419" s="705"/>
      <c r="C419" s="90"/>
      <c r="D419" s="2081"/>
      <c r="E419" s="2082"/>
      <c r="F419" s="1954"/>
      <c r="G419" s="90"/>
      <c r="H419" s="90"/>
      <c r="I419" s="90"/>
      <c r="J419" s="90"/>
      <c r="K419" s="90"/>
      <c r="L419" s="90"/>
      <c r="M419" s="1956"/>
      <c r="N419" s="643"/>
      <c r="O419" s="2083"/>
      <c r="P419" s="643"/>
      <c r="Q419" s="643"/>
      <c r="R419" s="280"/>
      <c r="S419" s="280"/>
      <c r="T419" s="280"/>
      <c r="U419" s="280"/>
      <c r="V419" s="280"/>
      <c r="W419" s="79"/>
    </row>
    <row r="420" spans="1:23" ht="15.75">
      <c r="A420" s="2080"/>
      <c r="B420" s="705"/>
      <c r="C420" s="90"/>
      <c r="D420" s="2081"/>
      <c r="E420" s="2082"/>
      <c r="F420" s="1954"/>
      <c r="G420" s="90"/>
      <c r="H420" s="90"/>
      <c r="I420" s="90"/>
      <c r="J420" s="90"/>
      <c r="K420" s="90"/>
      <c r="L420" s="90"/>
      <c r="M420" s="1956"/>
      <c r="N420" s="643"/>
      <c r="O420" s="2083"/>
      <c r="P420" s="643"/>
      <c r="Q420" s="643"/>
      <c r="R420" s="280"/>
      <c r="S420" s="280"/>
      <c r="T420" s="280"/>
      <c r="U420" s="280"/>
      <c r="V420" s="280"/>
      <c r="W420" s="79"/>
    </row>
    <row r="421" spans="1:23" ht="15.75">
      <c r="A421" s="2080"/>
      <c r="B421" s="705"/>
      <c r="C421" s="90"/>
      <c r="D421" s="2081"/>
      <c r="E421" s="2082"/>
      <c r="F421" s="1954"/>
      <c r="G421" s="90"/>
      <c r="H421" s="90"/>
      <c r="I421" s="90"/>
      <c r="J421" s="90"/>
      <c r="K421" s="90"/>
      <c r="L421" s="90"/>
      <c r="M421" s="1956"/>
      <c r="N421" s="643"/>
      <c r="O421" s="2083"/>
      <c r="P421" s="643"/>
      <c r="Q421" s="643"/>
      <c r="R421" s="280"/>
      <c r="S421" s="280"/>
      <c r="T421" s="280"/>
      <c r="U421" s="280"/>
      <c r="V421" s="280"/>
      <c r="W421" s="79"/>
    </row>
    <row r="422" spans="1:23" ht="15.75">
      <c r="A422" s="2080"/>
      <c r="B422" s="705"/>
      <c r="C422" s="90"/>
      <c r="D422" s="2081"/>
      <c r="E422" s="2082"/>
      <c r="F422" s="1954"/>
      <c r="G422" s="90"/>
      <c r="H422" s="90"/>
      <c r="I422" s="90"/>
      <c r="J422" s="90"/>
      <c r="K422" s="90"/>
      <c r="L422" s="90"/>
      <c r="M422" s="1956"/>
      <c r="N422" s="643"/>
      <c r="O422" s="2083"/>
      <c r="P422" s="643"/>
      <c r="Q422" s="643"/>
      <c r="R422" s="280"/>
      <c r="S422" s="280"/>
      <c r="T422" s="280"/>
      <c r="U422" s="280"/>
      <c r="V422" s="280"/>
      <c r="W422" s="79"/>
    </row>
    <row r="423" spans="1:23" ht="15.75">
      <c r="A423" s="2080"/>
      <c r="B423" s="705"/>
      <c r="C423" s="90"/>
      <c r="D423" s="2081"/>
      <c r="E423" s="2082"/>
      <c r="F423" s="1954"/>
      <c r="G423" s="90"/>
      <c r="H423" s="90"/>
      <c r="I423" s="90"/>
      <c r="J423" s="90"/>
      <c r="K423" s="90"/>
      <c r="L423" s="90"/>
      <c r="M423" s="1956"/>
      <c r="N423" s="643"/>
      <c r="O423" s="2083"/>
      <c r="P423" s="643"/>
      <c r="Q423" s="643"/>
      <c r="R423" s="280"/>
      <c r="S423" s="280"/>
      <c r="T423" s="280"/>
      <c r="U423" s="280"/>
      <c r="V423" s="280"/>
      <c r="W423" s="79"/>
    </row>
    <row r="424" spans="1:23" ht="15.75">
      <c r="A424" s="2080"/>
      <c r="B424" s="705"/>
      <c r="C424" s="90"/>
      <c r="D424" s="2081"/>
      <c r="E424" s="2082"/>
      <c r="F424" s="1954"/>
      <c r="G424" s="90"/>
      <c r="H424" s="90"/>
      <c r="I424" s="90"/>
      <c r="J424" s="90"/>
      <c r="K424" s="90"/>
      <c r="L424" s="90"/>
      <c r="M424" s="1956"/>
      <c r="N424" s="643"/>
      <c r="O424" s="2083"/>
      <c r="P424" s="643"/>
      <c r="Q424" s="643"/>
      <c r="R424" s="280"/>
      <c r="S424" s="280"/>
      <c r="T424" s="280"/>
      <c r="U424" s="280"/>
      <c r="V424" s="280"/>
      <c r="W424" s="79"/>
    </row>
    <row r="425" spans="1:23" ht="15.75">
      <c r="A425" s="2080"/>
      <c r="B425" s="705"/>
      <c r="C425" s="90"/>
      <c r="D425" s="2081"/>
      <c r="E425" s="2082"/>
      <c r="F425" s="1954"/>
      <c r="G425" s="90"/>
      <c r="H425" s="90"/>
      <c r="I425" s="90"/>
      <c r="J425" s="90"/>
      <c r="K425" s="90"/>
      <c r="L425" s="90"/>
      <c r="M425" s="1956"/>
      <c r="N425" s="643"/>
      <c r="O425" s="2083"/>
      <c r="P425" s="643"/>
      <c r="Q425" s="643"/>
      <c r="R425" s="280"/>
      <c r="S425" s="280"/>
      <c r="T425" s="280"/>
      <c r="U425" s="280"/>
      <c r="V425" s="280"/>
      <c r="W425" s="79"/>
    </row>
    <row r="426" spans="1:23" ht="15.75">
      <c r="A426" s="2080"/>
      <c r="B426" s="705"/>
      <c r="C426" s="90"/>
      <c r="D426" s="2081"/>
      <c r="E426" s="2082"/>
      <c r="F426" s="1954"/>
      <c r="G426" s="90"/>
      <c r="H426" s="90"/>
      <c r="I426" s="90"/>
      <c r="J426" s="90"/>
      <c r="K426" s="90"/>
      <c r="L426" s="90"/>
      <c r="M426" s="1956"/>
      <c r="N426" s="643"/>
      <c r="O426" s="2083"/>
      <c r="P426" s="643"/>
      <c r="Q426" s="643"/>
      <c r="R426" s="280"/>
      <c r="S426" s="280"/>
      <c r="T426" s="280"/>
      <c r="U426" s="280"/>
      <c r="V426" s="280"/>
      <c r="W426" s="79"/>
    </row>
    <row r="427" spans="1:23" ht="15.75">
      <c r="A427" s="2080"/>
      <c r="B427" s="705"/>
      <c r="C427" s="90"/>
      <c r="D427" s="2081"/>
      <c r="E427" s="2082"/>
      <c r="F427" s="1954"/>
      <c r="G427" s="90"/>
      <c r="H427" s="90"/>
      <c r="I427" s="90"/>
      <c r="J427" s="90"/>
      <c r="K427" s="90"/>
      <c r="L427" s="90"/>
      <c r="M427" s="1956"/>
      <c r="N427" s="643"/>
      <c r="O427" s="2083"/>
      <c r="P427" s="643"/>
      <c r="Q427" s="643"/>
      <c r="R427" s="280"/>
      <c r="S427" s="280"/>
      <c r="T427" s="280"/>
      <c r="U427" s="280"/>
      <c r="V427" s="280"/>
      <c r="W427" s="79"/>
    </row>
    <row r="428" spans="1:23" ht="15.75">
      <c r="A428" s="2080"/>
      <c r="B428" s="705"/>
      <c r="C428" s="90"/>
      <c r="D428" s="2081"/>
      <c r="E428" s="2082"/>
      <c r="F428" s="1954"/>
      <c r="G428" s="90"/>
      <c r="H428" s="90"/>
      <c r="I428" s="90"/>
      <c r="J428" s="90"/>
      <c r="K428" s="90"/>
      <c r="L428" s="90"/>
      <c r="M428" s="1956"/>
      <c r="N428" s="643"/>
      <c r="O428" s="2083"/>
      <c r="P428" s="643"/>
      <c r="Q428" s="643"/>
      <c r="R428" s="280"/>
      <c r="S428" s="280"/>
      <c r="T428" s="280"/>
      <c r="U428" s="280"/>
      <c r="V428" s="280"/>
      <c r="W428" s="79"/>
    </row>
    <row r="429" spans="1:23" ht="15.75">
      <c r="A429" s="2080"/>
      <c r="B429" s="705"/>
      <c r="C429" s="90"/>
      <c r="D429" s="2081"/>
      <c r="E429" s="2082"/>
      <c r="F429" s="1954"/>
      <c r="G429" s="90"/>
      <c r="H429" s="90"/>
      <c r="I429" s="90"/>
      <c r="J429" s="90"/>
      <c r="K429" s="90"/>
      <c r="L429" s="90"/>
      <c r="M429" s="1956"/>
      <c r="N429" s="643"/>
      <c r="O429" s="2083"/>
      <c r="P429" s="643"/>
      <c r="Q429" s="643"/>
      <c r="R429" s="280"/>
      <c r="S429" s="280"/>
      <c r="T429" s="280"/>
      <c r="U429" s="280"/>
      <c r="V429" s="280"/>
      <c r="W429" s="79"/>
    </row>
    <row r="430" spans="1:23" ht="15.75">
      <c r="A430" s="2080"/>
      <c r="B430" s="705"/>
      <c r="C430" s="90"/>
      <c r="D430" s="2081"/>
      <c r="E430" s="2082"/>
      <c r="F430" s="1954"/>
      <c r="G430" s="90"/>
      <c r="H430" s="90"/>
      <c r="I430" s="90"/>
      <c r="J430" s="90"/>
      <c r="K430" s="90"/>
      <c r="L430" s="90"/>
      <c r="M430" s="1956"/>
      <c r="N430" s="643"/>
      <c r="O430" s="2083"/>
      <c r="P430" s="643"/>
      <c r="Q430" s="643"/>
      <c r="R430" s="280"/>
      <c r="S430" s="280"/>
      <c r="T430" s="280"/>
      <c r="U430" s="280"/>
      <c r="V430" s="280"/>
      <c r="W430" s="79"/>
    </row>
    <row r="431" spans="1:23" ht="15.75">
      <c r="A431" s="2080"/>
      <c r="B431" s="705"/>
      <c r="C431" s="90"/>
      <c r="D431" s="2081"/>
      <c r="E431" s="2082"/>
      <c r="F431" s="1954"/>
      <c r="G431" s="90"/>
      <c r="H431" s="90"/>
      <c r="I431" s="90"/>
      <c r="J431" s="90"/>
      <c r="K431" s="90"/>
      <c r="L431" s="90"/>
      <c r="M431" s="1956"/>
      <c r="N431" s="643"/>
      <c r="O431" s="2083"/>
      <c r="P431" s="643"/>
      <c r="Q431" s="643"/>
      <c r="R431" s="280"/>
      <c r="S431" s="280"/>
      <c r="T431" s="280"/>
      <c r="U431" s="280"/>
      <c r="V431" s="280"/>
      <c r="W431" s="79"/>
    </row>
    <row r="432" spans="1:23" ht="15.75">
      <c r="A432" s="2080"/>
      <c r="B432" s="705"/>
      <c r="C432" s="90"/>
      <c r="D432" s="2081"/>
      <c r="E432" s="2082"/>
      <c r="F432" s="1954"/>
      <c r="G432" s="90"/>
      <c r="H432" s="90"/>
      <c r="I432" s="90"/>
      <c r="J432" s="90"/>
      <c r="K432" s="90"/>
      <c r="L432" s="90"/>
      <c r="M432" s="1956"/>
      <c r="N432" s="643"/>
      <c r="O432" s="2083"/>
      <c r="P432" s="643"/>
      <c r="Q432" s="643"/>
      <c r="R432" s="280"/>
      <c r="S432" s="280"/>
      <c r="T432" s="280"/>
      <c r="U432" s="280"/>
      <c r="V432" s="280"/>
      <c r="W432" s="79"/>
    </row>
    <row r="433" spans="1:23" ht="15.75">
      <c r="A433" s="2080"/>
      <c r="B433" s="705"/>
      <c r="C433" s="90"/>
      <c r="D433" s="2081"/>
      <c r="E433" s="2082"/>
      <c r="F433" s="1954"/>
      <c r="G433" s="90"/>
      <c r="H433" s="90"/>
      <c r="I433" s="90"/>
      <c r="J433" s="90"/>
      <c r="K433" s="90"/>
      <c r="L433" s="90"/>
      <c r="M433" s="1956"/>
      <c r="N433" s="643"/>
      <c r="O433" s="2083"/>
      <c r="P433" s="643"/>
      <c r="Q433" s="643"/>
      <c r="R433" s="280"/>
      <c r="S433" s="280"/>
      <c r="T433" s="280"/>
      <c r="U433" s="280"/>
      <c r="V433" s="280"/>
      <c r="W433" s="79"/>
    </row>
    <row r="434" spans="1:23" ht="15.75">
      <c r="A434" s="2080"/>
      <c r="B434" s="705"/>
      <c r="C434" s="90"/>
      <c r="D434" s="2081"/>
      <c r="E434" s="2082"/>
      <c r="F434" s="1954"/>
      <c r="G434" s="90"/>
      <c r="H434" s="90"/>
      <c r="I434" s="90"/>
      <c r="J434" s="90"/>
      <c r="K434" s="90"/>
      <c r="L434" s="90"/>
      <c r="M434" s="1956"/>
      <c r="N434" s="643"/>
      <c r="O434" s="2083"/>
      <c r="P434" s="643"/>
      <c r="Q434" s="643"/>
      <c r="R434" s="280"/>
      <c r="S434" s="280"/>
      <c r="T434" s="280"/>
      <c r="U434" s="280"/>
      <c r="V434" s="280"/>
      <c r="W434" s="79"/>
    </row>
    <row r="435" spans="1:23" ht="15.75">
      <c r="A435" s="2080"/>
      <c r="B435" s="705"/>
      <c r="C435" s="90"/>
      <c r="D435" s="2081"/>
      <c r="E435" s="2082"/>
      <c r="F435" s="1954"/>
      <c r="G435" s="90"/>
      <c r="H435" s="90"/>
      <c r="I435" s="90"/>
      <c r="J435" s="90"/>
      <c r="K435" s="90"/>
      <c r="L435" s="90"/>
      <c r="M435" s="1956"/>
      <c r="N435" s="643"/>
      <c r="O435" s="2083"/>
      <c r="P435" s="643"/>
      <c r="Q435" s="643"/>
      <c r="R435" s="280"/>
      <c r="S435" s="280"/>
      <c r="T435" s="280"/>
      <c r="U435" s="280"/>
      <c r="V435" s="280"/>
      <c r="W435" s="79"/>
    </row>
    <row r="436" spans="1:23" ht="15.75">
      <c r="A436" s="2080"/>
      <c r="B436" s="705"/>
      <c r="C436" s="90"/>
      <c r="D436" s="2081"/>
      <c r="E436" s="2082"/>
      <c r="F436" s="1954"/>
      <c r="G436" s="90"/>
      <c r="H436" s="90"/>
      <c r="I436" s="90"/>
      <c r="J436" s="90"/>
      <c r="K436" s="90"/>
      <c r="L436" s="90"/>
      <c r="M436" s="1956"/>
      <c r="N436" s="643"/>
      <c r="O436" s="2083"/>
      <c r="P436" s="643"/>
      <c r="Q436" s="643"/>
      <c r="R436" s="280"/>
      <c r="S436" s="280"/>
      <c r="T436" s="280"/>
      <c r="U436" s="280"/>
      <c r="V436" s="280"/>
      <c r="W436" s="79"/>
    </row>
    <row r="437" spans="1:23" ht="15.75">
      <c r="A437" s="2080"/>
      <c r="B437" s="705"/>
      <c r="C437" s="90"/>
      <c r="D437" s="2081"/>
      <c r="E437" s="2082"/>
      <c r="F437" s="1954"/>
      <c r="G437" s="90"/>
      <c r="H437" s="90"/>
      <c r="I437" s="90"/>
      <c r="J437" s="90"/>
      <c r="K437" s="90"/>
      <c r="L437" s="90"/>
      <c r="M437" s="1956"/>
      <c r="N437" s="643"/>
      <c r="O437" s="2083"/>
      <c r="P437" s="643"/>
      <c r="Q437" s="643"/>
      <c r="R437" s="280"/>
      <c r="S437" s="280"/>
      <c r="T437" s="280"/>
      <c r="U437" s="280"/>
      <c r="V437" s="280"/>
      <c r="W437" s="79"/>
    </row>
    <row r="438" spans="1:23" ht="15.75">
      <c r="A438" s="2080"/>
      <c r="B438" s="705"/>
      <c r="C438" s="90"/>
      <c r="D438" s="2081"/>
      <c r="E438" s="2082"/>
      <c r="F438" s="1954"/>
      <c r="G438" s="90"/>
      <c r="H438" s="90"/>
      <c r="I438" s="90"/>
      <c r="J438" s="90"/>
      <c r="K438" s="90"/>
      <c r="L438" s="90"/>
      <c r="M438" s="1956"/>
      <c r="N438" s="643"/>
      <c r="O438" s="2083"/>
      <c r="P438" s="643"/>
      <c r="Q438" s="643"/>
      <c r="R438" s="280"/>
      <c r="S438" s="280"/>
      <c r="T438" s="280"/>
      <c r="U438" s="280"/>
      <c r="V438" s="280"/>
      <c r="W438" s="79"/>
    </row>
    <row r="439" spans="1:23" ht="15.75">
      <c r="A439" s="2080"/>
      <c r="B439" s="705"/>
      <c r="C439" s="90"/>
      <c r="D439" s="2081"/>
      <c r="E439" s="2082"/>
      <c r="F439" s="1954"/>
      <c r="G439" s="90"/>
      <c r="H439" s="90"/>
      <c r="I439" s="90"/>
      <c r="J439" s="90"/>
      <c r="K439" s="90"/>
      <c r="L439" s="90"/>
      <c r="M439" s="1956"/>
      <c r="N439" s="643"/>
      <c r="O439" s="2083"/>
      <c r="P439" s="643"/>
      <c r="Q439" s="643"/>
      <c r="R439" s="280"/>
      <c r="S439" s="280"/>
      <c r="T439" s="280"/>
      <c r="U439" s="280"/>
      <c r="V439" s="280"/>
      <c r="W439" s="79"/>
    </row>
    <row r="440" spans="1:23" ht="15.75">
      <c r="A440" s="2080"/>
      <c r="B440" s="705"/>
      <c r="C440" s="90"/>
      <c r="D440" s="2081"/>
      <c r="E440" s="2082"/>
      <c r="F440" s="1954"/>
      <c r="G440" s="90"/>
      <c r="H440" s="90"/>
      <c r="I440" s="90"/>
      <c r="J440" s="90"/>
      <c r="K440" s="90"/>
      <c r="L440" s="90"/>
      <c r="M440" s="1956"/>
      <c r="N440" s="643"/>
      <c r="O440" s="2083"/>
      <c r="P440" s="643"/>
      <c r="Q440" s="643"/>
      <c r="R440" s="280"/>
      <c r="S440" s="280"/>
      <c r="T440" s="280"/>
      <c r="U440" s="280"/>
      <c r="V440" s="280"/>
      <c r="W440" s="79"/>
    </row>
    <row r="441" spans="1:23" ht="15.75">
      <c r="A441" s="2080"/>
      <c r="B441" s="705"/>
      <c r="C441" s="90"/>
      <c r="D441" s="2081"/>
      <c r="E441" s="2082"/>
      <c r="F441" s="1954"/>
      <c r="G441" s="90"/>
      <c r="H441" s="90"/>
      <c r="I441" s="90"/>
      <c r="J441" s="90"/>
      <c r="K441" s="90"/>
      <c r="L441" s="90"/>
      <c r="M441" s="1956"/>
      <c r="N441" s="643"/>
      <c r="O441" s="2083"/>
      <c r="P441" s="643"/>
      <c r="Q441" s="643"/>
      <c r="R441" s="280"/>
      <c r="S441" s="280"/>
      <c r="T441" s="280"/>
      <c r="U441" s="280"/>
      <c r="V441" s="280"/>
      <c r="W441" s="79"/>
    </row>
    <row r="442" spans="1:23" ht="15.75">
      <c r="A442" s="2080"/>
      <c r="B442" s="705"/>
      <c r="C442" s="90"/>
      <c r="D442" s="2081"/>
      <c r="E442" s="2082"/>
      <c r="F442" s="1954"/>
      <c r="G442" s="90"/>
      <c r="H442" s="90"/>
      <c r="I442" s="90"/>
      <c r="J442" s="90"/>
      <c r="K442" s="90"/>
      <c r="L442" s="90"/>
      <c r="M442" s="1956"/>
      <c r="N442" s="643"/>
      <c r="O442" s="2083"/>
      <c r="P442" s="643"/>
      <c r="Q442" s="643"/>
      <c r="R442" s="280"/>
      <c r="S442" s="280"/>
      <c r="T442" s="280"/>
      <c r="U442" s="280"/>
      <c r="V442" s="280"/>
      <c r="W442" s="79"/>
    </row>
    <row r="443" spans="1:23" ht="15.75">
      <c r="A443" s="2080"/>
      <c r="B443" s="705"/>
      <c r="C443" s="90"/>
      <c r="D443" s="2081"/>
      <c r="E443" s="2082"/>
      <c r="F443" s="1954"/>
      <c r="G443" s="90"/>
      <c r="H443" s="90"/>
      <c r="I443" s="90"/>
      <c r="J443" s="90"/>
      <c r="K443" s="90"/>
      <c r="L443" s="90"/>
      <c r="M443" s="1956"/>
      <c r="N443" s="643"/>
      <c r="O443" s="2083"/>
      <c r="P443" s="643"/>
      <c r="Q443" s="643"/>
      <c r="R443" s="280"/>
      <c r="S443" s="280"/>
      <c r="T443" s="280"/>
      <c r="U443" s="280"/>
      <c r="V443" s="280"/>
      <c r="W443" s="79"/>
    </row>
    <row r="444" spans="1:23" ht="15.75">
      <c r="A444" s="2080"/>
      <c r="B444" s="705"/>
      <c r="C444" s="90"/>
      <c r="D444" s="2081"/>
      <c r="E444" s="2082"/>
      <c r="F444" s="1954"/>
      <c r="G444" s="90"/>
      <c r="H444" s="90"/>
      <c r="I444" s="90"/>
      <c r="J444" s="90"/>
      <c r="K444" s="90"/>
      <c r="L444" s="90"/>
      <c r="M444" s="1956"/>
      <c r="N444" s="643"/>
      <c r="O444" s="2083"/>
      <c r="P444" s="643"/>
      <c r="Q444" s="643"/>
      <c r="R444" s="280"/>
      <c r="S444" s="280"/>
      <c r="T444" s="280"/>
      <c r="U444" s="280"/>
      <c r="V444" s="280"/>
      <c r="W444" s="79"/>
    </row>
    <row r="445" spans="1:23" ht="15.75">
      <c r="A445" s="2080"/>
      <c r="B445" s="705"/>
      <c r="C445" s="90"/>
      <c r="D445" s="2081"/>
      <c r="E445" s="2082"/>
      <c r="F445" s="1954"/>
      <c r="G445" s="90"/>
      <c r="H445" s="90"/>
      <c r="I445" s="90"/>
      <c r="J445" s="90"/>
      <c r="K445" s="90"/>
      <c r="L445" s="90"/>
      <c r="M445" s="1956"/>
      <c r="N445" s="643"/>
      <c r="O445" s="2083"/>
      <c r="P445" s="643"/>
      <c r="Q445" s="643"/>
      <c r="R445" s="280"/>
      <c r="S445" s="280"/>
      <c r="T445" s="280"/>
      <c r="U445" s="280"/>
      <c r="V445" s="280"/>
      <c r="W445" s="79"/>
    </row>
    <row r="446" spans="1:23" ht="15.75">
      <c r="A446" s="2080"/>
      <c r="B446" s="705"/>
      <c r="C446" s="90"/>
      <c r="D446" s="2081"/>
      <c r="E446" s="2082"/>
      <c r="F446" s="1954"/>
      <c r="G446" s="90"/>
      <c r="H446" s="90"/>
      <c r="I446" s="90"/>
      <c r="J446" s="90"/>
      <c r="K446" s="90"/>
      <c r="L446" s="90"/>
      <c r="M446" s="1956"/>
      <c r="N446" s="643"/>
      <c r="O446" s="2083"/>
      <c r="P446" s="643"/>
      <c r="Q446" s="643"/>
      <c r="R446" s="280"/>
      <c r="S446" s="280"/>
      <c r="T446" s="280"/>
      <c r="U446" s="280"/>
      <c r="V446" s="280"/>
      <c r="W446" s="79"/>
    </row>
    <row r="447" spans="1:23" ht="15.75">
      <c r="A447" s="2080"/>
      <c r="B447" s="705"/>
      <c r="C447" s="90"/>
      <c r="D447" s="2081"/>
      <c r="E447" s="2082"/>
      <c r="F447" s="1954"/>
      <c r="G447" s="90"/>
      <c r="H447" s="90"/>
      <c r="I447" s="90"/>
      <c r="J447" s="90"/>
      <c r="K447" s="90"/>
      <c r="L447" s="90"/>
      <c r="M447" s="1956"/>
      <c r="N447" s="643"/>
      <c r="O447" s="2083"/>
      <c r="P447" s="643"/>
      <c r="Q447" s="643"/>
      <c r="R447" s="280"/>
      <c r="S447" s="280"/>
      <c r="T447" s="280"/>
      <c r="U447" s="280"/>
      <c r="V447" s="280"/>
      <c r="W447" s="79"/>
    </row>
    <row r="448" spans="1:23" ht="15.75">
      <c r="A448" s="2080"/>
      <c r="B448" s="705"/>
      <c r="C448" s="90"/>
      <c r="D448" s="2081"/>
      <c r="E448" s="2082"/>
      <c r="F448" s="1954"/>
      <c r="G448" s="90"/>
      <c r="H448" s="90"/>
      <c r="I448" s="90"/>
      <c r="J448" s="90"/>
      <c r="K448" s="90"/>
      <c r="L448" s="90"/>
      <c r="M448" s="1956"/>
      <c r="N448" s="643"/>
      <c r="O448" s="2083"/>
      <c r="P448" s="643"/>
      <c r="Q448" s="643"/>
      <c r="R448" s="280"/>
      <c r="S448" s="280"/>
      <c r="T448" s="280"/>
      <c r="U448" s="280"/>
      <c r="V448" s="280"/>
      <c r="W448" s="79"/>
    </row>
    <row r="449" spans="1:23" ht="15.75">
      <c r="A449" s="2080"/>
      <c r="B449" s="705"/>
      <c r="C449" s="90"/>
      <c r="D449" s="2081"/>
      <c r="E449" s="2082"/>
      <c r="F449" s="1954"/>
      <c r="G449" s="90"/>
      <c r="H449" s="90"/>
      <c r="I449" s="90"/>
      <c r="J449" s="90"/>
      <c r="K449" s="90"/>
      <c r="L449" s="90"/>
      <c r="M449" s="1956"/>
      <c r="N449" s="643"/>
      <c r="O449" s="2083"/>
      <c r="P449" s="643"/>
      <c r="Q449" s="643"/>
      <c r="R449" s="280"/>
      <c r="S449" s="280"/>
      <c r="T449" s="280"/>
      <c r="U449" s="280"/>
      <c r="V449" s="280"/>
      <c r="W449" s="79"/>
    </row>
    <row r="450" spans="1:23" ht="15.75">
      <c r="A450" s="2080"/>
      <c r="B450" s="705"/>
      <c r="C450" s="90"/>
      <c r="D450" s="2081"/>
      <c r="E450" s="2082"/>
      <c r="F450" s="1954"/>
      <c r="G450" s="90"/>
      <c r="H450" s="90"/>
      <c r="I450" s="90"/>
      <c r="J450" s="90"/>
      <c r="K450" s="90"/>
      <c r="L450" s="90"/>
      <c r="M450" s="1956"/>
      <c r="N450" s="643"/>
      <c r="O450" s="2083"/>
      <c r="P450" s="643"/>
      <c r="Q450" s="643"/>
      <c r="R450" s="280"/>
      <c r="S450" s="280"/>
      <c r="T450" s="280"/>
      <c r="U450" s="280"/>
      <c r="V450" s="280"/>
      <c r="W450" s="79"/>
    </row>
    <row r="451" spans="1:23" ht="15.75">
      <c r="A451" s="2080"/>
      <c r="B451" s="705"/>
      <c r="C451" s="90"/>
      <c r="D451" s="2081"/>
      <c r="E451" s="2082"/>
      <c r="F451" s="1954"/>
      <c r="G451" s="90"/>
      <c r="H451" s="90"/>
      <c r="I451" s="90"/>
      <c r="J451" s="90"/>
      <c r="K451" s="90"/>
      <c r="L451" s="90"/>
      <c r="M451" s="1956"/>
      <c r="N451" s="643"/>
      <c r="O451" s="2083"/>
      <c r="P451" s="643"/>
      <c r="Q451" s="643"/>
      <c r="R451" s="280"/>
      <c r="S451" s="280"/>
      <c r="T451" s="280"/>
      <c r="U451" s="280"/>
      <c r="V451" s="280"/>
      <c r="W451" s="79"/>
    </row>
    <row r="452" spans="1:23" ht="15.75">
      <c r="A452" s="2080"/>
      <c r="B452" s="705"/>
      <c r="C452" s="90"/>
      <c r="D452" s="2081"/>
      <c r="E452" s="2082"/>
      <c r="F452" s="1954"/>
      <c r="G452" s="90"/>
      <c r="H452" s="90"/>
      <c r="I452" s="90"/>
      <c r="J452" s="90"/>
      <c r="K452" s="90"/>
      <c r="L452" s="90"/>
      <c r="M452" s="1956"/>
      <c r="N452" s="643"/>
      <c r="O452" s="2083"/>
      <c r="P452" s="643"/>
      <c r="Q452" s="643"/>
      <c r="R452" s="280"/>
      <c r="S452" s="280"/>
      <c r="T452" s="280"/>
      <c r="U452" s="280"/>
      <c r="V452" s="280"/>
      <c r="W452" s="79"/>
    </row>
    <row r="453" spans="1:23" ht="15.75">
      <c r="A453" s="2080"/>
      <c r="B453" s="705"/>
      <c r="C453" s="90"/>
      <c r="D453" s="2081"/>
      <c r="E453" s="2082"/>
      <c r="F453" s="1954"/>
      <c r="G453" s="90"/>
      <c r="H453" s="90"/>
      <c r="I453" s="90"/>
      <c r="J453" s="90"/>
      <c r="K453" s="90"/>
      <c r="L453" s="90"/>
      <c r="M453" s="1956"/>
      <c r="N453" s="643"/>
      <c r="O453" s="2083"/>
      <c r="P453" s="643"/>
      <c r="Q453" s="643"/>
      <c r="R453" s="280"/>
      <c r="S453" s="280"/>
      <c r="T453" s="280"/>
      <c r="U453" s="280"/>
      <c r="V453" s="280"/>
      <c r="W453" s="79"/>
    </row>
    <row r="454" spans="1:23" ht="15.75">
      <c r="A454" s="2080"/>
      <c r="B454" s="705"/>
      <c r="C454" s="90"/>
      <c r="D454" s="2081"/>
      <c r="E454" s="2082"/>
      <c r="F454" s="1954"/>
      <c r="G454" s="90"/>
      <c r="H454" s="90"/>
      <c r="I454" s="90"/>
      <c r="J454" s="90"/>
      <c r="K454" s="90"/>
      <c r="L454" s="90"/>
      <c r="M454" s="1956"/>
      <c r="N454" s="643"/>
      <c r="O454" s="2083"/>
      <c r="P454" s="643"/>
      <c r="Q454" s="643"/>
      <c r="R454" s="280"/>
      <c r="S454" s="280"/>
      <c r="T454" s="280"/>
      <c r="U454" s="280"/>
      <c r="V454" s="280"/>
      <c r="W454" s="79"/>
    </row>
    <row r="455" spans="1:23" ht="15.75">
      <c r="A455" s="2080"/>
      <c r="B455" s="705"/>
      <c r="C455" s="90"/>
      <c r="D455" s="2081"/>
      <c r="E455" s="2082"/>
      <c r="F455" s="1954"/>
      <c r="G455" s="90"/>
      <c r="H455" s="90"/>
      <c r="I455" s="90"/>
      <c r="J455" s="90"/>
      <c r="K455" s="90"/>
      <c r="L455" s="90"/>
      <c r="M455" s="1956"/>
      <c r="N455" s="643"/>
      <c r="O455" s="2083"/>
      <c r="P455" s="643"/>
      <c r="Q455" s="643"/>
      <c r="R455" s="280"/>
      <c r="S455" s="280"/>
      <c r="T455" s="280"/>
      <c r="U455" s="280"/>
      <c r="V455" s="280"/>
      <c r="W455" s="79"/>
    </row>
    <row r="456" spans="1:23" ht="15.75">
      <c r="A456" s="2080"/>
      <c r="B456" s="705"/>
      <c r="C456" s="90"/>
      <c r="D456" s="2081"/>
      <c r="E456" s="2082"/>
      <c r="F456" s="1954"/>
      <c r="G456" s="90"/>
      <c r="H456" s="90"/>
      <c r="I456" s="90"/>
      <c r="J456" s="90"/>
      <c r="K456" s="90"/>
      <c r="L456" s="90"/>
      <c r="M456" s="1956"/>
      <c r="N456" s="643"/>
      <c r="O456" s="2083"/>
      <c r="P456" s="643"/>
      <c r="Q456" s="643"/>
      <c r="R456" s="280"/>
      <c r="S456" s="280"/>
      <c r="T456" s="280"/>
      <c r="U456" s="280"/>
      <c r="V456" s="280"/>
      <c r="W456" s="79"/>
    </row>
    <row r="457" spans="1:23" ht="15.75">
      <c r="A457" s="2080"/>
      <c r="B457" s="705"/>
      <c r="C457" s="90"/>
      <c r="D457" s="2081"/>
      <c r="E457" s="2082"/>
      <c r="F457" s="1954"/>
      <c r="G457" s="90"/>
      <c r="H457" s="90"/>
      <c r="I457" s="90"/>
      <c r="J457" s="90"/>
      <c r="K457" s="90"/>
      <c r="L457" s="90"/>
      <c r="M457" s="1956"/>
      <c r="N457" s="643"/>
      <c r="O457" s="2083"/>
      <c r="P457" s="643"/>
      <c r="Q457" s="643"/>
      <c r="R457" s="280"/>
      <c r="S457" s="280"/>
      <c r="T457" s="280"/>
      <c r="U457" s="280"/>
      <c r="V457" s="280"/>
      <c r="W457" s="79"/>
    </row>
    <row r="458" spans="1:23" ht="15.75">
      <c r="A458" s="2080"/>
      <c r="B458" s="705"/>
      <c r="C458" s="90"/>
      <c r="D458" s="2081"/>
      <c r="E458" s="2082"/>
      <c r="F458" s="1954"/>
      <c r="G458" s="90"/>
      <c r="H458" s="90"/>
      <c r="I458" s="90"/>
      <c r="J458" s="90"/>
      <c r="K458" s="90"/>
      <c r="L458" s="90"/>
      <c r="M458" s="1956"/>
      <c r="N458" s="643"/>
      <c r="O458" s="2083"/>
      <c r="P458" s="643"/>
      <c r="Q458" s="643"/>
      <c r="R458" s="280"/>
      <c r="S458" s="280"/>
      <c r="T458" s="280"/>
      <c r="U458" s="280"/>
      <c r="V458" s="280"/>
      <c r="W458" s="79"/>
    </row>
    <row r="459" spans="1:23" ht="15.75">
      <c r="A459" s="2080"/>
      <c r="B459" s="705"/>
      <c r="C459" s="90"/>
      <c r="D459" s="2081"/>
      <c r="E459" s="2082"/>
      <c r="F459" s="1954"/>
      <c r="G459" s="90"/>
      <c r="H459" s="90"/>
      <c r="I459" s="90"/>
      <c r="J459" s="90"/>
      <c r="K459" s="90"/>
      <c r="L459" s="90"/>
      <c r="M459" s="1956"/>
      <c r="N459" s="643"/>
      <c r="O459" s="2083"/>
      <c r="P459" s="643"/>
      <c r="Q459" s="643"/>
      <c r="R459" s="280"/>
      <c r="S459" s="280"/>
      <c r="T459" s="280"/>
      <c r="U459" s="280"/>
      <c r="V459" s="280"/>
      <c r="W459" s="79"/>
    </row>
    <row r="460" spans="1:23" ht="15.75">
      <c r="A460" s="2080"/>
      <c r="B460" s="705"/>
      <c r="C460" s="90"/>
      <c r="D460" s="2081"/>
      <c r="E460" s="2082"/>
      <c r="F460" s="1954"/>
      <c r="G460" s="90"/>
      <c r="H460" s="90"/>
      <c r="I460" s="90"/>
      <c r="J460" s="90"/>
      <c r="K460" s="90"/>
      <c r="L460" s="90"/>
      <c r="M460" s="1956"/>
      <c r="N460" s="643"/>
      <c r="O460" s="2083"/>
      <c r="P460" s="643"/>
      <c r="Q460" s="643"/>
      <c r="R460" s="280"/>
      <c r="S460" s="280"/>
      <c r="T460" s="280"/>
      <c r="U460" s="280"/>
      <c r="V460" s="280"/>
      <c r="W460" s="79"/>
    </row>
    <row r="461" spans="1:23" ht="15.75">
      <c r="A461" s="2080"/>
      <c r="B461" s="705"/>
      <c r="C461" s="90"/>
      <c r="D461" s="2081"/>
      <c r="E461" s="2082"/>
      <c r="F461" s="1954"/>
      <c r="G461" s="90"/>
      <c r="H461" s="90"/>
      <c r="I461" s="90"/>
      <c r="J461" s="90"/>
      <c r="K461" s="90"/>
      <c r="L461" s="90"/>
      <c r="M461" s="1956"/>
      <c r="N461" s="643"/>
      <c r="O461" s="2083"/>
      <c r="P461" s="643"/>
      <c r="Q461" s="643"/>
      <c r="R461" s="280"/>
      <c r="S461" s="280"/>
      <c r="T461" s="280"/>
      <c r="U461" s="280"/>
      <c r="V461" s="280"/>
      <c r="W461" s="79"/>
    </row>
    <row r="462" spans="1:23" ht="15.75">
      <c r="A462" s="2080"/>
      <c r="B462" s="705"/>
      <c r="C462" s="90"/>
      <c r="D462" s="2081"/>
      <c r="E462" s="2082"/>
      <c r="F462" s="1954"/>
      <c r="G462" s="90"/>
      <c r="H462" s="90"/>
      <c r="I462" s="90"/>
      <c r="J462" s="90"/>
      <c r="K462" s="90"/>
      <c r="L462" s="90"/>
      <c r="M462" s="1956"/>
      <c r="N462" s="643"/>
      <c r="O462" s="2083"/>
      <c r="P462" s="643"/>
      <c r="Q462" s="643"/>
      <c r="R462" s="280"/>
      <c r="S462" s="280"/>
      <c r="T462" s="280"/>
      <c r="U462" s="280"/>
      <c r="V462" s="280"/>
      <c r="W462" s="79"/>
    </row>
    <row r="463" spans="1:23" ht="15.75">
      <c r="A463" s="2080"/>
      <c r="B463" s="705"/>
      <c r="C463" s="90"/>
      <c r="D463" s="2081"/>
      <c r="E463" s="2082"/>
      <c r="F463" s="1954"/>
      <c r="G463" s="90"/>
      <c r="H463" s="90"/>
      <c r="I463" s="90"/>
      <c r="J463" s="90"/>
      <c r="K463" s="90"/>
      <c r="L463" s="90"/>
      <c r="M463" s="1956"/>
      <c r="N463" s="643"/>
      <c r="O463" s="2083"/>
      <c r="P463" s="643"/>
      <c r="Q463" s="643"/>
      <c r="R463" s="280"/>
      <c r="S463" s="280"/>
      <c r="T463" s="280"/>
      <c r="U463" s="280"/>
      <c r="V463" s="280"/>
      <c r="W463" s="79"/>
    </row>
    <row r="464" spans="1:23" ht="15.75">
      <c r="A464" s="2080"/>
      <c r="B464" s="705"/>
      <c r="C464" s="90"/>
      <c r="D464" s="2081"/>
      <c r="E464" s="2082"/>
      <c r="F464" s="1954"/>
      <c r="G464" s="90"/>
      <c r="H464" s="90"/>
      <c r="I464" s="90"/>
      <c r="J464" s="90"/>
      <c r="K464" s="90"/>
      <c r="L464" s="90"/>
      <c r="M464" s="1956"/>
      <c r="N464" s="643"/>
      <c r="O464" s="2083"/>
      <c r="P464" s="643"/>
      <c r="Q464" s="643"/>
      <c r="R464" s="280"/>
      <c r="S464" s="280"/>
      <c r="T464" s="280"/>
      <c r="U464" s="280"/>
      <c r="V464" s="280"/>
      <c r="W464" s="79"/>
    </row>
    <row r="465" spans="1:23" ht="15.75">
      <c r="A465" s="2080"/>
      <c r="B465" s="705"/>
      <c r="C465" s="90"/>
      <c r="D465" s="2081"/>
      <c r="E465" s="2082"/>
      <c r="F465" s="1954"/>
      <c r="G465" s="90"/>
      <c r="H465" s="90"/>
      <c r="I465" s="90"/>
      <c r="J465" s="90"/>
      <c r="K465" s="90"/>
      <c r="L465" s="90"/>
      <c r="M465" s="1956"/>
      <c r="N465" s="643"/>
      <c r="O465" s="2083"/>
      <c r="P465" s="643"/>
      <c r="Q465" s="643"/>
      <c r="R465" s="280"/>
      <c r="S465" s="280"/>
      <c r="T465" s="280"/>
      <c r="U465" s="280"/>
      <c r="V465" s="280"/>
      <c r="W465" s="79"/>
    </row>
    <row r="466" spans="1:23" ht="15.75">
      <c r="A466" s="2080"/>
      <c r="B466" s="705"/>
      <c r="C466" s="90"/>
      <c r="D466" s="2081"/>
      <c r="E466" s="2082"/>
      <c r="F466" s="1954"/>
      <c r="G466" s="90"/>
      <c r="H466" s="90"/>
      <c r="I466" s="90"/>
      <c r="J466" s="90"/>
      <c r="K466" s="90"/>
      <c r="L466" s="90"/>
      <c r="M466" s="1956"/>
      <c r="N466" s="643"/>
      <c r="O466" s="2083"/>
      <c r="P466" s="643"/>
      <c r="Q466" s="643"/>
      <c r="R466" s="280"/>
      <c r="S466" s="280"/>
      <c r="T466" s="280"/>
      <c r="U466" s="280"/>
      <c r="V466" s="280"/>
      <c r="W466" s="79"/>
    </row>
    <row r="467" spans="1:23" ht="15.75">
      <c r="A467" s="2080"/>
      <c r="B467" s="705"/>
      <c r="C467" s="90"/>
      <c r="D467" s="2081"/>
      <c r="E467" s="2082"/>
      <c r="F467" s="1954"/>
      <c r="G467" s="90"/>
      <c r="H467" s="90"/>
      <c r="I467" s="90"/>
      <c r="J467" s="90"/>
      <c r="K467" s="90"/>
      <c r="L467" s="90"/>
      <c r="M467" s="1956"/>
      <c r="N467" s="643"/>
      <c r="O467" s="2083"/>
      <c r="P467" s="643"/>
      <c r="Q467" s="643"/>
      <c r="R467" s="280"/>
      <c r="S467" s="280"/>
      <c r="T467" s="280"/>
      <c r="U467" s="280"/>
      <c r="V467" s="280"/>
      <c r="W467" s="79"/>
    </row>
    <row r="468" spans="1:23" ht="15.75">
      <c r="A468" s="2080"/>
      <c r="B468" s="705"/>
      <c r="C468" s="90"/>
      <c r="D468" s="2081"/>
      <c r="E468" s="2082"/>
      <c r="F468" s="1954"/>
      <c r="G468" s="90"/>
      <c r="H468" s="90"/>
      <c r="I468" s="90"/>
      <c r="J468" s="90"/>
      <c r="K468" s="90"/>
      <c r="L468" s="90"/>
      <c r="M468" s="1956"/>
      <c r="N468" s="643"/>
      <c r="O468" s="2083"/>
      <c r="P468" s="643"/>
      <c r="Q468" s="643"/>
      <c r="R468" s="280"/>
      <c r="S468" s="280"/>
      <c r="T468" s="280"/>
      <c r="U468" s="280"/>
      <c r="V468" s="280"/>
      <c r="W468" s="79"/>
    </row>
    <row r="469" spans="1:23" ht="15.75">
      <c r="A469" s="2080"/>
      <c r="B469" s="705"/>
      <c r="C469" s="90"/>
      <c r="D469" s="2081"/>
      <c r="E469" s="2082"/>
      <c r="F469" s="1954"/>
      <c r="G469" s="90"/>
      <c r="H469" s="90"/>
      <c r="I469" s="90"/>
      <c r="J469" s="90"/>
      <c r="K469" s="90"/>
      <c r="L469" s="90"/>
      <c r="M469" s="1956"/>
      <c r="N469" s="643"/>
      <c r="O469" s="2083"/>
      <c r="P469" s="643"/>
      <c r="Q469" s="643"/>
      <c r="R469" s="280"/>
      <c r="S469" s="280"/>
      <c r="T469" s="280"/>
      <c r="U469" s="280"/>
      <c r="V469" s="280"/>
      <c r="W469" s="79"/>
    </row>
    <row r="470" spans="1:23" ht="15.75">
      <c r="A470" s="2080"/>
      <c r="B470" s="705"/>
      <c r="C470" s="90"/>
      <c r="D470" s="2081"/>
      <c r="E470" s="2082"/>
      <c r="F470" s="1954"/>
      <c r="G470" s="90"/>
      <c r="H470" s="90"/>
      <c r="I470" s="90"/>
      <c r="J470" s="90"/>
      <c r="K470" s="90"/>
      <c r="L470" s="90"/>
      <c r="M470" s="1956"/>
      <c r="N470" s="643"/>
      <c r="O470" s="2083"/>
      <c r="P470" s="643"/>
      <c r="Q470" s="643"/>
      <c r="R470" s="280"/>
      <c r="S470" s="280"/>
      <c r="T470" s="280"/>
      <c r="U470" s="280"/>
      <c r="V470" s="280"/>
      <c r="W470" s="79"/>
    </row>
    <row r="471" spans="1:23" ht="15.75">
      <c r="A471" s="2080"/>
      <c r="B471" s="705"/>
      <c r="C471" s="90"/>
      <c r="D471" s="2081"/>
      <c r="E471" s="2082"/>
      <c r="F471" s="1954"/>
      <c r="G471" s="90"/>
      <c r="H471" s="90"/>
      <c r="I471" s="90"/>
      <c r="J471" s="90"/>
      <c r="K471" s="90"/>
      <c r="L471" s="90"/>
      <c r="M471" s="1956"/>
      <c r="N471" s="643"/>
      <c r="O471" s="2083"/>
      <c r="P471" s="643"/>
      <c r="Q471" s="643"/>
      <c r="R471" s="280"/>
      <c r="S471" s="280"/>
      <c r="T471" s="280"/>
      <c r="U471" s="280"/>
      <c r="V471" s="280"/>
      <c r="W471" s="79"/>
    </row>
    <row r="472" spans="1:23" ht="15.75">
      <c r="A472" s="2080"/>
      <c r="B472" s="705"/>
      <c r="C472" s="90"/>
      <c r="D472" s="2081"/>
      <c r="E472" s="2082"/>
      <c r="F472" s="1954"/>
      <c r="G472" s="90"/>
      <c r="H472" s="90"/>
      <c r="I472" s="90"/>
      <c r="J472" s="90"/>
      <c r="K472" s="90"/>
      <c r="L472" s="90"/>
      <c r="M472" s="1956"/>
      <c r="N472" s="643"/>
      <c r="O472" s="2083"/>
      <c r="P472" s="643"/>
      <c r="Q472" s="643"/>
      <c r="R472" s="280"/>
      <c r="S472" s="280"/>
      <c r="T472" s="280"/>
      <c r="U472" s="280"/>
      <c r="V472" s="280"/>
      <c r="W472" s="79"/>
    </row>
    <row r="473" spans="1:23" ht="15.75">
      <c r="A473" s="2080"/>
      <c r="B473" s="705"/>
      <c r="C473" s="90"/>
      <c r="D473" s="2081"/>
      <c r="E473" s="2082"/>
      <c r="F473" s="1954"/>
      <c r="G473" s="90"/>
      <c r="H473" s="90"/>
      <c r="I473" s="90"/>
      <c r="J473" s="90"/>
      <c r="K473" s="90"/>
      <c r="L473" s="90"/>
      <c r="M473" s="1956"/>
      <c r="N473" s="643"/>
      <c r="O473" s="2083"/>
      <c r="P473" s="643"/>
      <c r="Q473" s="643"/>
      <c r="R473" s="280"/>
      <c r="S473" s="280"/>
      <c r="T473" s="280"/>
      <c r="U473" s="280"/>
      <c r="V473" s="280"/>
      <c r="W473" s="79"/>
    </row>
    <row r="474" spans="1:23" ht="15.75">
      <c r="A474" s="2080"/>
      <c r="B474" s="705"/>
      <c r="C474" s="90"/>
      <c r="D474" s="2081"/>
      <c r="E474" s="2082"/>
      <c r="F474" s="1954"/>
      <c r="G474" s="90"/>
      <c r="H474" s="90"/>
      <c r="I474" s="90"/>
      <c r="J474" s="90"/>
      <c r="K474" s="90"/>
      <c r="L474" s="90"/>
      <c r="M474" s="1956"/>
      <c r="N474" s="643"/>
      <c r="O474" s="2083"/>
      <c r="P474" s="643"/>
      <c r="Q474" s="643"/>
      <c r="R474" s="280"/>
      <c r="S474" s="280"/>
      <c r="T474" s="280"/>
      <c r="U474" s="280"/>
      <c r="V474" s="280"/>
      <c r="W474" s="79"/>
    </row>
    <row r="475" spans="1:23" ht="15.75">
      <c r="A475" s="2080"/>
      <c r="B475" s="705"/>
      <c r="C475" s="90"/>
      <c r="D475" s="2081"/>
      <c r="E475" s="2082"/>
      <c r="F475" s="1954"/>
      <c r="G475" s="90"/>
      <c r="H475" s="90"/>
      <c r="I475" s="90"/>
      <c r="J475" s="90"/>
      <c r="K475" s="90"/>
      <c r="L475" s="90"/>
      <c r="M475" s="1956"/>
      <c r="N475" s="643"/>
      <c r="O475" s="2083"/>
      <c r="P475" s="643"/>
      <c r="Q475" s="643"/>
      <c r="R475" s="280"/>
      <c r="S475" s="280"/>
      <c r="T475" s="280"/>
      <c r="U475" s="280"/>
      <c r="V475" s="280"/>
      <c r="W475" s="79"/>
    </row>
    <row r="476" spans="1:23" ht="15.75">
      <c r="A476" s="2080"/>
      <c r="B476" s="705"/>
      <c r="C476" s="90"/>
      <c r="D476" s="2081"/>
      <c r="E476" s="2082"/>
      <c r="F476" s="1954"/>
      <c r="G476" s="90"/>
      <c r="H476" s="90"/>
      <c r="I476" s="90"/>
      <c r="J476" s="90"/>
      <c r="K476" s="90"/>
      <c r="L476" s="90"/>
      <c r="M476" s="1956"/>
      <c r="N476" s="643"/>
      <c r="O476" s="2083"/>
      <c r="P476" s="643"/>
      <c r="Q476" s="643"/>
      <c r="R476" s="280"/>
      <c r="S476" s="280"/>
      <c r="T476" s="280"/>
      <c r="U476" s="280"/>
      <c r="V476" s="280"/>
      <c r="W476" s="79"/>
    </row>
    <row r="477" spans="1:23" ht="15.75">
      <c r="A477" s="2080"/>
      <c r="B477" s="705"/>
      <c r="C477" s="90"/>
      <c r="D477" s="2081"/>
      <c r="E477" s="2082"/>
      <c r="F477" s="1954"/>
      <c r="G477" s="90"/>
      <c r="H477" s="90"/>
      <c r="I477" s="90"/>
      <c r="J477" s="90"/>
      <c r="K477" s="90"/>
      <c r="L477" s="90"/>
      <c r="M477" s="1956"/>
      <c r="N477" s="643"/>
      <c r="O477" s="2083"/>
      <c r="P477" s="643"/>
      <c r="Q477" s="643"/>
      <c r="R477" s="280"/>
      <c r="S477" s="280"/>
      <c r="T477" s="280"/>
      <c r="U477" s="280"/>
      <c r="V477" s="280"/>
      <c r="W477" s="79"/>
    </row>
    <row r="478" spans="1:23" ht="15.75">
      <c r="A478" s="2080"/>
      <c r="B478" s="705"/>
      <c r="C478" s="90"/>
      <c r="D478" s="2081"/>
      <c r="E478" s="2082"/>
      <c r="F478" s="1954"/>
      <c r="G478" s="90"/>
      <c r="H478" s="90"/>
      <c r="I478" s="90"/>
      <c r="J478" s="90"/>
      <c r="K478" s="90"/>
      <c r="L478" s="90"/>
      <c r="M478" s="1956"/>
      <c r="N478" s="643"/>
      <c r="O478" s="2083"/>
      <c r="P478" s="643"/>
      <c r="Q478" s="643"/>
      <c r="R478" s="280"/>
      <c r="S478" s="280"/>
      <c r="T478" s="280"/>
      <c r="U478" s="280"/>
      <c r="V478" s="280"/>
      <c r="W478" s="79"/>
    </row>
    <row r="479" spans="1:23" ht="15.75">
      <c r="A479" s="2080"/>
      <c r="B479" s="705"/>
      <c r="C479" s="90"/>
      <c r="D479" s="2081"/>
      <c r="E479" s="2082"/>
      <c r="F479" s="1954"/>
      <c r="G479" s="90"/>
      <c r="H479" s="90"/>
      <c r="I479" s="90"/>
      <c r="J479" s="90"/>
      <c r="K479" s="90"/>
      <c r="L479" s="90"/>
      <c r="M479" s="1956"/>
      <c r="N479" s="643"/>
      <c r="O479" s="2083"/>
      <c r="P479" s="643"/>
      <c r="Q479" s="643"/>
      <c r="R479" s="280"/>
      <c r="S479" s="280"/>
      <c r="T479" s="280"/>
      <c r="U479" s="280"/>
      <c r="V479" s="280"/>
      <c r="W479" s="79"/>
    </row>
    <row r="480" spans="1:23" ht="15.75">
      <c r="A480" s="2080"/>
      <c r="B480" s="705"/>
      <c r="C480" s="90"/>
      <c r="D480" s="2081"/>
      <c r="E480" s="2082"/>
      <c r="F480" s="1954"/>
      <c r="G480" s="90"/>
      <c r="H480" s="90"/>
      <c r="I480" s="90"/>
      <c r="J480" s="90"/>
      <c r="K480" s="90"/>
      <c r="L480" s="90"/>
      <c r="M480" s="1956"/>
      <c r="N480" s="643"/>
      <c r="O480" s="2083"/>
      <c r="P480" s="643"/>
      <c r="Q480" s="643"/>
      <c r="R480" s="280"/>
      <c r="S480" s="280"/>
      <c r="T480" s="280"/>
      <c r="U480" s="280"/>
      <c r="V480" s="280"/>
      <c r="W480" s="79"/>
    </row>
    <row r="481" spans="1:23" ht="15.75">
      <c r="A481" s="2080"/>
      <c r="B481" s="705"/>
      <c r="C481" s="90"/>
      <c r="D481" s="2081"/>
      <c r="E481" s="2082"/>
      <c r="F481" s="1954"/>
      <c r="G481" s="90"/>
      <c r="H481" s="90"/>
      <c r="I481" s="90"/>
      <c r="J481" s="90"/>
      <c r="K481" s="90"/>
      <c r="L481" s="90"/>
      <c r="M481" s="1956"/>
      <c r="N481" s="643"/>
      <c r="O481" s="2083"/>
      <c r="P481" s="643"/>
      <c r="Q481" s="643"/>
      <c r="R481" s="280"/>
      <c r="S481" s="280"/>
      <c r="T481" s="280"/>
      <c r="U481" s="280"/>
      <c r="V481" s="280"/>
      <c r="W481" s="79"/>
    </row>
    <row r="482" spans="1:23" ht="15.75">
      <c r="A482" s="2080"/>
      <c r="B482" s="705"/>
      <c r="C482" s="90"/>
      <c r="D482" s="2081"/>
      <c r="E482" s="2082"/>
      <c r="F482" s="1954"/>
      <c r="G482" s="90"/>
      <c r="H482" s="90"/>
      <c r="I482" s="90"/>
      <c r="J482" s="90"/>
      <c r="K482" s="90"/>
      <c r="L482" s="90"/>
      <c r="M482" s="1956"/>
      <c r="N482" s="643"/>
      <c r="O482" s="2083"/>
      <c r="P482" s="643"/>
      <c r="Q482" s="643"/>
      <c r="R482" s="280"/>
      <c r="S482" s="280"/>
      <c r="T482" s="280"/>
      <c r="U482" s="280"/>
      <c r="V482" s="280"/>
      <c r="W482" s="79"/>
    </row>
    <row r="483" spans="1:23" ht="15.75">
      <c r="A483" s="2080"/>
      <c r="B483" s="705"/>
      <c r="C483" s="90"/>
      <c r="D483" s="2081"/>
      <c r="E483" s="2082"/>
      <c r="F483" s="1954"/>
      <c r="G483" s="90"/>
      <c r="H483" s="90"/>
      <c r="I483" s="90"/>
      <c r="J483" s="90"/>
      <c r="K483" s="90"/>
      <c r="L483" s="90"/>
      <c r="M483" s="1956"/>
      <c r="N483" s="643"/>
      <c r="O483" s="2083"/>
      <c r="P483" s="643"/>
      <c r="Q483" s="643"/>
      <c r="R483" s="280"/>
      <c r="S483" s="280"/>
      <c r="T483" s="280"/>
      <c r="U483" s="280"/>
      <c r="V483" s="280"/>
      <c r="W483" s="79"/>
    </row>
    <row r="484" spans="1:23" ht="15.75">
      <c r="A484" s="2080"/>
      <c r="B484" s="705"/>
      <c r="C484" s="90"/>
      <c r="D484" s="2081"/>
      <c r="E484" s="2082"/>
      <c r="F484" s="1954"/>
      <c r="G484" s="90"/>
      <c r="H484" s="90"/>
      <c r="I484" s="90"/>
      <c r="J484" s="90"/>
      <c r="K484" s="90"/>
      <c r="L484" s="90"/>
      <c r="M484" s="1956"/>
      <c r="N484" s="643"/>
      <c r="O484" s="2083"/>
      <c r="P484" s="643"/>
      <c r="Q484" s="643"/>
      <c r="R484" s="280"/>
      <c r="S484" s="280"/>
      <c r="T484" s="280"/>
      <c r="U484" s="280"/>
      <c r="V484" s="280"/>
      <c r="W484" s="79"/>
    </row>
    <row r="485" spans="1:23" ht="15.75">
      <c r="A485" s="2080"/>
      <c r="B485" s="705"/>
      <c r="C485" s="90"/>
      <c r="D485" s="2081"/>
      <c r="E485" s="2082"/>
      <c r="F485" s="1954"/>
      <c r="G485" s="90"/>
      <c r="H485" s="90"/>
      <c r="I485" s="90"/>
      <c r="J485" s="90"/>
      <c r="K485" s="90"/>
      <c r="L485" s="90"/>
      <c r="M485" s="1956"/>
      <c r="N485" s="643"/>
      <c r="O485" s="2083"/>
      <c r="P485" s="643"/>
      <c r="Q485" s="643"/>
      <c r="R485" s="280"/>
      <c r="S485" s="280"/>
      <c r="T485" s="280"/>
      <c r="U485" s="280"/>
      <c r="V485" s="280"/>
      <c r="W485" s="79"/>
    </row>
    <row r="486" spans="1:23" ht="15.75">
      <c r="A486" s="2080"/>
      <c r="B486" s="705"/>
      <c r="C486" s="90"/>
      <c r="D486" s="2081"/>
      <c r="E486" s="2082"/>
      <c r="F486" s="1954"/>
      <c r="G486" s="90"/>
      <c r="H486" s="90"/>
      <c r="I486" s="90"/>
      <c r="J486" s="90"/>
      <c r="K486" s="90"/>
      <c r="L486" s="90"/>
      <c r="M486" s="1956"/>
      <c r="N486" s="643"/>
      <c r="O486" s="2083"/>
      <c r="P486" s="643"/>
      <c r="Q486" s="643"/>
      <c r="R486" s="280"/>
      <c r="S486" s="280"/>
      <c r="T486" s="280"/>
      <c r="U486" s="280"/>
      <c r="V486" s="280"/>
      <c r="W486" s="79"/>
    </row>
    <row r="487" spans="1:23" ht="15.75">
      <c r="A487" s="2080"/>
      <c r="B487" s="705"/>
      <c r="C487" s="90"/>
      <c r="D487" s="2081"/>
      <c r="E487" s="2082"/>
      <c r="F487" s="1954"/>
      <c r="G487" s="90"/>
      <c r="H487" s="90"/>
      <c r="I487" s="90"/>
      <c r="J487" s="90"/>
      <c r="K487" s="90"/>
      <c r="L487" s="90"/>
      <c r="M487" s="1956"/>
      <c r="N487" s="643"/>
      <c r="O487" s="2083"/>
      <c r="P487" s="643"/>
      <c r="Q487" s="643"/>
      <c r="R487" s="280"/>
      <c r="S487" s="280"/>
      <c r="T487" s="280"/>
      <c r="U487" s="280"/>
      <c r="V487" s="280"/>
      <c r="W487" s="79"/>
    </row>
    <row r="488" spans="1:23" ht="15.75">
      <c r="A488" s="2080"/>
      <c r="B488" s="705"/>
      <c r="C488" s="90"/>
      <c r="D488" s="2081"/>
      <c r="E488" s="2082"/>
      <c r="F488" s="1954"/>
      <c r="G488" s="90"/>
      <c r="H488" s="90"/>
      <c r="I488" s="90"/>
      <c r="J488" s="90"/>
      <c r="K488" s="90"/>
      <c r="L488" s="90"/>
      <c r="M488" s="1956"/>
      <c r="N488" s="643"/>
      <c r="O488" s="2083"/>
      <c r="P488" s="643"/>
      <c r="Q488" s="643"/>
      <c r="R488" s="280"/>
      <c r="S488" s="280"/>
      <c r="T488" s="280"/>
      <c r="U488" s="280"/>
      <c r="V488" s="280"/>
      <c r="W488" s="79"/>
    </row>
    <row r="489" spans="1:23" ht="15.75">
      <c r="A489" s="2080"/>
      <c r="B489" s="705"/>
      <c r="C489" s="90"/>
      <c r="D489" s="2081"/>
      <c r="E489" s="2082"/>
      <c r="F489" s="1954"/>
      <c r="G489" s="90"/>
      <c r="H489" s="90"/>
      <c r="I489" s="90"/>
      <c r="J489" s="90"/>
      <c r="K489" s="90"/>
      <c r="L489" s="90"/>
      <c r="M489" s="1956"/>
      <c r="N489" s="643"/>
      <c r="O489" s="2083"/>
      <c r="P489" s="643"/>
      <c r="Q489" s="643"/>
      <c r="R489" s="280"/>
      <c r="S489" s="280"/>
      <c r="T489" s="280"/>
      <c r="U489" s="280"/>
      <c r="V489" s="280"/>
      <c r="W489" s="79"/>
    </row>
    <row r="490" spans="1:23" ht="15.75">
      <c r="A490" s="2080"/>
      <c r="B490" s="705"/>
      <c r="C490" s="90"/>
      <c r="D490" s="2081"/>
      <c r="E490" s="2082"/>
      <c r="F490" s="1954"/>
      <c r="G490" s="90"/>
      <c r="H490" s="90"/>
      <c r="I490" s="90"/>
      <c r="J490" s="90"/>
      <c r="K490" s="90"/>
      <c r="L490" s="90"/>
      <c r="M490" s="1956"/>
      <c r="N490" s="643"/>
      <c r="O490" s="2083"/>
      <c r="P490" s="643"/>
      <c r="Q490" s="643"/>
      <c r="R490" s="280"/>
      <c r="S490" s="280"/>
      <c r="T490" s="280"/>
      <c r="U490" s="280"/>
      <c r="V490" s="280"/>
      <c r="W490" s="79"/>
    </row>
    <row r="491" spans="1:23" ht="15.75">
      <c r="A491" s="2080"/>
      <c r="B491" s="705"/>
      <c r="C491" s="90"/>
      <c r="D491" s="2081"/>
      <c r="E491" s="2082"/>
      <c r="F491" s="1954"/>
      <c r="G491" s="90"/>
      <c r="H491" s="90"/>
      <c r="I491" s="90"/>
      <c r="J491" s="90"/>
      <c r="K491" s="90"/>
      <c r="L491" s="90"/>
      <c r="M491" s="1956"/>
      <c r="N491" s="643"/>
      <c r="O491" s="2083"/>
      <c r="P491" s="643"/>
      <c r="Q491" s="643"/>
      <c r="R491" s="280"/>
      <c r="S491" s="280"/>
      <c r="T491" s="280"/>
      <c r="U491" s="280"/>
      <c r="V491" s="280"/>
      <c r="W491" s="79"/>
    </row>
    <row r="492" spans="1:23" ht="15.75">
      <c r="A492" s="2080"/>
      <c r="B492" s="705"/>
      <c r="C492" s="90"/>
      <c r="D492" s="2081"/>
      <c r="E492" s="2082"/>
      <c r="F492" s="1954"/>
      <c r="G492" s="90"/>
      <c r="H492" s="90"/>
      <c r="I492" s="90"/>
      <c r="J492" s="90"/>
      <c r="K492" s="90"/>
      <c r="L492" s="90"/>
      <c r="M492" s="1956"/>
      <c r="N492" s="643"/>
      <c r="O492" s="2083"/>
      <c r="P492" s="643"/>
      <c r="Q492" s="643"/>
      <c r="R492" s="280"/>
      <c r="S492" s="280"/>
      <c r="T492" s="280"/>
      <c r="U492" s="280"/>
      <c r="V492" s="280"/>
      <c r="W492" s="79"/>
    </row>
    <row r="493" spans="1:23" ht="15.75">
      <c r="A493" s="2080"/>
      <c r="B493" s="705"/>
      <c r="C493" s="90"/>
      <c r="D493" s="2081"/>
      <c r="E493" s="2082"/>
      <c r="F493" s="1954"/>
      <c r="G493" s="90"/>
      <c r="H493" s="90"/>
      <c r="I493" s="90"/>
      <c r="J493" s="90"/>
      <c r="K493" s="90"/>
      <c r="L493" s="90"/>
      <c r="M493" s="1956"/>
      <c r="N493" s="643"/>
      <c r="O493" s="2083"/>
      <c r="P493" s="643"/>
      <c r="Q493" s="643"/>
      <c r="R493" s="280"/>
      <c r="S493" s="280"/>
      <c r="T493" s="280"/>
      <c r="U493" s="280"/>
      <c r="V493" s="280"/>
      <c r="W493" s="79"/>
    </row>
    <row r="494" spans="1:23" ht="15.75">
      <c r="A494" s="2080"/>
      <c r="B494" s="705"/>
      <c r="C494" s="90"/>
      <c r="D494" s="2081"/>
      <c r="E494" s="2082"/>
      <c r="F494" s="1954"/>
      <c r="G494" s="90"/>
      <c r="H494" s="90"/>
      <c r="I494" s="90"/>
      <c r="J494" s="90"/>
      <c r="K494" s="90"/>
      <c r="L494" s="90"/>
      <c r="M494" s="1956"/>
      <c r="N494" s="643"/>
      <c r="O494" s="2083"/>
      <c r="P494" s="643"/>
      <c r="Q494" s="643"/>
      <c r="R494" s="280"/>
      <c r="S494" s="280"/>
      <c r="T494" s="280"/>
      <c r="U494" s="280"/>
      <c r="V494" s="280"/>
      <c r="W494" s="79"/>
    </row>
    <row r="495" spans="1:23" ht="15.75">
      <c r="A495" s="2080"/>
      <c r="B495" s="705"/>
      <c r="C495" s="90"/>
      <c r="D495" s="2081"/>
      <c r="E495" s="2082"/>
      <c r="F495" s="1954"/>
      <c r="G495" s="90"/>
      <c r="H495" s="90"/>
      <c r="I495" s="90"/>
      <c r="J495" s="90"/>
      <c r="K495" s="90"/>
      <c r="L495" s="90"/>
      <c r="M495" s="1956"/>
      <c r="N495" s="643"/>
      <c r="O495" s="2083"/>
      <c r="P495" s="643"/>
      <c r="Q495" s="643"/>
      <c r="R495" s="280"/>
      <c r="S495" s="280"/>
      <c r="T495" s="280"/>
      <c r="U495" s="280"/>
      <c r="V495" s="280"/>
      <c r="W495" s="79"/>
    </row>
    <row r="496" spans="1:23" ht="15.75">
      <c r="A496" s="2080"/>
      <c r="B496" s="705"/>
      <c r="C496" s="90"/>
      <c r="D496" s="2081"/>
      <c r="E496" s="2082"/>
      <c r="F496" s="1954"/>
      <c r="G496" s="90"/>
      <c r="H496" s="90"/>
      <c r="I496" s="90"/>
      <c r="J496" s="90"/>
      <c r="K496" s="90"/>
      <c r="L496" s="90"/>
      <c r="M496" s="1956"/>
      <c r="N496" s="643"/>
      <c r="O496" s="2083"/>
      <c r="P496" s="643"/>
      <c r="Q496" s="643"/>
      <c r="R496" s="280"/>
      <c r="S496" s="280"/>
      <c r="T496" s="280"/>
      <c r="U496" s="280"/>
      <c r="V496" s="280"/>
      <c r="W496" s="79"/>
    </row>
    <row r="497" spans="1:23" ht="15.75">
      <c r="A497" s="2080"/>
      <c r="B497" s="705"/>
      <c r="C497" s="90"/>
      <c r="D497" s="2081"/>
      <c r="E497" s="2082"/>
      <c r="F497" s="1954"/>
      <c r="G497" s="90"/>
      <c r="H497" s="90"/>
      <c r="I497" s="90"/>
      <c r="J497" s="90"/>
      <c r="K497" s="90"/>
      <c r="L497" s="90"/>
      <c r="M497" s="1956"/>
      <c r="N497" s="643"/>
      <c r="O497" s="2083"/>
      <c r="P497" s="643"/>
      <c r="Q497" s="643"/>
      <c r="R497" s="280"/>
      <c r="S497" s="280"/>
      <c r="T497" s="280"/>
      <c r="U497" s="280"/>
      <c r="V497" s="280"/>
      <c r="W497" s="79"/>
    </row>
    <row r="498" spans="1:23" ht="15.75">
      <c r="A498" s="2080"/>
      <c r="B498" s="705"/>
      <c r="C498" s="90"/>
      <c r="D498" s="2081"/>
      <c r="E498" s="2082"/>
      <c r="F498" s="1954"/>
      <c r="G498" s="90"/>
      <c r="H498" s="90"/>
      <c r="I498" s="90"/>
      <c r="J498" s="90"/>
      <c r="K498" s="90"/>
      <c r="L498" s="90"/>
      <c r="M498" s="1956"/>
      <c r="N498" s="643"/>
      <c r="O498" s="2083"/>
      <c r="P498" s="643"/>
      <c r="Q498" s="643"/>
      <c r="R498" s="280"/>
      <c r="S498" s="280"/>
      <c r="T498" s="280"/>
      <c r="U498" s="280"/>
      <c r="V498" s="280"/>
      <c r="W498" s="79"/>
    </row>
    <row r="499" spans="1:23" ht="15.75">
      <c r="A499" s="2080"/>
      <c r="B499" s="705"/>
      <c r="C499" s="90"/>
      <c r="D499" s="2081"/>
      <c r="E499" s="2082"/>
      <c r="F499" s="1954"/>
      <c r="G499" s="90"/>
      <c r="H499" s="90"/>
      <c r="I499" s="90"/>
      <c r="J499" s="90"/>
      <c r="K499" s="90"/>
      <c r="L499" s="90"/>
      <c r="M499" s="1956"/>
      <c r="N499" s="643"/>
      <c r="O499" s="2083"/>
      <c r="P499" s="643"/>
      <c r="Q499" s="643"/>
      <c r="R499" s="280"/>
      <c r="S499" s="280"/>
      <c r="T499" s="280"/>
      <c r="U499" s="280"/>
      <c r="V499" s="280"/>
      <c r="W499" s="79"/>
    </row>
    <row r="500" spans="1:23" ht="15.75">
      <c r="A500" s="2080"/>
      <c r="B500" s="705"/>
      <c r="C500" s="90"/>
      <c r="D500" s="2081"/>
      <c r="E500" s="2082"/>
      <c r="F500" s="1954"/>
      <c r="G500" s="90"/>
      <c r="H500" s="90"/>
      <c r="I500" s="90"/>
      <c r="J500" s="90"/>
      <c r="K500" s="90"/>
      <c r="L500" s="90"/>
      <c r="M500" s="1956"/>
      <c r="N500" s="643"/>
      <c r="O500" s="2083"/>
      <c r="P500" s="643"/>
      <c r="Q500" s="643"/>
      <c r="R500" s="280"/>
      <c r="S500" s="280"/>
      <c r="T500" s="280"/>
      <c r="U500" s="280"/>
      <c r="V500" s="280"/>
      <c r="W500" s="79"/>
    </row>
    <row r="501" spans="1:23" ht="15.75">
      <c r="A501" s="2080"/>
      <c r="B501" s="705"/>
      <c r="C501" s="90"/>
      <c r="D501" s="2081"/>
      <c r="E501" s="2082"/>
      <c r="F501" s="1954"/>
      <c r="G501" s="90"/>
      <c r="H501" s="90"/>
      <c r="I501" s="90"/>
      <c r="J501" s="90"/>
      <c r="K501" s="90"/>
      <c r="L501" s="90"/>
      <c r="M501" s="1956"/>
      <c r="N501" s="643"/>
      <c r="O501" s="2083"/>
      <c r="P501" s="643"/>
      <c r="Q501" s="643"/>
      <c r="R501" s="280"/>
      <c r="S501" s="280"/>
      <c r="T501" s="280"/>
      <c r="U501" s="280"/>
      <c r="V501" s="280"/>
      <c r="W501" s="79"/>
    </row>
    <row r="502" spans="1:23" ht="15.75">
      <c r="A502" s="2080"/>
      <c r="B502" s="705"/>
      <c r="C502" s="90"/>
      <c r="D502" s="2081"/>
      <c r="E502" s="2082"/>
      <c r="F502" s="1954"/>
      <c r="G502" s="90"/>
      <c r="H502" s="90"/>
      <c r="I502" s="90"/>
      <c r="J502" s="90"/>
      <c r="K502" s="90"/>
      <c r="L502" s="90"/>
      <c r="M502" s="1956"/>
      <c r="N502" s="643"/>
      <c r="O502" s="2083"/>
      <c r="P502" s="643"/>
      <c r="Q502" s="643"/>
      <c r="R502" s="280"/>
      <c r="S502" s="280"/>
      <c r="T502" s="280"/>
      <c r="U502" s="280"/>
      <c r="V502" s="280"/>
      <c r="W502" s="79"/>
    </row>
    <row r="503" spans="1:23" ht="15.75">
      <c r="A503" s="2080"/>
      <c r="B503" s="705"/>
      <c r="C503" s="90"/>
      <c r="D503" s="2081"/>
      <c r="E503" s="2082"/>
      <c r="F503" s="1954"/>
      <c r="G503" s="90"/>
      <c r="H503" s="90"/>
      <c r="I503" s="90"/>
      <c r="J503" s="90"/>
      <c r="K503" s="90"/>
      <c r="L503" s="90"/>
      <c r="M503" s="1956"/>
      <c r="N503" s="643"/>
      <c r="O503" s="2083"/>
      <c r="P503" s="643"/>
      <c r="Q503" s="643"/>
      <c r="R503" s="280"/>
      <c r="S503" s="280"/>
      <c r="T503" s="280"/>
      <c r="U503" s="280"/>
      <c r="V503" s="280"/>
      <c r="W503" s="79"/>
    </row>
    <row r="504" spans="1:23" ht="15.75">
      <c r="A504" s="2080"/>
      <c r="B504" s="705"/>
      <c r="C504" s="90"/>
      <c r="D504" s="2081"/>
      <c r="E504" s="2082"/>
      <c r="F504" s="1954"/>
      <c r="G504" s="90"/>
      <c r="H504" s="90"/>
      <c r="I504" s="90"/>
      <c r="J504" s="90"/>
      <c r="K504" s="90"/>
      <c r="L504" s="90"/>
      <c r="M504" s="1956"/>
      <c r="N504" s="643"/>
      <c r="O504" s="2083"/>
      <c r="P504" s="643"/>
      <c r="Q504" s="643"/>
      <c r="R504" s="280"/>
      <c r="S504" s="280"/>
      <c r="T504" s="280"/>
      <c r="U504" s="280"/>
      <c r="V504" s="280"/>
      <c r="W504" s="79"/>
    </row>
    <row r="505" spans="1:23" ht="15.75">
      <c r="A505" s="2080"/>
      <c r="B505" s="705"/>
      <c r="C505" s="90"/>
      <c r="D505" s="2081"/>
      <c r="E505" s="2082"/>
      <c r="F505" s="1954"/>
      <c r="G505" s="90"/>
      <c r="H505" s="90"/>
      <c r="I505" s="90"/>
      <c r="J505" s="90"/>
      <c r="K505" s="90"/>
      <c r="L505" s="90"/>
      <c r="M505" s="1956"/>
      <c r="N505" s="643"/>
      <c r="O505" s="2083"/>
      <c r="P505" s="643"/>
      <c r="Q505" s="643"/>
      <c r="R505" s="280"/>
      <c r="S505" s="280"/>
      <c r="T505" s="280"/>
      <c r="U505" s="280"/>
      <c r="V505" s="280"/>
      <c r="W505" s="79"/>
    </row>
    <row r="506" spans="1:23" ht="15.75">
      <c r="A506" s="2080"/>
      <c r="B506" s="705"/>
      <c r="C506" s="90"/>
      <c r="D506" s="2081"/>
      <c r="E506" s="2082"/>
      <c r="F506" s="1954"/>
      <c r="G506" s="90"/>
      <c r="H506" s="90"/>
      <c r="I506" s="90"/>
      <c r="J506" s="90"/>
      <c r="K506" s="90"/>
      <c r="L506" s="90"/>
      <c r="M506" s="1956"/>
      <c r="N506" s="643"/>
      <c r="O506" s="2083"/>
      <c r="P506" s="643"/>
      <c r="Q506" s="643"/>
      <c r="R506" s="280"/>
      <c r="S506" s="280"/>
      <c r="T506" s="280"/>
      <c r="U506" s="280"/>
      <c r="V506" s="280"/>
      <c r="W506" s="79"/>
    </row>
    <row r="507" spans="1:23" ht="15.75">
      <c r="A507" s="2080"/>
      <c r="B507" s="705"/>
      <c r="C507" s="90"/>
      <c r="D507" s="2081"/>
      <c r="E507" s="2082"/>
      <c r="F507" s="1954"/>
      <c r="G507" s="90"/>
      <c r="H507" s="90"/>
      <c r="I507" s="90"/>
      <c r="J507" s="90"/>
      <c r="K507" s="90"/>
      <c r="L507" s="90"/>
      <c r="M507" s="1956"/>
      <c r="N507" s="643"/>
      <c r="O507" s="2083"/>
      <c r="P507" s="643"/>
      <c r="Q507" s="643"/>
      <c r="R507" s="280"/>
      <c r="S507" s="280"/>
      <c r="T507" s="280"/>
      <c r="U507" s="280"/>
      <c r="V507" s="280"/>
      <c r="W507" s="79"/>
    </row>
    <row r="508" spans="1:23" ht="15.75">
      <c r="A508" s="2080"/>
      <c r="B508" s="705"/>
      <c r="C508" s="90"/>
      <c r="D508" s="2081"/>
      <c r="E508" s="2082"/>
      <c r="F508" s="1954"/>
      <c r="G508" s="90"/>
      <c r="H508" s="90"/>
      <c r="I508" s="90"/>
      <c r="J508" s="90"/>
      <c r="K508" s="90"/>
      <c r="L508" s="90"/>
      <c r="M508" s="1956"/>
      <c r="N508" s="643"/>
      <c r="O508" s="2083"/>
      <c r="P508" s="643"/>
      <c r="Q508" s="643"/>
      <c r="R508" s="280"/>
      <c r="S508" s="280"/>
      <c r="T508" s="280"/>
      <c r="U508" s="280"/>
      <c r="V508" s="280"/>
      <c r="W508" s="79"/>
    </row>
    <row r="509" spans="1:23" ht="15.75">
      <c r="A509" s="2080"/>
      <c r="B509" s="705"/>
      <c r="C509" s="90"/>
      <c r="D509" s="2081"/>
      <c r="E509" s="2082"/>
      <c r="F509" s="1954"/>
      <c r="G509" s="90"/>
      <c r="H509" s="90"/>
      <c r="I509" s="90"/>
      <c r="J509" s="90"/>
      <c r="K509" s="90"/>
      <c r="L509" s="90"/>
      <c r="M509" s="1956"/>
      <c r="N509" s="643"/>
      <c r="O509" s="2083"/>
      <c r="P509" s="643"/>
      <c r="Q509" s="643"/>
      <c r="R509" s="280"/>
      <c r="S509" s="280"/>
      <c r="T509" s="280"/>
      <c r="U509" s="280"/>
      <c r="V509" s="280"/>
      <c r="W509" s="79"/>
    </row>
    <row r="510" spans="1:23" ht="15.75">
      <c r="A510" s="2080"/>
      <c r="B510" s="705"/>
      <c r="C510" s="90"/>
      <c r="D510" s="2081"/>
      <c r="E510" s="2082"/>
      <c r="F510" s="1954"/>
      <c r="G510" s="90"/>
      <c r="H510" s="90"/>
      <c r="I510" s="90"/>
      <c r="J510" s="90"/>
      <c r="K510" s="90"/>
      <c r="L510" s="90"/>
      <c r="M510" s="1956"/>
      <c r="N510" s="643"/>
      <c r="O510" s="2083"/>
      <c r="P510" s="643"/>
      <c r="Q510" s="643"/>
      <c r="R510" s="280"/>
      <c r="S510" s="280"/>
      <c r="T510" s="280"/>
      <c r="U510" s="280"/>
      <c r="V510" s="280"/>
      <c r="W510" s="79"/>
    </row>
    <row r="511" spans="1:23" ht="15.75">
      <c r="A511" s="2080"/>
      <c r="B511" s="705"/>
      <c r="C511" s="90"/>
      <c r="D511" s="2081"/>
      <c r="E511" s="2082"/>
      <c r="F511" s="1954"/>
      <c r="G511" s="90"/>
      <c r="H511" s="90"/>
      <c r="I511" s="90"/>
      <c r="J511" s="90"/>
      <c r="K511" s="90"/>
      <c r="L511" s="90"/>
      <c r="M511" s="1956"/>
      <c r="N511" s="643"/>
      <c r="O511" s="2083"/>
      <c r="P511" s="643"/>
      <c r="Q511" s="643"/>
      <c r="R511" s="280"/>
      <c r="S511" s="280"/>
      <c r="T511" s="280"/>
      <c r="U511" s="280"/>
      <c r="V511" s="280"/>
      <c r="W511" s="79"/>
    </row>
    <row r="512" spans="1:23" ht="15.75">
      <c r="A512" s="2080"/>
      <c r="B512" s="705"/>
      <c r="C512" s="90"/>
      <c r="D512" s="2081"/>
      <c r="E512" s="2082"/>
      <c r="F512" s="1954"/>
      <c r="G512" s="90"/>
      <c r="H512" s="90"/>
      <c r="I512" s="90"/>
      <c r="J512" s="90"/>
      <c r="K512" s="90"/>
      <c r="L512" s="90"/>
      <c r="M512" s="1956"/>
      <c r="N512" s="643"/>
      <c r="O512" s="2083"/>
      <c r="P512" s="643"/>
      <c r="Q512" s="643"/>
      <c r="R512" s="280"/>
      <c r="S512" s="280"/>
      <c r="T512" s="280"/>
      <c r="U512" s="280"/>
      <c r="V512" s="280"/>
      <c r="W512" s="79"/>
    </row>
    <row r="513" spans="1:23" ht="15.75">
      <c r="A513" s="2080"/>
      <c r="B513" s="705"/>
      <c r="C513" s="90"/>
      <c r="D513" s="2081"/>
      <c r="E513" s="2082"/>
      <c r="F513" s="1954"/>
      <c r="G513" s="90"/>
      <c r="H513" s="90"/>
      <c r="I513" s="90"/>
      <c r="J513" s="90"/>
      <c r="K513" s="90"/>
      <c r="L513" s="90"/>
      <c r="M513" s="1956"/>
      <c r="N513" s="643"/>
      <c r="O513" s="2083"/>
      <c r="P513" s="643"/>
      <c r="Q513" s="643"/>
      <c r="R513" s="280"/>
      <c r="S513" s="280"/>
      <c r="T513" s="280"/>
      <c r="U513" s="280"/>
      <c r="V513" s="280"/>
      <c r="W513" s="79"/>
    </row>
    <row r="514" spans="1:23" ht="15.75">
      <c r="A514" s="2080"/>
      <c r="B514" s="705"/>
      <c r="C514" s="90"/>
      <c r="D514" s="2081"/>
      <c r="E514" s="2082"/>
      <c r="F514" s="1954"/>
      <c r="G514" s="90"/>
      <c r="H514" s="90"/>
      <c r="I514" s="90"/>
      <c r="J514" s="90"/>
      <c r="K514" s="90"/>
      <c r="L514" s="90"/>
      <c r="M514" s="1956"/>
      <c r="N514" s="643"/>
      <c r="O514" s="2083"/>
      <c r="P514" s="643"/>
      <c r="Q514" s="643"/>
      <c r="R514" s="280"/>
      <c r="S514" s="280"/>
      <c r="T514" s="280"/>
      <c r="U514" s="280"/>
      <c r="V514" s="280"/>
      <c r="W514" s="79"/>
    </row>
    <row r="515" spans="1:23" ht="15.75">
      <c r="A515" s="2080"/>
      <c r="B515" s="705"/>
      <c r="C515" s="90"/>
      <c r="D515" s="2081"/>
      <c r="E515" s="2082"/>
      <c r="F515" s="1954"/>
      <c r="G515" s="90"/>
      <c r="H515" s="90"/>
      <c r="I515" s="90"/>
      <c r="J515" s="90"/>
      <c r="K515" s="90"/>
      <c r="L515" s="90"/>
      <c r="M515" s="1956"/>
      <c r="N515" s="643"/>
      <c r="O515" s="2083"/>
      <c r="P515" s="643"/>
      <c r="Q515" s="643"/>
      <c r="R515" s="280"/>
      <c r="S515" s="280"/>
      <c r="T515" s="280"/>
      <c r="U515" s="280"/>
      <c r="V515" s="280"/>
      <c r="W515" s="79"/>
    </row>
    <row r="516" spans="1:23" ht="15.75">
      <c r="A516" s="2080"/>
      <c r="B516" s="705"/>
      <c r="C516" s="90"/>
      <c r="D516" s="2081"/>
      <c r="E516" s="2082"/>
      <c r="F516" s="1954"/>
      <c r="G516" s="90"/>
      <c r="H516" s="90"/>
      <c r="I516" s="90"/>
      <c r="J516" s="90"/>
      <c r="K516" s="90"/>
      <c r="L516" s="90"/>
      <c r="M516" s="1956"/>
      <c r="N516" s="643"/>
      <c r="O516" s="2083"/>
      <c r="P516" s="643"/>
      <c r="Q516" s="643"/>
      <c r="R516" s="280"/>
      <c r="S516" s="280"/>
      <c r="T516" s="280"/>
      <c r="U516" s="280"/>
      <c r="V516" s="280"/>
      <c r="W516" s="79"/>
    </row>
    <row r="517" spans="1:23" ht="15.75">
      <c r="A517" s="2080"/>
      <c r="B517" s="705"/>
      <c r="C517" s="90"/>
      <c r="D517" s="2081"/>
      <c r="E517" s="2082"/>
      <c r="F517" s="1954"/>
      <c r="G517" s="90"/>
      <c r="H517" s="90"/>
      <c r="I517" s="90"/>
      <c r="J517" s="90"/>
      <c r="K517" s="90"/>
      <c r="L517" s="90"/>
      <c r="M517" s="1956"/>
      <c r="N517" s="643"/>
      <c r="O517" s="2083"/>
      <c r="P517" s="643"/>
      <c r="Q517" s="643"/>
      <c r="R517" s="280"/>
      <c r="S517" s="280"/>
      <c r="T517" s="280"/>
      <c r="U517" s="280"/>
      <c r="V517" s="280"/>
      <c r="W517" s="79"/>
    </row>
    <row r="518" spans="1:23" ht="15.75">
      <c r="A518" s="2080"/>
      <c r="B518" s="705"/>
      <c r="C518" s="90"/>
      <c r="D518" s="2081"/>
      <c r="E518" s="2082"/>
      <c r="F518" s="1954"/>
      <c r="G518" s="90"/>
      <c r="H518" s="90"/>
      <c r="I518" s="90"/>
      <c r="J518" s="90"/>
      <c r="K518" s="90"/>
      <c r="L518" s="90"/>
      <c r="M518" s="1956"/>
      <c r="N518" s="643"/>
      <c r="O518" s="2083"/>
      <c r="P518" s="643"/>
      <c r="Q518" s="643"/>
      <c r="R518" s="280"/>
      <c r="S518" s="280"/>
      <c r="T518" s="280"/>
      <c r="U518" s="280"/>
      <c r="V518" s="280"/>
      <c r="W518" s="79"/>
    </row>
    <row r="519" spans="1:23" ht="15.75">
      <c r="A519" s="2080"/>
      <c r="B519" s="705"/>
      <c r="C519" s="90"/>
      <c r="D519" s="2081"/>
      <c r="E519" s="2082"/>
      <c r="F519" s="1954"/>
      <c r="G519" s="90"/>
      <c r="H519" s="90"/>
      <c r="I519" s="90"/>
      <c r="J519" s="90"/>
      <c r="K519" s="90"/>
      <c r="L519" s="90"/>
      <c r="M519" s="1956"/>
      <c r="N519" s="643"/>
      <c r="O519" s="2083"/>
      <c r="P519" s="643"/>
      <c r="Q519" s="643"/>
      <c r="R519" s="280"/>
      <c r="S519" s="280"/>
      <c r="T519" s="280"/>
      <c r="U519" s="280"/>
      <c r="V519" s="280"/>
      <c r="W519" s="79"/>
    </row>
    <row r="520" spans="1:23" ht="15.75">
      <c r="A520" s="2080"/>
      <c r="B520" s="705"/>
      <c r="C520" s="90"/>
      <c r="D520" s="2081"/>
      <c r="E520" s="2082"/>
      <c r="F520" s="1954"/>
      <c r="G520" s="90"/>
      <c r="H520" s="90"/>
      <c r="I520" s="90"/>
      <c r="J520" s="90"/>
      <c r="K520" s="90"/>
      <c r="L520" s="90"/>
      <c r="M520" s="1956"/>
      <c r="N520" s="643"/>
      <c r="O520" s="2083"/>
      <c r="P520" s="643"/>
      <c r="Q520" s="643"/>
      <c r="R520" s="280"/>
      <c r="S520" s="280"/>
      <c r="T520" s="280"/>
      <c r="U520" s="280"/>
      <c r="V520" s="280"/>
      <c r="W520" s="79"/>
    </row>
    <row r="521" spans="1:23" ht="15.75">
      <c r="A521" s="2080"/>
      <c r="B521" s="705"/>
      <c r="C521" s="90"/>
      <c r="D521" s="2081"/>
      <c r="E521" s="2082"/>
      <c r="F521" s="1954"/>
      <c r="G521" s="90"/>
      <c r="H521" s="90"/>
      <c r="I521" s="90"/>
      <c r="J521" s="90"/>
      <c r="K521" s="90"/>
      <c r="L521" s="90"/>
      <c r="M521" s="1956"/>
      <c r="N521" s="643"/>
      <c r="O521" s="2083"/>
      <c r="P521" s="643"/>
      <c r="Q521" s="643"/>
      <c r="R521" s="280"/>
      <c r="S521" s="280"/>
      <c r="T521" s="280"/>
      <c r="U521" s="280"/>
      <c r="V521" s="280"/>
      <c r="W521" s="79"/>
    </row>
    <row r="522" spans="1:23" ht="15.75">
      <c r="A522" s="2080"/>
      <c r="B522" s="705"/>
      <c r="C522" s="90"/>
      <c r="D522" s="2081"/>
      <c r="E522" s="2082"/>
      <c r="F522" s="1954"/>
      <c r="G522" s="90"/>
      <c r="H522" s="90"/>
      <c r="I522" s="90"/>
      <c r="J522" s="90"/>
      <c r="K522" s="90"/>
      <c r="L522" s="90"/>
      <c r="M522" s="1956"/>
      <c r="N522" s="643"/>
      <c r="O522" s="2083"/>
      <c r="P522" s="643"/>
      <c r="Q522" s="643"/>
      <c r="R522" s="280"/>
      <c r="S522" s="280"/>
      <c r="T522" s="280"/>
      <c r="U522" s="280"/>
      <c r="V522" s="280"/>
      <c r="W522" s="79"/>
    </row>
    <row r="523" spans="1:23" ht="15.75">
      <c r="A523" s="2080"/>
      <c r="B523" s="705"/>
      <c r="C523" s="90"/>
      <c r="D523" s="2081"/>
      <c r="E523" s="2082"/>
      <c r="F523" s="1954"/>
      <c r="G523" s="90"/>
      <c r="H523" s="90"/>
      <c r="I523" s="90"/>
      <c r="J523" s="90"/>
      <c r="K523" s="90"/>
      <c r="L523" s="90"/>
      <c r="M523" s="1956"/>
      <c r="N523" s="643"/>
      <c r="O523" s="2083"/>
      <c r="P523" s="643"/>
      <c r="Q523" s="643"/>
      <c r="R523" s="280"/>
      <c r="S523" s="280"/>
      <c r="T523" s="280"/>
      <c r="U523" s="280"/>
      <c r="V523" s="280"/>
      <c r="W523" s="79"/>
    </row>
    <row r="524" spans="1:23" ht="15.75">
      <c r="A524" s="2080"/>
      <c r="B524" s="705"/>
      <c r="C524" s="90"/>
      <c r="D524" s="2081"/>
      <c r="E524" s="2082"/>
      <c r="F524" s="1954"/>
      <c r="G524" s="90"/>
      <c r="H524" s="90"/>
      <c r="I524" s="90"/>
      <c r="J524" s="90"/>
      <c r="K524" s="90"/>
      <c r="L524" s="90"/>
      <c r="M524" s="1956"/>
      <c r="N524" s="643"/>
      <c r="O524" s="2083"/>
      <c r="P524" s="643"/>
      <c r="Q524" s="643"/>
      <c r="R524" s="280"/>
      <c r="S524" s="280"/>
      <c r="T524" s="280"/>
      <c r="U524" s="280"/>
      <c r="V524" s="280"/>
      <c r="W524" s="79"/>
    </row>
    <row r="525" spans="1:23" ht="15.75">
      <c r="A525" s="2080"/>
      <c r="B525" s="705"/>
      <c r="C525" s="90"/>
      <c r="D525" s="2081"/>
      <c r="E525" s="2082"/>
      <c r="F525" s="1954"/>
      <c r="G525" s="90"/>
      <c r="H525" s="90"/>
      <c r="I525" s="90"/>
      <c r="J525" s="90"/>
      <c r="K525" s="90"/>
      <c r="L525" s="90"/>
      <c r="M525" s="1956"/>
      <c r="N525" s="643"/>
      <c r="O525" s="2083"/>
      <c r="P525" s="643"/>
      <c r="Q525" s="643"/>
      <c r="R525" s="280"/>
      <c r="S525" s="280"/>
      <c r="T525" s="280"/>
      <c r="U525" s="280"/>
      <c r="V525" s="280"/>
      <c r="W525" s="79"/>
    </row>
    <row r="526" spans="1:23" ht="15.75">
      <c r="A526" s="2080"/>
      <c r="B526" s="705"/>
      <c r="C526" s="90"/>
      <c r="D526" s="2081"/>
      <c r="E526" s="2082"/>
      <c r="F526" s="1954"/>
      <c r="G526" s="90"/>
      <c r="H526" s="90"/>
      <c r="I526" s="90"/>
      <c r="J526" s="90"/>
      <c r="K526" s="90"/>
      <c r="L526" s="90"/>
      <c r="M526" s="1956"/>
      <c r="N526" s="643"/>
      <c r="O526" s="2083"/>
      <c r="P526" s="643"/>
      <c r="Q526" s="643"/>
      <c r="R526" s="280"/>
      <c r="S526" s="280"/>
      <c r="T526" s="280"/>
      <c r="U526" s="280"/>
      <c r="V526" s="280"/>
      <c r="W526" s="79"/>
    </row>
    <row r="527" spans="1:23" ht="15.75">
      <c r="A527" s="2080"/>
      <c r="B527" s="705"/>
      <c r="C527" s="90"/>
      <c r="D527" s="2081"/>
      <c r="E527" s="2082"/>
      <c r="F527" s="1954"/>
      <c r="G527" s="90"/>
      <c r="H527" s="90"/>
      <c r="I527" s="90"/>
      <c r="J527" s="90"/>
      <c r="K527" s="90"/>
      <c r="L527" s="90"/>
      <c r="M527" s="1956"/>
      <c r="N527" s="643"/>
      <c r="O527" s="2083"/>
      <c r="P527" s="643"/>
      <c r="Q527" s="643"/>
      <c r="R527" s="280"/>
      <c r="S527" s="280"/>
      <c r="T527" s="280"/>
      <c r="U527" s="280"/>
      <c r="V527" s="280"/>
      <c r="W527" s="79"/>
    </row>
    <row r="528" spans="1:23" ht="15.75">
      <c r="A528" s="2080"/>
      <c r="B528" s="705"/>
      <c r="C528" s="90"/>
      <c r="D528" s="2081"/>
      <c r="E528" s="2082"/>
      <c r="F528" s="1954"/>
      <c r="G528" s="90"/>
      <c r="H528" s="90"/>
      <c r="I528" s="90"/>
      <c r="J528" s="90"/>
      <c r="K528" s="90"/>
      <c r="L528" s="90"/>
      <c r="M528" s="1956"/>
      <c r="N528" s="643"/>
      <c r="O528" s="2083"/>
      <c r="P528" s="643"/>
      <c r="Q528" s="643"/>
      <c r="R528" s="280"/>
      <c r="S528" s="280"/>
      <c r="T528" s="280"/>
      <c r="U528" s="280"/>
      <c r="V528" s="280"/>
      <c r="W528" s="79"/>
    </row>
    <row r="529" spans="1:23" ht="15.75">
      <c r="A529" s="2080"/>
      <c r="B529" s="705"/>
      <c r="C529" s="90"/>
      <c r="D529" s="2081"/>
      <c r="E529" s="2082"/>
      <c r="F529" s="1954"/>
      <c r="G529" s="90"/>
      <c r="H529" s="90"/>
      <c r="I529" s="90"/>
      <c r="J529" s="90"/>
      <c r="K529" s="90"/>
      <c r="L529" s="90"/>
      <c r="M529" s="1956"/>
      <c r="N529" s="643"/>
      <c r="O529" s="2083"/>
      <c r="P529" s="643"/>
      <c r="Q529" s="643"/>
      <c r="R529" s="280"/>
      <c r="S529" s="280"/>
      <c r="T529" s="280"/>
      <c r="U529" s="280"/>
      <c r="V529" s="280"/>
      <c r="W529" s="79"/>
    </row>
    <row r="530" spans="1:23" ht="15.75">
      <c r="A530" s="2080"/>
      <c r="B530" s="705"/>
      <c r="C530" s="90"/>
      <c r="D530" s="2081"/>
      <c r="E530" s="2082"/>
      <c r="F530" s="1954"/>
      <c r="G530" s="90"/>
      <c r="H530" s="90"/>
      <c r="I530" s="90"/>
      <c r="J530" s="90"/>
      <c r="K530" s="90"/>
      <c r="L530" s="90"/>
      <c r="M530" s="1956"/>
      <c r="N530" s="643"/>
      <c r="O530" s="2083"/>
      <c r="P530" s="643"/>
      <c r="Q530" s="643"/>
      <c r="R530" s="280"/>
      <c r="S530" s="280"/>
      <c r="T530" s="280"/>
      <c r="U530" s="280"/>
      <c r="V530" s="280"/>
      <c r="W530" s="79"/>
    </row>
    <row r="531" spans="1:23" ht="15.75">
      <c r="A531" s="2080"/>
      <c r="B531" s="705"/>
      <c r="C531" s="90"/>
      <c r="D531" s="2081"/>
      <c r="E531" s="2082"/>
      <c r="F531" s="1954"/>
      <c r="G531" s="90"/>
      <c r="H531" s="90"/>
      <c r="I531" s="90"/>
      <c r="J531" s="90"/>
      <c r="K531" s="90"/>
      <c r="L531" s="90"/>
      <c r="M531" s="1956"/>
      <c r="N531" s="643"/>
      <c r="O531" s="2083"/>
      <c r="P531" s="643"/>
      <c r="Q531" s="643"/>
      <c r="R531" s="280"/>
      <c r="S531" s="280"/>
      <c r="T531" s="280"/>
      <c r="U531" s="280"/>
      <c r="V531" s="280"/>
      <c r="W531" s="79"/>
    </row>
    <row r="532" spans="1:23" ht="15.75">
      <c r="A532" s="2080"/>
      <c r="B532" s="705"/>
      <c r="C532" s="90"/>
      <c r="D532" s="2081"/>
      <c r="E532" s="2082"/>
      <c r="F532" s="1954"/>
      <c r="G532" s="90"/>
      <c r="H532" s="90"/>
      <c r="I532" s="90"/>
      <c r="J532" s="90"/>
      <c r="K532" s="90"/>
      <c r="L532" s="90"/>
      <c r="M532" s="1956"/>
      <c r="N532" s="643"/>
      <c r="O532" s="2083"/>
      <c r="P532" s="643"/>
      <c r="Q532" s="643"/>
      <c r="R532" s="280"/>
      <c r="S532" s="280"/>
      <c r="T532" s="280"/>
      <c r="U532" s="280"/>
      <c r="V532" s="280"/>
      <c r="W532" s="79"/>
    </row>
    <row r="533" spans="1:23" ht="15.75">
      <c r="A533" s="2080"/>
      <c r="B533" s="705"/>
      <c r="C533" s="90"/>
      <c r="D533" s="2081"/>
      <c r="E533" s="2082"/>
      <c r="F533" s="1954"/>
      <c r="G533" s="90"/>
      <c r="H533" s="90"/>
      <c r="I533" s="90"/>
      <c r="J533" s="90"/>
      <c r="K533" s="90"/>
      <c r="L533" s="90"/>
      <c r="M533" s="1956"/>
      <c r="N533" s="643"/>
      <c r="O533" s="2083"/>
      <c r="P533" s="643"/>
      <c r="Q533" s="643"/>
      <c r="R533" s="280"/>
      <c r="S533" s="280"/>
      <c r="T533" s="280"/>
      <c r="U533" s="280"/>
      <c r="V533" s="280"/>
      <c r="W533" s="79"/>
    </row>
    <row r="534" spans="1:23" ht="15.75">
      <c r="A534" s="2080"/>
      <c r="B534" s="705"/>
      <c r="C534" s="90"/>
      <c r="D534" s="2081"/>
      <c r="E534" s="2082"/>
      <c r="F534" s="1954"/>
      <c r="G534" s="90"/>
      <c r="H534" s="90"/>
      <c r="I534" s="90"/>
      <c r="J534" s="90"/>
      <c r="K534" s="90"/>
      <c r="L534" s="90"/>
      <c r="M534" s="1956"/>
      <c r="N534" s="643"/>
      <c r="O534" s="2083"/>
      <c r="P534" s="643"/>
      <c r="Q534" s="643"/>
      <c r="R534" s="280"/>
      <c r="S534" s="280"/>
      <c r="T534" s="280"/>
      <c r="U534" s="280"/>
      <c r="V534" s="280"/>
      <c r="W534" s="79"/>
    </row>
    <row r="535" spans="1:23" ht="15.75">
      <c r="A535" s="2080"/>
      <c r="B535" s="705"/>
      <c r="C535" s="90"/>
      <c r="D535" s="2081"/>
      <c r="E535" s="2082"/>
      <c r="F535" s="1954"/>
      <c r="G535" s="90"/>
      <c r="H535" s="90"/>
      <c r="I535" s="90"/>
      <c r="J535" s="90"/>
      <c r="K535" s="90"/>
      <c r="L535" s="90"/>
      <c r="M535" s="1956"/>
      <c r="N535" s="643"/>
      <c r="O535" s="2083"/>
      <c r="P535" s="643"/>
      <c r="Q535" s="643"/>
      <c r="R535" s="280"/>
      <c r="S535" s="280"/>
      <c r="T535" s="280"/>
      <c r="U535" s="280"/>
      <c r="V535" s="280"/>
      <c r="W535" s="79"/>
    </row>
    <row r="536" spans="1:23" ht="15.75">
      <c r="A536" s="2080"/>
      <c r="B536" s="705"/>
      <c r="C536" s="90"/>
      <c r="D536" s="2081"/>
      <c r="E536" s="2082"/>
      <c r="F536" s="1954"/>
      <c r="G536" s="90"/>
      <c r="H536" s="90"/>
      <c r="I536" s="90"/>
      <c r="J536" s="90"/>
      <c r="K536" s="90"/>
      <c r="L536" s="90"/>
      <c r="M536" s="1956"/>
      <c r="N536" s="643"/>
      <c r="O536" s="2083"/>
      <c r="P536" s="643"/>
      <c r="Q536" s="643"/>
      <c r="R536" s="280"/>
      <c r="S536" s="280"/>
      <c r="T536" s="280"/>
      <c r="U536" s="280"/>
      <c r="V536" s="280"/>
      <c r="W536" s="79"/>
    </row>
    <row r="537" spans="1:23" ht="15.75">
      <c r="A537" s="2080"/>
      <c r="B537" s="705"/>
      <c r="C537" s="90"/>
      <c r="D537" s="2081"/>
      <c r="E537" s="2082"/>
      <c r="F537" s="1954"/>
      <c r="G537" s="90"/>
      <c r="H537" s="90"/>
      <c r="I537" s="90"/>
      <c r="J537" s="90"/>
      <c r="K537" s="90"/>
      <c r="L537" s="90"/>
      <c r="M537" s="1956"/>
      <c r="N537" s="643"/>
      <c r="O537" s="2083"/>
      <c r="P537" s="643"/>
      <c r="Q537" s="643"/>
      <c r="R537" s="280"/>
      <c r="S537" s="280"/>
      <c r="T537" s="280"/>
      <c r="U537" s="280"/>
      <c r="V537" s="280"/>
      <c r="W537" s="79"/>
    </row>
    <row r="538" spans="1:23" ht="15.75">
      <c r="A538" s="2080"/>
      <c r="B538" s="705"/>
      <c r="C538" s="90"/>
      <c r="D538" s="2081"/>
      <c r="E538" s="2082"/>
      <c r="F538" s="1954"/>
      <c r="G538" s="90"/>
      <c r="H538" s="90"/>
      <c r="I538" s="90"/>
      <c r="J538" s="90"/>
      <c r="K538" s="90"/>
      <c r="L538" s="90"/>
      <c r="M538" s="1956"/>
      <c r="N538" s="643"/>
      <c r="O538" s="2083"/>
      <c r="P538" s="643"/>
      <c r="Q538" s="643"/>
      <c r="R538" s="280"/>
      <c r="S538" s="280"/>
      <c r="T538" s="280"/>
      <c r="U538" s="280"/>
      <c r="V538" s="280"/>
      <c r="W538" s="79"/>
    </row>
    <row r="539" spans="1:23" ht="15.75">
      <c r="A539" s="2080"/>
      <c r="B539" s="705"/>
      <c r="C539" s="90"/>
      <c r="D539" s="2081"/>
      <c r="E539" s="2082"/>
      <c r="F539" s="1954"/>
      <c r="G539" s="90"/>
      <c r="H539" s="90"/>
      <c r="I539" s="90"/>
      <c r="J539" s="90"/>
      <c r="K539" s="90"/>
      <c r="L539" s="90"/>
      <c r="M539" s="1956"/>
      <c r="N539" s="643"/>
      <c r="O539" s="2083"/>
      <c r="P539" s="643"/>
      <c r="Q539" s="643"/>
      <c r="R539" s="280"/>
      <c r="S539" s="280"/>
      <c r="T539" s="280"/>
      <c r="U539" s="280"/>
      <c r="V539" s="280"/>
      <c r="W539" s="79"/>
    </row>
    <row r="540" spans="1:23" ht="15.75">
      <c r="A540" s="2080"/>
      <c r="B540" s="705"/>
      <c r="C540" s="90"/>
      <c r="D540" s="2081"/>
      <c r="E540" s="2082"/>
      <c r="F540" s="1954"/>
      <c r="G540" s="90"/>
      <c r="H540" s="90"/>
      <c r="I540" s="90"/>
      <c r="J540" s="90"/>
      <c r="K540" s="90"/>
      <c r="L540" s="90"/>
      <c r="M540" s="1956"/>
      <c r="N540" s="643"/>
      <c r="O540" s="2083"/>
      <c r="P540" s="643"/>
      <c r="Q540" s="643"/>
      <c r="R540" s="280"/>
      <c r="S540" s="280"/>
      <c r="T540" s="280"/>
      <c r="U540" s="280"/>
      <c r="V540" s="280"/>
      <c r="W540" s="79"/>
    </row>
    <row r="541" spans="1:23" ht="15.75">
      <c r="A541" s="2080"/>
      <c r="B541" s="705"/>
      <c r="C541" s="90"/>
      <c r="D541" s="2081"/>
      <c r="E541" s="2082"/>
      <c r="F541" s="1954"/>
      <c r="G541" s="90"/>
      <c r="H541" s="90"/>
      <c r="I541" s="90"/>
      <c r="J541" s="90"/>
      <c r="K541" s="90"/>
      <c r="L541" s="90"/>
      <c r="M541" s="1956"/>
      <c r="N541" s="643"/>
      <c r="O541" s="2083"/>
      <c r="P541" s="643"/>
      <c r="Q541" s="643"/>
      <c r="R541" s="280"/>
      <c r="S541" s="280"/>
      <c r="T541" s="280"/>
      <c r="U541" s="280"/>
      <c r="V541" s="280"/>
      <c r="W541" s="79"/>
    </row>
    <row r="542" spans="1:23" ht="15.75">
      <c r="A542" s="2080"/>
      <c r="B542" s="705"/>
      <c r="C542" s="90"/>
      <c r="D542" s="2081"/>
      <c r="E542" s="2082"/>
      <c r="F542" s="1954"/>
      <c r="G542" s="90"/>
      <c r="H542" s="90"/>
      <c r="I542" s="90"/>
      <c r="J542" s="90"/>
      <c r="K542" s="90"/>
      <c r="L542" s="90"/>
      <c r="M542" s="1956"/>
      <c r="N542" s="643"/>
      <c r="O542" s="2083"/>
      <c r="P542" s="643"/>
      <c r="Q542" s="643"/>
      <c r="R542" s="280"/>
      <c r="S542" s="280"/>
      <c r="T542" s="280"/>
      <c r="U542" s="280"/>
      <c r="V542" s="280"/>
      <c r="W542" s="79"/>
    </row>
    <row r="543" spans="1:23" ht="15.75">
      <c r="A543" s="2080"/>
      <c r="B543" s="705"/>
      <c r="C543" s="90"/>
      <c r="D543" s="2081"/>
      <c r="E543" s="2082"/>
      <c r="F543" s="1954"/>
      <c r="G543" s="90"/>
      <c r="H543" s="90"/>
      <c r="I543" s="90"/>
      <c r="J543" s="90"/>
      <c r="K543" s="90"/>
      <c r="L543" s="90"/>
      <c r="M543" s="1956"/>
      <c r="N543" s="643"/>
      <c r="O543" s="2083"/>
      <c r="P543" s="643"/>
      <c r="Q543" s="643"/>
      <c r="R543" s="280"/>
      <c r="S543" s="280"/>
      <c r="T543" s="280"/>
      <c r="U543" s="280"/>
      <c r="V543" s="280"/>
      <c r="W543" s="79"/>
    </row>
    <row r="544" spans="1:23" ht="15.75">
      <c r="A544" s="2080"/>
      <c r="B544" s="705"/>
      <c r="C544" s="90"/>
      <c r="D544" s="2081"/>
      <c r="E544" s="2082"/>
      <c r="F544" s="1954"/>
      <c r="G544" s="90"/>
      <c r="H544" s="90"/>
      <c r="I544" s="90"/>
      <c r="J544" s="90"/>
      <c r="K544" s="90"/>
      <c r="L544" s="90"/>
      <c r="M544" s="1956"/>
      <c r="N544" s="643"/>
      <c r="O544" s="2083"/>
      <c r="P544" s="643"/>
      <c r="Q544" s="643"/>
      <c r="R544" s="280"/>
      <c r="S544" s="280"/>
      <c r="T544" s="280"/>
      <c r="U544" s="280"/>
      <c r="V544" s="280"/>
      <c r="W544" s="79"/>
    </row>
    <row r="545" spans="1:23" ht="15.75">
      <c r="A545" s="2080"/>
      <c r="B545" s="705"/>
      <c r="C545" s="90"/>
      <c r="D545" s="2081"/>
      <c r="E545" s="2082"/>
      <c r="F545" s="1954"/>
      <c r="G545" s="90"/>
      <c r="H545" s="90"/>
      <c r="I545" s="90"/>
      <c r="J545" s="90"/>
      <c r="K545" s="90"/>
      <c r="L545" s="90"/>
      <c r="M545" s="1956"/>
      <c r="N545" s="643"/>
      <c r="O545" s="2083"/>
      <c r="P545" s="643"/>
      <c r="Q545" s="643"/>
      <c r="R545" s="280"/>
      <c r="S545" s="280"/>
      <c r="T545" s="280"/>
      <c r="U545" s="280"/>
      <c r="V545" s="280"/>
      <c r="W545" s="79"/>
    </row>
    <row r="546" spans="1:23" ht="15.75">
      <c r="A546" s="2080"/>
      <c r="B546" s="705"/>
      <c r="C546" s="90"/>
      <c r="D546" s="2081"/>
      <c r="E546" s="2082"/>
      <c r="F546" s="1954"/>
      <c r="G546" s="90"/>
      <c r="H546" s="90"/>
      <c r="I546" s="90"/>
      <c r="J546" s="90"/>
      <c r="K546" s="90"/>
      <c r="L546" s="90"/>
      <c r="M546" s="1956"/>
      <c r="N546" s="643"/>
      <c r="O546" s="2083"/>
      <c r="P546" s="643"/>
      <c r="Q546" s="643"/>
      <c r="R546" s="280"/>
      <c r="S546" s="280"/>
      <c r="T546" s="280"/>
      <c r="U546" s="280"/>
      <c r="V546" s="280"/>
      <c r="W546" s="79"/>
    </row>
    <row r="547" spans="1:23" ht="15.75">
      <c r="A547" s="2080"/>
      <c r="B547" s="705"/>
      <c r="C547" s="90"/>
      <c r="D547" s="2081"/>
      <c r="E547" s="2082"/>
      <c r="F547" s="1954"/>
      <c r="G547" s="90"/>
      <c r="H547" s="90"/>
      <c r="I547" s="90"/>
      <c r="J547" s="90"/>
      <c r="K547" s="90"/>
      <c r="L547" s="90"/>
      <c r="M547" s="1956"/>
      <c r="N547" s="643"/>
      <c r="O547" s="2083"/>
      <c r="P547" s="643"/>
      <c r="Q547" s="643"/>
      <c r="R547" s="280"/>
      <c r="S547" s="280"/>
      <c r="T547" s="280"/>
      <c r="U547" s="280"/>
      <c r="V547" s="280"/>
      <c r="W547" s="79"/>
    </row>
    <row r="548" spans="1:23" ht="15.75">
      <c r="A548" s="2080"/>
      <c r="B548" s="705"/>
      <c r="C548" s="90"/>
      <c r="D548" s="2081"/>
      <c r="E548" s="2082"/>
      <c r="F548" s="1954"/>
      <c r="G548" s="90"/>
      <c r="H548" s="90"/>
      <c r="I548" s="90"/>
      <c r="J548" s="90"/>
      <c r="K548" s="90"/>
      <c r="L548" s="90"/>
      <c r="M548" s="1956"/>
      <c r="N548" s="643"/>
      <c r="O548" s="2083"/>
      <c r="P548" s="643"/>
      <c r="Q548" s="643"/>
      <c r="R548" s="280"/>
      <c r="S548" s="280"/>
      <c r="T548" s="280"/>
      <c r="U548" s="280"/>
      <c r="V548" s="280"/>
      <c r="W548" s="79"/>
    </row>
    <row r="549" spans="1:23" ht="15.75">
      <c r="A549" s="2080"/>
      <c r="B549" s="705"/>
      <c r="C549" s="90"/>
      <c r="D549" s="2081"/>
      <c r="E549" s="2082"/>
      <c r="F549" s="1954"/>
      <c r="G549" s="90"/>
      <c r="H549" s="90"/>
      <c r="I549" s="90"/>
      <c r="J549" s="90"/>
      <c r="K549" s="90"/>
      <c r="L549" s="90"/>
      <c r="M549" s="1956"/>
      <c r="N549" s="643"/>
      <c r="O549" s="2083"/>
      <c r="P549" s="643"/>
      <c r="Q549" s="643"/>
      <c r="R549" s="280"/>
      <c r="S549" s="280"/>
      <c r="T549" s="280"/>
      <c r="U549" s="280"/>
      <c r="V549" s="280"/>
      <c r="W549" s="79"/>
    </row>
    <row r="550" spans="1:23" ht="15.75">
      <c r="A550" s="2080"/>
      <c r="B550" s="705"/>
      <c r="C550" s="90"/>
      <c r="D550" s="2081"/>
      <c r="E550" s="2082"/>
      <c r="F550" s="1954"/>
      <c r="G550" s="90"/>
      <c r="H550" s="90"/>
      <c r="I550" s="90"/>
      <c r="J550" s="90"/>
      <c r="K550" s="90"/>
      <c r="L550" s="90"/>
      <c r="M550" s="1956"/>
      <c r="N550" s="643"/>
      <c r="O550" s="2083"/>
      <c r="P550" s="643"/>
      <c r="Q550" s="643"/>
      <c r="R550" s="280"/>
      <c r="S550" s="280"/>
      <c r="T550" s="280"/>
      <c r="U550" s="280"/>
      <c r="V550" s="280"/>
      <c r="W550" s="79"/>
    </row>
    <row r="551" spans="1:23" ht="15.75">
      <c r="A551" s="2080"/>
      <c r="B551" s="705"/>
      <c r="C551" s="90"/>
      <c r="D551" s="2081"/>
      <c r="E551" s="2082"/>
      <c r="F551" s="1954"/>
      <c r="G551" s="90"/>
      <c r="H551" s="90"/>
      <c r="I551" s="90"/>
      <c r="J551" s="90"/>
      <c r="K551" s="90"/>
      <c r="L551" s="90"/>
      <c r="M551" s="1956"/>
      <c r="N551" s="643"/>
      <c r="O551" s="2083"/>
      <c r="P551" s="643"/>
      <c r="Q551" s="643"/>
      <c r="R551" s="280"/>
      <c r="S551" s="280"/>
      <c r="T551" s="280"/>
      <c r="U551" s="280"/>
      <c r="V551" s="280"/>
      <c r="W551" s="79"/>
    </row>
    <row r="552" spans="1:23" ht="15.75">
      <c r="A552" s="2080"/>
      <c r="B552" s="705"/>
      <c r="C552" s="90"/>
      <c r="D552" s="2081"/>
      <c r="E552" s="2082"/>
      <c r="F552" s="1954"/>
      <c r="G552" s="90"/>
      <c r="H552" s="90"/>
      <c r="I552" s="90"/>
      <c r="J552" s="90"/>
      <c r="K552" s="90"/>
      <c r="L552" s="90"/>
      <c r="M552" s="1956"/>
      <c r="N552" s="643"/>
      <c r="O552" s="2083"/>
      <c r="P552" s="643"/>
      <c r="Q552" s="643"/>
      <c r="R552" s="280"/>
      <c r="S552" s="280"/>
      <c r="T552" s="280"/>
      <c r="U552" s="280"/>
      <c r="V552" s="280"/>
      <c r="W552" s="79"/>
    </row>
    <row r="553" spans="1:23" ht="15.75">
      <c r="A553" s="2080"/>
      <c r="B553" s="705"/>
      <c r="C553" s="90"/>
      <c r="D553" s="2081"/>
      <c r="E553" s="2082"/>
      <c r="F553" s="1954"/>
      <c r="G553" s="90"/>
      <c r="H553" s="90"/>
      <c r="I553" s="90"/>
      <c r="J553" s="90"/>
      <c r="K553" s="90"/>
      <c r="L553" s="90"/>
      <c r="M553" s="1956"/>
      <c r="N553" s="643"/>
      <c r="O553" s="2083"/>
      <c r="P553" s="643"/>
      <c r="Q553" s="643"/>
      <c r="R553" s="280"/>
      <c r="S553" s="280"/>
      <c r="T553" s="280"/>
      <c r="U553" s="280"/>
      <c r="V553" s="280"/>
      <c r="W553" s="79"/>
    </row>
    <row r="554" spans="1:23" ht="15.75">
      <c r="A554" s="2080"/>
      <c r="B554" s="705"/>
      <c r="C554" s="90"/>
      <c r="D554" s="2081"/>
      <c r="E554" s="2082"/>
      <c r="F554" s="1954"/>
      <c r="G554" s="90"/>
      <c r="H554" s="90"/>
      <c r="I554" s="90"/>
      <c r="J554" s="90"/>
      <c r="K554" s="90"/>
      <c r="L554" s="90"/>
      <c r="M554" s="1956"/>
      <c r="N554" s="643"/>
      <c r="O554" s="2083"/>
      <c r="P554" s="643"/>
      <c r="Q554" s="643"/>
      <c r="R554" s="280"/>
      <c r="S554" s="280"/>
      <c r="T554" s="280"/>
      <c r="U554" s="280"/>
      <c r="V554" s="280"/>
      <c r="W554" s="79"/>
    </row>
    <row r="555" spans="1:23" ht="15.75">
      <c r="A555" s="2080"/>
      <c r="B555" s="705"/>
      <c r="C555" s="90"/>
      <c r="D555" s="2081"/>
      <c r="E555" s="2082"/>
      <c r="F555" s="1954"/>
      <c r="G555" s="90"/>
      <c r="H555" s="90"/>
      <c r="I555" s="90"/>
      <c r="J555" s="90"/>
      <c r="K555" s="90"/>
      <c r="L555" s="90"/>
      <c r="M555" s="1956"/>
      <c r="N555" s="643"/>
      <c r="O555" s="2083"/>
      <c r="P555" s="643"/>
      <c r="Q555" s="643"/>
      <c r="R555" s="280"/>
      <c r="S555" s="280"/>
      <c r="T555" s="280"/>
      <c r="U555" s="280"/>
      <c r="V555" s="280"/>
      <c r="W555" s="79"/>
    </row>
    <row r="556" spans="1:23" ht="15.75">
      <c r="A556" s="2080"/>
      <c r="B556" s="705"/>
      <c r="C556" s="90"/>
      <c r="D556" s="2081"/>
      <c r="E556" s="2082"/>
      <c r="F556" s="1954"/>
      <c r="G556" s="90"/>
      <c r="H556" s="90"/>
      <c r="I556" s="90"/>
      <c r="J556" s="90"/>
      <c r="K556" s="90"/>
      <c r="L556" s="90"/>
      <c r="M556" s="1956"/>
      <c r="N556" s="643"/>
      <c r="O556" s="2083"/>
      <c r="P556" s="643"/>
      <c r="Q556" s="643"/>
      <c r="R556" s="280"/>
      <c r="S556" s="280"/>
      <c r="T556" s="280"/>
      <c r="U556" s="280"/>
      <c r="V556" s="280"/>
      <c r="W556" s="79"/>
    </row>
    <row r="557" spans="1:23" ht="15.75">
      <c r="A557" s="2080"/>
      <c r="B557" s="705"/>
      <c r="C557" s="90"/>
      <c r="D557" s="2081"/>
      <c r="E557" s="2082"/>
      <c r="F557" s="1954"/>
      <c r="G557" s="90"/>
      <c r="H557" s="90"/>
      <c r="I557" s="90"/>
      <c r="J557" s="90"/>
      <c r="K557" s="90"/>
      <c r="L557" s="90"/>
      <c r="M557" s="1956"/>
      <c r="N557" s="643"/>
      <c r="O557" s="2083"/>
      <c r="P557" s="643"/>
      <c r="Q557" s="643"/>
      <c r="R557" s="280"/>
      <c r="S557" s="280"/>
      <c r="T557" s="280"/>
      <c r="U557" s="280"/>
      <c r="V557" s="280"/>
      <c r="W557" s="79"/>
    </row>
    <row r="558" spans="1:23" ht="15.75">
      <c r="A558" s="2080"/>
      <c r="B558" s="705"/>
      <c r="C558" s="90"/>
      <c r="D558" s="2081"/>
      <c r="E558" s="2082"/>
      <c r="F558" s="1954"/>
      <c r="G558" s="90"/>
      <c r="H558" s="90"/>
      <c r="I558" s="90"/>
      <c r="J558" s="90"/>
      <c r="K558" s="90"/>
      <c r="L558" s="90"/>
      <c r="M558" s="1956"/>
      <c r="N558" s="643"/>
      <c r="O558" s="2083"/>
      <c r="P558" s="643"/>
      <c r="Q558" s="643"/>
      <c r="R558" s="280"/>
      <c r="S558" s="280"/>
      <c r="T558" s="280"/>
      <c r="U558" s="280"/>
      <c r="V558" s="280"/>
      <c r="W558" s="79"/>
    </row>
    <row r="559" spans="1:23" ht="15.75">
      <c r="A559" s="2080"/>
      <c r="B559" s="705"/>
      <c r="C559" s="90"/>
      <c r="D559" s="2081"/>
      <c r="E559" s="2082"/>
      <c r="F559" s="1954"/>
      <c r="G559" s="90"/>
      <c r="H559" s="90"/>
      <c r="I559" s="90"/>
      <c r="J559" s="90"/>
      <c r="K559" s="90"/>
      <c r="L559" s="90"/>
      <c r="M559" s="1956"/>
      <c r="N559" s="643"/>
      <c r="O559" s="2083"/>
      <c r="P559" s="643"/>
      <c r="Q559" s="643"/>
      <c r="R559" s="280"/>
      <c r="S559" s="280"/>
      <c r="T559" s="280"/>
      <c r="U559" s="280"/>
      <c r="V559" s="280"/>
      <c r="W559" s="79"/>
    </row>
    <row r="560" spans="1:23" ht="15.75">
      <c r="A560" s="2080"/>
      <c r="B560" s="705"/>
      <c r="C560" s="90"/>
      <c r="D560" s="2081"/>
      <c r="E560" s="2082"/>
      <c r="F560" s="1954"/>
      <c r="G560" s="90"/>
      <c r="H560" s="90"/>
      <c r="I560" s="90"/>
      <c r="J560" s="90"/>
      <c r="K560" s="90"/>
      <c r="L560" s="90"/>
      <c r="M560" s="1956"/>
      <c r="N560" s="643"/>
      <c r="O560" s="2083"/>
      <c r="P560" s="643"/>
      <c r="Q560" s="643"/>
      <c r="R560" s="280"/>
      <c r="S560" s="280"/>
      <c r="T560" s="280"/>
      <c r="U560" s="280"/>
      <c r="V560" s="280"/>
      <c r="W560" s="79"/>
    </row>
    <row r="561" spans="1:23" ht="15.75">
      <c r="A561" s="2080"/>
      <c r="B561" s="705"/>
      <c r="C561" s="90"/>
      <c r="D561" s="2081"/>
      <c r="E561" s="2082"/>
      <c r="F561" s="1954"/>
      <c r="G561" s="90"/>
      <c r="H561" s="90"/>
      <c r="I561" s="90"/>
      <c r="J561" s="90"/>
      <c r="K561" s="90"/>
      <c r="L561" s="90"/>
      <c r="M561" s="1956"/>
      <c r="N561" s="643"/>
      <c r="O561" s="2083"/>
      <c r="P561" s="643"/>
      <c r="Q561" s="643"/>
      <c r="R561" s="280"/>
      <c r="S561" s="280"/>
      <c r="T561" s="280"/>
      <c r="U561" s="280"/>
      <c r="V561" s="280"/>
      <c r="W561" s="79"/>
    </row>
    <row r="562" spans="1:23" ht="15.75">
      <c r="A562" s="2080"/>
      <c r="B562" s="705"/>
      <c r="C562" s="90"/>
      <c r="D562" s="2081"/>
      <c r="E562" s="2082"/>
      <c r="F562" s="1954"/>
      <c r="G562" s="90"/>
      <c r="H562" s="90"/>
      <c r="I562" s="90"/>
      <c r="J562" s="90"/>
      <c r="K562" s="90"/>
      <c r="L562" s="90"/>
      <c r="M562" s="1956"/>
      <c r="N562" s="643"/>
      <c r="O562" s="2083"/>
      <c r="P562" s="643"/>
      <c r="Q562" s="643"/>
      <c r="R562" s="280"/>
      <c r="S562" s="280"/>
      <c r="T562" s="280"/>
      <c r="U562" s="280"/>
      <c r="V562" s="280"/>
      <c r="W562" s="79"/>
    </row>
    <row r="563" spans="1:23" ht="15.75">
      <c r="A563" s="2080"/>
      <c r="B563" s="705"/>
      <c r="C563" s="90"/>
      <c r="D563" s="2081"/>
      <c r="E563" s="2082"/>
      <c r="F563" s="1954"/>
      <c r="G563" s="90"/>
      <c r="H563" s="90"/>
      <c r="I563" s="90"/>
      <c r="J563" s="90"/>
      <c r="K563" s="90"/>
      <c r="L563" s="90"/>
      <c r="M563" s="1956"/>
      <c r="N563" s="643"/>
      <c r="O563" s="2083"/>
      <c r="P563" s="643"/>
      <c r="Q563" s="643"/>
      <c r="R563" s="280"/>
      <c r="S563" s="280"/>
      <c r="T563" s="280"/>
      <c r="U563" s="280"/>
      <c r="V563" s="280"/>
      <c r="W563" s="79"/>
    </row>
    <row r="564" spans="1:23" ht="15.75">
      <c r="A564" s="2080"/>
      <c r="B564" s="705"/>
      <c r="C564" s="90"/>
      <c r="D564" s="2081"/>
      <c r="E564" s="2082"/>
      <c r="F564" s="1954"/>
      <c r="G564" s="90"/>
      <c r="H564" s="90"/>
      <c r="I564" s="90"/>
      <c r="J564" s="90"/>
      <c r="K564" s="90"/>
      <c r="L564" s="90"/>
      <c r="M564" s="1956"/>
      <c r="N564" s="643"/>
      <c r="O564" s="2083"/>
      <c r="P564" s="643"/>
      <c r="Q564" s="643"/>
      <c r="R564" s="280"/>
      <c r="S564" s="280"/>
      <c r="T564" s="280"/>
      <c r="U564" s="280"/>
      <c r="V564" s="280"/>
      <c r="W564" s="79"/>
    </row>
    <row r="565" spans="1:23" ht="15.75">
      <c r="A565" s="2080"/>
      <c r="B565" s="705"/>
      <c r="C565" s="90"/>
      <c r="D565" s="2081"/>
      <c r="E565" s="2082"/>
      <c r="F565" s="1954"/>
      <c r="G565" s="90"/>
      <c r="H565" s="90"/>
      <c r="I565" s="90"/>
      <c r="J565" s="90"/>
      <c r="K565" s="90"/>
      <c r="L565" s="90"/>
      <c r="M565" s="1956"/>
      <c r="N565" s="643"/>
      <c r="O565" s="2083"/>
      <c r="P565" s="643"/>
      <c r="Q565" s="643"/>
      <c r="R565" s="280"/>
      <c r="S565" s="280"/>
      <c r="T565" s="280"/>
      <c r="U565" s="280"/>
      <c r="V565" s="280"/>
      <c r="W565" s="79"/>
    </row>
    <row r="566" spans="1:23" ht="15.75">
      <c r="A566" s="2080"/>
      <c r="B566" s="705"/>
      <c r="C566" s="90"/>
      <c r="D566" s="2081"/>
      <c r="E566" s="2082"/>
      <c r="F566" s="1954"/>
      <c r="G566" s="90"/>
      <c r="H566" s="90"/>
      <c r="I566" s="90"/>
      <c r="J566" s="90"/>
      <c r="K566" s="90"/>
      <c r="L566" s="90"/>
      <c r="M566" s="1956"/>
      <c r="N566" s="643"/>
      <c r="O566" s="2083"/>
      <c r="P566" s="643"/>
      <c r="Q566" s="643"/>
      <c r="R566" s="280"/>
      <c r="S566" s="280"/>
      <c r="T566" s="280"/>
      <c r="U566" s="280"/>
      <c r="V566" s="280"/>
      <c r="W566" s="79"/>
    </row>
    <row r="567" spans="1:23" ht="15.75">
      <c r="A567" s="2080"/>
      <c r="B567" s="705"/>
      <c r="C567" s="90"/>
      <c r="D567" s="2081"/>
      <c r="E567" s="2082"/>
      <c r="F567" s="1954"/>
      <c r="G567" s="90"/>
      <c r="H567" s="90"/>
      <c r="I567" s="90"/>
      <c r="J567" s="90"/>
      <c r="K567" s="90"/>
      <c r="L567" s="90"/>
      <c r="M567" s="1956"/>
      <c r="N567" s="643"/>
      <c r="O567" s="2083"/>
      <c r="P567" s="643"/>
      <c r="Q567" s="643"/>
      <c r="R567" s="280"/>
      <c r="S567" s="280"/>
      <c r="T567" s="280"/>
      <c r="U567" s="280"/>
      <c r="V567" s="280"/>
      <c r="W567" s="79"/>
    </row>
    <row r="568" spans="1:23" ht="15.75">
      <c r="A568" s="2080"/>
      <c r="B568" s="705"/>
      <c r="C568" s="90"/>
      <c r="D568" s="2081"/>
      <c r="E568" s="2082"/>
      <c r="F568" s="1954"/>
      <c r="G568" s="90"/>
      <c r="H568" s="90"/>
      <c r="I568" s="90"/>
      <c r="J568" s="90"/>
      <c r="K568" s="90"/>
      <c r="L568" s="90"/>
      <c r="M568" s="1956"/>
      <c r="N568" s="643"/>
      <c r="O568" s="2083"/>
      <c r="P568" s="643"/>
      <c r="Q568" s="643"/>
      <c r="R568" s="280"/>
      <c r="S568" s="280"/>
      <c r="T568" s="280"/>
      <c r="U568" s="280"/>
      <c r="V568" s="280"/>
      <c r="W568" s="79"/>
    </row>
    <row r="569" spans="1:23" ht="15.75">
      <c r="A569" s="2080"/>
      <c r="B569" s="705"/>
      <c r="C569" s="90"/>
      <c r="D569" s="2081"/>
      <c r="E569" s="2082"/>
      <c r="F569" s="1954"/>
      <c r="G569" s="90"/>
      <c r="H569" s="90"/>
      <c r="I569" s="90"/>
      <c r="J569" s="90"/>
      <c r="K569" s="90"/>
      <c r="L569" s="90"/>
      <c r="M569" s="1956"/>
      <c r="N569" s="643"/>
      <c r="O569" s="2083"/>
      <c r="P569" s="643"/>
      <c r="Q569" s="643"/>
      <c r="R569" s="280"/>
      <c r="S569" s="280"/>
      <c r="T569" s="280"/>
      <c r="U569" s="280"/>
      <c r="V569" s="280"/>
      <c r="W569" s="79"/>
    </row>
    <row r="570" spans="1:23" ht="15.75">
      <c r="A570" s="2080"/>
      <c r="B570" s="705"/>
      <c r="C570" s="90"/>
      <c r="D570" s="2081"/>
      <c r="E570" s="2082"/>
      <c r="F570" s="1954"/>
      <c r="G570" s="90"/>
      <c r="H570" s="90"/>
      <c r="I570" s="90"/>
      <c r="J570" s="90"/>
      <c r="K570" s="90"/>
      <c r="L570" s="90"/>
      <c r="M570" s="1956"/>
      <c r="N570" s="643"/>
      <c r="O570" s="2083"/>
      <c r="P570" s="643"/>
      <c r="Q570" s="643"/>
      <c r="R570" s="280"/>
      <c r="S570" s="280"/>
      <c r="T570" s="280"/>
      <c r="U570" s="280"/>
      <c r="V570" s="280"/>
      <c r="W570" s="79"/>
    </row>
    <row r="571" spans="1:23" ht="15.75">
      <c r="A571" s="2080"/>
      <c r="B571" s="705"/>
      <c r="C571" s="90"/>
      <c r="D571" s="2081"/>
      <c r="E571" s="2082"/>
      <c r="F571" s="1954"/>
      <c r="G571" s="90"/>
      <c r="H571" s="90"/>
      <c r="I571" s="90"/>
      <c r="J571" s="90"/>
      <c r="K571" s="90"/>
      <c r="L571" s="90"/>
      <c r="M571" s="1956"/>
      <c r="N571" s="643"/>
      <c r="O571" s="2083"/>
      <c r="P571" s="643"/>
      <c r="Q571" s="643"/>
      <c r="R571" s="280"/>
      <c r="S571" s="280"/>
      <c r="T571" s="280"/>
      <c r="U571" s="280"/>
      <c r="V571" s="280"/>
      <c r="W571" s="79"/>
    </row>
    <row r="572" spans="1:23" ht="15.75">
      <c r="A572" s="2080"/>
      <c r="B572" s="705"/>
      <c r="C572" s="90"/>
      <c r="D572" s="2081"/>
      <c r="E572" s="2082"/>
      <c r="F572" s="1954"/>
      <c r="G572" s="90"/>
      <c r="H572" s="90"/>
      <c r="I572" s="90"/>
      <c r="J572" s="90"/>
      <c r="K572" s="90"/>
      <c r="L572" s="90"/>
      <c r="M572" s="1956"/>
      <c r="N572" s="643"/>
      <c r="O572" s="2083"/>
      <c r="P572" s="643"/>
      <c r="Q572" s="643"/>
      <c r="R572" s="280"/>
      <c r="S572" s="280"/>
      <c r="T572" s="280"/>
      <c r="U572" s="280"/>
      <c r="V572" s="280"/>
      <c r="W572" s="79"/>
    </row>
    <row r="573" spans="1:23" ht="15.75">
      <c r="A573" s="2080"/>
      <c r="B573" s="705"/>
      <c r="C573" s="90"/>
      <c r="D573" s="2081"/>
      <c r="E573" s="2082"/>
      <c r="F573" s="1954"/>
      <c r="G573" s="90"/>
      <c r="H573" s="90"/>
      <c r="I573" s="90"/>
      <c r="J573" s="90"/>
      <c r="K573" s="90"/>
      <c r="L573" s="90"/>
      <c r="M573" s="1956"/>
      <c r="N573" s="643"/>
      <c r="O573" s="2083"/>
      <c r="P573" s="643"/>
      <c r="Q573" s="643"/>
      <c r="R573" s="280"/>
      <c r="S573" s="280"/>
      <c r="T573" s="280"/>
      <c r="U573" s="280"/>
      <c r="V573" s="280"/>
      <c r="W573" s="79"/>
    </row>
    <row r="574" spans="1:23" ht="15.75">
      <c r="A574" s="2080"/>
      <c r="B574" s="705"/>
      <c r="C574" s="90"/>
      <c r="D574" s="2081"/>
      <c r="E574" s="2082"/>
      <c r="F574" s="1954"/>
      <c r="G574" s="90"/>
      <c r="H574" s="90"/>
      <c r="I574" s="90"/>
      <c r="J574" s="90"/>
      <c r="K574" s="90"/>
      <c r="L574" s="90"/>
      <c r="M574" s="1956"/>
      <c r="N574" s="643"/>
      <c r="O574" s="2083"/>
      <c r="P574" s="643"/>
      <c r="Q574" s="643"/>
      <c r="R574" s="280"/>
      <c r="S574" s="280"/>
      <c r="T574" s="280"/>
      <c r="U574" s="280"/>
      <c r="V574" s="280"/>
      <c r="W574" s="79"/>
    </row>
    <row r="575" spans="1:23" ht="15.75">
      <c r="A575" s="2080"/>
      <c r="B575" s="705"/>
      <c r="C575" s="90"/>
      <c r="D575" s="2081"/>
      <c r="E575" s="2082"/>
      <c r="F575" s="1954"/>
      <c r="G575" s="90"/>
      <c r="H575" s="90"/>
      <c r="I575" s="90"/>
      <c r="J575" s="90"/>
      <c r="K575" s="90"/>
      <c r="L575" s="90"/>
      <c r="M575" s="1956"/>
      <c r="N575" s="643"/>
      <c r="O575" s="2083"/>
      <c r="P575" s="643"/>
      <c r="Q575" s="643"/>
      <c r="R575" s="280"/>
      <c r="S575" s="280"/>
      <c r="T575" s="280"/>
      <c r="U575" s="280"/>
      <c r="V575" s="280"/>
      <c r="W575" s="79"/>
    </row>
    <row r="576" spans="1:23" ht="15.75">
      <c r="A576" s="2080"/>
      <c r="B576" s="705"/>
      <c r="C576" s="90"/>
      <c r="D576" s="2081"/>
      <c r="E576" s="2082"/>
      <c r="F576" s="1954"/>
      <c r="G576" s="90"/>
      <c r="H576" s="90"/>
      <c r="I576" s="90"/>
      <c r="J576" s="90"/>
      <c r="K576" s="90"/>
      <c r="L576" s="90"/>
      <c r="M576" s="1956"/>
      <c r="N576" s="643"/>
      <c r="O576" s="2083"/>
      <c r="P576" s="643"/>
      <c r="Q576" s="643"/>
      <c r="R576" s="280"/>
      <c r="S576" s="280"/>
      <c r="T576" s="280"/>
      <c r="U576" s="280"/>
      <c r="V576" s="280"/>
      <c r="W576" s="79"/>
    </row>
    <row r="577" spans="1:23" ht="15.75">
      <c r="A577" s="2080"/>
      <c r="B577" s="705"/>
      <c r="C577" s="90"/>
      <c r="D577" s="2081"/>
      <c r="E577" s="2082"/>
      <c r="F577" s="1954"/>
      <c r="G577" s="90"/>
      <c r="H577" s="90"/>
      <c r="I577" s="90"/>
      <c r="J577" s="90"/>
      <c r="K577" s="90"/>
      <c r="L577" s="90"/>
      <c r="M577" s="1956"/>
      <c r="N577" s="643"/>
      <c r="O577" s="2083"/>
      <c r="P577" s="643"/>
      <c r="Q577" s="643"/>
      <c r="R577" s="280"/>
      <c r="S577" s="280"/>
      <c r="T577" s="280"/>
      <c r="U577" s="280"/>
      <c r="V577" s="280"/>
      <c r="W577" s="79"/>
    </row>
    <row r="578" spans="1:23" ht="15.75">
      <c r="A578" s="2080"/>
      <c r="B578" s="705"/>
      <c r="C578" s="90"/>
      <c r="D578" s="2081"/>
      <c r="E578" s="2082"/>
      <c r="F578" s="1954"/>
      <c r="G578" s="90"/>
      <c r="H578" s="90"/>
      <c r="I578" s="90"/>
      <c r="J578" s="90"/>
      <c r="K578" s="90"/>
      <c r="L578" s="90"/>
      <c r="M578" s="1956"/>
      <c r="N578" s="643"/>
      <c r="O578" s="2083"/>
      <c r="P578" s="643"/>
      <c r="Q578" s="643"/>
      <c r="R578" s="280"/>
      <c r="S578" s="280"/>
      <c r="T578" s="280"/>
      <c r="U578" s="280"/>
      <c r="V578" s="280"/>
      <c r="W578" s="79"/>
    </row>
    <row r="579" spans="1:23" ht="15.75">
      <c r="A579" s="2080"/>
      <c r="B579" s="705"/>
      <c r="C579" s="90"/>
      <c r="D579" s="2081"/>
      <c r="E579" s="2082"/>
      <c r="F579" s="1954"/>
      <c r="G579" s="90"/>
      <c r="H579" s="90"/>
      <c r="I579" s="90"/>
      <c r="J579" s="90"/>
      <c r="K579" s="90"/>
      <c r="L579" s="90"/>
      <c r="M579" s="1956"/>
      <c r="N579" s="643"/>
      <c r="O579" s="2083"/>
      <c r="P579" s="643"/>
      <c r="Q579" s="643"/>
      <c r="R579" s="280"/>
      <c r="S579" s="280"/>
      <c r="T579" s="280"/>
      <c r="U579" s="280"/>
      <c r="V579" s="280"/>
      <c r="W579" s="79"/>
    </row>
    <row r="580" spans="1:23" ht="15.75">
      <c r="A580" s="2080"/>
      <c r="B580" s="705"/>
      <c r="C580" s="90"/>
      <c r="D580" s="2081"/>
      <c r="E580" s="2082"/>
      <c r="F580" s="1954"/>
      <c r="G580" s="90"/>
      <c r="H580" s="90"/>
      <c r="I580" s="90"/>
      <c r="J580" s="90"/>
      <c r="K580" s="90"/>
      <c r="L580" s="90"/>
      <c r="M580" s="1956"/>
      <c r="N580" s="643"/>
      <c r="O580" s="2083"/>
      <c r="P580" s="643"/>
      <c r="Q580" s="643"/>
      <c r="R580" s="280"/>
      <c r="S580" s="280"/>
      <c r="T580" s="280"/>
      <c r="U580" s="280"/>
      <c r="V580" s="280"/>
      <c r="W580" s="79"/>
    </row>
    <row r="581" spans="1:23" ht="15.75">
      <c r="A581" s="2080"/>
      <c r="B581" s="705"/>
      <c r="C581" s="90"/>
      <c r="D581" s="2081"/>
      <c r="E581" s="2082"/>
      <c r="F581" s="1954"/>
      <c r="G581" s="90"/>
      <c r="H581" s="90"/>
      <c r="I581" s="90"/>
      <c r="J581" s="90"/>
      <c r="K581" s="90"/>
      <c r="L581" s="90"/>
      <c r="M581" s="1956"/>
      <c r="N581" s="643"/>
      <c r="O581" s="2083"/>
      <c r="P581" s="643"/>
      <c r="Q581" s="643"/>
      <c r="R581" s="280"/>
      <c r="S581" s="280"/>
      <c r="T581" s="280"/>
      <c r="U581" s="280"/>
      <c r="V581" s="280"/>
      <c r="W581" s="79"/>
    </row>
    <row r="582" spans="1:23" ht="15.75">
      <c r="A582" s="2080"/>
      <c r="B582" s="705"/>
      <c r="C582" s="90"/>
      <c r="D582" s="2081"/>
      <c r="E582" s="2082"/>
      <c r="F582" s="1954"/>
      <c r="G582" s="90"/>
      <c r="H582" s="90"/>
      <c r="I582" s="90"/>
      <c r="J582" s="90"/>
      <c r="K582" s="90"/>
      <c r="L582" s="90"/>
      <c r="M582" s="1956"/>
      <c r="N582" s="643"/>
      <c r="O582" s="2083"/>
      <c r="P582" s="643"/>
      <c r="Q582" s="643"/>
      <c r="R582" s="280"/>
      <c r="S582" s="280"/>
      <c r="T582" s="280"/>
      <c r="U582" s="280"/>
      <c r="V582" s="280"/>
      <c r="W582" s="79"/>
    </row>
    <row r="583" spans="1:23" ht="15.75">
      <c r="A583" s="2080"/>
      <c r="B583" s="705"/>
      <c r="C583" s="90"/>
      <c r="D583" s="2081"/>
      <c r="E583" s="2082"/>
      <c r="F583" s="1954"/>
      <c r="G583" s="90"/>
      <c r="H583" s="90"/>
      <c r="I583" s="90"/>
      <c r="J583" s="90"/>
      <c r="K583" s="90"/>
      <c r="L583" s="90"/>
      <c r="M583" s="1956"/>
      <c r="N583" s="643"/>
      <c r="O583" s="2083"/>
      <c r="P583" s="643"/>
      <c r="Q583" s="643"/>
      <c r="R583" s="280"/>
      <c r="S583" s="280"/>
      <c r="T583" s="280"/>
      <c r="U583" s="280"/>
      <c r="V583" s="280"/>
      <c r="W583" s="79"/>
    </row>
    <row r="584" spans="1:23" ht="15.75">
      <c r="A584" s="2080"/>
      <c r="B584" s="705"/>
      <c r="C584" s="90"/>
      <c r="D584" s="2081"/>
      <c r="E584" s="2082"/>
      <c r="F584" s="1954"/>
      <c r="G584" s="90"/>
      <c r="H584" s="90"/>
      <c r="I584" s="90"/>
      <c r="J584" s="90"/>
      <c r="K584" s="90"/>
      <c r="L584" s="90"/>
      <c r="M584" s="1956"/>
      <c r="N584" s="643"/>
      <c r="O584" s="2083"/>
      <c r="P584" s="643"/>
      <c r="Q584" s="643"/>
      <c r="R584" s="280"/>
      <c r="S584" s="280"/>
      <c r="T584" s="280"/>
      <c r="U584" s="280"/>
      <c r="V584" s="280"/>
      <c r="W584" s="79"/>
    </row>
    <row r="585" spans="1:23" ht="15.75">
      <c r="A585" s="2080"/>
      <c r="B585" s="705"/>
      <c r="C585" s="90"/>
      <c r="D585" s="2081"/>
      <c r="E585" s="2082"/>
      <c r="F585" s="1954"/>
      <c r="G585" s="90"/>
      <c r="H585" s="90"/>
      <c r="I585" s="90"/>
      <c r="J585" s="90"/>
      <c r="K585" s="90"/>
      <c r="L585" s="90"/>
      <c r="M585" s="1956"/>
      <c r="N585" s="643"/>
      <c r="O585" s="2083"/>
      <c r="P585" s="643"/>
      <c r="Q585" s="643"/>
      <c r="R585" s="280"/>
      <c r="S585" s="280"/>
      <c r="T585" s="280"/>
      <c r="U585" s="280"/>
      <c r="V585" s="280"/>
      <c r="W585" s="79"/>
    </row>
    <row r="586" spans="1:23" ht="15.75">
      <c r="A586" s="2080"/>
      <c r="B586" s="705"/>
      <c r="C586" s="90"/>
      <c r="D586" s="2081"/>
      <c r="E586" s="2082"/>
      <c r="F586" s="1954"/>
      <c r="G586" s="90"/>
      <c r="H586" s="90"/>
      <c r="I586" s="90"/>
      <c r="J586" s="90"/>
      <c r="K586" s="90"/>
      <c r="L586" s="90"/>
      <c r="M586" s="1956"/>
      <c r="N586" s="643"/>
      <c r="O586" s="2083"/>
      <c r="P586" s="643"/>
      <c r="Q586" s="643"/>
      <c r="R586" s="280"/>
      <c r="S586" s="280"/>
      <c r="T586" s="280"/>
      <c r="U586" s="280"/>
      <c r="V586" s="280"/>
      <c r="W586" s="79"/>
    </row>
    <row r="587" spans="1:23" ht="15.75">
      <c r="A587" s="2080"/>
      <c r="B587" s="705"/>
      <c r="C587" s="90"/>
      <c r="D587" s="2081"/>
      <c r="E587" s="2082"/>
      <c r="F587" s="1954"/>
      <c r="G587" s="90"/>
      <c r="H587" s="90"/>
      <c r="I587" s="90"/>
      <c r="J587" s="90"/>
      <c r="K587" s="90"/>
      <c r="L587" s="90"/>
      <c r="M587" s="1956"/>
      <c r="N587" s="643"/>
      <c r="O587" s="2083"/>
      <c r="P587" s="643"/>
      <c r="Q587" s="643"/>
      <c r="R587" s="280"/>
      <c r="S587" s="280"/>
      <c r="T587" s="280"/>
      <c r="U587" s="280"/>
      <c r="V587" s="280"/>
      <c r="W587" s="79"/>
    </row>
    <row r="588" spans="1:23" ht="15.75">
      <c r="A588" s="2080"/>
      <c r="B588" s="705"/>
      <c r="C588" s="90"/>
      <c r="D588" s="2081"/>
      <c r="E588" s="2082"/>
      <c r="F588" s="1954"/>
      <c r="G588" s="90"/>
      <c r="H588" s="90"/>
      <c r="I588" s="90"/>
      <c r="J588" s="90"/>
      <c r="K588" s="90"/>
      <c r="L588" s="90"/>
      <c r="M588" s="1956"/>
      <c r="N588" s="643"/>
      <c r="O588" s="2083"/>
      <c r="P588" s="643"/>
      <c r="Q588" s="643"/>
      <c r="R588" s="280"/>
      <c r="S588" s="280"/>
      <c r="T588" s="280"/>
      <c r="U588" s="280"/>
      <c r="V588" s="280"/>
      <c r="W588" s="79"/>
    </row>
    <row r="589" spans="1:23" ht="15.75">
      <c r="A589" s="2080"/>
      <c r="B589" s="705"/>
      <c r="C589" s="90"/>
      <c r="D589" s="2081"/>
      <c r="E589" s="2082"/>
      <c r="F589" s="1954"/>
      <c r="G589" s="90"/>
      <c r="H589" s="90"/>
      <c r="I589" s="90"/>
      <c r="J589" s="90"/>
      <c r="K589" s="90"/>
      <c r="L589" s="90"/>
      <c r="M589" s="1956"/>
      <c r="N589" s="643"/>
      <c r="O589" s="2083"/>
      <c r="P589" s="643"/>
      <c r="Q589" s="643"/>
      <c r="R589" s="280"/>
      <c r="S589" s="280"/>
      <c r="T589" s="280"/>
      <c r="U589" s="280"/>
      <c r="V589" s="280"/>
      <c r="W589" s="79"/>
    </row>
    <row r="590" spans="1:23" ht="15.75">
      <c r="A590" s="2080"/>
      <c r="B590" s="705"/>
      <c r="C590" s="90"/>
      <c r="D590" s="2081"/>
      <c r="E590" s="2082"/>
      <c r="F590" s="1954"/>
      <c r="G590" s="90"/>
      <c r="H590" s="90"/>
      <c r="I590" s="90"/>
      <c r="J590" s="90"/>
      <c r="K590" s="90"/>
      <c r="L590" s="90"/>
      <c r="M590" s="1956"/>
      <c r="N590" s="643"/>
      <c r="O590" s="2083"/>
      <c r="P590" s="643"/>
      <c r="Q590" s="643"/>
      <c r="R590" s="280"/>
      <c r="S590" s="280"/>
      <c r="T590" s="280"/>
      <c r="U590" s="280"/>
      <c r="V590" s="280"/>
      <c r="W590" s="79"/>
    </row>
    <row r="591" spans="1:23" ht="15.75">
      <c r="A591" s="2080"/>
      <c r="B591" s="705"/>
      <c r="C591" s="90"/>
      <c r="D591" s="2081"/>
      <c r="E591" s="2082"/>
      <c r="F591" s="1954"/>
      <c r="G591" s="90"/>
      <c r="H591" s="90"/>
      <c r="I591" s="90"/>
      <c r="J591" s="90"/>
      <c r="K591" s="90"/>
      <c r="L591" s="90"/>
      <c r="M591" s="1956"/>
      <c r="N591" s="643"/>
      <c r="O591" s="2083"/>
      <c r="P591" s="643"/>
      <c r="Q591" s="643"/>
      <c r="R591" s="280"/>
      <c r="S591" s="280"/>
      <c r="T591" s="280"/>
      <c r="U591" s="280"/>
      <c r="V591" s="280"/>
      <c r="W591" s="79"/>
    </row>
    <row r="592" spans="1:23" ht="15.75">
      <c r="A592" s="2080"/>
      <c r="B592" s="705"/>
      <c r="C592" s="90"/>
      <c r="D592" s="2081"/>
      <c r="E592" s="2082"/>
      <c r="F592" s="1954"/>
      <c r="G592" s="90"/>
      <c r="H592" s="90"/>
      <c r="I592" s="90"/>
      <c r="J592" s="90"/>
      <c r="K592" s="90"/>
      <c r="L592" s="90"/>
      <c r="M592" s="1956"/>
      <c r="N592" s="643"/>
      <c r="O592" s="2083"/>
      <c r="P592" s="643"/>
      <c r="Q592" s="643"/>
      <c r="R592" s="280"/>
      <c r="S592" s="280"/>
      <c r="T592" s="280"/>
      <c r="U592" s="280"/>
      <c r="V592" s="280"/>
      <c r="W592" s="79"/>
    </row>
    <row r="593" spans="1:23" ht="15.75">
      <c r="A593" s="2080"/>
      <c r="B593" s="705"/>
      <c r="C593" s="90"/>
      <c r="D593" s="2081"/>
      <c r="E593" s="2082"/>
      <c r="F593" s="1954"/>
      <c r="G593" s="90"/>
      <c r="H593" s="90"/>
      <c r="I593" s="90"/>
      <c r="J593" s="90"/>
      <c r="K593" s="90"/>
      <c r="L593" s="90"/>
      <c r="M593" s="1956"/>
      <c r="N593" s="643"/>
      <c r="O593" s="2083"/>
      <c r="P593" s="643"/>
      <c r="Q593" s="643"/>
      <c r="R593" s="280"/>
      <c r="S593" s="280"/>
      <c r="T593" s="280"/>
      <c r="U593" s="280"/>
      <c r="V593" s="280"/>
      <c r="W593" s="79"/>
    </row>
    <row r="594" spans="1:23" ht="15.75">
      <c r="A594" s="2080"/>
      <c r="B594" s="705"/>
      <c r="C594" s="90"/>
      <c r="D594" s="2081"/>
      <c r="E594" s="2082"/>
      <c r="F594" s="1954"/>
      <c r="G594" s="90"/>
      <c r="H594" s="90"/>
      <c r="I594" s="90"/>
      <c r="J594" s="90"/>
      <c r="K594" s="90"/>
      <c r="L594" s="90"/>
      <c r="M594" s="1956"/>
      <c r="N594" s="643"/>
      <c r="O594" s="2083"/>
      <c r="P594" s="643"/>
      <c r="Q594" s="643"/>
      <c r="R594" s="280"/>
      <c r="S594" s="280"/>
      <c r="T594" s="280"/>
      <c r="U594" s="280"/>
      <c r="V594" s="280"/>
      <c r="W594" s="79"/>
    </row>
    <row r="595" spans="1:23" ht="15.75">
      <c r="A595" s="2080"/>
      <c r="B595" s="705"/>
      <c r="C595" s="90"/>
      <c r="D595" s="2081"/>
      <c r="E595" s="2082"/>
      <c r="F595" s="1954"/>
      <c r="G595" s="90"/>
      <c r="H595" s="90"/>
      <c r="I595" s="90"/>
      <c r="J595" s="90"/>
      <c r="K595" s="90"/>
      <c r="L595" s="90"/>
      <c r="M595" s="1956"/>
      <c r="N595" s="643"/>
      <c r="O595" s="2083"/>
      <c r="P595" s="643"/>
      <c r="Q595" s="643"/>
      <c r="R595" s="280"/>
      <c r="S595" s="280"/>
      <c r="T595" s="280"/>
      <c r="U595" s="280"/>
      <c r="V595" s="280"/>
      <c r="W595" s="79"/>
    </row>
    <row r="596" spans="1:23" ht="15.75">
      <c r="A596" s="2080"/>
      <c r="B596" s="705"/>
      <c r="C596" s="90"/>
      <c r="D596" s="2081"/>
      <c r="E596" s="2082"/>
      <c r="F596" s="1954"/>
      <c r="G596" s="90"/>
      <c r="H596" s="90"/>
      <c r="I596" s="90"/>
      <c r="J596" s="90"/>
      <c r="K596" s="90"/>
      <c r="L596" s="90"/>
      <c r="M596" s="1956"/>
      <c r="N596" s="643"/>
      <c r="O596" s="2083"/>
      <c r="P596" s="643"/>
      <c r="Q596" s="643"/>
      <c r="R596" s="280"/>
      <c r="S596" s="280"/>
      <c r="T596" s="280"/>
      <c r="U596" s="280"/>
      <c r="V596" s="280"/>
      <c r="W596" s="79"/>
    </row>
    <row r="597" spans="1:23" ht="15.75">
      <c r="A597" s="2080"/>
      <c r="B597" s="705"/>
      <c r="C597" s="90"/>
      <c r="D597" s="2081"/>
      <c r="E597" s="2082"/>
      <c r="F597" s="1954"/>
      <c r="G597" s="90"/>
      <c r="H597" s="90"/>
      <c r="I597" s="90"/>
      <c r="J597" s="90"/>
      <c r="K597" s="90"/>
      <c r="L597" s="90"/>
      <c r="M597" s="1956"/>
      <c r="N597" s="643"/>
      <c r="O597" s="2083"/>
      <c r="P597" s="643"/>
      <c r="Q597" s="643"/>
      <c r="R597" s="280"/>
      <c r="S597" s="280"/>
      <c r="T597" s="280"/>
      <c r="U597" s="280"/>
      <c r="V597" s="280"/>
      <c r="W597" s="79"/>
    </row>
    <row r="598" spans="1:23" ht="15.75">
      <c r="A598" s="2080"/>
      <c r="B598" s="705"/>
      <c r="C598" s="90"/>
      <c r="D598" s="2081"/>
      <c r="E598" s="2082"/>
      <c r="F598" s="1954"/>
      <c r="G598" s="90"/>
      <c r="H598" s="90"/>
      <c r="I598" s="90"/>
      <c r="J598" s="90"/>
      <c r="K598" s="90"/>
      <c r="L598" s="90"/>
      <c r="M598" s="1956"/>
      <c r="N598" s="643"/>
      <c r="O598" s="2083"/>
      <c r="P598" s="643"/>
      <c r="Q598" s="643"/>
      <c r="R598" s="280"/>
      <c r="S598" s="280"/>
      <c r="T598" s="280"/>
      <c r="U598" s="280"/>
      <c r="V598" s="280"/>
      <c r="W598" s="79"/>
    </row>
    <row r="599" spans="1:23" ht="15.75">
      <c r="A599" s="2080"/>
      <c r="B599" s="705"/>
      <c r="C599" s="90"/>
      <c r="D599" s="2081"/>
      <c r="E599" s="2082"/>
      <c r="F599" s="1954"/>
      <c r="G599" s="90"/>
      <c r="H599" s="90"/>
      <c r="I599" s="90"/>
      <c r="J599" s="90"/>
      <c r="K599" s="90"/>
      <c r="L599" s="90"/>
      <c r="M599" s="1956"/>
      <c r="N599" s="643"/>
      <c r="O599" s="2083"/>
      <c r="P599" s="643"/>
      <c r="Q599" s="643"/>
      <c r="R599" s="280"/>
      <c r="S599" s="280"/>
      <c r="T599" s="280"/>
      <c r="U599" s="280"/>
      <c r="V599" s="280"/>
      <c r="W599" s="79"/>
    </row>
    <row r="600" spans="1:23" ht="15.75">
      <c r="A600" s="2080"/>
      <c r="B600" s="705"/>
      <c r="C600" s="90"/>
      <c r="D600" s="2081"/>
      <c r="E600" s="2082"/>
      <c r="F600" s="1954"/>
      <c r="G600" s="90"/>
      <c r="H600" s="90"/>
      <c r="I600" s="90"/>
      <c r="J600" s="90"/>
      <c r="K600" s="90"/>
      <c r="L600" s="90"/>
      <c r="M600" s="1956"/>
      <c r="N600" s="643"/>
      <c r="O600" s="2083"/>
      <c r="P600" s="643"/>
      <c r="Q600" s="643"/>
      <c r="R600" s="280"/>
      <c r="S600" s="280"/>
      <c r="T600" s="280"/>
      <c r="U600" s="280"/>
      <c r="V600" s="280"/>
      <c r="W600" s="79"/>
    </row>
    <row r="601" spans="1:23" ht="15.75">
      <c r="A601" s="2080"/>
      <c r="B601" s="705"/>
      <c r="C601" s="90"/>
      <c r="D601" s="2081"/>
      <c r="E601" s="2082"/>
      <c r="F601" s="1954"/>
      <c r="G601" s="90"/>
      <c r="H601" s="90"/>
      <c r="I601" s="90"/>
      <c r="J601" s="90"/>
      <c r="K601" s="90"/>
      <c r="L601" s="90"/>
      <c r="M601" s="1956"/>
      <c r="N601" s="643"/>
      <c r="O601" s="2083"/>
      <c r="P601" s="643"/>
      <c r="Q601" s="643"/>
      <c r="R601" s="280"/>
      <c r="S601" s="280"/>
      <c r="T601" s="280"/>
      <c r="U601" s="280"/>
      <c r="V601" s="280"/>
      <c r="W601" s="79"/>
    </row>
    <row r="602" spans="1:23" ht="15.75">
      <c r="A602" s="2080"/>
      <c r="B602" s="705"/>
      <c r="C602" s="90"/>
      <c r="D602" s="2081"/>
      <c r="E602" s="2082"/>
      <c r="F602" s="1954"/>
      <c r="G602" s="90"/>
      <c r="H602" s="90"/>
      <c r="I602" s="90"/>
      <c r="J602" s="90"/>
      <c r="K602" s="90"/>
      <c r="L602" s="90"/>
      <c r="M602" s="1956"/>
      <c r="N602" s="643"/>
      <c r="O602" s="2083"/>
      <c r="P602" s="643"/>
      <c r="Q602" s="643"/>
      <c r="R602" s="280"/>
      <c r="S602" s="280"/>
      <c r="T602" s="280"/>
      <c r="U602" s="280"/>
      <c r="V602" s="280"/>
      <c r="W602" s="79"/>
    </row>
    <row r="603" spans="1:23" ht="15.75">
      <c r="A603" s="2080"/>
      <c r="B603" s="705"/>
      <c r="C603" s="90"/>
      <c r="D603" s="2081"/>
      <c r="E603" s="2082"/>
      <c r="F603" s="1954"/>
      <c r="G603" s="90"/>
      <c r="H603" s="90"/>
      <c r="I603" s="90"/>
      <c r="J603" s="90"/>
      <c r="K603" s="90"/>
      <c r="L603" s="90"/>
      <c r="M603" s="1956"/>
      <c r="N603" s="643"/>
      <c r="O603" s="2083"/>
      <c r="P603" s="643"/>
      <c r="Q603" s="643"/>
      <c r="R603" s="280"/>
      <c r="S603" s="280"/>
      <c r="T603" s="280"/>
      <c r="U603" s="280"/>
      <c r="V603" s="280"/>
      <c r="W603" s="79"/>
    </row>
    <row r="604" spans="1:23" ht="15.75">
      <c r="A604" s="2080"/>
      <c r="B604" s="705"/>
      <c r="C604" s="90"/>
      <c r="D604" s="2081"/>
      <c r="E604" s="2082"/>
      <c r="F604" s="1954"/>
      <c r="G604" s="90"/>
      <c r="H604" s="90"/>
      <c r="I604" s="90"/>
      <c r="J604" s="90"/>
      <c r="K604" s="90"/>
      <c r="L604" s="90"/>
      <c r="M604" s="1956"/>
      <c r="N604" s="643"/>
      <c r="O604" s="2083"/>
      <c r="P604" s="643"/>
      <c r="Q604" s="643"/>
      <c r="R604" s="280"/>
      <c r="S604" s="280"/>
      <c r="T604" s="280"/>
      <c r="U604" s="280"/>
      <c r="V604" s="280"/>
      <c r="W604" s="79"/>
    </row>
    <row r="605" spans="1:23" ht="15.75">
      <c r="A605" s="2080"/>
      <c r="B605" s="705"/>
      <c r="C605" s="90"/>
      <c r="D605" s="2081"/>
      <c r="E605" s="2082"/>
      <c r="F605" s="1954"/>
      <c r="G605" s="90"/>
      <c r="H605" s="90"/>
      <c r="I605" s="90"/>
      <c r="J605" s="90"/>
      <c r="K605" s="90"/>
      <c r="L605" s="90"/>
      <c r="M605" s="1956"/>
      <c r="N605" s="643"/>
      <c r="O605" s="2083"/>
      <c r="P605" s="643"/>
      <c r="Q605" s="643"/>
      <c r="R605" s="280"/>
      <c r="S605" s="280"/>
      <c r="T605" s="280"/>
      <c r="U605" s="280"/>
      <c r="V605" s="280"/>
      <c r="W605" s="79"/>
    </row>
    <row r="606" spans="1:23" ht="15.75">
      <c r="A606" s="2080"/>
      <c r="B606" s="705"/>
      <c r="C606" s="90"/>
      <c r="D606" s="2081"/>
      <c r="E606" s="2082"/>
      <c r="F606" s="1954"/>
      <c r="G606" s="90"/>
      <c r="H606" s="90"/>
      <c r="I606" s="90"/>
      <c r="J606" s="90"/>
      <c r="K606" s="90"/>
      <c r="L606" s="90"/>
      <c r="M606" s="1956"/>
      <c r="N606" s="643"/>
      <c r="O606" s="2083"/>
      <c r="P606" s="643"/>
      <c r="Q606" s="643"/>
      <c r="R606" s="280"/>
      <c r="S606" s="280"/>
      <c r="T606" s="280"/>
      <c r="U606" s="280"/>
      <c r="V606" s="280"/>
      <c r="W606" s="79"/>
    </row>
    <row r="607" spans="1:23" ht="15.75">
      <c r="A607" s="2080"/>
      <c r="B607" s="705"/>
      <c r="C607" s="90"/>
      <c r="D607" s="2081"/>
      <c r="E607" s="2082"/>
      <c r="F607" s="1954"/>
      <c r="G607" s="90"/>
      <c r="H607" s="90"/>
      <c r="I607" s="90"/>
      <c r="J607" s="90"/>
      <c r="K607" s="90"/>
      <c r="L607" s="90"/>
      <c r="M607" s="1956"/>
      <c r="N607" s="643"/>
      <c r="O607" s="2083"/>
      <c r="P607" s="643"/>
      <c r="Q607" s="643"/>
      <c r="R607" s="280"/>
      <c r="S607" s="280"/>
      <c r="T607" s="280"/>
      <c r="U607" s="280"/>
      <c r="V607" s="280"/>
      <c r="W607" s="79"/>
    </row>
    <row r="608" spans="1:23" ht="15.75">
      <c r="A608" s="2080"/>
      <c r="B608" s="705"/>
      <c r="C608" s="90"/>
      <c r="D608" s="2081"/>
      <c r="E608" s="2082"/>
      <c r="F608" s="1954"/>
      <c r="G608" s="90"/>
      <c r="H608" s="90"/>
      <c r="I608" s="90"/>
      <c r="J608" s="90"/>
      <c r="K608" s="90"/>
      <c r="L608" s="90"/>
      <c r="M608" s="1956"/>
      <c r="N608" s="643"/>
      <c r="O608" s="2083"/>
      <c r="P608" s="643"/>
      <c r="Q608" s="643"/>
      <c r="R608" s="280"/>
      <c r="S608" s="280"/>
      <c r="T608" s="280"/>
      <c r="U608" s="280"/>
      <c r="V608" s="280"/>
      <c r="W608" s="79"/>
    </row>
    <row r="609" spans="1:23" ht="15.75">
      <c r="A609" s="2080"/>
      <c r="B609" s="705"/>
      <c r="C609" s="90"/>
      <c r="D609" s="2081"/>
      <c r="E609" s="2082"/>
      <c r="F609" s="1954"/>
      <c r="G609" s="90"/>
      <c r="H609" s="90"/>
      <c r="I609" s="90"/>
      <c r="J609" s="90"/>
      <c r="K609" s="90"/>
      <c r="L609" s="90"/>
      <c r="M609" s="1956"/>
      <c r="N609" s="643"/>
      <c r="O609" s="2083"/>
      <c r="P609" s="643"/>
      <c r="Q609" s="643"/>
      <c r="R609" s="280"/>
      <c r="S609" s="280"/>
      <c r="T609" s="280"/>
      <c r="U609" s="280"/>
      <c r="V609" s="280"/>
      <c r="W609" s="79"/>
    </row>
    <row r="610" spans="1:23" ht="15.75">
      <c r="A610" s="2080"/>
      <c r="B610" s="705"/>
      <c r="C610" s="90"/>
      <c r="D610" s="2081"/>
      <c r="E610" s="2082"/>
      <c r="F610" s="1954"/>
      <c r="G610" s="90"/>
      <c r="H610" s="90"/>
      <c r="I610" s="90"/>
      <c r="J610" s="90"/>
      <c r="K610" s="90"/>
      <c r="L610" s="90"/>
      <c r="M610" s="1956"/>
      <c r="N610" s="643"/>
      <c r="O610" s="2083"/>
      <c r="P610" s="643"/>
      <c r="Q610" s="643"/>
      <c r="R610" s="280"/>
      <c r="S610" s="280"/>
      <c r="T610" s="280"/>
      <c r="U610" s="280"/>
      <c r="V610" s="280"/>
      <c r="W610" s="79"/>
    </row>
    <row r="611" spans="1:23" ht="15.75">
      <c r="A611" s="2080"/>
      <c r="B611" s="705"/>
      <c r="C611" s="90"/>
      <c r="D611" s="2081"/>
      <c r="E611" s="2082"/>
      <c r="F611" s="1954"/>
      <c r="G611" s="90"/>
      <c r="H611" s="90"/>
      <c r="I611" s="90"/>
      <c r="J611" s="90"/>
      <c r="K611" s="90"/>
      <c r="L611" s="90"/>
      <c r="M611" s="1956"/>
      <c r="N611" s="643"/>
      <c r="O611" s="2083"/>
      <c r="P611" s="643"/>
      <c r="Q611" s="643"/>
      <c r="R611" s="280"/>
      <c r="S611" s="280"/>
      <c r="T611" s="280"/>
      <c r="U611" s="280"/>
      <c r="V611" s="280"/>
      <c r="W611" s="79"/>
    </row>
    <row r="612" spans="1:23" ht="15.75">
      <c r="A612" s="2080"/>
      <c r="B612" s="705"/>
      <c r="C612" s="90"/>
      <c r="D612" s="2081"/>
      <c r="E612" s="2082"/>
      <c r="F612" s="1954"/>
      <c r="G612" s="90"/>
      <c r="H612" s="90"/>
      <c r="I612" s="90"/>
      <c r="J612" s="90"/>
      <c r="K612" s="90"/>
      <c r="L612" s="90"/>
      <c r="M612" s="1956"/>
      <c r="N612" s="643"/>
      <c r="O612" s="2083"/>
      <c r="P612" s="643"/>
      <c r="Q612" s="643"/>
      <c r="R612" s="280"/>
      <c r="S612" s="280"/>
      <c r="T612" s="280"/>
      <c r="U612" s="280"/>
      <c r="V612" s="280"/>
      <c r="W612" s="79"/>
    </row>
    <row r="613" spans="1:23" ht="15.75">
      <c r="A613" s="2080"/>
      <c r="B613" s="705"/>
      <c r="C613" s="90"/>
      <c r="D613" s="2081"/>
      <c r="E613" s="2082"/>
      <c r="F613" s="1954"/>
      <c r="G613" s="90"/>
      <c r="H613" s="90"/>
      <c r="I613" s="90"/>
      <c r="J613" s="90"/>
      <c r="K613" s="90"/>
      <c r="L613" s="90"/>
      <c r="M613" s="1956"/>
      <c r="N613" s="643"/>
      <c r="O613" s="2083"/>
      <c r="P613" s="643"/>
      <c r="Q613" s="643"/>
      <c r="R613" s="280"/>
      <c r="S613" s="280"/>
      <c r="T613" s="280"/>
      <c r="U613" s="280"/>
      <c r="V613" s="280"/>
      <c r="W613" s="79"/>
    </row>
    <row r="614" spans="1:23" ht="15.75">
      <c r="A614" s="2080"/>
      <c r="B614" s="705"/>
      <c r="C614" s="90"/>
      <c r="D614" s="2081"/>
      <c r="E614" s="2082"/>
      <c r="F614" s="1954"/>
      <c r="G614" s="90"/>
      <c r="H614" s="90"/>
      <c r="I614" s="90"/>
      <c r="J614" s="90"/>
      <c r="K614" s="90"/>
      <c r="L614" s="90"/>
      <c r="M614" s="1956"/>
      <c r="N614" s="643"/>
      <c r="O614" s="2083"/>
      <c r="P614" s="643"/>
      <c r="Q614" s="643"/>
      <c r="R614" s="280"/>
      <c r="S614" s="280"/>
      <c r="T614" s="280"/>
      <c r="U614" s="280"/>
      <c r="V614" s="280"/>
      <c r="W614" s="79"/>
    </row>
    <row r="615" spans="1:23" ht="15.75">
      <c r="A615" s="2080"/>
      <c r="B615" s="705"/>
      <c r="C615" s="90"/>
      <c r="D615" s="2081"/>
      <c r="E615" s="2082"/>
      <c r="F615" s="1954"/>
      <c r="G615" s="90"/>
      <c r="H615" s="90"/>
      <c r="I615" s="90"/>
      <c r="J615" s="90"/>
      <c r="K615" s="90"/>
      <c r="L615" s="90"/>
      <c r="M615" s="1956"/>
      <c r="N615" s="643"/>
      <c r="O615" s="2083"/>
      <c r="P615" s="643"/>
      <c r="Q615" s="643"/>
      <c r="R615" s="280"/>
      <c r="S615" s="280"/>
      <c r="T615" s="280"/>
      <c r="U615" s="280"/>
      <c r="V615" s="280"/>
      <c r="W615" s="79"/>
    </row>
    <row r="616" spans="1:23" ht="15.75">
      <c r="A616" s="2080"/>
      <c r="B616" s="705"/>
      <c r="C616" s="90"/>
      <c r="D616" s="2081"/>
      <c r="E616" s="2082"/>
      <c r="F616" s="1954"/>
      <c r="G616" s="90"/>
      <c r="H616" s="90"/>
      <c r="I616" s="90"/>
      <c r="J616" s="90"/>
      <c r="K616" s="90"/>
      <c r="L616" s="90"/>
      <c r="M616" s="1956"/>
      <c r="N616" s="643"/>
      <c r="O616" s="2083"/>
      <c r="P616" s="643"/>
      <c r="Q616" s="643"/>
      <c r="R616" s="280"/>
      <c r="S616" s="280"/>
      <c r="T616" s="280"/>
      <c r="U616" s="280"/>
      <c r="V616" s="280"/>
      <c r="W616" s="79"/>
    </row>
    <row r="617" spans="1:23" ht="15.75">
      <c r="A617" s="2080"/>
      <c r="B617" s="705"/>
      <c r="C617" s="90"/>
      <c r="D617" s="2081"/>
      <c r="E617" s="2082"/>
      <c r="F617" s="1954"/>
      <c r="G617" s="90"/>
      <c r="H617" s="90"/>
      <c r="I617" s="90"/>
      <c r="J617" s="90"/>
      <c r="K617" s="90"/>
      <c r="L617" s="90"/>
      <c r="M617" s="1956"/>
      <c r="N617" s="643"/>
      <c r="O617" s="2083"/>
      <c r="P617" s="643"/>
      <c r="Q617" s="643"/>
      <c r="R617" s="280"/>
      <c r="S617" s="280"/>
      <c r="T617" s="280"/>
      <c r="U617" s="280"/>
      <c r="V617" s="280"/>
      <c r="W617" s="79"/>
    </row>
    <row r="618" spans="1:23" ht="15.75">
      <c r="A618" s="2080"/>
      <c r="B618" s="705"/>
      <c r="C618" s="90"/>
      <c r="D618" s="2081"/>
      <c r="E618" s="2082"/>
      <c r="F618" s="1954"/>
      <c r="G618" s="90"/>
      <c r="H618" s="90"/>
      <c r="I618" s="90"/>
      <c r="J618" s="90"/>
      <c r="K618" s="90"/>
      <c r="L618" s="90"/>
      <c r="M618" s="1956"/>
      <c r="N618" s="643"/>
      <c r="O618" s="2083"/>
      <c r="P618" s="643"/>
      <c r="Q618" s="643"/>
      <c r="R618" s="280"/>
      <c r="S618" s="280"/>
      <c r="T618" s="280"/>
      <c r="U618" s="280"/>
      <c r="V618" s="280"/>
      <c r="W618" s="79"/>
    </row>
    <row r="619" spans="1:23" ht="15.75">
      <c r="A619" s="2080"/>
      <c r="B619" s="705"/>
      <c r="C619" s="90"/>
      <c r="D619" s="2081"/>
      <c r="E619" s="2082"/>
      <c r="F619" s="1954"/>
      <c r="G619" s="90"/>
      <c r="H619" s="90"/>
      <c r="I619" s="90"/>
      <c r="J619" s="90"/>
      <c r="K619" s="90"/>
      <c r="L619" s="90"/>
      <c r="M619" s="1956"/>
      <c r="N619" s="643"/>
      <c r="O619" s="2083"/>
      <c r="P619" s="643"/>
      <c r="Q619" s="643"/>
      <c r="R619" s="280"/>
      <c r="S619" s="280"/>
      <c r="T619" s="280"/>
      <c r="U619" s="280"/>
      <c r="V619" s="280"/>
      <c r="W619" s="79"/>
    </row>
    <row r="620" spans="1:23" ht="15.75">
      <c r="A620" s="2080"/>
      <c r="B620" s="705"/>
      <c r="C620" s="90"/>
      <c r="D620" s="2081"/>
      <c r="E620" s="2082"/>
      <c r="F620" s="1954"/>
      <c r="G620" s="90"/>
      <c r="H620" s="90"/>
      <c r="I620" s="90"/>
      <c r="J620" s="90"/>
      <c r="K620" s="90"/>
      <c r="L620" s="90"/>
      <c r="M620" s="1956"/>
      <c r="N620" s="643"/>
      <c r="O620" s="2083"/>
      <c r="P620" s="643"/>
      <c r="Q620" s="643"/>
      <c r="R620" s="280"/>
      <c r="S620" s="280"/>
      <c r="T620" s="280"/>
      <c r="U620" s="280"/>
      <c r="V620" s="280"/>
      <c r="W620" s="79"/>
    </row>
    <row r="621" spans="1:23" ht="15.75">
      <c r="A621" s="2080"/>
      <c r="B621" s="705"/>
      <c r="C621" s="90"/>
      <c r="D621" s="2081"/>
      <c r="E621" s="2082"/>
      <c r="F621" s="1954"/>
      <c r="G621" s="90"/>
      <c r="H621" s="90"/>
      <c r="I621" s="90"/>
      <c r="J621" s="90"/>
      <c r="K621" s="90"/>
      <c r="L621" s="90"/>
      <c r="M621" s="1956"/>
      <c r="N621" s="643"/>
      <c r="O621" s="2083"/>
      <c r="P621" s="643"/>
      <c r="Q621" s="643"/>
      <c r="R621" s="280"/>
      <c r="S621" s="280"/>
      <c r="T621" s="280"/>
      <c r="U621" s="280"/>
      <c r="V621" s="280"/>
      <c r="W621" s="79"/>
    </row>
    <row r="622" spans="1:23" ht="15.75">
      <c r="A622" s="2080"/>
      <c r="B622" s="705"/>
      <c r="C622" s="90"/>
      <c r="D622" s="2081"/>
      <c r="E622" s="2082"/>
      <c r="F622" s="1954"/>
      <c r="G622" s="90"/>
      <c r="H622" s="90"/>
      <c r="I622" s="90"/>
      <c r="J622" s="90"/>
      <c r="K622" s="90"/>
      <c r="L622" s="90"/>
      <c r="M622" s="1956"/>
      <c r="N622" s="643"/>
      <c r="O622" s="2083"/>
      <c r="P622" s="643"/>
      <c r="Q622" s="643"/>
      <c r="R622" s="280"/>
      <c r="S622" s="280"/>
      <c r="T622" s="280"/>
      <c r="U622" s="280"/>
      <c r="V622" s="280"/>
      <c r="W622" s="79"/>
    </row>
    <row r="623" spans="1:23" ht="15.75">
      <c r="A623" s="2080"/>
      <c r="B623" s="705"/>
      <c r="C623" s="90"/>
      <c r="D623" s="2081"/>
      <c r="E623" s="2082"/>
      <c r="F623" s="1954"/>
      <c r="G623" s="90"/>
      <c r="H623" s="90"/>
      <c r="I623" s="90"/>
      <c r="J623" s="90"/>
      <c r="K623" s="90"/>
      <c r="L623" s="90"/>
      <c r="M623" s="1956"/>
      <c r="N623" s="643"/>
      <c r="O623" s="2083"/>
      <c r="P623" s="643"/>
      <c r="Q623" s="643"/>
      <c r="R623" s="280"/>
      <c r="S623" s="280"/>
      <c r="T623" s="280"/>
      <c r="U623" s="280"/>
      <c r="V623" s="280"/>
      <c r="W623" s="79"/>
    </row>
    <row r="624" spans="1:23" ht="15.75">
      <c r="A624" s="2080"/>
      <c r="B624" s="705"/>
      <c r="C624" s="90"/>
      <c r="D624" s="2081"/>
      <c r="E624" s="2082"/>
      <c r="F624" s="1954"/>
      <c r="G624" s="90"/>
      <c r="H624" s="90"/>
      <c r="I624" s="90"/>
      <c r="J624" s="90"/>
      <c r="K624" s="90"/>
      <c r="L624" s="90"/>
      <c r="M624" s="1956"/>
      <c r="N624" s="643"/>
      <c r="O624" s="2083"/>
      <c r="P624" s="643"/>
      <c r="Q624" s="643"/>
      <c r="R624" s="280"/>
      <c r="S624" s="280"/>
      <c r="T624" s="280"/>
      <c r="U624" s="280"/>
      <c r="V624" s="280"/>
      <c r="W624" s="79"/>
    </row>
    <row r="625" spans="1:23" ht="15.75">
      <c r="A625" s="2080"/>
      <c r="B625" s="705"/>
      <c r="C625" s="90"/>
      <c r="D625" s="2081"/>
      <c r="E625" s="2082"/>
      <c r="F625" s="1954"/>
      <c r="G625" s="90"/>
      <c r="H625" s="90"/>
      <c r="I625" s="90"/>
      <c r="J625" s="90"/>
      <c r="K625" s="90"/>
      <c r="L625" s="90"/>
      <c r="M625" s="1956"/>
      <c r="N625" s="643"/>
      <c r="O625" s="2083"/>
      <c r="P625" s="643"/>
      <c r="Q625" s="643"/>
      <c r="R625" s="280"/>
      <c r="S625" s="280"/>
      <c r="T625" s="280"/>
      <c r="U625" s="280"/>
      <c r="V625" s="280"/>
      <c r="W625" s="79"/>
    </row>
    <row r="626" spans="1:23" ht="15.75">
      <c r="A626" s="2080"/>
      <c r="B626" s="705"/>
      <c r="C626" s="90"/>
      <c r="D626" s="2081"/>
      <c r="E626" s="2082"/>
      <c r="F626" s="1954"/>
      <c r="G626" s="90"/>
      <c r="H626" s="90"/>
      <c r="I626" s="90"/>
      <c r="J626" s="90"/>
      <c r="K626" s="90"/>
      <c r="L626" s="90"/>
      <c r="M626" s="1956"/>
      <c r="N626" s="643"/>
      <c r="O626" s="2083"/>
      <c r="P626" s="643"/>
      <c r="Q626" s="643"/>
      <c r="R626" s="280"/>
      <c r="S626" s="280"/>
      <c r="T626" s="280"/>
      <c r="U626" s="280"/>
      <c r="V626" s="280"/>
      <c r="W626" s="79"/>
    </row>
    <row r="627" spans="1:23" ht="15.75">
      <c r="A627" s="2080"/>
      <c r="B627" s="705"/>
      <c r="C627" s="90"/>
      <c r="D627" s="2081"/>
      <c r="E627" s="2082"/>
      <c r="F627" s="1954"/>
      <c r="G627" s="90"/>
      <c r="H627" s="90"/>
      <c r="I627" s="90"/>
      <c r="J627" s="90"/>
      <c r="K627" s="90"/>
      <c r="L627" s="90"/>
      <c r="M627" s="1956"/>
      <c r="N627" s="643"/>
      <c r="O627" s="2083"/>
      <c r="P627" s="643"/>
      <c r="Q627" s="643"/>
      <c r="R627" s="280"/>
      <c r="S627" s="280"/>
      <c r="T627" s="280"/>
      <c r="U627" s="280"/>
      <c r="V627" s="280"/>
      <c r="W627" s="79"/>
    </row>
    <row r="628" spans="1:23" ht="15.75">
      <c r="A628" s="2080"/>
      <c r="B628" s="705"/>
      <c r="C628" s="90"/>
      <c r="D628" s="2081"/>
      <c r="E628" s="2082"/>
      <c r="F628" s="1954"/>
      <c r="G628" s="90"/>
      <c r="H628" s="90"/>
      <c r="I628" s="90"/>
      <c r="J628" s="90"/>
      <c r="K628" s="90"/>
      <c r="L628" s="90"/>
      <c r="M628" s="1956"/>
      <c r="N628" s="643"/>
      <c r="O628" s="2083"/>
      <c r="P628" s="643"/>
      <c r="Q628" s="643"/>
      <c r="R628" s="280"/>
      <c r="S628" s="280"/>
      <c r="T628" s="280"/>
      <c r="U628" s="280"/>
      <c r="V628" s="280"/>
      <c r="W628" s="79"/>
    </row>
    <row r="629" spans="1:23" ht="15.75">
      <c r="A629" s="2080"/>
      <c r="B629" s="705"/>
      <c r="C629" s="90"/>
      <c r="D629" s="2081"/>
      <c r="E629" s="2082"/>
      <c r="F629" s="1954"/>
      <c r="G629" s="90"/>
      <c r="H629" s="90"/>
      <c r="I629" s="90"/>
      <c r="J629" s="90"/>
      <c r="K629" s="90"/>
      <c r="L629" s="90"/>
      <c r="M629" s="1956"/>
      <c r="N629" s="643"/>
      <c r="O629" s="2083"/>
      <c r="P629" s="643"/>
      <c r="Q629" s="643"/>
      <c r="R629" s="280"/>
      <c r="S629" s="280"/>
      <c r="T629" s="280"/>
      <c r="U629" s="280"/>
      <c r="V629" s="280"/>
      <c r="W629" s="79"/>
    </row>
    <row r="630" spans="1:23" ht="15.75">
      <c r="A630" s="2080"/>
      <c r="B630" s="705"/>
      <c r="C630" s="90"/>
      <c r="D630" s="2081"/>
      <c r="E630" s="2082"/>
      <c r="F630" s="1954"/>
      <c r="G630" s="90"/>
      <c r="H630" s="90"/>
      <c r="I630" s="90"/>
      <c r="J630" s="90"/>
      <c r="K630" s="90"/>
      <c r="L630" s="90"/>
      <c r="M630" s="1956"/>
      <c r="N630" s="643"/>
      <c r="O630" s="2083"/>
      <c r="P630" s="643"/>
      <c r="Q630" s="643"/>
      <c r="R630" s="280"/>
      <c r="S630" s="280"/>
      <c r="T630" s="280"/>
      <c r="U630" s="280"/>
      <c r="V630" s="280"/>
      <c r="W630" s="79"/>
    </row>
    <row r="631" spans="1:23" ht="15.75">
      <c r="A631" s="2080"/>
      <c r="B631" s="705"/>
      <c r="C631" s="90"/>
      <c r="D631" s="2081"/>
      <c r="E631" s="2082"/>
      <c r="F631" s="1954"/>
      <c r="G631" s="90"/>
      <c r="H631" s="90"/>
      <c r="I631" s="90"/>
      <c r="J631" s="90"/>
      <c r="K631" s="90"/>
      <c r="L631" s="90"/>
      <c r="M631" s="1956"/>
      <c r="N631" s="643"/>
      <c r="O631" s="2083"/>
      <c r="P631" s="643"/>
      <c r="Q631" s="643"/>
      <c r="R631" s="280"/>
      <c r="S631" s="280"/>
      <c r="T631" s="280"/>
      <c r="U631" s="280"/>
      <c r="V631" s="280"/>
      <c r="W631" s="79"/>
    </row>
    <row r="632" spans="1:23" ht="15.75">
      <c r="A632" s="2080"/>
      <c r="B632" s="705"/>
      <c r="C632" s="90"/>
      <c r="D632" s="2081"/>
      <c r="E632" s="2082"/>
      <c r="F632" s="1954"/>
      <c r="G632" s="90"/>
      <c r="H632" s="90"/>
      <c r="I632" s="90"/>
      <c r="J632" s="90"/>
      <c r="K632" s="90"/>
      <c r="L632" s="90"/>
      <c r="M632" s="1956"/>
      <c r="N632" s="643"/>
      <c r="O632" s="2083"/>
      <c r="P632" s="643"/>
      <c r="Q632" s="643"/>
      <c r="R632" s="280"/>
      <c r="S632" s="280"/>
      <c r="T632" s="280"/>
      <c r="U632" s="280"/>
      <c r="V632" s="280"/>
      <c r="W632" s="79"/>
    </row>
    <row r="633" spans="1:23" ht="15.75">
      <c r="A633" s="2080"/>
      <c r="B633" s="705"/>
      <c r="C633" s="90"/>
      <c r="D633" s="2081"/>
      <c r="E633" s="2082"/>
      <c r="F633" s="1954"/>
      <c r="G633" s="90"/>
      <c r="H633" s="90"/>
      <c r="I633" s="90"/>
      <c r="J633" s="90"/>
      <c r="K633" s="90"/>
      <c r="L633" s="90"/>
      <c r="M633" s="1956"/>
      <c r="N633" s="643"/>
      <c r="O633" s="2083"/>
      <c r="P633" s="643"/>
      <c r="Q633" s="643"/>
      <c r="R633" s="280"/>
      <c r="S633" s="280"/>
      <c r="T633" s="280"/>
      <c r="U633" s="280"/>
      <c r="V633" s="280"/>
      <c r="W633" s="79"/>
    </row>
    <row r="634" spans="1:23" ht="15.75">
      <c r="A634" s="2080"/>
      <c r="B634" s="705"/>
      <c r="C634" s="90"/>
      <c r="D634" s="2081"/>
      <c r="E634" s="2082"/>
      <c r="F634" s="1954"/>
      <c r="G634" s="90"/>
      <c r="H634" s="90"/>
      <c r="I634" s="90"/>
      <c r="J634" s="90"/>
      <c r="K634" s="90"/>
      <c r="L634" s="90"/>
      <c r="M634" s="1956"/>
      <c r="N634" s="643"/>
      <c r="O634" s="2083"/>
      <c r="P634" s="643"/>
      <c r="Q634" s="643"/>
      <c r="R634" s="280"/>
      <c r="S634" s="280"/>
      <c r="T634" s="280"/>
      <c r="U634" s="280"/>
      <c r="V634" s="280"/>
      <c r="W634" s="79"/>
    </row>
    <row r="635" spans="1:23" ht="15.75">
      <c r="A635" s="2080"/>
      <c r="B635" s="705"/>
      <c r="C635" s="90"/>
      <c r="D635" s="2081"/>
      <c r="E635" s="2082"/>
      <c r="F635" s="1954"/>
      <c r="G635" s="90"/>
      <c r="H635" s="90"/>
      <c r="I635" s="90"/>
      <c r="J635" s="90"/>
      <c r="K635" s="90"/>
      <c r="L635" s="90"/>
      <c r="M635" s="1956"/>
      <c r="N635" s="643"/>
      <c r="O635" s="2083"/>
      <c r="P635" s="643"/>
      <c r="Q635" s="643"/>
      <c r="R635" s="280"/>
      <c r="S635" s="280"/>
      <c r="T635" s="280"/>
      <c r="U635" s="280"/>
      <c r="V635" s="280"/>
      <c r="W635" s="79"/>
    </row>
    <row r="636" spans="1:23" ht="15.75">
      <c r="A636" s="2080"/>
      <c r="B636" s="705"/>
      <c r="C636" s="90"/>
      <c r="D636" s="2081"/>
      <c r="E636" s="2082"/>
      <c r="F636" s="1954"/>
      <c r="G636" s="90"/>
      <c r="H636" s="90"/>
      <c r="I636" s="90"/>
      <c r="J636" s="90"/>
      <c r="K636" s="90"/>
      <c r="L636" s="90"/>
      <c r="M636" s="1956"/>
      <c r="N636" s="643"/>
      <c r="O636" s="2083"/>
      <c r="P636" s="643"/>
      <c r="Q636" s="643"/>
      <c r="R636" s="280"/>
      <c r="S636" s="280"/>
      <c r="T636" s="280"/>
      <c r="U636" s="280"/>
      <c r="V636" s="280"/>
      <c r="W636" s="79"/>
    </row>
    <row r="637" spans="1:23" ht="15.75">
      <c r="A637" s="2080"/>
      <c r="B637" s="705"/>
      <c r="C637" s="90"/>
      <c r="D637" s="2081"/>
      <c r="E637" s="2082"/>
      <c r="F637" s="1954"/>
      <c r="G637" s="90"/>
      <c r="H637" s="90"/>
      <c r="I637" s="90"/>
      <c r="J637" s="90"/>
      <c r="K637" s="90"/>
      <c r="L637" s="90"/>
      <c r="M637" s="1956"/>
      <c r="N637" s="643"/>
      <c r="O637" s="2083"/>
      <c r="P637" s="643"/>
      <c r="Q637" s="643"/>
      <c r="R637" s="280"/>
      <c r="S637" s="280"/>
      <c r="T637" s="280"/>
      <c r="U637" s="280"/>
      <c r="V637" s="280"/>
      <c r="W637" s="79"/>
    </row>
    <row r="638" spans="1:23" ht="15.75">
      <c r="A638" s="2080"/>
      <c r="B638" s="705"/>
      <c r="C638" s="90"/>
      <c r="D638" s="2081"/>
      <c r="E638" s="2082"/>
      <c r="F638" s="1954"/>
      <c r="G638" s="90"/>
      <c r="H638" s="90"/>
      <c r="I638" s="90"/>
      <c r="J638" s="90"/>
      <c r="K638" s="90"/>
      <c r="L638" s="90"/>
      <c r="M638" s="1956"/>
      <c r="N638" s="643"/>
      <c r="O638" s="2083"/>
      <c r="P638" s="643"/>
      <c r="Q638" s="643"/>
      <c r="R638" s="280"/>
      <c r="S638" s="280"/>
      <c r="T638" s="280"/>
      <c r="U638" s="280"/>
      <c r="V638" s="280"/>
      <c r="W638" s="79"/>
    </row>
    <row r="639" spans="1:23" ht="15.75">
      <c r="A639" s="2080"/>
      <c r="B639" s="705"/>
      <c r="C639" s="90"/>
      <c r="D639" s="2081"/>
      <c r="E639" s="2082"/>
      <c r="F639" s="1954"/>
      <c r="G639" s="90"/>
      <c r="H639" s="90"/>
      <c r="I639" s="90"/>
      <c r="J639" s="90"/>
      <c r="K639" s="90"/>
      <c r="L639" s="90"/>
      <c r="M639" s="1956"/>
      <c r="N639" s="643"/>
      <c r="O639" s="2083"/>
      <c r="P639" s="643"/>
      <c r="Q639" s="643"/>
      <c r="R639" s="280"/>
      <c r="S639" s="280"/>
      <c r="T639" s="280"/>
      <c r="U639" s="280"/>
      <c r="V639" s="280"/>
      <c r="W639" s="79"/>
    </row>
    <row r="640" spans="1:23" ht="15.75">
      <c r="A640" s="2080"/>
      <c r="B640" s="705"/>
      <c r="C640" s="90"/>
      <c r="D640" s="2081"/>
      <c r="E640" s="2082"/>
      <c r="F640" s="1954"/>
      <c r="G640" s="90"/>
      <c r="H640" s="90"/>
      <c r="I640" s="90"/>
      <c r="J640" s="90"/>
      <c r="K640" s="90"/>
      <c r="L640" s="90"/>
      <c r="M640" s="1956"/>
      <c r="N640" s="643"/>
      <c r="O640" s="2083"/>
      <c r="P640" s="643"/>
      <c r="Q640" s="643"/>
      <c r="R640" s="280"/>
      <c r="S640" s="280"/>
      <c r="T640" s="280"/>
      <c r="U640" s="280"/>
      <c r="V640" s="280"/>
      <c r="W640" s="79"/>
    </row>
    <row r="641" spans="1:23" ht="15.75">
      <c r="A641" s="2080"/>
      <c r="B641" s="705"/>
      <c r="C641" s="90"/>
      <c r="D641" s="2081"/>
      <c r="E641" s="2082"/>
      <c r="F641" s="1954"/>
      <c r="G641" s="90"/>
      <c r="H641" s="90"/>
      <c r="I641" s="90"/>
      <c r="J641" s="90"/>
      <c r="K641" s="90"/>
      <c r="L641" s="90"/>
      <c r="M641" s="1956"/>
      <c r="N641" s="643"/>
      <c r="O641" s="2083"/>
      <c r="P641" s="643"/>
      <c r="Q641" s="643"/>
      <c r="R641" s="280"/>
      <c r="S641" s="280"/>
      <c r="T641" s="280"/>
      <c r="U641" s="280"/>
      <c r="V641" s="280"/>
      <c r="W641" s="79"/>
    </row>
    <row r="642" spans="1:23" ht="15.75">
      <c r="A642" s="2080"/>
      <c r="B642" s="705"/>
      <c r="C642" s="90"/>
      <c r="D642" s="2081"/>
      <c r="E642" s="2082"/>
      <c r="F642" s="1954"/>
      <c r="G642" s="90"/>
      <c r="H642" s="90"/>
      <c r="I642" s="90"/>
      <c r="J642" s="90"/>
      <c r="K642" s="90"/>
      <c r="L642" s="90"/>
      <c r="M642" s="1956"/>
      <c r="N642" s="643"/>
      <c r="O642" s="2083"/>
      <c r="P642" s="643"/>
      <c r="Q642" s="643"/>
      <c r="R642" s="280"/>
      <c r="S642" s="280"/>
      <c r="T642" s="280"/>
      <c r="U642" s="280"/>
      <c r="V642" s="280"/>
      <c r="W642" s="79"/>
    </row>
    <row r="643" spans="1:23" ht="15.75">
      <c r="A643" s="2080"/>
      <c r="B643" s="705"/>
      <c r="C643" s="90"/>
      <c r="D643" s="2081"/>
      <c r="E643" s="2082"/>
      <c r="F643" s="1954"/>
      <c r="G643" s="90"/>
      <c r="H643" s="90"/>
      <c r="I643" s="90"/>
      <c r="J643" s="90"/>
      <c r="K643" s="90"/>
      <c r="L643" s="90"/>
      <c r="M643" s="1956"/>
      <c r="N643" s="643"/>
      <c r="O643" s="2083"/>
      <c r="P643" s="643"/>
      <c r="Q643" s="643"/>
      <c r="R643" s="280"/>
      <c r="S643" s="280"/>
      <c r="T643" s="280"/>
      <c r="U643" s="280"/>
      <c r="V643" s="280"/>
      <c r="W643" s="79"/>
    </row>
    <row r="644" spans="1:23" ht="15.75">
      <c r="A644" s="2080"/>
      <c r="B644" s="705"/>
      <c r="C644" s="90"/>
      <c r="D644" s="2081"/>
      <c r="E644" s="2082"/>
      <c r="F644" s="1954"/>
      <c r="G644" s="90"/>
      <c r="H644" s="90"/>
      <c r="I644" s="90"/>
      <c r="J644" s="90"/>
      <c r="K644" s="90"/>
      <c r="L644" s="90"/>
      <c r="M644" s="1956"/>
      <c r="N644" s="643"/>
      <c r="O644" s="2083"/>
      <c r="P644" s="643"/>
      <c r="Q644" s="643"/>
      <c r="R644" s="280"/>
      <c r="S644" s="280"/>
      <c r="T644" s="280"/>
      <c r="U644" s="280"/>
      <c r="V644" s="280"/>
      <c r="W644" s="79"/>
    </row>
    <row r="645" spans="1:23" ht="15.75">
      <c r="A645" s="2080"/>
      <c r="B645" s="705"/>
      <c r="C645" s="90"/>
      <c r="D645" s="2081"/>
      <c r="E645" s="2082"/>
      <c r="F645" s="1954"/>
      <c r="G645" s="90"/>
      <c r="H645" s="90"/>
      <c r="I645" s="90"/>
      <c r="J645" s="90"/>
      <c r="K645" s="90"/>
      <c r="L645" s="90"/>
      <c r="M645" s="1956"/>
      <c r="N645" s="643"/>
      <c r="O645" s="2083"/>
      <c r="P645" s="643"/>
      <c r="Q645" s="643"/>
      <c r="R645" s="280"/>
      <c r="S645" s="280"/>
      <c r="T645" s="280"/>
      <c r="U645" s="280"/>
      <c r="V645" s="280"/>
      <c r="W645" s="79"/>
    </row>
    <row r="646" spans="1:23" ht="15.75">
      <c r="A646" s="2080"/>
      <c r="B646" s="705"/>
      <c r="C646" s="90"/>
      <c r="D646" s="2081"/>
      <c r="E646" s="2082"/>
      <c r="F646" s="1954"/>
      <c r="G646" s="90"/>
      <c r="H646" s="90"/>
      <c r="I646" s="90"/>
      <c r="J646" s="90"/>
      <c r="K646" s="90"/>
      <c r="L646" s="90"/>
      <c r="M646" s="1956"/>
      <c r="N646" s="643"/>
      <c r="O646" s="2083"/>
      <c r="P646" s="643"/>
      <c r="Q646" s="643"/>
      <c r="R646" s="280"/>
      <c r="S646" s="280"/>
      <c r="T646" s="280"/>
      <c r="U646" s="280"/>
      <c r="V646" s="280"/>
      <c r="W646" s="79"/>
    </row>
    <row r="647" spans="1:23" ht="15.75">
      <c r="A647" s="2080"/>
      <c r="B647" s="705"/>
      <c r="C647" s="90"/>
      <c r="D647" s="2081"/>
      <c r="E647" s="2082"/>
      <c r="F647" s="1954"/>
      <c r="G647" s="90"/>
      <c r="H647" s="90"/>
      <c r="I647" s="90"/>
      <c r="J647" s="90"/>
      <c r="K647" s="90"/>
      <c r="L647" s="90"/>
      <c r="M647" s="1956"/>
      <c r="N647" s="643"/>
      <c r="O647" s="2083"/>
      <c r="P647" s="643"/>
      <c r="Q647" s="643"/>
      <c r="R647" s="280"/>
      <c r="S647" s="280"/>
      <c r="T647" s="280"/>
      <c r="U647" s="280"/>
      <c r="V647" s="280"/>
      <c r="W647" s="79"/>
    </row>
    <row r="648" spans="1:23" ht="15.75">
      <c r="A648" s="2080"/>
      <c r="B648" s="705"/>
      <c r="C648" s="90"/>
      <c r="D648" s="2081"/>
      <c r="E648" s="2082"/>
      <c r="F648" s="1954"/>
      <c r="G648" s="90"/>
      <c r="H648" s="90"/>
      <c r="I648" s="90"/>
      <c r="J648" s="90"/>
      <c r="K648" s="90"/>
      <c r="L648" s="90"/>
      <c r="M648" s="1956"/>
      <c r="N648" s="643"/>
      <c r="O648" s="2083"/>
      <c r="P648" s="643"/>
      <c r="Q648" s="643"/>
      <c r="R648" s="280"/>
      <c r="S648" s="280"/>
      <c r="T648" s="280"/>
      <c r="U648" s="280"/>
      <c r="V648" s="280"/>
      <c r="W648" s="79"/>
    </row>
    <row r="649" spans="1:23" ht="15.75">
      <c r="A649" s="2080"/>
      <c r="B649" s="705"/>
      <c r="C649" s="90"/>
      <c r="D649" s="2081"/>
      <c r="E649" s="2082"/>
      <c r="F649" s="1954"/>
      <c r="G649" s="90"/>
      <c r="H649" s="90"/>
      <c r="I649" s="90"/>
      <c r="J649" s="90"/>
      <c r="K649" s="90"/>
      <c r="L649" s="90"/>
      <c r="M649" s="1956"/>
      <c r="N649" s="643"/>
      <c r="O649" s="2083"/>
      <c r="P649" s="643"/>
      <c r="Q649" s="643"/>
      <c r="R649" s="280"/>
      <c r="S649" s="280"/>
      <c r="T649" s="280"/>
      <c r="U649" s="280"/>
      <c r="V649" s="280"/>
      <c r="W649" s="79"/>
    </row>
    <row r="650" spans="1:23" ht="15.75">
      <c r="A650" s="2080"/>
      <c r="B650" s="705"/>
      <c r="C650" s="90"/>
      <c r="D650" s="2081"/>
      <c r="E650" s="2082"/>
      <c r="F650" s="1954"/>
      <c r="G650" s="90"/>
      <c r="H650" s="90"/>
      <c r="I650" s="90"/>
      <c r="J650" s="90"/>
      <c r="K650" s="90"/>
      <c r="L650" s="90"/>
      <c r="M650" s="1956"/>
      <c r="N650" s="643"/>
      <c r="O650" s="2083"/>
      <c r="P650" s="643"/>
      <c r="Q650" s="643"/>
      <c r="R650" s="280"/>
      <c r="S650" s="280"/>
      <c r="T650" s="280"/>
      <c r="U650" s="280"/>
      <c r="V650" s="280"/>
      <c r="W650" s="79"/>
    </row>
    <row r="651" spans="1:23" ht="15.75">
      <c r="A651" s="2080"/>
      <c r="B651" s="705"/>
      <c r="C651" s="90"/>
      <c r="D651" s="2081"/>
      <c r="E651" s="2082"/>
      <c r="F651" s="1954"/>
      <c r="G651" s="90"/>
      <c r="H651" s="90"/>
      <c r="I651" s="90"/>
      <c r="J651" s="90"/>
      <c r="K651" s="90"/>
      <c r="L651" s="90"/>
      <c r="M651" s="1956"/>
      <c r="N651" s="643"/>
      <c r="O651" s="2083"/>
      <c r="P651" s="643"/>
      <c r="Q651" s="643"/>
      <c r="R651" s="280"/>
      <c r="S651" s="280"/>
      <c r="T651" s="280"/>
      <c r="U651" s="280"/>
      <c r="V651" s="280"/>
      <c r="W651" s="79"/>
    </row>
    <row r="652" spans="1:23" ht="15.75">
      <c r="A652" s="2080"/>
      <c r="B652" s="705"/>
      <c r="C652" s="90"/>
      <c r="D652" s="2081"/>
      <c r="E652" s="2082"/>
      <c r="F652" s="1954"/>
      <c r="G652" s="90"/>
      <c r="H652" s="90"/>
      <c r="I652" s="90"/>
      <c r="J652" s="90"/>
      <c r="K652" s="90"/>
      <c r="L652" s="90"/>
      <c r="M652" s="1956"/>
      <c r="N652" s="643"/>
      <c r="O652" s="2083"/>
      <c r="P652" s="643"/>
      <c r="Q652" s="643"/>
      <c r="R652" s="280"/>
      <c r="S652" s="280"/>
      <c r="T652" s="280"/>
      <c r="U652" s="280"/>
      <c r="V652" s="280"/>
      <c r="W652" s="79"/>
    </row>
    <row r="653" spans="1:23" ht="15.75">
      <c r="A653" s="2080"/>
      <c r="B653" s="705"/>
      <c r="C653" s="90"/>
      <c r="D653" s="2081"/>
      <c r="E653" s="2082"/>
      <c r="F653" s="1954"/>
      <c r="G653" s="90"/>
      <c r="H653" s="90"/>
      <c r="I653" s="90"/>
      <c r="J653" s="90"/>
      <c r="K653" s="90"/>
      <c r="L653" s="90"/>
      <c r="M653" s="1956"/>
      <c r="N653" s="643"/>
      <c r="O653" s="2083"/>
      <c r="P653" s="643"/>
      <c r="Q653" s="643"/>
      <c r="R653" s="280"/>
      <c r="S653" s="280"/>
      <c r="T653" s="280"/>
      <c r="U653" s="280"/>
      <c r="V653" s="280"/>
      <c r="W653" s="79"/>
    </row>
    <row r="654" spans="1:23" ht="15.75">
      <c r="A654" s="2080"/>
      <c r="B654" s="705"/>
      <c r="C654" s="90"/>
      <c r="D654" s="2081"/>
      <c r="E654" s="2082"/>
      <c r="F654" s="1954"/>
      <c r="G654" s="90"/>
      <c r="H654" s="90"/>
      <c r="I654" s="90"/>
      <c r="J654" s="90"/>
      <c r="K654" s="90"/>
      <c r="L654" s="90"/>
      <c r="M654" s="1956"/>
      <c r="N654" s="643"/>
      <c r="O654" s="2083"/>
      <c r="P654" s="643"/>
      <c r="Q654" s="643"/>
      <c r="R654" s="280"/>
      <c r="S654" s="280"/>
      <c r="T654" s="280"/>
      <c r="U654" s="280"/>
      <c r="V654" s="280"/>
      <c r="W654" s="79"/>
    </row>
    <row r="655" spans="1:23" ht="15.75">
      <c r="A655" s="2080"/>
      <c r="B655" s="705"/>
      <c r="C655" s="90"/>
      <c r="D655" s="2081"/>
      <c r="E655" s="2082"/>
      <c r="F655" s="1954"/>
      <c r="G655" s="90"/>
      <c r="H655" s="90"/>
      <c r="I655" s="90"/>
      <c r="J655" s="90"/>
      <c r="K655" s="90"/>
      <c r="L655" s="90"/>
      <c r="M655" s="1956"/>
      <c r="N655" s="643"/>
      <c r="O655" s="2083"/>
      <c r="P655" s="643"/>
      <c r="Q655" s="643"/>
      <c r="R655" s="280"/>
      <c r="S655" s="280"/>
      <c r="T655" s="280"/>
      <c r="U655" s="280"/>
      <c r="V655" s="280"/>
      <c r="W655" s="79"/>
    </row>
    <row r="656" spans="1:23" ht="15.75">
      <c r="A656" s="2080"/>
      <c r="B656" s="705"/>
      <c r="C656" s="90"/>
      <c r="D656" s="2081"/>
      <c r="E656" s="2082"/>
      <c r="F656" s="1954"/>
      <c r="G656" s="90"/>
      <c r="H656" s="90"/>
      <c r="I656" s="90"/>
      <c r="J656" s="90"/>
      <c r="K656" s="90"/>
      <c r="L656" s="90"/>
      <c r="M656" s="1956"/>
      <c r="N656" s="643"/>
      <c r="O656" s="2083"/>
      <c r="P656" s="643"/>
      <c r="Q656" s="643"/>
      <c r="R656" s="280"/>
      <c r="S656" s="280"/>
      <c r="T656" s="280"/>
      <c r="U656" s="280"/>
      <c r="V656" s="280"/>
      <c r="W656" s="79"/>
    </row>
    <row r="657" spans="1:23" ht="15.75">
      <c r="A657" s="2080"/>
      <c r="B657" s="705"/>
      <c r="C657" s="90"/>
      <c r="D657" s="2081"/>
      <c r="E657" s="2082"/>
      <c r="F657" s="1954"/>
      <c r="G657" s="90"/>
      <c r="H657" s="90"/>
      <c r="I657" s="90"/>
      <c r="J657" s="90"/>
      <c r="K657" s="90"/>
      <c r="L657" s="90"/>
      <c r="M657" s="1956"/>
      <c r="N657" s="643"/>
      <c r="O657" s="2083"/>
      <c r="P657" s="643"/>
      <c r="Q657" s="643"/>
      <c r="R657" s="280"/>
      <c r="S657" s="280"/>
      <c r="T657" s="280"/>
      <c r="U657" s="280"/>
      <c r="V657" s="280"/>
      <c r="W657" s="79"/>
    </row>
    <row r="658" spans="1:23" ht="15.75">
      <c r="A658" s="2080"/>
      <c r="B658" s="705"/>
      <c r="C658" s="90"/>
      <c r="D658" s="2081"/>
      <c r="E658" s="2082"/>
      <c r="F658" s="1954"/>
      <c r="G658" s="90"/>
      <c r="H658" s="90"/>
      <c r="I658" s="90"/>
      <c r="J658" s="90"/>
      <c r="K658" s="90"/>
      <c r="L658" s="90"/>
      <c r="M658" s="1956"/>
      <c r="N658" s="643"/>
      <c r="O658" s="2083"/>
      <c r="P658" s="643"/>
      <c r="Q658" s="643"/>
      <c r="R658" s="280"/>
      <c r="S658" s="280"/>
      <c r="T658" s="280"/>
      <c r="U658" s="280"/>
      <c r="V658" s="280"/>
      <c r="W658" s="79"/>
    </row>
    <row r="659" spans="1:23" ht="15.75">
      <c r="A659" s="2080"/>
      <c r="B659" s="705"/>
      <c r="C659" s="90"/>
      <c r="D659" s="2081"/>
      <c r="E659" s="2082"/>
      <c r="F659" s="1954"/>
      <c r="G659" s="90"/>
      <c r="H659" s="90"/>
      <c r="I659" s="90"/>
      <c r="J659" s="90"/>
      <c r="K659" s="90"/>
      <c r="L659" s="90"/>
      <c r="M659" s="1956"/>
      <c r="N659" s="643"/>
      <c r="O659" s="2083"/>
      <c r="P659" s="643"/>
      <c r="Q659" s="643"/>
      <c r="R659" s="280"/>
      <c r="S659" s="280"/>
      <c r="T659" s="280"/>
      <c r="U659" s="280"/>
      <c r="V659" s="280"/>
      <c r="W659" s="79"/>
    </row>
    <row r="660" spans="1:23" ht="15.75">
      <c r="A660" s="2080"/>
      <c r="B660" s="705"/>
      <c r="C660" s="90"/>
      <c r="D660" s="2081"/>
      <c r="E660" s="2082"/>
      <c r="F660" s="1954"/>
      <c r="G660" s="90"/>
      <c r="H660" s="90"/>
      <c r="I660" s="90"/>
      <c r="J660" s="90"/>
      <c r="K660" s="90"/>
      <c r="L660" s="90"/>
      <c r="M660" s="1956"/>
      <c r="N660" s="643"/>
      <c r="O660" s="2083"/>
      <c r="P660" s="643"/>
      <c r="Q660" s="643"/>
      <c r="R660" s="280"/>
      <c r="S660" s="280"/>
      <c r="T660" s="280"/>
      <c r="U660" s="280"/>
      <c r="V660" s="280"/>
      <c r="W660" s="79"/>
    </row>
    <row r="661" spans="1:23" ht="15.75">
      <c r="A661" s="2080"/>
      <c r="B661" s="705"/>
      <c r="C661" s="90"/>
      <c r="D661" s="2081"/>
      <c r="E661" s="2082"/>
      <c r="F661" s="1954"/>
      <c r="G661" s="90"/>
      <c r="H661" s="90"/>
      <c r="I661" s="90"/>
      <c r="J661" s="90"/>
      <c r="K661" s="90"/>
      <c r="L661" s="90"/>
      <c r="M661" s="1956"/>
      <c r="N661" s="643"/>
      <c r="O661" s="2083"/>
      <c r="P661" s="643"/>
      <c r="Q661" s="643"/>
      <c r="R661" s="280"/>
      <c r="S661" s="280"/>
      <c r="T661" s="280"/>
      <c r="U661" s="280"/>
      <c r="V661" s="280"/>
      <c r="W661" s="79"/>
    </row>
    <row r="662" spans="1:23" ht="15.75">
      <c r="A662" s="2080"/>
      <c r="B662" s="705"/>
      <c r="C662" s="90"/>
      <c r="D662" s="2081"/>
      <c r="E662" s="2082"/>
      <c r="F662" s="1954"/>
      <c r="G662" s="90"/>
      <c r="H662" s="90"/>
      <c r="I662" s="90"/>
      <c r="J662" s="90"/>
      <c r="K662" s="90"/>
      <c r="L662" s="90"/>
      <c r="M662" s="1956"/>
      <c r="N662" s="643"/>
      <c r="O662" s="2083"/>
      <c r="P662" s="643"/>
      <c r="Q662" s="643"/>
      <c r="R662" s="280"/>
      <c r="S662" s="280"/>
      <c r="T662" s="280"/>
      <c r="U662" s="280"/>
      <c r="V662" s="280"/>
      <c r="W662" s="79"/>
    </row>
    <row r="663" spans="1:23" ht="15.75">
      <c r="A663" s="2080"/>
      <c r="B663" s="705"/>
      <c r="C663" s="90"/>
      <c r="D663" s="2081"/>
      <c r="E663" s="2082"/>
      <c r="F663" s="1954"/>
      <c r="G663" s="90"/>
      <c r="H663" s="90"/>
      <c r="I663" s="90"/>
      <c r="J663" s="90"/>
      <c r="K663" s="90"/>
      <c r="L663" s="90"/>
      <c r="M663" s="1956"/>
      <c r="N663" s="643"/>
      <c r="O663" s="2083"/>
      <c r="P663" s="643"/>
      <c r="Q663" s="643"/>
      <c r="R663" s="280"/>
      <c r="S663" s="280"/>
      <c r="T663" s="280"/>
      <c r="U663" s="280"/>
      <c r="V663" s="280"/>
      <c r="W663" s="79"/>
    </row>
    <row r="664" spans="1:23" ht="15.75">
      <c r="A664" s="2080"/>
      <c r="B664" s="705"/>
      <c r="C664" s="90"/>
      <c r="D664" s="2081"/>
      <c r="E664" s="2082"/>
      <c r="F664" s="1954"/>
      <c r="G664" s="90"/>
      <c r="H664" s="90"/>
      <c r="I664" s="90"/>
      <c r="J664" s="90"/>
      <c r="K664" s="90"/>
      <c r="L664" s="90"/>
      <c r="M664" s="1956"/>
      <c r="N664" s="643"/>
      <c r="O664" s="2083"/>
      <c r="P664" s="643"/>
      <c r="Q664" s="643"/>
      <c r="R664" s="280"/>
      <c r="S664" s="280"/>
      <c r="T664" s="280"/>
      <c r="U664" s="280"/>
      <c r="V664" s="280"/>
      <c r="W664" s="79"/>
    </row>
    <row r="665" spans="1:23" ht="15.75">
      <c r="A665" s="2080"/>
      <c r="B665" s="705"/>
      <c r="C665" s="90"/>
      <c r="D665" s="2081"/>
      <c r="E665" s="2082"/>
      <c r="F665" s="1954"/>
      <c r="G665" s="90"/>
      <c r="H665" s="90"/>
      <c r="I665" s="90"/>
      <c r="J665" s="90"/>
      <c r="K665" s="90"/>
      <c r="L665" s="90"/>
      <c r="M665" s="1956"/>
      <c r="N665" s="643"/>
      <c r="O665" s="2083"/>
      <c r="P665" s="643"/>
      <c r="Q665" s="643"/>
      <c r="R665" s="280"/>
      <c r="S665" s="280"/>
      <c r="T665" s="280"/>
      <c r="U665" s="280"/>
      <c r="V665" s="280"/>
      <c r="W665" s="79"/>
    </row>
    <row r="666" spans="1:23" ht="15.75">
      <c r="A666" s="2080"/>
      <c r="B666" s="705"/>
      <c r="C666" s="90"/>
      <c r="D666" s="2081"/>
      <c r="E666" s="2082"/>
      <c r="F666" s="1954"/>
      <c r="G666" s="90"/>
      <c r="H666" s="90"/>
      <c r="I666" s="90"/>
      <c r="J666" s="90"/>
      <c r="K666" s="90"/>
      <c r="L666" s="90"/>
      <c r="M666" s="1956"/>
      <c r="N666" s="643"/>
      <c r="O666" s="2083"/>
      <c r="P666" s="643"/>
      <c r="Q666" s="643"/>
      <c r="R666" s="280"/>
      <c r="S666" s="280"/>
      <c r="T666" s="280"/>
      <c r="U666" s="280"/>
      <c r="V666" s="280"/>
      <c r="W666" s="79"/>
    </row>
    <row r="667" spans="1:23" ht="15.75">
      <c r="A667" s="2080"/>
      <c r="B667" s="705"/>
      <c r="C667" s="90"/>
      <c r="D667" s="2081"/>
      <c r="E667" s="2082"/>
      <c r="F667" s="1954"/>
      <c r="G667" s="90"/>
      <c r="H667" s="90"/>
      <c r="I667" s="90"/>
      <c r="J667" s="90"/>
      <c r="K667" s="90"/>
      <c r="L667" s="90"/>
      <c r="M667" s="1956"/>
      <c r="N667" s="643"/>
      <c r="O667" s="2083"/>
      <c r="P667" s="643"/>
      <c r="Q667" s="643"/>
      <c r="R667" s="280"/>
      <c r="S667" s="280"/>
      <c r="T667" s="280"/>
      <c r="U667" s="280"/>
      <c r="V667" s="280"/>
      <c r="W667" s="79"/>
    </row>
    <row r="668" spans="1:23" ht="15.75">
      <c r="A668" s="2080"/>
      <c r="B668" s="705"/>
      <c r="C668" s="90"/>
      <c r="D668" s="2081"/>
      <c r="E668" s="2082"/>
      <c r="F668" s="1954"/>
      <c r="G668" s="90"/>
      <c r="H668" s="90"/>
      <c r="I668" s="90"/>
      <c r="J668" s="90"/>
      <c r="K668" s="90"/>
      <c r="L668" s="90"/>
      <c r="M668" s="1956"/>
      <c r="N668" s="643"/>
      <c r="O668" s="2083"/>
      <c r="P668" s="643"/>
      <c r="Q668" s="643"/>
      <c r="R668" s="280"/>
      <c r="S668" s="280"/>
      <c r="T668" s="280"/>
      <c r="U668" s="280"/>
      <c r="V668" s="280"/>
      <c r="W668" s="79"/>
    </row>
    <row r="669" spans="1:23" ht="15.75">
      <c r="A669" s="2080"/>
      <c r="B669" s="705"/>
      <c r="C669" s="90"/>
      <c r="D669" s="2081"/>
      <c r="E669" s="2082"/>
      <c r="F669" s="1954"/>
      <c r="G669" s="90"/>
      <c r="H669" s="90"/>
      <c r="I669" s="90"/>
      <c r="J669" s="90"/>
      <c r="K669" s="90"/>
      <c r="L669" s="90"/>
      <c r="M669" s="1956"/>
      <c r="N669" s="643"/>
      <c r="O669" s="2083"/>
      <c r="P669" s="643"/>
      <c r="Q669" s="643"/>
      <c r="R669" s="280"/>
      <c r="S669" s="280"/>
      <c r="T669" s="280"/>
      <c r="U669" s="280"/>
      <c r="V669" s="280"/>
      <c r="W669" s="79"/>
    </row>
    <row r="670" spans="1:23" ht="15.75">
      <c r="A670" s="2080"/>
      <c r="B670" s="705"/>
      <c r="C670" s="90"/>
      <c r="D670" s="2081"/>
      <c r="E670" s="2082"/>
      <c r="F670" s="1954"/>
      <c r="G670" s="90"/>
      <c r="H670" s="90"/>
      <c r="I670" s="90"/>
      <c r="J670" s="90"/>
      <c r="K670" s="90"/>
      <c r="L670" s="90"/>
      <c r="M670" s="1956"/>
      <c r="N670" s="643"/>
      <c r="O670" s="2083"/>
      <c r="P670" s="643"/>
      <c r="Q670" s="643"/>
      <c r="R670" s="280"/>
      <c r="S670" s="280"/>
      <c r="T670" s="280"/>
      <c r="U670" s="280"/>
      <c r="V670" s="280"/>
      <c r="W670" s="79"/>
    </row>
    <row r="671" spans="1:23" ht="15.75">
      <c r="A671" s="2080"/>
      <c r="B671" s="705"/>
      <c r="C671" s="90"/>
      <c r="D671" s="2081"/>
      <c r="E671" s="2082"/>
      <c r="F671" s="1954"/>
      <c r="G671" s="90"/>
      <c r="H671" s="90"/>
      <c r="I671" s="90"/>
      <c r="J671" s="90"/>
      <c r="K671" s="90"/>
      <c r="L671" s="90"/>
      <c r="M671" s="1956"/>
      <c r="N671" s="643"/>
      <c r="O671" s="2083"/>
      <c r="P671" s="643"/>
      <c r="Q671" s="643"/>
      <c r="R671" s="280"/>
      <c r="S671" s="280"/>
      <c r="T671" s="280"/>
      <c r="U671" s="280"/>
      <c r="V671" s="280"/>
      <c r="W671" s="79"/>
    </row>
    <row r="672" spans="1:23" ht="15.75">
      <c r="A672" s="2080"/>
      <c r="B672" s="705"/>
      <c r="C672" s="90"/>
      <c r="D672" s="2081"/>
      <c r="E672" s="2082"/>
      <c r="F672" s="1954"/>
      <c r="G672" s="90"/>
      <c r="H672" s="90"/>
      <c r="I672" s="90"/>
      <c r="J672" s="90"/>
      <c r="K672" s="90"/>
      <c r="L672" s="90"/>
      <c r="M672" s="1956"/>
      <c r="N672" s="643"/>
      <c r="O672" s="2083"/>
      <c r="P672" s="643"/>
      <c r="Q672" s="643"/>
      <c r="R672" s="280"/>
      <c r="S672" s="280"/>
      <c r="T672" s="280"/>
      <c r="U672" s="280"/>
      <c r="V672" s="280"/>
      <c r="W672" s="79"/>
    </row>
    <row r="673" spans="1:23" ht="15.75">
      <c r="A673" s="2080"/>
      <c r="B673" s="705"/>
      <c r="C673" s="90"/>
      <c r="D673" s="2081"/>
      <c r="E673" s="2082"/>
      <c r="F673" s="1954"/>
      <c r="G673" s="90"/>
      <c r="H673" s="90"/>
      <c r="I673" s="90"/>
      <c r="J673" s="90"/>
      <c r="K673" s="90"/>
      <c r="L673" s="90"/>
      <c r="M673" s="1956"/>
      <c r="N673" s="643"/>
      <c r="O673" s="2083"/>
      <c r="P673" s="643"/>
      <c r="Q673" s="643"/>
      <c r="R673" s="280"/>
      <c r="S673" s="280"/>
      <c r="T673" s="280"/>
      <c r="U673" s="280"/>
      <c r="V673" s="280"/>
      <c r="W673" s="79"/>
    </row>
    <row r="674" spans="1:23" ht="15.75">
      <c r="A674" s="2080"/>
      <c r="B674" s="705"/>
      <c r="C674" s="90"/>
      <c r="D674" s="2081"/>
      <c r="E674" s="2082"/>
      <c r="F674" s="1954"/>
      <c r="G674" s="90"/>
      <c r="H674" s="90"/>
      <c r="I674" s="90"/>
      <c r="J674" s="90"/>
      <c r="K674" s="90"/>
      <c r="L674" s="90"/>
      <c r="M674" s="1956"/>
      <c r="N674" s="643"/>
      <c r="O674" s="2083"/>
      <c r="P674" s="643"/>
      <c r="Q674" s="643"/>
      <c r="R674" s="280"/>
      <c r="S674" s="280"/>
      <c r="T674" s="280"/>
      <c r="U674" s="280"/>
      <c r="V674" s="280"/>
      <c r="W674" s="79"/>
    </row>
    <row r="675" spans="1:23" ht="15.75">
      <c r="A675" s="2080"/>
      <c r="B675" s="705"/>
      <c r="C675" s="90"/>
      <c r="D675" s="2081"/>
      <c r="E675" s="2082"/>
      <c r="F675" s="1954"/>
      <c r="G675" s="90"/>
      <c r="H675" s="90"/>
      <c r="I675" s="90"/>
      <c r="J675" s="90"/>
      <c r="K675" s="90"/>
      <c r="L675" s="90"/>
      <c r="M675" s="1956"/>
      <c r="N675" s="643"/>
      <c r="O675" s="2083"/>
      <c r="P675" s="643"/>
      <c r="Q675" s="643"/>
      <c r="R675" s="280"/>
      <c r="S675" s="280"/>
      <c r="T675" s="280"/>
      <c r="U675" s="280"/>
      <c r="V675" s="280"/>
      <c r="W675" s="79"/>
    </row>
    <row r="676" spans="1:23" ht="15.75">
      <c r="A676" s="2080"/>
      <c r="B676" s="705"/>
      <c r="C676" s="90"/>
      <c r="D676" s="2081"/>
      <c r="E676" s="2082"/>
      <c r="F676" s="1954"/>
      <c r="G676" s="90"/>
      <c r="H676" s="90"/>
      <c r="I676" s="90"/>
      <c r="J676" s="90"/>
      <c r="K676" s="90"/>
      <c r="L676" s="90"/>
      <c r="M676" s="1956"/>
      <c r="N676" s="643"/>
      <c r="O676" s="2083"/>
      <c r="P676" s="643"/>
      <c r="Q676" s="643"/>
      <c r="R676" s="280"/>
      <c r="S676" s="280"/>
      <c r="T676" s="280"/>
      <c r="U676" s="280"/>
      <c r="V676" s="280"/>
      <c r="W676" s="79"/>
    </row>
    <row r="677" spans="1:23" ht="15.75">
      <c r="A677" s="2080"/>
      <c r="B677" s="705"/>
      <c r="C677" s="90"/>
      <c r="D677" s="2081"/>
      <c r="E677" s="2082"/>
      <c r="F677" s="1954"/>
      <c r="G677" s="90"/>
      <c r="H677" s="90"/>
      <c r="I677" s="90"/>
      <c r="J677" s="90"/>
      <c r="K677" s="90"/>
      <c r="L677" s="90"/>
      <c r="M677" s="1956"/>
      <c r="N677" s="643"/>
      <c r="O677" s="2083"/>
      <c r="P677" s="643"/>
      <c r="Q677" s="643"/>
      <c r="R677" s="280"/>
      <c r="S677" s="280"/>
      <c r="T677" s="280"/>
      <c r="U677" s="280"/>
      <c r="V677" s="280"/>
      <c r="W677" s="79"/>
    </row>
    <row r="678" spans="1:23" ht="15.75">
      <c r="A678" s="2080"/>
      <c r="B678" s="705"/>
      <c r="C678" s="90"/>
      <c r="D678" s="2081"/>
      <c r="E678" s="2082"/>
      <c r="F678" s="1954"/>
      <c r="G678" s="90"/>
      <c r="H678" s="90"/>
      <c r="I678" s="90"/>
      <c r="J678" s="90"/>
      <c r="K678" s="90"/>
      <c r="L678" s="90"/>
      <c r="M678" s="1956"/>
      <c r="N678" s="643"/>
      <c r="O678" s="2083"/>
      <c r="P678" s="643"/>
      <c r="Q678" s="643"/>
      <c r="R678" s="280"/>
      <c r="S678" s="280"/>
      <c r="T678" s="280"/>
      <c r="U678" s="280"/>
      <c r="V678" s="280"/>
      <c r="W678" s="79"/>
    </row>
    <row r="679" spans="1:23" ht="15.75">
      <c r="A679" s="2080"/>
      <c r="B679" s="705"/>
      <c r="C679" s="90"/>
      <c r="D679" s="2081"/>
      <c r="E679" s="2082"/>
      <c r="F679" s="1954"/>
      <c r="G679" s="90"/>
      <c r="H679" s="90"/>
      <c r="I679" s="90"/>
      <c r="J679" s="90"/>
      <c r="K679" s="90"/>
      <c r="L679" s="90"/>
      <c r="M679" s="1956"/>
      <c r="N679" s="643"/>
      <c r="O679" s="2083"/>
      <c r="P679" s="643"/>
      <c r="Q679" s="643"/>
      <c r="R679" s="280"/>
      <c r="S679" s="280"/>
      <c r="T679" s="280"/>
      <c r="U679" s="280"/>
      <c r="V679" s="280"/>
      <c r="W679" s="79"/>
    </row>
    <row r="680" spans="1:23" ht="15.75">
      <c r="A680" s="2080"/>
      <c r="B680" s="705"/>
      <c r="C680" s="90"/>
      <c r="D680" s="2081"/>
      <c r="E680" s="2082"/>
      <c r="F680" s="1954"/>
      <c r="G680" s="90"/>
      <c r="H680" s="90"/>
      <c r="I680" s="90"/>
      <c r="J680" s="90"/>
      <c r="K680" s="90"/>
      <c r="L680" s="90"/>
      <c r="M680" s="1956"/>
      <c r="N680" s="643"/>
      <c r="O680" s="2083"/>
      <c r="P680" s="643"/>
      <c r="Q680" s="643"/>
      <c r="R680" s="280"/>
      <c r="S680" s="280"/>
      <c r="T680" s="280"/>
      <c r="U680" s="280"/>
      <c r="V680" s="280"/>
      <c r="W680" s="79"/>
    </row>
    <row r="681" spans="1:23" ht="15.75">
      <c r="A681" s="2080"/>
      <c r="B681" s="705"/>
      <c r="C681" s="90"/>
      <c r="D681" s="2081"/>
      <c r="E681" s="2082"/>
      <c r="F681" s="1954"/>
      <c r="G681" s="90"/>
      <c r="H681" s="90"/>
      <c r="I681" s="90"/>
      <c r="J681" s="90"/>
      <c r="K681" s="90"/>
      <c r="L681" s="90"/>
      <c r="M681" s="1956"/>
      <c r="N681" s="643"/>
      <c r="O681" s="2083"/>
      <c r="P681" s="643"/>
      <c r="Q681" s="643"/>
      <c r="R681" s="280"/>
      <c r="S681" s="280"/>
      <c r="T681" s="280"/>
      <c r="U681" s="280"/>
      <c r="V681" s="280"/>
      <c r="W681" s="79"/>
    </row>
    <row r="682" spans="1:23" ht="15.75">
      <c r="A682" s="2080"/>
      <c r="B682" s="705"/>
      <c r="C682" s="90"/>
      <c r="D682" s="2081"/>
      <c r="E682" s="2082"/>
      <c r="F682" s="1954"/>
      <c r="G682" s="90"/>
      <c r="H682" s="90"/>
      <c r="I682" s="90"/>
      <c r="J682" s="90"/>
      <c r="K682" s="90"/>
      <c r="L682" s="90"/>
      <c r="M682" s="1956"/>
      <c r="N682" s="643"/>
      <c r="O682" s="2083"/>
      <c r="P682" s="643"/>
      <c r="Q682" s="643"/>
      <c r="R682" s="280"/>
      <c r="S682" s="280"/>
      <c r="T682" s="280"/>
      <c r="U682" s="280"/>
      <c r="V682" s="280"/>
      <c r="W682" s="79"/>
    </row>
    <row r="683" spans="1:23" ht="15.75">
      <c r="A683" s="2080"/>
      <c r="B683" s="705"/>
      <c r="C683" s="90"/>
      <c r="D683" s="2081"/>
      <c r="E683" s="2082"/>
      <c r="F683" s="1954"/>
      <c r="G683" s="90"/>
      <c r="H683" s="90"/>
      <c r="I683" s="90"/>
      <c r="J683" s="90"/>
      <c r="K683" s="90"/>
      <c r="L683" s="90"/>
      <c r="M683" s="1956"/>
      <c r="N683" s="643"/>
      <c r="O683" s="2083"/>
      <c r="P683" s="643"/>
      <c r="Q683" s="643"/>
      <c r="R683" s="280"/>
      <c r="S683" s="280"/>
      <c r="T683" s="280"/>
      <c r="U683" s="280"/>
      <c r="V683" s="280"/>
      <c r="W683" s="79"/>
    </row>
    <row r="684" spans="1:23" ht="15.75">
      <c r="A684" s="2080"/>
      <c r="B684" s="705"/>
      <c r="C684" s="90"/>
      <c r="D684" s="2081"/>
      <c r="E684" s="2082"/>
      <c r="F684" s="1954"/>
      <c r="G684" s="90"/>
      <c r="H684" s="90"/>
      <c r="I684" s="90"/>
      <c r="J684" s="90"/>
      <c r="K684" s="90"/>
      <c r="L684" s="90"/>
      <c r="M684" s="1956"/>
      <c r="N684" s="643"/>
      <c r="O684" s="2083"/>
      <c r="P684" s="643"/>
      <c r="Q684" s="643"/>
      <c r="R684" s="280"/>
      <c r="S684" s="280"/>
      <c r="T684" s="280"/>
      <c r="U684" s="280"/>
      <c r="V684" s="280"/>
      <c r="W684" s="79"/>
    </row>
    <row r="685" spans="1:23" ht="15.75">
      <c r="A685" s="2080"/>
      <c r="B685" s="705"/>
      <c r="C685" s="90"/>
      <c r="D685" s="2081"/>
      <c r="E685" s="2082"/>
      <c r="F685" s="1954"/>
      <c r="G685" s="90"/>
      <c r="H685" s="90"/>
      <c r="I685" s="90"/>
      <c r="J685" s="90"/>
      <c r="K685" s="90"/>
      <c r="L685" s="90"/>
      <c r="M685" s="1956"/>
      <c r="N685" s="643"/>
      <c r="O685" s="2083"/>
      <c r="P685" s="643"/>
      <c r="Q685" s="643"/>
      <c r="R685" s="280"/>
      <c r="S685" s="280"/>
      <c r="T685" s="280"/>
      <c r="U685" s="280"/>
      <c r="V685" s="280"/>
      <c r="W685" s="79"/>
    </row>
    <row r="686" spans="1:23" ht="15.75">
      <c r="A686" s="2080"/>
      <c r="B686" s="705"/>
      <c r="C686" s="90"/>
      <c r="D686" s="2081"/>
      <c r="E686" s="2082"/>
      <c r="F686" s="1954"/>
      <c r="G686" s="90"/>
      <c r="H686" s="90"/>
      <c r="I686" s="90"/>
      <c r="J686" s="90"/>
      <c r="K686" s="90"/>
      <c r="L686" s="90"/>
      <c r="M686" s="1956"/>
      <c r="N686" s="643"/>
      <c r="O686" s="2083"/>
      <c r="P686" s="643"/>
      <c r="Q686" s="643"/>
      <c r="R686" s="280"/>
      <c r="S686" s="280"/>
      <c r="T686" s="280"/>
      <c r="U686" s="280"/>
      <c r="V686" s="280"/>
      <c r="W686" s="79"/>
    </row>
    <row r="687" spans="1:23" ht="15.75">
      <c r="A687" s="2080"/>
      <c r="B687" s="705"/>
      <c r="C687" s="90"/>
      <c r="D687" s="2081"/>
      <c r="E687" s="2082"/>
      <c r="F687" s="1954"/>
      <c r="G687" s="90"/>
      <c r="H687" s="90"/>
      <c r="I687" s="90"/>
      <c r="J687" s="90"/>
      <c r="K687" s="90"/>
      <c r="L687" s="90"/>
      <c r="M687" s="1956"/>
      <c r="N687" s="643"/>
      <c r="O687" s="2083"/>
      <c r="P687" s="643"/>
      <c r="Q687" s="643"/>
      <c r="R687" s="280"/>
      <c r="S687" s="280"/>
      <c r="T687" s="280"/>
      <c r="U687" s="280"/>
      <c r="V687" s="280"/>
      <c r="W687" s="79"/>
    </row>
    <row r="688" spans="1:23" ht="15.75">
      <c r="A688" s="2080"/>
      <c r="B688" s="705"/>
      <c r="C688" s="90"/>
      <c r="D688" s="2081"/>
      <c r="E688" s="2082"/>
      <c r="F688" s="1954"/>
      <c r="G688" s="90"/>
      <c r="H688" s="90"/>
      <c r="I688" s="90"/>
      <c r="J688" s="90"/>
      <c r="K688" s="90"/>
      <c r="L688" s="90"/>
      <c r="M688" s="1956"/>
      <c r="N688" s="643"/>
      <c r="O688" s="2083"/>
      <c r="P688" s="643"/>
      <c r="Q688" s="643"/>
      <c r="R688" s="280"/>
      <c r="S688" s="280"/>
      <c r="T688" s="280"/>
      <c r="U688" s="280"/>
      <c r="V688" s="280"/>
      <c r="W688" s="79"/>
    </row>
    <row r="689" spans="1:23" ht="15.75">
      <c r="A689" s="2080"/>
      <c r="B689" s="705"/>
      <c r="C689" s="90"/>
      <c r="D689" s="2081"/>
      <c r="E689" s="2082"/>
      <c r="F689" s="1954"/>
      <c r="G689" s="90"/>
      <c r="H689" s="90"/>
      <c r="I689" s="90"/>
      <c r="J689" s="90"/>
      <c r="K689" s="90"/>
      <c r="L689" s="90"/>
      <c r="M689" s="1956"/>
      <c r="N689" s="643"/>
      <c r="O689" s="2083"/>
      <c r="P689" s="643"/>
      <c r="Q689" s="643"/>
      <c r="R689" s="280"/>
      <c r="S689" s="280"/>
      <c r="T689" s="280"/>
      <c r="U689" s="280"/>
      <c r="V689" s="280"/>
      <c r="W689" s="79"/>
    </row>
    <row r="690" spans="1:23" ht="15.75">
      <c r="A690" s="2080"/>
      <c r="B690" s="705"/>
      <c r="C690" s="90"/>
      <c r="D690" s="2081"/>
      <c r="E690" s="2082"/>
      <c r="F690" s="1954"/>
      <c r="G690" s="90"/>
      <c r="H690" s="90"/>
      <c r="I690" s="90"/>
      <c r="J690" s="90"/>
      <c r="K690" s="90"/>
      <c r="L690" s="90"/>
      <c r="M690" s="1956"/>
      <c r="N690" s="643"/>
      <c r="O690" s="2083"/>
      <c r="P690" s="643"/>
      <c r="Q690" s="643"/>
      <c r="R690" s="280"/>
      <c r="S690" s="280"/>
      <c r="T690" s="280"/>
      <c r="U690" s="280"/>
      <c r="V690" s="280"/>
      <c r="W690" s="79"/>
    </row>
    <row r="691" spans="1:23" ht="15.75">
      <c r="A691" s="2080"/>
      <c r="B691" s="705"/>
      <c r="C691" s="90"/>
      <c r="D691" s="2081"/>
      <c r="E691" s="2082"/>
      <c r="F691" s="1954"/>
      <c r="G691" s="90"/>
      <c r="H691" s="90"/>
      <c r="I691" s="90"/>
      <c r="J691" s="90"/>
      <c r="K691" s="90"/>
      <c r="L691" s="90"/>
      <c r="M691" s="1956"/>
      <c r="N691" s="643"/>
      <c r="O691" s="2083"/>
      <c r="P691" s="643"/>
      <c r="Q691" s="643"/>
      <c r="R691" s="280"/>
      <c r="S691" s="280"/>
      <c r="T691" s="280"/>
      <c r="U691" s="280"/>
      <c r="V691" s="280"/>
      <c r="W691" s="79"/>
    </row>
    <row r="692" spans="1:23" ht="15.75">
      <c r="A692" s="2080"/>
      <c r="B692" s="705"/>
      <c r="C692" s="90"/>
      <c r="D692" s="2081"/>
      <c r="E692" s="2082"/>
      <c r="F692" s="1954"/>
      <c r="G692" s="90"/>
      <c r="H692" s="90"/>
      <c r="I692" s="90"/>
      <c r="J692" s="90"/>
      <c r="K692" s="90"/>
      <c r="L692" s="90"/>
      <c r="M692" s="1956"/>
      <c r="N692" s="643"/>
      <c r="O692" s="2083"/>
      <c r="P692" s="643"/>
      <c r="Q692" s="643"/>
      <c r="R692" s="280"/>
      <c r="S692" s="280"/>
      <c r="T692" s="280"/>
      <c r="U692" s="280"/>
      <c r="V692" s="280"/>
      <c r="W692" s="79"/>
    </row>
    <row r="693" spans="1:23" ht="15.75">
      <c r="A693" s="2080"/>
      <c r="B693" s="705"/>
      <c r="C693" s="90"/>
      <c r="D693" s="2081"/>
      <c r="E693" s="2082"/>
      <c r="F693" s="1954"/>
      <c r="G693" s="90"/>
      <c r="H693" s="90"/>
      <c r="I693" s="90"/>
      <c r="J693" s="90"/>
      <c r="K693" s="90"/>
      <c r="L693" s="90"/>
      <c r="M693" s="1956"/>
      <c r="N693" s="643"/>
      <c r="O693" s="2083"/>
      <c r="P693" s="643"/>
      <c r="Q693" s="643"/>
      <c r="R693" s="280"/>
      <c r="S693" s="280"/>
      <c r="T693" s="280"/>
      <c r="U693" s="280"/>
      <c r="V693" s="280"/>
      <c r="W693" s="79"/>
    </row>
    <row r="694" spans="1:23" ht="15.75">
      <c r="A694" s="2080"/>
      <c r="B694" s="705"/>
      <c r="C694" s="90"/>
      <c r="D694" s="2081"/>
      <c r="E694" s="2082"/>
      <c r="F694" s="1954"/>
      <c r="G694" s="90"/>
      <c r="H694" s="90"/>
      <c r="I694" s="90"/>
      <c r="J694" s="90"/>
      <c r="K694" s="90"/>
      <c r="L694" s="90"/>
      <c r="M694" s="1956"/>
      <c r="N694" s="643"/>
      <c r="O694" s="2083"/>
      <c r="P694" s="643"/>
      <c r="Q694" s="643"/>
      <c r="R694" s="280"/>
      <c r="S694" s="280"/>
      <c r="T694" s="280"/>
      <c r="U694" s="280"/>
      <c r="V694" s="280"/>
      <c r="W694" s="79"/>
    </row>
    <row r="695" spans="1:23" ht="15.75">
      <c r="A695" s="2080"/>
      <c r="B695" s="705"/>
      <c r="C695" s="90"/>
      <c r="D695" s="2081"/>
      <c r="E695" s="2082"/>
      <c r="F695" s="1954"/>
      <c r="G695" s="90"/>
      <c r="H695" s="90"/>
      <c r="I695" s="90"/>
      <c r="J695" s="90"/>
      <c r="K695" s="90"/>
      <c r="L695" s="90"/>
      <c r="M695" s="1956"/>
      <c r="N695" s="643"/>
      <c r="O695" s="2083"/>
      <c r="P695" s="643"/>
      <c r="Q695" s="643"/>
      <c r="R695" s="280"/>
      <c r="S695" s="280"/>
      <c r="T695" s="280"/>
      <c r="U695" s="280"/>
      <c r="V695" s="280"/>
      <c r="W695" s="79"/>
    </row>
    <row r="696" spans="1:23" ht="15.75">
      <c r="A696" s="2080"/>
      <c r="B696" s="705"/>
      <c r="C696" s="90"/>
      <c r="D696" s="2081"/>
      <c r="E696" s="2082"/>
      <c r="F696" s="1954"/>
      <c r="G696" s="90"/>
      <c r="H696" s="90"/>
      <c r="I696" s="90"/>
      <c r="J696" s="90"/>
      <c r="K696" s="90"/>
      <c r="L696" s="90"/>
      <c r="M696" s="1956"/>
      <c r="N696" s="643"/>
      <c r="O696" s="2083"/>
      <c r="P696" s="643"/>
      <c r="Q696" s="643"/>
      <c r="R696" s="280"/>
      <c r="S696" s="280"/>
      <c r="T696" s="280"/>
      <c r="U696" s="280"/>
      <c r="V696" s="280"/>
      <c r="W696" s="79"/>
    </row>
    <row r="697" spans="1:23" ht="15.75">
      <c r="A697" s="2080"/>
      <c r="B697" s="705"/>
      <c r="C697" s="90"/>
      <c r="D697" s="2081"/>
      <c r="E697" s="2082"/>
      <c r="F697" s="1954"/>
      <c r="G697" s="90"/>
      <c r="H697" s="90"/>
      <c r="I697" s="90"/>
      <c r="J697" s="90"/>
      <c r="K697" s="90"/>
      <c r="L697" s="90"/>
      <c r="M697" s="1956"/>
      <c r="N697" s="643"/>
      <c r="O697" s="2083"/>
      <c r="P697" s="643"/>
      <c r="Q697" s="643"/>
      <c r="R697" s="280"/>
      <c r="S697" s="280"/>
      <c r="T697" s="280"/>
      <c r="U697" s="280"/>
      <c r="V697" s="280"/>
      <c r="W697" s="79"/>
    </row>
    <row r="698" spans="1:23" ht="15.75">
      <c r="A698" s="2080"/>
      <c r="B698" s="705"/>
      <c r="C698" s="90"/>
      <c r="D698" s="2081"/>
      <c r="E698" s="2082"/>
      <c r="F698" s="1954"/>
      <c r="G698" s="90"/>
      <c r="H698" s="90"/>
      <c r="I698" s="90"/>
      <c r="J698" s="90"/>
      <c r="K698" s="90"/>
      <c r="L698" s="90"/>
      <c r="M698" s="1956"/>
      <c r="N698" s="643"/>
      <c r="O698" s="2083"/>
      <c r="P698" s="643"/>
      <c r="Q698" s="643"/>
      <c r="R698" s="280"/>
      <c r="S698" s="280"/>
      <c r="T698" s="280"/>
      <c r="U698" s="280"/>
      <c r="V698" s="280"/>
      <c r="W698" s="79"/>
    </row>
    <row r="699" spans="1:23" ht="15.75">
      <c r="A699" s="2080"/>
      <c r="B699" s="705"/>
      <c r="C699" s="90"/>
      <c r="D699" s="2081"/>
      <c r="E699" s="2082"/>
      <c r="F699" s="1954"/>
      <c r="G699" s="90"/>
      <c r="H699" s="90"/>
      <c r="I699" s="90"/>
      <c r="J699" s="90"/>
      <c r="K699" s="90"/>
      <c r="L699" s="90"/>
      <c r="M699" s="1956"/>
      <c r="N699" s="643"/>
      <c r="O699" s="2083"/>
      <c r="P699" s="643"/>
      <c r="Q699" s="643"/>
      <c r="R699" s="280"/>
      <c r="S699" s="280"/>
      <c r="T699" s="280"/>
      <c r="U699" s="280"/>
      <c r="V699" s="280"/>
      <c r="W699" s="79"/>
    </row>
    <row r="700" spans="1:23" ht="15.75">
      <c r="A700" s="2080"/>
      <c r="B700" s="705"/>
      <c r="C700" s="90"/>
      <c r="D700" s="2081"/>
      <c r="E700" s="2082"/>
      <c r="F700" s="1954"/>
      <c r="G700" s="90"/>
      <c r="H700" s="90"/>
      <c r="I700" s="90"/>
      <c r="J700" s="90"/>
      <c r="K700" s="90"/>
      <c r="L700" s="90"/>
      <c r="M700" s="1956"/>
      <c r="N700" s="643"/>
      <c r="O700" s="2083"/>
      <c r="P700" s="643"/>
      <c r="Q700" s="643"/>
      <c r="R700" s="280"/>
      <c r="S700" s="280"/>
      <c r="T700" s="280"/>
      <c r="U700" s="280"/>
      <c r="V700" s="280"/>
      <c r="W700" s="79"/>
    </row>
    <row r="701" spans="1:23" ht="15.75">
      <c r="A701" s="2080"/>
      <c r="B701" s="705"/>
      <c r="C701" s="90"/>
      <c r="D701" s="2081"/>
      <c r="E701" s="2082"/>
      <c r="F701" s="1954"/>
      <c r="G701" s="90"/>
      <c r="H701" s="90"/>
      <c r="I701" s="90"/>
      <c r="J701" s="90"/>
      <c r="K701" s="90"/>
      <c r="L701" s="90"/>
      <c r="M701" s="1956"/>
      <c r="N701" s="643"/>
      <c r="O701" s="2083"/>
      <c r="P701" s="643"/>
      <c r="Q701" s="643"/>
      <c r="R701" s="280"/>
      <c r="S701" s="280"/>
      <c r="T701" s="280"/>
      <c r="U701" s="280"/>
      <c r="V701" s="280"/>
      <c r="W701" s="79"/>
    </row>
    <row r="702" spans="1:23" ht="15.75">
      <c r="A702" s="2080"/>
      <c r="B702" s="705"/>
      <c r="C702" s="90"/>
      <c r="D702" s="2081"/>
      <c r="E702" s="2082"/>
      <c r="F702" s="1954"/>
      <c r="G702" s="90"/>
      <c r="H702" s="90"/>
      <c r="I702" s="90"/>
      <c r="J702" s="90"/>
      <c r="K702" s="90"/>
      <c r="L702" s="90"/>
      <c r="M702" s="1956"/>
      <c r="N702" s="643"/>
      <c r="O702" s="2083"/>
      <c r="P702" s="643"/>
      <c r="Q702" s="643"/>
      <c r="R702" s="280"/>
      <c r="S702" s="280"/>
      <c r="T702" s="280"/>
      <c r="U702" s="280"/>
      <c r="V702" s="280"/>
      <c r="W702" s="79"/>
    </row>
    <row r="703" spans="1:23" ht="15.75">
      <c r="A703" s="2080"/>
      <c r="B703" s="705"/>
      <c r="C703" s="90"/>
      <c r="D703" s="2081"/>
      <c r="E703" s="2082"/>
      <c r="F703" s="1954"/>
      <c r="G703" s="90"/>
      <c r="H703" s="90"/>
      <c r="I703" s="90"/>
      <c r="J703" s="90"/>
      <c r="K703" s="90"/>
      <c r="L703" s="90"/>
      <c r="M703" s="1956"/>
      <c r="N703" s="643"/>
      <c r="O703" s="2083"/>
      <c r="P703" s="643"/>
      <c r="Q703" s="643"/>
      <c r="R703" s="280"/>
      <c r="S703" s="280"/>
      <c r="T703" s="280"/>
      <c r="U703" s="280"/>
      <c r="V703" s="280"/>
      <c r="W703" s="79"/>
    </row>
    <row r="704" spans="1:23" ht="15.75">
      <c r="A704" s="2080"/>
      <c r="B704" s="705"/>
      <c r="C704" s="90"/>
      <c r="D704" s="2081"/>
      <c r="E704" s="2082"/>
      <c r="F704" s="1954"/>
      <c r="G704" s="90"/>
      <c r="H704" s="90"/>
      <c r="I704" s="90"/>
      <c r="J704" s="90"/>
      <c r="K704" s="90"/>
      <c r="L704" s="90"/>
      <c r="M704" s="1956"/>
      <c r="N704" s="643"/>
      <c r="O704" s="2083"/>
      <c r="P704" s="643"/>
      <c r="Q704" s="643"/>
      <c r="R704" s="280"/>
      <c r="S704" s="280"/>
      <c r="T704" s="280"/>
      <c r="U704" s="280"/>
      <c r="V704" s="280"/>
      <c r="W704" s="79"/>
    </row>
    <row r="705" spans="1:23" ht="15.75">
      <c r="A705" s="2080"/>
      <c r="B705" s="705"/>
      <c r="C705" s="90"/>
      <c r="D705" s="2081"/>
      <c r="E705" s="2082"/>
      <c r="F705" s="1954"/>
      <c r="G705" s="90"/>
      <c r="H705" s="90"/>
      <c r="I705" s="90"/>
      <c r="J705" s="90"/>
      <c r="K705" s="90"/>
      <c r="L705" s="90"/>
      <c r="M705" s="1956"/>
      <c r="N705" s="643"/>
      <c r="O705" s="2083"/>
      <c r="P705" s="643"/>
      <c r="Q705" s="643"/>
      <c r="R705" s="280"/>
      <c r="S705" s="280"/>
      <c r="T705" s="280"/>
      <c r="U705" s="280"/>
      <c r="V705" s="280"/>
      <c r="W705" s="79"/>
    </row>
    <row r="706" spans="1:23" ht="15.75">
      <c r="A706" s="2080"/>
      <c r="B706" s="705"/>
      <c r="C706" s="90"/>
      <c r="D706" s="2081"/>
      <c r="E706" s="2082"/>
      <c r="F706" s="1954"/>
      <c r="G706" s="90"/>
      <c r="H706" s="90"/>
      <c r="I706" s="90"/>
      <c r="J706" s="90"/>
      <c r="K706" s="90"/>
      <c r="L706" s="90"/>
      <c r="M706" s="1956"/>
      <c r="N706" s="643"/>
      <c r="O706" s="2083"/>
      <c r="P706" s="643"/>
      <c r="Q706" s="643"/>
      <c r="R706" s="280"/>
      <c r="S706" s="280"/>
      <c r="T706" s="280"/>
      <c r="U706" s="280"/>
      <c r="V706" s="280"/>
      <c r="W706" s="79"/>
    </row>
    <row r="707" spans="1:23" ht="15.75">
      <c r="A707" s="2080"/>
      <c r="B707" s="705"/>
      <c r="C707" s="90"/>
      <c r="D707" s="2081"/>
      <c r="E707" s="2082"/>
      <c r="F707" s="1954"/>
      <c r="G707" s="90"/>
      <c r="H707" s="90"/>
      <c r="I707" s="90"/>
      <c r="J707" s="90"/>
      <c r="K707" s="90"/>
      <c r="L707" s="90"/>
      <c r="M707" s="1956"/>
      <c r="N707" s="643"/>
      <c r="O707" s="2083"/>
      <c r="P707" s="643"/>
      <c r="Q707" s="643"/>
      <c r="R707" s="280"/>
      <c r="S707" s="280"/>
      <c r="T707" s="280"/>
      <c r="U707" s="280"/>
      <c r="V707" s="280"/>
      <c r="W707" s="79"/>
    </row>
    <row r="708" spans="1:23" ht="15.75">
      <c r="A708" s="2080"/>
      <c r="B708" s="705"/>
      <c r="C708" s="90"/>
      <c r="D708" s="2081"/>
      <c r="E708" s="2082"/>
      <c r="F708" s="1954"/>
      <c r="G708" s="90"/>
      <c r="H708" s="90"/>
      <c r="I708" s="90"/>
      <c r="J708" s="90"/>
      <c r="K708" s="90"/>
      <c r="L708" s="90"/>
      <c r="M708" s="1956"/>
      <c r="N708" s="643"/>
      <c r="O708" s="2083"/>
      <c r="P708" s="643"/>
      <c r="Q708" s="643"/>
      <c r="R708" s="280"/>
      <c r="S708" s="280"/>
      <c r="T708" s="280"/>
      <c r="U708" s="280"/>
      <c r="V708" s="280"/>
      <c r="W708" s="79"/>
    </row>
    <row r="709" spans="1:23" ht="15.75">
      <c r="A709" s="2080"/>
      <c r="B709" s="705"/>
      <c r="C709" s="90"/>
      <c r="D709" s="2081"/>
      <c r="E709" s="2082"/>
      <c r="F709" s="1954"/>
      <c r="G709" s="90"/>
      <c r="H709" s="90"/>
      <c r="I709" s="90"/>
      <c r="J709" s="90"/>
      <c r="K709" s="90"/>
      <c r="L709" s="90"/>
      <c r="M709" s="1956"/>
      <c r="N709" s="643"/>
      <c r="O709" s="2083"/>
      <c r="P709" s="643"/>
      <c r="Q709" s="643"/>
      <c r="R709" s="280"/>
      <c r="S709" s="280"/>
      <c r="T709" s="280"/>
      <c r="U709" s="280"/>
      <c r="V709" s="280"/>
      <c r="W709" s="79"/>
    </row>
    <row r="710" spans="1:23" ht="15.75">
      <c r="A710" s="2080"/>
      <c r="B710" s="705"/>
      <c r="C710" s="90"/>
      <c r="D710" s="2081"/>
      <c r="E710" s="2082"/>
      <c r="F710" s="1954"/>
      <c r="G710" s="90"/>
      <c r="H710" s="90"/>
      <c r="I710" s="90"/>
      <c r="J710" s="90"/>
      <c r="K710" s="90"/>
      <c r="L710" s="90"/>
      <c r="M710" s="1956"/>
      <c r="N710" s="643"/>
      <c r="O710" s="2083"/>
      <c r="P710" s="643"/>
      <c r="Q710" s="643"/>
      <c r="R710" s="280"/>
      <c r="S710" s="280"/>
      <c r="T710" s="280"/>
      <c r="U710" s="280"/>
      <c r="V710" s="280"/>
      <c r="W710" s="79"/>
    </row>
    <row r="711" spans="1:23" ht="15.75">
      <c r="A711" s="2080"/>
      <c r="B711" s="705"/>
      <c r="C711" s="90"/>
      <c r="D711" s="2081"/>
      <c r="E711" s="2082"/>
      <c r="F711" s="1954"/>
      <c r="G711" s="90"/>
      <c r="H711" s="90"/>
      <c r="I711" s="90"/>
      <c r="J711" s="90"/>
      <c r="K711" s="90"/>
      <c r="L711" s="90"/>
      <c r="M711" s="1956"/>
      <c r="N711" s="643"/>
      <c r="O711" s="2083"/>
      <c r="P711" s="643"/>
      <c r="Q711" s="643"/>
      <c r="R711" s="280"/>
      <c r="S711" s="280"/>
      <c r="T711" s="280"/>
      <c r="U711" s="280"/>
      <c r="V711" s="280"/>
      <c r="W711" s="79"/>
    </row>
    <row r="712" spans="1:23" ht="15.75">
      <c r="A712" s="2080"/>
      <c r="B712" s="705"/>
      <c r="C712" s="90"/>
      <c r="D712" s="2081"/>
      <c r="E712" s="2082"/>
      <c r="F712" s="1954"/>
      <c r="G712" s="90"/>
      <c r="H712" s="90"/>
      <c r="I712" s="90"/>
      <c r="J712" s="90"/>
      <c r="K712" s="90"/>
      <c r="L712" s="90"/>
      <c r="M712" s="1956"/>
      <c r="N712" s="643"/>
      <c r="O712" s="2083"/>
      <c r="P712" s="643"/>
      <c r="Q712" s="643"/>
      <c r="R712" s="280"/>
      <c r="S712" s="280"/>
      <c r="T712" s="280"/>
      <c r="U712" s="280"/>
      <c r="V712" s="280"/>
      <c r="W712" s="79"/>
    </row>
    <row r="713" spans="1:23" ht="15.75">
      <c r="A713" s="2080"/>
      <c r="B713" s="705"/>
      <c r="C713" s="90"/>
      <c r="D713" s="2081"/>
      <c r="E713" s="2082"/>
      <c r="F713" s="1954"/>
      <c r="G713" s="90"/>
      <c r="H713" s="90"/>
      <c r="I713" s="90"/>
      <c r="J713" s="90"/>
      <c r="K713" s="90"/>
      <c r="L713" s="90"/>
      <c r="M713" s="1956"/>
      <c r="N713" s="643"/>
      <c r="O713" s="2083"/>
      <c r="P713" s="643"/>
      <c r="Q713" s="643"/>
      <c r="R713" s="280"/>
      <c r="S713" s="280"/>
      <c r="T713" s="280"/>
      <c r="U713" s="280"/>
      <c r="V713" s="280"/>
      <c r="W713" s="79"/>
    </row>
    <row r="714" spans="1:23" ht="15.75">
      <c r="A714" s="2080"/>
      <c r="B714" s="705"/>
      <c r="C714" s="90"/>
      <c r="D714" s="2081"/>
      <c r="E714" s="2082"/>
      <c r="F714" s="1954"/>
      <c r="G714" s="90"/>
      <c r="H714" s="90"/>
      <c r="I714" s="90"/>
      <c r="J714" s="90"/>
      <c r="K714" s="90"/>
      <c r="L714" s="90"/>
      <c r="M714" s="1956"/>
      <c r="N714" s="643"/>
      <c r="O714" s="2083"/>
      <c r="P714" s="643"/>
      <c r="Q714" s="643"/>
      <c r="R714" s="280"/>
      <c r="S714" s="280"/>
      <c r="T714" s="280"/>
      <c r="U714" s="280"/>
      <c r="V714" s="280"/>
      <c r="W714" s="79"/>
    </row>
    <row r="715" spans="1:23" ht="15.75">
      <c r="A715" s="2080"/>
      <c r="B715" s="705"/>
      <c r="C715" s="90"/>
      <c r="D715" s="2081"/>
      <c r="E715" s="2082"/>
      <c r="F715" s="1954"/>
      <c r="G715" s="90"/>
      <c r="H715" s="90"/>
      <c r="I715" s="90"/>
      <c r="J715" s="90"/>
      <c r="K715" s="90"/>
      <c r="L715" s="90"/>
      <c r="M715" s="1956"/>
      <c r="N715" s="643"/>
      <c r="O715" s="2083"/>
      <c r="P715" s="643"/>
      <c r="Q715" s="643"/>
      <c r="R715" s="280"/>
      <c r="S715" s="280"/>
      <c r="T715" s="280"/>
      <c r="U715" s="280"/>
      <c r="V715" s="280"/>
      <c r="W715" s="79"/>
    </row>
    <row r="716" spans="1:23" ht="15.75">
      <c r="A716" s="2080"/>
      <c r="B716" s="705"/>
      <c r="C716" s="90"/>
      <c r="D716" s="2081"/>
      <c r="E716" s="2082"/>
      <c r="F716" s="1954"/>
      <c r="G716" s="90"/>
      <c r="H716" s="90"/>
      <c r="I716" s="90"/>
      <c r="J716" s="90"/>
      <c r="K716" s="90"/>
      <c r="L716" s="90"/>
      <c r="M716" s="1956"/>
      <c r="N716" s="643"/>
      <c r="O716" s="2083"/>
      <c r="P716" s="643"/>
      <c r="Q716" s="643"/>
      <c r="R716" s="280"/>
      <c r="S716" s="280"/>
      <c r="T716" s="280"/>
      <c r="U716" s="280"/>
      <c r="V716" s="280"/>
      <c r="W716" s="79"/>
    </row>
    <row r="717" spans="1:23" ht="15.75">
      <c r="A717" s="2080"/>
      <c r="B717" s="705"/>
      <c r="C717" s="90"/>
      <c r="D717" s="2081"/>
      <c r="E717" s="2082"/>
      <c r="F717" s="1954"/>
      <c r="G717" s="90"/>
      <c r="H717" s="90"/>
      <c r="I717" s="90"/>
      <c r="J717" s="90"/>
      <c r="K717" s="90"/>
      <c r="L717" s="90"/>
      <c r="M717" s="1956"/>
      <c r="N717" s="643"/>
      <c r="O717" s="2083"/>
      <c r="P717" s="643"/>
      <c r="Q717" s="643"/>
      <c r="R717" s="280"/>
      <c r="S717" s="280"/>
      <c r="T717" s="280"/>
      <c r="U717" s="280"/>
      <c r="V717" s="280"/>
      <c r="W717" s="79"/>
    </row>
    <row r="718" spans="1:23" ht="15.75">
      <c r="A718" s="2080"/>
      <c r="B718" s="705"/>
      <c r="C718" s="90"/>
      <c r="D718" s="2081"/>
      <c r="E718" s="2082"/>
      <c r="F718" s="1954"/>
      <c r="G718" s="90"/>
      <c r="H718" s="90"/>
      <c r="I718" s="90"/>
      <c r="J718" s="90"/>
      <c r="K718" s="90"/>
      <c r="L718" s="90"/>
      <c r="M718" s="1956"/>
      <c r="N718" s="643"/>
      <c r="O718" s="2083"/>
      <c r="P718" s="643"/>
      <c r="Q718" s="643"/>
      <c r="R718" s="280"/>
      <c r="S718" s="280"/>
      <c r="T718" s="280"/>
      <c r="U718" s="280"/>
      <c r="V718" s="280"/>
      <c r="W718" s="79"/>
    </row>
    <row r="719" spans="1:23" ht="15.75">
      <c r="A719" s="2080"/>
      <c r="B719" s="705"/>
      <c r="C719" s="90"/>
      <c r="D719" s="2081"/>
      <c r="E719" s="2082"/>
      <c r="F719" s="1954"/>
      <c r="G719" s="90"/>
      <c r="H719" s="90"/>
      <c r="I719" s="90"/>
      <c r="J719" s="90"/>
      <c r="K719" s="90"/>
      <c r="L719" s="90"/>
      <c r="M719" s="1956"/>
      <c r="N719" s="643"/>
      <c r="O719" s="2083"/>
      <c r="P719" s="643"/>
      <c r="Q719" s="643"/>
      <c r="R719" s="280"/>
      <c r="S719" s="280"/>
      <c r="T719" s="280"/>
      <c r="U719" s="280"/>
      <c r="V719" s="280"/>
      <c r="W719" s="79"/>
    </row>
    <row r="720" spans="1:23" ht="15.75">
      <c r="A720" s="2080"/>
      <c r="B720" s="705"/>
      <c r="C720" s="90"/>
      <c r="D720" s="2081"/>
      <c r="E720" s="2082"/>
      <c r="F720" s="1954"/>
      <c r="G720" s="90"/>
      <c r="H720" s="90"/>
      <c r="I720" s="90"/>
      <c r="J720" s="90"/>
      <c r="K720" s="90"/>
      <c r="L720" s="90"/>
      <c r="M720" s="1956"/>
      <c r="N720" s="643"/>
      <c r="O720" s="2083"/>
      <c r="P720" s="643"/>
      <c r="Q720" s="643"/>
      <c r="R720" s="280"/>
      <c r="S720" s="280"/>
      <c r="T720" s="280"/>
      <c r="U720" s="280"/>
      <c r="V720" s="280"/>
      <c r="W720" s="79"/>
    </row>
    <row r="721" spans="1:23" ht="15.75">
      <c r="A721" s="2080"/>
      <c r="B721" s="705"/>
      <c r="C721" s="90"/>
      <c r="D721" s="2081"/>
      <c r="E721" s="2082"/>
      <c r="F721" s="1954"/>
      <c r="G721" s="90"/>
      <c r="H721" s="90"/>
      <c r="I721" s="90"/>
      <c r="J721" s="90"/>
      <c r="K721" s="90"/>
      <c r="L721" s="90"/>
      <c r="M721" s="1956"/>
      <c r="N721" s="643"/>
      <c r="O721" s="2083"/>
      <c r="P721" s="643"/>
      <c r="Q721" s="643"/>
      <c r="R721" s="280"/>
      <c r="S721" s="280"/>
      <c r="T721" s="280"/>
      <c r="U721" s="280"/>
      <c r="V721" s="280"/>
      <c r="W721" s="79"/>
    </row>
    <row r="722" spans="1:23" ht="15.75">
      <c r="A722" s="2080"/>
      <c r="B722" s="705"/>
      <c r="C722" s="90"/>
      <c r="D722" s="2081"/>
      <c r="E722" s="2082"/>
      <c r="F722" s="1954"/>
      <c r="G722" s="90"/>
      <c r="H722" s="90"/>
      <c r="I722" s="90"/>
      <c r="J722" s="90"/>
      <c r="K722" s="90"/>
      <c r="L722" s="90"/>
      <c r="M722" s="1956"/>
      <c r="N722" s="643"/>
      <c r="O722" s="2083"/>
      <c r="P722" s="643"/>
      <c r="Q722" s="643"/>
      <c r="R722" s="280"/>
      <c r="S722" s="280"/>
      <c r="T722" s="280"/>
      <c r="U722" s="280"/>
      <c r="V722" s="280"/>
      <c r="W722" s="79"/>
    </row>
    <row r="723" spans="1:23" ht="15.75">
      <c r="A723" s="2080"/>
      <c r="B723" s="705"/>
      <c r="C723" s="90"/>
      <c r="D723" s="2081"/>
      <c r="E723" s="2082"/>
      <c r="F723" s="1954"/>
      <c r="G723" s="90"/>
      <c r="H723" s="90"/>
      <c r="I723" s="90"/>
      <c r="J723" s="90"/>
      <c r="K723" s="90"/>
      <c r="L723" s="90"/>
      <c r="M723" s="1956"/>
      <c r="N723" s="643"/>
      <c r="O723" s="2083"/>
      <c r="P723" s="643"/>
      <c r="Q723" s="643"/>
      <c r="R723" s="280"/>
      <c r="S723" s="280"/>
      <c r="T723" s="280"/>
      <c r="U723" s="280"/>
      <c r="V723" s="280"/>
      <c r="W723" s="79"/>
    </row>
    <row r="724" spans="1:23" ht="15.75">
      <c r="A724" s="2080"/>
      <c r="B724" s="705"/>
      <c r="C724" s="90"/>
      <c r="D724" s="2081"/>
      <c r="E724" s="2082"/>
      <c r="F724" s="1954"/>
      <c r="G724" s="90"/>
      <c r="H724" s="90"/>
      <c r="I724" s="90"/>
      <c r="J724" s="90"/>
      <c r="K724" s="90"/>
      <c r="L724" s="90"/>
      <c r="M724" s="1956"/>
      <c r="N724" s="643"/>
      <c r="O724" s="2083"/>
      <c r="P724" s="643"/>
      <c r="Q724" s="643"/>
      <c r="R724" s="280"/>
      <c r="S724" s="280"/>
      <c r="T724" s="280"/>
      <c r="U724" s="280"/>
      <c r="V724" s="280"/>
      <c r="W724" s="79"/>
    </row>
    <row r="725" spans="1:23" ht="15.75">
      <c r="A725" s="2080"/>
      <c r="B725" s="705"/>
      <c r="C725" s="90"/>
      <c r="D725" s="2081"/>
      <c r="E725" s="2082"/>
      <c r="F725" s="1954"/>
      <c r="G725" s="90"/>
      <c r="H725" s="90"/>
      <c r="I725" s="90"/>
      <c r="J725" s="90"/>
      <c r="K725" s="90"/>
      <c r="L725" s="90"/>
      <c r="M725" s="1956"/>
      <c r="N725" s="643"/>
      <c r="O725" s="2083"/>
      <c r="P725" s="643"/>
      <c r="Q725" s="643"/>
      <c r="R725" s="280"/>
      <c r="S725" s="280"/>
      <c r="T725" s="280"/>
      <c r="U725" s="280"/>
      <c r="V725" s="280"/>
      <c r="W725" s="79"/>
    </row>
    <row r="726" spans="1:23" ht="15.75">
      <c r="A726" s="2080"/>
      <c r="B726" s="705"/>
      <c r="C726" s="90"/>
      <c r="D726" s="2081"/>
      <c r="E726" s="2082"/>
      <c r="F726" s="1954"/>
      <c r="G726" s="90"/>
      <c r="H726" s="90"/>
      <c r="I726" s="90"/>
      <c r="J726" s="90"/>
      <c r="K726" s="90"/>
      <c r="L726" s="90"/>
      <c r="M726" s="1956"/>
      <c r="N726" s="643"/>
      <c r="O726" s="2083"/>
      <c r="P726" s="643"/>
      <c r="Q726" s="643"/>
      <c r="R726" s="280"/>
      <c r="S726" s="280"/>
      <c r="T726" s="280"/>
      <c r="U726" s="280"/>
      <c r="V726" s="280"/>
      <c r="W726" s="79"/>
    </row>
    <row r="727" spans="1:23" ht="15.75">
      <c r="A727" s="2080"/>
      <c r="B727" s="705"/>
      <c r="C727" s="90"/>
      <c r="D727" s="2081"/>
      <c r="E727" s="2082"/>
      <c r="F727" s="1954"/>
      <c r="G727" s="90"/>
      <c r="H727" s="90"/>
      <c r="I727" s="90"/>
      <c r="J727" s="90"/>
      <c r="K727" s="90"/>
      <c r="L727" s="90"/>
      <c r="M727" s="1956"/>
      <c r="N727" s="643"/>
      <c r="O727" s="2083"/>
      <c r="P727" s="643"/>
      <c r="Q727" s="643"/>
      <c r="R727" s="280"/>
      <c r="S727" s="280"/>
      <c r="T727" s="280"/>
      <c r="U727" s="280"/>
      <c r="V727" s="280"/>
      <c r="W727" s="79"/>
    </row>
    <row r="728" spans="1:23" ht="15.75">
      <c r="A728" s="2080"/>
      <c r="B728" s="705"/>
      <c r="C728" s="90"/>
      <c r="D728" s="2081"/>
      <c r="E728" s="2082"/>
      <c r="F728" s="1954"/>
      <c r="G728" s="90"/>
      <c r="H728" s="90"/>
      <c r="I728" s="90"/>
      <c r="J728" s="90"/>
      <c r="K728" s="90"/>
      <c r="L728" s="90"/>
      <c r="M728" s="1956"/>
      <c r="N728" s="643"/>
      <c r="O728" s="2083"/>
      <c r="P728" s="643"/>
      <c r="Q728" s="643"/>
      <c r="R728" s="280"/>
      <c r="S728" s="280"/>
      <c r="T728" s="280"/>
      <c r="U728" s="280"/>
      <c r="V728" s="280"/>
      <c r="W728" s="79"/>
    </row>
    <row r="729" spans="1:23" ht="15.75">
      <c r="A729" s="2080"/>
      <c r="B729" s="705"/>
      <c r="C729" s="90"/>
      <c r="D729" s="2081"/>
      <c r="E729" s="2082"/>
      <c r="F729" s="1954"/>
      <c r="G729" s="90"/>
      <c r="H729" s="90"/>
      <c r="I729" s="90"/>
      <c r="J729" s="90"/>
      <c r="K729" s="90"/>
      <c r="L729" s="90"/>
      <c r="M729" s="1956"/>
      <c r="N729" s="643"/>
      <c r="O729" s="2083"/>
      <c r="P729" s="643"/>
      <c r="Q729" s="643"/>
      <c r="R729" s="280"/>
      <c r="S729" s="280"/>
      <c r="T729" s="280"/>
      <c r="U729" s="280"/>
      <c r="V729" s="280"/>
      <c r="W729" s="79"/>
    </row>
    <row r="730" spans="1:23" ht="15.75">
      <c r="A730" s="2080"/>
      <c r="B730" s="705"/>
      <c r="C730" s="90"/>
      <c r="D730" s="2081"/>
      <c r="E730" s="2082"/>
      <c r="F730" s="1954"/>
      <c r="G730" s="90"/>
      <c r="H730" s="90"/>
      <c r="I730" s="90"/>
      <c r="J730" s="90"/>
      <c r="K730" s="90"/>
      <c r="L730" s="90"/>
      <c r="M730" s="1956"/>
      <c r="N730" s="643"/>
      <c r="O730" s="2083"/>
      <c r="P730" s="643"/>
      <c r="Q730" s="643"/>
      <c r="R730" s="280"/>
      <c r="S730" s="280"/>
      <c r="T730" s="280"/>
      <c r="U730" s="280"/>
      <c r="V730" s="280"/>
      <c r="W730" s="79"/>
    </row>
    <row r="731" spans="1:23" ht="15.75">
      <c r="A731" s="2080"/>
      <c r="B731" s="705"/>
      <c r="C731" s="90"/>
      <c r="D731" s="2081"/>
      <c r="E731" s="2082"/>
      <c r="F731" s="1954"/>
      <c r="G731" s="90"/>
      <c r="H731" s="90"/>
      <c r="I731" s="90"/>
      <c r="J731" s="90"/>
      <c r="K731" s="90"/>
      <c r="L731" s="90"/>
      <c r="M731" s="1956"/>
      <c r="N731" s="643"/>
      <c r="O731" s="2083"/>
      <c r="P731" s="643"/>
      <c r="Q731" s="643"/>
      <c r="R731" s="280"/>
      <c r="S731" s="280"/>
      <c r="T731" s="280"/>
      <c r="U731" s="280"/>
      <c r="V731" s="280"/>
      <c r="W731" s="79"/>
    </row>
    <row r="732" spans="1:23" ht="15.75">
      <c r="A732" s="2080"/>
      <c r="B732" s="705"/>
      <c r="C732" s="90"/>
      <c r="D732" s="2081"/>
      <c r="E732" s="2082"/>
      <c r="F732" s="1954"/>
      <c r="G732" s="90"/>
      <c r="H732" s="90"/>
      <c r="I732" s="90"/>
      <c r="J732" s="90"/>
      <c r="K732" s="90"/>
      <c r="L732" s="90"/>
      <c r="M732" s="1956"/>
      <c r="N732" s="643"/>
      <c r="O732" s="2083"/>
      <c r="P732" s="643"/>
      <c r="Q732" s="643"/>
      <c r="R732" s="280"/>
      <c r="S732" s="280"/>
      <c r="T732" s="280"/>
      <c r="U732" s="280"/>
      <c r="V732" s="280"/>
      <c r="W732" s="79"/>
    </row>
    <row r="733" spans="1:23" ht="15.75">
      <c r="A733" s="2080"/>
      <c r="B733" s="705"/>
      <c r="C733" s="90"/>
      <c r="D733" s="2081"/>
      <c r="E733" s="2082"/>
      <c r="F733" s="1954"/>
      <c r="G733" s="90"/>
      <c r="H733" s="90"/>
      <c r="I733" s="90"/>
      <c r="J733" s="90"/>
      <c r="K733" s="90"/>
      <c r="L733" s="90"/>
      <c r="M733" s="1956"/>
      <c r="N733" s="643"/>
      <c r="O733" s="2083"/>
      <c r="P733" s="643"/>
      <c r="Q733" s="643"/>
      <c r="R733" s="280"/>
      <c r="S733" s="280"/>
      <c r="T733" s="280"/>
      <c r="U733" s="280"/>
      <c r="V733" s="280"/>
      <c r="W733" s="79"/>
    </row>
    <row r="734" spans="1:23" ht="15.75">
      <c r="A734" s="2080"/>
      <c r="B734" s="705"/>
      <c r="C734" s="90"/>
      <c r="D734" s="2081"/>
      <c r="E734" s="2082"/>
      <c r="F734" s="1954"/>
      <c r="G734" s="90"/>
      <c r="H734" s="90"/>
      <c r="I734" s="90"/>
      <c r="J734" s="90"/>
      <c r="K734" s="90"/>
      <c r="L734" s="90"/>
      <c r="M734" s="1956"/>
      <c r="N734" s="643"/>
      <c r="O734" s="2083"/>
      <c r="P734" s="643"/>
      <c r="Q734" s="643"/>
      <c r="R734" s="280"/>
      <c r="S734" s="280"/>
      <c r="T734" s="280"/>
      <c r="U734" s="280"/>
      <c r="V734" s="280"/>
      <c r="W734" s="79"/>
    </row>
    <row r="735" spans="1:23" ht="15.75">
      <c r="A735" s="2080"/>
      <c r="B735" s="705"/>
      <c r="C735" s="90"/>
      <c r="D735" s="2081"/>
      <c r="E735" s="2082"/>
      <c r="F735" s="1954"/>
      <c r="G735" s="90"/>
      <c r="H735" s="90"/>
      <c r="I735" s="90"/>
      <c r="J735" s="90"/>
      <c r="K735" s="90"/>
      <c r="L735" s="90"/>
      <c r="M735" s="1956"/>
      <c r="N735" s="643"/>
      <c r="O735" s="2083"/>
      <c r="P735" s="643"/>
      <c r="Q735" s="643"/>
      <c r="R735" s="280"/>
      <c r="S735" s="280"/>
      <c r="T735" s="280"/>
      <c r="U735" s="280"/>
      <c r="V735" s="280"/>
      <c r="W735" s="79"/>
    </row>
    <row r="736" spans="1:23" ht="15.75">
      <c r="A736" s="2080"/>
      <c r="B736" s="705"/>
      <c r="C736" s="90"/>
      <c r="D736" s="2081"/>
      <c r="E736" s="2082"/>
      <c r="F736" s="1954"/>
      <c r="G736" s="90"/>
      <c r="H736" s="90"/>
      <c r="I736" s="90"/>
      <c r="J736" s="90"/>
      <c r="K736" s="90"/>
      <c r="L736" s="90"/>
      <c r="M736" s="1956"/>
      <c r="N736" s="643"/>
      <c r="O736" s="2083"/>
      <c r="P736" s="643"/>
      <c r="Q736" s="643"/>
      <c r="R736" s="280"/>
      <c r="S736" s="280"/>
      <c r="T736" s="280"/>
      <c r="U736" s="280"/>
      <c r="V736" s="280"/>
      <c r="W736" s="79"/>
    </row>
    <row r="737" spans="1:23" ht="15.75">
      <c r="A737" s="2080"/>
      <c r="B737" s="705"/>
      <c r="C737" s="90"/>
      <c r="D737" s="2081"/>
      <c r="E737" s="2082"/>
      <c r="F737" s="1954"/>
      <c r="G737" s="90"/>
      <c r="H737" s="90"/>
      <c r="I737" s="90"/>
      <c r="J737" s="90"/>
      <c r="K737" s="90"/>
      <c r="L737" s="90"/>
      <c r="M737" s="1956"/>
      <c r="N737" s="643"/>
      <c r="O737" s="2083"/>
      <c r="P737" s="643"/>
      <c r="Q737" s="643"/>
      <c r="R737" s="280"/>
      <c r="S737" s="280"/>
      <c r="T737" s="280"/>
      <c r="U737" s="280"/>
      <c r="V737" s="280"/>
      <c r="W737" s="79"/>
    </row>
    <row r="738" spans="1:23" ht="15.75">
      <c r="A738" s="2080"/>
      <c r="B738" s="705"/>
      <c r="C738" s="90"/>
      <c r="D738" s="2081"/>
      <c r="E738" s="2082"/>
      <c r="F738" s="1954"/>
      <c r="G738" s="90"/>
      <c r="H738" s="90"/>
      <c r="I738" s="90"/>
      <c r="J738" s="90"/>
      <c r="K738" s="90"/>
      <c r="L738" s="90"/>
      <c r="M738" s="1956"/>
      <c r="N738" s="643"/>
      <c r="O738" s="2083"/>
      <c r="P738" s="643"/>
      <c r="Q738" s="643"/>
      <c r="R738" s="280"/>
      <c r="S738" s="280"/>
      <c r="T738" s="280"/>
      <c r="U738" s="280"/>
      <c r="V738" s="280"/>
      <c r="W738" s="79"/>
    </row>
    <row r="739" spans="1:23" ht="15.75">
      <c r="A739" s="2080"/>
      <c r="B739" s="705"/>
      <c r="C739" s="90"/>
      <c r="D739" s="2081"/>
      <c r="E739" s="2082"/>
      <c r="F739" s="1954"/>
      <c r="G739" s="90"/>
      <c r="H739" s="90"/>
      <c r="I739" s="90"/>
      <c r="J739" s="90"/>
      <c r="K739" s="90"/>
      <c r="L739" s="90"/>
      <c r="M739" s="1956"/>
      <c r="N739" s="643"/>
      <c r="O739" s="2083"/>
      <c r="P739" s="643"/>
      <c r="Q739" s="643"/>
      <c r="R739" s="280"/>
      <c r="S739" s="280"/>
      <c r="T739" s="280"/>
      <c r="U739" s="280"/>
      <c r="V739" s="280"/>
      <c r="W739" s="79"/>
    </row>
    <row r="740" spans="1:23" ht="15.75">
      <c r="A740" s="2080"/>
      <c r="B740" s="705"/>
      <c r="C740" s="90"/>
      <c r="D740" s="2081"/>
      <c r="E740" s="2082"/>
      <c r="F740" s="1954"/>
      <c r="G740" s="90"/>
      <c r="H740" s="90"/>
      <c r="I740" s="90"/>
      <c r="J740" s="90"/>
      <c r="K740" s="90"/>
      <c r="L740" s="90"/>
      <c r="M740" s="1956"/>
      <c r="N740" s="643"/>
      <c r="O740" s="2083"/>
      <c r="P740" s="643"/>
      <c r="Q740" s="643"/>
      <c r="R740" s="280"/>
      <c r="S740" s="280"/>
      <c r="T740" s="280"/>
      <c r="U740" s="280"/>
      <c r="V740" s="280"/>
      <c r="W740" s="79"/>
    </row>
    <row r="741" spans="1:23" ht="15.75">
      <c r="A741" s="2080"/>
      <c r="B741" s="705"/>
      <c r="C741" s="90"/>
      <c r="D741" s="2081"/>
      <c r="E741" s="2082"/>
      <c r="F741" s="1954"/>
      <c r="G741" s="90"/>
      <c r="H741" s="90"/>
      <c r="I741" s="90"/>
      <c r="J741" s="90"/>
      <c r="K741" s="90"/>
      <c r="L741" s="90"/>
      <c r="M741" s="1956"/>
      <c r="N741" s="643"/>
      <c r="O741" s="2083"/>
      <c r="P741" s="643"/>
      <c r="Q741" s="643"/>
      <c r="R741" s="280"/>
      <c r="S741" s="280"/>
      <c r="T741" s="280"/>
      <c r="U741" s="280"/>
      <c r="V741" s="280"/>
      <c r="W741" s="79"/>
    </row>
    <row r="742" spans="1:23" ht="15.75">
      <c r="A742" s="2080"/>
      <c r="B742" s="705"/>
      <c r="C742" s="90"/>
      <c r="D742" s="2081"/>
      <c r="E742" s="2082"/>
      <c r="F742" s="1954"/>
      <c r="G742" s="90"/>
      <c r="H742" s="90"/>
      <c r="I742" s="90"/>
      <c r="J742" s="90"/>
      <c r="K742" s="90"/>
      <c r="L742" s="90"/>
      <c r="M742" s="1956"/>
      <c r="N742" s="643"/>
      <c r="O742" s="2083"/>
      <c r="P742" s="643"/>
      <c r="Q742" s="643"/>
      <c r="R742" s="280"/>
      <c r="S742" s="280"/>
      <c r="T742" s="280"/>
      <c r="U742" s="280"/>
      <c r="V742" s="280"/>
      <c r="W742" s="79"/>
    </row>
    <row r="743" spans="1:23" ht="15.75">
      <c r="A743" s="2080"/>
      <c r="B743" s="705"/>
      <c r="C743" s="90"/>
      <c r="D743" s="2081"/>
      <c r="E743" s="2082"/>
      <c r="F743" s="1954"/>
      <c r="G743" s="90"/>
      <c r="H743" s="90"/>
      <c r="I743" s="90"/>
      <c r="J743" s="90"/>
      <c r="K743" s="90"/>
      <c r="L743" s="90"/>
      <c r="M743" s="1956"/>
      <c r="N743" s="643"/>
      <c r="O743" s="2083"/>
      <c r="P743" s="643"/>
      <c r="Q743" s="643"/>
      <c r="R743" s="280"/>
      <c r="S743" s="280"/>
      <c r="T743" s="280"/>
      <c r="U743" s="280"/>
      <c r="V743" s="280"/>
      <c r="W743" s="79"/>
    </row>
    <row r="744" spans="1:23" ht="15.75">
      <c r="A744" s="2080"/>
      <c r="B744" s="705"/>
      <c r="C744" s="90"/>
      <c r="D744" s="2081"/>
      <c r="E744" s="2082"/>
      <c r="F744" s="1954"/>
      <c r="G744" s="90"/>
      <c r="H744" s="90"/>
      <c r="I744" s="90"/>
      <c r="J744" s="90"/>
      <c r="K744" s="90"/>
      <c r="L744" s="90"/>
      <c r="M744" s="1956"/>
      <c r="N744" s="643"/>
      <c r="O744" s="2083"/>
      <c r="P744" s="643"/>
      <c r="Q744" s="643"/>
      <c r="R744" s="280"/>
      <c r="S744" s="280"/>
      <c r="T744" s="280"/>
      <c r="U744" s="280"/>
      <c r="V744" s="280"/>
      <c r="W744" s="79"/>
    </row>
    <row r="745" spans="1:23" ht="15.75">
      <c r="A745" s="2080"/>
      <c r="B745" s="705"/>
      <c r="C745" s="90"/>
      <c r="D745" s="2081"/>
      <c r="E745" s="2082"/>
      <c r="F745" s="1954"/>
      <c r="G745" s="90"/>
      <c r="H745" s="90"/>
      <c r="I745" s="90"/>
      <c r="J745" s="90"/>
      <c r="K745" s="90"/>
      <c r="L745" s="90"/>
      <c r="M745" s="1956"/>
      <c r="N745" s="643"/>
      <c r="O745" s="2083"/>
      <c r="P745" s="643"/>
      <c r="Q745" s="643"/>
      <c r="R745" s="280"/>
      <c r="S745" s="280"/>
      <c r="T745" s="280"/>
      <c r="U745" s="280"/>
      <c r="V745" s="280"/>
      <c r="W745" s="79"/>
    </row>
    <row r="746" spans="1:23" ht="15.75">
      <c r="A746" s="2080"/>
      <c r="B746" s="705"/>
      <c r="C746" s="90"/>
      <c r="D746" s="2081"/>
      <c r="E746" s="2082"/>
      <c r="F746" s="1954"/>
      <c r="G746" s="90"/>
      <c r="H746" s="90"/>
      <c r="I746" s="90"/>
      <c r="J746" s="90"/>
      <c r="K746" s="90"/>
      <c r="L746" s="90"/>
      <c r="M746" s="1956"/>
      <c r="N746" s="643"/>
      <c r="O746" s="2083"/>
      <c r="P746" s="643"/>
      <c r="Q746" s="643"/>
      <c r="R746" s="280"/>
      <c r="S746" s="280"/>
      <c r="T746" s="280"/>
      <c r="U746" s="280"/>
      <c r="V746" s="280"/>
      <c r="W746" s="79"/>
    </row>
    <row r="747" spans="1:23" ht="15.75">
      <c r="A747" s="2080"/>
      <c r="B747" s="705"/>
      <c r="C747" s="90"/>
      <c r="D747" s="2081"/>
      <c r="E747" s="2082"/>
      <c r="F747" s="1954"/>
      <c r="G747" s="90"/>
      <c r="H747" s="90"/>
      <c r="I747" s="90"/>
      <c r="J747" s="90"/>
      <c r="K747" s="90"/>
      <c r="L747" s="90"/>
      <c r="M747" s="1956"/>
      <c r="N747" s="643"/>
      <c r="O747" s="2083"/>
      <c r="P747" s="643"/>
      <c r="Q747" s="643"/>
      <c r="R747" s="280"/>
      <c r="S747" s="280"/>
      <c r="T747" s="280"/>
      <c r="U747" s="280"/>
      <c r="V747" s="280"/>
      <c r="W747" s="79"/>
    </row>
    <row r="748" spans="1:23" ht="15.75">
      <c r="A748" s="2080"/>
      <c r="B748" s="705"/>
      <c r="C748" s="90"/>
      <c r="D748" s="2081"/>
      <c r="E748" s="2082"/>
      <c r="F748" s="1954"/>
      <c r="G748" s="90"/>
      <c r="H748" s="90"/>
      <c r="I748" s="90"/>
      <c r="J748" s="90"/>
      <c r="K748" s="90"/>
      <c r="L748" s="90"/>
      <c r="M748" s="1956"/>
      <c r="N748" s="643"/>
      <c r="O748" s="2083"/>
      <c r="P748" s="643"/>
      <c r="Q748" s="643"/>
      <c r="R748" s="280"/>
      <c r="S748" s="280"/>
      <c r="T748" s="280"/>
      <c r="U748" s="280"/>
      <c r="V748" s="280"/>
      <c r="W748" s="79"/>
    </row>
    <row r="749" spans="1:23" ht="15.75">
      <c r="A749" s="2080"/>
      <c r="B749" s="705"/>
      <c r="C749" s="90"/>
      <c r="D749" s="2081"/>
      <c r="E749" s="2082"/>
      <c r="F749" s="1954"/>
      <c r="G749" s="90"/>
      <c r="H749" s="90"/>
      <c r="I749" s="90"/>
      <c r="J749" s="90"/>
      <c r="K749" s="90"/>
      <c r="L749" s="90"/>
      <c r="M749" s="1956"/>
      <c r="N749" s="643"/>
      <c r="O749" s="2083"/>
      <c r="P749" s="643"/>
      <c r="Q749" s="643"/>
      <c r="R749" s="280"/>
      <c r="S749" s="280"/>
      <c r="T749" s="280"/>
      <c r="U749" s="280"/>
      <c r="V749" s="280"/>
      <c r="W749" s="79"/>
    </row>
    <row r="750" spans="1:23" ht="15.75">
      <c r="A750" s="2080"/>
      <c r="B750" s="705"/>
      <c r="C750" s="90"/>
      <c r="D750" s="2081"/>
      <c r="E750" s="2082"/>
      <c r="F750" s="1954"/>
      <c r="G750" s="90"/>
      <c r="H750" s="90"/>
      <c r="I750" s="90"/>
      <c r="J750" s="90"/>
      <c r="K750" s="90"/>
      <c r="L750" s="90"/>
      <c r="M750" s="1956"/>
      <c r="N750" s="643"/>
      <c r="O750" s="2083"/>
      <c r="P750" s="643"/>
      <c r="Q750" s="643"/>
      <c r="R750" s="280"/>
      <c r="S750" s="280"/>
      <c r="T750" s="280"/>
      <c r="U750" s="280"/>
      <c r="V750" s="280"/>
      <c r="W750" s="79"/>
    </row>
    <row r="751" spans="1:23" ht="15.75">
      <c r="A751" s="2080"/>
      <c r="B751" s="705"/>
      <c r="C751" s="90"/>
      <c r="D751" s="2081"/>
      <c r="E751" s="2082"/>
      <c r="F751" s="1954"/>
      <c r="G751" s="90"/>
      <c r="H751" s="90"/>
      <c r="I751" s="90"/>
      <c r="J751" s="90"/>
      <c r="K751" s="90"/>
      <c r="L751" s="90"/>
      <c r="M751" s="1956"/>
      <c r="N751" s="643"/>
      <c r="O751" s="2083"/>
      <c r="P751" s="643"/>
      <c r="Q751" s="643"/>
      <c r="R751" s="280"/>
      <c r="S751" s="280"/>
      <c r="T751" s="280"/>
      <c r="U751" s="280"/>
      <c r="V751" s="280"/>
      <c r="W751" s="79"/>
    </row>
    <row r="752" spans="1:23" ht="15.75">
      <c r="A752" s="2080"/>
      <c r="B752" s="705"/>
      <c r="C752" s="90"/>
      <c r="D752" s="2081"/>
      <c r="E752" s="2082"/>
      <c r="F752" s="1954"/>
      <c r="G752" s="90"/>
      <c r="H752" s="90"/>
      <c r="I752" s="90"/>
      <c r="J752" s="90"/>
      <c r="K752" s="90"/>
      <c r="L752" s="90"/>
      <c r="M752" s="1956"/>
      <c r="N752" s="643"/>
      <c r="O752" s="2083"/>
      <c r="P752" s="643"/>
      <c r="Q752" s="643"/>
      <c r="R752" s="280"/>
      <c r="S752" s="280"/>
      <c r="T752" s="280"/>
      <c r="U752" s="280"/>
      <c r="V752" s="280"/>
      <c r="W752" s="79"/>
    </row>
    <row r="753" spans="1:23" ht="15.75">
      <c r="A753" s="2080"/>
      <c r="B753" s="705"/>
      <c r="C753" s="90"/>
      <c r="D753" s="2081"/>
      <c r="E753" s="2082"/>
      <c r="F753" s="1954"/>
      <c r="G753" s="90"/>
      <c r="H753" s="90"/>
      <c r="I753" s="90"/>
      <c r="J753" s="90"/>
      <c r="K753" s="90"/>
      <c r="L753" s="90"/>
      <c r="M753" s="1956"/>
      <c r="N753" s="643"/>
      <c r="O753" s="2083"/>
      <c r="P753" s="643"/>
      <c r="Q753" s="643"/>
      <c r="R753" s="280"/>
      <c r="S753" s="280"/>
      <c r="T753" s="280"/>
      <c r="U753" s="280"/>
      <c r="V753" s="280"/>
      <c r="W753" s="79"/>
    </row>
    <row r="754" spans="1:23" ht="15.75">
      <c r="A754" s="2080"/>
      <c r="B754" s="705"/>
      <c r="C754" s="90"/>
      <c r="D754" s="2081"/>
      <c r="E754" s="2082"/>
      <c r="F754" s="1954"/>
      <c r="G754" s="90"/>
      <c r="H754" s="90"/>
      <c r="I754" s="90"/>
      <c r="J754" s="90"/>
      <c r="K754" s="90"/>
      <c r="L754" s="90"/>
      <c r="M754" s="1956"/>
      <c r="N754" s="643"/>
      <c r="O754" s="2083"/>
      <c r="P754" s="643"/>
      <c r="Q754" s="643"/>
      <c r="R754" s="280"/>
      <c r="S754" s="280"/>
      <c r="T754" s="280"/>
      <c r="U754" s="280"/>
      <c r="V754" s="280"/>
      <c r="W754" s="79"/>
    </row>
    <row r="755" spans="1:23" ht="15.75">
      <c r="A755" s="2080"/>
      <c r="B755" s="705"/>
      <c r="C755" s="90"/>
      <c r="D755" s="2081"/>
      <c r="E755" s="2082"/>
      <c r="F755" s="1954"/>
      <c r="G755" s="90"/>
      <c r="H755" s="90"/>
      <c r="I755" s="90"/>
      <c r="J755" s="90"/>
      <c r="K755" s="90"/>
      <c r="L755" s="90"/>
      <c r="M755" s="1956"/>
      <c r="N755" s="643"/>
      <c r="O755" s="2083"/>
      <c r="P755" s="643"/>
      <c r="Q755" s="643"/>
      <c r="R755" s="280"/>
      <c r="S755" s="280"/>
      <c r="T755" s="280"/>
      <c r="U755" s="280"/>
      <c r="V755" s="280"/>
      <c r="W755" s="79"/>
    </row>
    <row r="756" spans="1:23" ht="15.75">
      <c r="A756" s="2080"/>
      <c r="B756" s="705"/>
      <c r="C756" s="90"/>
      <c r="D756" s="2081"/>
      <c r="E756" s="2082"/>
      <c r="F756" s="1954"/>
      <c r="G756" s="90"/>
      <c r="H756" s="90"/>
      <c r="I756" s="90"/>
      <c r="J756" s="90"/>
      <c r="K756" s="90"/>
      <c r="L756" s="90"/>
      <c r="M756" s="1956"/>
      <c r="N756" s="643"/>
      <c r="O756" s="2083"/>
      <c r="P756" s="643"/>
      <c r="Q756" s="643"/>
      <c r="R756" s="280"/>
      <c r="S756" s="280"/>
      <c r="T756" s="280"/>
      <c r="U756" s="280"/>
      <c r="V756" s="280"/>
      <c r="W756" s="79"/>
    </row>
    <row r="757" spans="1:23" ht="15.75">
      <c r="A757" s="2080"/>
      <c r="B757" s="705"/>
      <c r="C757" s="90"/>
      <c r="D757" s="2081"/>
      <c r="E757" s="2082"/>
      <c r="F757" s="1954"/>
      <c r="G757" s="90"/>
      <c r="H757" s="90"/>
      <c r="I757" s="90"/>
      <c r="J757" s="90"/>
      <c r="K757" s="90"/>
      <c r="L757" s="90"/>
      <c r="M757" s="1956"/>
      <c r="N757" s="643"/>
      <c r="O757" s="2083"/>
      <c r="P757" s="643"/>
      <c r="Q757" s="643"/>
      <c r="R757" s="280"/>
      <c r="S757" s="280"/>
      <c r="T757" s="280"/>
      <c r="U757" s="280"/>
      <c r="V757" s="280"/>
      <c r="W757" s="79"/>
    </row>
    <row r="758" spans="1:23" ht="15.75">
      <c r="A758" s="2080"/>
      <c r="B758" s="705"/>
      <c r="C758" s="90"/>
      <c r="D758" s="2081"/>
      <c r="E758" s="2082"/>
      <c r="F758" s="1954"/>
      <c r="G758" s="90"/>
      <c r="H758" s="90"/>
      <c r="I758" s="90"/>
      <c r="J758" s="90"/>
      <c r="K758" s="90"/>
      <c r="L758" s="90"/>
      <c r="M758" s="1956"/>
      <c r="N758" s="643"/>
      <c r="O758" s="2083"/>
      <c r="P758" s="643"/>
      <c r="Q758" s="643"/>
      <c r="R758" s="280"/>
      <c r="S758" s="280"/>
      <c r="T758" s="280"/>
      <c r="U758" s="280"/>
      <c r="V758" s="280"/>
      <c r="W758" s="79"/>
    </row>
    <row r="759" spans="1:23" ht="15.75">
      <c r="A759" s="2080"/>
      <c r="B759" s="705"/>
      <c r="C759" s="90"/>
      <c r="D759" s="2081"/>
      <c r="E759" s="2082"/>
      <c r="F759" s="1954"/>
      <c r="G759" s="90"/>
      <c r="H759" s="90"/>
      <c r="I759" s="90"/>
      <c r="J759" s="90"/>
      <c r="K759" s="90"/>
      <c r="L759" s="90"/>
      <c r="M759" s="1956"/>
      <c r="N759" s="643"/>
      <c r="O759" s="2083"/>
      <c r="P759" s="643"/>
      <c r="Q759" s="643"/>
      <c r="R759" s="280"/>
      <c r="S759" s="280"/>
      <c r="T759" s="280"/>
      <c r="U759" s="280"/>
      <c r="V759" s="280"/>
      <c r="W759" s="79"/>
    </row>
    <row r="760" spans="1:23" ht="15.75">
      <c r="A760" s="2080"/>
      <c r="B760" s="705"/>
      <c r="C760" s="90"/>
      <c r="D760" s="2081"/>
      <c r="E760" s="2082"/>
      <c r="F760" s="1954"/>
      <c r="G760" s="90"/>
      <c r="H760" s="90"/>
      <c r="I760" s="90"/>
      <c r="J760" s="90"/>
      <c r="K760" s="90"/>
      <c r="L760" s="90"/>
      <c r="M760" s="1956"/>
      <c r="N760" s="643"/>
      <c r="O760" s="2083"/>
      <c r="P760" s="643"/>
      <c r="Q760" s="643"/>
      <c r="R760" s="280"/>
      <c r="S760" s="280"/>
      <c r="T760" s="280"/>
      <c r="U760" s="280"/>
      <c r="V760" s="280"/>
      <c r="W760" s="79"/>
    </row>
    <row r="761" spans="1:23" ht="15.75">
      <c r="A761" s="2080"/>
      <c r="B761" s="705"/>
      <c r="C761" s="90"/>
      <c r="D761" s="2081"/>
      <c r="E761" s="2082"/>
      <c r="F761" s="1954"/>
      <c r="G761" s="90"/>
      <c r="H761" s="90"/>
      <c r="I761" s="90"/>
      <c r="J761" s="90"/>
      <c r="K761" s="90"/>
      <c r="L761" s="90"/>
      <c r="M761" s="1956"/>
      <c r="N761" s="643"/>
      <c r="O761" s="2083"/>
      <c r="P761" s="643"/>
      <c r="Q761" s="643"/>
      <c r="R761" s="280"/>
      <c r="S761" s="280"/>
      <c r="T761" s="280"/>
      <c r="U761" s="280"/>
      <c r="V761" s="280"/>
      <c r="W761" s="79"/>
    </row>
    <row r="762" spans="1:23" ht="15.75">
      <c r="A762" s="2080"/>
      <c r="B762" s="705"/>
      <c r="C762" s="90"/>
      <c r="D762" s="2081"/>
      <c r="E762" s="2082"/>
      <c r="F762" s="1954"/>
      <c r="G762" s="90"/>
      <c r="H762" s="90"/>
      <c r="I762" s="90"/>
      <c r="J762" s="90"/>
      <c r="K762" s="90"/>
      <c r="L762" s="90"/>
      <c r="M762" s="1956"/>
      <c r="N762" s="643"/>
      <c r="O762" s="2083"/>
      <c r="P762" s="643"/>
      <c r="Q762" s="643"/>
      <c r="R762" s="280"/>
      <c r="S762" s="280"/>
      <c r="T762" s="280"/>
      <c r="U762" s="280"/>
      <c r="V762" s="280"/>
      <c r="W762" s="79"/>
    </row>
    <row r="763" spans="1:23" ht="15.75">
      <c r="A763" s="2080"/>
      <c r="B763" s="705"/>
      <c r="C763" s="90"/>
      <c r="D763" s="2081"/>
      <c r="E763" s="2082"/>
      <c r="F763" s="1954"/>
      <c r="G763" s="90"/>
      <c r="H763" s="90"/>
      <c r="I763" s="90"/>
      <c r="J763" s="90"/>
      <c r="K763" s="90"/>
      <c r="L763" s="90"/>
      <c r="M763" s="1956"/>
      <c r="N763" s="643"/>
      <c r="O763" s="2083"/>
      <c r="P763" s="643"/>
      <c r="Q763" s="643"/>
      <c r="R763" s="280"/>
      <c r="S763" s="280"/>
      <c r="T763" s="280"/>
      <c r="U763" s="280"/>
      <c r="V763" s="280"/>
      <c r="W763" s="79"/>
    </row>
    <row r="764" spans="1:23" ht="15.75">
      <c r="A764" s="2080"/>
      <c r="B764" s="705"/>
      <c r="C764" s="90"/>
      <c r="D764" s="2081"/>
      <c r="E764" s="2082"/>
      <c r="F764" s="1954"/>
      <c r="G764" s="90"/>
      <c r="H764" s="90"/>
      <c r="I764" s="90"/>
      <c r="J764" s="90"/>
      <c r="K764" s="90"/>
      <c r="L764" s="90"/>
      <c r="M764" s="1956"/>
      <c r="N764" s="643"/>
      <c r="O764" s="2083"/>
      <c r="P764" s="643"/>
      <c r="Q764" s="643"/>
      <c r="R764" s="280"/>
      <c r="S764" s="280"/>
      <c r="T764" s="280"/>
      <c r="U764" s="280"/>
      <c r="V764" s="280"/>
      <c r="W764" s="79"/>
    </row>
    <row r="765" spans="1:23" ht="15.75">
      <c r="A765" s="2080"/>
      <c r="B765" s="705"/>
      <c r="C765" s="90"/>
      <c r="D765" s="2081"/>
      <c r="E765" s="2082"/>
      <c r="F765" s="1954"/>
      <c r="G765" s="90"/>
      <c r="H765" s="90"/>
      <c r="I765" s="90"/>
      <c r="J765" s="90"/>
      <c r="K765" s="90"/>
      <c r="L765" s="90"/>
      <c r="M765" s="1956"/>
      <c r="N765" s="643"/>
      <c r="O765" s="2083"/>
      <c r="P765" s="643"/>
      <c r="Q765" s="643"/>
      <c r="R765" s="280"/>
      <c r="S765" s="280"/>
      <c r="T765" s="280"/>
      <c r="U765" s="280"/>
      <c r="V765" s="280"/>
      <c r="W765" s="79"/>
    </row>
    <row r="766" spans="1:23" ht="15.75">
      <c r="A766" s="2080"/>
      <c r="B766" s="705"/>
      <c r="C766" s="90"/>
      <c r="D766" s="2081"/>
      <c r="E766" s="2082"/>
      <c r="F766" s="1954"/>
      <c r="G766" s="90"/>
      <c r="H766" s="90"/>
      <c r="I766" s="90"/>
      <c r="J766" s="90"/>
      <c r="K766" s="90"/>
      <c r="L766" s="90"/>
      <c r="M766" s="1956"/>
      <c r="N766" s="643"/>
      <c r="O766" s="2083"/>
      <c r="P766" s="643"/>
      <c r="Q766" s="643"/>
      <c r="R766" s="280"/>
      <c r="S766" s="280"/>
      <c r="T766" s="280"/>
      <c r="U766" s="280"/>
      <c r="V766" s="280"/>
      <c r="W766" s="79"/>
    </row>
    <row r="767" spans="1:23" ht="15.75">
      <c r="A767" s="2080"/>
      <c r="B767" s="705"/>
      <c r="C767" s="90"/>
      <c r="D767" s="2081"/>
      <c r="E767" s="2082"/>
      <c r="F767" s="1954"/>
      <c r="G767" s="90"/>
      <c r="H767" s="90"/>
      <c r="I767" s="90"/>
      <c r="J767" s="90"/>
      <c r="K767" s="90"/>
      <c r="L767" s="90"/>
      <c r="M767" s="1956"/>
      <c r="N767" s="643"/>
      <c r="O767" s="2083"/>
      <c r="P767" s="643"/>
      <c r="Q767" s="643"/>
      <c r="R767" s="280"/>
      <c r="S767" s="280"/>
      <c r="T767" s="280"/>
      <c r="U767" s="280"/>
      <c r="V767" s="280"/>
      <c r="W767" s="79"/>
    </row>
    <row r="768" spans="1:23" ht="15.75">
      <c r="A768" s="2080"/>
      <c r="B768" s="705"/>
      <c r="C768" s="90"/>
      <c r="D768" s="2081"/>
      <c r="E768" s="2082"/>
      <c r="F768" s="1954"/>
      <c r="G768" s="90"/>
      <c r="H768" s="90"/>
      <c r="I768" s="90"/>
      <c r="J768" s="90"/>
      <c r="K768" s="90"/>
      <c r="L768" s="90"/>
      <c r="M768" s="1956"/>
      <c r="N768" s="643"/>
      <c r="O768" s="2083"/>
      <c r="P768" s="643"/>
      <c r="Q768" s="643"/>
      <c r="R768" s="280"/>
      <c r="S768" s="280"/>
      <c r="T768" s="280"/>
      <c r="U768" s="280"/>
      <c r="V768" s="280"/>
      <c r="W768" s="79"/>
    </row>
    <row r="769" spans="1:23" ht="15.75">
      <c r="A769" s="2080"/>
      <c r="B769" s="705"/>
      <c r="C769" s="90"/>
      <c r="D769" s="2081"/>
      <c r="E769" s="2082"/>
      <c r="F769" s="1954"/>
      <c r="G769" s="90"/>
      <c r="H769" s="90"/>
      <c r="I769" s="90"/>
      <c r="J769" s="90"/>
      <c r="K769" s="90"/>
      <c r="L769" s="90"/>
      <c r="M769" s="1956"/>
      <c r="N769" s="643"/>
      <c r="O769" s="2083"/>
      <c r="P769" s="643"/>
      <c r="Q769" s="643"/>
      <c r="R769" s="280"/>
      <c r="S769" s="280"/>
      <c r="T769" s="280"/>
      <c r="U769" s="280"/>
      <c r="V769" s="280"/>
      <c r="W769" s="79"/>
    </row>
    <row r="770" spans="1:23" ht="15.75">
      <c r="A770" s="2080"/>
      <c r="B770" s="705"/>
      <c r="C770" s="90"/>
      <c r="D770" s="2081"/>
      <c r="E770" s="2082"/>
      <c r="F770" s="1954"/>
      <c r="G770" s="90"/>
      <c r="H770" s="90"/>
      <c r="I770" s="90"/>
      <c r="J770" s="90"/>
      <c r="K770" s="90"/>
      <c r="L770" s="90"/>
      <c r="M770" s="1956"/>
      <c r="N770" s="643"/>
      <c r="O770" s="2083"/>
      <c r="P770" s="643"/>
      <c r="Q770" s="643"/>
      <c r="R770" s="280"/>
      <c r="S770" s="280"/>
      <c r="T770" s="280"/>
      <c r="U770" s="280"/>
      <c r="V770" s="280"/>
      <c r="W770" s="79"/>
    </row>
    <row r="771" spans="1:23" ht="15.75">
      <c r="A771" s="2080"/>
      <c r="B771" s="705"/>
      <c r="C771" s="90"/>
      <c r="D771" s="2081"/>
      <c r="E771" s="2082"/>
      <c r="F771" s="1954"/>
      <c r="G771" s="90"/>
      <c r="H771" s="90"/>
      <c r="I771" s="90"/>
      <c r="J771" s="90"/>
      <c r="K771" s="90"/>
      <c r="L771" s="90"/>
      <c r="M771" s="1956"/>
      <c r="N771" s="643"/>
      <c r="O771" s="2083"/>
      <c r="P771" s="643"/>
      <c r="Q771" s="643"/>
      <c r="R771" s="280"/>
      <c r="S771" s="280"/>
      <c r="T771" s="280"/>
      <c r="U771" s="280"/>
      <c r="V771" s="280"/>
      <c r="W771" s="79"/>
    </row>
    <row r="772" spans="1:23" ht="15.75">
      <c r="A772" s="2080"/>
      <c r="B772" s="705"/>
      <c r="C772" s="90"/>
      <c r="D772" s="2081"/>
      <c r="E772" s="2082"/>
      <c r="F772" s="1954"/>
      <c r="G772" s="90"/>
      <c r="H772" s="90"/>
      <c r="I772" s="90"/>
      <c r="J772" s="90"/>
      <c r="K772" s="90"/>
      <c r="L772" s="90"/>
      <c r="M772" s="1956"/>
      <c r="N772" s="643"/>
      <c r="O772" s="2083"/>
      <c r="P772" s="643"/>
      <c r="Q772" s="643"/>
      <c r="R772" s="280"/>
      <c r="S772" s="280"/>
      <c r="T772" s="280"/>
      <c r="U772" s="280"/>
      <c r="V772" s="280"/>
      <c r="W772" s="79"/>
    </row>
    <row r="773" spans="1:23" ht="15.75">
      <c r="A773" s="2080"/>
      <c r="B773" s="705"/>
      <c r="C773" s="90"/>
      <c r="D773" s="2081"/>
      <c r="E773" s="2082"/>
      <c r="F773" s="1954"/>
      <c r="G773" s="90"/>
      <c r="H773" s="90"/>
      <c r="I773" s="90"/>
      <c r="J773" s="90"/>
      <c r="K773" s="90"/>
      <c r="L773" s="90"/>
      <c r="M773" s="1956"/>
      <c r="N773" s="643"/>
      <c r="O773" s="2083"/>
      <c r="P773" s="643"/>
      <c r="Q773" s="643"/>
      <c r="R773" s="280"/>
      <c r="S773" s="280"/>
      <c r="T773" s="280"/>
      <c r="U773" s="280"/>
      <c r="V773" s="280"/>
      <c r="W773" s="79"/>
    </row>
    <row r="774" spans="1:23" ht="15.75">
      <c r="A774" s="2080"/>
      <c r="B774" s="705"/>
      <c r="C774" s="90"/>
      <c r="D774" s="2081"/>
      <c r="E774" s="2082"/>
      <c r="F774" s="1954"/>
      <c r="G774" s="90"/>
      <c r="H774" s="90"/>
      <c r="I774" s="90"/>
      <c r="J774" s="90"/>
      <c r="K774" s="90"/>
      <c r="L774" s="90"/>
      <c r="M774" s="1956"/>
      <c r="N774" s="643"/>
      <c r="O774" s="2083"/>
      <c r="P774" s="643"/>
      <c r="Q774" s="643"/>
      <c r="R774" s="280"/>
      <c r="S774" s="280"/>
      <c r="T774" s="280"/>
      <c r="U774" s="280"/>
      <c r="V774" s="280"/>
      <c r="W774" s="79"/>
    </row>
    <row r="775" spans="1:23" ht="15.75">
      <c r="A775" s="2080"/>
      <c r="B775" s="705"/>
      <c r="C775" s="90"/>
      <c r="D775" s="2081"/>
      <c r="E775" s="2082"/>
      <c r="F775" s="1954"/>
      <c r="G775" s="90"/>
      <c r="H775" s="90"/>
      <c r="I775" s="90"/>
      <c r="J775" s="90"/>
      <c r="K775" s="90"/>
      <c r="L775" s="90"/>
      <c r="M775" s="1956"/>
      <c r="N775" s="643"/>
      <c r="O775" s="2083"/>
      <c r="P775" s="643"/>
      <c r="Q775" s="643"/>
      <c r="R775" s="280"/>
      <c r="S775" s="280"/>
      <c r="T775" s="280"/>
      <c r="U775" s="280"/>
      <c r="V775" s="280"/>
      <c r="W775" s="79"/>
    </row>
    <row r="776" spans="1:23" ht="15.75">
      <c r="A776" s="2080"/>
      <c r="B776" s="705"/>
      <c r="C776" s="90"/>
      <c r="D776" s="2081"/>
      <c r="E776" s="2082"/>
      <c r="F776" s="1954"/>
      <c r="G776" s="90"/>
      <c r="H776" s="90"/>
      <c r="I776" s="90"/>
      <c r="J776" s="90"/>
      <c r="K776" s="90"/>
      <c r="L776" s="90"/>
      <c r="M776" s="1956"/>
      <c r="N776" s="643"/>
      <c r="O776" s="2083"/>
      <c r="P776" s="643"/>
      <c r="Q776" s="643"/>
      <c r="R776" s="280"/>
      <c r="S776" s="280"/>
      <c r="T776" s="280"/>
      <c r="U776" s="280"/>
      <c r="V776" s="280"/>
      <c r="W776" s="79"/>
    </row>
    <row r="777" spans="1:23" ht="15.75">
      <c r="A777" s="2080"/>
      <c r="B777" s="705"/>
      <c r="C777" s="90"/>
      <c r="D777" s="2081"/>
      <c r="E777" s="2082"/>
      <c r="F777" s="1954"/>
      <c r="G777" s="90"/>
      <c r="H777" s="90"/>
      <c r="I777" s="90"/>
      <c r="J777" s="90"/>
      <c r="K777" s="90"/>
      <c r="L777" s="90"/>
      <c r="M777" s="1956"/>
      <c r="N777" s="643"/>
      <c r="O777" s="2083"/>
      <c r="P777" s="643"/>
      <c r="Q777" s="643"/>
      <c r="R777" s="280"/>
      <c r="S777" s="280"/>
      <c r="T777" s="280"/>
      <c r="U777" s="280"/>
      <c r="V777" s="280"/>
      <c r="W777" s="79"/>
    </row>
    <row r="778" spans="1:23" ht="15.75">
      <c r="A778" s="2080"/>
      <c r="B778" s="705"/>
      <c r="C778" s="90"/>
      <c r="D778" s="2081"/>
      <c r="E778" s="2082"/>
      <c r="F778" s="1954"/>
      <c r="G778" s="90"/>
      <c r="H778" s="90"/>
      <c r="I778" s="90"/>
      <c r="J778" s="90"/>
      <c r="K778" s="90"/>
      <c r="L778" s="90"/>
      <c r="M778" s="1956"/>
      <c r="N778" s="643"/>
      <c r="O778" s="2083"/>
      <c r="P778" s="643"/>
      <c r="Q778" s="643"/>
      <c r="R778" s="280"/>
      <c r="S778" s="280"/>
      <c r="T778" s="280"/>
      <c r="U778" s="280"/>
      <c r="V778" s="280"/>
      <c r="W778" s="79"/>
    </row>
    <row r="779" spans="1:23" ht="15.75">
      <c r="A779" s="2080"/>
      <c r="B779" s="705"/>
      <c r="C779" s="90"/>
      <c r="D779" s="2081"/>
      <c r="E779" s="2082"/>
      <c r="F779" s="1954"/>
      <c r="G779" s="90"/>
      <c r="H779" s="90"/>
      <c r="I779" s="90"/>
      <c r="J779" s="90"/>
      <c r="K779" s="90"/>
      <c r="L779" s="90"/>
      <c r="M779" s="1956"/>
      <c r="N779" s="643"/>
      <c r="O779" s="2083"/>
      <c r="P779" s="643"/>
      <c r="Q779" s="643"/>
      <c r="R779" s="280"/>
      <c r="S779" s="280"/>
      <c r="T779" s="280"/>
      <c r="U779" s="280"/>
      <c r="V779" s="280"/>
      <c r="W779" s="79"/>
    </row>
    <row r="780" spans="1:23" ht="15.75">
      <c r="A780" s="2080"/>
      <c r="B780" s="705"/>
      <c r="C780" s="90"/>
      <c r="D780" s="2081"/>
      <c r="E780" s="2082"/>
      <c r="F780" s="1954"/>
      <c r="G780" s="90"/>
      <c r="H780" s="90"/>
      <c r="I780" s="90"/>
      <c r="J780" s="90"/>
      <c r="K780" s="90"/>
      <c r="L780" s="90"/>
      <c r="M780" s="1956"/>
      <c r="N780" s="643"/>
      <c r="O780" s="2083"/>
      <c r="P780" s="643"/>
      <c r="Q780" s="643"/>
      <c r="R780" s="280"/>
      <c r="S780" s="280"/>
      <c r="T780" s="280"/>
      <c r="U780" s="280"/>
      <c r="V780" s="280"/>
      <c r="W780" s="79"/>
    </row>
    <row r="781" spans="1:23" ht="15.75">
      <c r="A781" s="2080"/>
      <c r="B781" s="705"/>
      <c r="C781" s="90"/>
      <c r="D781" s="2081"/>
      <c r="E781" s="2082"/>
      <c r="F781" s="1954"/>
      <c r="G781" s="90"/>
      <c r="H781" s="90"/>
      <c r="I781" s="90"/>
      <c r="J781" s="90"/>
      <c r="K781" s="90"/>
      <c r="L781" s="90"/>
      <c r="M781" s="1956"/>
      <c r="N781" s="643"/>
      <c r="O781" s="2083"/>
      <c r="P781" s="643"/>
      <c r="Q781" s="643"/>
      <c r="R781" s="280"/>
      <c r="S781" s="280"/>
      <c r="T781" s="280"/>
      <c r="U781" s="280"/>
      <c r="V781" s="280"/>
      <c r="W781" s="79"/>
    </row>
    <row r="782" spans="1:23" ht="15.75">
      <c r="A782" s="2080"/>
      <c r="B782" s="705"/>
      <c r="C782" s="90"/>
      <c r="D782" s="2081"/>
      <c r="E782" s="2082"/>
      <c r="F782" s="1954"/>
      <c r="G782" s="90"/>
      <c r="H782" s="90"/>
      <c r="I782" s="90"/>
      <c r="J782" s="90"/>
      <c r="K782" s="90"/>
      <c r="L782" s="90"/>
      <c r="M782" s="1956"/>
      <c r="N782" s="643"/>
      <c r="O782" s="2083"/>
      <c r="P782" s="643"/>
      <c r="Q782" s="643"/>
      <c r="R782" s="280"/>
      <c r="S782" s="280"/>
      <c r="T782" s="280"/>
      <c r="U782" s="280"/>
      <c r="V782" s="280"/>
      <c r="W782" s="79"/>
    </row>
    <row r="783" spans="1:23" ht="15.75">
      <c r="A783" s="2080"/>
      <c r="B783" s="705"/>
      <c r="C783" s="90"/>
      <c r="D783" s="2081"/>
      <c r="E783" s="2082"/>
      <c r="F783" s="1954"/>
      <c r="G783" s="90"/>
      <c r="H783" s="90"/>
      <c r="I783" s="90"/>
      <c r="J783" s="90"/>
      <c r="K783" s="90"/>
      <c r="L783" s="90"/>
      <c r="M783" s="1956"/>
      <c r="N783" s="643"/>
      <c r="O783" s="2083"/>
      <c r="P783" s="643"/>
      <c r="Q783" s="643"/>
      <c r="R783" s="280"/>
      <c r="S783" s="280"/>
      <c r="T783" s="280"/>
      <c r="U783" s="280"/>
      <c r="V783" s="280"/>
      <c r="W783" s="79"/>
    </row>
    <row r="784" spans="1:23" ht="15.75">
      <c r="A784" s="2080"/>
      <c r="B784" s="705"/>
      <c r="C784" s="90"/>
      <c r="D784" s="2081"/>
      <c r="E784" s="2082"/>
      <c r="F784" s="1954"/>
      <c r="G784" s="90"/>
      <c r="H784" s="90"/>
      <c r="I784" s="90"/>
      <c r="J784" s="90"/>
      <c r="K784" s="90"/>
      <c r="L784" s="90"/>
      <c r="M784" s="1956"/>
      <c r="N784" s="643"/>
      <c r="O784" s="2083"/>
      <c r="P784" s="643"/>
      <c r="Q784" s="643"/>
      <c r="R784" s="280"/>
      <c r="S784" s="280"/>
      <c r="T784" s="280"/>
      <c r="U784" s="280"/>
      <c r="V784" s="280"/>
      <c r="W784" s="79"/>
    </row>
    <row r="785" spans="1:23" ht="15.75">
      <c r="A785" s="2080"/>
      <c r="B785" s="705"/>
      <c r="C785" s="90"/>
      <c r="D785" s="2081"/>
      <c r="E785" s="2082"/>
      <c r="F785" s="1954"/>
      <c r="G785" s="90"/>
      <c r="H785" s="90"/>
      <c r="I785" s="90"/>
      <c r="J785" s="90"/>
      <c r="K785" s="90"/>
      <c r="L785" s="90"/>
      <c r="M785" s="1956"/>
      <c r="N785" s="643"/>
      <c r="O785" s="2083"/>
      <c r="P785" s="643"/>
      <c r="Q785" s="643"/>
      <c r="R785" s="280"/>
      <c r="S785" s="280"/>
      <c r="T785" s="280"/>
      <c r="U785" s="280"/>
      <c r="V785" s="280"/>
      <c r="W785" s="79"/>
    </row>
    <row r="786" spans="1:23" ht="15.75">
      <c r="A786" s="2080"/>
      <c r="B786" s="705"/>
      <c r="C786" s="90"/>
      <c r="D786" s="2081"/>
      <c r="E786" s="2082"/>
      <c r="F786" s="1954"/>
      <c r="G786" s="90"/>
      <c r="H786" s="90"/>
      <c r="I786" s="90"/>
      <c r="J786" s="90"/>
      <c r="K786" s="90"/>
      <c r="L786" s="90"/>
      <c r="M786" s="1956"/>
      <c r="N786" s="643"/>
      <c r="O786" s="2083"/>
      <c r="P786" s="643"/>
      <c r="Q786" s="643"/>
      <c r="R786" s="280"/>
      <c r="S786" s="280"/>
      <c r="T786" s="280"/>
      <c r="U786" s="280"/>
      <c r="V786" s="280"/>
      <c r="W786" s="79"/>
    </row>
    <row r="787" spans="1:23" ht="15.75">
      <c r="A787" s="2080"/>
      <c r="B787" s="705"/>
      <c r="C787" s="90"/>
      <c r="D787" s="2081"/>
      <c r="E787" s="2082"/>
      <c r="F787" s="1954"/>
      <c r="G787" s="90"/>
      <c r="H787" s="90"/>
      <c r="I787" s="90"/>
      <c r="J787" s="90"/>
      <c r="K787" s="90"/>
      <c r="L787" s="90"/>
      <c r="M787" s="1956"/>
      <c r="N787" s="643"/>
      <c r="O787" s="2083"/>
      <c r="P787" s="643"/>
      <c r="Q787" s="643"/>
      <c r="R787" s="280"/>
      <c r="S787" s="280"/>
      <c r="T787" s="280"/>
      <c r="U787" s="280"/>
      <c r="V787" s="280"/>
      <c r="W787" s="79"/>
    </row>
    <row r="788" spans="1:23" ht="15.75">
      <c r="A788" s="2080"/>
      <c r="B788" s="705"/>
      <c r="C788" s="90"/>
      <c r="D788" s="2081"/>
      <c r="E788" s="2082"/>
      <c r="F788" s="1954"/>
      <c r="G788" s="90"/>
      <c r="H788" s="90"/>
      <c r="I788" s="90"/>
      <c r="J788" s="90"/>
      <c r="K788" s="90"/>
      <c r="L788" s="90"/>
      <c r="M788" s="1956"/>
      <c r="N788" s="643"/>
      <c r="O788" s="2083"/>
      <c r="P788" s="643"/>
      <c r="Q788" s="643"/>
      <c r="R788" s="280"/>
      <c r="S788" s="280"/>
      <c r="T788" s="280"/>
      <c r="U788" s="280"/>
      <c r="V788" s="280"/>
      <c r="W788" s="79"/>
    </row>
    <row r="789" spans="1:23" ht="15.75">
      <c r="A789" s="2080"/>
      <c r="B789" s="705"/>
      <c r="C789" s="90"/>
      <c r="D789" s="2081"/>
      <c r="E789" s="2082"/>
      <c r="F789" s="1954"/>
      <c r="G789" s="90"/>
      <c r="H789" s="90"/>
      <c r="I789" s="90"/>
      <c r="J789" s="90"/>
      <c r="K789" s="90"/>
      <c r="L789" s="90"/>
      <c r="M789" s="1956"/>
      <c r="N789" s="643"/>
      <c r="O789" s="2083"/>
      <c r="P789" s="643"/>
      <c r="Q789" s="643"/>
      <c r="R789" s="280"/>
      <c r="S789" s="280"/>
      <c r="T789" s="280"/>
      <c r="U789" s="280"/>
      <c r="V789" s="280"/>
      <c r="W789" s="79"/>
    </row>
    <row r="790" spans="1:23" ht="15.75">
      <c r="A790" s="2080"/>
      <c r="B790" s="705"/>
      <c r="C790" s="90"/>
      <c r="D790" s="2081"/>
      <c r="E790" s="2082"/>
      <c r="F790" s="1954"/>
      <c r="G790" s="90"/>
      <c r="H790" s="90"/>
      <c r="I790" s="90"/>
      <c r="J790" s="90"/>
      <c r="K790" s="90"/>
      <c r="L790" s="90"/>
      <c r="M790" s="1956"/>
      <c r="N790" s="643"/>
      <c r="O790" s="2083"/>
      <c r="P790" s="643"/>
      <c r="Q790" s="643"/>
      <c r="R790" s="280"/>
      <c r="S790" s="280"/>
      <c r="T790" s="280"/>
      <c r="U790" s="280"/>
      <c r="V790" s="280"/>
      <c r="W790" s="79"/>
    </row>
    <row r="791" spans="1:23" ht="15.75">
      <c r="A791" s="2080"/>
      <c r="B791" s="705"/>
      <c r="C791" s="90"/>
      <c r="D791" s="2081"/>
      <c r="E791" s="2082"/>
      <c r="F791" s="1954"/>
      <c r="G791" s="90"/>
      <c r="H791" s="90"/>
      <c r="I791" s="90"/>
      <c r="J791" s="90"/>
      <c r="K791" s="90"/>
      <c r="L791" s="90"/>
      <c r="M791" s="1956"/>
      <c r="N791" s="643"/>
      <c r="O791" s="2083"/>
      <c r="P791" s="643"/>
      <c r="Q791" s="643"/>
      <c r="R791" s="280"/>
      <c r="S791" s="280"/>
      <c r="T791" s="280"/>
      <c r="U791" s="280"/>
      <c r="V791" s="280"/>
      <c r="W791" s="79"/>
    </row>
    <row r="792" spans="1:23" ht="15.75">
      <c r="A792" s="2080"/>
      <c r="B792" s="705"/>
      <c r="C792" s="90"/>
      <c r="D792" s="2081"/>
      <c r="E792" s="2082"/>
      <c r="F792" s="1954"/>
      <c r="G792" s="90"/>
      <c r="H792" s="90"/>
      <c r="I792" s="90"/>
      <c r="J792" s="90"/>
      <c r="K792" s="90"/>
      <c r="L792" s="90"/>
      <c r="M792" s="1956"/>
      <c r="N792" s="643"/>
      <c r="O792" s="2083"/>
      <c r="P792" s="643"/>
      <c r="Q792" s="643"/>
      <c r="R792" s="280"/>
      <c r="S792" s="280"/>
      <c r="T792" s="280"/>
      <c r="U792" s="280"/>
      <c r="V792" s="280"/>
      <c r="W792" s="79"/>
    </row>
    <row r="793" spans="1:23" ht="15.75">
      <c r="A793" s="2080"/>
      <c r="B793" s="705"/>
      <c r="C793" s="90"/>
      <c r="D793" s="2081"/>
      <c r="E793" s="2082"/>
      <c r="F793" s="1954"/>
      <c r="G793" s="90"/>
      <c r="H793" s="90"/>
      <c r="I793" s="90"/>
      <c r="J793" s="90"/>
      <c r="K793" s="90"/>
      <c r="L793" s="90"/>
      <c r="M793" s="1956"/>
      <c r="N793" s="643"/>
      <c r="O793" s="2083"/>
      <c r="P793" s="643"/>
      <c r="Q793" s="643"/>
      <c r="R793" s="280"/>
      <c r="S793" s="280"/>
      <c r="T793" s="280"/>
      <c r="U793" s="280"/>
      <c r="V793" s="280"/>
      <c r="W793" s="79"/>
    </row>
    <row r="794" spans="1:23" ht="15.75">
      <c r="A794" s="2080"/>
      <c r="B794" s="705"/>
      <c r="C794" s="90"/>
      <c r="D794" s="2081"/>
      <c r="E794" s="2082"/>
      <c r="F794" s="1954"/>
      <c r="G794" s="90"/>
      <c r="H794" s="90"/>
      <c r="I794" s="90"/>
      <c r="J794" s="90"/>
      <c r="K794" s="90"/>
      <c r="L794" s="90"/>
      <c r="M794" s="1956"/>
      <c r="N794" s="643"/>
      <c r="O794" s="2083"/>
      <c r="P794" s="643"/>
      <c r="Q794" s="643"/>
      <c r="R794" s="280"/>
      <c r="S794" s="280"/>
      <c r="T794" s="280"/>
      <c r="U794" s="280"/>
      <c r="V794" s="280"/>
      <c r="W794" s="79"/>
    </row>
    <row r="795" spans="1:23" ht="15.75">
      <c r="A795" s="2080"/>
      <c r="B795" s="705"/>
      <c r="C795" s="90"/>
      <c r="D795" s="2081"/>
      <c r="E795" s="2082"/>
      <c r="F795" s="1954"/>
      <c r="G795" s="90"/>
      <c r="H795" s="90"/>
      <c r="I795" s="90"/>
      <c r="J795" s="90"/>
      <c r="K795" s="90"/>
      <c r="L795" s="90"/>
      <c r="M795" s="1956"/>
      <c r="N795" s="643"/>
      <c r="O795" s="2083"/>
      <c r="P795" s="643"/>
      <c r="Q795" s="643"/>
      <c r="R795" s="280"/>
      <c r="S795" s="280"/>
      <c r="T795" s="280"/>
      <c r="U795" s="280"/>
      <c r="V795" s="280"/>
      <c r="W795" s="79"/>
    </row>
    <row r="796" spans="1:23" ht="15.75">
      <c r="A796" s="2080"/>
      <c r="B796" s="705"/>
      <c r="C796" s="90"/>
      <c r="D796" s="2081"/>
      <c r="E796" s="2082"/>
      <c r="F796" s="1954"/>
      <c r="G796" s="90"/>
      <c r="H796" s="90"/>
      <c r="I796" s="90"/>
      <c r="J796" s="90"/>
      <c r="K796" s="90"/>
      <c r="L796" s="90"/>
      <c r="M796" s="1956"/>
      <c r="N796" s="643"/>
      <c r="O796" s="2083"/>
      <c r="P796" s="643"/>
      <c r="Q796" s="643"/>
      <c r="R796" s="280"/>
      <c r="S796" s="280"/>
      <c r="T796" s="280"/>
      <c r="U796" s="280"/>
      <c r="V796" s="280"/>
      <c r="W796" s="79"/>
    </row>
    <row r="797" spans="1:23" ht="15.75">
      <c r="A797" s="2080"/>
      <c r="B797" s="705"/>
      <c r="C797" s="90"/>
      <c r="D797" s="2081"/>
      <c r="E797" s="2082"/>
      <c r="F797" s="1954"/>
      <c r="G797" s="90"/>
      <c r="H797" s="90"/>
      <c r="I797" s="90"/>
      <c r="J797" s="90"/>
      <c r="K797" s="90"/>
      <c r="L797" s="90"/>
      <c r="M797" s="1956"/>
      <c r="N797" s="643"/>
      <c r="O797" s="2083"/>
      <c r="P797" s="643"/>
      <c r="Q797" s="643"/>
      <c r="R797" s="280"/>
      <c r="S797" s="280"/>
      <c r="T797" s="280"/>
      <c r="U797" s="280"/>
      <c r="V797" s="280"/>
      <c r="W797" s="79"/>
    </row>
    <row r="798" spans="1:23" ht="15.75">
      <c r="A798" s="2080"/>
      <c r="B798" s="705"/>
      <c r="C798" s="90"/>
      <c r="D798" s="2081"/>
      <c r="E798" s="2082"/>
      <c r="F798" s="1954"/>
      <c r="G798" s="90"/>
      <c r="H798" s="90"/>
      <c r="I798" s="90"/>
      <c r="J798" s="90"/>
      <c r="K798" s="90"/>
      <c r="L798" s="90"/>
      <c r="M798" s="1956"/>
      <c r="N798" s="643"/>
      <c r="O798" s="2083"/>
      <c r="P798" s="643"/>
      <c r="Q798" s="643"/>
      <c r="R798" s="280"/>
      <c r="S798" s="280"/>
      <c r="T798" s="280"/>
      <c r="U798" s="280"/>
      <c r="V798" s="280"/>
      <c r="W798" s="79"/>
    </row>
    <row r="799" spans="1:23" ht="15.75">
      <c r="A799" s="2080"/>
      <c r="B799" s="705"/>
      <c r="C799" s="90"/>
      <c r="D799" s="2081"/>
      <c r="E799" s="2082"/>
      <c r="F799" s="1954"/>
      <c r="G799" s="90"/>
      <c r="H799" s="90"/>
      <c r="I799" s="90"/>
      <c r="J799" s="90"/>
      <c r="K799" s="90"/>
      <c r="L799" s="90"/>
      <c r="M799" s="1956"/>
      <c r="N799" s="643"/>
      <c r="O799" s="2083"/>
      <c r="P799" s="643"/>
      <c r="Q799" s="643"/>
      <c r="R799" s="280"/>
      <c r="S799" s="280"/>
      <c r="T799" s="280"/>
      <c r="U799" s="280"/>
      <c r="V799" s="280"/>
      <c r="W799" s="79"/>
    </row>
    <row r="800" spans="1:23" ht="15.75">
      <c r="A800" s="2080"/>
      <c r="B800" s="705"/>
      <c r="C800" s="90"/>
      <c r="D800" s="2081"/>
      <c r="E800" s="2082"/>
      <c r="F800" s="1954"/>
      <c r="G800" s="90"/>
      <c r="H800" s="90"/>
      <c r="I800" s="90"/>
      <c r="J800" s="90"/>
      <c r="K800" s="90"/>
      <c r="L800" s="90"/>
      <c r="M800" s="1956"/>
      <c r="N800" s="643"/>
      <c r="O800" s="2083"/>
      <c r="P800" s="643"/>
      <c r="Q800" s="643"/>
      <c r="R800" s="280"/>
      <c r="S800" s="280"/>
      <c r="T800" s="280"/>
      <c r="U800" s="280"/>
      <c r="V800" s="280"/>
      <c r="W800" s="79"/>
    </row>
    <row r="801" spans="1:23" ht="15.75">
      <c r="A801" s="2080"/>
      <c r="B801" s="705"/>
      <c r="C801" s="90"/>
      <c r="D801" s="2081"/>
      <c r="E801" s="2082"/>
      <c r="F801" s="1954"/>
      <c r="G801" s="90"/>
      <c r="H801" s="90"/>
      <c r="I801" s="90"/>
      <c r="J801" s="90"/>
      <c r="K801" s="90"/>
      <c r="L801" s="90"/>
      <c r="M801" s="1956"/>
      <c r="N801" s="643"/>
      <c r="O801" s="2083"/>
      <c r="P801" s="643"/>
      <c r="Q801" s="643"/>
      <c r="R801" s="280"/>
      <c r="S801" s="280"/>
      <c r="T801" s="280"/>
      <c r="U801" s="280"/>
      <c r="V801" s="280"/>
      <c r="W801" s="79"/>
    </row>
    <row r="802" spans="1:23" ht="15.75">
      <c r="A802" s="2080"/>
      <c r="B802" s="705"/>
      <c r="C802" s="90"/>
      <c r="D802" s="2081"/>
      <c r="E802" s="2082"/>
      <c r="F802" s="1954"/>
      <c r="G802" s="90"/>
      <c r="H802" s="90"/>
      <c r="I802" s="90"/>
      <c r="J802" s="90"/>
      <c r="K802" s="90"/>
      <c r="L802" s="90"/>
      <c r="M802" s="1956"/>
      <c r="N802" s="643"/>
      <c r="O802" s="2083"/>
      <c r="P802" s="643"/>
      <c r="Q802" s="643"/>
      <c r="R802" s="280"/>
      <c r="S802" s="280"/>
      <c r="T802" s="280"/>
      <c r="U802" s="280"/>
      <c r="V802" s="280"/>
      <c r="W802" s="79"/>
    </row>
    <row r="803" spans="1:23" ht="15.75">
      <c r="A803" s="2080"/>
      <c r="B803" s="705"/>
      <c r="C803" s="90"/>
      <c r="D803" s="2081"/>
      <c r="E803" s="2082"/>
      <c r="F803" s="1954"/>
      <c r="G803" s="90"/>
      <c r="H803" s="90"/>
      <c r="I803" s="90"/>
      <c r="J803" s="90"/>
      <c r="K803" s="90"/>
      <c r="L803" s="90"/>
      <c r="M803" s="1956"/>
      <c r="N803" s="643"/>
      <c r="O803" s="2083"/>
      <c r="P803" s="643"/>
      <c r="Q803" s="643"/>
      <c r="R803" s="280"/>
      <c r="S803" s="280"/>
      <c r="T803" s="280"/>
      <c r="U803" s="280"/>
      <c r="V803" s="280"/>
      <c r="W803" s="79"/>
    </row>
    <row r="804" spans="1:23" ht="15.75">
      <c r="A804" s="2080"/>
      <c r="B804" s="705"/>
      <c r="C804" s="90"/>
      <c r="D804" s="2081"/>
      <c r="E804" s="2082"/>
      <c r="F804" s="1954"/>
      <c r="G804" s="90"/>
      <c r="H804" s="90"/>
      <c r="I804" s="90"/>
      <c r="J804" s="90"/>
      <c r="K804" s="90"/>
      <c r="L804" s="90"/>
      <c r="M804" s="1956"/>
      <c r="N804" s="643"/>
      <c r="O804" s="2083"/>
      <c r="P804" s="643"/>
      <c r="Q804" s="643"/>
      <c r="R804" s="280"/>
      <c r="S804" s="280"/>
      <c r="T804" s="280"/>
      <c r="U804" s="280"/>
      <c r="V804" s="280"/>
      <c r="W804" s="79"/>
    </row>
    <row r="805" spans="1:23" ht="15.75">
      <c r="A805" s="2080"/>
      <c r="B805" s="705"/>
      <c r="C805" s="90"/>
      <c r="D805" s="2081"/>
      <c r="E805" s="2082"/>
      <c r="F805" s="1954"/>
      <c r="G805" s="90"/>
      <c r="H805" s="90"/>
      <c r="I805" s="90"/>
      <c r="J805" s="90"/>
      <c r="K805" s="90"/>
      <c r="L805" s="90"/>
      <c r="M805" s="1956"/>
      <c r="N805" s="643"/>
      <c r="O805" s="2083"/>
      <c r="P805" s="643"/>
      <c r="Q805" s="643"/>
      <c r="R805" s="280"/>
      <c r="S805" s="280"/>
      <c r="T805" s="280"/>
      <c r="U805" s="280"/>
      <c r="V805" s="280"/>
      <c r="W805" s="79"/>
    </row>
    <row r="806" spans="1:23" ht="15.75">
      <c r="A806" s="2080"/>
      <c r="B806" s="705"/>
      <c r="C806" s="90"/>
      <c r="D806" s="2081"/>
      <c r="E806" s="2082"/>
      <c r="F806" s="1954"/>
      <c r="G806" s="90"/>
      <c r="H806" s="90"/>
      <c r="I806" s="90"/>
      <c r="J806" s="90"/>
      <c r="K806" s="90"/>
      <c r="L806" s="90"/>
      <c r="M806" s="1956"/>
      <c r="N806" s="643"/>
      <c r="O806" s="2083"/>
      <c r="P806" s="643"/>
      <c r="Q806" s="643"/>
      <c r="R806" s="280"/>
      <c r="S806" s="280"/>
      <c r="T806" s="280"/>
      <c r="U806" s="280"/>
      <c r="V806" s="280"/>
      <c r="W806" s="79"/>
    </row>
    <row r="807" spans="1:23" ht="15.75">
      <c r="A807" s="2080"/>
      <c r="B807" s="705"/>
      <c r="C807" s="90"/>
      <c r="D807" s="2081"/>
      <c r="E807" s="2082"/>
      <c r="F807" s="1954"/>
      <c r="G807" s="90"/>
      <c r="H807" s="90"/>
      <c r="I807" s="90"/>
      <c r="J807" s="90"/>
      <c r="K807" s="90"/>
      <c r="L807" s="90"/>
      <c r="M807" s="1956"/>
      <c r="N807" s="643"/>
      <c r="O807" s="2083"/>
      <c r="P807" s="643"/>
      <c r="Q807" s="643"/>
      <c r="R807" s="280"/>
      <c r="S807" s="280"/>
      <c r="T807" s="280"/>
      <c r="U807" s="280"/>
      <c r="V807" s="280"/>
      <c r="W807" s="79"/>
    </row>
    <row r="808" spans="1:23" ht="15.75">
      <c r="A808" s="2080"/>
      <c r="B808" s="705"/>
      <c r="C808" s="90"/>
      <c r="D808" s="2081"/>
      <c r="E808" s="2082"/>
      <c r="F808" s="1954"/>
      <c r="G808" s="90"/>
      <c r="H808" s="90"/>
      <c r="I808" s="90"/>
      <c r="J808" s="90"/>
      <c r="K808" s="90"/>
      <c r="L808" s="90"/>
      <c r="M808" s="1956"/>
      <c r="N808" s="643"/>
      <c r="O808" s="2083"/>
      <c r="P808" s="643"/>
      <c r="Q808" s="643"/>
      <c r="R808" s="280"/>
      <c r="S808" s="280"/>
      <c r="T808" s="280"/>
      <c r="U808" s="280"/>
      <c r="V808" s="280"/>
      <c r="W808" s="79"/>
    </row>
    <row r="809" spans="1:23" ht="15.75">
      <c r="A809" s="2080"/>
      <c r="B809" s="705"/>
      <c r="C809" s="90"/>
      <c r="D809" s="2081"/>
      <c r="E809" s="2082"/>
      <c r="F809" s="1954"/>
      <c r="G809" s="90"/>
      <c r="H809" s="90"/>
      <c r="I809" s="90"/>
      <c r="J809" s="90"/>
      <c r="K809" s="90"/>
      <c r="L809" s="90"/>
      <c r="M809" s="1956"/>
      <c r="N809" s="643"/>
      <c r="O809" s="2083"/>
      <c r="P809" s="643"/>
      <c r="Q809" s="643"/>
      <c r="R809" s="280"/>
      <c r="S809" s="280"/>
      <c r="T809" s="280"/>
      <c r="U809" s="280"/>
      <c r="V809" s="280"/>
      <c r="W809" s="79"/>
    </row>
    <row r="810" spans="1:23" ht="15.75">
      <c r="A810" s="2080"/>
      <c r="B810" s="705"/>
      <c r="C810" s="90"/>
      <c r="D810" s="2081"/>
      <c r="E810" s="2082"/>
      <c r="F810" s="1954"/>
      <c r="G810" s="90"/>
      <c r="H810" s="90"/>
      <c r="I810" s="90"/>
      <c r="J810" s="90"/>
      <c r="K810" s="90"/>
      <c r="L810" s="90"/>
      <c r="M810" s="1956"/>
      <c r="N810" s="643"/>
      <c r="O810" s="2083"/>
      <c r="P810" s="643"/>
      <c r="Q810" s="643"/>
      <c r="R810" s="280"/>
      <c r="S810" s="280"/>
      <c r="T810" s="280"/>
      <c r="U810" s="280"/>
      <c r="V810" s="280"/>
      <c r="W810" s="79"/>
    </row>
    <row r="811" spans="1:23" ht="15.75">
      <c r="A811" s="2080"/>
      <c r="B811" s="705"/>
      <c r="C811" s="90"/>
      <c r="D811" s="2081"/>
      <c r="E811" s="2082"/>
      <c r="F811" s="1954"/>
      <c r="G811" s="90"/>
      <c r="H811" s="90"/>
      <c r="I811" s="90"/>
      <c r="J811" s="90"/>
      <c r="K811" s="90"/>
      <c r="L811" s="90"/>
      <c r="M811" s="1956"/>
      <c r="N811" s="643"/>
      <c r="O811" s="2083"/>
      <c r="P811" s="643"/>
      <c r="Q811" s="643"/>
      <c r="R811" s="280"/>
      <c r="S811" s="280"/>
      <c r="T811" s="280"/>
      <c r="U811" s="280"/>
      <c r="V811" s="280"/>
      <c r="W811" s="79"/>
    </row>
    <row r="812" spans="1:23" ht="15.75">
      <c r="A812" s="2080"/>
      <c r="B812" s="705"/>
      <c r="C812" s="90"/>
      <c r="D812" s="2081"/>
      <c r="E812" s="2082"/>
      <c r="F812" s="1954"/>
      <c r="G812" s="90"/>
      <c r="H812" s="90"/>
      <c r="I812" s="90"/>
      <c r="J812" s="90"/>
      <c r="K812" s="90"/>
      <c r="L812" s="90"/>
      <c r="M812" s="1956"/>
      <c r="N812" s="643"/>
      <c r="O812" s="2083"/>
      <c r="P812" s="643"/>
      <c r="Q812" s="643"/>
      <c r="R812" s="280"/>
      <c r="S812" s="280"/>
      <c r="T812" s="280"/>
      <c r="U812" s="280"/>
      <c r="V812" s="280"/>
      <c r="W812" s="79"/>
    </row>
    <row r="813" spans="1:23" ht="15.75">
      <c r="A813" s="2080"/>
      <c r="B813" s="705"/>
      <c r="C813" s="90"/>
      <c r="D813" s="2081"/>
      <c r="E813" s="2082"/>
      <c r="F813" s="1954"/>
      <c r="G813" s="90"/>
      <c r="H813" s="90"/>
      <c r="I813" s="90"/>
      <c r="J813" s="90"/>
      <c r="K813" s="90"/>
      <c r="L813" s="90"/>
      <c r="M813" s="1956"/>
      <c r="N813" s="643"/>
      <c r="O813" s="2083"/>
      <c r="P813" s="643"/>
      <c r="Q813" s="643"/>
      <c r="R813" s="280"/>
      <c r="S813" s="280"/>
      <c r="T813" s="280"/>
      <c r="U813" s="280"/>
      <c r="V813" s="280"/>
      <c r="W813" s="79"/>
    </row>
    <row r="814" spans="1:23" ht="15.75">
      <c r="A814" s="2080"/>
      <c r="B814" s="705"/>
      <c r="C814" s="90"/>
      <c r="D814" s="2081"/>
      <c r="E814" s="2082"/>
      <c r="F814" s="1954"/>
      <c r="G814" s="90"/>
      <c r="H814" s="90"/>
      <c r="I814" s="90"/>
      <c r="J814" s="90"/>
      <c r="K814" s="90"/>
      <c r="L814" s="90"/>
      <c r="M814" s="1956"/>
      <c r="N814" s="643"/>
      <c r="O814" s="2083"/>
      <c r="P814" s="643"/>
      <c r="Q814" s="643"/>
      <c r="R814" s="280"/>
      <c r="S814" s="280"/>
      <c r="T814" s="280"/>
      <c r="U814" s="280"/>
      <c r="V814" s="280"/>
      <c r="W814" s="79"/>
    </row>
    <row r="815" spans="1:23" ht="15.75">
      <c r="A815" s="2080"/>
      <c r="B815" s="705"/>
      <c r="C815" s="90"/>
      <c r="D815" s="2081"/>
      <c r="E815" s="2082"/>
      <c r="F815" s="1954"/>
      <c r="G815" s="90"/>
      <c r="H815" s="90"/>
      <c r="I815" s="90"/>
      <c r="J815" s="90"/>
      <c r="K815" s="90"/>
      <c r="L815" s="90"/>
      <c r="M815" s="1956"/>
      <c r="N815" s="643"/>
      <c r="O815" s="2083"/>
      <c r="P815" s="643"/>
      <c r="Q815" s="643"/>
      <c r="R815" s="280"/>
      <c r="S815" s="280"/>
      <c r="T815" s="280"/>
      <c r="U815" s="280"/>
      <c r="V815" s="280"/>
      <c r="W815" s="79"/>
    </row>
    <row r="816" spans="1:23" ht="15.75">
      <c r="A816" s="2080"/>
      <c r="B816" s="705"/>
      <c r="C816" s="90"/>
      <c r="D816" s="2081"/>
      <c r="E816" s="2082"/>
      <c r="F816" s="1954"/>
      <c r="G816" s="90"/>
      <c r="H816" s="90"/>
      <c r="I816" s="90"/>
      <c r="J816" s="90"/>
      <c r="K816" s="90"/>
      <c r="L816" s="90"/>
      <c r="M816" s="1956"/>
      <c r="N816" s="643"/>
      <c r="O816" s="2083"/>
      <c r="P816" s="643"/>
      <c r="Q816" s="643"/>
      <c r="R816" s="280"/>
      <c r="S816" s="280"/>
      <c r="T816" s="280"/>
      <c r="U816" s="280"/>
      <c r="V816" s="280"/>
      <c r="W816" s="79"/>
    </row>
    <row r="817" spans="1:23" ht="15.75">
      <c r="A817" s="2080"/>
      <c r="B817" s="705"/>
      <c r="C817" s="90"/>
      <c r="D817" s="2081"/>
      <c r="E817" s="2082"/>
      <c r="F817" s="1954"/>
      <c r="G817" s="90"/>
      <c r="H817" s="90"/>
      <c r="I817" s="90"/>
      <c r="J817" s="90"/>
      <c r="K817" s="90"/>
      <c r="L817" s="90"/>
      <c r="M817" s="1956"/>
      <c r="N817" s="643"/>
      <c r="O817" s="2083"/>
      <c r="P817" s="643"/>
      <c r="Q817" s="643"/>
      <c r="R817" s="280"/>
      <c r="S817" s="280"/>
      <c r="T817" s="280"/>
      <c r="U817" s="280"/>
      <c r="V817" s="280"/>
      <c r="W817" s="79"/>
    </row>
    <row r="818" spans="1:23" ht="15.75">
      <c r="A818" s="2080"/>
      <c r="B818" s="705"/>
      <c r="C818" s="90"/>
      <c r="D818" s="2081"/>
      <c r="E818" s="2082"/>
      <c r="F818" s="1954"/>
      <c r="G818" s="90"/>
      <c r="H818" s="90"/>
      <c r="I818" s="90"/>
      <c r="J818" s="90"/>
      <c r="K818" s="90"/>
      <c r="L818" s="90"/>
      <c r="M818" s="1956"/>
      <c r="N818" s="643"/>
      <c r="O818" s="2083"/>
      <c r="P818" s="643"/>
      <c r="Q818" s="643"/>
      <c r="R818" s="280"/>
      <c r="S818" s="280"/>
      <c r="T818" s="280"/>
      <c r="U818" s="280"/>
      <c r="V818" s="280"/>
      <c r="W818" s="79"/>
    </row>
    <row r="819" spans="1:23" ht="15.75">
      <c r="A819" s="2080"/>
      <c r="B819" s="705"/>
      <c r="C819" s="90"/>
      <c r="D819" s="2081"/>
      <c r="E819" s="2082"/>
      <c r="F819" s="1954"/>
      <c r="G819" s="90"/>
      <c r="H819" s="90"/>
      <c r="I819" s="90"/>
      <c r="J819" s="90"/>
      <c r="K819" s="90"/>
      <c r="L819" s="90"/>
      <c r="M819" s="1956"/>
      <c r="N819" s="643"/>
      <c r="O819" s="2083"/>
      <c r="P819" s="643"/>
      <c r="Q819" s="643"/>
      <c r="R819" s="280"/>
      <c r="S819" s="280"/>
      <c r="T819" s="280"/>
      <c r="U819" s="280"/>
      <c r="V819" s="280"/>
      <c r="W819" s="79"/>
    </row>
    <row r="820" spans="1:23" ht="15.75">
      <c r="A820" s="2080"/>
      <c r="B820" s="705"/>
      <c r="C820" s="90"/>
      <c r="D820" s="2081"/>
      <c r="E820" s="2082"/>
      <c r="F820" s="1954"/>
      <c r="G820" s="90"/>
      <c r="H820" s="90"/>
      <c r="I820" s="90"/>
      <c r="J820" s="90"/>
      <c r="K820" s="90"/>
      <c r="L820" s="90"/>
      <c r="M820" s="1956"/>
      <c r="N820" s="643"/>
      <c r="O820" s="2083"/>
      <c r="P820" s="643"/>
      <c r="Q820" s="643"/>
      <c r="R820" s="280"/>
      <c r="S820" s="280"/>
      <c r="T820" s="280"/>
      <c r="U820" s="280"/>
      <c r="V820" s="280"/>
      <c r="W820" s="79"/>
    </row>
    <row r="821" spans="1:23" ht="15.75">
      <c r="A821" s="2080"/>
      <c r="B821" s="705"/>
      <c r="C821" s="90"/>
      <c r="D821" s="2081"/>
      <c r="E821" s="2082"/>
      <c r="F821" s="1954"/>
      <c r="G821" s="90"/>
      <c r="H821" s="90"/>
      <c r="I821" s="90"/>
      <c r="J821" s="90"/>
      <c r="K821" s="90"/>
      <c r="L821" s="90"/>
      <c r="M821" s="1956"/>
      <c r="N821" s="643"/>
      <c r="O821" s="2083"/>
      <c r="P821" s="643"/>
      <c r="Q821" s="643"/>
      <c r="R821" s="280"/>
      <c r="S821" s="280"/>
      <c r="T821" s="280"/>
      <c r="U821" s="280"/>
      <c r="V821" s="280"/>
      <c r="W821" s="79"/>
    </row>
    <row r="822" spans="1:23" ht="15.75">
      <c r="A822" s="2080"/>
      <c r="B822" s="705"/>
      <c r="C822" s="90"/>
      <c r="D822" s="2081"/>
      <c r="E822" s="2082"/>
      <c r="F822" s="1954"/>
      <c r="G822" s="90"/>
      <c r="H822" s="90"/>
      <c r="I822" s="90"/>
      <c r="J822" s="90"/>
      <c r="K822" s="90"/>
      <c r="L822" s="90"/>
      <c r="M822" s="1956"/>
      <c r="N822" s="643"/>
      <c r="O822" s="2083"/>
      <c r="P822" s="643"/>
      <c r="Q822" s="643"/>
      <c r="R822" s="280"/>
      <c r="S822" s="280"/>
      <c r="T822" s="280"/>
      <c r="U822" s="280"/>
      <c r="V822" s="280"/>
      <c r="W822" s="79"/>
    </row>
    <row r="823" spans="1:23" ht="15.75">
      <c r="A823" s="2080"/>
      <c r="B823" s="705"/>
      <c r="C823" s="90"/>
      <c r="D823" s="2081"/>
      <c r="E823" s="2082"/>
      <c r="F823" s="1954"/>
      <c r="G823" s="90"/>
      <c r="H823" s="90"/>
      <c r="I823" s="90"/>
      <c r="J823" s="90"/>
      <c r="K823" s="90"/>
      <c r="L823" s="90"/>
      <c r="M823" s="1956"/>
      <c r="N823" s="643"/>
      <c r="O823" s="2083"/>
      <c r="P823" s="643"/>
      <c r="Q823" s="643"/>
      <c r="R823" s="280"/>
      <c r="S823" s="280"/>
      <c r="T823" s="280"/>
      <c r="U823" s="280"/>
      <c r="V823" s="280"/>
      <c r="W823" s="79"/>
    </row>
    <row r="824" spans="1:23" ht="15.75">
      <c r="A824" s="2080"/>
      <c r="B824" s="705"/>
      <c r="C824" s="90"/>
      <c r="D824" s="2081"/>
      <c r="E824" s="2082"/>
      <c r="F824" s="1954"/>
      <c r="G824" s="90"/>
      <c r="H824" s="90"/>
      <c r="I824" s="90"/>
      <c r="J824" s="90"/>
      <c r="K824" s="90"/>
      <c r="L824" s="90"/>
      <c r="M824" s="1956"/>
      <c r="N824" s="643"/>
      <c r="O824" s="2083"/>
      <c r="P824" s="643"/>
      <c r="Q824" s="643"/>
      <c r="R824" s="280"/>
      <c r="S824" s="280"/>
      <c r="T824" s="280"/>
      <c r="U824" s="280"/>
      <c r="V824" s="280"/>
      <c r="W824" s="79"/>
    </row>
    <row r="825" spans="1:23" ht="15.75">
      <c r="A825" s="2080"/>
      <c r="B825" s="705"/>
      <c r="C825" s="90"/>
      <c r="D825" s="2081"/>
      <c r="E825" s="2082"/>
      <c r="F825" s="1954"/>
      <c r="G825" s="90"/>
      <c r="H825" s="90"/>
      <c r="I825" s="90"/>
      <c r="J825" s="90"/>
      <c r="K825" s="90"/>
      <c r="L825" s="90"/>
      <c r="M825" s="1956"/>
      <c r="N825" s="643"/>
      <c r="O825" s="2083"/>
      <c r="P825" s="643"/>
      <c r="Q825" s="643"/>
      <c r="R825" s="280"/>
      <c r="S825" s="280"/>
      <c r="T825" s="280"/>
      <c r="U825" s="280"/>
      <c r="V825" s="280"/>
      <c r="W825" s="79"/>
    </row>
    <row r="826" spans="1:23" ht="15.75">
      <c r="A826" s="2080"/>
      <c r="B826" s="705"/>
      <c r="C826" s="90"/>
      <c r="D826" s="2081"/>
      <c r="E826" s="2082"/>
      <c r="F826" s="1954"/>
      <c r="G826" s="90"/>
      <c r="H826" s="90"/>
      <c r="I826" s="90"/>
      <c r="J826" s="90"/>
      <c r="K826" s="90"/>
      <c r="L826" s="90"/>
      <c r="M826" s="1956"/>
      <c r="N826" s="643"/>
      <c r="O826" s="2083"/>
      <c r="P826" s="643"/>
      <c r="Q826" s="643"/>
      <c r="R826" s="280"/>
      <c r="S826" s="280"/>
      <c r="T826" s="280"/>
      <c r="U826" s="280"/>
      <c r="V826" s="280"/>
      <c r="W826" s="79"/>
    </row>
    <row r="827" spans="1:23" ht="15.75">
      <c r="A827" s="2080"/>
      <c r="B827" s="705"/>
      <c r="C827" s="90"/>
      <c r="D827" s="2081"/>
      <c r="E827" s="2082"/>
      <c r="F827" s="1954"/>
      <c r="G827" s="90"/>
      <c r="H827" s="90"/>
      <c r="I827" s="90"/>
      <c r="J827" s="90"/>
      <c r="K827" s="90"/>
      <c r="L827" s="90"/>
      <c r="M827" s="1956"/>
      <c r="N827" s="643"/>
      <c r="O827" s="2083"/>
      <c r="P827" s="643"/>
      <c r="Q827" s="643"/>
      <c r="R827" s="280"/>
      <c r="S827" s="280"/>
      <c r="T827" s="280"/>
      <c r="U827" s="280"/>
      <c r="V827" s="280"/>
      <c r="W827" s="79"/>
    </row>
    <row r="828" spans="1:23" ht="15.75">
      <c r="A828" s="2080"/>
      <c r="B828" s="705"/>
      <c r="C828" s="90"/>
      <c r="D828" s="2081"/>
      <c r="E828" s="2082"/>
      <c r="F828" s="1954"/>
      <c r="G828" s="90"/>
      <c r="H828" s="90"/>
      <c r="I828" s="90"/>
      <c r="J828" s="90"/>
      <c r="K828" s="90"/>
      <c r="L828" s="90"/>
      <c r="M828" s="1956"/>
      <c r="N828" s="643"/>
      <c r="O828" s="2083"/>
      <c r="P828" s="643"/>
      <c r="Q828" s="643"/>
      <c r="R828" s="280"/>
      <c r="S828" s="280"/>
      <c r="T828" s="280"/>
      <c r="U828" s="280"/>
      <c r="V828" s="280"/>
      <c r="W828" s="79"/>
    </row>
    <row r="829" spans="1:23" ht="15.75">
      <c r="A829" s="2080"/>
      <c r="B829" s="705"/>
      <c r="C829" s="90"/>
      <c r="D829" s="2081"/>
      <c r="E829" s="2082"/>
      <c r="F829" s="1954"/>
      <c r="G829" s="90"/>
      <c r="H829" s="90"/>
      <c r="I829" s="90"/>
      <c r="J829" s="90"/>
      <c r="K829" s="90"/>
      <c r="L829" s="90"/>
      <c r="M829" s="1956"/>
      <c r="N829" s="643"/>
      <c r="O829" s="2083"/>
      <c r="P829" s="643"/>
      <c r="Q829" s="643"/>
      <c r="R829" s="280"/>
      <c r="S829" s="280"/>
      <c r="T829" s="280"/>
      <c r="U829" s="280"/>
      <c r="V829" s="280"/>
      <c r="W829" s="79"/>
    </row>
    <row r="830" spans="1:23" ht="15.75">
      <c r="A830" s="2080"/>
      <c r="B830" s="705"/>
      <c r="C830" s="90"/>
      <c r="D830" s="2081"/>
      <c r="E830" s="2082"/>
      <c r="F830" s="1954"/>
      <c r="G830" s="90"/>
      <c r="H830" s="90"/>
      <c r="I830" s="90"/>
      <c r="J830" s="90"/>
      <c r="K830" s="90"/>
      <c r="L830" s="90"/>
      <c r="M830" s="1956"/>
      <c r="N830" s="643"/>
      <c r="O830" s="2083"/>
      <c r="P830" s="643"/>
      <c r="Q830" s="643"/>
      <c r="R830" s="280"/>
      <c r="S830" s="280"/>
      <c r="T830" s="280"/>
      <c r="U830" s="280"/>
      <c r="V830" s="280"/>
      <c r="W830" s="79"/>
    </row>
    <row r="831" spans="1:23" ht="15.75">
      <c r="A831" s="2080"/>
      <c r="B831" s="705"/>
      <c r="C831" s="90"/>
      <c r="D831" s="2081"/>
      <c r="E831" s="2082"/>
      <c r="F831" s="1954"/>
      <c r="G831" s="90"/>
      <c r="H831" s="90"/>
      <c r="I831" s="90"/>
      <c r="J831" s="90"/>
      <c r="K831" s="90"/>
      <c r="L831" s="90"/>
      <c r="M831" s="1956"/>
      <c r="N831" s="643"/>
      <c r="O831" s="2083"/>
      <c r="P831" s="643"/>
      <c r="Q831" s="643"/>
      <c r="R831" s="280"/>
      <c r="S831" s="280"/>
      <c r="T831" s="280"/>
      <c r="U831" s="280"/>
      <c r="V831" s="280"/>
      <c r="W831" s="79"/>
    </row>
    <row r="832" spans="1:23" ht="15.75">
      <c r="A832" s="2080"/>
      <c r="B832" s="705"/>
      <c r="C832" s="90"/>
      <c r="D832" s="2081"/>
      <c r="E832" s="2082"/>
      <c r="F832" s="1954"/>
      <c r="G832" s="90"/>
      <c r="H832" s="90"/>
      <c r="I832" s="90"/>
      <c r="J832" s="90"/>
      <c r="K832" s="90"/>
      <c r="L832" s="90"/>
      <c r="M832" s="1956"/>
      <c r="N832" s="643"/>
      <c r="O832" s="2083"/>
      <c r="P832" s="643"/>
      <c r="Q832" s="643"/>
      <c r="R832" s="280"/>
      <c r="S832" s="280"/>
      <c r="T832" s="280"/>
      <c r="U832" s="280"/>
      <c r="V832" s="280"/>
      <c r="W832" s="79"/>
    </row>
    <row r="833" spans="1:23" ht="15.75">
      <c r="A833" s="2080"/>
      <c r="B833" s="705"/>
      <c r="C833" s="90"/>
      <c r="D833" s="2081"/>
      <c r="E833" s="2082"/>
      <c r="F833" s="1954"/>
      <c r="G833" s="90"/>
      <c r="H833" s="90"/>
      <c r="I833" s="90"/>
      <c r="J833" s="90"/>
      <c r="K833" s="90"/>
      <c r="L833" s="90"/>
      <c r="M833" s="1956"/>
      <c r="N833" s="643"/>
      <c r="O833" s="2083"/>
      <c r="P833" s="643"/>
      <c r="Q833" s="643"/>
      <c r="R833" s="280"/>
      <c r="S833" s="280"/>
      <c r="T833" s="280"/>
      <c r="U833" s="280"/>
      <c r="V833" s="280"/>
      <c r="W833" s="79"/>
    </row>
    <row r="834" spans="1:23" ht="15.75">
      <c r="A834" s="2080"/>
      <c r="B834" s="705"/>
      <c r="C834" s="90"/>
      <c r="D834" s="2081"/>
      <c r="E834" s="2082"/>
      <c r="F834" s="1954"/>
      <c r="G834" s="90"/>
      <c r="H834" s="90"/>
      <c r="I834" s="90"/>
      <c r="J834" s="90"/>
      <c r="K834" s="90"/>
      <c r="L834" s="90"/>
      <c r="M834" s="1956"/>
      <c r="N834" s="643"/>
      <c r="O834" s="2083"/>
      <c r="P834" s="643"/>
      <c r="Q834" s="643"/>
      <c r="R834" s="280"/>
      <c r="S834" s="280"/>
      <c r="T834" s="280"/>
      <c r="U834" s="280"/>
      <c r="V834" s="280"/>
      <c r="W834" s="79"/>
    </row>
    <row r="835" spans="1:23" ht="15.75">
      <c r="A835" s="2080"/>
      <c r="B835" s="705"/>
      <c r="C835" s="90"/>
      <c r="D835" s="2081"/>
      <c r="E835" s="2082"/>
      <c r="F835" s="1954"/>
      <c r="G835" s="90"/>
      <c r="H835" s="90"/>
      <c r="I835" s="90"/>
      <c r="J835" s="90"/>
      <c r="K835" s="90"/>
      <c r="L835" s="90"/>
      <c r="M835" s="1956"/>
      <c r="N835" s="643"/>
      <c r="O835" s="2083"/>
      <c r="P835" s="643"/>
      <c r="Q835" s="643"/>
      <c r="R835" s="280"/>
      <c r="S835" s="280"/>
      <c r="T835" s="280"/>
      <c r="U835" s="280"/>
      <c r="V835" s="280"/>
      <c r="W835" s="79"/>
    </row>
    <row r="836" spans="1:23" ht="15.75">
      <c r="A836" s="2080"/>
      <c r="B836" s="705"/>
      <c r="C836" s="90"/>
      <c r="D836" s="2081"/>
      <c r="E836" s="2082"/>
      <c r="F836" s="1954"/>
      <c r="G836" s="90"/>
      <c r="H836" s="90"/>
      <c r="I836" s="90"/>
      <c r="J836" s="90"/>
      <c r="K836" s="90"/>
      <c r="L836" s="90"/>
      <c r="M836" s="1956"/>
      <c r="N836" s="643"/>
      <c r="O836" s="2083"/>
      <c r="P836" s="643"/>
      <c r="Q836" s="643"/>
      <c r="R836" s="280"/>
      <c r="S836" s="280"/>
      <c r="T836" s="280"/>
      <c r="U836" s="280"/>
      <c r="V836" s="280"/>
      <c r="W836" s="79"/>
    </row>
    <row r="837" spans="1:23" ht="15.75">
      <c r="A837" s="2080"/>
      <c r="B837" s="705"/>
      <c r="C837" s="90"/>
      <c r="D837" s="2081"/>
      <c r="E837" s="2082"/>
      <c r="F837" s="1954"/>
      <c r="G837" s="90"/>
      <c r="H837" s="90"/>
      <c r="I837" s="90"/>
      <c r="J837" s="90"/>
      <c r="K837" s="90"/>
      <c r="L837" s="90"/>
      <c r="M837" s="1956"/>
      <c r="N837" s="643"/>
      <c r="O837" s="2083"/>
      <c r="P837" s="643"/>
      <c r="Q837" s="643"/>
      <c r="R837" s="280"/>
      <c r="S837" s="280"/>
      <c r="T837" s="280"/>
      <c r="U837" s="280"/>
      <c r="V837" s="280"/>
      <c r="W837" s="79"/>
    </row>
    <row r="838" spans="1:23" ht="15.75">
      <c r="A838" s="2080"/>
      <c r="B838" s="705"/>
      <c r="C838" s="90"/>
      <c r="D838" s="2081"/>
      <c r="E838" s="2082"/>
      <c r="F838" s="1954"/>
      <c r="G838" s="90"/>
      <c r="H838" s="90"/>
      <c r="I838" s="90"/>
      <c r="J838" s="90"/>
      <c r="K838" s="90"/>
      <c r="L838" s="90"/>
      <c r="M838" s="1956"/>
      <c r="N838" s="643"/>
      <c r="O838" s="2083"/>
      <c r="P838" s="643"/>
      <c r="Q838" s="643"/>
      <c r="R838" s="280"/>
      <c r="S838" s="280"/>
      <c r="T838" s="280"/>
      <c r="U838" s="280"/>
      <c r="V838" s="280"/>
      <c r="W838" s="79"/>
    </row>
    <row r="839" spans="1:23" ht="15.75">
      <c r="A839" s="2080"/>
      <c r="B839" s="705"/>
      <c r="C839" s="90"/>
      <c r="D839" s="2081"/>
      <c r="E839" s="2082"/>
      <c r="F839" s="1954"/>
      <c r="G839" s="90"/>
      <c r="H839" s="90"/>
      <c r="I839" s="90"/>
      <c r="J839" s="90"/>
      <c r="K839" s="90"/>
      <c r="L839" s="90"/>
      <c r="M839" s="1956"/>
      <c r="N839" s="643"/>
      <c r="O839" s="2083"/>
      <c r="P839" s="643"/>
      <c r="Q839" s="643"/>
      <c r="R839" s="280"/>
      <c r="S839" s="280"/>
      <c r="T839" s="280"/>
      <c r="U839" s="280"/>
      <c r="V839" s="280"/>
      <c r="W839" s="79"/>
    </row>
    <row r="840" spans="1:23" ht="15.75">
      <c r="A840" s="2080"/>
      <c r="B840" s="705"/>
      <c r="C840" s="90"/>
      <c r="D840" s="2081"/>
      <c r="E840" s="2082"/>
      <c r="F840" s="1954"/>
      <c r="G840" s="90"/>
      <c r="H840" s="90"/>
      <c r="I840" s="90"/>
      <c r="J840" s="90"/>
      <c r="K840" s="90"/>
      <c r="L840" s="90"/>
      <c r="M840" s="1956"/>
      <c r="N840" s="643"/>
      <c r="O840" s="2083"/>
      <c r="P840" s="643"/>
      <c r="Q840" s="643"/>
      <c r="R840" s="280"/>
      <c r="S840" s="280"/>
      <c r="T840" s="280"/>
      <c r="U840" s="280"/>
      <c r="V840" s="280"/>
      <c r="W840" s="79"/>
    </row>
    <row r="841" spans="1:23" ht="15.75">
      <c r="A841" s="2080"/>
      <c r="B841" s="705"/>
      <c r="C841" s="90"/>
      <c r="D841" s="2081"/>
      <c r="E841" s="2082"/>
      <c r="F841" s="1954"/>
      <c r="G841" s="90"/>
      <c r="H841" s="90"/>
      <c r="I841" s="90"/>
      <c r="J841" s="90"/>
      <c r="K841" s="90"/>
      <c r="L841" s="90"/>
      <c r="M841" s="1956"/>
      <c r="N841" s="643"/>
      <c r="O841" s="2083"/>
      <c r="P841" s="643"/>
      <c r="Q841" s="643"/>
      <c r="R841" s="280"/>
      <c r="S841" s="280"/>
      <c r="T841" s="280"/>
      <c r="U841" s="280"/>
      <c r="V841" s="280"/>
      <c r="W841" s="79"/>
    </row>
    <row r="842" spans="1:23" ht="15.75">
      <c r="A842" s="2080"/>
      <c r="B842" s="705"/>
      <c r="C842" s="90"/>
      <c r="D842" s="2081"/>
      <c r="E842" s="2082"/>
      <c r="F842" s="1954"/>
      <c r="G842" s="90"/>
      <c r="H842" s="90"/>
      <c r="I842" s="90"/>
      <c r="J842" s="90"/>
      <c r="K842" s="90"/>
      <c r="L842" s="90"/>
      <c r="M842" s="1956"/>
      <c r="N842" s="643"/>
      <c r="O842" s="2083"/>
      <c r="P842" s="643"/>
      <c r="Q842" s="643"/>
      <c r="R842" s="280"/>
      <c r="S842" s="280"/>
      <c r="T842" s="280"/>
      <c r="U842" s="280"/>
      <c r="V842" s="280"/>
      <c r="W842" s="79"/>
    </row>
    <row r="843" spans="1:23" ht="15.75">
      <c r="A843" s="2080"/>
      <c r="B843" s="705"/>
      <c r="C843" s="90"/>
      <c r="D843" s="2081"/>
      <c r="E843" s="2082"/>
      <c r="F843" s="1954"/>
      <c r="G843" s="90"/>
      <c r="H843" s="90"/>
      <c r="I843" s="90"/>
      <c r="J843" s="90"/>
      <c r="K843" s="90"/>
      <c r="L843" s="90"/>
      <c r="M843" s="1956"/>
      <c r="N843" s="643"/>
      <c r="O843" s="2083"/>
      <c r="P843" s="643"/>
      <c r="Q843" s="643"/>
      <c r="R843" s="280"/>
      <c r="S843" s="280"/>
      <c r="T843" s="280"/>
      <c r="U843" s="280"/>
      <c r="V843" s="280"/>
      <c r="W843" s="79"/>
    </row>
    <row r="844" spans="1:23" ht="15.75">
      <c r="A844" s="2080"/>
      <c r="B844" s="705"/>
      <c r="C844" s="90"/>
      <c r="D844" s="2081"/>
      <c r="E844" s="2082"/>
      <c r="F844" s="1954"/>
      <c r="G844" s="90"/>
      <c r="H844" s="90"/>
      <c r="I844" s="90"/>
      <c r="J844" s="90"/>
      <c r="K844" s="90"/>
      <c r="L844" s="90"/>
      <c r="M844" s="1956"/>
      <c r="N844" s="643"/>
      <c r="O844" s="2083"/>
      <c r="P844" s="643"/>
      <c r="Q844" s="643"/>
      <c r="R844" s="280"/>
      <c r="S844" s="280"/>
      <c r="T844" s="280"/>
      <c r="U844" s="280"/>
      <c r="V844" s="280"/>
      <c r="W844" s="79"/>
    </row>
    <row r="845" spans="1:23" ht="15.75">
      <c r="A845" s="2080"/>
      <c r="B845" s="705"/>
      <c r="C845" s="90"/>
      <c r="D845" s="2081"/>
      <c r="E845" s="2082"/>
      <c r="F845" s="1954"/>
      <c r="G845" s="90"/>
      <c r="H845" s="90"/>
      <c r="I845" s="90"/>
      <c r="J845" s="90"/>
      <c r="K845" s="90"/>
      <c r="L845" s="90"/>
      <c r="M845" s="1956"/>
      <c r="N845" s="643"/>
      <c r="O845" s="2083"/>
      <c r="P845" s="643"/>
      <c r="Q845" s="643"/>
      <c r="R845" s="280"/>
      <c r="S845" s="280"/>
      <c r="T845" s="280"/>
      <c r="U845" s="280"/>
      <c r="V845" s="280"/>
      <c r="W845" s="79"/>
    </row>
    <row r="846" spans="1:23" ht="15.75">
      <c r="A846" s="2080"/>
      <c r="B846" s="705"/>
      <c r="C846" s="90"/>
      <c r="D846" s="2081"/>
      <c r="E846" s="2082"/>
      <c r="F846" s="1954"/>
      <c r="G846" s="90"/>
      <c r="H846" s="90"/>
      <c r="I846" s="90"/>
      <c r="J846" s="90"/>
      <c r="K846" s="90"/>
      <c r="L846" s="90"/>
      <c r="M846" s="1956"/>
      <c r="N846" s="643"/>
      <c r="O846" s="2083"/>
      <c r="P846" s="643"/>
      <c r="Q846" s="643"/>
      <c r="R846" s="280"/>
      <c r="S846" s="280"/>
      <c r="T846" s="280"/>
      <c r="U846" s="280"/>
      <c r="V846" s="280"/>
      <c r="W846" s="79"/>
    </row>
    <row r="847" spans="1:23" ht="15.75">
      <c r="A847" s="2080"/>
      <c r="B847" s="705"/>
      <c r="C847" s="90"/>
      <c r="D847" s="2081"/>
      <c r="E847" s="2082"/>
      <c r="F847" s="1954"/>
      <c r="G847" s="90"/>
      <c r="H847" s="90"/>
      <c r="I847" s="90"/>
      <c r="J847" s="90"/>
      <c r="K847" s="90"/>
      <c r="L847" s="90"/>
      <c r="M847" s="1956"/>
      <c r="N847" s="643"/>
      <c r="O847" s="2083"/>
      <c r="P847" s="643"/>
      <c r="Q847" s="643"/>
      <c r="R847" s="280"/>
      <c r="S847" s="280"/>
      <c r="T847" s="280"/>
      <c r="U847" s="280"/>
      <c r="V847" s="280"/>
      <c r="W847" s="79"/>
    </row>
    <row r="848" spans="1:23" ht="15.75">
      <c r="A848" s="2080"/>
      <c r="B848" s="705"/>
      <c r="C848" s="90"/>
      <c r="D848" s="2081"/>
      <c r="E848" s="2082"/>
      <c r="F848" s="1954"/>
      <c r="G848" s="90"/>
      <c r="H848" s="90"/>
      <c r="I848" s="90"/>
      <c r="J848" s="90"/>
      <c r="K848" s="90"/>
      <c r="L848" s="90"/>
      <c r="M848" s="1956"/>
      <c r="N848" s="643"/>
      <c r="O848" s="2083"/>
      <c r="P848" s="643"/>
      <c r="Q848" s="643"/>
      <c r="R848" s="280"/>
      <c r="S848" s="280"/>
      <c r="T848" s="280"/>
      <c r="U848" s="280"/>
      <c r="V848" s="280"/>
      <c r="W848" s="79"/>
    </row>
    <row r="849" spans="1:23" ht="15.75">
      <c r="A849" s="2080"/>
      <c r="B849" s="705"/>
      <c r="C849" s="90"/>
      <c r="D849" s="2081"/>
      <c r="E849" s="2082"/>
      <c r="F849" s="1954"/>
      <c r="G849" s="90"/>
      <c r="H849" s="90"/>
      <c r="I849" s="90"/>
      <c r="J849" s="90"/>
      <c r="K849" s="90"/>
      <c r="L849" s="90"/>
      <c r="M849" s="1956"/>
      <c r="N849" s="643"/>
      <c r="O849" s="2083"/>
      <c r="P849" s="643"/>
      <c r="Q849" s="643"/>
      <c r="R849" s="280"/>
      <c r="S849" s="280"/>
      <c r="T849" s="280"/>
      <c r="U849" s="280"/>
      <c r="V849" s="280"/>
      <c r="W849" s="79"/>
    </row>
    <row r="850" spans="1:23" ht="15.75">
      <c r="A850" s="2080"/>
      <c r="B850" s="705"/>
      <c r="C850" s="90"/>
      <c r="D850" s="2081"/>
      <c r="E850" s="2082"/>
      <c r="F850" s="1954"/>
      <c r="G850" s="90"/>
      <c r="H850" s="90"/>
      <c r="I850" s="90"/>
      <c r="J850" s="90"/>
      <c r="K850" s="90"/>
      <c r="L850" s="90"/>
      <c r="M850" s="1956"/>
      <c r="N850" s="643"/>
      <c r="O850" s="2083"/>
      <c r="P850" s="643"/>
      <c r="Q850" s="643"/>
      <c r="R850" s="280"/>
      <c r="S850" s="280"/>
      <c r="T850" s="280"/>
      <c r="U850" s="280"/>
      <c r="V850" s="280"/>
      <c r="W850" s="79"/>
    </row>
    <row r="851" spans="1:23" ht="15.75">
      <c r="A851" s="2080"/>
      <c r="B851" s="705"/>
      <c r="C851" s="90"/>
      <c r="D851" s="2081"/>
      <c r="E851" s="2082"/>
      <c r="F851" s="1954"/>
      <c r="G851" s="90"/>
      <c r="H851" s="90"/>
      <c r="I851" s="90"/>
      <c r="J851" s="90"/>
      <c r="K851" s="90"/>
      <c r="L851" s="90"/>
      <c r="M851" s="1956"/>
      <c r="N851" s="643"/>
      <c r="O851" s="2083"/>
      <c r="P851" s="643"/>
      <c r="Q851" s="643"/>
      <c r="R851" s="280"/>
      <c r="S851" s="280"/>
      <c r="T851" s="280"/>
      <c r="U851" s="280"/>
      <c r="V851" s="280"/>
      <c r="W851" s="79"/>
    </row>
    <row r="852" spans="1:23" ht="15.75">
      <c r="A852" s="2080"/>
      <c r="B852" s="705"/>
      <c r="C852" s="90"/>
      <c r="D852" s="2081"/>
      <c r="E852" s="2082"/>
      <c r="F852" s="1954"/>
      <c r="G852" s="90"/>
      <c r="H852" s="90"/>
      <c r="I852" s="90"/>
      <c r="J852" s="90"/>
      <c r="K852" s="90"/>
      <c r="L852" s="90"/>
      <c r="M852" s="1956"/>
      <c r="N852" s="643"/>
      <c r="O852" s="2083"/>
      <c r="P852" s="643"/>
      <c r="Q852" s="643"/>
      <c r="R852" s="280"/>
      <c r="S852" s="280"/>
      <c r="T852" s="280"/>
      <c r="U852" s="280"/>
      <c r="V852" s="280"/>
      <c r="W852" s="79"/>
    </row>
    <row r="853" spans="1:23" ht="15.75">
      <c r="A853" s="2080"/>
      <c r="B853" s="705"/>
      <c r="C853" s="90"/>
      <c r="D853" s="2081"/>
      <c r="E853" s="2082"/>
      <c r="F853" s="1954"/>
      <c r="G853" s="90"/>
      <c r="H853" s="90"/>
      <c r="I853" s="90"/>
      <c r="J853" s="90"/>
      <c r="K853" s="90"/>
      <c r="L853" s="90"/>
      <c r="M853" s="1956"/>
      <c r="N853" s="643"/>
      <c r="O853" s="2083"/>
      <c r="P853" s="643"/>
      <c r="Q853" s="643"/>
      <c r="R853" s="280"/>
      <c r="S853" s="280"/>
      <c r="T853" s="280"/>
      <c r="U853" s="280"/>
      <c r="V853" s="280"/>
      <c r="W853" s="79"/>
    </row>
    <row r="854" spans="1:23" ht="15.75">
      <c r="A854" s="2080"/>
      <c r="B854" s="705"/>
      <c r="C854" s="90"/>
      <c r="D854" s="2081"/>
      <c r="E854" s="2082"/>
      <c r="F854" s="1954"/>
      <c r="G854" s="90"/>
      <c r="H854" s="90"/>
      <c r="I854" s="90"/>
      <c r="J854" s="90"/>
      <c r="K854" s="90"/>
      <c r="L854" s="90"/>
      <c r="M854" s="1956"/>
      <c r="N854" s="643"/>
      <c r="O854" s="2083"/>
      <c r="P854" s="643"/>
      <c r="Q854" s="643"/>
      <c r="R854" s="280"/>
      <c r="S854" s="280"/>
      <c r="T854" s="280"/>
      <c r="U854" s="280"/>
      <c r="V854" s="280"/>
      <c r="W854" s="79"/>
    </row>
    <row r="855" spans="1:23" ht="15.75">
      <c r="A855" s="2080"/>
      <c r="B855" s="705"/>
      <c r="C855" s="90"/>
      <c r="D855" s="2081"/>
      <c r="E855" s="2082"/>
      <c r="F855" s="1954"/>
      <c r="G855" s="90"/>
      <c r="H855" s="90"/>
      <c r="I855" s="90"/>
      <c r="J855" s="90"/>
      <c r="K855" s="90"/>
      <c r="L855" s="90"/>
      <c r="M855" s="1956"/>
      <c r="N855" s="643"/>
      <c r="O855" s="2083"/>
      <c r="P855" s="643"/>
      <c r="Q855" s="643"/>
      <c r="R855" s="280"/>
      <c r="S855" s="280"/>
      <c r="T855" s="280"/>
      <c r="U855" s="280"/>
      <c r="V855" s="280"/>
      <c r="W855" s="79"/>
    </row>
    <row r="856" spans="1:23" ht="15.75">
      <c r="A856" s="2080"/>
      <c r="B856" s="705"/>
      <c r="C856" s="90"/>
      <c r="D856" s="2081"/>
      <c r="E856" s="2082"/>
      <c r="F856" s="1954"/>
      <c r="G856" s="90"/>
      <c r="H856" s="90"/>
      <c r="I856" s="90"/>
      <c r="J856" s="90"/>
      <c r="K856" s="90"/>
      <c r="L856" s="90"/>
      <c r="M856" s="1956"/>
      <c r="N856" s="643"/>
      <c r="O856" s="2083"/>
      <c r="P856" s="643"/>
      <c r="Q856" s="643"/>
      <c r="R856" s="280"/>
      <c r="S856" s="280"/>
      <c r="T856" s="280"/>
      <c r="U856" s="280"/>
      <c r="V856" s="280"/>
      <c r="W856" s="79"/>
    </row>
    <row r="857" spans="1:23" ht="15.75">
      <c r="A857" s="2080"/>
      <c r="B857" s="705"/>
      <c r="C857" s="90"/>
      <c r="D857" s="2081"/>
      <c r="E857" s="2082"/>
      <c r="F857" s="1954"/>
      <c r="G857" s="90"/>
      <c r="H857" s="90"/>
      <c r="I857" s="90"/>
      <c r="J857" s="90"/>
      <c r="K857" s="90"/>
      <c r="L857" s="90"/>
      <c r="M857" s="1956"/>
      <c r="N857" s="643"/>
      <c r="O857" s="2083"/>
      <c r="P857" s="643"/>
      <c r="Q857" s="643"/>
      <c r="R857" s="280"/>
      <c r="S857" s="280"/>
      <c r="T857" s="280"/>
      <c r="U857" s="280"/>
      <c r="V857" s="280"/>
      <c r="W857" s="79"/>
    </row>
    <row r="858" spans="1:23" ht="15.75">
      <c r="A858" s="2080"/>
      <c r="B858" s="705"/>
      <c r="C858" s="90"/>
      <c r="D858" s="2081"/>
      <c r="E858" s="2082"/>
      <c r="F858" s="1954"/>
      <c r="G858" s="90"/>
      <c r="H858" s="90"/>
      <c r="I858" s="90"/>
      <c r="J858" s="90"/>
      <c r="K858" s="90"/>
      <c r="L858" s="90"/>
      <c r="M858" s="1956"/>
      <c r="N858" s="643"/>
      <c r="O858" s="2083"/>
      <c r="P858" s="643"/>
      <c r="Q858" s="643"/>
      <c r="R858" s="280"/>
      <c r="S858" s="280"/>
      <c r="T858" s="280"/>
      <c r="U858" s="280"/>
      <c r="V858" s="280"/>
      <c r="W858" s="79"/>
    </row>
    <row r="859" spans="1:23" ht="15.75">
      <c r="A859" s="2080"/>
      <c r="B859" s="705"/>
      <c r="C859" s="90"/>
      <c r="D859" s="2081"/>
      <c r="E859" s="2082"/>
      <c r="F859" s="1954"/>
      <c r="G859" s="90"/>
      <c r="H859" s="90"/>
      <c r="I859" s="90"/>
      <c r="J859" s="90"/>
      <c r="K859" s="90"/>
      <c r="L859" s="90"/>
      <c r="M859" s="1956"/>
      <c r="N859" s="643"/>
      <c r="O859" s="2083"/>
      <c r="P859" s="643"/>
      <c r="Q859" s="643"/>
      <c r="R859" s="280"/>
      <c r="S859" s="280"/>
      <c r="T859" s="280"/>
      <c r="U859" s="280"/>
      <c r="V859" s="280"/>
      <c r="W859" s="79"/>
    </row>
    <row r="860" spans="1:23" ht="15.75">
      <c r="A860" s="2080"/>
      <c r="B860" s="705"/>
      <c r="C860" s="90"/>
      <c r="D860" s="2081"/>
      <c r="E860" s="2082"/>
      <c r="F860" s="1954"/>
      <c r="G860" s="90"/>
      <c r="H860" s="90"/>
      <c r="I860" s="90"/>
      <c r="J860" s="90"/>
      <c r="K860" s="90"/>
      <c r="L860" s="90"/>
      <c r="M860" s="1956"/>
      <c r="N860" s="643"/>
      <c r="O860" s="2083"/>
      <c r="P860" s="643"/>
      <c r="Q860" s="643"/>
      <c r="R860" s="280"/>
      <c r="S860" s="280"/>
      <c r="T860" s="280"/>
      <c r="U860" s="280"/>
      <c r="V860" s="280"/>
      <c r="W860" s="79"/>
    </row>
    <row r="861" spans="1:23" ht="15.75">
      <c r="A861" s="2080"/>
      <c r="B861" s="705"/>
      <c r="C861" s="90"/>
      <c r="D861" s="2081"/>
      <c r="E861" s="2082"/>
      <c r="F861" s="1954"/>
      <c r="G861" s="90"/>
      <c r="H861" s="90"/>
      <c r="I861" s="90"/>
      <c r="J861" s="90"/>
      <c r="K861" s="90"/>
      <c r="L861" s="90"/>
      <c r="M861" s="1956"/>
      <c r="N861" s="643"/>
      <c r="O861" s="2083"/>
      <c r="P861" s="643"/>
      <c r="Q861" s="643"/>
      <c r="R861" s="280"/>
      <c r="S861" s="280"/>
      <c r="T861" s="280"/>
      <c r="U861" s="280"/>
      <c r="V861" s="280"/>
      <c r="W861" s="79"/>
    </row>
    <row r="862" spans="1:23" ht="15.75">
      <c r="A862" s="2080"/>
      <c r="B862" s="705"/>
      <c r="C862" s="90"/>
      <c r="D862" s="2081"/>
      <c r="E862" s="2082"/>
      <c r="F862" s="1954"/>
      <c r="G862" s="90"/>
      <c r="H862" s="90"/>
      <c r="I862" s="90"/>
      <c r="J862" s="90"/>
      <c r="K862" s="90"/>
      <c r="L862" s="90"/>
      <c r="M862" s="1956"/>
      <c r="N862" s="643"/>
      <c r="O862" s="2083"/>
      <c r="P862" s="643"/>
      <c r="Q862" s="643"/>
      <c r="R862" s="280"/>
      <c r="S862" s="280"/>
      <c r="T862" s="280"/>
      <c r="U862" s="280"/>
      <c r="V862" s="280"/>
      <c r="W862" s="79"/>
    </row>
    <row r="863" spans="1:23" ht="15.75">
      <c r="A863" s="2080"/>
      <c r="B863" s="705"/>
      <c r="C863" s="90"/>
      <c r="D863" s="2081"/>
      <c r="E863" s="2082"/>
      <c r="F863" s="1954"/>
      <c r="G863" s="90"/>
      <c r="H863" s="90"/>
      <c r="I863" s="90"/>
      <c r="J863" s="90"/>
      <c r="K863" s="90"/>
      <c r="L863" s="90"/>
      <c r="M863" s="1956"/>
      <c r="N863" s="643"/>
      <c r="O863" s="2083"/>
      <c r="P863" s="643"/>
      <c r="Q863" s="643"/>
      <c r="R863" s="280"/>
      <c r="S863" s="280"/>
      <c r="T863" s="280"/>
      <c r="U863" s="280"/>
      <c r="V863" s="280"/>
      <c r="W863" s="79"/>
    </row>
    <row r="864" spans="1:23" ht="15.75">
      <c r="A864" s="2080"/>
      <c r="B864" s="705"/>
      <c r="C864" s="90"/>
      <c r="D864" s="2081"/>
      <c r="E864" s="2082"/>
      <c r="F864" s="1954"/>
      <c r="G864" s="90"/>
      <c r="H864" s="90"/>
      <c r="I864" s="90"/>
      <c r="J864" s="90"/>
      <c r="K864" s="90"/>
      <c r="L864" s="90"/>
      <c r="M864" s="1956"/>
      <c r="N864" s="643"/>
      <c r="O864" s="2083"/>
      <c r="P864" s="643"/>
      <c r="Q864" s="643"/>
      <c r="R864" s="280"/>
      <c r="S864" s="280"/>
      <c r="T864" s="280"/>
      <c r="U864" s="280"/>
      <c r="V864" s="280"/>
      <c r="W864" s="79"/>
    </row>
    <row r="865" spans="1:23" ht="15.75">
      <c r="A865" s="2080"/>
      <c r="B865" s="705"/>
      <c r="C865" s="90"/>
      <c r="D865" s="2081"/>
      <c r="E865" s="2082"/>
      <c r="F865" s="1954"/>
      <c r="G865" s="90"/>
      <c r="H865" s="90"/>
      <c r="I865" s="90"/>
      <c r="J865" s="90"/>
      <c r="K865" s="90"/>
      <c r="L865" s="90"/>
      <c r="M865" s="1956"/>
      <c r="N865" s="643"/>
      <c r="O865" s="2083"/>
      <c r="P865" s="643"/>
      <c r="Q865" s="643"/>
      <c r="R865" s="280"/>
      <c r="S865" s="280"/>
      <c r="T865" s="280"/>
      <c r="U865" s="280"/>
      <c r="V865" s="280"/>
      <c r="W865" s="79"/>
    </row>
    <row r="866" spans="1:23" ht="15.75">
      <c r="A866" s="2080"/>
      <c r="B866" s="705"/>
      <c r="C866" s="90"/>
      <c r="D866" s="2081"/>
      <c r="E866" s="2082"/>
      <c r="F866" s="1954"/>
      <c r="G866" s="90"/>
      <c r="H866" s="90"/>
      <c r="I866" s="90"/>
      <c r="J866" s="90"/>
      <c r="K866" s="90"/>
      <c r="L866" s="90"/>
      <c r="M866" s="1956"/>
      <c r="N866" s="643"/>
      <c r="O866" s="2083"/>
      <c r="P866" s="643"/>
      <c r="Q866" s="643"/>
      <c r="R866" s="280"/>
      <c r="S866" s="280"/>
      <c r="T866" s="280"/>
      <c r="U866" s="280"/>
      <c r="V866" s="280"/>
      <c r="W866" s="79"/>
    </row>
    <row r="867" spans="1:23" ht="15.75">
      <c r="A867" s="2080"/>
      <c r="B867" s="705"/>
      <c r="C867" s="90"/>
      <c r="D867" s="2081"/>
      <c r="E867" s="2082"/>
      <c r="F867" s="1954"/>
      <c r="G867" s="90"/>
      <c r="H867" s="90"/>
      <c r="I867" s="90"/>
      <c r="J867" s="90"/>
      <c r="K867" s="90"/>
      <c r="L867" s="90"/>
      <c r="M867" s="1956"/>
      <c r="N867" s="643"/>
      <c r="O867" s="2083"/>
      <c r="P867" s="643"/>
      <c r="Q867" s="643"/>
      <c r="R867" s="280"/>
      <c r="S867" s="280"/>
      <c r="T867" s="280"/>
      <c r="U867" s="280"/>
      <c r="V867" s="280"/>
      <c r="W867" s="79"/>
    </row>
    <row r="868" spans="1:23" ht="15.75">
      <c r="A868" s="2080"/>
      <c r="B868" s="705"/>
      <c r="C868" s="90"/>
      <c r="D868" s="2081"/>
      <c r="E868" s="2082"/>
      <c r="F868" s="1954"/>
      <c r="G868" s="90"/>
      <c r="H868" s="90"/>
      <c r="I868" s="90"/>
      <c r="J868" s="90"/>
      <c r="K868" s="90"/>
      <c r="L868" s="90"/>
      <c r="M868" s="1956"/>
      <c r="N868" s="643"/>
      <c r="O868" s="2083"/>
      <c r="P868" s="643"/>
      <c r="Q868" s="643"/>
      <c r="R868" s="280"/>
      <c r="S868" s="280"/>
      <c r="T868" s="280"/>
      <c r="U868" s="280"/>
      <c r="V868" s="280"/>
      <c r="W868" s="79"/>
    </row>
    <row r="869" spans="1:23" ht="15.75">
      <c r="A869" s="2080"/>
      <c r="B869" s="705"/>
      <c r="C869" s="90"/>
      <c r="D869" s="2081"/>
      <c r="E869" s="2082"/>
      <c r="F869" s="1954"/>
      <c r="G869" s="90"/>
      <c r="H869" s="90"/>
      <c r="I869" s="90"/>
      <c r="J869" s="90"/>
      <c r="K869" s="90"/>
      <c r="L869" s="90"/>
      <c r="M869" s="1956"/>
      <c r="N869" s="643"/>
      <c r="O869" s="2083"/>
      <c r="P869" s="643"/>
      <c r="Q869" s="643"/>
      <c r="R869" s="280"/>
      <c r="S869" s="280"/>
      <c r="T869" s="280"/>
      <c r="U869" s="280"/>
      <c r="V869" s="280"/>
      <c r="W869" s="79"/>
    </row>
    <row r="870" spans="1:23" ht="15.75">
      <c r="A870" s="2080"/>
      <c r="B870" s="705"/>
      <c r="C870" s="90"/>
      <c r="D870" s="2081"/>
      <c r="E870" s="2082"/>
      <c r="F870" s="1954"/>
      <c r="G870" s="90"/>
      <c r="H870" s="90"/>
      <c r="I870" s="90"/>
      <c r="J870" s="90"/>
      <c r="K870" s="90"/>
      <c r="L870" s="90"/>
      <c r="M870" s="1956"/>
      <c r="N870" s="643"/>
      <c r="O870" s="2083"/>
      <c r="P870" s="643"/>
      <c r="Q870" s="643"/>
      <c r="R870" s="280"/>
      <c r="S870" s="280"/>
      <c r="T870" s="280"/>
      <c r="U870" s="280"/>
      <c r="V870" s="280"/>
      <c r="W870" s="79"/>
    </row>
    <row r="871" spans="1:23" ht="15.75">
      <c r="A871" s="2080"/>
      <c r="B871" s="705"/>
      <c r="C871" s="90"/>
      <c r="D871" s="2081"/>
      <c r="E871" s="2082"/>
      <c r="F871" s="1954"/>
      <c r="G871" s="90"/>
      <c r="H871" s="90"/>
      <c r="I871" s="90"/>
      <c r="J871" s="90"/>
      <c r="K871" s="90"/>
      <c r="L871" s="90"/>
      <c r="M871" s="1956"/>
      <c r="N871" s="643"/>
      <c r="O871" s="2083"/>
      <c r="P871" s="643"/>
      <c r="Q871" s="643"/>
      <c r="R871" s="280"/>
      <c r="S871" s="280"/>
      <c r="T871" s="280"/>
      <c r="U871" s="280"/>
      <c r="V871" s="280"/>
      <c r="W871" s="79"/>
    </row>
    <row r="872" spans="1:23" ht="15.75">
      <c r="A872" s="2080"/>
      <c r="B872" s="705"/>
      <c r="C872" s="90"/>
      <c r="D872" s="2081"/>
      <c r="E872" s="2082"/>
      <c r="F872" s="1954"/>
      <c r="G872" s="90"/>
      <c r="H872" s="90"/>
      <c r="I872" s="90"/>
      <c r="J872" s="90"/>
      <c r="K872" s="90"/>
      <c r="L872" s="90"/>
      <c r="M872" s="1956"/>
      <c r="N872" s="643"/>
      <c r="O872" s="2083"/>
      <c r="P872" s="643"/>
      <c r="Q872" s="643"/>
      <c r="R872" s="280"/>
      <c r="S872" s="280"/>
      <c r="T872" s="280"/>
      <c r="U872" s="280"/>
      <c r="V872" s="280"/>
      <c r="W872" s="79"/>
    </row>
    <row r="873" spans="1:23" ht="15.75">
      <c r="A873" s="2080"/>
      <c r="B873" s="705"/>
      <c r="C873" s="90"/>
      <c r="D873" s="2081"/>
      <c r="E873" s="2082"/>
      <c r="F873" s="1954"/>
      <c r="G873" s="90"/>
      <c r="H873" s="90"/>
      <c r="I873" s="90"/>
      <c r="J873" s="90"/>
      <c r="K873" s="90"/>
      <c r="L873" s="90"/>
      <c r="M873" s="1956"/>
      <c r="N873" s="643"/>
      <c r="O873" s="2083"/>
      <c r="P873" s="643"/>
      <c r="Q873" s="643"/>
      <c r="R873" s="280"/>
      <c r="S873" s="280"/>
      <c r="T873" s="280"/>
      <c r="U873" s="280"/>
      <c r="V873" s="280"/>
      <c r="W873" s="79"/>
    </row>
    <row r="874" spans="1:23" ht="15.75">
      <c r="A874" s="2080"/>
      <c r="B874" s="705"/>
      <c r="C874" s="90"/>
      <c r="D874" s="2081"/>
      <c r="E874" s="2082"/>
      <c r="F874" s="1954"/>
      <c r="G874" s="90"/>
      <c r="H874" s="90"/>
      <c r="I874" s="90"/>
      <c r="J874" s="90"/>
      <c r="K874" s="90"/>
      <c r="L874" s="90"/>
      <c r="M874" s="1956"/>
      <c r="N874" s="643"/>
      <c r="O874" s="2083"/>
      <c r="P874" s="643"/>
      <c r="Q874" s="643"/>
      <c r="R874" s="280"/>
      <c r="S874" s="280"/>
      <c r="T874" s="280"/>
      <c r="U874" s="280"/>
      <c r="V874" s="280"/>
      <c r="W874" s="79"/>
    </row>
    <row r="875" spans="1:23" ht="15.75">
      <c r="A875" s="2080"/>
      <c r="B875" s="705"/>
      <c r="C875" s="90"/>
      <c r="D875" s="2081"/>
      <c r="E875" s="2082"/>
      <c r="F875" s="1954"/>
      <c r="G875" s="90"/>
      <c r="H875" s="90"/>
      <c r="I875" s="90"/>
      <c r="J875" s="90"/>
      <c r="K875" s="90"/>
      <c r="L875" s="90"/>
      <c r="M875" s="1956"/>
      <c r="N875" s="643"/>
      <c r="O875" s="2083"/>
      <c r="P875" s="643"/>
      <c r="Q875" s="643"/>
      <c r="R875" s="280"/>
      <c r="S875" s="280"/>
      <c r="T875" s="280"/>
      <c r="U875" s="280"/>
      <c r="V875" s="280"/>
      <c r="W875" s="79"/>
    </row>
    <row r="876" spans="1:23" ht="15.75">
      <c r="A876" s="2080"/>
      <c r="B876" s="705"/>
      <c r="C876" s="90"/>
      <c r="D876" s="2081"/>
      <c r="E876" s="2082"/>
      <c r="F876" s="1954"/>
      <c r="G876" s="90"/>
      <c r="H876" s="90"/>
      <c r="I876" s="90"/>
      <c r="J876" s="90"/>
      <c r="K876" s="90"/>
      <c r="L876" s="90"/>
      <c r="M876" s="1956"/>
      <c r="N876" s="643"/>
      <c r="O876" s="2083"/>
      <c r="P876" s="643"/>
      <c r="Q876" s="643"/>
      <c r="R876" s="280"/>
      <c r="S876" s="280"/>
      <c r="T876" s="280"/>
      <c r="U876" s="280"/>
      <c r="V876" s="280"/>
      <c r="W876" s="79"/>
    </row>
    <row r="877" spans="1:23" ht="15.75">
      <c r="A877" s="2080"/>
      <c r="B877" s="705"/>
      <c r="C877" s="90"/>
      <c r="D877" s="2081"/>
      <c r="E877" s="2082"/>
      <c r="F877" s="1954"/>
      <c r="G877" s="90"/>
      <c r="H877" s="90"/>
      <c r="I877" s="90"/>
      <c r="J877" s="90"/>
      <c r="K877" s="90"/>
      <c r="L877" s="90"/>
      <c r="M877" s="1956"/>
      <c r="N877" s="643"/>
      <c r="O877" s="2083"/>
      <c r="P877" s="643"/>
      <c r="Q877" s="643"/>
      <c r="R877" s="280"/>
      <c r="S877" s="280"/>
      <c r="T877" s="280"/>
      <c r="U877" s="280"/>
      <c r="V877" s="280"/>
      <c r="W877" s="79"/>
    </row>
    <row r="878" spans="1:23" ht="15.75">
      <c r="A878" s="2080"/>
      <c r="B878" s="705"/>
      <c r="C878" s="90"/>
      <c r="D878" s="2081"/>
      <c r="E878" s="2082"/>
      <c r="F878" s="1954"/>
      <c r="G878" s="90"/>
      <c r="H878" s="90"/>
      <c r="I878" s="90"/>
      <c r="J878" s="90"/>
      <c r="K878" s="90"/>
      <c r="L878" s="90"/>
      <c r="M878" s="1956"/>
      <c r="N878" s="643"/>
      <c r="O878" s="2083"/>
      <c r="P878" s="643"/>
      <c r="Q878" s="643"/>
      <c r="R878" s="280"/>
      <c r="S878" s="280"/>
      <c r="T878" s="280"/>
      <c r="U878" s="280"/>
      <c r="V878" s="280"/>
      <c r="W878" s="79"/>
    </row>
    <row r="879" spans="1:23" ht="15.75">
      <c r="A879" s="2080"/>
      <c r="B879" s="705"/>
      <c r="C879" s="90"/>
      <c r="D879" s="2081"/>
      <c r="E879" s="2082"/>
      <c r="F879" s="1954"/>
      <c r="G879" s="90"/>
      <c r="H879" s="90"/>
      <c r="I879" s="90"/>
      <c r="J879" s="90"/>
      <c r="K879" s="90"/>
      <c r="L879" s="90"/>
      <c r="M879" s="1956"/>
      <c r="N879" s="643"/>
      <c r="O879" s="2083"/>
      <c r="P879" s="643"/>
      <c r="Q879" s="643"/>
      <c r="R879" s="280"/>
      <c r="S879" s="280"/>
      <c r="T879" s="280"/>
      <c r="U879" s="280"/>
      <c r="V879" s="280"/>
      <c r="W879" s="79"/>
    </row>
    <row r="880" spans="1:23" ht="15.75">
      <c r="A880" s="2080"/>
      <c r="B880" s="705"/>
      <c r="C880" s="90"/>
      <c r="D880" s="2081"/>
      <c r="E880" s="2082"/>
      <c r="F880" s="1954"/>
      <c r="G880" s="90"/>
      <c r="H880" s="90"/>
      <c r="I880" s="90"/>
      <c r="J880" s="90"/>
      <c r="K880" s="90"/>
      <c r="L880" s="90"/>
      <c r="M880" s="1956"/>
      <c r="N880" s="643"/>
      <c r="O880" s="2083"/>
      <c r="P880" s="643"/>
      <c r="Q880" s="643"/>
      <c r="R880" s="280"/>
      <c r="S880" s="280"/>
      <c r="T880" s="280"/>
      <c r="U880" s="280"/>
      <c r="V880" s="280"/>
      <c r="W880" s="79"/>
    </row>
    <row r="881" spans="1:23" ht="15.75">
      <c r="A881" s="2080"/>
      <c r="B881" s="705"/>
      <c r="C881" s="90"/>
      <c r="D881" s="2081"/>
      <c r="E881" s="2082"/>
      <c r="F881" s="1954"/>
      <c r="G881" s="90"/>
      <c r="H881" s="90"/>
      <c r="I881" s="90"/>
      <c r="J881" s="90"/>
      <c r="K881" s="90"/>
      <c r="L881" s="90"/>
      <c r="M881" s="1956"/>
      <c r="N881" s="643"/>
      <c r="O881" s="2083"/>
      <c r="P881" s="643"/>
      <c r="Q881" s="643"/>
      <c r="R881" s="280"/>
      <c r="S881" s="280"/>
      <c r="T881" s="280"/>
      <c r="U881" s="280"/>
      <c r="V881" s="280"/>
      <c r="W881" s="79"/>
    </row>
    <row r="882" spans="1:23" ht="15.75">
      <c r="A882" s="2080"/>
      <c r="B882" s="705"/>
      <c r="C882" s="90"/>
      <c r="D882" s="2081"/>
      <c r="E882" s="2082"/>
      <c r="F882" s="1954"/>
      <c r="G882" s="90"/>
      <c r="H882" s="90"/>
      <c r="I882" s="90"/>
      <c r="J882" s="90"/>
      <c r="K882" s="90"/>
      <c r="L882" s="90"/>
      <c r="M882" s="1956"/>
      <c r="N882" s="643"/>
      <c r="O882" s="2083"/>
      <c r="P882" s="643"/>
      <c r="Q882" s="643"/>
      <c r="R882" s="280"/>
      <c r="S882" s="280"/>
      <c r="T882" s="280"/>
      <c r="U882" s="280"/>
      <c r="V882" s="280"/>
      <c r="W882" s="79"/>
    </row>
    <row r="883" spans="1:23" ht="15.75">
      <c r="A883" s="2080"/>
      <c r="B883" s="705"/>
      <c r="C883" s="90"/>
      <c r="D883" s="2081"/>
      <c r="E883" s="2082"/>
      <c r="F883" s="1954"/>
      <c r="G883" s="90"/>
      <c r="H883" s="90"/>
      <c r="I883" s="90"/>
      <c r="J883" s="90"/>
      <c r="K883" s="90"/>
      <c r="L883" s="90"/>
      <c r="M883" s="1956"/>
      <c r="N883" s="643"/>
      <c r="O883" s="2083"/>
      <c r="P883" s="643"/>
      <c r="Q883" s="643"/>
      <c r="R883" s="280"/>
      <c r="S883" s="280"/>
      <c r="T883" s="280"/>
      <c r="U883" s="280"/>
      <c r="V883" s="280"/>
      <c r="W883" s="79"/>
    </row>
    <row r="884" spans="1:23" ht="15.75">
      <c r="A884" s="2080"/>
      <c r="B884" s="705"/>
      <c r="C884" s="90"/>
      <c r="D884" s="2081"/>
      <c r="E884" s="2082"/>
      <c r="F884" s="1954"/>
      <c r="G884" s="90"/>
      <c r="H884" s="90"/>
      <c r="I884" s="90"/>
      <c r="J884" s="90"/>
      <c r="K884" s="90"/>
      <c r="L884" s="90"/>
      <c r="M884" s="1956"/>
      <c r="N884" s="643"/>
      <c r="O884" s="2083"/>
      <c r="P884" s="643"/>
      <c r="Q884" s="643"/>
      <c r="R884" s="280"/>
      <c r="S884" s="280"/>
      <c r="T884" s="280"/>
      <c r="U884" s="280"/>
      <c r="V884" s="280"/>
      <c r="W884" s="79"/>
    </row>
    <row r="885" spans="1:23" ht="15.75">
      <c r="A885" s="2080"/>
      <c r="B885" s="705"/>
      <c r="C885" s="90"/>
      <c r="D885" s="2081"/>
      <c r="E885" s="2082"/>
      <c r="F885" s="1954"/>
      <c r="G885" s="90"/>
      <c r="H885" s="90"/>
      <c r="I885" s="90"/>
      <c r="J885" s="90"/>
      <c r="K885" s="90"/>
      <c r="L885" s="90"/>
      <c r="M885" s="1956"/>
      <c r="N885" s="643"/>
      <c r="O885" s="2083"/>
      <c r="P885" s="643"/>
      <c r="Q885" s="643"/>
      <c r="R885" s="280"/>
      <c r="S885" s="280"/>
      <c r="T885" s="280"/>
      <c r="U885" s="280"/>
      <c r="V885" s="280"/>
      <c r="W885" s="79"/>
    </row>
    <row r="886" spans="1:23" ht="15.75">
      <c r="A886" s="2080"/>
      <c r="B886" s="705"/>
      <c r="C886" s="90"/>
      <c r="D886" s="2081"/>
      <c r="E886" s="2082"/>
      <c r="F886" s="1954"/>
      <c r="G886" s="90"/>
      <c r="H886" s="90"/>
      <c r="I886" s="90"/>
      <c r="J886" s="90"/>
      <c r="K886" s="90"/>
      <c r="L886" s="90"/>
      <c r="M886" s="1956"/>
      <c r="N886" s="643"/>
      <c r="O886" s="2083"/>
      <c r="P886" s="643"/>
      <c r="Q886" s="643"/>
      <c r="R886" s="280"/>
      <c r="S886" s="280"/>
      <c r="T886" s="280"/>
      <c r="U886" s="280"/>
      <c r="V886" s="280"/>
      <c r="W886" s="79"/>
    </row>
    <row r="887" spans="1:23" ht="15.75">
      <c r="A887" s="2080"/>
      <c r="B887" s="705"/>
      <c r="C887" s="90"/>
      <c r="D887" s="2081"/>
      <c r="E887" s="2082"/>
      <c r="F887" s="1954"/>
      <c r="G887" s="90"/>
      <c r="H887" s="90"/>
      <c r="I887" s="90"/>
      <c r="J887" s="90"/>
      <c r="K887" s="90"/>
      <c r="L887" s="90"/>
      <c r="M887" s="1956"/>
      <c r="N887" s="643"/>
      <c r="O887" s="2083"/>
      <c r="P887" s="643"/>
      <c r="Q887" s="643"/>
      <c r="R887" s="280"/>
      <c r="S887" s="280"/>
      <c r="T887" s="280"/>
      <c r="U887" s="280"/>
      <c r="V887" s="280"/>
      <c r="W887" s="79"/>
    </row>
    <row r="888" spans="1:23" ht="15.75">
      <c r="A888" s="2080"/>
      <c r="B888" s="705"/>
      <c r="C888" s="90"/>
      <c r="D888" s="2081"/>
      <c r="E888" s="2082"/>
      <c r="F888" s="1954"/>
      <c r="G888" s="90"/>
      <c r="H888" s="90"/>
      <c r="I888" s="90"/>
      <c r="J888" s="90"/>
      <c r="K888" s="90"/>
      <c r="L888" s="90"/>
      <c r="M888" s="1956"/>
      <c r="N888" s="643"/>
      <c r="O888" s="2083"/>
      <c r="P888" s="643"/>
      <c r="Q888" s="643"/>
      <c r="R888" s="280"/>
      <c r="S888" s="280"/>
      <c r="T888" s="280"/>
      <c r="U888" s="280"/>
      <c r="V888" s="280"/>
      <c r="W888" s="79"/>
    </row>
    <row r="889" spans="1:23" ht="15.75">
      <c r="A889" s="2080"/>
      <c r="B889" s="705"/>
      <c r="C889" s="90"/>
      <c r="D889" s="2081"/>
      <c r="E889" s="2082"/>
      <c r="F889" s="1954"/>
      <c r="G889" s="90"/>
      <c r="H889" s="90"/>
      <c r="I889" s="90"/>
      <c r="J889" s="90"/>
      <c r="K889" s="90"/>
      <c r="L889" s="90"/>
      <c r="M889" s="1956"/>
      <c r="N889" s="643"/>
      <c r="O889" s="2083"/>
      <c r="P889" s="643"/>
      <c r="Q889" s="643"/>
      <c r="R889" s="280"/>
      <c r="S889" s="280"/>
      <c r="T889" s="280"/>
      <c r="U889" s="280"/>
      <c r="V889" s="280"/>
      <c r="W889" s="79"/>
    </row>
    <row r="890" spans="1:23" ht="15.75">
      <c r="A890" s="2080"/>
      <c r="B890" s="705"/>
      <c r="C890" s="90"/>
      <c r="D890" s="2081"/>
      <c r="E890" s="2082"/>
      <c r="F890" s="1954"/>
      <c r="G890" s="90"/>
      <c r="H890" s="90"/>
      <c r="I890" s="90"/>
      <c r="J890" s="90"/>
      <c r="K890" s="90"/>
      <c r="L890" s="90"/>
      <c r="M890" s="1956"/>
      <c r="N890" s="643"/>
      <c r="O890" s="2083"/>
      <c r="P890" s="643"/>
      <c r="Q890" s="643"/>
      <c r="R890" s="280"/>
      <c r="S890" s="280"/>
      <c r="T890" s="280"/>
      <c r="U890" s="280"/>
      <c r="V890" s="280"/>
      <c r="W890" s="79"/>
    </row>
    <row r="891" spans="1:23" ht="15.75">
      <c r="A891" s="2080"/>
      <c r="B891" s="705"/>
      <c r="C891" s="90"/>
      <c r="D891" s="2081"/>
      <c r="E891" s="2082"/>
      <c r="F891" s="1954"/>
      <c r="G891" s="90"/>
      <c r="H891" s="90"/>
      <c r="I891" s="90"/>
      <c r="J891" s="90"/>
      <c r="K891" s="90"/>
      <c r="L891" s="90"/>
      <c r="M891" s="1956"/>
      <c r="N891" s="643"/>
      <c r="O891" s="2083"/>
      <c r="P891" s="643"/>
      <c r="Q891" s="643"/>
      <c r="R891" s="280"/>
      <c r="S891" s="280"/>
      <c r="T891" s="280"/>
      <c r="U891" s="280"/>
      <c r="V891" s="280"/>
      <c r="W891" s="79"/>
    </row>
    <row r="892" spans="1:23" ht="15.75">
      <c r="A892" s="2080"/>
      <c r="B892" s="705"/>
      <c r="C892" s="90"/>
      <c r="D892" s="2081"/>
      <c r="E892" s="2082"/>
      <c r="F892" s="1954"/>
      <c r="G892" s="90"/>
      <c r="H892" s="90"/>
      <c r="I892" s="90"/>
      <c r="J892" s="90"/>
      <c r="K892" s="90"/>
      <c r="L892" s="90"/>
      <c r="M892" s="1956"/>
      <c r="N892" s="643"/>
      <c r="O892" s="2083"/>
      <c r="P892" s="643"/>
      <c r="Q892" s="643"/>
      <c r="R892" s="280"/>
      <c r="S892" s="280"/>
      <c r="T892" s="280"/>
      <c r="U892" s="280"/>
      <c r="V892" s="280"/>
      <c r="W892" s="79"/>
    </row>
    <row r="893" spans="1:23" ht="15.75">
      <c r="A893" s="2080"/>
      <c r="B893" s="705"/>
      <c r="C893" s="90"/>
      <c r="D893" s="2081"/>
      <c r="E893" s="2082"/>
      <c r="F893" s="1954"/>
      <c r="G893" s="90"/>
      <c r="H893" s="90"/>
      <c r="I893" s="90"/>
      <c r="J893" s="90"/>
      <c r="K893" s="90"/>
      <c r="L893" s="90"/>
      <c r="M893" s="1956"/>
      <c r="N893" s="643"/>
      <c r="O893" s="2083"/>
      <c r="P893" s="643"/>
      <c r="Q893" s="643"/>
      <c r="R893" s="280"/>
      <c r="S893" s="280"/>
      <c r="T893" s="280"/>
      <c r="U893" s="280"/>
      <c r="V893" s="280"/>
      <c r="W893" s="79"/>
    </row>
    <row r="894" spans="1:23" ht="15.75">
      <c r="A894" s="2080"/>
      <c r="B894" s="705"/>
      <c r="C894" s="90"/>
      <c r="D894" s="2081"/>
      <c r="E894" s="2082"/>
      <c r="F894" s="1954"/>
      <c r="G894" s="90"/>
      <c r="H894" s="90"/>
      <c r="I894" s="90"/>
      <c r="J894" s="90"/>
      <c r="K894" s="90"/>
      <c r="L894" s="90"/>
      <c r="M894" s="1956"/>
      <c r="N894" s="643"/>
      <c r="O894" s="2083"/>
      <c r="P894" s="643"/>
      <c r="Q894" s="643"/>
      <c r="R894" s="280"/>
      <c r="S894" s="280"/>
      <c r="T894" s="280"/>
      <c r="U894" s="280"/>
      <c r="V894" s="280"/>
      <c r="W894" s="79"/>
    </row>
    <row r="895" spans="1:23" ht="15.75">
      <c r="A895" s="2080"/>
      <c r="B895" s="705"/>
      <c r="C895" s="90"/>
      <c r="D895" s="2081"/>
      <c r="E895" s="2082"/>
      <c r="F895" s="1954"/>
      <c r="G895" s="90"/>
      <c r="H895" s="90"/>
      <c r="I895" s="90"/>
      <c r="J895" s="90"/>
      <c r="K895" s="90"/>
      <c r="L895" s="90"/>
      <c r="M895" s="1956"/>
      <c r="N895" s="643"/>
      <c r="O895" s="2083"/>
      <c r="P895" s="643"/>
      <c r="Q895" s="643"/>
      <c r="R895" s="280"/>
      <c r="S895" s="280"/>
      <c r="T895" s="280"/>
      <c r="U895" s="280"/>
      <c r="V895" s="280"/>
      <c r="W895" s="79"/>
    </row>
    <row r="896" spans="1:23" ht="15.75">
      <c r="A896" s="2080"/>
      <c r="B896" s="705"/>
      <c r="C896" s="90"/>
      <c r="D896" s="2081"/>
      <c r="E896" s="2082"/>
      <c r="F896" s="1954"/>
      <c r="G896" s="90"/>
      <c r="H896" s="90"/>
      <c r="I896" s="90"/>
      <c r="J896" s="90"/>
      <c r="K896" s="90"/>
      <c r="L896" s="90"/>
      <c r="M896" s="1956"/>
      <c r="N896" s="643"/>
      <c r="O896" s="2083"/>
      <c r="P896" s="643"/>
      <c r="Q896" s="643"/>
      <c r="R896" s="280"/>
      <c r="S896" s="280"/>
      <c r="T896" s="280"/>
      <c r="U896" s="280"/>
      <c r="V896" s="280"/>
      <c r="W896" s="79"/>
    </row>
    <row r="897" spans="1:23" ht="15.75">
      <c r="A897" s="2080"/>
      <c r="B897" s="705"/>
      <c r="C897" s="90"/>
      <c r="D897" s="2081"/>
      <c r="E897" s="2082"/>
      <c r="F897" s="1954"/>
      <c r="G897" s="90"/>
      <c r="H897" s="90"/>
      <c r="I897" s="90"/>
      <c r="J897" s="90"/>
      <c r="K897" s="90"/>
      <c r="L897" s="90"/>
      <c r="M897" s="1956"/>
      <c r="N897" s="643"/>
      <c r="O897" s="2083"/>
      <c r="P897" s="643"/>
      <c r="Q897" s="643"/>
      <c r="R897" s="280"/>
      <c r="S897" s="280"/>
      <c r="T897" s="280"/>
      <c r="U897" s="280"/>
      <c r="V897" s="280"/>
      <c r="W897" s="79"/>
    </row>
    <row r="898" spans="1:23" ht="15.75">
      <c r="A898" s="2080"/>
      <c r="B898" s="705"/>
      <c r="C898" s="90"/>
      <c r="D898" s="2081"/>
      <c r="E898" s="2082"/>
      <c r="F898" s="1954"/>
      <c r="G898" s="90"/>
      <c r="H898" s="90"/>
      <c r="I898" s="90"/>
      <c r="J898" s="90"/>
      <c r="K898" s="90"/>
      <c r="L898" s="90"/>
      <c r="M898" s="1956"/>
      <c r="N898" s="643"/>
      <c r="O898" s="2083"/>
      <c r="P898" s="643"/>
      <c r="Q898" s="643"/>
      <c r="R898" s="280"/>
      <c r="S898" s="280"/>
      <c r="T898" s="280"/>
      <c r="U898" s="280"/>
      <c r="V898" s="280"/>
      <c r="W898" s="79"/>
    </row>
    <row r="899" spans="1:23" ht="15.75">
      <c r="A899" s="2080"/>
      <c r="B899" s="705"/>
      <c r="C899" s="90"/>
      <c r="D899" s="2081"/>
      <c r="E899" s="2082"/>
      <c r="F899" s="1954"/>
      <c r="G899" s="90"/>
      <c r="H899" s="90"/>
      <c r="I899" s="90"/>
      <c r="J899" s="90"/>
      <c r="K899" s="90"/>
      <c r="L899" s="90"/>
      <c r="M899" s="1956"/>
      <c r="N899" s="643"/>
      <c r="O899" s="2083"/>
      <c r="P899" s="643"/>
      <c r="Q899" s="643"/>
      <c r="R899" s="280"/>
      <c r="S899" s="280"/>
      <c r="T899" s="280"/>
      <c r="U899" s="280"/>
      <c r="V899" s="280"/>
      <c r="W899" s="79"/>
    </row>
    <row r="900" spans="1:23" ht="15.75">
      <c r="A900" s="2080"/>
      <c r="B900" s="705"/>
      <c r="C900" s="90"/>
      <c r="D900" s="2081"/>
      <c r="E900" s="2082"/>
      <c r="F900" s="1954"/>
      <c r="G900" s="90"/>
      <c r="H900" s="90"/>
      <c r="I900" s="90"/>
      <c r="J900" s="90"/>
      <c r="K900" s="90"/>
      <c r="L900" s="90"/>
      <c r="M900" s="1956"/>
      <c r="N900" s="643"/>
      <c r="O900" s="2083"/>
      <c r="P900" s="643"/>
      <c r="Q900" s="643"/>
      <c r="R900" s="280"/>
      <c r="S900" s="280"/>
      <c r="T900" s="280"/>
      <c r="U900" s="280"/>
      <c r="V900" s="280"/>
      <c r="W900" s="79"/>
    </row>
    <row r="901" spans="1:23" ht="15.75">
      <c r="A901" s="2080"/>
      <c r="B901" s="705"/>
      <c r="C901" s="90"/>
      <c r="D901" s="2081"/>
      <c r="E901" s="2082"/>
      <c r="F901" s="1954"/>
      <c r="G901" s="90"/>
      <c r="H901" s="90"/>
      <c r="I901" s="90"/>
      <c r="J901" s="90"/>
      <c r="K901" s="90"/>
      <c r="L901" s="90"/>
      <c r="M901" s="1956"/>
      <c r="N901" s="643"/>
      <c r="O901" s="2083"/>
      <c r="P901" s="643"/>
      <c r="Q901" s="643"/>
      <c r="R901" s="280"/>
      <c r="S901" s="280"/>
      <c r="T901" s="280"/>
      <c r="U901" s="280"/>
      <c r="V901" s="280"/>
      <c r="W901" s="79"/>
    </row>
    <row r="902" spans="1:23" ht="15.75">
      <c r="A902" s="2080"/>
      <c r="B902" s="705"/>
      <c r="C902" s="90"/>
      <c r="D902" s="2081"/>
      <c r="E902" s="2082"/>
      <c r="F902" s="1954"/>
      <c r="G902" s="90"/>
      <c r="H902" s="90"/>
      <c r="I902" s="90"/>
      <c r="J902" s="90"/>
      <c r="K902" s="90"/>
      <c r="L902" s="90"/>
      <c r="M902" s="1956"/>
      <c r="N902" s="643"/>
      <c r="O902" s="2083"/>
      <c r="P902" s="643"/>
      <c r="Q902" s="643"/>
      <c r="R902" s="280"/>
      <c r="S902" s="280"/>
      <c r="T902" s="280"/>
      <c r="U902" s="280"/>
      <c r="V902" s="280"/>
      <c r="W902" s="79"/>
    </row>
    <row r="903" spans="1:23" ht="15.75">
      <c r="A903" s="2080"/>
      <c r="B903" s="705"/>
      <c r="C903" s="90"/>
      <c r="D903" s="2081"/>
      <c r="E903" s="2082"/>
      <c r="F903" s="1954"/>
      <c r="G903" s="90"/>
      <c r="H903" s="90"/>
      <c r="I903" s="90"/>
      <c r="J903" s="90"/>
      <c r="K903" s="90"/>
      <c r="L903" s="90"/>
      <c r="M903" s="1956"/>
      <c r="N903" s="643"/>
      <c r="O903" s="2083"/>
      <c r="P903" s="643"/>
      <c r="Q903" s="643"/>
      <c r="R903" s="280"/>
      <c r="S903" s="280"/>
      <c r="T903" s="280"/>
      <c r="U903" s="280"/>
      <c r="V903" s="280"/>
      <c r="W903" s="79"/>
    </row>
    <row r="904" spans="1:23" ht="15.75">
      <c r="A904" s="2080"/>
      <c r="B904" s="705"/>
      <c r="C904" s="90"/>
      <c r="D904" s="2081"/>
      <c r="E904" s="2082"/>
      <c r="F904" s="1954"/>
      <c r="G904" s="90"/>
      <c r="H904" s="90"/>
      <c r="I904" s="90"/>
      <c r="J904" s="90"/>
      <c r="K904" s="90"/>
      <c r="L904" s="90"/>
      <c r="M904" s="1956"/>
      <c r="N904" s="643"/>
      <c r="O904" s="2083"/>
      <c r="P904" s="643"/>
      <c r="Q904" s="643"/>
      <c r="R904" s="280"/>
      <c r="S904" s="280"/>
      <c r="T904" s="280"/>
      <c r="U904" s="280"/>
      <c r="V904" s="280"/>
      <c r="W904" s="79"/>
    </row>
    <row r="905" spans="1:23" ht="15.75">
      <c r="A905" s="2080"/>
      <c r="B905" s="705"/>
      <c r="C905" s="90"/>
      <c r="D905" s="2081"/>
      <c r="E905" s="2082"/>
      <c r="F905" s="1954"/>
      <c r="G905" s="90"/>
      <c r="H905" s="90"/>
      <c r="I905" s="90"/>
      <c r="J905" s="90"/>
      <c r="K905" s="90"/>
      <c r="L905" s="90"/>
      <c r="M905" s="1956"/>
      <c r="N905" s="643"/>
      <c r="O905" s="2083"/>
      <c r="P905" s="643"/>
      <c r="Q905" s="643"/>
      <c r="R905" s="280"/>
      <c r="S905" s="280"/>
      <c r="T905" s="280"/>
      <c r="U905" s="280"/>
      <c r="V905" s="280"/>
      <c r="W905" s="79"/>
    </row>
    <row r="906" spans="1:23" ht="15.75">
      <c r="A906" s="2080"/>
      <c r="B906" s="705"/>
      <c r="C906" s="90"/>
      <c r="D906" s="2081"/>
      <c r="E906" s="2082"/>
      <c r="F906" s="1954"/>
      <c r="G906" s="90"/>
      <c r="H906" s="90"/>
      <c r="I906" s="90"/>
      <c r="J906" s="90"/>
      <c r="K906" s="90"/>
      <c r="L906" s="90"/>
      <c r="M906" s="1956"/>
      <c r="N906" s="643"/>
      <c r="O906" s="2083"/>
      <c r="P906" s="643"/>
      <c r="Q906" s="643"/>
      <c r="R906" s="280"/>
      <c r="S906" s="280"/>
      <c r="T906" s="280"/>
      <c r="U906" s="280"/>
      <c r="V906" s="280"/>
      <c r="W906" s="79"/>
    </row>
    <row r="907" spans="1:23" ht="15.75">
      <c r="A907" s="2080"/>
      <c r="B907" s="705"/>
      <c r="C907" s="90"/>
      <c r="D907" s="2081"/>
      <c r="E907" s="2082"/>
      <c r="F907" s="1954"/>
      <c r="G907" s="90"/>
      <c r="H907" s="90"/>
      <c r="I907" s="90"/>
      <c r="J907" s="90"/>
      <c r="K907" s="90"/>
      <c r="L907" s="90"/>
      <c r="M907" s="1956"/>
      <c r="N907" s="643"/>
      <c r="O907" s="2083"/>
      <c r="P907" s="643"/>
      <c r="Q907" s="643"/>
      <c r="R907" s="280"/>
      <c r="S907" s="280"/>
      <c r="T907" s="280"/>
      <c r="U907" s="280"/>
      <c r="V907" s="280"/>
      <c r="W907" s="79"/>
    </row>
    <row r="908" spans="1:23" ht="15.75">
      <c r="A908" s="2080"/>
      <c r="B908" s="705"/>
      <c r="C908" s="90"/>
      <c r="D908" s="2081"/>
      <c r="E908" s="2082"/>
      <c r="F908" s="1954"/>
      <c r="G908" s="90"/>
      <c r="H908" s="90"/>
      <c r="I908" s="90"/>
      <c r="J908" s="90"/>
      <c r="K908" s="90"/>
      <c r="L908" s="90"/>
      <c r="M908" s="1956"/>
      <c r="N908" s="643"/>
      <c r="O908" s="2083"/>
      <c r="P908" s="643"/>
      <c r="Q908" s="643"/>
      <c r="R908" s="280"/>
      <c r="S908" s="280"/>
      <c r="T908" s="280"/>
      <c r="U908" s="280"/>
      <c r="V908" s="280"/>
      <c r="W908" s="79"/>
    </row>
    <row r="909" spans="1:23" ht="15.75">
      <c r="A909" s="2080"/>
      <c r="B909" s="705"/>
      <c r="C909" s="90"/>
      <c r="D909" s="2081"/>
      <c r="E909" s="2082"/>
      <c r="F909" s="1954"/>
      <c r="G909" s="90"/>
      <c r="H909" s="90"/>
      <c r="I909" s="90"/>
      <c r="J909" s="90"/>
      <c r="K909" s="90"/>
      <c r="L909" s="90"/>
      <c r="M909" s="1956"/>
      <c r="N909" s="643"/>
      <c r="O909" s="2083"/>
      <c r="P909" s="643"/>
      <c r="Q909" s="643"/>
      <c r="R909" s="280"/>
      <c r="S909" s="280"/>
      <c r="T909" s="280"/>
      <c r="U909" s="280"/>
      <c r="V909" s="280"/>
      <c r="W909" s="79"/>
    </row>
    <row r="910" spans="1:23" ht="15.75">
      <c r="A910" s="2080"/>
      <c r="B910" s="705"/>
      <c r="C910" s="90"/>
      <c r="D910" s="2081"/>
      <c r="E910" s="2082"/>
      <c r="F910" s="1954"/>
      <c r="G910" s="90"/>
      <c r="H910" s="90"/>
      <c r="I910" s="90"/>
      <c r="J910" s="90"/>
      <c r="K910" s="90"/>
      <c r="L910" s="90"/>
      <c r="M910" s="1956"/>
      <c r="N910" s="643"/>
      <c r="O910" s="2083"/>
      <c r="P910" s="643"/>
      <c r="Q910" s="643"/>
      <c r="R910" s="280"/>
      <c r="S910" s="280"/>
      <c r="T910" s="280"/>
      <c r="U910" s="280"/>
      <c r="V910" s="280"/>
      <c r="W910" s="79"/>
    </row>
    <row r="911" spans="1:23" ht="15.75">
      <c r="A911" s="2080"/>
      <c r="B911" s="705"/>
      <c r="C911" s="90"/>
      <c r="D911" s="2081"/>
      <c r="E911" s="2082"/>
      <c r="F911" s="1954"/>
      <c r="G911" s="90"/>
      <c r="H911" s="90"/>
      <c r="I911" s="90"/>
      <c r="J911" s="90"/>
      <c r="K911" s="90"/>
      <c r="L911" s="90"/>
      <c r="M911" s="1956"/>
      <c r="N911" s="643"/>
      <c r="O911" s="2083"/>
      <c r="P911" s="643"/>
      <c r="Q911" s="643"/>
      <c r="R911" s="280"/>
      <c r="S911" s="280"/>
      <c r="T911" s="280"/>
      <c r="U911" s="280"/>
      <c r="V911" s="280"/>
      <c r="W911" s="79"/>
    </row>
    <row r="912" spans="1:23" ht="15.75">
      <c r="A912" s="2080"/>
      <c r="B912" s="705"/>
      <c r="C912" s="90"/>
      <c r="D912" s="2081"/>
      <c r="E912" s="2082"/>
      <c r="F912" s="1954"/>
      <c r="G912" s="90"/>
      <c r="H912" s="90"/>
      <c r="I912" s="90"/>
      <c r="J912" s="90"/>
      <c r="K912" s="90"/>
      <c r="L912" s="90"/>
      <c r="M912" s="1956"/>
      <c r="N912" s="643"/>
      <c r="O912" s="2083"/>
      <c r="P912" s="643"/>
      <c r="Q912" s="643"/>
      <c r="R912" s="280"/>
      <c r="S912" s="280"/>
      <c r="T912" s="280"/>
      <c r="U912" s="280"/>
      <c r="V912" s="280"/>
      <c r="W912" s="79"/>
    </row>
    <row r="913" spans="1:23" ht="15.75">
      <c r="A913" s="2080"/>
      <c r="B913" s="705"/>
      <c r="C913" s="90"/>
      <c r="D913" s="2081"/>
      <c r="E913" s="2082"/>
      <c r="F913" s="1954"/>
      <c r="G913" s="90"/>
      <c r="H913" s="90"/>
      <c r="I913" s="90"/>
      <c r="J913" s="90"/>
      <c r="K913" s="90"/>
      <c r="L913" s="90"/>
      <c r="M913" s="1956"/>
      <c r="N913" s="643"/>
      <c r="O913" s="2083"/>
      <c r="P913" s="643"/>
      <c r="Q913" s="643"/>
      <c r="R913" s="280"/>
      <c r="S913" s="280"/>
      <c r="T913" s="280"/>
      <c r="U913" s="280"/>
      <c r="V913" s="280"/>
      <c r="W913" s="79"/>
    </row>
    <row r="914" spans="1:23" ht="15.75">
      <c r="A914" s="2080"/>
      <c r="B914" s="705"/>
      <c r="C914" s="90"/>
      <c r="D914" s="2081"/>
      <c r="E914" s="2082"/>
      <c r="F914" s="1954"/>
      <c r="G914" s="90"/>
      <c r="H914" s="90"/>
      <c r="I914" s="90"/>
      <c r="J914" s="90"/>
      <c r="K914" s="90"/>
      <c r="L914" s="90"/>
      <c r="M914" s="1956"/>
      <c r="N914" s="643"/>
      <c r="O914" s="2083"/>
      <c r="P914" s="643"/>
      <c r="Q914" s="643"/>
      <c r="R914" s="280"/>
      <c r="S914" s="280"/>
      <c r="T914" s="280"/>
      <c r="U914" s="280"/>
      <c r="V914" s="280"/>
      <c r="W914" s="79"/>
    </row>
    <row r="915" spans="1:23" ht="15.75">
      <c r="A915" s="2080"/>
      <c r="B915" s="705"/>
      <c r="C915" s="90"/>
      <c r="D915" s="2081"/>
      <c r="E915" s="2082"/>
      <c r="F915" s="1954"/>
      <c r="G915" s="90"/>
      <c r="H915" s="90"/>
      <c r="I915" s="90"/>
      <c r="J915" s="90"/>
      <c r="K915" s="90"/>
      <c r="L915" s="90"/>
      <c r="M915" s="1956"/>
      <c r="N915" s="643"/>
      <c r="O915" s="2083"/>
      <c r="P915" s="643"/>
      <c r="Q915" s="643"/>
      <c r="R915" s="280"/>
      <c r="S915" s="280"/>
      <c r="T915" s="280"/>
      <c r="U915" s="280"/>
      <c r="V915" s="280"/>
      <c r="W915" s="79"/>
    </row>
    <row r="916" spans="1:23" ht="15.75">
      <c r="A916" s="2080"/>
      <c r="B916" s="705"/>
      <c r="C916" s="90"/>
      <c r="D916" s="2081"/>
      <c r="E916" s="2082"/>
      <c r="F916" s="1954"/>
      <c r="G916" s="90"/>
      <c r="H916" s="90"/>
      <c r="I916" s="90"/>
      <c r="J916" s="90"/>
      <c r="K916" s="90"/>
      <c r="L916" s="90"/>
      <c r="M916" s="1956"/>
      <c r="N916" s="643"/>
      <c r="O916" s="2083"/>
      <c r="P916" s="643"/>
      <c r="Q916" s="643"/>
      <c r="R916" s="280"/>
      <c r="S916" s="280"/>
      <c r="T916" s="280"/>
      <c r="U916" s="280"/>
      <c r="V916" s="280"/>
      <c r="W916" s="79"/>
    </row>
    <row r="917" spans="1:23" ht="15.75">
      <c r="A917" s="2080"/>
      <c r="B917" s="705"/>
      <c r="C917" s="90"/>
      <c r="D917" s="2081"/>
      <c r="E917" s="2082"/>
      <c r="F917" s="1954"/>
      <c r="G917" s="90"/>
      <c r="H917" s="90"/>
      <c r="I917" s="90"/>
      <c r="J917" s="90"/>
      <c r="K917" s="90"/>
      <c r="L917" s="90"/>
      <c r="M917" s="1956"/>
      <c r="N917" s="643"/>
      <c r="O917" s="2083"/>
      <c r="P917" s="643"/>
      <c r="Q917" s="643"/>
      <c r="R917" s="280"/>
      <c r="S917" s="280"/>
      <c r="T917" s="280"/>
      <c r="U917" s="280"/>
      <c r="V917" s="280"/>
      <c r="W917" s="79"/>
    </row>
    <row r="918" spans="1:23" ht="15.75">
      <c r="A918" s="2080"/>
      <c r="B918" s="705"/>
      <c r="C918" s="90"/>
      <c r="D918" s="2081"/>
      <c r="E918" s="2082"/>
      <c r="F918" s="1954"/>
      <c r="G918" s="90"/>
      <c r="H918" s="90"/>
      <c r="I918" s="90"/>
      <c r="J918" s="90"/>
      <c r="K918" s="90"/>
      <c r="L918" s="90"/>
      <c r="M918" s="1956"/>
      <c r="N918" s="643"/>
      <c r="O918" s="2083"/>
      <c r="P918" s="643"/>
      <c r="Q918" s="643"/>
      <c r="R918" s="280"/>
      <c r="S918" s="280"/>
      <c r="T918" s="280"/>
      <c r="U918" s="280"/>
      <c r="V918" s="280"/>
      <c r="W918" s="79"/>
    </row>
    <row r="919" spans="1:23" ht="15.75">
      <c r="A919" s="2080"/>
      <c r="B919" s="705"/>
      <c r="C919" s="90"/>
      <c r="D919" s="2081"/>
      <c r="E919" s="2082"/>
      <c r="F919" s="1954"/>
      <c r="G919" s="90"/>
      <c r="H919" s="90"/>
      <c r="I919" s="90"/>
      <c r="J919" s="90"/>
      <c r="K919" s="90"/>
      <c r="L919" s="90"/>
      <c r="M919" s="1956"/>
      <c r="N919" s="643"/>
      <c r="O919" s="2083"/>
      <c r="P919" s="643"/>
      <c r="Q919" s="643"/>
      <c r="R919" s="280"/>
      <c r="S919" s="280"/>
      <c r="T919" s="280"/>
      <c r="U919" s="280"/>
      <c r="V919" s="280"/>
      <c r="W919" s="79"/>
    </row>
    <row r="920" spans="1:23" ht="15.75">
      <c r="A920" s="2080"/>
      <c r="B920" s="705"/>
      <c r="C920" s="90"/>
      <c r="D920" s="2081"/>
      <c r="E920" s="2082"/>
      <c r="F920" s="1954"/>
      <c r="G920" s="90"/>
      <c r="H920" s="90"/>
      <c r="I920" s="90"/>
      <c r="J920" s="90"/>
      <c r="K920" s="90"/>
      <c r="L920" s="90"/>
      <c r="M920" s="1956"/>
      <c r="N920" s="643"/>
      <c r="O920" s="2083"/>
      <c r="P920" s="643"/>
      <c r="Q920" s="643"/>
      <c r="R920" s="280"/>
      <c r="S920" s="280"/>
      <c r="T920" s="280"/>
      <c r="U920" s="280"/>
      <c r="V920" s="280"/>
      <c r="W920" s="79"/>
    </row>
    <row r="921" spans="1:23" ht="15.75">
      <c r="A921" s="2080"/>
      <c r="B921" s="705"/>
      <c r="C921" s="90"/>
      <c r="D921" s="2081"/>
      <c r="E921" s="2082"/>
      <c r="F921" s="1954"/>
      <c r="G921" s="90"/>
      <c r="H921" s="90"/>
      <c r="I921" s="90"/>
      <c r="J921" s="90"/>
      <c r="K921" s="90"/>
      <c r="L921" s="90"/>
      <c r="M921" s="1956"/>
      <c r="N921" s="643"/>
      <c r="O921" s="2083"/>
      <c r="P921" s="643"/>
      <c r="Q921" s="643"/>
      <c r="R921" s="280"/>
      <c r="S921" s="280"/>
      <c r="T921" s="280"/>
      <c r="U921" s="280"/>
      <c r="V921" s="280"/>
      <c r="W921" s="79"/>
    </row>
    <row r="922" spans="1:23" ht="15.75">
      <c r="A922" s="2080"/>
      <c r="B922" s="705"/>
      <c r="C922" s="90"/>
      <c r="D922" s="2081"/>
      <c r="E922" s="2082"/>
      <c r="F922" s="1954"/>
      <c r="G922" s="90"/>
      <c r="H922" s="90"/>
      <c r="I922" s="90"/>
      <c r="J922" s="90"/>
      <c r="K922" s="90"/>
      <c r="L922" s="90"/>
      <c r="M922" s="1956"/>
      <c r="N922" s="643"/>
      <c r="O922" s="2083"/>
      <c r="P922" s="643"/>
      <c r="Q922" s="643"/>
      <c r="R922" s="280"/>
      <c r="S922" s="280"/>
      <c r="T922" s="280"/>
      <c r="U922" s="280"/>
      <c r="V922" s="280"/>
      <c r="W922" s="79"/>
    </row>
    <row r="923" spans="1:23" ht="15.75">
      <c r="A923" s="2080"/>
      <c r="B923" s="705"/>
      <c r="C923" s="90"/>
      <c r="D923" s="2081"/>
      <c r="E923" s="2082"/>
      <c r="F923" s="1954"/>
      <c r="G923" s="90"/>
      <c r="H923" s="90"/>
      <c r="I923" s="90"/>
      <c r="J923" s="90"/>
      <c r="K923" s="90"/>
      <c r="L923" s="90"/>
      <c r="M923" s="1956"/>
      <c r="N923" s="643"/>
      <c r="O923" s="2083"/>
      <c r="P923" s="643"/>
      <c r="Q923" s="643"/>
      <c r="R923" s="280"/>
      <c r="S923" s="280"/>
      <c r="T923" s="280"/>
      <c r="U923" s="280"/>
      <c r="V923" s="280"/>
      <c r="W923" s="79"/>
    </row>
    <row r="924" spans="1:23" ht="15.75">
      <c r="A924" s="2080"/>
      <c r="B924" s="705"/>
      <c r="C924" s="90"/>
      <c r="D924" s="2081"/>
      <c r="E924" s="2082"/>
      <c r="F924" s="1954"/>
      <c r="G924" s="90"/>
      <c r="H924" s="90"/>
      <c r="I924" s="90"/>
      <c r="J924" s="90"/>
      <c r="K924" s="90"/>
      <c r="L924" s="90"/>
      <c r="M924" s="1956"/>
      <c r="N924" s="643"/>
      <c r="O924" s="2083"/>
      <c r="P924" s="643"/>
      <c r="Q924" s="643"/>
      <c r="R924" s="280"/>
      <c r="S924" s="280"/>
      <c r="T924" s="280"/>
      <c r="U924" s="280"/>
      <c r="V924" s="280"/>
      <c r="W924" s="79"/>
    </row>
    <row r="925" spans="1:23" ht="15.75">
      <c r="A925" s="2080"/>
      <c r="B925" s="705"/>
      <c r="C925" s="90"/>
      <c r="D925" s="2081"/>
      <c r="E925" s="2082"/>
      <c r="F925" s="1954"/>
      <c r="G925" s="90"/>
      <c r="H925" s="90"/>
      <c r="I925" s="90"/>
      <c r="J925" s="90"/>
      <c r="K925" s="90"/>
      <c r="L925" s="90"/>
      <c r="M925" s="1956"/>
      <c r="N925" s="643"/>
      <c r="O925" s="2083"/>
      <c r="P925" s="643"/>
      <c r="Q925" s="643"/>
      <c r="R925" s="280"/>
      <c r="S925" s="280"/>
      <c r="T925" s="280"/>
      <c r="U925" s="280"/>
      <c r="V925" s="280"/>
      <c r="W925" s="79"/>
    </row>
    <row r="926" spans="1:23" ht="15.75">
      <c r="A926" s="2080"/>
      <c r="B926" s="705"/>
      <c r="C926" s="90"/>
      <c r="D926" s="2081"/>
      <c r="E926" s="2082"/>
      <c r="F926" s="1954"/>
      <c r="G926" s="90"/>
      <c r="H926" s="90"/>
      <c r="I926" s="90"/>
      <c r="J926" s="90"/>
      <c r="K926" s="90"/>
      <c r="L926" s="90"/>
      <c r="M926" s="1956"/>
      <c r="N926" s="643"/>
      <c r="O926" s="2083"/>
      <c r="P926" s="643"/>
      <c r="Q926" s="643"/>
      <c r="R926" s="280"/>
      <c r="S926" s="280"/>
      <c r="T926" s="280"/>
      <c r="U926" s="280"/>
      <c r="V926" s="280"/>
      <c r="W926" s="79"/>
    </row>
    <row r="927" spans="1:23" ht="15.75">
      <c r="A927" s="2080"/>
      <c r="B927" s="705"/>
      <c r="C927" s="90"/>
      <c r="D927" s="2081"/>
      <c r="E927" s="2082"/>
      <c r="F927" s="1954"/>
      <c r="G927" s="90"/>
      <c r="H927" s="90"/>
      <c r="I927" s="90"/>
      <c r="J927" s="90"/>
      <c r="K927" s="90"/>
      <c r="L927" s="90"/>
      <c r="M927" s="1956"/>
      <c r="N927" s="643"/>
      <c r="O927" s="2083"/>
      <c r="P927" s="643"/>
      <c r="Q927" s="643"/>
      <c r="R927" s="280"/>
      <c r="S927" s="280"/>
      <c r="T927" s="280"/>
      <c r="U927" s="280"/>
      <c r="V927" s="280"/>
      <c r="W927" s="79"/>
    </row>
    <row r="928" spans="1:23" ht="15.75">
      <c r="A928" s="2080"/>
      <c r="B928" s="705"/>
      <c r="C928" s="90"/>
      <c r="D928" s="2081"/>
      <c r="E928" s="2082"/>
      <c r="F928" s="1954"/>
      <c r="G928" s="90"/>
      <c r="H928" s="90"/>
      <c r="I928" s="90"/>
      <c r="J928" s="90"/>
      <c r="K928" s="90"/>
      <c r="L928" s="90"/>
      <c r="M928" s="1956"/>
      <c r="N928" s="643"/>
      <c r="O928" s="2083"/>
      <c r="P928" s="643"/>
      <c r="Q928" s="643"/>
      <c r="R928" s="280"/>
      <c r="S928" s="280"/>
      <c r="T928" s="280"/>
      <c r="U928" s="280"/>
      <c r="V928" s="280"/>
      <c r="W928" s="79"/>
    </row>
    <row r="929" spans="1:23" ht="15.75">
      <c r="A929" s="2080"/>
      <c r="B929" s="705"/>
      <c r="C929" s="90"/>
      <c r="D929" s="2081"/>
      <c r="E929" s="2082"/>
      <c r="F929" s="1954"/>
      <c r="G929" s="90"/>
      <c r="H929" s="90"/>
      <c r="I929" s="90"/>
      <c r="J929" s="90"/>
      <c r="K929" s="90"/>
      <c r="L929" s="90"/>
      <c r="M929" s="1956"/>
      <c r="N929" s="643"/>
      <c r="O929" s="2083"/>
      <c r="P929" s="643"/>
      <c r="Q929" s="643"/>
      <c r="R929" s="280"/>
      <c r="S929" s="280"/>
      <c r="T929" s="280"/>
      <c r="U929" s="280"/>
      <c r="V929" s="280"/>
      <c r="W929" s="79"/>
    </row>
    <row r="930" spans="1:23" ht="15.75">
      <c r="A930" s="2080"/>
      <c r="B930" s="705"/>
      <c r="C930" s="90"/>
      <c r="D930" s="2081"/>
      <c r="E930" s="2082"/>
      <c r="F930" s="1954"/>
      <c r="G930" s="90"/>
      <c r="H930" s="90"/>
      <c r="I930" s="90"/>
      <c r="J930" s="90"/>
      <c r="K930" s="90"/>
      <c r="L930" s="90"/>
      <c r="M930" s="1956"/>
      <c r="N930" s="643"/>
      <c r="O930" s="2083"/>
      <c r="P930" s="643"/>
      <c r="Q930" s="643"/>
      <c r="R930" s="280"/>
      <c r="S930" s="280"/>
      <c r="T930" s="280"/>
      <c r="U930" s="280"/>
      <c r="V930" s="280"/>
      <c r="W930" s="79"/>
    </row>
    <row r="931" spans="1:23" ht="15.75">
      <c r="A931" s="2080"/>
      <c r="B931" s="705"/>
      <c r="C931" s="90"/>
      <c r="D931" s="2081"/>
      <c r="E931" s="2082"/>
      <c r="F931" s="1954"/>
      <c r="G931" s="90"/>
      <c r="H931" s="90"/>
      <c r="I931" s="90"/>
      <c r="J931" s="90"/>
      <c r="K931" s="90"/>
      <c r="L931" s="90"/>
      <c r="M931" s="1956"/>
      <c r="N931" s="643"/>
      <c r="O931" s="2083"/>
      <c r="P931" s="643"/>
      <c r="Q931" s="643"/>
      <c r="R931" s="280"/>
      <c r="S931" s="280"/>
      <c r="T931" s="280"/>
      <c r="U931" s="280"/>
      <c r="V931" s="280"/>
      <c r="W931" s="79"/>
    </row>
    <row r="932" spans="1:23" ht="15.75">
      <c r="A932" s="2080"/>
      <c r="B932" s="705"/>
      <c r="C932" s="90"/>
      <c r="D932" s="2081"/>
      <c r="E932" s="2082"/>
      <c r="F932" s="1954"/>
      <c r="G932" s="90"/>
      <c r="H932" s="90"/>
      <c r="I932" s="90"/>
      <c r="J932" s="90"/>
      <c r="K932" s="90"/>
      <c r="L932" s="90"/>
      <c r="M932" s="1956"/>
      <c r="N932" s="643"/>
      <c r="O932" s="2083"/>
      <c r="P932" s="643"/>
      <c r="Q932" s="643"/>
      <c r="R932" s="280"/>
      <c r="S932" s="280"/>
      <c r="T932" s="280"/>
      <c r="U932" s="280"/>
      <c r="V932" s="280"/>
      <c r="W932" s="79"/>
    </row>
    <row r="933" spans="1:23" ht="15.75">
      <c r="A933" s="2080"/>
      <c r="B933" s="705"/>
      <c r="C933" s="90"/>
      <c r="D933" s="2081"/>
      <c r="E933" s="2082"/>
      <c r="F933" s="1954"/>
      <c r="G933" s="90"/>
      <c r="H933" s="90"/>
      <c r="I933" s="90"/>
      <c r="J933" s="90"/>
      <c r="K933" s="90"/>
      <c r="L933" s="90"/>
      <c r="M933" s="1956"/>
      <c r="N933" s="643"/>
      <c r="O933" s="2083"/>
      <c r="P933" s="643"/>
      <c r="Q933" s="643"/>
      <c r="R933" s="280"/>
      <c r="S933" s="280"/>
      <c r="T933" s="280"/>
      <c r="U933" s="280"/>
      <c r="V933" s="280"/>
      <c r="W933" s="79"/>
    </row>
    <row r="934" spans="1:23" ht="15.75">
      <c r="A934" s="2080"/>
      <c r="B934" s="705"/>
      <c r="C934" s="90"/>
      <c r="D934" s="2081"/>
      <c r="E934" s="2082"/>
      <c r="F934" s="1954"/>
      <c r="G934" s="90"/>
      <c r="H934" s="90"/>
      <c r="I934" s="90"/>
      <c r="J934" s="90"/>
      <c r="K934" s="90"/>
      <c r="L934" s="90"/>
      <c r="M934" s="1956"/>
      <c r="N934" s="643"/>
      <c r="O934" s="2083"/>
      <c r="P934" s="643"/>
      <c r="Q934" s="643"/>
      <c r="R934" s="280"/>
      <c r="S934" s="280"/>
      <c r="T934" s="280"/>
      <c r="U934" s="280"/>
      <c r="V934" s="280"/>
      <c r="W934" s="79"/>
    </row>
    <row r="935" spans="1:23" ht="15.75">
      <c r="A935" s="2080"/>
      <c r="B935" s="705"/>
      <c r="C935" s="90"/>
      <c r="D935" s="2081"/>
      <c r="E935" s="2082"/>
      <c r="F935" s="1954"/>
      <c r="G935" s="90"/>
      <c r="H935" s="90"/>
      <c r="I935" s="90"/>
      <c r="J935" s="90"/>
      <c r="K935" s="90"/>
      <c r="L935" s="90"/>
      <c r="M935" s="1956"/>
      <c r="N935" s="643"/>
      <c r="O935" s="2083"/>
      <c r="P935" s="643"/>
      <c r="Q935" s="643"/>
      <c r="R935" s="280"/>
      <c r="S935" s="280"/>
      <c r="T935" s="280"/>
      <c r="U935" s="280"/>
      <c r="V935" s="280"/>
      <c r="W935" s="79"/>
    </row>
    <row r="936" spans="1:23" ht="15.75">
      <c r="A936" s="2080"/>
      <c r="B936" s="705"/>
      <c r="C936" s="90"/>
      <c r="D936" s="2081"/>
      <c r="E936" s="2082"/>
      <c r="F936" s="1954"/>
      <c r="G936" s="90"/>
      <c r="H936" s="90"/>
      <c r="I936" s="90"/>
      <c r="J936" s="90"/>
      <c r="K936" s="90"/>
      <c r="L936" s="90"/>
      <c r="M936" s="1956"/>
      <c r="N936" s="643"/>
      <c r="O936" s="2083"/>
      <c r="P936" s="643"/>
      <c r="Q936" s="643"/>
      <c r="R936" s="280"/>
      <c r="S936" s="280"/>
      <c r="T936" s="280"/>
      <c r="U936" s="280"/>
      <c r="V936" s="280"/>
      <c r="W936" s="79"/>
    </row>
    <row r="937" spans="1:23" ht="15.75">
      <c r="A937" s="2080"/>
      <c r="B937" s="705"/>
      <c r="C937" s="90"/>
      <c r="D937" s="2081"/>
      <c r="E937" s="2082"/>
      <c r="F937" s="1954"/>
      <c r="G937" s="90"/>
      <c r="H937" s="90"/>
      <c r="I937" s="90"/>
      <c r="J937" s="90"/>
      <c r="K937" s="90"/>
      <c r="L937" s="90"/>
      <c r="M937" s="1956"/>
      <c r="N937" s="643"/>
      <c r="O937" s="2083"/>
      <c r="P937" s="643"/>
      <c r="Q937" s="643"/>
      <c r="R937" s="280"/>
      <c r="S937" s="280"/>
      <c r="T937" s="280"/>
      <c r="U937" s="280"/>
      <c r="V937" s="280"/>
      <c r="W937" s="79"/>
    </row>
    <row r="938" spans="1:23" ht="15.75">
      <c r="A938" s="2080"/>
      <c r="B938" s="705"/>
      <c r="C938" s="90"/>
      <c r="D938" s="2081"/>
      <c r="E938" s="2082"/>
      <c r="F938" s="1954"/>
      <c r="G938" s="90"/>
      <c r="H938" s="90"/>
      <c r="I938" s="90"/>
      <c r="J938" s="90"/>
      <c r="K938" s="90"/>
      <c r="L938" s="90"/>
      <c r="M938" s="1956"/>
      <c r="N938" s="643"/>
      <c r="O938" s="2083"/>
      <c r="P938" s="643"/>
      <c r="Q938" s="643"/>
      <c r="R938" s="280"/>
      <c r="S938" s="280"/>
      <c r="T938" s="280"/>
      <c r="U938" s="280"/>
      <c r="V938" s="280"/>
      <c r="W938" s="79"/>
    </row>
    <row r="939" spans="1:23" ht="15.75">
      <c r="A939" s="2080"/>
      <c r="B939" s="705"/>
      <c r="C939" s="90"/>
      <c r="D939" s="2081"/>
      <c r="E939" s="2082"/>
      <c r="F939" s="1954"/>
      <c r="G939" s="90"/>
      <c r="H939" s="90"/>
      <c r="I939" s="90"/>
      <c r="J939" s="90"/>
      <c r="K939" s="90"/>
      <c r="L939" s="90"/>
      <c r="M939" s="1956"/>
      <c r="N939" s="643"/>
      <c r="O939" s="2083"/>
      <c r="P939" s="643"/>
      <c r="Q939" s="643"/>
      <c r="R939" s="280"/>
      <c r="S939" s="280"/>
      <c r="T939" s="280"/>
      <c r="U939" s="280"/>
      <c r="V939" s="280"/>
      <c r="W939" s="79"/>
    </row>
    <row r="940" spans="1:23" ht="15.75">
      <c r="A940" s="2080"/>
      <c r="B940" s="705"/>
      <c r="C940" s="90"/>
      <c r="D940" s="2081"/>
      <c r="E940" s="2082"/>
      <c r="F940" s="1954"/>
      <c r="G940" s="90"/>
      <c r="H940" s="90"/>
      <c r="I940" s="90"/>
      <c r="J940" s="90"/>
      <c r="K940" s="90"/>
      <c r="L940" s="90"/>
      <c r="M940" s="1956"/>
      <c r="N940" s="643"/>
      <c r="O940" s="2083"/>
      <c r="P940" s="643"/>
      <c r="Q940" s="643"/>
      <c r="R940" s="280"/>
      <c r="S940" s="280"/>
      <c r="T940" s="280"/>
      <c r="U940" s="280"/>
      <c r="V940" s="280"/>
      <c r="W940" s="79"/>
    </row>
    <row r="941" spans="1:23" ht="15.75">
      <c r="A941" s="2080"/>
      <c r="B941" s="705"/>
      <c r="C941" s="90"/>
      <c r="D941" s="2081"/>
      <c r="E941" s="2082"/>
      <c r="F941" s="1954"/>
      <c r="G941" s="90"/>
      <c r="H941" s="90"/>
      <c r="I941" s="90"/>
      <c r="J941" s="90"/>
      <c r="K941" s="90"/>
      <c r="L941" s="90"/>
      <c r="M941" s="1956"/>
      <c r="N941" s="643"/>
      <c r="O941" s="2083"/>
      <c r="P941" s="643"/>
      <c r="Q941" s="643"/>
      <c r="R941" s="280"/>
      <c r="S941" s="280"/>
      <c r="T941" s="280"/>
      <c r="U941" s="280"/>
      <c r="V941" s="280"/>
      <c r="W941" s="79"/>
    </row>
    <row r="942" spans="1:23" ht="15.75">
      <c r="A942" s="2080"/>
      <c r="B942" s="705"/>
      <c r="C942" s="90"/>
      <c r="D942" s="2081"/>
      <c r="E942" s="2082"/>
      <c r="F942" s="1954"/>
      <c r="G942" s="90"/>
      <c r="H942" s="90"/>
      <c r="I942" s="90"/>
      <c r="J942" s="90"/>
      <c r="K942" s="90"/>
      <c r="L942" s="90"/>
      <c r="M942" s="1956"/>
      <c r="N942" s="643"/>
      <c r="O942" s="2083"/>
      <c r="P942" s="643"/>
      <c r="Q942" s="643"/>
      <c r="R942" s="280"/>
      <c r="S942" s="280"/>
      <c r="T942" s="280"/>
      <c r="U942" s="280"/>
      <c r="V942" s="280"/>
      <c r="W942" s="79"/>
    </row>
    <row r="943" spans="1:23" ht="15.75">
      <c r="A943" s="2080"/>
      <c r="B943" s="705"/>
      <c r="C943" s="90"/>
      <c r="D943" s="2081"/>
      <c r="E943" s="2082"/>
      <c r="F943" s="1954"/>
      <c r="G943" s="90"/>
      <c r="H943" s="90"/>
      <c r="I943" s="90"/>
      <c r="J943" s="90"/>
      <c r="K943" s="90"/>
      <c r="L943" s="90"/>
      <c r="M943" s="1956"/>
      <c r="N943" s="643"/>
      <c r="O943" s="2083"/>
      <c r="P943" s="643"/>
      <c r="Q943" s="643"/>
      <c r="R943" s="280"/>
      <c r="S943" s="280"/>
      <c r="T943" s="280"/>
      <c r="U943" s="280"/>
      <c r="V943" s="280"/>
      <c r="W943" s="79"/>
    </row>
    <row r="944" spans="1:23" ht="15.75">
      <c r="A944" s="2080"/>
      <c r="B944" s="705"/>
      <c r="C944" s="90"/>
      <c r="D944" s="2081"/>
      <c r="E944" s="2082"/>
      <c r="F944" s="1954"/>
      <c r="G944" s="90"/>
      <c r="H944" s="90"/>
      <c r="I944" s="90"/>
      <c r="J944" s="90"/>
      <c r="K944" s="90"/>
      <c r="L944" s="90"/>
      <c r="M944" s="1956"/>
      <c r="N944" s="643"/>
      <c r="O944" s="2083"/>
      <c r="P944" s="643"/>
      <c r="Q944" s="643"/>
      <c r="R944" s="280"/>
      <c r="S944" s="280"/>
      <c r="T944" s="280"/>
      <c r="U944" s="280"/>
      <c r="V944" s="280"/>
      <c r="W944" s="79"/>
    </row>
    <row r="945" spans="1:23" ht="15.75">
      <c r="A945" s="2080"/>
      <c r="B945" s="705"/>
      <c r="C945" s="90"/>
      <c r="D945" s="2081"/>
      <c r="E945" s="2082"/>
      <c r="F945" s="1954"/>
      <c r="G945" s="90"/>
      <c r="H945" s="90"/>
      <c r="I945" s="90"/>
      <c r="J945" s="90"/>
      <c r="K945" s="90"/>
      <c r="L945" s="90"/>
      <c r="M945" s="1956"/>
      <c r="N945" s="643"/>
      <c r="O945" s="2083"/>
      <c r="P945" s="643"/>
      <c r="Q945" s="643"/>
      <c r="R945" s="280"/>
      <c r="S945" s="280"/>
      <c r="T945" s="280"/>
      <c r="U945" s="280"/>
      <c r="V945" s="280"/>
      <c r="W945" s="79"/>
    </row>
    <row r="946" spans="1:23" ht="15.75">
      <c r="A946" s="2080"/>
      <c r="B946" s="705"/>
      <c r="C946" s="90"/>
      <c r="D946" s="2081"/>
      <c r="E946" s="2082"/>
      <c r="F946" s="1954"/>
      <c r="G946" s="90"/>
      <c r="H946" s="90"/>
      <c r="I946" s="90"/>
      <c r="J946" s="90"/>
      <c r="K946" s="90"/>
      <c r="L946" s="90"/>
      <c r="M946" s="1956"/>
      <c r="N946" s="643"/>
      <c r="O946" s="2083"/>
      <c r="P946" s="643"/>
      <c r="Q946" s="643"/>
      <c r="R946" s="280"/>
      <c r="S946" s="280"/>
      <c r="T946" s="280"/>
      <c r="U946" s="280"/>
      <c r="V946" s="280"/>
      <c r="W946" s="79"/>
    </row>
    <row r="947" spans="1:23" ht="15.75">
      <c r="A947" s="2080"/>
      <c r="B947" s="705"/>
      <c r="C947" s="90"/>
      <c r="D947" s="2081"/>
      <c r="E947" s="2082"/>
      <c r="F947" s="1954"/>
      <c r="G947" s="90"/>
      <c r="H947" s="90"/>
      <c r="I947" s="90"/>
      <c r="J947" s="90"/>
      <c r="K947" s="90"/>
      <c r="L947" s="90"/>
      <c r="M947" s="1956"/>
      <c r="N947" s="643"/>
      <c r="O947" s="2083"/>
      <c r="P947" s="643"/>
      <c r="Q947" s="643"/>
      <c r="R947" s="280"/>
      <c r="S947" s="280"/>
      <c r="T947" s="280"/>
      <c r="U947" s="280"/>
      <c r="V947" s="280"/>
      <c r="W947" s="79"/>
    </row>
    <row r="948" spans="1:23" ht="15.75">
      <c r="A948" s="2080"/>
      <c r="B948" s="705"/>
      <c r="C948" s="90"/>
      <c r="D948" s="2081"/>
      <c r="E948" s="2082"/>
      <c r="F948" s="1954"/>
      <c r="G948" s="90"/>
      <c r="H948" s="90"/>
      <c r="I948" s="90"/>
      <c r="J948" s="90"/>
      <c r="K948" s="90"/>
      <c r="L948" s="90"/>
      <c r="M948" s="1956"/>
      <c r="N948" s="643"/>
      <c r="O948" s="2083"/>
      <c r="P948" s="643"/>
      <c r="Q948" s="643"/>
      <c r="R948" s="280"/>
      <c r="S948" s="280"/>
      <c r="T948" s="280"/>
      <c r="U948" s="280"/>
      <c r="V948" s="280"/>
      <c r="W948" s="79"/>
    </row>
    <row r="949" spans="1:23" ht="15.75">
      <c r="A949" s="2080"/>
      <c r="B949" s="705"/>
      <c r="C949" s="90"/>
      <c r="D949" s="2081"/>
      <c r="E949" s="2082"/>
      <c r="F949" s="1954"/>
      <c r="G949" s="90"/>
      <c r="H949" s="90"/>
      <c r="I949" s="90"/>
      <c r="J949" s="90"/>
      <c r="K949" s="90"/>
      <c r="L949" s="90"/>
      <c r="M949" s="1956"/>
      <c r="N949" s="643"/>
      <c r="O949" s="2083"/>
      <c r="P949" s="643"/>
      <c r="Q949" s="643"/>
      <c r="R949" s="280"/>
      <c r="S949" s="280"/>
      <c r="T949" s="280"/>
      <c r="U949" s="280"/>
      <c r="V949" s="280"/>
      <c r="W949" s="79"/>
    </row>
    <row r="950" spans="1:23" ht="15.75">
      <c r="A950" s="2080"/>
      <c r="B950" s="705"/>
      <c r="C950" s="90"/>
      <c r="D950" s="2081"/>
      <c r="E950" s="2082"/>
      <c r="F950" s="1954"/>
      <c r="G950" s="90"/>
      <c r="H950" s="90"/>
      <c r="I950" s="90"/>
      <c r="J950" s="90"/>
      <c r="K950" s="90"/>
      <c r="L950" s="90"/>
      <c r="M950" s="1956"/>
      <c r="N950" s="643"/>
      <c r="O950" s="2083"/>
      <c r="P950" s="643"/>
      <c r="Q950" s="643"/>
      <c r="R950" s="280"/>
      <c r="S950" s="280"/>
      <c r="T950" s="280"/>
      <c r="U950" s="280"/>
      <c r="V950" s="280"/>
      <c r="W950" s="79"/>
    </row>
    <row r="951" spans="1:23" ht="15.75">
      <c r="A951" s="2080"/>
      <c r="B951" s="705"/>
      <c r="C951" s="90"/>
      <c r="D951" s="2081"/>
      <c r="E951" s="2082"/>
      <c r="F951" s="1954"/>
      <c r="G951" s="90"/>
      <c r="H951" s="90"/>
      <c r="I951" s="90"/>
      <c r="J951" s="90"/>
      <c r="K951" s="90"/>
      <c r="L951" s="90"/>
      <c r="M951" s="1956"/>
      <c r="N951" s="643"/>
      <c r="O951" s="2083"/>
      <c r="P951" s="643"/>
      <c r="Q951" s="643"/>
      <c r="R951" s="280"/>
      <c r="S951" s="280"/>
      <c r="T951" s="280"/>
      <c r="U951" s="280"/>
      <c r="V951" s="280"/>
      <c r="W951" s="79"/>
    </row>
    <row r="952" spans="1:23" ht="15.75">
      <c r="A952" s="2080"/>
      <c r="B952" s="705"/>
      <c r="C952" s="90"/>
      <c r="D952" s="2081"/>
      <c r="E952" s="2082"/>
      <c r="F952" s="1954"/>
      <c r="G952" s="90"/>
      <c r="H952" s="90"/>
      <c r="I952" s="90"/>
      <c r="J952" s="90"/>
      <c r="K952" s="90"/>
      <c r="L952" s="90"/>
      <c r="M952" s="1956"/>
      <c r="N952" s="643"/>
      <c r="O952" s="2083"/>
      <c r="P952" s="643"/>
      <c r="Q952" s="643"/>
      <c r="R952" s="280"/>
      <c r="S952" s="280"/>
      <c r="T952" s="280"/>
      <c r="U952" s="280"/>
      <c r="V952" s="280"/>
      <c r="W952" s="79"/>
    </row>
    <row r="953" spans="1:23" ht="15.75">
      <c r="A953" s="2080"/>
      <c r="B953" s="705"/>
      <c r="C953" s="90"/>
      <c r="D953" s="2081"/>
      <c r="E953" s="2082"/>
      <c r="F953" s="1954"/>
      <c r="G953" s="90"/>
      <c r="H953" s="90"/>
      <c r="I953" s="90"/>
      <c r="J953" s="90"/>
      <c r="K953" s="90"/>
      <c r="L953" s="90"/>
      <c r="M953" s="1956"/>
      <c r="N953" s="643"/>
      <c r="O953" s="2083"/>
      <c r="P953" s="643"/>
      <c r="Q953" s="643"/>
      <c r="R953" s="280"/>
      <c r="S953" s="280"/>
      <c r="T953" s="280"/>
      <c r="U953" s="280"/>
      <c r="V953" s="280"/>
      <c r="W953" s="79"/>
    </row>
    <row r="954" spans="1:23" ht="15.75">
      <c r="A954" s="2080"/>
      <c r="B954" s="705"/>
      <c r="C954" s="90"/>
      <c r="D954" s="2081"/>
      <c r="E954" s="2082"/>
      <c r="F954" s="1954"/>
      <c r="G954" s="90"/>
      <c r="H954" s="90"/>
      <c r="I954" s="90"/>
      <c r="J954" s="90"/>
      <c r="K954" s="90"/>
      <c r="L954" s="90"/>
      <c r="M954" s="1956"/>
      <c r="N954" s="643"/>
      <c r="O954" s="2083"/>
      <c r="P954" s="643"/>
      <c r="Q954" s="643"/>
      <c r="R954" s="280"/>
      <c r="S954" s="280"/>
      <c r="T954" s="280"/>
      <c r="U954" s="280"/>
      <c r="V954" s="280"/>
      <c r="W954" s="79"/>
    </row>
    <row r="955" spans="1:23" ht="15.75">
      <c r="A955" s="2080"/>
      <c r="B955" s="705"/>
      <c r="C955" s="90"/>
      <c r="D955" s="2081"/>
      <c r="E955" s="2082"/>
      <c r="F955" s="1954"/>
      <c r="G955" s="90"/>
      <c r="H955" s="90"/>
      <c r="I955" s="90"/>
      <c r="J955" s="90"/>
      <c r="K955" s="90"/>
      <c r="L955" s="90"/>
      <c r="M955" s="1956"/>
      <c r="N955" s="643"/>
      <c r="O955" s="2083"/>
      <c r="P955" s="643"/>
      <c r="Q955" s="643"/>
      <c r="R955" s="280"/>
      <c r="S955" s="280"/>
      <c r="T955" s="280"/>
      <c r="U955" s="280"/>
      <c r="V955" s="280"/>
      <c r="W955" s="79"/>
    </row>
    <row r="956" spans="1:23" ht="15.75">
      <c r="A956" s="2080"/>
      <c r="B956" s="705"/>
      <c r="C956" s="90"/>
      <c r="D956" s="2081"/>
      <c r="E956" s="2082"/>
      <c r="F956" s="1954"/>
      <c r="G956" s="90"/>
      <c r="H956" s="90"/>
      <c r="I956" s="90"/>
      <c r="J956" s="90"/>
      <c r="K956" s="90"/>
      <c r="L956" s="90"/>
      <c r="M956" s="1956"/>
      <c r="N956" s="643"/>
      <c r="O956" s="2083"/>
      <c r="P956" s="643"/>
      <c r="Q956" s="643"/>
      <c r="R956" s="280"/>
      <c r="S956" s="280"/>
      <c r="T956" s="280"/>
      <c r="U956" s="280"/>
      <c r="V956" s="280"/>
      <c r="W956" s="79"/>
    </row>
    <row r="957" spans="1:23" ht="15.75">
      <c r="A957" s="2080"/>
      <c r="B957" s="705"/>
      <c r="C957" s="90"/>
      <c r="D957" s="2081"/>
      <c r="E957" s="2082"/>
      <c r="F957" s="1954"/>
      <c r="G957" s="90"/>
      <c r="H957" s="90"/>
      <c r="I957" s="90"/>
      <c r="J957" s="90"/>
      <c r="K957" s="90"/>
      <c r="L957" s="90"/>
      <c r="M957" s="1956"/>
      <c r="N957" s="643"/>
      <c r="O957" s="2083"/>
      <c r="P957" s="643"/>
      <c r="Q957" s="643"/>
      <c r="R957" s="280"/>
      <c r="S957" s="280"/>
      <c r="T957" s="280"/>
      <c r="U957" s="280"/>
      <c r="V957" s="280"/>
      <c r="W957" s="79"/>
    </row>
    <row r="958" spans="1:23" ht="15.75">
      <c r="A958" s="2080"/>
      <c r="B958" s="705"/>
      <c r="C958" s="90"/>
      <c r="D958" s="2081"/>
      <c r="E958" s="2082"/>
      <c r="F958" s="1954"/>
      <c r="G958" s="90"/>
      <c r="H958" s="90"/>
      <c r="I958" s="90"/>
      <c r="J958" s="90"/>
      <c r="K958" s="90"/>
      <c r="L958" s="90"/>
      <c r="M958" s="1956"/>
      <c r="N958" s="643"/>
      <c r="O958" s="2083"/>
      <c r="P958" s="643"/>
      <c r="Q958" s="643"/>
      <c r="R958" s="280"/>
      <c r="S958" s="280"/>
      <c r="T958" s="280"/>
      <c r="U958" s="280"/>
      <c r="V958" s="280"/>
      <c r="W958" s="79"/>
    </row>
    <row r="959" spans="1:23" ht="15.75">
      <c r="A959" s="2080"/>
      <c r="B959" s="705"/>
      <c r="C959" s="90"/>
      <c r="D959" s="2081"/>
      <c r="E959" s="2082"/>
      <c r="F959" s="1954"/>
      <c r="G959" s="90"/>
      <c r="H959" s="90"/>
      <c r="I959" s="90"/>
      <c r="J959" s="90"/>
      <c r="K959" s="90"/>
      <c r="L959" s="90"/>
      <c r="M959" s="1956"/>
      <c r="N959" s="643"/>
      <c r="O959" s="2083"/>
      <c r="P959" s="643"/>
      <c r="Q959" s="643"/>
      <c r="R959" s="280"/>
      <c r="S959" s="280"/>
      <c r="T959" s="280"/>
      <c r="U959" s="280"/>
      <c r="V959" s="280"/>
      <c r="W959" s="79"/>
    </row>
    <row r="960" spans="1:23" ht="15.75">
      <c r="A960" s="2080"/>
      <c r="B960" s="705"/>
      <c r="C960" s="90"/>
      <c r="D960" s="2081"/>
      <c r="E960" s="2082"/>
      <c r="F960" s="1954"/>
      <c r="G960" s="90"/>
      <c r="H960" s="90"/>
      <c r="I960" s="90"/>
      <c r="J960" s="90"/>
      <c r="K960" s="90"/>
      <c r="L960" s="90"/>
      <c r="M960" s="1956"/>
      <c r="N960" s="643"/>
      <c r="O960" s="2083"/>
      <c r="P960" s="643"/>
      <c r="Q960" s="643"/>
      <c r="R960" s="280"/>
      <c r="S960" s="280"/>
      <c r="T960" s="280"/>
      <c r="U960" s="280"/>
      <c r="V960" s="280"/>
      <c r="W960" s="79"/>
    </row>
    <row r="961" spans="1:23" ht="15.75">
      <c r="A961" s="2080"/>
      <c r="B961" s="705"/>
      <c r="C961" s="90"/>
      <c r="D961" s="2081"/>
      <c r="E961" s="2082"/>
      <c r="F961" s="1954"/>
      <c r="G961" s="90"/>
      <c r="H961" s="90"/>
      <c r="I961" s="90"/>
      <c r="J961" s="90"/>
      <c r="K961" s="90"/>
      <c r="L961" s="90"/>
      <c r="M961" s="1956"/>
      <c r="N961" s="643"/>
      <c r="O961" s="2083"/>
      <c r="P961" s="643"/>
      <c r="Q961" s="643"/>
      <c r="R961" s="280"/>
      <c r="S961" s="280"/>
      <c r="T961" s="280"/>
      <c r="U961" s="280"/>
      <c r="V961" s="280"/>
      <c r="W961" s="79"/>
    </row>
    <row r="962" spans="1:23" ht="15.75">
      <c r="A962" s="2080"/>
      <c r="B962" s="705"/>
      <c r="C962" s="90"/>
      <c r="D962" s="2081"/>
      <c r="E962" s="2082"/>
      <c r="F962" s="1954"/>
      <c r="G962" s="90"/>
      <c r="H962" s="90"/>
      <c r="I962" s="90"/>
      <c r="J962" s="90"/>
      <c r="K962" s="90"/>
      <c r="L962" s="90"/>
      <c r="M962" s="1956"/>
      <c r="N962" s="643"/>
      <c r="O962" s="2083"/>
      <c r="P962" s="643"/>
      <c r="Q962" s="643"/>
      <c r="R962" s="280"/>
      <c r="S962" s="280"/>
      <c r="T962" s="280"/>
      <c r="U962" s="280"/>
      <c r="V962" s="280"/>
      <c r="W962" s="79"/>
    </row>
    <row r="963" spans="1:23" ht="15.75">
      <c r="A963" s="2080"/>
      <c r="B963" s="705"/>
      <c r="C963" s="90"/>
      <c r="D963" s="2081"/>
      <c r="E963" s="2082"/>
      <c r="F963" s="1954"/>
      <c r="G963" s="90"/>
      <c r="H963" s="90"/>
      <c r="I963" s="90"/>
      <c r="J963" s="90"/>
      <c r="K963" s="90"/>
      <c r="L963" s="90"/>
      <c r="M963" s="1956"/>
      <c r="N963" s="643"/>
      <c r="O963" s="2083"/>
      <c r="P963" s="643"/>
      <c r="Q963" s="643"/>
      <c r="R963" s="280"/>
      <c r="S963" s="280"/>
      <c r="T963" s="280"/>
      <c r="U963" s="280"/>
      <c r="V963" s="280"/>
      <c r="W963" s="79"/>
    </row>
    <row r="964" spans="1:23" ht="15.75">
      <c r="A964" s="2080"/>
      <c r="B964" s="705"/>
      <c r="C964" s="90"/>
      <c r="D964" s="2081"/>
      <c r="E964" s="2082"/>
      <c r="F964" s="1954"/>
      <c r="G964" s="90"/>
      <c r="H964" s="90"/>
      <c r="I964" s="90"/>
      <c r="J964" s="90"/>
      <c r="K964" s="90"/>
      <c r="L964" s="90"/>
      <c r="M964" s="1956"/>
      <c r="N964" s="643"/>
      <c r="O964" s="2083"/>
      <c r="P964" s="643"/>
      <c r="Q964" s="643"/>
      <c r="R964" s="280"/>
      <c r="S964" s="280"/>
      <c r="T964" s="280"/>
      <c r="U964" s="280"/>
      <c r="V964" s="280"/>
      <c r="W964" s="79"/>
    </row>
    <row r="965" spans="1:23" ht="15.75">
      <c r="A965" s="2080"/>
      <c r="B965" s="705"/>
      <c r="C965" s="90"/>
      <c r="D965" s="2081"/>
      <c r="E965" s="2082"/>
      <c r="F965" s="1954"/>
      <c r="G965" s="90"/>
      <c r="H965" s="90"/>
      <c r="I965" s="90"/>
      <c r="J965" s="90"/>
      <c r="K965" s="90"/>
      <c r="L965" s="90"/>
      <c r="M965" s="1956"/>
      <c r="N965" s="643"/>
      <c r="O965" s="2083"/>
      <c r="P965" s="643"/>
      <c r="Q965" s="643"/>
      <c r="R965" s="280"/>
      <c r="S965" s="280"/>
      <c r="T965" s="280"/>
      <c r="U965" s="280"/>
      <c r="V965" s="280"/>
      <c r="W965" s="79"/>
    </row>
    <row r="966" spans="1:23" ht="15.75">
      <c r="A966" s="2080"/>
      <c r="B966" s="705"/>
      <c r="C966" s="90"/>
      <c r="D966" s="2081"/>
      <c r="E966" s="2082"/>
      <c r="F966" s="1954"/>
      <c r="G966" s="90"/>
      <c r="H966" s="90"/>
      <c r="I966" s="90"/>
      <c r="J966" s="90"/>
      <c r="K966" s="90"/>
      <c r="L966" s="90"/>
      <c r="M966" s="1956"/>
      <c r="N966" s="643"/>
      <c r="O966" s="2083"/>
      <c r="P966" s="643"/>
      <c r="Q966" s="643"/>
      <c r="R966" s="280"/>
      <c r="S966" s="280"/>
      <c r="T966" s="280"/>
      <c r="U966" s="280"/>
      <c r="V966" s="280"/>
      <c r="W966" s="79"/>
    </row>
    <row r="967" spans="1:23" ht="15.75">
      <c r="A967" s="2080"/>
      <c r="B967" s="705"/>
      <c r="C967" s="90"/>
      <c r="D967" s="2081"/>
      <c r="E967" s="2082"/>
      <c r="F967" s="1954"/>
      <c r="G967" s="90"/>
      <c r="H967" s="90"/>
      <c r="I967" s="90"/>
      <c r="J967" s="90"/>
      <c r="K967" s="90"/>
      <c r="L967" s="90"/>
      <c r="M967" s="1956"/>
      <c r="N967" s="643"/>
      <c r="O967" s="2083"/>
      <c r="P967" s="643"/>
      <c r="Q967" s="643"/>
      <c r="R967" s="280"/>
      <c r="S967" s="280"/>
      <c r="T967" s="280"/>
      <c r="U967" s="280"/>
      <c r="V967" s="280"/>
      <c r="W967" s="79"/>
    </row>
    <row r="968" spans="1:23" ht="15.75">
      <c r="A968" s="2080"/>
      <c r="B968" s="705"/>
      <c r="C968" s="90"/>
      <c r="D968" s="2081"/>
      <c r="E968" s="2082"/>
      <c r="F968" s="1954"/>
      <c r="G968" s="90"/>
      <c r="H968" s="90"/>
      <c r="I968" s="90"/>
      <c r="J968" s="90"/>
      <c r="K968" s="90"/>
      <c r="L968" s="90"/>
      <c r="M968" s="1956"/>
      <c r="N968" s="643"/>
      <c r="O968" s="2083"/>
      <c r="P968" s="643"/>
      <c r="Q968" s="643"/>
      <c r="R968" s="280"/>
      <c r="S968" s="280"/>
      <c r="T968" s="280"/>
      <c r="U968" s="280"/>
      <c r="V968" s="280"/>
      <c r="W968" s="79"/>
    </row>
    <row r="969" spans="1:23" ht="15.75">
      <c r="A969" s="2080"/>
      <c r="B969" s="705"/>
      <c r="C969" s="90"/>
      <c r="D969" s="2081"/>
      <c r="E969" s="2082"/>
      <c r="F969" s="1954"/>
      <c r="G969" s="90"/>
      <c r="H969" s="90"/>
      <c r="I969" s="90"/>
      <c r="J969" s="90"/>
      <c r="K969" s="90"/>
      <c r="L969" s="90"/>
      <c r="M969" s="1956"/>
      <c r="N969" s="643"/>
      <c r="O969" s="2083"/>
      <c r="P969" s="643"/>
      <c r="Q969" s="643"/>
      <c r="R969" s="280"/>
      <c r="S969" s="280"/>
      <c r="T969" s="280"/>
      <c r="U969" s="280"/>
      <c r="V969" s="280"/>
      <c r="W969" s="79"/>
    </row>
    <row r="970" spans="1:23" ht="15.75">
      <c r="A970" s="2080"/>
      <c r="B970" s="705"/>
      <c r="C970" s="90"/>
      <c r="D970" s="2081"/>
      <c r="E970" s="2082"/>
      <c r="F970" s="1954"/>
      <c r="G970" s="90"/>
      <c r="H970" s="90"/>
      <c r="I970" s="90"/>
      <c r="J970" s="90"/>
      <c r="K970" s="90"/>
      <c r="L970" s="90"/>
      <c r="M970" s="1956"/>
      <c r="N970" s="643"/>
      <c r="O970" s="2083"/>
      <c r="P970" s="643"/>
      <c r="Q970" s="643"/>
      <c r="R970" s="280"/>
      <c r="S970" s="280"/>
      <c r="T970" s="280"/>
      <c r="U970" s="280"/>
      <c r="V970" s="280"/>
      <c r="W970" s="79"/>
    </row>
    <row r="971" spans="1:23" ht="15.75">
      <c r="A971" s="2080"/>
      <c r="B971" s="705"/>
      <c r="C971" s="90"/>
      <c r="D971" s="2081"/>
      <c r="E971" s="2082"/>
      <c r="F971" s="1954"/>
      <c r="G971" s="90"/>
      <c r="H971" s="90"/>
      <c r="I971" s="90"/>
      <c r="J971" s="90"/>
      <c r="K971" s="90"/>
      <c r="L971" s="90"/>
      <c r="M971" s="1956"/>
      <c r="N971" s="643"/>
      <c r="O971" s="2083"/>
      <c r="P971" s="643"/>
      <c r="Q971" s="643"/>
      <c r="R971" s="280"/>
      <c r="S971" s="280"/>
      <c r="T971" s="280"/>
      <c r="U971" s="280"/>
      <c r="V971" s="280"/>
      <c r="W971" s="79"/>
    </row>
    <row r="972" spans="1:23" ht="15.75">
      <c r="A972" s="2080"/>
      <c r="B972" s="705"/>
      <c r="C972" s="90"/>
      <c r="D972" s="2081"/>
      <c r="E972" s="2082"/>
      <c r="F972" s="1954"/>
      <c r="G972" s="90"/>
      <c r="H972" s="90"/>
      <c r="I972" s="90"/>
      <c r="J972" s="90"/>
      <c r="K972" s="90"/>
      <c r="L972" s="90"/>
      <c r="M972" s="1956"/>
      <c r="N972" s="643"/>
      <c r="O972" s="2083"/>
      <c r="P972" s="643"/>
      <c r="Q972" s="643"/>
      <c r="R972" s="280"/>
      <c r="S972" s="280"/>
      <c r="T972" s="280"/>
      <c r="U972" s="280"/>
      <c r="V972" s="280"/>
      <c r="W972" s="79"/>
    </row>
    <row r="973" spans="1:23" ht="15.75">
      <c r="A973" s="2080"/>
      <c r="B973" s="705"/>
      <c r="C973" s="90"/>
      <c r="D973" s="2081"/>
      <c r="E973" s="2082"/>
      <c r="F973" s="1954"/>
      <c r="G973" s="90"/>
      <c r="H973" s="90"/>
      <c r="I973" s="90"/>
      <c r="J973" s="90"/>
      <c r="K973" s="90"/>
      <c r="L973" s="90"/>
      <c r="M973" s="1956"/>
      <c r="N973" s="643"/>
      <c r="O973" s="2083"/>
      <c r="P973" s="643"/>
      <c r="Q973" s="643"/>
      <c r="R973" s="280"/>
      <c r="S973" s="280"/>
      <c r="T973" s="280"/>
      <c r="U973" s="280"/>
      <c r="V973" s="280"/>
      <c r="W973" s="79"/>
    </row>
    <row r="974" spans="1:23" ht="15.75">
      <c r="A974" s="2080"/>
      <c r="B974" s="705"/>
      <c r="C974" s="90"/>
      <c r="D974" s="2081"/>
      <c r="E974" s="2082"/>
      <c r="F974" s="1954"/>
      <c r="G974" s="90"/>
      <c r="H974" s="90"/>
      <c r="I974" s="90"/>
      <c r="J974" s="90"/>
      <c r="K974" s="90"/>
      <c r="L974" s="90"/>
      <c r="M974" s="1956"/>
      <c r="N974" s="643"/>
      <c r="O974" s="2083"/>
      <c r="P974" s="643"/>
      <c r="Q974" s="643"/>
      <c r="R974" s="280"/>
      <c r="S974" s="280"/>
      <c r="T974" s="280"/>
      <c r="U974" s="280"/>
      <c r="V974" s="280"/>
      <c r="W974" s="79"/>
    </row>
    <row r="975" spans="1:23" ht="15.75">
      <c r="A975" s="2080"/>
      <c r="B975" s="705"/>
      <c r="C975" s="90"/>
      <c r="D975" s="2081"/>
      <c r="E975" s="2082"/>
      <c r="F975" s="1954"/>
      <c r="G975" s="90"/>
      <c r="H975" s="90"/>
      <c r="I975" s="90"/>
      <c r="J975" s="90"/>
      <c r="K975" s="90"/>
      <c r="L975" s="90"/>
      <c r="M975" s="1956"/>
      <c r="N975" s="643"/>
      <c r="O975" s="2083"/>
      <c r="P975" s="643"/>
      <c r="Q975" s="643"/>
      <c r="R975" s="280"/>
      <c r="S975" s="280"/>
      <c r="T975" s="280"/>
      <c r="U975" s="280"/>
      <c r="V975" s="280"/>
      <c r="W975" s="79"/>
    </row>
    <row r="976" spans="1:23" ht="15.75">
      <c r="A976" s="2080"/>
      <c r="B976" s="705"/>
      <c r="C976" s="90"/>
      <c r="D976" s="2081"/>
      <c r="E976" s="2082"/>
      <c r="F976" s="1954"/>
      <c r="G976" s="90"/>
      <c r="H976" s="90"/>
      <c r="I976" s="90"/>
      <c r="J976" s="90"/>
      <c r="K976" s="90"/>
      <c r="L976" s="90"/>
      <c r="M976" s="1956"/>
      <c r="N976" s="643"/>
      <c r="O976" s="2083"/>
      <c r="P976" s="643"/>
      <c r="Q976" s="643"/>
      <c r="R976" s="280"/>
      <c r="S976" s="280"/>
      <c r="T976" s="280"/>
      <c r="U976" s="280"/>
      <c r="V976" s="280"/>
      <c r="W976" s="79"/>
    </row>
    <row r="977" spans="1:23" ht="15.75">
      <c r="A977" s="2080"/>
      <c r="B977" s="705"/>
      <c r="C977" s="90"/>
      <c r="D977" s="2081"/>
      <c r="E977" s="2082"/>
      <c r="F977" s="1954"/>
      <c r="G977" s="90"/>
      <c r="H977" s="90"/>
      <c r="I977" s="90"/>
      <c r="J977" s="90"/>
      <c r="K977" s="90"/>
      <c r="L977" s="90"/>
      <c r="M977" s="1956"/>
      <c r="N977" s="643"/>
      <c r="O977" s="2083"/>
      <c r="P977" s="643"/>
      <c r="Q977" s="643"/>
      <c r="R977" s="280"/>
      <c r="S977" s="280"/>
      <c r="T977" s="280"/>
      <c r="U977" s="280"/>
      <c r="V977" s="280"/>
      <c r="W977" s="79"/>
    </row>
    <row r="978" spans="1:23" ht="15.75">
      <c r="A978" s="2080"/>
      <c r="B978" s="705"/>
      <c r="C978" s="90"/>
      <c r="D978" s="2081"/>
      <c r="E978" s="2082"/>
      <c r="F978" s="1954"/>
      <c r="G978" s="90"/>
      <c r="H978" s="90"/>
      <c r="I978" s="90"/>
      <c r="J978" s="90"/>
      <c r="K978" s="90"/>
      <c r="L978" s="90"/>
      <c r="M978" s="1956"/>
      <c r="N978" s="643"/>
      <c r="O978" s="2083"/>
      <c r="P978" s="643"/>
      <c r="Q978" s="643"/>
      <c r="R978" s="280"/>
      <c r="S978" s="280"/>
      <c r="T978" s="280"/>
      <c r="U978" s="280"/>
      <c r="V978" s="280"/>
      <c r="W978" s="79"/>
    </row>
    <row r="979" spans="1:23" ht="15.75">
      <c r="A979" s="2080"/>
      <c r="B979" s="705"/>
      <c r="C979" s="90"/>
      <c r="D979" s="2081"/>
      <c r="E979" s="2082"/>
      <c r="F979" s="1954"/>
      <c r="G979" s="90"/>
      <c r="H979" s="90"/>
      <c r="I979" s="90"/>
      <c r="J979" s="90"/>
      <c r="K979" s="90"/>
      <c r="L979" s="90"/>
      <c r="M979" s="1956"/>
      <c r="N979" s="643"/>
      <c r="O979" s="2083"/>
      <c r="P979" s="643"/>
      <c r="Q979" s="643"/>
      <c r="R979" s="280"/>
      <c r="S979" s="280"/>
      <c r="T979" s="280"/>
      <c r="U979" s="280"/>
      <c r="V979" s="280"/>
      <c r="W979" s="79"/>
    </row>
    <row r="980" spans="1:23" ht="15.75">
      <c r="A980" s="2080"/>
      <c r="B980" s="705"/>
      <c r="C980" s="90"/>
      <c r="D980" s="2081"/>
      <c r="E980" s="2082"/>
      <c r="F980" s="1954"/>
      <c r="G980" s="90"/>
      <c r="H980" s="90"/>
      <c r="I980" s="90"/>
      <c r="J980" s="90"/>
      <c r="K980" s="90"/>
      <c r="L980" s="90"/>
      <c r="M980" s="1956"/>
      <c r="N980" s="643"/>
      <c r="O980" s="2083"/>
      <c r="P980" s="643"/>
      <c r="Q980" s="643"/>
      <c r="R980" s="280"/>
      <c r="S980" s="280"/>
      <c r="T980" s="280"/>
      <c r="U980" s="280"/>
      <c r="V980" s="280"/>
      <c r="W980" s="79"/>
    </row>
    <row r="981" spans="1:23" ht="15.75">
      <c r="A981" s="2080"/>
      <c r="B981" s="705"/>
      <c r="C981" s="90"/>
      <c r="D981" s="2081"/>
      <c r="E981" s="2082"/>
      <c r="F981" s="1954"/>
      <c r="G981" s="90"/>
      <c r="H981" s="90"/>
      <c r="I981" s="90"/>
      <c r="J981" s="90"/>
      <c r="K981" s="90"/>
      <c r="L981" s="90"/>
      <c r="M981" s="1956"/>
      <c r="N981" s="643"/>
      <c r="O981" s="2083"/>
      <c r="P981" s="643"/>
      <c r="Q981" s="643"/>
      <c r="R981" s="280"/>
      <c r="S981" s="280"/>
      <c r="T981" s="280"/>
      <c r="U981" s="280"/>
      <c r="V981" s="280"/>
      <c r="W981" s="79"/>
    </row>
    <row r="982" spans="1:23" ht="15.75">
      <c r="A982" s="2080"/>
      <c r="B982" s="705"/>
      <c r="C982" s="90"/>
      <c r="D982" s="2081"/>
      <c r="E982" s="2082"/>
      <c r="F982" s="1954"/>
      <c r="G982" s="90"/>
      <c r="H982" s="90"/>
      <c r="I982" s="90"/>
      <c r="J982" s="90"/>
      <c r="K982" s="90"/>
      <c r="L982" s="90"/>
      <c r="M982" s="1956"/>
      <c r="N982" s="643"/>
      <c r="O982" s="2083"/>
      <c r="P982" s="643"/>
      <c r="Q982" s="643"/>
      <c r="R982" s="280"/>
      <c r="S982" s="280"/>
      <c r="T982" s="280"/>
      <c r="U982" s="280"/>
      <c r="V982" s="280"/>
      <c r="W982" s="79"/>
    </row>
    <row r="983" spans="1:23" ht="15.75">
      <c r="A983" s="2080"/>
      <c r="B983" s="705"/>
      <c r="C983" s="90"/>
      <c r="D983" s="2081"/>
      <c r="E983" s="2082"/>
      <c r="F983" s="1954"/>
      <c r="G983" s="90"/>
      <c r="H983" s="90"/>
      <c r="I983" s="90"/>
      <c r="J983" s="90"/>
      <c r="K983" s="90"/>
      <c r="L983" s="90"/>
      <c r="M983" s="1956"/>
      <c r="N983" s="643"/>
      <c r="O983" s="2083"/>
      <c r="P983" s="643"/>
      <c r="Q983" s="643"/>
      <c r="R983" s="280"/>
      <c r="S983" s="280"/>
      <c r="T983" s="280"/>
      <c r="U983" s="280"/>
      <c r="V983" s="280"/>
      <c r="W983" s="79"/>
    </row>
    <row r="984" spans="1:23" ht="15.75">
      <c r="A984" s="2080"/>
      <c r="B984" s="705"/>
      <c r="C984" s="90"/>
      <c r="D984" s="2081"/>
      <c r="E984" s="2082"/>
      <c r="F984" s="1954"/>
      <c r="G984" s="90"/>
      <c r="H984" s="90"/>
      <c r="I984" s="90"/>
      <c r="J984" s="90"/>
      <c r="K984" s="90"/>
      <c r="L984" s="90"/>
      <c r="M984" s="1956"/>
      <c r="N984" s="643"/>
      <c r="O984" s="2083"/>
      <c r="P984" s="643"/>
      <c r="Q984" s="643"/>
      <c r="R984" s="280"/>
      <c r="S984" s="280"/>
      <c r="T984" s="280"/>
      <c r="U984" s="280"/>
      <c r="V984" s="280"/>
      <c r="W984" s="79"/>
    </row>
    <row r="985" spans="1:23" ht="15.75">
      <c r="A985" s="2080"/>
      <c r="B985" s="705"/>
      <c r="C985" s="90"/>
      <c r="D985" s="2081"/>
      <c r="E985" s="2082"/>
      <c r="F985" s="1954"/>
      <c r="G985" s="90"/>
      <c r="H985" s="90"/>
      <c r="I985" s="90"/>
      <c r="J985" s="90"/>
      <c r="K985" s="90"/>
      <c r="L985" s="90"/>
      <c r="M985" s="1956"/>
      <c r="N985" s="643"/>
      <c r="O985" s="2083"/>
      <c r="P985" s="643"/>
      <c r="Q985" s="643"/>
      <c r="R985" s="280"/>
      <c r="S985" s="280"/>
      <c r="T985" s="280"/>
      <c r="U985" s="280"/>
      <c r="V985" s="280"/>
      <c r="W985" s="79"/>
    </row>
    <row r="986" spans="1:23" ht="15.75">
      <c r="A986" s="2080"/>
      <c r="B986" s="705"/>
      <c r="C986" s="90"/>
      <c r="D986" s="2081"/>
      <c r="E986" s="2082"/>
      <c r="F986" s="1954"/>
      <c r="G986" s="90"/>
      <c r="H986" s="90"/>
      <c r="I986" s="90"/>
      <c r="J986" s="90"/>
      <c r="K986" s="90"/>
      <c r="L986" s="90"/>
      <c r="M986" s="1956"/>
      <c r="N986" s="643"/>
      <c r="O986" s="2083"/>
      <c r="P986" s="643"/>
      <c r="Q986" s="643"/>
      <c r="R986" s="280"/>
      <c r="S986" s="280"/>
      <c r="T986" s="280"/>
      <c r="U986" s="280"/>
      <c r="V986" s="280"/>
      <c r="W986" s="79"/>
    </row>
    <row r="987" spans="1:23" ht="15.75">
      <c r="A987" s="2080"/>
      <c r="B987" s="705"/>
      <c r="C987" s="90"/>
      <c r="D987" s="2081"/>
      <c r="E987" s="2082"/>
      <c r="F987" s="1954"/>
      <c r="G987" s="90"/>
      <c r="H987" s="90"/>
      <c r="I987" s="90"/>
      <c r="J987" s="90"/>
      <c r="K987" s="90"/>
      <c r="L987" s="90"/>
      <c r="M987" s="1956"/>
      <c r="N987" s="643"/>
      <c r="O987" s="2083"/>
      <c r="P987" s="643"/>
      <c r="Q987" s="643"/>
      <c r="R987" s="280"/>
      <c r="S987" s="280"/>
      <c r="T987" s="280"/>
      <c r="U987" s="280"/>
      <c r="V987" s="280"/>
      <c r="W987" s="79"/>
    </row>
    <row r="988" spans="1:23" ht="15.75">
      <c r="A988" s="2080"/>
      <c r="B988" s="705"/>
      <c r="C988" s="90"/>
      <c r="D988" s="2081"/>
      <c r="E988" s="2082"/>
      <c r="F988" s="1954"/>
      <c r="G988" s="90"/>
      <c r="H988" s="90"/>
      <c r="I988" s="90"/>
      <c r="J988" s="90"/>
      <c r="K988" s="90"/>
      <c r="L988" s="90"/>
      <c r="M988" s="1956"/>
      <c r="N988" s="643"/>
      <c r="O988" s="2083"/>
      <c r="P988" s="643"/>
      <c r="Q988" s="643"/>
      <c r="R988" s="280"/>
      <c r="S988" s="280"/>
      <c r="T988" s="280"/>
      <c r="U988" s="280"/>
      <c r="V988" s="280"/>
      <c r="W988" s="79"/>
    </row>
    <row r="989" spans="1:23" ht="15.75">
      <c r="A989" s="2080"/>
      <c r="B989" s="705"/>
      <c r="C989" s="90"/>
      <c r="D989" s="2081"/>
      <c r="E989" s="2082"/>
      <c r="F989" s="1954"/>
      <c r="G989" s="90"/>
      <c r="H989" s="90"/>
      <c r="I989" s="90"/>
      <c r="J989" s="90"/>
      <c r="K989" s="90"/>
      <c r="L989" s="90"/>
      <c r="M989" s="1956"/>
      <c r="N989" s="643"/>
      <c r="O989" s="2083"/>
      <c r="P989" s="643"/>
      <c r="Q989" s="643"/>
      <c r="R989" s="280"/>
      <c r="S989" s="280"/>
      <c r="T989" s="280"/>
      <c r="U989" s="280"/>
      <c r="V989" s="280"/>
      <c r="W989" s="79"/>
    </row>
    <row r="990" spans="1:23" ht="15.75">
      <c r="A990" s="2080"/>
      <c r="B990" s="705"/>
      <c r="C990" s="90"/>
      <c r="D990" s="2081"/>
      <c r="E990" s="2082"/>
      <c r="F990" s="1954"/>
      <c r="G990" s="90"/>
      <c r="H990" s="90"/>
      <c r="I990" s="90"/>
      <c r="J990" s="90"/>
      <c r="K990" s="90"/>
      <c r="L990" s="90"/>
      <c r="M990" s="1956"/>
      <c r="N990" s="643"/>
      <c r="O990" s="2083"/>
      <c r="P990" s="643"/>
      <c r="Q990" s="643"/>
      <c r="R990" s="280"/>
      <c r="S990" s="280"/>
      <c r="T990" s="280"/>
      <c r="U990" s="280"/>
      <c r="V990" s="280"/>
      <c r="W990" s="79"/>
    </row>
    <row r="991" spans="1:23" ht="15.75">
      <c r="A991" s="2080"/>
      <c r="B991" s="705"/>
      <c r="C991" s="90"/>
      <c r="D991" s="2081"/>
      <c r="E991" s="2082"/>
      <c r="F991" s="1954"/>
      <c r="G991" s="90"/>
      <c r="H991" s="90"/>
      <c r="I991" s="90"/>
      <c r="J991" s="90"/>
      <c r="K991" s="90"/>
      <c r="L991" s="90"/>
      <c r="M991" s="1956"/>
      <c r="N991" s="643"/>
      <c r="O991" s="2083"/>
      <c r="P991" s="643"/>
      <c r="Q991" s="643"/>
      <c r="R991" s="280"/>
      <c r="S991" s="280"/>
      <c r="T991" s="280"/>
      <c r="U991" s="280"/>
      <c r="V991" s="280"/>
      <c r="W991" s="79"/>
    </row>
    <row r="992" spans="1:23" ht="15.75">
      <c r="A992" s="2080"/>
      <c r="B992" s="705"/>
      <c r="C992" s="90"/>
      <c r="D992" s="2081"/>
      <c r="E992" s="2082"/>
      <c r="F992" s="1954"/>
      <c r="G992" s="90"/>
      <c r="H992" s="90"/>
      <c r="I992" s="90"/>
      <c r="J992" s="90"/>
      <c r="K992" s="90"/>
      <c r="L992" s="90"/>
      <c r="M992" s="1956"/>
      <c r="N992" s="643"/>
      <c r="O992" s="2083"/>
      <c r="P992" s="643"/>
      <c r="Q992" s="643"/>
      <c r="R992" s="280"/>
      <c r="S992" s="280"/>
      <c r="T992" s="280"/>
      <c r="U992" s="280"/>
      <c r="V992" s="280"/>
      <c r="W992" s="79"/>
    </row>
    <row r="993" spans="1:23" ht="15.75">
      <c r="A993" s="2080"/>
      <c r="B993" s="705"/>
      <c r="C993" s="90"/>
      <c r="D993" s="2081"/>
      <c r="E993" s="2082"/>
      <c r="F993" s="1954"/>
      <c r="G993" s="90"/>
      <c r="H993" s="90"/>
      <c r="I993" s="90"/>
      <c r="J993" s="90"/>
      <c r="K993" s="90"/>
      <c r="L993" s="90"/>
      <c r="M993" s="1956"/>
      <c r="N993" s="643"/>
      <c r="O993" s="2083"/>
      <c r="P993" s="643"/>
      <c r="Q993" s="643"/>
      <c r="R993" s="280"/>
      <c r="S993" s="280"/>
      <c r="T993" s="280"/>
      <c r="U993" s="280"/>
      <c r="V993" s="280"/>
      <c r="W993" s="79"/>
    </row>
    <row r="994" spans="1:23" ht="15.75">
      <c r="A994" s="2080"/>
      <c r="B994" s="705"/>
      <c r="C994" s="90"/>
      <c r="D994" s="2081"/>
      <c r="E994" s="2082"/>
      <c r="F994" s="1954"/>
      <c r="G994" s="90"/>
      <c r="H994" s="90"/>
      <c r="I994" s="90"/>
      <c r="J994" s="90"/>
      <c r="K994" s="90"/>
      <c r="L994" s="90"/>
      <c r="M994" s="1956"/>
      <c r="N994" s="643"/>
      <c r="O994" s="2083"/>
      <c r="P994" s="643"/>
      <c r="Q994" s="643"/>
      <c r="R994" s="280"/>
      <c r="S994" s="280"/>
      <c r="T994" s="280"/>
      <c r="U994" s="280"/>
      <c r="V994" s="280"/>
      <c r="W994" s="79"/>
    </row>
    <row r="995" spans="1:23" ht="15.75">
      <c r="A995" s="2080"/>
      <c r="B995" s="705"/>
      <c r="C995" s="90"/>
      <c r="D995" s="2081"/>
      <c r="E995" s="2082"/>
      <c r="F995" s="1954"/>
      <c r="G995" s="90"/>
      <c r="H995" s="90"/>
      <c r="I995" s="90"/>
      <c r="J995" s="90"/>
      <c r="K995" s="90"/>
      <c r="L995" s="90"/>
      <c r="M995" s="1956"/>
      <c r="N995" s="643"/>
      <c r="O995" s="2083"/>
      <c r="P995" s="643"/>
      <c r="Q995" s="643"/>
      <c r="R995" s="280"/>
      <c r="S995" s="280"/>
      <c r="T995" s="280"/>
      <c r="U995" s="280"/>
      <c r="V995" s="280"/>
      <c r="W995" s="79"/>
    </row>
    <row r="996" spans="1:23" ht="15.75">
      <c r="A996" s="2080"/>
      <c r="B996" s="705"/>
      <c r="C996" s="90"/>
      <c r="D996" s="2081"/>
      <c r="E996" s="2082"/>
      <c r="F996" s="1954"/>
      <c r="G996" s="90"/>
      <c r="H996" s="90"/>
      <c r="I996" s="90"/>
      <c r="J996" s="90"/>
      <c r="K996" s="90"/>
      <c r="L996" s="90"/>
      <c r="M996" s="1956"/>
      <c r="N996" s="643"/>
      <c r="O996" s="2083"/>
      <c r="P996" s="643"/>
      <c r="Q996" s="643"/>
      <c r="R996" s="280"/>
      <c r="S996" s="280"/>
      <c r="T996" s="280"/>
      <c r="U996" s="280"/>
      <c r="V996" s="280"/>
      <c r="W996" s="79"/>
    </row>
    <row r="997" spans="1:23" ht="15.75">
      <c r="A997" s="2080"/>
      <c r="B997" s="705"/>
      <c r="C997" s="90"/>
      <c r="D997" s="2081"/>
      <c r="E997" s="2082"/>
      <c r="F997" s="1954"/>
      <c r="G997" s="90"/>
      <c r="H997" s="90"/>
      <c r="I997" s="90"/>
      <c r="J997" s="90"/>
      <c r="K997" s="90"/>
      <c r="L997" s="90"/>
      <c r="M997" s="1956"/>
      <c r="N997" s="643"/>
      <c r="O997" s="2083"/>
      <c r="P997" s="643"/>
      <c r="Q997" s="643"/>
      <c r="R997" s="280"/>
      <c r="S997" s="280"/>
      <c r="T997" s="280"/>
      <c r="U997" s="280"/>
      <c r="V997" s="280"/>
      <c r="W997" s="79"/>
    </row>
    <row r="998" spans="1:23" ht="15.75">
      <c r="A998" s="2080"/>
      <c r="B998" s="705"/>
      <c r="C998" s="90"/>
      <c r="D998" s="2081"/>
      <c r="E998" s="2082"/>
      <c r="F998" s="1954"/>
      <c r="G998" s="90"/>
      <c r="H998" s="90"/>
      <c r="I998" s="90"/>
      <c r="J998" s="90"/>
      <c r="K998" s="90"/>
      <c r="L998" s="90"/>
      <c r="M998" s="1956"/>
      <c r="N998" s="643"/>
      <c r="O998" s="2083"/>
      <c r="P998" s="643"/>
      <c r="Q998" s="643"/>
      <c r="R998" s="280"/>
      <c r="S998" s="280"/>
      <c r="T998" s="280"/>
      <c r="U998" s="280"/>
      <c r="V998" s="280"/>
      <c r="W998" s="79"/>
    </row>
    <row r="999" spans="1:23" ht="15.75">
      <c r="A999" s="2080"/>
      <c r="B999" s="705"/>
      <c r="C999" s="90"/>
      <c r="D999" s="2081"/>
      <c r="E999" s="2082"/>
      <c r="F999" s="1954"/>
      <c r="G999" s="90"/>
      <c r="H999" s="90"/>
      <c r="I999" s="90"/>
      <c r="J999" s="90"/>
      <c r="K999" s="90"/>
      <c r="L999" s="90"/>
      <c r="M999" s="1956"/>
      <c r="N999" s="643"/>
      <c r="O999" s="2083"/>
      <c r="P999" s="643"/>
      <c r="Q999" s="643"/>
      <c r="R999" s="280"/>
      <c r="S999" s="280"/>
      <c r="T999" s="280"/>
      <c r="U999" s="280"/>
      <c r="V999" s="280"/>
      <c r="W999" s="79"/>
    </row>
    <row r="1000" spans="1:23" ht="15.75">
      <c r="A1000" s="2080"/>
      <c r="B1000" s="705"/>
      <c r="C1000" s="90"/>
      <c r="D1000" s="2081"/>
      <c r="E1000" s="2082"/>
      <c r="F1000" s="1954"/>
      <c r="G1000" s="90"/>
      <c r="H1000" s="90"/>
      <c r="I1000" s="90"/>
      <c r="J1000" s="90"/>
      <c r="K1000" s="90"/>
      <c r="L1000" s="90"/>
      <c r="M1000" s="1956"/>
      <c r="N1000" s="643"/>
      <c r="O1000" s="2083"/>
      <c r="P1000" s="643"/>
      <c r="Q1000" s="643"/>
      <c r="R1000" s="280"/>
      <c r="S1000" s="280"/>
      <c r="T1000" s="280"/>
      <c r="U1000" s="280"/>
      <c r="V1000" s="280"/>
      <c r="W1000" s="79"/>
    </row>
    <row r="1001" spans="1:23" ht="15.75">
      <c r="A1001" s="2080"/>
      <c r="B1001" s="705"/>
      <c r="C1001" s="90"/>
      <c r="D1001" s="2081"/>
      <c r="E1001" s="2082"/>
      <c r="F1001" s="1954"/>
      <c r="G1001" s="90"/>
      <c r="H1001" s="90"/>
      <c r="I1001" s="90"/>
      <c r="J1001" s="90"/>
      <c r="K1001" s="90"/>
      <c r="L1001" s="90"/>
      <c r="M1001" s="1956"/>
      <c r="N1001" s="643"/>
      <c r="O1001" s="2083"/>
      <c r="P1001" s="643"/>
      <c r="Q1001" s="643"/>
      <c r="R1001" s="280"/>
      <c r="S1001" s="280"/>
      <c r="T1001" s="280"/>
      <c r="U1001" s="280"/>
      <c r="V1001" s="280"/>
      <c r="W1001" s="79"/>
    </row>
    <row r="1002" spans="1:23" ht="15.75">
      <c r="A1002" s="2080"/>
      <c r="B1002" s="705"/>
      <c r="C1002" s="90"/>
      <c r="D1002" s="2081"/>
      <c r="E1002" s="2082"/>
      <c r="F1002" s="1954"/>
      <c r="G1002" s="90"/>
      <c r="H1002" s="90"/>
      <c r="I1002" s="90"/>
      <c r="J1002" s="90"/>
      <c r="K1002" s="90"/>
      <c r="L1002" s="90"/>
      <c r="M1002" s="1956"/>
      <c r="N1002" s="643"/>
      <c r="O1002" s="2083"/>
      <c r="P1002" s="643"/>
      <c r="Q1002" s="643"/>
      <c r="R1002" s="280"/>
      <c r="S1002" s="280"/>
      <c r="T1002" s="280"/>
      <c r="U1002" s="280"/>
      <c r="V1002" s="280"/>
      <c r="W1002" s="79"/>
    </row>
    <row r="1003" spans="1:23" ht="15.75">
      <c r="A1003" s="2080"/>
      <c r="B1003" s="705"/>
      <c r="C1003" s="90"/>
      <c r="D1003" s="2081"/>
      <c r="E1003" s="2082"/>
      <c r="F1003" s="1954"/>
      <c r="G1003" s="90"/>
      <c r="H1003" s="90"/>
      <c r="I1003" s="90"/>
      <c r="J1003" s="90"/>
      <c r="K1003" s="90"/>
      <c r="L1003" s="90"/>
      <c r="M1003" s="1956"/>
      <c r="N1003" s="643"/>
      <c r="O1003" s="2083"/>
      <c r="P1003" s="643"/>
      <c r="Q1003" s="643"/>
      <c r="R1003" s="280"/>
      <c r="S1003" s="280"/>
      <c r="T1003" s="280"/>
      <c r="U1003" s="280"/>
      <c r="V1003" s="280"/>
      <c r="W1003" s="79"/>
    </row>
    <row r="1004" spans="1:23" ht="15.75">
      <c r="A1004" s="2080"/>
      <c r="B1004" s="705"/>
      <c r="C1004" s="90"/>
      <c r="D1004" s="2081"/>
      <c r="E1004" s="2082"/>
      <c r="F1004" s="1954"/>
      <c r="G1004" s="90"/>
      <c r="H1004" s="90"/>
      <c r="I1004" s="90"/>
      <c r="J1004" s="90"/>
      <c r="K1004" s="90"/>
      <c r="L1004" s="90"/>
      <c r="M1004" s="1956"/>
      <c r="N1004" s="643"/>
      <c r="O1004" s="2083"/>
      <c r="P1004" s="643"/>
      <c r="Q1004" s="643"/>
      <c r="R1004" s="280"/>
      <c r="S1004" s="280"/>
      <c r="T1004" s="280"/>
      <c r="U1004" s="280"/>
      <c r="V1004" s="280"/>
      <c r="W1004" s="79"/>
    </row>
    <row r="1005" spans="1:23" ht="15.75">
      <c r="A1005" s="2080"/>
      <c r="B1005" s="705"/>
      <c r="C1005" s="90"/>
      <c r="D1005" s="2081"/>
      <c r="E1005" s="2082"/>
      <c r="F1005" s="1954"/>
      <c r="G1005" s="90"/>
      <c r="H1005" s="90"/>
      <c r="I1005" s="90"/>
      <c r="J1005" s="90"/>
      <c r="K1005" s="90"/>
      <c r="L1005" s="90"/>
      <c r="M1005" s="1956"/>
      <c r="N1005" s="643"/>
      <c r="O1005" s="2083"/>
      <c r="P1005" s="643"/>
      <c r="Q1005" s="643"/>
      <c r="R1005" s="280"/>
      <c r="S1005" s="280"/>
      <c r="T1005" s="280"/>
      <c r="U1005" s="280"/>
      <c r="V1005" s="280"/>
      <c r="W1005" s="79"/>
    </row>
    <row r="1006" spans="1:23" ht="15.75">
      <c r="A1006" s="2080"/>
      <c r="B1006" s="705"/>
      <c r="C1006" s="90"/>
      <c r="D1006" s="2081"/>
      <c r="E1006" s="2082"/>
      <c r="F1006" s="1954"/>
      <c r="G1006" s="90"/>
      <c r="H1006" s="90"/>
      <c r="I1006" s="90"/>
      <c r="J1006" s="90"/>
      <c r="K1006" s="90"/>
      <c r="L1006" s="90"/>
      <c r="M1006" s="1956"/>
      <c r="N1006" s="643"/>
      <c r="O1006" s="2083"/>
      <c r="P1006" s="643"/>
      <c r="Q1006" s="643"/>
      <c r="R1006" s="280"/>
      <c r="S1006" s="280"/>
      <c r="T1006" s="280"/>
      <c r="U1006" s="280"/>
      <c r="V1006" s="280"/>
      <c r="W1006" s="79"/>
    </row>
    <row r="1007" spans="1:23" ht="15.75">
      <c r="A1007" s="2080"/>
      <c r="B1007" s="705"/>
      <c r="C1007" s="90"/>
      <c r="D1007" s="2081"/>
      <c r="E1007" s="2082"/>
      <c r="F1007" s="1954"/>
      <c r="G1007" s="90"/>
      <c r="H1007" s="90"/>
      <c r="I1007" s="90"/>
      <c r="J1007" s="90"/>
      <c r="K1007" s="90"/>
      <c r="L1007" s="90"/>
      <c r="M1007" s="1956"/>
      <c r="N1007" s="643"/>
      <c r="O1007" s="2083"/>
      <c r="P1007" s="643"/>
      <c r="Q1007" s="643"/>
      <c r="R1007" s="280"/>
      <c r="S1007" s="280"/>
      <c r="T1007" s="280"/>
      <c r="U1007" s="280"/>
      <c r="V1007" s="280"/>
      <c r="W1007" s="79"/>
    </row>
    <row r="1008" spans="1:23" ht="15.75">
      <c r="A1008" s="2080"/>
      <c r="B1008" s="705"/>
      <c r="C1008" s="90"/>
      <c r="D1008" s="2081"/>
      <c r="E1008" s="2082"/>
      <c r="F1008" s="1954"/>
      <c r="G1008" s="90"/>
      <c r="H1008" s="90"/>
      <c r="I1008" s="90"/>
      <c r="J1008" s="90"/>
      <c r="K1008" s="90"/>
      <c r="L1008" s="90"/>
      <c r="M1008" s="1956"/>
      <c r="N1008" s="643"/>
      <c r="O1008" s="2083"/>
      <c r="P1008" s="643"/>
      <c r="Q1008" s="643"/>
      <c r="R1008" s="280"/>
      <c r="S1008" s="280"/>
      <c r="T1008" s="280"/>
      <c r="U1008" s="280"/>
      <c r="V1008" s="280"/>
      <c r="W1008" s="79"/>
    </row>
    <row r="1009" spans="1:23" ht="15.75">
      <c r="A1009" s="2080"/>
      <c r="B1009" s="705"/>
      <c r="C1009" s="90"/>
      <c r="D1009" s="2081"/>
      <c r="E1009" s="2082"/>
      <c r="F1009" s="1954"/>
      <c r="G1009" s="90"/>
      <c r="H1009" s="90"/>
      <c r="I1009" s="90"/>
      <c r="J1009" s="90"/>
      <c r="K1009" s="90"/>
      <c r="L1009" s="90"/>
      <c r="M1009" s="1956"/>
      <c r="N1009" s="643"/>
      <c r="O1009" s="2083"/>
      <c r="P1009" s="643"/>
      <c r="Q1009" s="643"/>
      <c r="R1009" s="280"/>
      <c r="S1009" s="280"/>
      <c r="T1009" s="280"/>
      <c r="U1009" s="280"/>
      <c r="V1009" s="280"/>
      <c r="W1009" s="79"/>
    </row>
    <row r="1010" spans="1:23" ht="15.75">
      <c r="A1010" s="2080"/>
      <c r="B1010" s="705"/>
      <c r="C1010" s="90"/>
      <c r="D1010" s="2081"/>
      <c r="E1010" s="2082"/>
      <c r="F1010" s="1954"/>
      <c r="G1010" s="90"/>
      <c r="H1010" s="90"/>
      <c r="I1010" s="90"/>
      <c r="J1010" s="90"/>
      <c r="K1010" s="90"/>
      <c r="L1010" s="90"/>
      <c r="M1010" s="1956"/>
      <c r="N1010" s="643"/>
      <c r="O1010" s="2083"/>
      <c r="P1010" s="643"/>
      <c r="Q1010" s="643"/>
      <c r="R1010" s="280"/>
      <c r="S1010" s="280"/>
      <c r="T1010" s="280"/>
      <c r="U1010" s="280"/>
      <c r="V1010" s="280"/>
      <c r="W1010" s="79"/>
    </row>
    <row r="1011" spans="1:23" ht="15.75">
      <c r="A1011" s="2080"/>
      <c r="B1011" s="705"/>
      <c r="C1011" s="90"/>
      <c r="D1011" s="2081"/>
      <c r="E1011" s="2082"/>
      <c r="F1011" s="1954"/>
      <c r="G1011" s="90"/>
      <c r="H1011" s="90"/>
      <c r="I1011" s="90"/>
      <c r="J1011" s="90"/>
      <c r="K1011" s="90"/>
      <c r="L1011" s="90"/>
      <c r="M1011" s="1956"/>
      <c r="N1011" s="643"/>
      <c r="O1011" s="2083"/>
      <c r="P1011" s="643"/>
      <c r="Q1011" s="643"/>
      <c r="R1011" s="280"/>
      <c r="S1011" s="280"/>
      <c r="T1011" s="280"/>
      <c r="U1011" s="280"/>
      <c r="V1011" s="280"/>
      <c r="W1011" s="79"/>
    </row>
    <row r="1012" spans="1:23" ht="15.75">
      <c r="A1012" s="2080"/>
      <c r="B1012" s="705"/>
      <c r="C1012" s="90"/>
      <c r="D1012" s="2081"/>
      <c r="E1012" s="2082"/>
      <c r="F1012" s="1954"/>
      <c r="G1012" s="90"/>
      <c r="H1012" s="90"/>
      <c r="I1012" s="90"/>
      <c r="J1012" s="90"/>
      <c r="K1012" s="90"/>
      <c r="L1012" s="90"/>
      <c r="M1012" s="1956"/>
      <c r="N1012" s="643"/>
      <c r="O1012" s="2083"/>
      <c r="P1012" s="643"/>
      <c r="Q1012" s="643"/>
      <c r="R1012" s="280"/>
      <c r="S1012" s="280"/>
      <c r="T1012" s="280"/>
      <c r="U1012" s="280"/>
      <c r="V1012" s="280"/>
      <c r="W1012" s="79"/>
    </row>
    <row r="1013" spans="1:23" ht="15.75">
      <c r="A1013" s="2080"/>
      <c r="B1013" s="705"/>
      <c r="C1013" s="90"/>
      <c r="D1013" s="2081"/>
      <c r="E1013" s="2082"/>
      <c r="F1013" s="1954"/>
      <c r="G1013" s="90"/>
      <c r="H1013" s="90"/>
      <c r="I1013" s="90"/>
      <c r="J1013" s="90"/>
      <c r="K1013" s="90"/>
      <c r="L1013" s="90"/>
      <c r="M1013" s="1956"/>
      <c r="N1013" s="643"/>
      <c r="O1013" s="2083"/>
      <c r="P1013" s="643"/>
      <c r="Q1013" s="643"/>
      <c r="R1013" s="280"/>
      <c r="S1013" s="280"/>
      <c r="T1013" s="280"/>
      <c r="U1013" s="280"/>
      <c r="V1013" s="280"/>
      <c r="W1013" s="79"/>
    </row>
    <row r="1014" spans="1:23" ht="15.75">
      <c r="A1014" s="2080"/>
      <c r="B1014" s="705"/>
      <c r="C1014" s="90"/>
      <c r="D1014" s="2081"/>
      <c r="E1014" s="2082"/>
      <c r="F1014" s="1954"/>
      <c r="G1014" s="90"/>
      <c r="H1014" s="90"/>
      <c r="I1014" s="90"/>
      <c r="J1014" s="90"/>
      <c r="K1014" s="90"/>
      <c r="L1014" s="90"/>
      <c r="M1014" s="1956"/>
      <c r="N1014" s="643"/>
      <c r="O1014" s="2083"/>
      <c r="P1014" s="643"/>
      <c r="Q1014" s="643"/>
      <c r="R1014" s="280"/>
      <c r="S1014" s="280"/>
      <c r="T1014" s="280"/>
      <c r="U1014" s="280"/>
      <c r="V1014" s="280"/>
      <c r="W1014" s="79"/>
    </row>
    <row r="1015" spans="1:23" ht="15.75">
      <c r="A1015" s="2080"/>
      <c r="B1015" s="705"/>
      <c r="C1015" s="90"/>
      <c r="D1015" s="2081"/>
      <c r="E1015" s="2082"/>
      <c r="F1015" s="1954"/>
      <c r="G1015" s="90"/>
      <c r="H1015" s="90"/>
      <c r="I1015" s="90"/>
      <c r="J1015" s="90"/>
      <c r="K1015" s="90"/>
      <c r="L1015" s="90"/>
      <c r="M1015" s="1956"/>
      <c r="N1015" s="643"/>
      <c r="O1015" s="2083"/>
      <c r="P1015" s="643"/>
      <c r="Q1015" s="643"/>
      <c r="R1015" s="280"/>
      <c r="S1015" s="280"/>
      <c r="T1015" s="280"/>
      <c r="U1015" s="280"/>
      <c r="V1015" s="280"/>
      <c r="W1015" s="79"/>
    </row>
    <row r="1016" spans="1:23" ht="15.75">
      <c r="A1016" s="2080"/>
      <c r="B1016" s="705"/>
      <c r="C1016" s="90"/>
      <c r="D1016" s="2081"/>
      <c r="E1016" s="2082"/>
      <c r="F1016" s="1954"/>
      <c r="G1016" s="90"/>
      <c r="H1016" s="90"/>
      <c r="I1016" s="90"/>
      <c r="J1016" s="90"/>
      <c r="K1016" s="90"/>
      <c r="L1016" s="90"/>
      <c r="M1016" s="1956"/>
      <c r="N1016" s="643"/>
      <c r="O1016" s="2083"/>
      <c r="P1016" s="643"/>
      <c r="Q1016" s="643"/>
      <c r="R1016" s="280"/>
      <c r="S1016" s="280"/>
      <c r="T1016" s="280"/>
      <c r="U1016" s="280"/>
      <c r="V1016" s="280"/>
      <c r="W1016" s="79"/>
    </row>
    <row r="1017" spans="1:23" ht="15.75">
      <c r="A1017" s="2080"/>
      <c r="B1017" s="705"/>
      <c r="C1017" s="90"/>
      <c r="D1017" s="2081"/>
      <c r="E1017" s="2082"/>
      <c r="F1017" s="1954"/>
      <c r="G1017" s="90"/>
      <c r="H1017" s="90"/>
      <c r="I1017" s="90"/>
      <c r="J1017" s="90"/>
      <c r="K1017" s="90"/>
      <c r="L1017" s="90"/>
      <c r="M1017" s="1956"/>
      <c r="N1017" s="643"/>
      <c r="O1017" s="2083"/>
      <c r="P1017" s="643"/>
      <c r="Q1017" s="643"/>
      <c r="R1017" s="280"/>
      <c r="S1017" s="280"/>
      <c r="T1017" s="280"/>
      <c r="U1017" s="280"/>
      <c r="V1017" s="280"/>
      <c r="W1017" s="79"/>
    </row>
    <row r="1018" spans="1:23" ht="15.75">
      <c r="A1018" s="2080"/>
      <c r="B1018" s="705"/>
      <c r="C1018" s="90"/>
      <c r="D1018" s="2081"/>
      <c r="E1018" s="2082"/>
      <c r="F1018" s="1954"/>
      <c r="G1018" s="90"/>
      <c r="H1018" s="90"/>
      <c r="I1018" s="90"/>
      <c r="J1018" s="90"/>
      <c r="K1018" s="90"/>
      <c r="L1018" s="90"/>
      <c r="M1018" s="1956"/>
      <c r="N1018" s="643"/>
      <c r="O1018" s="2083"/>
      <c r="P1018" s="643"/>
      <c r="Q1018" s="643"/>
      <c r="R1018" s="280"/>
      <c r="S1018" s="280"/>
      <c r="T1018" s="280"/>
      <c r="U1018" s="280"/>
      <c r="V1018" s="280"/>
      <c r="W1018" s="79"/>
    </row>
    <row r="1019" spans="1:23" ht="15.75">
      <c r="A1019" s="2080"/>
      <c r="B1019" s="705"/>
      <c r="C1019" s="90"/>
      <c r="D1019" s="2081"/>
      <c r="E1019" s="2082"/>
      <c r="F1019" s="1954"/>
      <c r="G1019" s="90"/>
      <c r="H1019" s="90"/>
      <c r="I1019" s="90"/>
      <c r="J1019" s="90"/>
      <c r="K1019" s="90"/>
      <c r="L1019" s="90"/>
      <c r="M1019" s="1956"/>
      <c r="N1019" s="643"/>
      <c r="O1019" s="2083"/>
      <c r="P1019" s="643"/>
      <c r="Q1019" s="643"/>
      <c r="R1019" s="280"/>
      <c r="S1019" s="280"/>
      <c r="T1019" s="280"/>
      <c r="U1019" s="280"/>
      <c r="V1019" s="280"/>
      <c r="W1019" s="79"/>
    </row>
    <row r="1020" spans="1:23" ht="15.75">
      <c r="A1020" s="2080"/>
      <c r="B1020" s="705"/>
      <c r="C1020" s="90"/>
      <c r="D1020" s="2081"/>
      <c r="E1020" s="2082"/>
      <c r="F1020" s="1954"/>
      <c r="G1020" s="90"/>
      <c r="H1020" s="90"/>
      <c r="I1020" s="90"/>
      <c r="J1020" s="90"/>
      <c r="K1020" s="90"/>
      <c r="L1020" s="90"/>
      <c r="M1020" s="1956"/>
      <c r="N1020" s="643"/>
      <c r="O1020" s="2083"/>
      <c r="P1020" s="643"/>
      <c r="Q1020" s="643"/>
      <c r="R1020" s="280"/>
      <c r="S1020" s="280"/>
      <c r="T1020" s="280"/>
      <c r="U1020" s="280"/>
      <c r="V1020" s="280"/>
      <c r="W1020" s="79"/>
    </row>
    <row r="1021" spans="1:23" ht="15.75">
      <c r="A1021" s="2080"/>
      <c r="B1021" s="705"/>
      <c r="C1021" s="90"/>
      <c r="D1021" s="2081"/>
      <c r="E1021" s="2082"/>
      <c r="F1021" s="1954"/>
      <c r="G1021" s="90"/>
      <c r="H1021" s="90"/>
      <c r="I1021" s="90"/>
      <c r="J1021" s="90"/>
      <c r="K1021" s="90"/>
      <c r="L1021" s="90"/>
      <c r="M1021" s="1956"/>
      <c r="N1021" s="643"/>
      <c r="O1021" s="2083"/>
      <c r="P1021" s="643"/>
      <c r="Q1021" s="643"/>
      <c r="R1021" s="280"/>
      <c r="S1021" s="280"/>
      <c r="T1021" s="280"/>
      <c r="U1021" s="280"/>
      <c r="V1021" s="280"/>
      <c r="W1021" s="79"/>
    </row>
    <row r="1022" spans="1:23" ht="15.75">
      <c r="A1022" s="2080"/>
      <c r="B1022" s="705"/>
      <c r="C1022" s="90"/>
      <c r="D1022" s="2081"/>
      <c r="E1022" s="2082"/>
      <c r="F1022" s="1954"/>
      <c r="G1022" s="90"/>
      <c r="H1022" s="90"/>
      <c r="I1022" s="90"/>
      <c r="J1022" s="90"/>
      <c r="K1022" s="90"/>
      <c r="L1022" s="90"/>
      <c r="M1022" s="1956"/>
      <c r="N1022" s="643"/>
      <c r="O1022" s="2083"/>
      <c r="P1022" s="643"/>
      <c r="Q1022" s="643"/>
      <c r="R1022" s="280"/>
      <c r="S1022" s="280"/>
      <c r="T1022" s="280"/>
      <c r="U1022" s="280"/>
      <c r="V1022" s="280"/>
      <c r="W1022" s="79"/>
    </row>
    <row r="1023" spans="1:23" ht="15.75">
      <c r="A1023" s="2080"/>
      <c r="B1023" s="705"/>
      <c r="C1023" s="90"/>
      <c r="D1023" s="2081"/>
      <c r="E1023" s="2082"/>
      <c r="F1023" s="1954"/>
      <c r="G1023" s="90"/>
      <c r="H1023" s="90"/>
      <c r="I1023" s="90"/>
      <c r="J1023" s="90"/>
      <c r="K1023" s="90"/>
      <c r="L1023" s="90"/>
      <c r="M1023" s="1956"/>
      <c r="N1023" s="643"/>
      <c r="O1023" s="2083"/>
      <c r="P1023" s="643"/>
      <c r="Q1023" s="643"/>
      <c r="R1023" s="280"/>
      <c r="S1023" s="280"/>
      <c r="T1023" s="280"/>
      <c r="U1023" s="280"/>
      <c r="V1023" s="280"/>
      <c r="W1023" s="79"/>
    </row>
    <row r="1024" spans="1:23" ht="15.75">
      <c r="A1024" s="2080"/>
      <c r="B1024" s="705"/>
      <c r="C1024" s="90"/>
      <c r="D1024" s="2081"/>
      <c r="E1024" s="2082"/>
      <c r="F1024" s="1954"/>
      <c r="G1024" s="90"/>
      <c r="H1024" s="90"/>
      <c r="I1024" s="90"/>
      <c r="J1024" s="90"/>
      <c r="K1024" s="90"/>
      <c r="L1024" s="90"/>
      <c r="M1024" s="1956"/>
      <c r="N1024" s="643"/>
      <c r="O1024" s="2083"/>
      <c r="P1024" s="643"/>
      <c r="Q1024" s="643"/>
      <c r="R1024" s="280"/>
      <c r="S1024" s="280"/>
      <c r="T1024" s="280"/>
      <c r="U1024" s="280"/>
      <c r="V1024" s="280"/>
      <c r="W1024" s="79"/>
    </row>
    <row r="1025" spans="1:23" ht="15.75">
      <c r="A1025" s="2080"/>
      <c r="B1025" s="705"/>
      <c r="C1025" s="90"/>
      <c r="D1025" s="2081"/>
      <c r="E1025" s="2082"/>
      <c r="F1025" s="1954"/>
      <c r="G1025" s="90"/>
      <c r="H1025" s="90"/>
      <c r="I1025" s="90"/>
      <c r="J1025" s="90"/>
      <c r="K1025" s="90"/>
      <c r="L1025" s="90"/>
      <c r="M1025" s="1956"/>
      <c r="N1025" s="643"/>
      <c r="O1025" s="2083"/>
      <c r="P1025" s="643"/>
      <c r="Q1025" s="643"/>
      <c r="R1025" s="280"/>
      <c r="S1025" s="280"/>
      <c r="T1025" s="280"/>
      <c r="U1025" s="280"/>
      <c r="V1025" s="280"/>
      <c r="W1025" s="79"/>
    </row>
    <row r="1026" spans="1:23" ht="15.75">
      <c r="A1026" s="2080"/>
      <c r="B1026" s="705"/>
      <c r="C1026" s="90"/>
      <c r="D1026" s="2081"/>
      <c r="E1026" s="2082"/>
      <c r="F1026" s="1954"/>
      <c r="G1026" s="90"/>
      <c r="H1026" s="90"/>
      <c r="I1026" s="90"/>
      <c r="J1026" s="90"/>
      <c r="K1026" s="90"/>
      <c r="L1026" s="90"/>
      <c r="M1026" s="1956"/>
      <c r="N1026" s="643"/>
      <c r="O1026" s="2083"/>
      <c r="P1026" s="643"/>
      <c r="Q1026" s="643"/>
      <c r="R1026" s="280"/>
      <c r="S1026" s="280"/>
      <c r="T1026" s="280"/>
      <c r="U1026" s="280"/>
      <c r="V1026" s="280"/>
      <c r="W1026" s="79"/>
    </row>
    <row r="1027" spans="1:23" ht="15.75">
      <c r="A1027" s="2080"/>
      <c r="B1027" s="705"/>
      <c r="C1027" s="90"/>
      <c r="D1027" s="2081"/>
      <c r="E1027" s="2082"/>
      <c r="F1027" s="1954"/>
      <c r="G1027" s="90"/>
      <c r="H1027" s="90"/>
      <c r="I1027" s="90"/>
      <c r="J1027" s="90"/>
      <c r="K1027" s="90"/>
      <c r="L1027" s="90"/>
      <c r="M1027" s="1956"/>
      <c r="N1027" s="643"/>
      <c r="O1027" s="2083"/>
      <c r="P1027" s="643"/>
      <c r="Q1027" s="643"/>
      <c r="R1027" s="280"/>
      <c r="S1027" s="280"/>
      <c r="T1027" s="280"/>
      <c r="U1027" s="280"/>
      <c r="V1027" s="280"/>
      <c r="W1027" s="79"/>
    </row>
    <row r="1028" spans="1:23" ht="15.75">
      <c r="A1028" s="2080"/>
      <c r="B1028" s="705"/>
      <c r="C1028" s="90"/>
      <c r="D1028" s="2081"/>
      <c r="E1028" s="2082"/>
      <c r="F1028" s="1954"/>
      <c r="G1028" s="90"/>
      <c r="H1028" s="90"/>
      <c r="I1028" s="90"/>
      <c r="J1028" s="90"/>
      <c r="K1028" s="90"/>
      <c r="L1028" s="90"/>
      <c r="M1028" s="1956"/>
      <c r="N1028" s="643"/>
      <c r="O1028" s="2083"/>
      <c r="P1028" s="643"/>
      <c r="Q1028" s="643"/>
      <c r="R1028" s="280"/>
      <c r="S1028" s="280"/>
      <c r="T1028" s="280"/>
      <c r="U1028" s="280"/>
      <c r="V1028" s="280"/>
      <c r="W1028" s="79"/>
    </row>
    <row r="1029" spans="1:23" ht="15.75">
      <c r="A1029" s="2080"/>
      <c r="B1029" s="705"/>
      <c r="C1029" s="90"/>
      <c r="D1029" s="2081"/>
      <c r="E1029" s="2082"/>
      <c r="F1029" s="1954"/>
      <c r="G1029" s="90"/>
      <c r="H1029" s="90"/>
      <c r="I1029" s="90"/>
      <c r="J1029" s="90"/>
      <c r="K1029" s="90"/>
      <c r="L1029" s="90"/>
      <c r="M1029" s="1956"/>
      <c r="N1029" s="643"/>
      <c r="O1029" s="2083"/>
      <c r="P1029" s="643"/>
      <c r="Q1029" s="643"/>
      <c r="R1029" s="280"/>
      <c r="S1029" s="280"/>
      <c r="T1029" s="280"/>
      <c r="U1029" s="280"/>
      <c r="V1029" s="280"/>
      <c r="W1029" s="79"/>
    </row>
    <row r="1030" spans="1:23" ht="15.75">
      <c r="A1030" s="2080"/>
      <c r="B1030" s="705"/>
      <c r="C1030" s="90"/>
      <c r="D1030" s="2081"/>
      <c r="E1030" s="2082"/>
      <c r="F1030" s="1954"/>
      <c r="G1030" s="90"/>
      <c r="H1030" s="90"/>
      <c r="I1030" s="90"/>
      <c r="J1030" s="90"/>
      <c r="K1030" s="90"/>
      <c r="L1030" s="90"/>
      <c r="M1030" s="1956"/>
      <c r="N1030" s="643"/>
      <c r="O1030" s="2083"/>
      <c r="P1030" s="643"/>
      <c r="Q1030" s="643"/>
      <c r="R1030" s="280"/>
      <c r="S1030" s="280"/>
      <c r="T1030" s="280"/>
      <c r="U1030" s="280"/>
      <c r="V1030" s="280"/>
      <c r="W1030" s="79"/>
    </row>
    <row r="1031" spans="1:23" ht="15.75">
      <c r="A1031" s="2080"/>
      <c r="B1031" s="705"/>
      <c r="C1031" s="90"/>
      <c r="D1031" s="2081"/>
      <c r="E1031" s="2082"/>
      <c r="F1031" s="1954"/>
      <c r="G1031" s="90"/>
      <c r="H1031" s="90"/>
      <c r="I1031" s="90"/>
      <c r="J1031" s="90"/>
      <c r="K1031" s="90"/>
      <c r="L1031" s="90"/>
      <c r="M1031" s="1956"/>
      <c r="N1031" s="643"/>
      <c r="O1031" s="2083"/>
      <c r="P1031" s="643"/>
      <c r="Q1031" s="643"/>
      <c r="R1031" s="280"/>
      <c r="S1031" s="280"/>
      <c r="T1031" s="280"/>
      <c r="U1031" s="280"/>
      <c r="V1031" s="280"/>
      <c r="W1031" s="79"/>
    </row>
    <row r="1032" spans="1:23" ht="15.75">
      <c r="A1032" s="2080"/>
      <c r="B1032" s="705"/>
      <c r="C1032" s="90"/>
      <c r="D1032" s="2081"/>
      <c r="E1032" s="2082"/>
      <c r="F1032" s="1954"/>
      <c r="G1032" s="90"/>
      <c r="H1032" s="90"/>
      <c r="I1032" s="90"/>
      <c r="J1032" s="90"/>
      <c r="K1032" s="90"/>
      <c r="L1032" s="90"/>
      <c r="M1032" s="1956"/>
      <c r="N1032" s="643"/>
      <c r="O1032" s="2083"/>
      <c r="P1032" s="643"/>
      <c r="Q1032" s="643"/>
      <c r="R1032" s="280"/>
      <c r="S1032" s="280"/>
      <c r="T1032" s="280"/>
      <c r="U1032" s="280"/>
      <c r="V1032" s="280"/>
      <c r="W1032" s="79"/>
    </row>
    <row r="1033" spans="1:23" ht="15.75">
      <c r="A1033" s="2080"/>
      <c r="B1033" s="705"/>
      <c r="C1033" s="90"/>
      <c r="D1033" s="2081"/>
      <c r="E1033" s="2082"/>
      <c r="F1033" s="1954"/>
      <c r="G1033" s="90"/>
      <c r="H1033" s="90"/>
      <c r="I1033" s="90"/>
      <c r="J1033" s="90"/>
      <c r="K1033" s="90"/>
      <c r="L1033" s="90"/>
      <c r="M1033" s="1956"/>
      <c r="N1033" s="643"/>
      <c r="O1033" s="2083"/>
      <c r="P1033" s="643"/>
      <c r="Q1033" s="643"/>
      <c r="R1033" s="280"/>
      <c r="S1033" s="280"/>
      <c r="T1033" s="280"/>
      <c r="U1033" s="280"/>
      <c r="V1033" s="280"/>
      <c r="W1033" s="79"/>
    </row>
    <row r="1034" spans="1:23" ht="15.75">
      <c r="A1034" s="2080"/>
      <c r="B1034" s="705"/>
      <c r="C1034" s="90"/>
      <c r="D1034" s="2081"/>
      <c r="E1034" s="2082"/>
      <c r="F1034" s="1954"/>
      <c r="G1034" s="90"/>
      <c r="H1034" s="90"/>
      <c r="I1034" s="90"/>
      <c r="J1034" s="90"/>
      <c r="K1034" s="90"/>
      <c r="L1034" s="90"/>
      <c r="M1034" s="1956"/>
      <c r="N1034" s="643"/>
      <c r="O1034" s="2083"/>
      <c r="P1034" s="643"/>
      <c r="Q1034" s="643"/>
      <c r="R1034" s="280"/>
      <c r="S1034" s="280"/>
      <c r="T1034" s="280"/>
      <c r="U1034" s="280"/>
      <c r="V1034" s="280"/>
      <c r="W1034" s="79"/>
    </row>
    <row r="1035" spans="1:23" ht="15.75">
      <c r="A1035" s="2080"/>
      <c r="B1035" s="705"/>
      <c r="C1035" s="90"/>
      <c r="D1035" s="2081"/>
      <c r="E1035" s="2082"/>
      <c r="F1035" s="1954"/>
      <c r="G1035" s="90"/>
      <c r="H1035" s="90"/>
      <c r="I1035" s="90"/>
      <c r="J1035" s="90"/>
      <c r="K1035" s="90"/>
      <c r="L1035" s="90"/>
      <c r="M1035" s="1956"/>
      <c r="N1035" s="643"/>
      <c r="O1035" s="2083"/>
      <c r="P1035" s="643"/>
      <c r="Q1035" s="643"/>
      <c r="R1035" s="280"/>
      <c r="S1035" s="280"/>
      <c r="T1035" s="280"/>
      <c r="U1035" s="280"/>
      <c r="V1035" s="280"/>
      <c r="W1035" s="79"/>
    </row>
    <row r="1036" spans="1:23" ht="15.75">
      <c r="A1036" s="2080"/>
      <c r="B1036" s="705"/>
      <c r="C1036" s="90"/>
      <c r="D1036" s="2081"/>
      <c r="E1036" s="2082"/>
      <c r="F1036" s="1954"/>
      <c r="G1036" s="90"/>
      <c r="H1036" s="90"/>
      <c r="I1036" s="90"/>
      <c r="J1036" s="90"/>
      <c r="K1036" s="90"/>
      <c r="L1036" s="90"/>
      <c r="M1036" s="1956"/>
      <c r="N1036" s="643"/>
      <c r="O1036" s="2083"/>
      <c r="P1036" s="643"/>
      <c r="Q1036" s="643"/>
      <c r="R1036" s="280"/>
      <c r="S1036" s="280"/>
      <c r="T1036" s="280"/>
      <c r="U1036" s="280"/>
      <c r="V1036" s="280"/>
      <c r="W1036" s="79"/>
    </row>
    <row r="1037" spans="1:23" ht="15.75">
      <c r="A1037" s="2080"/>
      <c r="B1037" s="705"/>
      <c r="C1037" s="90"/>
      <c r="D1037" s="2081"/>
      <c r="E1037" s="2082"/>
      <c r="F1037" s="1954"/>
      <c r="G1037" s="90"/>
      <c r="H1037" s="90"/>
      <c r="I1037" s="90"/>
      <c r="J1037" s="90"/>
      <c r="K1037" s="90"/>
      <c r="L1037" s="90"/>
      <c r="M1037" s="1956"/>
      <c r="N1037" s="643"/>
      <c r="O1037" s="2083"/>
      <c r="P1037" s="643"/>
      <c r="Q1037" s="643"/>
      <c r="R1037" s="280"/>
      <c r="S1037" s="280"/>
      <c r="T1037" s="280"/>
      <c r="U1037" s="280"/>
      <c r="V1037" s="280"/>
      <c r="W1037" s="79"/>
    </row>
    <row r="1038" spans="1:23" ht="15.75">
      <c r="A1038" s="2080"/>
      <c r="B1038" s="705"/>
      <c r="C1038" s="90"/>
      <c r="D1038" s="2081"/>
      <c r="E1038" s="2082"/>
      <c r="F1038" s="1954"/>
      <c r="G1038" s="90"/>
      <c r="H1038" s="90"/>
      <c r="I1038" s="90"/>
      <c r="J1038" s="90"/>
      <c r="K1038" s="90"/>
      <c r="L1038" s="90"/>
      <c r="M1038" s="1956"/>
      <c r="N1038" s="643"/>
      <c r="O1038" s="2083"/>
      <c r="P1038" s="643"/>
      <c r="Q1038" s="643"/>
      <c r="R1038" s="280"/>
      <c r="S1038" s="280"/>
      <c r="T1038" s="280"/>
      <c r="U1038" s="280"/>
      <c r="V1038" s="280"/>
      <c r="W1038" s="79"/>
    </row>
    <row r="1039" spans="1:23" ht="15.75">
      <c r="A1039" s="2080"/>
      <c r="B1039" s="705"/>
      <c r="C1039" s="90"/>
      <c r="D1039" s="2081"/>
      <c r="E1039" s="2082"/>
      <c r="F1039" s="1954"/>
      <c r="G1039" s="90"/>
      <c r="H1039" s="90"/>
      <c r="I1039" s="90"/>
      <c r="J1039" s="90"/>
      <c r="K1039" s="90"/>
      <c r="L1039" s="90"/>
      <c r="M1039" s="1956"/>
      <c r="N1039" s="643"/>
      <c r="O1039" s="2083"/>
      <c r="P1039" s="643"/>
      <c r="Q1039" s="643"/>
      <c r="R1039" s="280"/>
      <c r="S1039" s="280"/>
      <c r="T1039" s="280"/>
      <c r="U1039" s="280"/>
      <c r="V1039" s="280"/>
      <c r="W1039" s="79"/>
    </row>
    <row r="1040" spans="1:23" ht="15.75">
      <c r="A1040" s="2080"/>
      <c r="B1040" s="705"/>
      <c r="C1040" s="90"/>
      <c r="D1040" s="2081"/>
      <c r="E1040" s="2082"/>
      <c r="F1040" s="1954"/>
      <c r="G1040" s="90"/>
      <c r="H1040" s="90"/>
      <c r="I1040" s="90"/>
      <c r="J1040" s="90"/>
      <c r="K1040" s="90"/>
      <c r="L1040" s="90"/>
      <c r="M1040" s="1956"/>
      <c r="N1040" s="643"/>
      <c r="O1040" s="2083"/>
      <c r="P1040" s="643"/>
      <c r="Q1040" s="643"/>
      <c r="R1040" s="280"/>
      <c r="S1040" s="280"/>
      <c r="T1040" s="280"/>
      <c r="U1040" s="280"/>
      <c r="V1040" s="280"/>
      <c r="W1040" s="79"/>
    </row>
    <row r="1041" spans="1:23" ht="15.75">
      <c r="A1041" s="2080"/>
      <c r="B1041" s="705"/>
      <c r="C1041" s="90"/>
      <c r="D1041" s="2081"/>
      <c r="E1041" s="2082"/>
      <c r="F1041" s="1954"/>
      <c r="G1041" s="90"/>
      <c r="H1041" s="90"/>
      <c r="I1041" s="90"/>
      <c r="J1041" s="90"/>
      <c r="K1041" s="90"/>
      <c r="L1041" s="90"/>
      <c r="M1041" s="1956"/>
      <c r="N1041" s="643"/>
      <c r="O1041" s="2083"/>
      <c r="P1041" s="643"/>
      <c r="Q1041" s="643"/>
      <c r="R1041" s="280"/>
      <c r="S1041" s="280"/>
      <c r="T1041" s="280"/>
      <c r="U1041" s="280"/>
      <c r="V1041" s="280"/>
      <c r="W1041" s="79"/>
    </row>
    <row r="1042" spans="1:23" ht="15.75">
      <c r="A1042" s="2080"/>
      <c r="B1042" s="705"/>
      <c r="C1042" s="90"/>
      <c r="D1042" s="2081"/>
      <c r="E1042" s="2082"/>
      <c r="F1042" s="1954"/>
      <c r="G1042" s="90"/>
      <c r="H1042" s="90"/>
      <c r="I1042" s="90"/>
      <c r="J1042" s="90"/>
      <c r="K1042" s="90"/>
      <c r="L1042" s="90"/>
      <c r="M1042" s="1956"/>
      <c r="N1042" s="643"/>
      <c r="O1042" s="2083"/>
      <c r="P1042" s="643"/>
      <c r="Q1042" s="643"/>
      <c r="R1042" s="280"/>
      <c r="S1042" s="280"/>
      <c r="T1042" s="280"/>
      <c r="U1042" s="280"/>
      <c r="V1042" s="280"/>
      <c r="W1042" s="79"/>
    </row>
    <row r="1043" spans="1:23" ht="15.75">
      <c r="A1043" s="2080"/>
      <c r="B1043" s="705"/>
      <c r="C1043" s="90"/>
      <c r="D1043" s="2081"/>
      <c r="E1043" s="2082"/>
      <c r="F1043" s="1954"/>
      <c r="G1043" s="90"/>
      <c r="H1043" s="90"/>
      <c r="I1043" s="90"/>
      <c r="J1043" s="90"/>
      <c r="K1043" s="90"/>
      <c r="L1043" s="90"/>
      <c r="M1043" s="1956"/>
      <c r="N1043" s="643"/>
      <c r="O1043" s="2083"/>
      <c r="P1043" s="643"/>
      <c r="Q1043" s="643"/>
      <c r="R1043" s="280"/>
      <c r="S1043" s="280"/>
      <c r="T1043" s="280"/>
      <c r="U1043" s="280"/>
      <c r="V1043" s="280"/>
      <c r="W1043" s="79"/>
    </row>
    <row r="1044" spans="1:23" ht="15.75">
      <c r="A1044" s="2080"/>
      <c r="B1044" s="705"/>
      <c r="C1044" s="90"/>
      <c r="D1044" s="2081"/>
      <c r="E1044" s="2082"/>
      <c r="F1044" s="1954"/>
      <c r="G1044" s="90"/>
      <c r="H1044" s="90"/>
      <c r="I1044" s="90"/>
      <c r="J1044" s="90"/>
      <c r="K1044" s="90"/>
      <c r="L1044" s="90"/>
      <c r="M1044" s="1956"/>
      <c r="N1044" s="643"/>
      <c r="O1044" s="2083"/>
      <c r="P1044" s="643"/>
      <c r="Q1044" s="643"/>
      <c r="R1044" s="280"/>
      <c r="S1044" s="280"/>
      <c r="T1044" s="280"/>
      <c r="U1044" s="280"/>
      <c r="V1044" s="280"/>
      <c r="W1044" s="79"/>
    </row>
    <row r="1045" spans="1:23" ht="15.75">
      <c r="A1045" s="2080"/>
      <c r="B1045" s="705"/>
      <c r="C1045" s="90"/>
      <c r="D1045" s="2081"/>
      <c r="E1045" s="2082"/>
      <c r="F1045" s="1954"/>
      <c r="G1045" s="90"/>
      <c r="H1045" s="90"/>
      <c r="I1045" s="90"/>
      <c r="J1045" s="90"/>
      <c r="K1045" s="90"/>
      <c r="L1045" s="90"/>
      <c r="M1045" s="1956"/>
      <c r="N1045" s="643"/>
      <c r="O1045" s="2083"/>
      <c r="P1045" s="643"/>
      <c r="Q1045" s="643"/>
      <c r="R1045" s="280"/>
      <c r="S1045" s="280"/>
      <c r="T1045" s="280"/>
      <c r="U1045" s="280"/>
      <c r="V1045" s="280"/>
      <c r="W1045" s="79"/>
    </row>
    <row r="1046" spans="1:23" ht="15.75">
      <c r="A1046" s="2080"/>
      <c r="B1046" s="705"/>
      <c r="C1046" s="90"/>
      <c r="D1046" s="2081"/>
      <c r="E1046" s="2082"/>
      <c r="F1046" s="1954"/>
      <c r="G1046" s="90"/>
      <c r="H1046" s="90"/>
      <c r="I1046" s="90"/>
      <c r="J1046" s="90"/>
      <c r="K1046" s="90"/>
      <c r="L1046" s="90"/>
      <c r="M1046" s="1956"/>
      <c r="N1046" s="643"/>
      <c r="O1046" s="2083"/>
      <c r="P1046" s="643"/>
      <c r="Q1046" s="643"/>
      <c r="R1046" s="280"/>
      <c r="S1046" s="280"/>
      <c r="T1046" s="280"/>
      <c r="U1046" s="280"/>
      <c r="V1046" s="280"/>
      <c r="W1046" s="79"/>
    </row>
    <row r="1047" spans="1:23" ht="15.75">
      <c r="A1047" s="2080"/>
      <c r="B1047" s="705"/>
      <c r="C1047" s="90"/>
      <c r="D1047" s="2081"/>
      <c r="E1047" s="2082"/>
      <c r="F1047" s="1954"/>
      <c r="G1047" s="90"/>
      <c r="H1047" s="90"/>
      <c r="I1047" s="90"/>
      <c r="J1047" s="90"/>
      <c r="K1047" s="90"/>
      <c r="L1047" s="90"/>
      <c r="M1047" s="1956"/>
      <c r="N1047" s="643"/>
      <c r="O1047" s="2083"/>
      <c r="P1047" s="643"/>
      <c r="Q1047" s="643"/>
      <c r="R1047" s="280"/>
      <c r="S1047" s="280"/>
      <c r="T1047" s="280"/>
      <c r="U1047" s="280"/>
      <c r="V1047" s="280"/>
      <c r="W1047" s="79"/>
    </row>
    <row r="1048" spans="1:23" ht="15.75">
      <c r="A1048" s="2080"/>
      <c r="B1048" s="705"/>
      <c r="C1048" s="90"/>
      <c r="D1048" s="2081"/>
      <c r="E1048" s="2082"/>
      <c r="F1048" s="1954"/>
      <c r="G1048" s="90"/>
      <c r="H1048" s="90"/>
      <c r="I1048" s="90"/>
      <c r="J1048" s="90"/>
      <c r="K1048" s="90"/>
      <c r="L1048" s="90"/>
      <c r="M1048" s="1956"/>
      <c r="N1048" s="643"/>
      <c r="O1048" s="2083"/>
      <c r="P1048" s="643"/>
      <c r="Q1048" s="643"/>
      <c r="R1048" s="280"/>
      <c r="S1048" s="280"/>
      <c r="T1048" s="280"/>
      <c r="U1048" s="280"/>
      <c r="V1048" s="280"/>
      <c r="W1048" s="79"/>
    </row>
    <row r="1049" spans="1:23" ht="15.75">
      <c r="A1049" s="2080"/>
      <c r="B1049" s="705"/>
      <c r="C1049" s="90"/>
      <c r="D1049" s="2081"/>
      <c r="E1049" s="2082"/>
      <c r="F1049" s="1954"/>
      <c r="G1049" s="90"/>
      <c r="H1049" s="90"/>
      <c r="I1049" s="90"/>
      <c r="J1049" s="90"/>
      <c r="K1049" s="90"/>
      <c r="L1049" s="90"/>
      <c r="M1049" s="1956"/>
      <c r="N1049" s="643"/>
      <c r="O1049" s="2083"/>
      <c r="P1049" s="643"/>
      <c r="Q1049" s="643"/>
      <c r="R1049" s="280"/>
      <c r="S1049" s="280"/>
      <c r="T1049" s="280"/>
      <c r="U1049" s="280"/>
      <c r="V1049" s="280"/>
      <c r="W1049" s="79"/>
    </row>
    <row r="1050" spans="1:23" ht="15.75">
      <c r="A1050" s="2080"/>
      <c r="B1050" s="705"/>
      <c r="C1050" s="90"/>
      <c r="D1050" s="2081"/>
      <c r="E1050" s="2082"/>
      <c r="F1050" s="1954"/>
      <c r="G1050" s="90"/>
      <c r="H1050" s="90"/>
      <c r="I1050" s="90"/>
      <c r="J1050" s="90"/>
      <c r="K1050" s="90"/>
      <c r="L1050" s="90"/>
      <c r="M1050" s="1956"/>
      <c r="N1050" s="643"/>
      <c r="O1050" s="2083"/>
      <c r="P1050" s="643"/>
      <c r="Q1050" s="643"/>
      <c r="R1050" s="280"/>
      <c r="S1050" s="280"/>
      <c r="T1050" s="280"/>
      <c r="U1050" s="280"/>
      <c r="V1050" s="280"/>
      <c r="W1050" s="79"/>
    </row>
    <row r="1051" spans="1:23" ht="15.75">
      <c r="A1051" s="2080"/>
      <c r="B1051" s="705"/>
      <c r="C1051" s="90"/>
      <c r="D1051" s="2081"/>
      <c r="E1051" s="2082"/>
      <c r="F1051" s="1954"/>
      <c r="G1051" s="90"/>
      <c r="H1051" s="90"/>
      <c r="I1051" s="90"/>
      <c r="J1051" s="90"/>
      <c r="K1051" s="90"/>
      <c r="L1051" s="90"/>
      <c r="M1051" s="1956"/>
      <c r="N1051" s="643"/>
      <c r="O1051" s="2083"/>
      <c r="P1051" s="643"/>
      <c r="Q1051" s="643"/>
      <c r="R1051" s="280"/>
      <c r="S1051" s="280"/>
      <c r="T1051" s="280"/>
      <c r="U1051" s="280"/>
      <c r="V1051" s="280"/>
      <c r="W1051" s="79"/>
    </row>
    <row r="1052" spans="1:23" ht="15.75">
      <c r="A1052" s="2080"/>
      <c r="B1052" s="705"/>
      <c r="C1052" s="90"/>
      <c r="D1052" s="2081"/>
      <c r="E1052" s="2082"/>
      <c r="F1052" s="1954"/>
      <c r="G1052" s="90"/>
      <c r="H1052" s="90"/>
      <c r="I1052" s="90"/>
      <c r="J1052" s="90"/>
      <c r="K1052" s="90"/>
      <c r="L1052" s="90"/>
      <c r="M1052" s="1956"/>
      <c r="N1052" s="643"/>
      <c r="O1052" s="2083"/>
      <c r="P1052" s="643"/>
      <c r="Q1052" s="643"/>
      <c r="R1052" s="280"/>
      <c r="S1052" s="280"/>
      <c r="T1052" s="280"/>
      <c r="U1052" s="280"/>
      <c r="V1052" s="280"/>
      <c r="W1052" s="79"/>
    </row>
    <row r="1053" spans="1:23" ht="15.75">
      <c r="A1053" s="2080"/>
      <c r="B1053" s="705"/>
      <c r="C1053" s="90"/>
      <c r="D1053" s="2081"/>
      <c r="E1053" s="2082"/>
      <c r="F1053" s="1954"/>
      <c r="G1053" s="90"/>
      <c r="H1053" s="90"/>
      <c r="I1053" s="90"/>
      <c r="J1053" s="90"/>
      <c r="K1053" s="90"/>
      <c r="L1053" s="90"/>
      <c r="M1053" s="1956"/>
      <c r="N1053" s="643"/>
      <c r="O1053" s="2083"/>
      <c r="P1053" s="643"/>
      <c r="Q1053" s="643"/>
      <c r="R1053" s="280"/>
      <c r="S1053" s="280"/>
      <c r="T1053" s="280"/>
      <c r="U1053" s="280"/>
      <c r="V1053" s="280"/>
      <c r="W1053" s="79"/>
    </row>
    <row r="1054" spans="1:23" ht="15.75">
      <c r="A1054" s="2080"/>
      <c r="B1054" s="705"/>
      <c r="C1054" s="90"/>
      <c r="D1054" s="2081"/>
      <c r="E1054" s="2082"/>
      <c r="F1054" s="1954"/>
      <c r="G1054" s="90"/>
      <c r="H1054" s="90"/>
      <c r="I1054" s="90"/>
      <c r="J1054" s="90"/>
      <c r="K1054" s="90"/>
      <c r="L1054" s="90"/>
      <c r="M1054" s="1956"/>
      <c r="N1054" s="643"/>
      <c r="O1054" s="2083"/>
      <c r="P1054" s="643"/>
      <c r="Q1054" s="643"/>
      <c r="R1054" s="280"/>
      <c r="S1054" s="280"/>
      <c r="T1054" s="280"/>
      <c r="U1054" s="280"/>
      <c r="V1054" s="280"/>
      <c r="W1054" s="79"/>
    </row>
    <row r="1055" spans="1:23" ht="15.75">
      <c r="A1055" s="2080"/>
      <c r="B1055" s="705"/>
      <c r="C1055" s="90"/>
      <c r="D1055" s="2081"/>
      <c r="E1055" s="2082"/>
      <c r="F1055" s="1954"/>
      <c r="G1055" s="90"/>
      <c r="H1055" s="90"/>
      <c r="I1055" s="90"/>
      <c r="J1055" s="90"/>
      <c r="K1055" s="90"/>
      <c r="L1055" s="90"/>
      <c r="M1055" s="1956"/>
      <c r="N1055" s="643"/>
      <c r="O1055" s="2083"/>
      <c r="P1055" s="643"/>
      <c r="Q1055" s="643"/>
      <c r="R1055" s="280"/>
      <c r="S1055" s="280"/>
      <c r="T1055" s="280"/>
      <c r="U1055" s="280"/>
      <c r="V1055" s="280"/>
      <c r="W1055" s="79"/>
    </row>
    <row r="1056" spans="1:23" ht="15.75">
      <c r="A1056" s="2080"/>
      <c r="B1056" s="705"/>
      <c r="C1056" s="90"/>
      <c r="D1056" s="2081"/>
      <c r="E1056" s="2082"/>
      <c r="F1056" s="1954"/>
      <c r="G1056" s="90"/>
      <c r="H1056" s="90"/>
      <c r="I1056" s="90"/>
      <c r="J1056" s="90"/>
      <c r="K1056" s="90"/>
      <c r="L1056" s="90"/>
      <c r="M1056" s="1956"/>
      <c r="N1056" s="643"/>
      <c r="O1056" s="2083"/>
      <c r="P1056" s="643"/>
      <c r="Q1056" s="643"/>
      <c r="R1056" s="280"/>
      <c r="S1056" s="280"/>
      <c r="T1056" s="280"/>
      <c r="U1056" s="280"/>
      <c r="V1056" s="280"/>
      <c r="W1056" s="79"/>
    </row>
    <row r="1057" spans="1:23" ht="15.75">
      <c r="A1057" s="2080"/>
      <c r="B1057" s="705"/>
      <c r="C1057" s="90"/>
      <c r="D1057" s="2081"/>
      <c r="E1057" s="2082"/>
      <c r="F1057" s="1954"/>
      <c r="G1057" s="90"/>
      <c r="H1057" s="90"/>
      <c r="I1057" s="90"/>
      <c r="J1057" s="90"/>
      <c r="K1057" s="90"/>
      <c r="L1057" s="90"/>
      <c r="M1057" s="1956"/>
      <c r="N1057" s="643"/>
      <c r="O1057" s="2083"/>
      <c r="P1057" s="643"/>
      <c r="Q1057" s="643"/>
      <c r="R1057" s="280"/>
      <c r="S1057" s="280"/>
      <c r="T1057" s="280"/>
      <c r="U1057" s="280"/>
      <c r="V1057" s="280"/>
      <c r="W1057" s="79"/>
    </row>
    <row r="1058" spans="1:23" ht="15.75">
      <c r="A1058" s="2080"/>
      <c r="B1058" s="705"/>
      <c r="C1058" s="90"/>
      <c r="D1058" s="2081"/>
      <c r="E1058" s="2082"/>
      <c r="F1058" s="1954"/>
      <c r="G1058" s="90"/>
      <c r="H1058" s="90"/>
      <c r="I1058" s="90"/>
      <c r="J1058" s="90"/>
      <c r="K1058" s="90"/>
      <c r="L1058" s="90"/>
      <c r="M1058" s="1956"/>
      <c r="N1058" s="643"/>
      <c r="O1058" s="2083"/>
      <c r="P1058" s="643"/>
      <c r="Q1058" s="643"/>
      <c r="R1058" s="280"/>
      <c r="S1058" s="280"/>
      <c r="T1058" s="280"/>
      <c r="U1058" s="280"/>
      <c r="V1058" s="280"/>
      <c r="W1058" s="79"/>
    </row>
    <row r="1059" spans="1:23" ht="15.75">
      <c r="A1059" s="2080"/>
      <c r="B1059" s="705"/>
      <c r="C1059" s="90"/>
      <c r="D1059" s="2081"/>
      <c r="E1059" s="2082"/>
      <c r="F1059" s="1954"/>
      <c r="G1059" s="90"/>
      <c r="H1059" s="90"/>
      <c r="I1059" s="90"/>
      <c r="J1059" s="90"/>
      <c r="K1059" s="90"/>
      <c r="L1059" s="90"/>
      <c r="M1059" s="1956"/>
      <c r="N1059" s="643"/>
      <c r="O1059" s="2083"/>
      <c r="P1059" s="643"/>
      <c r="Q1059" s="643"/>
      <c r="R1059" s="280"/>
      <c r="S1059" s="280"/>
      <c r="T1059" s="280"/>
      <c r="U1059" s="280"/>
      <c r="V1059" s="280"/>
      <c r="W1059" s="79"/>
    </row>
    <row r="1060" spans="1:23" ht="15.75">
      <c r="A1060" s="2080"/>
      <c r="B1060" s="705"/>
      <c r="C1060" s="90"/>
      <c r="D1060" s="2081"/>
      <c r="E1060" s="2082"/>
      <c r="F1060" s="1954"/>
      <c r="G1060" s="90"/>
      <c r="H1060" s="90"/>
      <c r="I1060" s="90"/>
      <c r="J1060" s="90"/>
      <c r="K1060" s="90"/>
      <c r="L1060" s="90"/>
      <c r="M1060" s="1956"/>
      <c r="N1060" s="643"/>
      <c r="O1060" s="2083"/>
      <c r="P1060" s="643"/>
      <c r="Q1060" s="643"/>
      <c r="R1060" s="280"/>
      <c r="S1060" s="280"/>
      <c r="T1060" s="280"/>
      <c r="U1060" s="280"/>
      <c r="V1060" s="280"/>
      <c r="W1060" s="79"/>
    </row>
    <row r="1061" spans="1:23" ht="15.75">
      <c r="A1061" s="2080"/>
      <c r="B1061" s="705"/>
      <c r="C1061" s="90"/>
      <c r="D1061" s="2081"/>
      <c r="E1061" s="2082"/>
      <c r="F1061" s="1954"/>
      <c r="G1061" s="90"/>
      <c r="H1061" s="90"/>
      <c r="I1061" s="90"/>
      <c r="J1061" s="90"/>
      <c r="K1061" s="90"/>
      <c r="L1061" s="90"/>
      <c r="M1061" s="1956"/>
      <c r="N1061" s="643"/>
      <c r="O1061" s="2083"/>
      <c r="P1061" s="643"/>
      <c r="Q1061" s="643"/>
      <c r="R1061" s="280"/>
      <c r="S1061" s="280"/>
      <c r="T1061" s="280"/>
      <c r="U1061" s="280"/>
      <c r="V1061" s="280"/>
      <c r="W1061" s="79"/>
    </row>
    <row r="1062" spans="1:23" ht="15.75">
      <c r="A1062" s="2080"/>
      <c r="B1062" s="705"/>
      <c r="C1062" s="90"/>
      <c r="D1062" s="2081"/>
      <c r="E1062" s="2082"/>
      <c r="F1062" s="1954"/>
      <c r="G1062" s="90"/>
      <c r="H1062" s="90"/>
      <c r="I1062" s="90"/>
      <c r="J1062" s="90"/>
      <c r="K1062" s="90"/>
      <c r="L1062" s="90"/>
      <c r="M1062" s="1956"/>
      <c r="N1062" s="643"/>
      <c r="O1062" s="2083"/>
      <c r="P1062" s="643"/>
      <c r="Q1062" s="643"/>
      <c r="R1062" s="280"/>
      <c r="S1062" s="280"/>
      <c r="T1062" s="280"/>
      <c r="U1062" s="280"/>
      <c r="V1062" s="280"/>
      <c r="W1062" s="79"/>
    </row>
    <row r="1063" spans="1:23" ht="15.75">
      <c r="A1063" s="2080"/>
      <c r="B1063" s="705"/>
      <c r="C1063" s="90"/>
      <c r="D1063" s="2081"/>
      <c r="E1063" s="2082"/>
      <c r="F1063" s="1954"/>
      <c r="G1063" s="90"/>
      <c r="H1063" s="90"/>
      <c r="I1063" s="90"/>
      <c r="J1063" s="90"/>
      <c r="K1063" s="90"/>
      <c r="L1063" s="90"/>
      <c r="M1063" s="1956"/>
      <c r="N1063" s="643"/>
      <c r="O1063" s="2083"/>
      <c r="P1063" s="643"/>
      <c r="Q1063" s="643"/>
      <c r="R1063" s="280"/>
      <c r="S1063" s="280"/>
      <c r="T1063" s="280"/>
      <c r="U1063" s="280"/>
      <c r="V1063" s="280"/>
      <c r="W1063" s="79"/>
    </row>
    <row r="1064" spans="1:23" ht="15.75">
      <c r="A1064" s="2080"/>
      <c r="B1064" s="705"/>
      <c r="C1064" s="90"/>
      <c r="D1064" s="2081"/>
      <c r="E1064" s="2082"/>
      <c r="F1064" s="1954"/>
      <c r="G1064" s="90"/>
      <c r="H1064" s="90"/>
      <c r="I1064" s="90"/>
      <c r="J1064" s="90"/>
      <c r="K1064" s="90"/>
      <c r="L1064" s="90"/>
      <c r="M1064" s="1956"/>
      <c r="N1064" s="643"/>
      <c r="O1064" s="2083"/>
      <c r="P1064" s="643"/>
      <c r="Q1064" s="643"/>
      <c r="R1064" s="280"/>
      <c r="S1064" s="280"/>
      <c r="T1064" s="280"/>
      <c r="U1064" s="280"/>
      <c r="V1064" s="280"/>
      <c r="W1064" s="79"/>
    </row>
    <row r="1065" spans="1:23" ht="15.75">
      <c r="A1065" s="2080"/>
      <c r="B1065" s="705"/>
      <c r="C1065" s="90"/>
      <c r="D1065" s="2081"/>
      <c r="E1065" s="2082"/>
      <c r="F1065" s="1954"/>
      <c r="G1065" s="90"/>
      <c r="H1065" s="90"/>
      <c r="I1065" s="90"/>
      <c r="J1065" s="90"/>
      <c r="K1065" s="90"/>
      <c r="L1065" s="90"/>
      <c r="M1065" s="1956"/>
      <c r="N1065" s="643"/>
      <c r="O1065" s="2083"/>
      <c r="P1065" s="643"/>
      <c r="Q1065" s="643"/>
      <c r="R1065" s="280"/>
      <c r="S1065" s="280"/>
      <c r="T1065" s="280"/>
      <c r="U1065" s="280"/>
      <c r="V1065" s="280"/>
      <c r="W1065" s="79"/>
    </row>
    <row r="1066" spans="1:23" ht="15.75">
      <c r="A1066" s="2080"/>
      <c r="B1066" s="705"/>
      <c r="C1066" s="90"/>
      <c r="D1066" s="2081"/>
      <c r="E1066" s="2082"/>
      <c r="F1066" s="1954"/>
      <c r="G1066" s="90"/>
      <c r="H1066" s="90"/>
      <c r="I1066" s="90"/>
      <c r="J1066" s="90"/>
      <c r="K1066" s="90"/>
      <c r="L1066" s="90"/>
      <c r="M1066" s="1956"/>
      <c r="N1066" s="643"/>
      <c r="O1066" s="2083"/>
      <c r="P1066" s="643"/>
      <c r="Q1066" s="643"/>
      <c r="R1066" s="280"/>
      <c r="S1066" s="280"/>
      <c r="T1066" s="280"/>
      <c r="U1066" s="280"/>
      <c r="V1066" s="280"/>
      <c r="W1066" s="79"/>
    </row>
    <row r="1067" spans="1:23" ht="15.75">
      <c r="A1067" s="2080"/>
      <c r="B1067" s="705"/>
      <c r="C1067" s="90"/>
      <c r="D1067" s="2081"/>
      <c r="E1067" s="2082"/>
      <c r="F1067" s="1954"/>
      <c r="G1067" s="90"/>
      <c r="H1067" s="90"/>
      <c r="I1067" s="90"/>
      <c r="J1067" s="90"/>
      <c r="K1067" s="90"/>
      <c r="L1067" s="90"/>
      <c r="M1067" s="1956"/>
      <c r="N1067" s="643"/>
      <c r="O1067" s="2083"/>
      <c r="P1067" s="643"/>
      <c r="Q1067" s="643"/>
      <c r="R1067" s="280"/>
      <c r="S1067" s="280"/>
      <c r="T1067" s="280"/>
      <c r="U1067" s="280"/>
      <c r="V1067" s="280"/>
      <c r="W1067" s="79"/>
    </row>
    <row r="1068" spans="1:23" ht="15.75">
      <c r="A1068" s="2080"/>
      <c r="B1068" s="705"/>
      <c r="C1068" s="90"/>
      <c r="D1068" s="2081"/>
      <c r="E1068" s="2082"/>
      <c r="F1068" s="1954"/>
      <c r="G1068" s="90"/>
      <c r="H1068" s="90"/>
      <c r="I1068" s="90"/>
      <c r="J1068" s="90"/>
      <c r="K1068" s="90"/>
      <c r="L1068" s="90"/>
      <c r="M1068" s="1956"/>
      <c r="N1068" s="643"/>
      <c r="O1068" s="2083"/>
      <c r="P1068" s="643"/>
      <c r="Q1068" s="643"/>
      <c r="R1068" s="280"/>
      <c r="S1068" s="280"/>
      <c r="T1068" s="280"/>
      <c r="U1068" s="280"/>
      <c r="V1068" s="280"/>
      <c r="W1068" s="79"/>
    </row>
    <row r="1069" spans="1:23" ht="15.75">
      <c r="A1069" s="2080"/>
      <c r="B1069" s="705"/>
      <c r="C1069" s="90"/>
      <c r="D1069" s="2081"/>
      <c r="E1069" s="2082"/>
      <c r="F1069" s="1954"/>
      <c r="G1069" s="90"/>
      <c r="H1069" s="90"/>
      <c r="I1069" s="90"/>
      <c r="J1069" s="90"/>
      <c r="K1069" s="90"/>
      <c r="L1069" s="90"/>
      <c r="M1069" s="1956"/>
      <c r="N1069" s="643"/>
      <c r="O1069" s="2083"/>
      <c r="P1069" s="643"/>
      <c r="Q1069" s="643"/>
      <c r="R1069" s="280"/>
      <c r="S1069" s="280"/>
      <c r="T1069" s="280"/>
      <c r="U1069" s="280"/>
      <c r="V1069" s="280"/>
      <c r="W1069" s="79"/>
    </row>
    <row r="1070" spans="1:23" ht="15.75">
      <c r="A1070" s="2080"/>
      <c r="B1070" s="705"/>
      <c r="C1070" s="90"/>
      <c r="D1070" s="2081"/>
      <c r="E1070" s="2082"/>
      <c r="F1070" s="1954"/>
      <c r="G1070" s="90"/>
      <c r="H1070" s="90"/>
      <c r="I1070" s="90"/>
      <c r="J1070" s="90"/>
      <c r="K1070" s="90"/>
      <c r="L1070" s="90"/>
      <c r="M1070" s="1956"/>
      <c r="N1070" s="643"/>
      <c r="O1070" s="2083"/>
      <c r="P1070" s="643"/>
      <c r="Q1070" s="643"/>
      <c r="R1070" s="280"/>
      <c r="S1070" s="280"/>
      <c r="T1070" s="280"/>
      <c r="U1070" s="280"/>
      <c r="V1070" s="280"/>
      <c r="W1070" s="79"/>
    </row>
    <row r="1071" spans="1:23" ht="15.75">
      <c r="A1071" s="2080"/>
      <c r="B1071" s="705"/>
      <c r="C1071" s="90"/>
      <c r="D1071" s="2081"/>
      <c r="E1071" s="2082"/>
      <c r="F1071" s="1954"/>
      <c r="G1071" s="90"/>
      <c r="H1071" s="90"/>
      <c r="I1071" s="90"/>
      <c r="J1071" s="90"/>
      <c r="K1071" s="90"/>
      <c r="L1071" s="90"/>
      <c r="M1071" s="1956"/>
      <c r="N1071" s="643"/>
      <c r="O1071" s="2083"/>
      <c r="P1071" s="643"/>
      <c r="Q1071" s="643"/>
      <c r="R1071" s="280"/>
      <c r="S1071" s="280"/>
      <c r="T1071" s="280"/>
      <c r="U1071" s="280"/>
      <c r="V1071" s="280"/>
      <c r="W1071" s="79"/>
    </row>
    <row r="1072" spans="1:23" ht="15.75">
      <c r="A1072" s="2080"/>
      <c r="B1072" s="705"/>
      <c r="C1072" s="90"/>
      <c r="D1072" s="2081"/>
      <c r="E1072" s="2082"/>
      <c r="F1072" s="1954"/>
      <c r="G1072" s="90"/>
      <c r="H1072" s="90"/>
      <c r="I1072" s="90"/>
      <c r="J1072" s="90"/>
      <c r="K1072" s="90"/>
      <c r="L1072" s="90"/>
      <c r="M1072" s="1956"/>
      <c r="N1072" s="643"/>
      <c r="O1072" s="2083"/>
      <c r="P1072" s="643"/>
      <c r="Q1072" s="643"/>
      <c r="R1072" s="280"/>
      <c r="S1072" s="280"/>
      <c r="T1072" s="280"/>
      <c r="U1072" s="280"/>
      <c r="V1072" s="280"/>
      <c r="W1072" s="79"/>
    </row>
    <row r="1073" spans="1:23" ht="15.75">
      <c r="A1073" s="2080"/>
      <c r="B1073" s="705"/>
      <c r="C1073" s="90"/>
      <c r="D1073" s="2081"/>
      <c r="E1073" s="2082"/>
      <c r="F1073" s="1954"/>
      <c r="G1073" s="90"/>
      <c r="H1073" s="90"/>
      <c r="I1073" s="90"/>
      <c r="J1073" s="90"/>
      <c r="K1073" s="90"/>
      <c r="L1073" s="90"/>
      <c r="M1073" s="1956"/>
      <c r="N1073" s="643"/>
      <c r="O1073" s="2083"/>
      <c r="P1073" s="643"/>
      <c r="Q1073" s="643"/>
      <c r="R1073" s="280"/>
      <c r="S1073" s="280"/>
      <c r="T1073" s="280"/>
      <c r="U1073" s="280"/>
      <c r="V1073" s="280"/>
      <c r="W1073" s="79"/>
    </row>
    <row r="1074" spans="1:23" ht="15.75">
      <c r="A1074" s="2080"/>
      <c r="B1074" s="705"/>
      <c r="C1074" s="90"/>
      <c r="D1074" s="2081"/>
      <c r="E1074" s="2082"/>
      <c r="F1074" s="1954"/>
      <c r="G1074" s="90"/>
      <c r="H1074" s="90"/>
      <c r="I1074" s="90"/>
      <c r="J1074" s="90"/>
      <c r="K1074" s="90"/>
      <c r="L1074" s="90"/>
      <c r="M1074" s="1956"/>
      <c r="N1074" s="643"/>
      <c r="O1074" s="2083"/>
      <c r="P1074" s="643"/>
      <c r="Q1074" s="643"/>
      <c r="R1074" s="280"/>
      <c r="S1074" s="280"/>
      <c r="T1074" s="280"/>
      <c r="U1074" s="280"/>
      <c r="V1074" s="280"/>
      <c r="W1074" s="79"/>
    </row>
    <row r="1075" spans="1:23" ht="15.75">
      <c r="A1075" s="2080"/>
      <c r="B1075" s="705"/>
      <c r="C1075" s="90"/>
      <c r="D1075" s="2081"/>
      <c r="E1075" s="2082"/>
      <c r="F1075" s="1954"/>
      <c r="G1075" s="90"/>
      <c r="H1075" s="90"/>
      <c r="I1075" s="90"/>
      <c r="J1075" s="90"/>
      <c r="K1075" s="90"/>
      <c r="L1075" s="90"/>
      <c r="M1075" s="1956"/>
      <c r="N1075" s="643"/>
      <c r="O1075" s="2083"/>
      <c r="P1075" s="643"/>
      <c r="Q1075" s="643"/>
      <c r="R1075" s="280"/>
      <c r="S1075" s="280"/>
      <c r="T1075" s="280"/>
      <c r="U1075" s="280"/>
      <c r="V1075" s="280"/>
      <c r="W1075" s="79"/>
    </row>
    <row r="1076" spans="1:23" ht="15.75">
      <c r="A1076" s="2080"/>
      <c r="B1076" s="705"/>
      <c r="C1076" s="90"/>
      <c r="D1076" s="2081"/>
      <c r="E1076" s="2082"/>
      <c r="F1076" s="1954"/>
      <c r="G1076" s="90"/>
      <c r="H1076" s="90"/>
      <c r="I1076" s="90"/>
      <c r="J1076" s="90"/>
      <c r="K1076" s="90"/>
      <c r="L1076" s="90"/>
      <c r="M1076" s="1956"/>
      <c r="N1076" s="643"/>
      <c r="O1076" s="2083"/>
      <c r="P1076" s="643"/>
      <c r="Q1076" s="643"/>
      <c r="R1076" s="280"/>
      <c r="S1076" s="280"/>
      <c r="T1076" s="280"/>
      <c r="U1076" s="280"/>
      <c r="V1076" s="280"/>
      <c r="W1076" s="79"/>
    </row>
    <row r="1077" spans="1:23" ht="15.75">
      <c r="A1077" s="2080"/>
      <c r="B1077" s="705"/>
      <c r="C1077" s="90"/>
      <c r="D1077" s="2081"/>
      <c r="E1077" s="2082"/>
      <c r="F1077" s="1954"/>
      <c r="G1077" s="90"/>
      <c r="H1077" s="90"/>
      <c r="I1077" s="90"/>
      <c r="J1077" s="90"/>
      <c r="K1077" s="90"/>
      <c r="L1077" s="90"/>
      <c r="M1077" s="1956"/>
      <c r="N1077" s="643"/>
      <c r="O1077" s="2083"/>
      <c r="P1077" s="643"/>
      <c r="Q1077" s="643"/>
      <c r="R1077" s="280"/>
      <c r="S1077" s="280"/>
      <c r="T1077" s="280"/>
      <c r="U1077" s="280"/>
      <c r="V1077" s="280"/>
      <c r="W1077" s="79"/>
    </row>
    <row r="1078" spans="1:23" ht="15.75">
      <c r="A1078" s="2080"/>
      <c r="B1078" s="705"/>
      <c r="C1078" s="90"/>
      <c r="D1078" s="2081"/>
      <c r="E1078" s="2082"/>
      <c r="F1078" s="1954"/>
      <c r="G1078" s="90"/>
      <c r="H1078" s="90"/>
      <c r="I1078" s="90"/>
      <c r="J1078" s="90"/>
      <c r="K1078" s="90"/>
      <c r="L1078" s="90"/>
      <c r="M1078" s="1956"/>
      <c r="N1078" s="643"/>
      <c r="O1078" s="2083"/>
      <c r="P1078" s="643"/>
      <c r="Q1078" s="643"/>
      <c r="R1078" s="280"/>
      <c r="S1078" s="280"/>
      <c r="T1078" s="280"/>
      <c r="U1078" s="280"/>
      <c r="V1078" s="280"/>
      <c r="W1078" s="79"/>
    </row>
    <row r="1079" spans="1:23" ht="15.75">
      <c r="A1079" s="2080"/>
      <c r="B1079" s="705"/>
      <c r="C1079" s="90"/>
      <c r="D1079" s="2081"/>
      <c r="E1079" s="2082"/>
      <c r="F1079" s="1954"/>
      <c r="G1079" s="90"/>
      <c r="H1079" s="90"/>
      <c r="I1079" s="90"/>
      <c r="J1079" s="90"/>
      <c r="K1079" s="90"/>
      <c r="L1079" s="90"/>
      <c r="M1079" s="1956"/>
      <c r="N1079" s="643"/>
      <c r="O1079" s="2083"/>
      <c r="P1079" s="643"/>
      <c r="Q1079" s="643"/>
      <c r="R1079" s="280"/>
      <c r="S1079" s="280"/>
      <c r="T1079" s="280"/>
      <c r="U1079" s="280"/>
      <c r="V1079" s="280"/>
      <c r="W1079" s="79"/>
    </row>
    <row r="1080" spans="1:23" ht="15.75">
      <c r="A1080" s="2080"/>
      <c r="B1080" s="705"/>
      <c r="C1080" s="90"/>
      <c r="D1080" s="2081"/>
      <c r="E1080" s="2082"/>
      <c r="F1080" s="1954"/>
      <c r="G1080" s="90"/>
      <c r="H1080" s="90"/>
      <c r="I1080" s="90"/>
      <c r="J1080" s="90"/>
      <c r="K1080" s="90"/>
      <c r="L1080" s="90"/>
      <c r="M1080" s="1956"/>
      <c r="N1080" s="643"/>
      <c r="O1080" s="2083"/>
      <c r="P1080" s="643"/>
      <c r="Q1080" s="643"/>
      <c r="R1080" s="280"/>
      <c r="S1080" s="280"/>
      <c r="T1080" s="280"/>
      <c r="U1080" s="280"/>
      <c r="V1080" s="280"/>
      <c r="W1080" s="79"/>
    </row>
    <row r="1081" spans="1:23" ht="15.75">
      <c r="A1081" s="2080"/>
      <c r="B1081" s="705"/>
      <c r="C1081" s="90"/>
      <c r="D1081" s="2081"/>
      <c r="E1081" s="2082"/>
      <c r="F1081" s="1954"/>
      <c r="G1081" s="90"/>
      <c r="H1081" s="90"/>
      <c r="I1081" s="90"/>
      <c r="J1081" s="90"/>
      <c r="K1081" s="90"/>
      <c r="L1081" s="90"/>
      <c r="M1081" s="1956"/>
      <c r="N1081" s="643"/>
      <c r="O1081" s="2083"/>
      <c r="P1081" s="643"/>
      <c r="Q1081" s="643"/>
      <c r="R1081" s="280"/>
      <c r="S1081" s="280"/>
      <c r="T1081" s="280"/>
      <c r="U1081" s="280"/>
      <c r="V1081" s="280"/>
      <c r="W1081" s="79"/>
    </row>
    <row r="1082" spans="1:23" ht="15.75">
      <c r="A1082" s="2080"/>
      <c r="B1082" s="705"/>
      <c r="C1082" s="90"/>
      <c r="D1082" s="2081"/>
      <c r="E1082" s="2082"/>
      <c r="F1082" s="1954"/>
      <c r="G1082" s="90"/>
      <c r="H1082" s="90"/>
      <c r="I1082" s="90"/>
      <c r="J1082" s="90"/>
      <c r="K1082" s="90"/>
      <c r="L1082" s="90"/>
      <c r="M1082" s="1956"/>
      <c r="N1082" s="643"/>
      <c r="O1082" s="2083"/>
      <c r="P1082" s="643"/>
      <c r="Q1082" s="643"/>
      <c r="R1082" s="280"/>
      <c r="S1082" s="280"/>
      <c r="T1082" s="280"/>
      <c r="U1082" s="280"/>
      <c r="V1082" s="280"/>
      <c r="W1082" s="79"/>
    </row>
    <row r="1083" spans="1:23" ht="15.75">
      <c r="A1083" s="2080"/>
      <c r="B1083" s="705"/>
      <c r="C1083" s="90"/>
      <c r="D1083" s="2081"/>
      <c r="E1083" s="2082"/>
      <c r="F1083" s="1954"/>
      <c r="G1083" s="90"/>
      <c r="H1083" s="90"/>
      <c r="I1083" s="90"/>
      <c r="J1083" s="90"/>
      <c r="K1083" s="90"/>
      <c r="L1083" s="90"/>
      <c r="M1083" s="1956"/>
      <c r="N1083" s="643"/>
      <c r="O1083" s="2083"/>
      <c r="P1083" s="643"/>
      <c r="Q1083" s="643"/>
      <c r="R1083" s="280"/>
      <c r="S1083" s="280"/>
      <c r="T1083" s="280"/>
      <c r="U1083" s="280"/>
      <c r="V1083" s="280"/>
      <c r="W1083" s="79"/>
    </row>
    <row r="1084" spans="1:23" ht="15.75">
      <c r="A1084" s="2080"/>
      <c r="B1084" s="705"/>
      <c r="C1084" s="90"/>
      <c r="D1084" s="2081"/>
      <c r="E1084" s="2082"/>
      <c r="F1084" s="1954"/>
      <c r="G1084" s="90"/>
      <c r="H1084" s="90"/>
      <c r="I1084" s="90"/>
      <c r="J1084" s="90"/>
      <c r="K1084" s="90"/>
      <c r="L1084" s="90"/>
      <c r="M1084" s="1956"/>
      <c r="N1084" s="643"/>
      <c r="O1084" s="2083"/>
      <c r="P1084" s="643"/>
      <c r="Q1084" s="643"/>
      <c r="R1084" s="280"/>
      <c r="S1084" s="280"/>
      <c r="T1084" s="280"/>
      <c r="U1084" s="280"/>
      <c r="V1084" s="280"/>
      <c r="W1084" s="79"/>
    </row>
    <row r="1085" spans="1:23" ht="15.75">
      <c r="A1085" s="2080"/>
      <c r="B1085" s="705"/>
      <c r="C1085" s="90"/>
      <c r="D1085" s="2081"/>
      <c r="E1085" s="2082"/>
      <c r="F1085" s="1954"/>
      <c r="G1085" s="90"/>
      <c r="H1085" s="90"/>
      <c r="I1085" s="90"/>
      <c r="J1085" s="90"/>
      <c r="K1085" s="90"/>
      <c r="L1085" s="90"/>
      <c r="M1085" s="1956"/>
      <c r="N1085" s="643"/>
      <c r="O1085" s="2083"/>
      <c r="P1085" s="643"/>
      <c r="Q1085" s="643"/>
      <c r="R1085" s="280"/>
      <c r="S1085" s="280"/>
      <c r="T1085" s="280"/>
      <c r="U1085" s="280"/>
      <c r="V1085" s="280"/>
      <c r="W1085" s="79"/>
    </row>
    <row r="1086" spans="1:23" ht="15.75">
      <c r="A1086" s="2080"/>
      <c r="B1086" s="705"/>
      <c r="C1086" s="90"/>
      <c r="D1086" s="2081"/>
      <c r="E1086" s="2082"/>
      <c r="F1086" s="1954"/>
      <c r="G1086" s="90"/>
      <c r="H1086" s="90"/>
      <c r="I1086" s="90"/>
      <c r="J1086" s="90"/>
      <c r="K1086" s="90"/>
      <c r="L1086" s="90"/>
      <c r="M1086" s="1956"/>
      <c r="N1086" s="643"/>
      <c r="O1086" s="2083"/>
      <c r="P1086" s="643"/>
      <c r="Q1086" s="643"/>
      <c r="R1086" s="280"/>
      <c r="S1086" s="280"/>
      <c r="T1086" s="280"/>
      <c r="U1086" s="280"/>
      <c r="V1086" s="280"/>
      <c r="W1086" s="79"/>
    </row>
    <row r="1087" spans="1:23" ht="15.75">
      <c r="A1087" s="2080"/>
      <c r="B1087" s="705"/>
      <c r="C1087" s="90"/>
      <c r="D1087" s="2081"/>
      <c r="E1087" s="2082"/>
      <c r="F1087" s="1954"/>
      <c r="G1087" s="90"/>
      <c r="H1087" s="90"/>
      <c r="I1087" s="90"/>
      <c r="J1087" s="90"/>
      <c r="K1087" s="90"/>
      <c r="L1087" s="90"/>
      <c r="M1087" s="1956"/>
      <c r="N1087" s="643"/>
      <c r="O1087" s="2083"/>
      <c r="P1087" s="643"/>
      <c r="Q1087" s="643"/>
      <c r="R1087" s="280"/>
      <c r="S1087" s="280"/>
      <c r="T1087" s="280"/>
      <c r="U1087" s="280"/>
      <c r="V1087" s="280"/>
      <c r="W1087" s="79"/>
    </row>
    <row r="1088" spans="1:23" ht="15.75">
      <c r="A1088" s="2080"/>
      <c r="B1088" s="705"/>
      <c r="C1088" s="90"/>
      <c r="D1088" s="2081"/>
      <c r="E1088" s="2082"/>
      <c r="F1088" s="1954"/>
      <c r="G1088" s="90"/>
      <c r="H1088" s="90"/>
      <c r="I1088" s="90"/>
      <c r="J1088" s="90"/>
      <c r="K1088" s="90"/>
      <c r="L1088" s="90"/>
      <c r="M1088" s="1956"/>
      <c r="N1088" s="643"/>
      <c r="O1088" s="2083"/>
      <c r="P1088" s="643"/>
      <c r="Q1088" s="643"/>
      <c r="R1088" s="280"/>
      <c r="S1088" s="280"/>
      <c r="T1088" s="280"/>
      <c r="U1088" s="280"/>
      <c r="V1088" s="280"/>
      <c r="W1088" s="79"/>
    </row>
    <row r="1089" spans="1:23" ht="15.75">
      <c r="A1089" s="2080"/>
      <c r="B1089" s="705"/>
      <c r="C1089" s="90"/>
      <c r="D1089" s="2081"/>
      <c r="E1089" s="2082"/>
      <c r="F1089" s="1954"/>
      <c r="G1089" s="90"/>
      <c r="H1089" s="90"/>
      <c r="I1089" s="90"/>
      <c r="J1089" s="90"/>
      <c r="K1089" s="90"/>
      <c r="L1089" s="90"/>
      <c r="M1089" s="1956"/>
      <c r="N1089" s="643"/>
      <c r="O1089" s="2083"/>
      <c r="P1089" s="643"/>
      <c r="Q1089" s="643"/>
      <c r="R1089" s="280"/>
      <c r="S1089" s="280"/>
      <c r="T1089" s="280"/>
      <c r="U1089" s="280"/>
      <c r="V1089" s="280"/>
      <c r="W1089" s="79"/>
    </row>
    <row r="1090" spans="1:23" ht="15.75">
      <c r="A1090" s="2080"/>
      <c r="B1090" s="705"/>
      <c r="C1090" s="90"/>
      <c r="D1090" s="2081"/>
      <c r="E1090" s="2082"/>
      <c r="F1090" s="1954"/>
      <c r="G1090" s="90"/>
      <c r="H1090" s="90"/>
      <c r="I1090" s="90"/>
      <c r="J1090" s="90"/>
      <c r="K1090" s="90"/>
      <c r="L1090" s="90"/>
      <c r="M1090" s="1956"/>
      <c r="N1090" s="643"/>
      <c r="O1090" s="2083"/>
      <c r="P1090" s="643"/>
      <c r="Q1090" s="643"/>
      <c r="R1090" s="280"/>
      <c r="S1090" s="280"/>
      <c r="T1090" s="280"/>
      <c r="U1090" s="280"/>
      <c r="V1090" s="280"/>
      <c r="W1090" s="79"/>
    </row>
    <row r="1091" spans="1:23" ht="15.75">
      <c r="A1091" s="2080"/>
      <c r="B1091" s="705"/>
      <c r="C1091" s="90"/>
      <c r="D1091" s="2081"/>
      <c r="E1091" s="2082"/>
      <c r="F1091" s="1954"/>
      <c r="G1091" s="90"/>
      <c r="H1091" s="90"/>
      <c r="I1091" s="90"/>
      <c r="J1091" s="90"/>
      <c r="K1091" s="90"/>
      <c r="L1091" s="90"/>
      <c r="M1091" s="1956"/>
      <c r="N1091" s="643"/>
      <c r="O1091" s="2083"/>
      <c r="P1091" s="643"/>
      <c r="Q1091" s="643"/>
      <c r="R1091" s="280"/>
      <c r="S1091" s="280"/>
      <c r="T1091" s="280"/>
      <c r="U1091" s="280"/>
      <c r="V1091" s="280"/>
      <c r="W1091" s="79"/>
    </row>
    <row r="1092" spans="1:23" ht="15.75">
      <c r="A1092" s="2080"/>
      <c r="B1092" s="705"/>
      <c r="C1092" s="90"/>
      <c r="D1092" s="2081"/>
      <c r="E1092" s="2082"/>
      <c r="F1092" s="1954"/>
      <c r="G1092" s="90"/>
      <c r="H1092" s="90"/>
      <c r="I1092" s="90"/>
      <c r="J1092" s="90"/>
      <c r="K1092" s="90"/>
      <c r="L1092" s="90"/>
      <c r="M1092" s="1956"/>
      <c r="N1092" s="643"/>
      <c r="O1092" s="2083"/>
      <c r="P1092" s="643"/>
      <c r="Q1092" s="643"/>
      <c r="R1092" s="280"/>
      <c r="S1092" s="280"/>
      <c r="T1092" s="280"/>
      <c r="U1092" s="280"/>
      <c r="V1092" s="280"/>
      <c r="W1092" s="79"/>
    </row>
    <row r="1093" spans="1:23" ht="15.75">
      <c r="A1093" s="2080"/>
      <c r="B1093" s="705"/>
      <c r="C1093" s="90"/>
      <c r="D1093" s="2081"/>
      <c r="E1093" s="2082"/>
      <c r="F1093" s="1954"/>
      <c r="G1093" s="90"/>
      <c r="H1093" s="90"/>
      <c r="I1093" s="90"/>
      <c r="J1093" s="90"/>
      <c r="K1093" s="90"/>
      <c r="L1093" s="90"/>
      <c r="M1093" s="1956"/>
      <c r="N1093" s="643"/>
      <c r="O1093" s="2083"/>
      <c r="P1093" s="643"/>
      <c r="Q1093" s="643"/>
      <c r="R1093" s="280"/>
      <c r="S1093" s="280"/>
      <c r="T1093" s="280"/>
      <c r="U1093" s="280"/>
      <c r="V1093" s="280"/>
      <c r="W1093" s="79"/>
    </row>
    <row r="1094" spans="1:23" ht="15.75">
      <c r="A1094" s="2080"/>
      <c r="B1094" s="705"/>
      <c r="C1094" s="90"/>
      <c r="D1094" s="2081"/>
      <c r="E1094" s="2082"/>
      <c r="F1094" s="1954"/>
      <c r="G1094" s="90"/>
      <c r="H1094" s="90"/>
      <c r="I1094" s="90"/>
      <c r="J1094" s="90"/>
      <c r="K1094" s="90"/>
      <c r="L1094" s="90"/>
      <c r="M1094" s="1956"/>
      <c r="N1094" s="643"/>
      <c r="O1094" s="2083"/>
      <c r="P1094" s="643"/>
      <c r="Q1094" s="643"/>
      <c r="R1094" s="280"/>
      <c r="S1094" s="280"/>
      <c r="T1094" s="280"/>
      <c r="U1094" s="280"/>
      <c r="V1094" s="280"/>
      <c r="W1094" s="79"/>
    </row>
    <row r="1095" spans="1:23" ht="15.75">
      <c r="A1095" s="2080"/>
      <c r="B1095" s="705"/>
      <c r="C1095" s="90"/>
      <c r="D1095" s="2081"/>
      <c r="E1095" s="2082"/>
      <c r="F1095" s="1954"/>
      <c r="G1095" s="90"/>
      <c r="H1095" s="90"/>
      <c r="I1095" s="90"/>
      <c r="J1095" s="90"/>
      <c r="K1095" s="90"/>
      <c r="L1095" s="90"/>
      <c r="M1095" s="1956"/>
      <c r="N1095" s="643"/>
      <c r="O1095" s="2083"/>
      <c r="P1095" s="643"/>
      <c r="Q1095" s="643"/>
      <c r="R1095" s="280"/>
      <c r="S1095" s="280"/>
      <c r="T1095" s="280"/>
      <c r="U1095" s="280"/>
      <c r="V1095" s="280"/>
      <c r="W1095" s="79"/>
    </row>
    <row r="1096" spans="1:23" ht="15.75">
      <c r="A1096" s="2080"/>
      <c r="B1096" s="705"/>
      <c r="C1096" s="90"/>
      <c r="D1096" s="2081"/>
      <c r="E1096" s="2082"/>
      <c r="F1096" s="1954"/>
      <c r="G1096" s="90"/>
      <c r="H1096" s="90"/>
      <c r="I1096" s="90"/>
      <c r="J1096" s="90"/>
      <c r="K1096" s="90"/>
      <c r="L1096" s="90"/>
      <c r="M1096" s="1956"/>
      <c r="N1096" s="643"/>
      <c r="O1096" s="2083"/>
      <c r="P1096" s="643"/>
      <c r="Q1096" s="643"/>
      <c r="R1096" s="280"/>
      <c r="S1096" s="280"/>
      <c r="T1096" s="280"/>
      <c r="U1096" s="280"/>
      <c r="V1096" s="280"/>
      <c r="W1096" s="79"/>
    </row>
    <row r="1097" spans="1:23" ht="15.75">
      <c r="A1097" s="2080"/>
      <c r="B1097" s="705"/>
      <c r="C1097" s="90"/>
      <c r="D1097" s="2081"/>
      <c r="E1097" s="2082"/>
      <c r="F1097" s="1954"/>
      <c r="G1097" s="90"/>
      <c r="H1097" s="90"/>
      <c r="I1097" s="90"/>
      <c r="J1097" s="90"/>
      <c r="K1097" s="90"/>
      <c r="L1097" s="90"/>
      <c r="M1097" s="1956"/>
      <c r="N1097" s="643"/>
      <c r="O1097" s="2083"/>
      <c r="P1097" s="643"/>
      <c r="Q1097" s="643"/>
      <c r="R1097" s="280"/>
      <c r="S1097" s="280"/>
      <c r="T1097" s="280"/>
      <c r="U1097" s="280"/>
      <c r="V1097" s="280"/>
      <c r="W1097" s="79"/>
    </row>
    <row r="1098" spans="1:23" ht="15.75">
      <c r="A1098" s="2080"/>
      <c r="B1098" s="705"/>
      <c r="C1098" s="90"/>
      <c r="D1098" s="2081"/>
      <c r="E1098" s="2082"/>
      <c r="F1098" s="1954"/>
      <c r="G1098" s="90"/>
      <c r="H1098" s="90"/>
      <c r="I1098" s="90"/>
      <c r="J1098" s="90"/>
      <c r="K1098" s="90"/>
      <c r="L1098" s="90"/>
      <c r="M1098" s="1956"/>
      <c r="N1098" s="643"/>
      <c r="O1098" s="2083"/>
      <c r="P1098" s="643"/>
      <c r="Q1098" s="643"/>
      <c r="R1098" s="280"/>
      <c r="S1098" s="280"/>
      <c r="T1098" s="280"/>
      <c r="U1098" s="280"/>
      <c r="V1098" s="280"/>
      <c r="W1098" s="79"/>
    </row>
    <row r="1099" spans="1:23" ht="15.75">
      <c r="A1099" s="2080"/>
      <c r="B1099" s="705"/>
      <c r="C1099" s="90"/>
      <c r="D1099" s="2081"/>
      <c r="E1099" s="2082"/>
      <c r="F1099" s="1954"/>
      <c r="G1099" s="90"/>
      <c r="H1099" s="90"/>
      <c r="I1099" s="90"/>
      <c r="J1099" s="90"/>
      <c r="K1099" s="90"/>
      <c r="L1099" s="90"/>
      <c r="M1099" s="1956"/>
      <c r="N1099" s="643"/>
      <c r="O1099" s="2083"/>
      <c r="P1099" s="643"/>
      <c r="Q1099" s="643"/>
      <c r="R1099" s="280"/>
      <c r="S1099" s="280"/>
      <c r="T1099" s="280"/>
      <c r="U1099" s="280"/>
      <c r="V1099" s="280"/>
      <c r="W1099" s="79"/>
    </row>
    <row r="1100" spans="1:23" ht="15.75">
      <c r="A1100" s="2080"/>
      <c r="B1100" s="705"/>
      <c r="C1100" s="90"/>
      <c r="D1100" s="2081"/>
      <c r="E1100" s="2082"/>
      <c r="F1100" s="1954"/>
      <c r="G1100" s="90"/>
      <c r="H1100" s="90"/>
      <c r="I1100" s="90"/>
      <c r="J1100" s="90"/>
      <c r="K1100" s="90"/>
      <c r="L1100" s="90"/>
      <c r="M1100" s="1956"/>
      <c r="N1100" s="643"/>
      <c r="O1100" s="2083"/>
      <c r="P1100" s="643"/>
      <c r="Q1100" s="643"/>
      <c r="R1100" s="280"/>
      <c r="S1100" s="280"/>
      <c r="T1100" s="280"/>
      <c r="U1100" s="280"/>
      <c r="V1100" s="280"/>
      <c r="W1100" s="79"/>
    </row>
    <row r="1101" spans="1:23" ht="15.75">
      <c r="A1101" s="2080"/>
      <c r="B1101" s="705"/>
      <c r="C1101" s="90"/>
      <c r="D1101" s="2081"/>
      <c r="E1101" s="2082"/>
      <c r="F1101" s="1954"/>
      <c r="G1101" s="90"/>
      <c r="H1101" s="90"/>
      <c r="I1101" s="90"/>
      <c r="J1101" s="90"/>
      <c r="K1101" s="90"/>
      <c r="L1101" s="90"/>
      <c r="M1101" s="1956"/>
      <c r="N1101" s="643"/>
      <c r="O1101" s="2083"/>
      <c r="P1101" s="643"/>
      <c r="Q1101" s="643"/>
      <c r="R1101" s="280"/>
      <c r="S1101" s="280"/>
      <c r="T1101" s="280"/>
      <c r="U1101" s="280"/>
      <c r="V1101" s="280"/>
      <c r="W1101" s="79"/>
    </row>
    <row r="1102" spans="1:23" ht="15.75">
      <c r="A1102" s="2080"/>
      <c r="B1102" s="705"/>
      <c r="C1102" s="90"/>
      <c r="D1102" s="2081"/>
      <c r="E1102" s="2082"/>
      <c r="F1102" s="1954"/>
      <c r="G1102" s="90"/>
      <c r="H1102" s="90"/>
      <c r="I1102" s="90"/>
      <c r="J1102" s="90"/>
      <c r="K1102" s="90"/>
      <c r="L1102" s="90"/>
      <c r="M1102" s="1956"/>
      <c r="N1102" s="643"/>
      <c r="O1102" s="2083"/>
      <c r="P1102" s="643"/>
      <c r="Q1102" s="643"/>
      <c r="R1102" s="280"/>
      <c r="S1102" s="280"/>
      <c r="T1102" s="280"/>
      <c r="U1102" s="280"/>
      <c r="V1102" s="280"/>
      <c r="W1102" s="79"/>
    </row>
    <row r="1103" spans="1:23" ht="15.75">
      <c r="A1103" s="2080"/>
      <c r="B1103" s="705"/>
      <c r="C1103" s="90"/>
      <c r="D1103" s="2081"/>
      <c r="E1103" s="2082"/>
      <c r="F1103" s="1954"/>
      <c r="G1103" s="90"/>
      <c r="H1103" s="90"/>
      <c r="I1103" s="90"/>
      <c r="J1103" s="90"/>
      <c r="K1103" s="90"/>
      <c r="L1103" s="90"/>
      <c r="M1103" s="1956"/>
      <c r="N1103" s="643"/>
      <c r="O1103" s="2083"/>
      <c r="P1103" s="643"/>
      <c r="Q1103" s="643"/>
      <c r="R1103" s="280"/>
      <c r="S1103" s="280"/>
      <c r="T1103" s="280"/>
      <c r="U1103" s="280"/>
      <c r="V1103" s="280"/>
      <c r="W1103" s="79"/>
    </row>
    <row r="1104" spans="1:23" ht="15.75">
      <c r="A1104" s="2080"/>
      <c r="B1104" s="705"/>
      <c r="C1104" s="90"/>
      <c r="D1104" s="2081"/>
      <c r="E1104" s="2082"/>
      <c r="F1104" s="1954"/>
      <c r="G1104" s="90"/>
      <c r="H1104" s="90"/>
      <c r="I1104" s="90"/>
      <c r="J1104" s="90"/>
      <c r="K1104" s="90"/>
      <c r="L1104" s="90"/>
      <c r="M1104" s="1956"/>
      <c r="N1104" s="643"/>
      <c r="O1104" s="2083"/>
      <c r="P1104" s="643"/>
      <c r="Q1104" s="643"/>
      <c r="R1104" s="280"/>
      <c r="S1104" s="280"/>
      <c r="T1104" s="280"/>
      <c r="U1104" s="280"/>
      <c r="V1104" s="280"/>
      <c r="W1104" s="79"/>
    </row>
    <row r="1105" spans="1:23" ht="15.75">
      <c r="A1105" s="2080"/>
      <c r="B1105" s="705"/>
      <c r="C1105" s="90"/>
      <c r="D1105" s="2081"/>
      <c r="E1105" s="2082"/>
      <c r="F1105" s="1954"/>
      <c r="G1105" s="90"/>
      <c r="H1105" s="90"/>
      <c r="I1105" s="90"/>
      <c r="J1105" s="90"/>
      <c r="K1105" s="90"/>
      <c r="L1105" s="90"/>
      <c r="M1105" s="1956"/>
      <c r="N1105" s="643"/>
      <c r="O1105" s="2083"/>
      <c r="P1105" s="643"/>
      <c r="Q1105" s="643"/>
      <c r="R1105" s="280"/>
      <c r="S1105" s="280"/>
      <c r="T1105" s="280"/>
      <c r="U1105" s="280"/>
      <c r="V1105" s="280"/>
      <c r="W1105" s="79"/>
    </row>
    <row r="1106" spans="1:23" ht="15.75">
      <c r="A1106" s="2080"/>
      <c r="B1106" s="705"/>
      <c r="C1106" s="90"/>
      <c r="D1106" s="2081"/>
      <c r="E1106" s="2082"/>
      <c r="F1106" s="1954"/>
      <c r="G1106" s="90"/>
      <c r="H1106" s="90"/>
      <c r="I1106" s="90"/>
      <c r="J1106" s="90"/>
      <c r="K1106" s="90"/>
      <c r="L1106" s="90"/>
      <c r="M1106" s="1956"/>
      <c r="N1106" s="643"/>
      <c r="O1106" s="2083"/>
      <c r="P1106" s="643"/>
      <c r="Q1106" s="643"/>
      <c r="R1106" s="280"/>
      <c r="S1106" s="280"/>
      <c r="T1106" s="280"/>
      <c r="U1106" s="280"/>
      <c r="V1106" s="280"/>
      <c r="W1106" s="79"/>
    </row>
    <row r="1107" spans="1:23" ht="15.75">
      <c r="A1107" s="2080"/>
      <c r="B1107" s="705"/>
      <c r="C1107" s="90"/>
      <c r="D1107" s="2081"/>
      <c r="E1107" s="2082"/>
      <c r="F1107" s="1954"/>
      <c r="G1107" s="90"/>
      <c r="H1107" s="90"/>
      <c r="I1107" s="90"/>
      <c r="J1107" s="90"/>
      <c r="K1107" s="90"/>
      <c r="L1107" s="90"/>
      <c r="M1107" s="1956"/>
      <c r="N1107" s="643"/>
      <c r="O1107" s="2083"/>
      <c r="P1107" s="643"/>
      <c r="Q1107" s="643"/>
      <c r="R1107" s="280"/>
      <c r="S1107" s="280"/>
      <c r="T1107" s="280"/>
      <c r="U1107" s="280"/>
      <c r="V1107" s="280"/>
      <c r="W1107" s="79"/>
    </row>
    <row r="1108" spans="1:23" ht="15.75">
      <c r="A1108" s="2080"/>
      <c r="B1108" s="705"/>
      <c r="C1108" s="90"/>
      <c r="D1108" s="2081"/>
      <c r="E1108" s="2082"/>
      <c r="F1108" s="1954"/>
      <c r="G1108" s="90"/>
      <c r="H1108" s="90"/>
      <c r="I1108" s="90"/>
      <c r="J1108" s="90"/>
      <c r="K1108" s="90"/>
      <c r="L1108" s="90"/>
      <c r="M1108" s="1956"/>
      <c r="N1108" s="643"/>
      <c r="O1108" s="2083"/>
      <c r="P1108" s="643"/>
      <c r="Q1108" s="643"/>
      <c r="R1108" s="280"/>
      <c r="S1108" s="280"/>
      <c r="T1108" s="280"/>
      <c r="U1108" s="280"/>
      <c r="V1108" s="280"/>
      <c r="W1108" s="79"/>
    </row>
    <row r="1109" spans="1:23" ht="15.75">
      <c r="A1109" s="2080"/>
      <c r="B1109" s="705"/>
      <c r="C1109" s="90"/>
      <c r="D1109" s="2081"/>
      <c r="E1109" s="2082"/>
      <c r="F1109" s="1954"/>
      <c r="G1109" s="90"/>
      <c r="H1109" s="90"/>
      <c r="I1109" s="90"/>
      <c r="J1109" s="90"/>
      <c r="K1109" s="90"/>
      <c r="L1109" s="90"/>
      <c r="M1109" s="1956"/>
      <c r="N1109" s="643"/>
      <c r="O1109" s="2083"/>
      <c r="P1109" s="643"/>
      <c r="Q1109" s="643"/>
      <c r="R1109" s="280"/>
      <c r="S1109" s="280"/>
      <c r="T1109" s="280"/>
      <c r="U1109" s="280"/>
      <c r="V1109" s="280"/>
      <c r="W1109" s="79"/>
    </row>
    <row r="1110" spans="1:23" ht="15.75">
      <c r="A1110" s="2080"/>
      <c r="B1110" s="705"/>
      <c r="C1110" s="90"/>
      <c r="D1110" s="2081"/>
      <c r="E1110" s="2082"/>
      <c r="F1110" s="1954"/>
      <c r="G1110" s="90"/>
      <c r="H1110" s="90"/>
      <c r="I1110" s="90"/>
      <c r="J1110" s="90"/>
      <c r="K1110" s="90"/>
      <c r="L1110" s="90"/>
      <c r="M1110" s="1956"/>
      <c r="N1110" s="643"/>
      <c r="O1110" s="2083"/>
      <c r="P1110" s="643"/>
      <c r="Q1110" s="643"/>
      <c r="R1110" s="280"/>
      <c r="S1110" s="280"/>
      <c r="T1110" s="280"/>
      <c r="U1110" s="280"/>
      <c r="V1110" s="280"/>
      <c r="W1110" s="79"/>
    </row>
    <row r="1111" spans="1:23" ht="15.75">
      <c r="A1111" s="2080"/>
      <c r="B1111" s="705"/>
      <c r="C1111" s="90"/>
      <c r="D1111" s="2081"/>
      <c r="E1111" s="2082"/>
      <c r="F1111" s="1954"/>
      <c r="G1111" s="90"/>
      <c r="H1111" s="90"/>
      <c r="I1111" s="90"/>
      <c r="J1111" s="90"/>
      <c r="K1111" s="90"/>
      <c r="L1111" s="90"/>
      <c r="M1111" s="1956"/>
      <c r="N1111" s="643"/>
      <c r="O1111" s="2083"/>
      <c r="P1111" s="643"/>
      <c r="Q1111" s="643"/>
      <c r="R1111" s="280"/>
      <c r="S1111" s="280"/>
      <c r="T1111" s="280"/>
      <c r="U1111" s="280"/>
      <c r="V1111" s="280"/>
      <c r="W1111" s="79"/>
    </row>
    <row r="1112" spans="1:23" ht="15.75">
      <c r="A1112" s="2080"/>
      <c r="B1112" s="705"/>
      <c r="C1112" s="90"/>
      <c r="D1112" s="2081"/>
      <c r="E1112" s="2082"/>
      <c r="F1112" s="1954"/>
      <c r="G1112" s="90"/>
      <c r="H1112" s="90"/>
      <c r="I1112" s="90"/>
      <c r="J1112" s="90"/>
      <c r="K1112" s="90"/>
      <c r="L1112" s="90"/>
      <c r="M1112" s="1956"/>
      <c r="N1112" s="643"/>
      <c r="O1112" s="2083"/>
      <c r="P1112" s="643"/>
      <c r="Q1112" s="643"/>
      <c r="R1112" s="280"/>
      <c r="S1112" s="280"/>
      <c r="T1112" s="280"/>
      <c r="U1112" s="280"/>
      <c r="V1112" s="280"/>
      <c r="W1112" s="79"/>
    </row>
    <row r="1113" spans="1:23" ht="15.75">
      <c r="A1113" s="2080"/>
      <c r="B1113" s="705"/>
      <c r="C1113" s="90"/>
      <c r="D1113" s="2081"/>
      <c r="E1113" s="2082"/>
      <c r="F1113" s="1954"/>
      <c r="G1113" s="90"/>
      <c r="H1113" s="90"/>
      <c r="I1113" s="90"/>
      <c r="J1113" s="90"/>
      <c r="K1113" s="90"/>
      <c r="L1113" s="90"/>
      <c r="M1113" s="1956"/>
      <c r="N1113" s="643"/>
      <c r="O1113" s="2083"/>
      <c r="P1113" s="643"/>
      <c r="Q1113" s="643"/>
      <c r="R1113" s="280"/>
      <c r="S1113" s="280"/>
      <c r="T1113" s="280"/>
      <c r="U1113" s="280"/>
      <c r="V1113" s="280"/>
      <c r="W1113" s="79"/>
    </row>
    <row r="1114" spans="1:23" ht="15.75">
      <c r="A1114" s="2080"/>
      <c r="B1114" s="705"/>
      <c r="C1114" s="90"/>
      <c r="D1114" s="2081"/>
      <c r="E1114" s="2082"/>
      <c r="F1114" s="1954"/>
      <c r="G1114" s="90"/>
      <c r="H1114" s="90"/>
      <c r="I1114" s="90"/>
      <c r="J1114" s="90"/>
      <c r="K1114" s="90"/>
      <c r="L1114" s="90"/>
      <c r="M1114" s="1956"/>
      <c r="N1114" s="643"/>
      <c r="O1114" s="2083"/>
      <c r="P1114" s="643"/>
      <c r="Q1114" s="643"/>
      <c r="R1114" s="280"/>
      <c r="S1114" s="280"/>
      <c r="T1114" s="280"/>
      <c r="U1114" s="280"/>
      <c r="V1114" s="280"/>
      <c r="W1114" s="79"/>
    </row>
    <row r="1115" spans="1:23" ht="15.75">
      <c r="A1115" s="2080"/>
      <c r="B1115" s="705"/>
      <c r="C1115" s="90"/>
      <c r="D1115" s="2081"/>
      <c r="E1115" s="2082"/>
      <c r="F1115" s="1954"/>
      <c r="G1115" s="90"/>
      <c r="H1115" s="90"/>
      <c r="I1115" s="90"/>
      <c r="J1115" s="90"/>
      <c r="K1115" s="90"/>
      <c r="L1115" s="90"/>
      <c r="M1115" s="1956"/>
      <c r="N1115" s="643"/>
      <c r="O1115" s="2083"/>
      <c r="P1115" s="643"/>
      <c r="Q1115" s="643"/>
      <c r="R1115" s="280"/>
      <c r="S1115" s="280"/>
      <c r="T1115" s="280"/>
      <c r="U1115" s="280"/>
      <c r="V1115" s="280"/>
      <c r="W1115" s="79"/>
    </row>
    <row r="1116" spans="1:23" ht="15.75">
      <c r="A1116" s="2080"/>
      <c r="B1116" s="705"/>
      <c r="C1116" s="90"/>
      <c r="D1116" s="2081"/>
      <c r="E1116" s="2082"/>
      <c r="F1116" s="1954"/>
      <c r="G1116" s="90"/>
      <c r="H1116" s="90"/>
      <c r="I1116" s="90"/>
      <c r="J1116" s="90"/>
      <c r="K1116" s="90"/>
      <c r="L1116" s="90"/>
      <c r="M1116" s="1956"/>
      <c r="N1116" s="643"/>
      <c r="O1116" s="2083"/>
      <c r="P1116" s="643"/>
      <c r="Q1116" s="643"/>
      <c r="R1116" s="280"/>
      <c r="S1116" s="280"/>
      <c r="T1116" s="280"/>
      <c r="U1116" s="280"/>
      <c r="V1116" s="280"/>
      <c r="W1116" s="79"/>
    </row>
    <row r="1117" spans="1:23" ht="15.75">
      <c r="A1117" s="2080"/>
      <c r="B1117" s="705"/>
      <c r="C1117" s="90"/>
      <c r="D1117" s="2081"/>
      <c r="E1117" s="2082"/>
      <c r="F1117" s="1954"/>
      <c r="G1117" s="90"/>
      <c r="H1117" s="90"/>
      <c r="I1117" s="90"/>
      <c r="J1117" s="90"/>
      <c r="K1117" s="90"/>
      <c r="L1117" s="90"/>
      <c r="M1117" s="1956"/>
      <c r="N1117" s="643"/>
      <c r="O1117" s="2083"/>
      <c r="P1117" s="643"/>
      <c r="Q1117" s="643"/>
      <c r="R1117" s="280"/>
      <c r="S1117" s="280"/>
      <c r="T1117" s="280"/>
      <c r="U1117" s="280"/>
      <c r="V1117" s="280"/>
      <c r="W1117" s="79"/>
    </row>
    <row r="1118" spans="1:23" ht="15.75">
      <c r="A1118" s="2080"/>
      <c r="B1118" s="705"/>
      <c r="C1118" s="90"/>
      <c r="D1118" s="2081"/>
      <c r="E1118" s="2082"/>
      <c r="F1118" s="1954"/>
      <c r="G1118" s="90"/>
      <c r="H1118" s="90"/>
      <c r="I1118" s="90"/>
      <c r="J1118" s="90"/>
      <c r="K1118" s="90"/>
      <c r="L1118" s="90"/>
      <c r="M1118" s="1956"/>
      <c r="N1118" s="643"/>
      <c r="O1118" s="2083"/>
      <c r="P1118" s="643"/>
      <c r="Q1118" s="643"/>
      <c r="R1118" s="280"/>
      <c r="S1118" s="280"/>
      <c r="T1118" s="280"/>
      <c r="U1118" s="280"/>
      <c r="V1118" s="280"/>
      <c r="W1118" s="79"/>
    </row>
    <row r="1119" spans="1:23" ht="15.75">
      <c r="A1119" s="2080"/>
      <c r="B1119" s="705"/>
      <c r="C1119" s="90"/>
      <c r="D1119" s="2081"/>
      <c r="E1119" s="2082"/>
      <c r="F1119" s="1954"/>
      <c r="G1119" s="90"/>
      <c r="H1119" s="90"/>
      <c r="I1119" s="90"/>
      <c r="J1119" s="90"/>
      <c r="K1119" s="90"/>
      <c r="L1119" s="90"/>
      <c r="M1119" s="1956"/>
      <c r="N1119" s="643"/>
      <c r="O1119" s="2083"/>
      <c r="P1119" s="643"/>
      <c r="Q1119" s="643"/>
      <c r="R1119" s="280"/>
      <c r="S1119" s="280"/>
      <c r="T1119" s="280"/>
      <c r="U1119" s="280"/>
      <c r="V1119" s="280"/>
      <c r="W1119" s="79"/>
    </row>
    <row r="1120" spans="1:23" ht="15.75">
      <c r="A1120" s="2080"/>
      <c r="B1120" s="705"/>
      <c r="C1120" s="90"/>
      <c r="D1120" s="2081"/>
      <c r="E1120" s="2082"/>
      <c r="F1120" s="1954"/>
      <c r="G1120" s="90"/>
      <c r="H1120" s="90"/>
      <c r="I1120" s="90"/>
      <c r="J1120" s="90"/>
      <c r="K1120" s="90"/>
      <c r="L1120" s="90"/>
      <c r="M1120" s="1956"/>
      <c r="N1120" s="643"/>
      <c r="O1120" s="2083"/>
      <c r="P1120" s="643"/>
      <c r="Q1120" s="643"/>
      <c r="R1120" s="280"/>
      <c r="S1120" s="280"/>
      <c r="T1120" s="280"/>
      <c r="U1120" s="280"/>
      <c r="V1120" s="280"/>
      <c r="W1120" s="79"/>
    </row>
    <row r="1121" spans="1:23" ht="15.75">
      <c r="A1121" s="2080"/>
      <c r="B1121" s="705"/>
      <c r="C1121" s="90"/>
      <c r="D1121" s="2081"/>
      <c r="E1121" s="2082"/>
      <c r="F1121" s="1954"/>
      <c r="G1121" s="90"/>
      <c r="H1121" s="90"/>
      <c r="I1121" s="90"/>
      <c r="J1121" s="90"/>
      <c r="K1121" s="90"/>
      <c r="L1121" s="90"/>
      <c r="M1121" s="1956"/>
      <c r="N1121" s="643"/>
      <c r="O1121" s="2083"/>
      <c r="P1121" s="643"/>
      <c r="Q1121" s="643"/>
      <c r="R1121" s="280"/>
      <c r="S1121" s="280"/>
      <c r="T1121" s="280"/>
      <c r="U1121" s="280"/>
      <c r="V1121" s="280"/>
      <c r="W1121" s="79"/>
    </row>
    <row r="1122" spans="1:23" ht="15.75">
      <c r="A1122" s="2080"/>
      <c r="B1122" s="705"/>
      <c r="C1122" s="90"/>
      <c r="D1122" s="2081"/>
      <c r="E1122" s="2082"/>
      <c r="F1122" s="1954"/>
      <c r="G1122" s="90"/>
      <c r="H1122" s="90"/>
      <c r="I1122" s="90"/>
      <c r="J1122" s="90"/>
      <c r="K1122" s="90"/>
      <c r="L1122" s="90"/>
      <c r="M1122" s="1956"/>
      <c r="N1122" s="643"/>
      <c r="O1122" s="2083"/>
      <c r="P1122" s="643"/>
      <c r="Q1122" s="643"/>
      <c r="R1122" s="280"/>
      <c r="S1122" s="280"/>
      <c r="T1122" s="280"/>
      <c r="U1122" s="280"/>
      <c r="V1122" s="280"/>
      <c r="W1122" s="79"/>
    </row>
    <row r="1123" spans="1:23" ht="15.75">
      <c r="A1123" s="2080"/>
      <c r="B1123" s="705"/>
      <c r="C1123" s="90"/>
      <c r="D1123" s="2081"/>
      <c r="E1123" s="2082"/>
      <c r="F1123" s="1954"/>
      <c r="G1123" s="90"/>
      <c r="H1123" s="90"/>
      <c r="I1123" s="90"/>
      <c r="J1123" s="90"/>
      <c r="K1123" s="90"/>
      <c r="L1123" s="90"/>
      <c r="M1123" s="1956"/>
      <c r="N1123" s="643"/>
      <c r="O1123" s="2083"/>
      <c r="P1123" s="643"/>
      <c r="Q1123" s="643"/>
      <c r="R1123" s="280"/>
      <c r="S1123" s="280"/>
      <c r="T1123" s="280"/>
      <c r="U1123" s="280"/>
      <c r="V1123" s="280"/>
      <c r="W1123" s="79"/>
    </row>
    <row r="1124" spans="1:23" ht="15.75">
      <c r="A1124" s="2080"/>
      <c r="B1124" s="705"/>
      <c r="C1124" s="90"/>
      <c r="D1124" s="2081"/>
      <c r="E1124" s="2082"/>
      <c r="F1124" s="1954"/>
      <c r="G1124" s="90"/>
      <c r="H1124" s="90"/>
      <c r="I1124" s="90"/>
      <c r="J1124" s="90"/>
      <c r="K1124" s="90"/>
      <c r="L1124" s="90"/>
      <c r="M1124" s="1956"/>
      <c r="N1124" s="643"/>
      <c r="O1124" s="2083"/>
      <c r="P1124" s="643"/>
      <c r="Q1124" s="643"/>
      <c r="R1124" s="280"/>
      <c r="S1124" s="280"/>
      <c r="T1124" s="280"/>
      <c r="U1124" s="280"/>
      <c r="V1124" s="280"/>
      <c r="W1124" s="79"/>
    </row>
    <row r="1125" spans="1:23" ht="15.75">
      <c r="A1125" s="2080"/>
      <c r="B1125" s="705"/>
      <c r="C1125" s="90"/>
      <c r="D1125" s="2081"/>
      <c r="E1125" s="2082"/>
      <c r="F1125" s="1954"/>
      <c r="G1125" s="90"/>
      <c r="H1125" s="90"/>
      <c r="I1125" s="90"/>
      <c r="J1125" s="90"/>
      <c r="K1125" s="90"/>
      <c r="L1125" s="90"/>
      <c r="M1125" s="1956"/>
      <c r="N1125" s="643"/>
      <c r="O1125" s="2083"/>
      <c r="P1125" s="643"/>
      <c r="Q1125" s="643"/>
      <c r="R1125" s="280"/>
      <c r="S1125" s="280"/>
      <c r="T1125" s="280"/>
      <c r="U1125" s="280"/>
      <c r="V1125" s="280"/>
      <c r="W1125" s="79"/>
    </row>
    <row r="1126" spans="1:23" ht="15.75">
      <c r="A1126" s="2080"/>
      <c r="B1126" s="705"/>
      <c r="C1126" s="90"/>
      <c r="D1126" s="2081"/>
      <c r="E1126" s="2082"/>
      <c r="F1126" s="1954"/>
      <c r="G1126" s="90"/>
      <c r="H1126" s="90"/>
      <c r="I1126" s="90"/>
      <c r="J1126" s="90"/>
      <c r="K1126" s="90"/>
      <c r="L1126" s="90"/>
      <c r="M1126" s="1956"/>
      <c r="N1126" s="643"/>
      <c r="O1126" s="2083"/>
      <c r="P1126" s="643"/>
      <c r="Q1126" s="643"/>
      <c r="R1126" s="280"/>
      <c r="S1126" s="280"/>
      <c r="T1126" s="280"/>
      <c r="U1126" s="280"/>
      <c r="V1126" s="280"/>
      <c r="W1126" s="79"/>
    </row>
    <row r="1127" spans="1:23" ht="15.75">
      <c r="A1127" s="2080"/>
      <c r="B1127" s="705"/>
      <c r="C1127" s="90"/>
      <c r="D1127" s="2081"/>
      <c r="E1127" s="2082"/>
      <c r="F1127" s="1954"/>
      <c r="G1127" s="90"/>
      <c r="H1127" s="90"/>
      <c r="I1127" s="90"/>
      <c r="J1127" s="90"/>
      <c r="K1127" s="90"/>
      <c r="L1127" s="90"/>
      <c r="M1127" s="1956"/>
      <c r="N1127" s="643"/>
      <c r="O1127" s="2083"/>
      <c r="P1127" s="643"/>
      <c r="Q1127" s="643"/>
      <c r="R1127" s="280"/>
      <c r="S1127" s="280"/>
      <c r="T1127" s="280"/>
      <c r="U1127" s="280"/>
      <c r="V1127" s="280"/>
      <c r="W1127" s="79"/>
    </row>
    <row r="1128" spans="1:23" ht="15.75">
      <c r="A1128" s="2080"/>
      <c r="B1128" s="705"/>
      <c r="C1128" s="90"/>
      <c r="D1128" s="2081"/>
      <c r="E1128" s="2082"/>
      <c r="F1128" s="1954"/>
      <c r="G1128" s="90"/>
      <c r="H1128" s="90"/>
      <c r="I1128" s="90"/>
      <c r="J1128" s="90"/>
      <c r="K1128" s="90"/>
      <c r="L1128" s="90"/>
      <c r="M1128" s="1956"/>
      <c r="N1128" s="643"/>
      <c r="O1128" s="2083"/>
      <c r="P1128" s="643"/>
      <c r="Q1128" s="643"/>
      <c r="R1128" s="280"/>
      <c r="S1128" s="280"/>
      <c r="T1128" s="280"/>
      <c r="U1128" s="280"/>
      <c r="V1128" s="280"/>
      <c r="W1128" s="79"/>
    </row>
    <row r="1129" spans="1:23" ht="15.75">
      <c r="A1129" s="2080"/>
      <c r="B1129" s="705"/>
      <c r="C1129" s="90"/>
      <c r="D1129" s="2081"/>
      <c r="E1129" s="2082"/>
      <c r="F1129" s="1954"/>
      <c r="G1129" s="90"/>
      <c r="H1129" s="90"/>
      <c r="I1129" s="90"/>
      <c r="J1129" s="90"/>
      <c r="K1129" s="90"/>
      <c r="L1129" s="90"/>
      <c r="M1129" s="1956"/>
      <c r="N1129" s="643"/>
      <c r="O1129" s="2083"/>
      <c r="P1129" s="643"/>
      <c r="Q1129" s="643"/>
      <c r="R1129" s="280"/>
      <c r="S1129" s="280"/>
      <c r="T1129" s="280"/>
      <c r="U1129" s="280"/>
      <c r="V1129" s="280"/>
      <c r="W1129" s="79"/>
    </row>
    <row r="1130" spans="1:23" ht="15.75">
      <c r="A1130" s="2080"/>
      <c r="B1130" s="705"/>
      <c r="C1130" s="90"/>
      <c r="D1130" s="2081"/>
      <c r="E1130" s="2082"/>
      <c r="F1130" s="1954"/>
      <c r="G1130" s="90"/>
      <c r="H1130" s="90"/>
      <c r="I1130" s="90"/>
      <c r="J1130" s="90"/>
      <c r="K1130" s="90"/>
      <c r="L1130" s="90"/>
      <c r="M1130" s="1956"/>
      <c r="N1130" s="643"/>
      <c r="O1130" s="2083"/>
      <c r="P1130" s="643"/>
      <c r="Q1130" s="643"/>
      <c r="R1130" s="280"/>
      <c r="S1130" s="280"/>
      <c r="T1130" s="280"/>
      <c r="U1130" s="280"/>
      <c r="V1130" s="280"/>
      <c r="W1130" s="79"/>
    </row>
    <row r="1131" spans="1:23" ht="15.75">
      <c r="A1131" s="2080"/>
      <c r="B1131" s="705"/>
      <c r="C1131" s="90"/>
      <c r="D1131" s="2081"/>
      <c r="E1131" s="2082"/>
      <c r="F1131" s="1954"/>
      <c r="G1131" s="90"/>
      <c r="H1131" s="90"/>
      <c r="I1131" s="90"/>
      <c r="J1131" s="90"/>
      <c r="K1131" s="90"/>
      <c r="L1131" s="90"/>
      <c r="M1131" s="1956"/>
      <c r="N1131" s="643"/>
      <c r="O1131" s="2083"/>
      <c r="P1131" s="643"/>
      <c r="Q1131" s="643"/>
      <c r="R1131" s="280"/>
      <c r="S1131" s="280"/>
      <c r="T1131" s="280"/>
      <c r="U1131" s="280"/>
      <c r="V1131" s="280"/>
      <c r="W1131" s="79"/>
    </row>
    <row r="1132" spans="1:23" ht="15.75">
      <c r="A1132" s="2080"/>
      <c r="B1132" s="705"/>
      <c r="C1132" s="90"/>
      <c r="D1132" s="2081"/>
      <c r="E1132" s="2082"/>
      <c r="F1132" s="1954"/>
      <c r="G1132" s="90"/>
      <c r="H1132" s="90"/>
      <c r="I1132" s="90"/>
      <c r="J1132" s="90"/>
      <c r="K1132" s="90"/>
      <c r="L1132" s="90"/>
      <c r="M1132" s="1956"/>
      <c r="N1132" s="643"/>
      <c r="O1132" s="2083"/>
      <c r="P1132" s="643"/>
      <c r="Q1132" s="643"/>
      <c r="R1132" s="280"/>
      <c r="S1132" s="280"/>
      <c r="T1132" s="280"/>
      <c r="U1132" s="280"/>
      <c r="V1132" s="280"/>
      <c r="W1132" s="79"/>
    </row>
    <row r="1133" spans="1:23" ht="15.75">
      <c r="A1133" s="2080"/>
      <c r="B1133" s="705"/>
      <c r="C1133" s="90"/>
      <c r="D1133" s="2081"/>
      <c r="E1133" s="2082"/>
      <c r="F1133" s="1954"/>
      <c r="G1133" s="90"/>
      <c r="H1133" s="90"/>
      <c r="I1133" s="90"/>
      <c r="J1133" s="90"/>
      <c r="K1133" s="90"/>
      <c r="L1133" s="90"/>
      <c r="M1133" s="1956"/>
      <c r="N1133" s="643"/>
      <c r="O1133" s="2083"/>
      <c r="P1133" s="643"/>
      <c r="Q1133" s="643"/>
      <c r="R1133" s="280"/>
      <c r="S1133" s="280"/>
      <c r="T1133" s="280"/>
      <c r="U1133" s="280"/>
      <c r="V1133" s="280"/>
      <c r="W1133" s="79"/>
    </row>
    <row r="1134" spans="1:23" ht="15.75">
      <c r="A1134" s="2080"/>
      <c r="B1134" s="705"/>
      <c r="C1134" s="90"/>
      <c r="D1134" s="2081"/>
      <c r="E1134" s="2082"/>
      <c r="F1134" s="1954"/>
      <c r="G1134" s="90"/>
      <c r="H1134" s="90"/>
      <c r="I1134" s="90"/>
      <c r="J1134" s="90"/>
      <c r="K1134" s="90"/>
      <c r="L1134" s="90"/>
      <c r="M1134" s="1956"/>
      <c r="N1134" s="643"/>
      <c r="O1134" s="2083"/>
      <c r="P1134" s="643"/>
      <c r="Q1134" s="643"/>
      <c r="R1134" s="280"/>
      <c r="S1134" s="280"/>
      <c r="T1134" s="280"/>
      <c r="U1134" s="280"/>
      <c r="V1134" s="280"/>
      <c r="W1134" s="79"/>
    </row>
    <row r="1135" spans="1:23" ht="15.75">
      <c r="A1135" s="2080"/>
      <c r="B1135" s="705"/>
      <c r="C1135" s="90"/>
      <c r="D1135" s="2081"/>
      <c r="E1135" s="2082"/>
      <c r="F1135" s="1954"/>
      <c r="G1135" s="90"/>
      <c r="H1135" s="90"/>
      <c r="I1135" s="90"/>
      <c r="J1135" s="90"/>
      <c r="K1135" s="90"/>
      <c r="L1135" s="90"/>
      <c r="M1135" s="1956"/>
      <c r="N1135" s="643"/>
      <c r="O1135" s="2083"/>
      <c r="P1135" s="643"/>
      <c r="Q1135" s="643"/>
      <c r="R1135" s="280"/>
      <c r="S1135" s="280"/>
      <c r="T1135" s="280"/>
      <c r="U1135" s="280"/>
      <c r="V1135" s="280"/>
      <c r="W1135" s="79"/>
    </row>
    <row r="1136" spans="1:23" ht="15.75">
      <c r="A1136" s="2080"/>
      <c r="B1136" s="705"/>
      <c r="C1136" s="90"/>
      <c r="D1136" s="2081"/>
      <c r="E1136" s="2082"/>
      <c r="F1136" s="1954"/>
      <c r="G1136" s="90"/>
      <c r="H1136" s="90"/>
      <c r="I1136" s="90"/>
      <c r="J1136" s="90"/>
      <c r="K1136" s="90"/>
      <c r="L1136" s="90"/>
      <c r="M1136" s="1956"/>
      <c r="N1136" s="643"/>
      <c r="O1136" s="2083"/>
      <c r="P1136" s="643"/>
      <c r="Q1136" s="643"/>
      <c r="R1136" s="280"/>
      <c r="S1136" s="280"/>
      <c r="T1136" s="280"/>
      <c r="U1136" s="280"/>
      <c r="V1136" s="280"/>
      <c r="W1136" s="79"/>
    </row>
    <row r="1137" spans="1:23" ht="15.75">
      <c r="A1137" s="2080"/>
      <c r="B1137" s="705"/>
      <c r="C1137" s="90"/>
      <c r="D1137" s="2081"/>
      <c r="E1137" s="2082"/>
      <c r="F1137" s="1954"/>
      <c r="G1137" s="90"/>
      <c r="H1137" s="90"/>
      <c r="I1137" s="90"/>
      <c r="J1137" s="90"/>
      <c r="K1137" s="90"/>
      <c r="L1137" s="90"/>
      <c r="M1137" s="1956"/>
      <c r="N1137" s="643"/>
      <c r="O1137" s="2083"/>
      <c r="P1137" s="643"/>
      <c r="Q1137" s="643"/>
      <c r="R1137" s="280"/>
      <c r="S1137" s="280"/>
      <c r="T1137" s="280"/>
      <c r="U1137" s="280"/>
      <c r="V1137" s="280"/>
      <c r="W1137" s="79"/>
    </row>
    <row r="1138" spans="1:23" ht="15.75">
      <c r="A1138" s="2080"/>
      <c r="B1138" s="705"/>
      <c r="C1138" s="90"/>
      <c r="D1138" s="2081"/>
      <c r="E1138" s="2082"/>
      <c r="F1138" s="1954"/>
      <c r="G1138" s="90"/>
      <c r="H1138" s="90"/>
      <c r="I1138" s="90"/>
      <c r="J1138" s="90"/>
      <c r="K1138" s="90"/>
      <c r="L1138" s="90"/>
      <c r="M1138" s="1956"/>
      <c r="N1138" s="643"/>
      <c r="O1138" s="2083"/>
      <c r="P1138" s="643"/>
      <c r="Q1138" s="643"/>
      <c r="R1138" s="280"/>
      <c r="S1138" s="280"/>
      <c r="T1138" s="280"/>
      <c r="U1138" s="280"/>
      <c r="V1138" s="280"/>
      <c r="W1138" s="79"/>
    </row>
    <row r="1139" spans="1:23" ht="15.75">
      <c r="A1139" s="2080"/>
      <c r="B1139" s="705"/>
      <c r="C1139" s="90"/>
      <c r="D1139" s="2081"/>
      <c r="E1139" s="2082"/>
      <c r="F1139" s="1954"/>
      <c r="G1139" s="90"/>
      <c r="H1139" s="90"/>
      <c r="I1139" s="90"/>
      <c r="J1139" s="90"/>
      <c r="K1139" s="90"/>
      <c r="L1139" s="90"/>
      <c r="M1139" s="1956"/>
      <c r="N1139" s="643"/>
      <c r="O1139" s="2083"/>
      <c r="P1139" s="643"/>
      <c r="Q1139" s="643"/>
      <c r="R1139" s="280"/>
      <c r="S1139" s="280"/>
      <c r="T1139" s="280"/>
      <c r="U1139" s="280"/>
      <c r="V1139" s="280"/>
      <c r="W1139" s="79"/>
    </row>
    <row r="1140" spans="1:23" ht="15.75">
      <c r="A1140" s="2080"/>
      <c r="B1140" s="705"/>
      <c r="C1140" s="90"/>
      <c r="D1140" s="2081"/>
      <c r="E1140" s="2082"/>
      <c r="F1140" s="1954"/>
      <c r="G1140" s="90"/>
      <c r="H1140" s="90"/>
      <c r="I1140" s="90"/>
      <c r="J1140" s="90"/>
      <c r="K1140" s="90"/>
      <c r="L1140" s="90"/>
      <c r="M1140" s="1956"/>
      <c r="N1140" s="643"/>
      <c r="O1140" s="2083"/>
      <c r="P1140" s="643"/>
      <c r="Q1140" s="643"/>
      <c r="R1140" s="280"/>
      <c r="S1140" s="280"/>
      <c r="T1140" s="280"/>
      <c r="U1140" s="280"/>
      <c r="V1140" s="280"/>
      <c r="W1140" s="79"/>
    </row>
    <row r="1141" spans="1:23" ht="15.75">
      <c r="A1141" s="2080"/>
      <c r="B1141" s="705"/>
      <c r="C1141" s="90"/>
      <c r="D1141" s="2081"/>
      <c r="E1141" s="2082"/>
      <c r="F1141" s="1954"/>
      <c r="G1141" s="90"/>
      <c r="H1141" s="90"/>
      <c r="I1141" s="90"/>
      <c r="J1141" s="90"/>
      <c r="K1141" s="90"/>
      <c r="L1141" s="90"/>
      <c r="M1141" s="1956"/>
      <c r="N1141" s="643"/>
      <c r="O1141" s="2083"/>
      <c r="P1141" s="643"/>
      <c r="Q1141" s="643"/>
      <c r="R1141" s="280"/>
      <c r="S1141" s="280"/>
      <c r="T1141" s="280"/>
      <c r="U1141" s="280"/>
      <c r="V1141" s="280"/>
      <c r="W1141" s="79"/>
    </row>
    <row r="1142" spans="1:23" ht="15.75">
      <c r="A1142" s="2080"/>
      <c r="B1142" s="705"/>
      <c r="C1142" s="90"/>
      <c r="D1142" s="2081"/>
      <c r="E1142" s="2082"/>
      <c r="F1142" s="1954"/>
      <c r="G1142" s="90"/>
      <c r="H1142" s="90"/>
      <c r="I1142" s="90"/>
      <c r="J1142" s="90"/>
      <c r="K1142" s="90"/>
      <c r="L1142" s="90"/>
      <c r="M1142" s="1956"/>
      <c r="N1142" s="643"/>
      <c r="O1142" s="2083"/>
      <c r="P1142" s="643"/>
      <c r="Q1142" s="643"/>
      <c r="R1142" s="280"/>
      <c r="S1142" s="280"/>
      <c r="T1142" s="280"/>
      <c r="U1142" s="280"/>
      <c r="V1142" s="280"/>
      <c r="W1142" s="79"/>
    </row>
    <row r="1143" spans="1:23" ht="15.75">
      <c r="A1143" s="2080"/>
      <c r="B1143" s="705"/>
      <c r="C1143" s="90"/>
      <c r="D1143" s="2081"/>
      <c r="E1143" s="2082"/>
      <c r="F1143" s="1954"/>
      <c r="G1143" s="90"/>
      <c r="H1143" s="90"/>
      <c r="I1143" s="90"/>
      <c r="J1143" s="90"/>
      <c r="K1143" s="90"/>
      <c r="L1143" s="90"/>
      <c r="M1143" s="1956"/>
      <c r="N1143" s="643"/>
      <c r="O1143" s="2083"/>
      <c r="P1143" s="643"/>
      <c r="Q1143" s="643"/>
      <c r="R1143" s="280"/>
      <c r="S1143" s="280"/>
      <c r="T1143" s="280"/>
      <c r="U1143" s="280"/>
      <c r="V1143" s="280"/>
      <c r="W1143" s="79"/>
    </row>
    <row r="1144" spans="1:23" ht="15.75">
      <c r="A1144" s="2080"/>
      <c r="B1144" s="705"/>
      <c r="C1144" s="90"/>
      <c r="D1144" s="2081"/>
      <c r="E1144" s="2082"/>
      <c r="F1144" s="1954"/>
      <c r="G1144" s="90"/>
      <c r="H1144" s="90"/>
      <c r="I1144" s="90"/>
      <c r="J1144" s="90"/>
      <c r="K1144" s="90"/>
      <c r="L1144" s="90"/>
      <c r="M1144" s="1956"/>
      <c r="N1144" s="643"/>
      <c r="O1144" s="2083"/>
      <c r="P1144" s="643"/>
      <c r="Q1144" s="643"/>
      <c r="R1144" s="280"/>
      <c r="S1144" s="280"/>
      <c r="T1144" s="280"/>
      <c r="U1144" s="280"/>
      <c r="V1144" s="280"/>
      <c r="W1144" s="79"/>
    </row>
    <row r="1145" spans="1:23" ht="15.75">
      <c r="A1145" s="2080"/>
      <c r="B1145" s="705"/>
      <c r="C1145" s="90"/>
      <c r="D1145" s="2081"/>
      <c r="E1145" s="2082"/>
      <c r="F1145" s="1954"/>
      <c r="G1145" s="90"/>
      <c r="H1145" s="90"/>
      <c r="I1145" s="90"/>
      <c r="J1145" s="90"/>
      <c r="K1145" s="90"/>
      <c r="L1145" s="90"/>
      <c r="M1145" s="1956"/>
      <c r="N1145" s="643"/>
      <c r="O1145" s="2083"/>
      <c r="P1145" s="643"/>
      <c r="Q1145" s="643"/>
      <c r="R1145" s="280"/>
      <c r="S1145" s="280"/>
      <c r="T1145" s="280"/>
      <c r="U1145" s="280"/>
      <c r="V1145" s="280"/>
      <c r="W1145" s="79"/>
    </row>
    <row r="1146" spans="1:23" ht="15.75">
      <c r="A1146" s="2080"/>
      <c r="B1146" s="705"/>
      <c r="C1146" s="90"/>
      <c r="D1146" s="2081"/>
      <c r="E1146" s="2082"/>
      <c r="F1146" s="1954"/>
      <c r="G1146" s="90"/>
      <c r="H1146" s="90"/>
      <c r="I1146" s="90"/>
      <c r="J1146" s="90"/>
      <c r="K1146" s="90"/>
      <c r="L1146" s="90"/>
      <c r="M1146" s="1956"/>
      <c r="N1146" s="643"/>
      <c r="O1146" s="2083"/>
      <c r="P1146" s="643"/>
      <c r="Q1146" s="643"/>
      <c r="R1146" s="280"/>
      <c r="S1146" s="280"/>
      <c r="T1146" s="280"/>
      <c r="U1146" s="280"/>
      <c r="V1146" s="280"/>
      <c r="W1146" s="79"/>
    </row>
    <row r="1147" spans="1:23" ht="15.75">
      <c r="A1147" s="2080"/>
      <c r="B1147" s="705"/>
      <c r="C1147" s="90"/>
      <c r="D1147" s="2081"/>
      <c r="E1147" s="2082"/>
      <c r="F1147" s="1954"/>
      <c r="G1147" s="90"/>
      <c r="H1147" s="90"/>
      <c r="I1147" s="90"/>
      <c r="J1147" s="90"/>
      <c r="K1147" s="90"/>
      <c r="L1147" s="90"/>
      <c r="M1147" s="1956"/>
      <c r="N1147" s="643"/>
      <c r="O1147" s="2083"/>
      <c r="P1147" s="643"/>
      <c r="Q1147" s="643"/>
      <c r="R1147" s="280"/>
      <c r="S1147" s="280"/>
      <c r="T1147" s="280"/>
      <c r="U1147" s="280"/>
      <c r="V1147" s="280"/>
      <c r="W1147" s="79"/>
    </row>
    <row r="1148" spans="1:23" ht="15.75">
      <c r="A1148" s="2080"/>
      <c r="B1148" s="705"/>
      <c r="C1148" s="90"/>
      <c r="D1148" s="2081"/>
      <c r="E1148" s="2082"/>
      <c r="F1148" s="1954"/>
      <c r="G1148" s="90"/>
      <c r="H1148" s="90"/>
      <c r="I1148" s="90"/>
      <c r="J1148" s="90"/>
      <c r="K1148" s="90"/>
      <c r="L1148" s="90"/>
      <c r="M1148" s="1956"/>
      <c r="N1148" s="643"/>
      <c r="O1148" s="2083"/>
      <c r="P1148" s="643"/>
      <c r="Q1148" s="643"/>
      <c r="R1148" s="280"/>
      <c r="S1148" s="280"/>
      <c r="T1148" s="280"/>
      <c r="U1148" s="280"/>
      <c r="V1148" s="280"/>
      <c r="W1148" s="79"/>
    </row>
    <row r="1149" spans="1:23" ht="15.75">
      <c r="A1149" s="2080"/>
      <c r="B1149" s="705"/>
      <c r="C1149" s="90"/>
      <c r="D1149" s="2081"/>
      <c r="E1149" s="2082"/>
      <c r="F1149" s="1954"/>
      <c r="G1149" s="90"/>
      <c r="H1149" s="90"/>
      <c r="I1149" s="90"/>
      <c r="J1149" s="90"/>
      <c r="K1149" s="90"/>
      <c r="L1149" s="90"/>
      <c r="M1149" s="1956"/>
      <c r="N1149" s="643"/>
      <c r="O1149" s="2083"/>
      <c r="P1149" s="643"/>
      <c r="Q1149" s="643"/>
      <c r="R1149" s="280"/>
      <c r="S1149" s="280"/>
      <c r="T1149" s="280"/>
      <c r="U1149" s="280"/>
      <c r="V1149" s="280"/>
      <c r="W1149" s="79"/>
    </row>
    <row r="1150" spans="1:23" ht="15.75">
      <c r="A1150" s="2080"/>
      <c r="B1150" s="705"/>
      <c r="C1150" s="90"/>
      <c r="D1150" s="2081"/>
      <c r="E1150" s="2082"/>
      <c r="F1150" s="1954"/>
      <c r="G1150" s="90"/>
      <c r="H1150" s="90"/>
      <c r="I1150" s="90"/>
      <c r="J1150" s="90"/>
      <c r="K1150" s="90"/>
      <c r="L1150" s="90"/>
      <c r="M1150" s="1956"/>
      <c r="N1150" s="643"/>
      <c r="O1150" s="2083"/>
      <c r="P1150" s="643"/>
      <c r="Q1150" s="643"/>
      <c r="R1150" s="280"/>
      <c r="S1150" s="280"/>
      <c r="T1150" s="280"/>
      <c r="U1150" s="280"/>
      <c r="V1150" s="280"/>
      <c r="W1150" s="79"/>
    </row>
    <row r="1151" spans="1:23" ht="15.75">
      <c r="A1151" s="2080"/>
      <c r="B1151" s="705"/>
      <c r="C1151" s="90"/>
      <c r="D1151" s="2081"/>
      <c r="E1151" s="2082"/>
      <c r="F1151" s="1954"/>
      <c r="G1151" s="90"/>
      <c r="H1151" s="90"/>
      <c r="I1151" s="90"/>
      <c r="J1151" s="90"/>
      <c r="K1151" s="90"/>
      <c r="L1151" s="90"/>
      <c r="M1151" s="1956"/>
      <c r="N1151" s="643"/>
      <c r="O1151" s="2083"/>
      <c r="P1151" s="643"/>
      <c r="Q1151" s="643"/>
      <c r="R1151" s="280"/>
      <c r="S1151" s="280"/>
      <c r="T1151" s="280"/>
      <c r="U1151" s="280"/>
      <c r="V1151" s="280"/>
      <c r="W1151" s="79"/>
    </row>
    <row r="1152" spans="1:23" ht="15.75">
      <c r="A1152" s="2080"/>
      <c r="B1152" s="705"/>
      <c r="C1152" s="90"/>
      <c r="D1152" s="2081"/>
      <c r="E1152" s="2082"/>
      <c r="F1152" s="1954"/>
      <c r="G1152" s="90"/>
      <c r="H1152" s="90"/>
      <c r="I1152" s="90"/>
      <c r="J1152" s="90"/>
      <c r="K1152" s="90"/>
      <c r="L1152" s="90"/>
      <c r="M1152" s="1956"/>
      <c r="N1152" s="643"/>
      <c r="O1152" s="2083"/>
      <c r="P1152" s="643"/>
      <c r="Q1152" s="643"/>
      <c r="R1152" s="280"/>
      <c r="S1152" s="280"/>
      <c r="T1152" s="280"/>
      <c r="U1152" s="280"/>
      <c r="V1152" s="280"/>
      <c r="W1152" s="79"/>
    </row>
    <row r="1153" spans="1:23" ht="15.75">
      <c r="A1153" s="2080"/>
      <c r="B1153" s="705"/>
      <c r="C1153" s="90"/>
      <c r="D1153" s="2081"/>
      <c r="E1153" s="2082"/>
      <c r="F1153" s="1954"/>
      <c r="G1153" s="90"/>
      <c r="H1153" s="90"/>
      <c r="I1153" s="90"/>
      <c r="J1153" s="90"/>
      <c r="K1153" s="90"/>
      <c r="L1153" s="90"/>
      <c r="M1153" s="1956"/>
      <c r="N1153" s="643"/>
      <c r="O1153" s="2083"/>
      <c r="P1153" s="643"/>
      <c r="Q1153" s="643"/>
      <c r="R1153" s="280"/>
      <c r="S1153" s="280"/>
      <c r="T1153" s="280"/>
      <c r="U1153" s="280"/>
      <c r="V1153" s="280"/>
      <c r="W1153" s="79"/>
    </row>
    <row r="1154" spans="1:23" ht="15.75">
      <c r="A1154" s="2080"/>
      <c r="B1154" s="705"/>
      <c r="C1154" s="90"/>
      <c r="D1154" s="2081"/>
      <c r="E1154" s="2082"/>
      <c r="F1154" s="1954"/>
      <c r="G1154" s="90"/>
      <c r="H1154" s="90"/>
      <c r="I1154" s="90"/>
      <c r="J1154" s="90"/>
      <c r="K1154" s="90"/>
      <c r="L1154" s="90"/>
      <c r="M1154" s="1956"/>
      <c r="N1154" s="643"/>
      <c r="O1154" s="2083"/>
      <c r="P1154" s="643"/>
      <c r="Q1154" s="643"/>
      <c r="R1154" s="280"/>
      <c r="S1154" s="280"/>
      <c r="T1154" s="280"/>
      <c r="U1154" s="280"/>
      <c r="V1154" s="280"/>
      <c r="W1154" s="79"/>
    </row>
    <row r="1155" spans="1:23" ht="15.75">
      <c r="A1155" s="2080"/>
      <c r="B1155" s="705"/>
      <c r="C1155" s="90"/>
      <c r="D1155" s="2081"/>
      <c r="E1155" s="2082"/>
      <c r="F1155" s="1954"/>
      <c r="G1155" s="90"/>
      <c r="H1155" s="90"/>
      <c r="I1155" s="90"/>
      <c r="J1155" s="90"/>
      <c r="K1155" s="90"/>
      <c r="L1155" s="90"/>
      <c r="M1155" s="1956"/>
      <c r="N1155" s="643"/>
      <c r="O1155" s="2083"/>
      <c r="P1155" s="643"/>
      <c r="Q1155" s="643"/>
      <c r="R1155" s="280"/>
      <c r="S1155" s="280"/>
      <c r="T1155" s="280"/>
      <c r="U1155" s="280"/>
      <c r="V1155" s="280"/>
      <c r="W1155" s="79"/>
    </row>
    <row r="1156" spans="1:23" ht="15.75">
      <c r="A1156" s="2080"/>
      <c r="B1156" s="705"/>
      <c r="C1156" s="90"/>
      <c r="D1156" s="2081"/>
      <c r="E1156" s="2082"/>
      <c r="F1156" s="1954"/>
      <c r="G1156" s="90"/>
      <c r="H1156" s="90"/>
      <c r="I1156" s="90"/>
      <c r="J1156" s="90"/>
      <c r="K1156" s="90"/>
      <c r="L1156" s="90"/>
      <c r="M1156" s="1956"/>
      <c r="N1156" s="643"/>
      <c r="O1156" s="2083"/>
      <c r="P1156" s="643"/>
      <c r="Q1156" s="643"/>
      <c r="R1156" s="280"/>
      <c r="S1156" s="280"/>
      <c r="T1156" s="280"/>
      <c r="U1156" s="280"/>
      <c r="V1156" s="280"/>
      <c r="W1156" s="79"/>
    </row>
    <row r="1157" spans="1:23" ht="15.75">
      <c r="A1157" s="2080"/>
      <c r="B1157" s="705"/>
      <c r="C1157" s="90"/>
      <c r="D1157" s="2081"/>
      <c r="E1157" s="2082"/>
      <c r="F1157" s="1954"/>
      <c r="G1157" s="90"/>
      <c r="H1157" s="90"/>
      <c r="I1157" s="90"/>
      <c r="J1157" s="90"/>
      <c r="K1157" s="90"/>
      <c r="L1157" s="90"/>
      <c r="M1157" s="1956"/>
      <c r="N1157" s="643"/>
      <c r="O1157" s="2083"/>
      <c r="P1157" s="643"/>
      <c r="Q1157" s="643"/>
      <c r="R1157" s="280"/>
      <c r="S1157" s="280"/>
      <c r="T1157" s="280"/>
      <c r="U1157" s="280"/>
      <c r="V1157" s="280"/>
      <c r="W1157" s="79"/>
    </row>
    <row r="1158" spans="1:23" ht="15.75">
      <c r="A1158" s="2080"/>
      <c r="B1158" s="705"/>
      <c r="C1158" s="90"/>
      <c r="D1158" s="2081"/>
      <c r="E1158" s="2082"/>
      <c r="F1158" s="1954"/>
      <c r="G1158" s="90"/>
      <c r="H1158" s="90"/>
      <c r="I1158" s="90"/>
      <c r="J1158" s="90"/>
      <c r="K1158" s="90"/>
      <c r="L1158" s="90"/>
      <c r="M1158" s="1956"/>
      <c r="N1158" s="643"/>
      <c r="O1158" s="2083"/>
      <c r="P1158" s="643"/>
      <c r="Q1158" s="643"/>
      <c r="R1158" s="280"/>
      <c r="S1158" s="280"/>
      <c r="T1158" s="280"/>
      <c r="U1158" s="280"/>
      <c r="V1158" s="280"/>
      <c r="W1158" s="79"/>
    </row>
    <row r="1159" spans="1:23" ht="15.75">
      <c r="A1159" s="2080"/>
      <c r="B1159" s="705"/>
      <c r="C1159" s="90"/>
      <c r="D1159" s="2081"/>
      <c r="E1159" s="2082"/>
      <c r="F1159" s="1954"/>
      <c r="G1159" s="90"/>
      <c r="H1159" s="90"/>
      <c r="I1159" s="90"/>
      <c r="J1159" s="90"/>
      <c r="K1159" s="90"/>
      <c r="L1159" s="90"/>
      <c r="M1159" s="1956"/>
      <c r="N1159" s="643"/>
      <c r="O1159" s="2083"/>
      <c r="P1159" s="643"/>
      <c r="Q1159" s="643"/>
      <c r="R1159" s="280"/>
      <c r="S1159" s="280"/>
      <c r="T1159" s="280"/>
      <c r="U1159" s="280"/>
      <c r="V1159" s="280"/>
      <c r="W1159" s="79"/>
    </row>
    <row r="1160" spans="1:23" ht="15.75">
      <c r="A1160" s="2080"/>
      <c r="B1160" s="705"/>
      <c r="C1160" s="90"/>
      <c r="D1160" s="2081"/>
      <c r="E1160" s="2082"/>
      <c r="F1160" s="1954"/>
      <c r="G1160" s="90"/>
      <c r="H1160" s="90"/>
      <c r="I1160" s="90"/>
      <c r="J1160" s="90"/>
      <c r="K1160" s="90"/>
      <c r="L1160" s="90"/>
      <c r="M1160" s="1956"/>
      <c r="N1160" s="643"/>
      <c r="O1160" s="2083"/>
      <c r="P1160" s="643"/>
      <c r="Q1160" s="643"/>
      <c r="R1160" s="280"/>
      <c r="S1160" s="280"/>
      <c r="T1160" s="280"/>
      <c r="U1160" s="280"/>
      <c r="V1160" s="280"/>
      <c r="W1160" s="79"/>
    </row>
    <row r="1161" spans="1:23" ht="15.75">
      <c r="A1161" s="2080"/>
      <c r="B1161" s="705"/>
      <c r="C1161" s="90"/>
      <c r="D1161" s="2081"/>
      <c r="E1161" s="2082"/>
      <c r="F1161" s="1954"/>
      <c r="G1161" s="90"/>
      <c r="H1161" s="90"/>
      <c r="I1161" s="90"/>
      <c r="J1161" s="90"/>
      <c r="K1161" s="90"/>
      <c r="L1161" s="90"/>
      <c r="M1161" s="1956"/>
      <c r="N1161" s="643"/>
      <c r="O1161" s="2083"/>
      <c r="P1161" s="643"/>
      <c r="Q1161" s="643"/>
      <c r="R1161" s="280"/>
      <c r="S1161" s="280"/>
      <c r="T1161" s="280"/>
      <c r="U1161" s="280"/>
      <c r="V1161" s="280"/>
      <c r="W1161" s="79"/>
    </row>
    <row r="1162" spans="1:23" ht="15.75">
      <c r="A1162" s="2080"/>
      <c r="B1162" s="705"/>
      <c r="C1162" s="90"/>
      <c r="D1162" s="2081"/>
      <c r="E1162" s="2082"/>
      <c r="F1162" s="1954"/>
      <c r="G1162" s="90"/>
      <c r="H1162" s="90"/>
      <c r="I1162" s="90"/>
      <c r="J1162" s="90"/>
      <c r="K1162" s="90"/>
      <c r="L1162" s="90"/>
      <c r="M1162" s="1956"/>
      <c r="N1162" s="643"/>
      <c r="O1162" s="2083"/>
      <c r="P1162" s="643"/>
      <c r="Q1162" s="643"/>
      <c r="R1162" s="280"/>
      <c r="S1162" s="280"/>
      <c r="T1162" s="280"/>
      <c r="U1162" s="280"/>
      <c r="V1162" s="280"/>
      <c r="W1162" s="79"/>
    </row>
    <row r="1163" spans="1:23" ht="15.75">
      <c r="A1163" s="2080"/>
      <c r="B1163" s="705"/>
      <c r="C1163" s="90"/>
      <c r="D1163" s="2081"/>
      <c r="E1163" s="2082"/>
      <c r="F1163" s="1954"/>
      <c r="G1163" s="90"/>
      <c r="H1163" s="90"/>
      <c r="I1163" s="90"/>
      <c r="J1163" s="90"/>
      <c r="K1163" s="90"/>
      <c r="L1163" s="90"/>
      <c r="M1163" s="1956"/>
      <c r="N1163" s="643"/>
      <c r="O1163" s="2083"/>
      <c r="P1163" s="643"/>
      <c r="Q1163" s="643"/>
      <c r="R1163" s="280"/>
      <c r="S1163" s="280"/>
      <c r="T1163" s="280"/>
      <c r="U1163" s="280"/>
      <c r="V1163" s="280"/>
      <c r="W1163" s="79"/>
    </row>
    <row r="1164" spans="1:23" ht="15.75">
      <c r="A1164" s="2080"/>
      <c r="B1164" s="705"/>
      <c r="C1164" s="90"/>
      <c r="D1164" s="2081"/>
      <c r="E1164" s="2082"/>
      <c r="F1164" s="1954"/>
      <c r="G1164" s="90"/>
      <c r="H1164" s="90"/>
      <c r="I1164" s="90"/>
      <c r="J1164" s="90"/>
      <c r="K1164" s="90"/>
      <c r="L1164" s="90"/>
      <c r="M1164" s="1956"/>
      <c r="N1164" s="643"/>
      <c r="O1164" s="2083"/>
      <c r="P1164" s="643"/>
      <c r="Q1164" s="643"/>
      <c r="R1164" s="280"/>
      <c r="S1164" s="280"/>
      <c r="T1164" s="280"/>
      <c r="U1164" s="280"/>
      <c r="V1164" s="280"/>
      <c r="W1164" s="79"/>
    </row>
    <row r="1165" spans="1:23" ht="15.75">
      <c r="A1165" s="2080"/>
      <c r="B1165" s="705"/>
      <c r="C1165" s="90"/>
      <c r="D1165" s="2081"/>
      <c r="E1165" s="2082"/>
      <c r="F1165" s="1954"/>
      <c r="G1165" s="90"/>
      <c r="H1165" s="90"/>
      <c r="I1165" s="90"/>
      <c r="J1165" s="90"/>
      <c r="K1165" s="90"/>
      <c r="L1165" s="90"/>
      <c r="M1165" s="1956"/>
      <c r="N1165" s="643"/>
      <c r="O1165" s="2083"/>
      <c r="P1165" s="643"/>
      <c r="Q1165" s="643"/>
      <c r="R1165" s="280"/>
      <c r="S1165" s="280"/>
      <c r="T1165" s="280"/>
      <c r="U1165" s="280"/>
      <c r="V1165" s="280"/>
      <c r="W1165" s="79"/>
    </row>
    <row r="1166" spans="1:23" ht="15.75">
      <c r="A1166" s="2080"/>
      <c r="B1166" s="705"/>
      <c r="C1166" s="90"/>
      <c r="D1166" s="2081"/>
      <c r="E1166" s="2082"/>
      <c r="F1166" s="1954"/>
      <c r="G1166" s="90"/>
      <c r="H1166" s="90"/>
      <c r="I1166" s="90"/>
      <c r="J1166" s="90"/>
      <c r="K1166" s="90"/>
      <c r="L1166" s="90"/>
      <c r="M1166" s="1956"/>
      <c r="N1166" s="643"/>
      <c r="O1166" s="2083"/>
      <c r="P1166" s="643"/>
      <c r="Q1166" s="643"/>
      <c r="R1166" s="280"/>
      <c r="S1166" s="280"/>
      <c r="T1166" s="280"/>
      <c r="U1166" s="280"/>
      <c r="V1166" s="280"/>
      <c r="W1166" s="79"/>
    </row>
    <row r="1167" spans="1:23" ht="15.75">
      <c r="A1167" s="2080"/>
      <c r="B1167" s="705"/>
      <c r="C1167" s="90"/>
      <c r="D1167" s="2081"/>
      <c r="E1167" s="2082"/>
      <c r="F1167" s="1954"/>
      <c r="G1167" s="90"/>
      <c r="H1167" s="90"/>
      <c r="I1167" s="90"/>
      <c r="J1167" s="90"/>
      <c r="K1167" s="90"/>
      <c r="L1167" s="90"/>
      <c r="M1167" s="1956"/>
      <c r="N1167" s="643"/>
      <c r="O1167" s="2083"/>
      <c r="P1167" s="643"/>
      <c r="Q1167" s="643"/>
      <c r="R1167" s="280"/>
      <c r="S1167" s="280"/>
      <c r="T1167" s="280"/>
      <c r="U1167" s="280"/>
      <c r="V1167" s="280"/>
      <c r="W1167" s="79"/>
    </row>
    <row r="1168" spans="1:23" ht="15.75">
      <c r="A1168" s="2080"/>
      <c r="B1168" s="705"/>
      <c r="C1168" s="90"/>
      <c r="D1168" s="2081"/>
      <c r="E1168" s="2082"/>
      <c r="F1168" s="1954"/>
      <c r="G1168" s="90"/>
      <c r="H1168" s="90"/>
      <c r="I1168" s="90"/>
      <c r="J1168" s="90"/>
      <c r="K1168" s="90"/>
      <c r="L1168" s="90"/>
      <c r="M1168" s="1956"/>
      <c r="N1168" s="643"/>
      <c r="O1168" s="2083"/>
      <c r="P1168" s="643"/>
      <c r="Q1168" s="643"/>
      <c r="R1168" s="280"/>
      <c r="S1168" s="280"/>
      <c r="T1168" s="280"/>
      <c r="U1168" s="280"/>
      <c r="V1168" s="280"/>
      <c r="W1168" s="79"/>
    </row>
    <row r="1169" spans="1:23" ht="15.75">
      <c r="A1169" s="2080"/>
      <c r="B1169" s="705"/>
      <c r="C1169" s="90"/>
      <c r="D1169" s="2081"/>
      <c r="E1169" s="2082"/>
      <c r="F1169" s="1954"/>
      <c r="G1169" s="90"/>
      <c r="H1169" s="90"/>
      <c r="I1169" s="90"/>
      <c r="J1169" s="90"/>
      <c r="K1169" s="90"/>
      <c r="L1169" s="90"/>
      <c r="M1169" s="1956"/>
      <c r="N1169" s="643"/>
      <c r="O1169" s="2083"/>
      <c r="P1169" s="643"/>
      <c r="Q1169" s="643"/>
      <c r="R1169" s="280"/>
      <c r="S1169" s="280"/>
      <c r="T1169" s="280"/>
      <c r="U1169" s="280"/>
      <c r="V1169" s="280"/>
      <c r="W1169" s="79"/>
    </row>
    <row r="1170" spans="1:23" ht="15.75">
      <c r="A1170" s="2080"/>
      <c r="B1170" s="705"/>
      <c r="C1170" s="90"/>
      <c r="D1170" s="2081"/>
      <c r="E1170" s="2082"/>
      <c r="F1170" s="1954"/>
      <c r="G1170" s="90"/>
      <c r="H1170" s="90"/>
      <c r="I1170" s="90"/>
      <c r="J1170" s="90"/>
      <c r="K1170" s="90"/>
      <c r="L1170" s="90"/>
      <c r="M1170" s="1956"/>
      <c r="N1170" s="643"/>
      <c r="O1170" s="2083"/>
      <c r="P1170" s="643"/>
      <c r="Q1170" s="643"/>
      <c r="R1170" s="280"/>
      <c r="S1170" s="280"/>
      <c r="T1170" s="280"/>
      <c r="U1170" s="280"/>
      <c r="V1170" s="280"/>
      <c r="W1170" s="79"/>
    </row>
    <row r="1171" spans="1:23" ht="15.75">
      <c r="A1171" s="2080"/>
      <c r="B1171" s="705"/>
      <c r="C1171" s="90"/>
      <c r="D1171" s="2081"/>
      <c r="E1171" s="2082"/>
      <c r="F1171" s="1954"/>
      <c r="G1171" s="90"/>
      <c r="H1171" s="90"/>
      <c r="I1171" s="90"/>
      <c r="J1171" s="90"/>
      <c r="K1171" s="90"/>
      <c r="L1171" s="90"/>
      <c r="M1171" s="1956"/>
      <c r="N1171" s="643"/>
      <c r="O1171" s="2083"/>
      <c r="P1171" s="643"/>
      <c r="Q1171" s="643"/>
      <c r="R1171" s="280"/>
      <c r="S1171" s="280"/>
      <c r="T1171" s="280"/>
      <c r="U1171" s="280"/>
      <c r="V1171" s="280"/>
      <c r="W1171" s="79"/>
    </row>
    <row r="1172" spans="1:23" ht="15.75">
      <c r="A1172" s="2080"/>
      <c r="B1172" s="705"/>
      <c r="C1172" s="90"/>
      <c r="D1172" s="2081"/>
      <c r="E1172" s="2082"/>
      <c r="F1172" s="1954"/>
      <c r="G1172" s="90"/>
      <c r="H1172" s="90"/>
      <c r="I1172" s="90"/>
      <c r="J1172" s="90"/>
      <c r="K1172" s="90"/>
      <c r="L1172" s="90"/>
      <c r="M1172" s="1956"/>
      <c r="N1172" s="643"/>
      <c r="O1172" s="2083"/>
      <c r="P1172" s="643"/>
      <c r="Q1172" s="643"/>
      <c r="R1172" s="280"/>
      <c r="S1172" s="280"/>
      <c r="T1172" s="280"/>
      <c r="U1172" s="280"/>
      <c r="V1172" s="280"/>
      <c r="W1172" s="79"/>
    </row>
    <row r="1173" spans="1:23" ht="15.75">
      <c r="A1173" s="2080"/>
      <c r="B1173" s="705"/>
      <c r="C1173" s="90"/>
      <c r="D1173" s="2081"/>
      <c r="E1173" s="2082"/>
      <c r="F1173" s="1954"/>
      <c r="G1173" s="90"/>
      <c r="H1173" s="90"/>
      <c r="I1173" s="90"/>
      <c r="J1173" s="90"/>
      <c r="K1173" s="90"/>
      <c r="L1173" s="90"/>
      <c r="M1173" s="1956"/>
      <c r="N1173" s="643"/>
      <c r="O1173" s="2083"/>
      <c r="P1173" s="643"/>
      <c r="Q1173" s="643"/>
      <c r="R1173" s="280"/>
      <c r="S1173" s="280"/>
      <c r="T1173" s="280"/>
      <c r="U1173" s="280"/>
      <c r="V1173" s="280"/>
      <c r="W1173" s="79"/>
    </row>
    <row r="1174" spans="1:23" ht="15.75">
      <c r="A1174" s="2080"/>
      <c r="B1174" s="705"/>
      <c r="C1174" s="90"/>
      <c r="D1174" s="2081"/>
      <c r="E1174" s="2082"/>
      <c r="F1174" s="1954"/>
      <c r="G1174" s="90"/>
      <c r="H1174" s="90"/>
      <c r="I1174" s="90"/>
      <c r="J1174" s="90"/>
      <c r="K1174" s="90"/>
      <c r="L1174" s="90"/>
      <c r="M1174" s="1956"/>
      <c r="N1174" s="643"/>
      <c r="O1174" s="2083"/>
      <c r="P1174" s="643"/>
      <c r="Q1174" s="643"/>
      <c r="R1174" s="280"/>
      <c r="S1174" s="280"/>
      <c r="T1174" s="280"/>
      <c r="U1174" s="280"/>
      <c r="V1174" s="280"/>
      <c r="W1174" s="79"/>
    </row>
    <row r="1175" spans="1:23" ht="15.75">
      <c r="A1175" s="2080"/>
      <c r="B1175" s="705"/>
      <c r="C1175" s="90"/>
      <c r="D1175" s="2081"/>
      <c r="E1175" s="2082"/>
      <c r="F1175" s="1954"/>
      <c r="G1175" s="90"/>
      <c r="H1175" s="90"/>
      <c r="I1175" s="90"/>
      <c r="J1175" s="90"/>
      <c r="K1175" s="90"/>
      <c r="L1175" s="90"/>
      <c r="M1175" s="1956"/>
      <c r="N1175" s="643"/>
      <c r="O1175" s="2083"/>
      <c r="P1175" s="643"/>
      <c r="Q1175" s="643"/>
      <c r="R1175" s="280"/>
      <c r="S1175" s="280"/>
      <c r="T1175" s="280"/>
      <c r="U1175" s="280"/>
      <c r="V1175" s="280"/>
      <c r="W1175" s="79"/>
    </row>
    <row r="1176" spans="1:23" ht="15.75">
      <c r="A1176" s="2080"/>
      <c r="B1176" s="705"/>
      <c r="C1176" s="90"/>
      <c r="D1176" s="2081"/>
      <c r="E1176" s="2082"/>
      <c r="F1176" s="1954"/>
      <c r="G1176" s="90"/>
      <c r="H1176" s="90"/>
      <c r="I1176" s="90"/>
      <c r="J1176" s="90"/>
      <c r="K1176" s="90"/>
      <c r="L1176" s="90"/>
      <c r="M1176" s="1956"/>
      <c r="N1176" s="643"/>
      <c r="O1176" s="2083"/>
      <c r="P1176" s="643"/>
      <c r="Q1176" s="643"/>
      <c r="R1176" s="280"/>
      <c r="S1176" s="280"/>
      <c r="T1176" s="280"/>
      <c r="U1176" s="280"/>
      <c r="V1176" s="280"/>
      <c r="W1176" s="79"/>
    </row>
    <row r="1177" spans="1:23" ht="15.75">
      <c r="A1177" s="2080"/>
      <c r="B1177" s="705"/>
      <c r="C1177" s="90"/>
      <c r="D1177" s="2081"/>
      <c r="E1177" s="2082"/>
      <c r="F1177" s="1954"/>
      <c r="G1177" s="90"/>
      <c r="H1177" s="90"/>
      <c r="I1177" s="90"/>
      <c r="J1177" s="90"/>
      <c r="K1177" s="90"/>
      <c r="L1177" s="90"/>
      <c r="M1177" s="1956"/>
      <c r="N1177" s="643"/>
      <c r="O1177" s="2083"/>
      <c r="P1177" s="643"/>
      <c r="Q1177" s="643"/>
      <c r="R1177" s="280"/>
      <c r="S1177" s="280"/>
      <c r="T1177" s="280"/>
      <c r="U1177" s="280"/>
      <c r="V1177" s="280"/>
      <c r="W1177" s="79"/>
    </row>
    <row r="1178" spans="1:23" ht="15.75">
      <c r="A1178" s="2080"/>
      <c r="B1178" s="705"/>
      <c r="C1178" s="90"/>
      <c r="D1178" s="2081"/>
      <c r="E1178" s="2082"/>
      <c r="F1178" s="1954"/>
      <c r="G1178" s="90"/>
      <c r="H1178" s="90"/>
      <c r="I1178" s="90"/>
      <c r="J1178" s="90"/>
      <c r="K1178" s="90"/>
      <c r="L1178" s="90"/>
      <c r="M1178" s="1956"/>
      <c r="N1178" s="643"/>
      <c r="O1178" s="2083"/>
      <c r="P1178" s="643"/>
      <c r="Q1178" s="643"/>
      <c r="R1178" s="280"/>
      <c r="S1178" s="280"/>
      <c r="T1178" s="280"/>
      <c r="U1178" s="280"/>
      <c r="V1178" s="280"/>
      <c r="W1178" s="79"/>
    </row>
    <row r="1179" spans="1:23" ht="15.75">
      <c r="A1179" s="2080"/>
      <c r="B1179" s="705"/>
      <c r="C1179" s="90"/>
      <c r="D1179" s="2081"/>
      <c r="E1179" s="2082"/>
      <c r="F1179" s="1954"/>
      <c r="G1179" s="90"/>
      <c r="H1179" s="90"/>
      <c r="I1179" s="90"/>
      <c r="J1179" s="90"/>
      <c r="K1179" s="90"/>
      <c r="L1179" s="90"/>
      <c r="M1179" s="1956"/>
      <c r="N1179" s="643"/>
      <c r="O1179" s="2083"/>
      <c r="P1179" s="643"/>
      <c r="Q1179" s="643"/>
      <c r="R1179" s="280"/>
      <c r="S1179" s="280"/>
      <c r="T1179" s="280"/>
      <c r="U1179" s="280"/>
      <c r="V1179" s="280"/>
      <c r="W1179" s="79"/>
    </row>
    <row r="1180" spans="1:23" ht="15.75">
      <c r="A1180" s="2080"/>
      <c r="B1180" s="705"/>
      <c r="C1180" s="90"/>
      <c r="D1180" s="2081"/>
      <c r="E1180" s="2082"/>
      <c r="F1180" s="1954"/>
      <c r="G1180" s="90"/>
      <c r="H1180" s="90"/>
      <c r="I1180" s="90"/>
      <c r="J1180" s="90"/>
      <c r="K1180" s="90"/>
      <c r="L1180" s="90"/>
      <c r="M1180" s="1956"/>
      <c r="N1180" s="643"/>
      <c r="O1180" s="2083"/>
      <c r="P1180" s="643"/>
      <c r="Q1180" s="643"/>
      <c r="R1180" s="280"/>
      <c r="S1180" s="280"/>
      <c r="T1180" s="280"/>
      <c r="U1180" s="280"/>
      <c r="V1180" s="280"/>
      <c r="W1180" s="79"/>
    </row>
    <row r="1181" spans="1:23" ht="15.75">
      <c r="A1181" s="2080"/>
      <c r="B1181" s="705"/>
      <c r="C1181" s="90"/>
      <c r="D1181" s="2081"/>
      <c r="E1181" s="2082"/>
      <c r="F1181" s="1954"/>
      <c r="G1181" s="90"/>
      <c r="H1181" s="90"/>
      <c r="I1181" s="90"/>
      <c r="J1181" s="90"/>
      <c r="K1181" s="90"/>
      <c r="L1181" s="90"/>
      <c r="M1181" s="1956"/>
      <c r="N1181" s="643"/>
      <c r="O1181" s="2083"/>
      <c r="P1181" s="643"/>
      <c r="Q1181" s="643"/>
      <c r="R1181" s="280"/>
      <c r="S1181" s="280"/>
      <c r="T1181" s="280"/>
      <c r="U1181" s="280"/>
      <c r="V1181" s="280"/>
      <c r="W1181" s="79"/>
    </row>
    <row r="1182" spans="1:23" ht="15.75">
      <c r="A1182" s="2080"/>
      <c r="B1182" s="705"/>
      <c r="C1182" s="90"/>
      <c r="D1182" s="2081"/>
      <c r="E1182" s="2082"/>
      <c r="F1182" s="1954"/>
      <c r="G1182" s="90"/>
      <c r="H1182" s="90"/>
      <c r="I1182" s="90"/>
      <c r="J1182" s="90"/>
      <c r="K1182" s="90"/>
      <c r="L1182" s="90"/>
      <c r="M1182" s="1956"/>
      <c r="N1182" s="643"/>
      <c r="O1182" s="2083"/>
      <c r="P1182" s="643"/>
      <c r="Q1182" s="643"/>
      <c r="R1182" s="280"/>
      <c r="S1182" s="280"/>
      <c r="T1182" s="280"/>
      <c r="U1182" s="280"/>
      <c r="V1182" s="280"/>
      <c r="W1182" s="79"/>
    </row>
    <row r="1183" spans="1:23" ht="15.75">
      <c r="A1183" s="2080"/>
      <c r="B1183" s="705"/>
      <c r="C1183" s="90"/>
      <c r="D1183" s="2081"/>
      <c r="E1183" s="2082"/>
      <c r="F1183" s="1954"/>
      <c r="G1183" s="90"/>
      <c r="H1183" s="90"/>
      <c r="I1183" s="90"/>
      <c r="J1183" s="90"/>
      <c r="K1183" s="90"/>
      <c r="L1183" s="90"/>
      <c r="M1183" s="1956"/>
      <c r="N1183" s="643"/>
      <c r="O1183" s="2083"/>
      <c r="P1183" s="643"/>
      <c r="Q1183" s="643"/>
      <c r="R1183" s="280"/>
      <c r="S1183" s="280"/>
      <c r="T1183" s="280"/>
      <c r="U1183" s="280"/>
      <c r="V1183" s="280"/>
      <c r="W1183" s="79"/>
    </row>
    <row r="1184" spans="1:23" ht="15.75">
      <c r="A1184" s="2080"/>
      <c r="B1184" s="705"/>
      <c r="C1184" s="90"/>
      <c r="D1184" s="2081"/>
      <c r="E1184" s="2082"/>
      <c r="F1184" s="1954"/>
      <c r="G1184" s="90"/>
      <c r="H1184" s="90"/>
      <c r="I1184" s="90"/>
      <c r="J1184" s="90"/>
      <c r="K1184" s="90"/>
      <c r="L1184" s="90"/>
      <c r="M1184" s="1956"/>
      <c r="N1184" s="643"/>
      <c r="O1184" s="2083"/>
      <c r="P1184" s="643"/>
      <c r="Q1184" s="643"/>
      <c r="R1184" s="280"/>
      <c r="S1184" s="280"/>
      <c r="T1184" s="280"/>
      <c r="U1184" s="280"/>
      <c r="V1184" s="280"/>
      <c r="W1184" s="79"/>
    </row>
    <row r="1185" spans="1:23" ht="15.75">
      <c r="A1185" s="2080"/>
      <c r="B1185" s="705"/>
      <c r="C1185" s="90"/>
      <c r="D1185" s="2081"/>
      <c r="E1185" s="2082"/>
      <c r="F1185" s="1954"/>
      <c r="G1185" s="90"/>
      <c r="H1185" s="90"/>
      <c r="I1185" s="90"/>
      <c r="J1185" s="90"/>
      <c r="K1185" s="90"/>
      <c r="L1185" s="90"/>
      <c r="M1185" s="1956"/>
      <c r="N1185" s="643"/>
      <c r="O1185" s="2083"/>
      <c r="P1185" s="643"/>
      <c r="Q1185" s="643"/>
      <c r="R1185" s="280"/>
      <c r="S1185" s="280"/>
      <c r="T1185" s="280"/>
      <c r="U1185" s="280"/>
      <c r="V1185" s="280"/>
      <c r="W1185" s="79"/>
    </row>
    <row r="1186" spans="1:23" ht="15.75">
      <c r="A1186" s="2080"/>
      <c r="B1186" s="705"/>
      <c r="C1186" s="90"/>
      <c r="D1186" s="2081"/>
      <c r="E1186" s="2082"/>
      <c r="F1186" s="1954"/>
      <c r="G1186" s="90"/>
      <c r="H1186" s="90"/>
      <c r="I1186" s="90"/>
      <c r="J1186" s="90"/>
      <c r="K1186" s="90"/>
      <c r="L1186" s="90"/>
      <c r="M1186" s="1956"/>
      <c r="N1186" s="643"/>
      <c r="O1186" s="2083"/>
      <c r="P1186" s="643"/>
      <c r="Q1186" s="643"/>
      <c r="R1186" s="280"/>
      <c r="S1186" s="280"/>
      <c r="T1186" s="280"/>
      <c r="U1186" s="280"/>
      <c r="V1186" s="280"/>
      <c r="W1186" s="79"/>
    </row>
    <row r="1187" spans="1:23" ht="15.75">
      <c r="A1187" s="2080"/>
      <c r="B1187" s="705"/>
      <c r="C1187" s="90"/>
      <c r="D1187" s="2081"/>
      <c r="E1187" s="2082"/>
      <c r="F1187" s="1954"/>
      <c r="G1187" s="90"/>
      <c r="H1187" s="90"/>
      <c r="I1187" s="90"/>
      <c r="J1187" s="90"/>
      <c r="K1187" s="90"/>
      <c r="L1187" s="90"/>
      <c r="M1187" s="1956"/>
      <c r="N1187" s="643"/>
      <c r="O1187" s="2083"/>
      <c r="P1187" s="643"/>
      <c r="Q1187" s="643"/>
      <c r="R1187" s="280"/>
      <c r="S1187" s="280"/>
      <c r="T1187" s="280"/>
      <c r="U1187" s="280"/>
      <c r="V1187" s="280"/>
      <c r="W1187" s="79"/>
    </row>
    <row r="1188" spans="1:23" ht="15.75">
      <c r="A1188" s="2080"/>
      <c r="B1188" s="705"/>
      <c r="C1188" s="90"/>
      <c r="D1188" s="2081"/>
      <c r="E1188" s="2082"/>
      <c r="F1188" s="1954"/>
      <c r="G1188" s="90"/>
      <c r="H1188" s="90"/>
      <c r="I1188" s="90"/>
      <c r="J1188" s="90"/>
      <c r="K1188" s="90"/>
      <c r="L1188" s="90"/>
      <c r="M1188" s="1956"/>
      <c r="N1188" s="643"/>
      <c r="O1188" s="2083"/>
      <c r="P1188" s="643"/>
      <c r="Q1188" s="643"/>
      <c r="R1188" s="280"/>
      <c r="S1188" s="280"/>
      <c r="T1188" s="280"/>
      <c r="U1188" s="280"/>
      <c r="V1188" s="280"/>
      <c r="W1188" s="79"/>
    </row>
    <row r="1189" spans="1:23" ht="15.75">
      <c r="A1189" s="2080"/>
      <c r="B1189" s="705"/>
      <c r="C1189" s="90"/>
      <c r="D1189" s="2081"/>
      <c r="E1189" s="2082"/>
      <c r="F1189" s="1954"/>
      <c r="G1189" s="90"/>
      <c r="H1189" s="90"/>
      <c r="I1189" s="90"/>
      <c r="J1189" s="90"/>
      <c r="K1189" s="90"/>
      <c r="L1189" s="90"/>
      <c r="M1189" s="1956"/>
      <c r="N1189" s="643"/>
      <c r="O1189" s="2083"/>
      <c r="P1189" s="643"/>
      <c r="Q1189" s="643"/>
      <c r="R1189" s="280"/>
      <c r="S1189" s="280"/>
      <c r="T1189" s="280"/>
      <c r="U1189" s="280"/>
      <c r="V1189" s="280"/>
      <c r="W1189" s="79"/>
    </row>
    <row r="1190" spans="1:23" ht="15.75">
      <c r="A1190" s="2080"/>
      <c r="B1190" s="705"/>
      <c r="C1190" s="90"/>
      <c r="D1190" s="2081"/>
      <c r="E1190" s="2082"/>
      <c r="F1190" s="1954"/>
      <c r="G1190" s="90"/>
      <c r="H1190" s="90"/>
      <c r="I1190" s="90"/>
      <c r="J1190" s="90"/>
      <c r="K1190" s="90"/>
      <c r="L1190" s="90"/>
      <c r="M1190" s="1956"/>
      <c r="N1190" s="643"/>
      <c r="O1190" s="2083"/>
      <c r="P1190" s="643"/>
      <c r="Q1190" s="643"/>
      <c r="R1190" s="280"/>
      <c r="S1190" s="280"/>
      <c r="T1190" s="280"/>
      <c r="U1190" s="280"/>
      <c r="V1190" s="280"/>
      <c r="W1190" s="79"/>
    </row>
    <row r="1191" spans="1:23" ht="15.75">
      <c r="A1191" s="2080"/>
      <c r="B1191" s="705"/>
      <c r="C1191" s="90"/>
      <c r="D1191" s="2081"/>
      <c r="E1191" s="2082"/>
      <c r="F1191" s="1954"/>
      <c r="G1191" s="90"/>
      <c r="H1191" s="90"/>
      <c r="I1191" s="90"/>
      <c r="J1191" s="90"/>
      <c r="K1191" s="90"/>
      <c r="L1191" s="90"/>
      <c r="M1191" s="1956"/>
      <c r="N1191" s="643"/>
      <c r="O1191" s="2083"/>
      <c r="P1191" s="643"/>
      <c r="Q1191" s="643"/>
      <c r="R1191" s="280"/>
      <c r="S1191" s="280"/>
      <c r="T1191" s="280"/>
      <c r="U1191" s="280"/>
      <c r="V1191" s="280"/>
      <c r="W1191" s="79"/>
    </row>
    <row r="1192" spans="1:23" ht="15.75">
      <c r="A1192" s="2080"/>
      <c r="B1192" s="705"/>
      <c r="C1192" s="90"/>
      <c r="D1192" s="2081"/>
      <c r="E1192" s="2082"/>
      <c r="F1192" s="1954"/>
      <c r="G1192" s="90"/>
      <c r="H1192" s="90"/>
      <c r="I1192" s="90"/>
      <c r="J1192" s="90"/>
      <c r="K1192" s="90"/>
      <c r="L1192" s="90"/>
      <c r="M1192" s="1956"/>
      <c r="N1192" s="643"/>
      <c r="O1192" s="2083"/>
      <c r="P1192" s="643"/>
      <c r="Q1192" s="643"/>
      <c r="R1192" s="280"/>
      <c r="S1192" s="280"/>
      <c r="T1192" s="280"/>
      <c r="U1192" s="280"/>
      <c r="V1192" s="280"/>
      <c r="W1192" s="79"/>
    </row>
    <row r="1193" spans="1:23" ht="15.75">
      <c r="A1193" s="2080"/>
      <c r="B1193" s="705"/>
      <c r="C1193" s="90"/>
      <c r="D1193" s="2081"/>
      <c r="E1193" s="2082"/>
      <c r="F1193" s="1954"/>
      <c r="G1193" s="90"/>
      <c r="H1193" s="90"/>
      <c r="I1193" s="90"/>
      <c r="J1193" s="90"/>
      <c r="K1193" s="90"/>
      <c r="L1193" s="90"/>
      <c r="M1193" s="1956"/>
      <c r="N1193" s="643"/>
      <c r="O1193" s="2083"/>
      <c r="P1193" s="643"/>
      <c r="Q1193" s="643"/>
      <c r="R1193" s="280"/>
      <c r="S1193" s="280"/>
      <c r="T1193" s="280"/>
      <c r="U1193" s="280"/>
      <c r="V1193" s="280"/>
      <c r="W1193" s="79"/>
    </row>
    <row r="1194" spans="1:23" ht="15.75">
      <c r="A1194" s="2080"/>
      <c r="B1194" s="705"/>
      <c r="C1194" s="90"/>
      <c r="D1194" s="2081"/>
      <c r="E1194" s="2082"/>
      <c r="F1194" s="1954"/>
      <c r="G1194" s="90"/>
      <c r="H1194" s="90"/>
      <c r="I1194" s="90"/>
      <c r="J1194" s="90"/>
      <c r="K1194" s="90"/>
      <c r="L1194" s="90"/>
      <c r="M1194" s="1956"/>
      <c r="N1194" s="643"/>
      <c r="O1194" s="2083"/>
      <c r="P1194" s="643"/>
      <c r="Q1194" s="643"/>
      <c r="R1194" s="280"/>
      <c r="S1194" s="280"/>
      <c r="T1194" s="280"/>
      <c r="U1194" s="280"/>
      <c r="V1194" s="280"/>
      <c r="W1194" s="79"/>
    </row>
    <row r="1195" spans="1:23" ht="15.75">
      <c r="A1195" s="2080"/>
      <c r="B1195" s="705"/>
      <c r="C1195" s="90"/>
      <c r="D1195" s="2081"/>
      <c r="E1195" s="2082"/>
      <c r="F1195" s="1954"/>
      <c r="G1195" s="90"/>
      <c r="H1195" s="90"/>
      <c r="I1195" s="90"/>
      <c r="J1195" s="90"/>
      <c r="K1195" s="90"/>
      <c r="L1195" s="90"/>
      <c r="M1195" s="1956"/>
      <c r="N1195" s="643"/>
      <c r="O1195" s="2083"/>
      <c r="P1195" s="643"/>
      <c r="Q1195" s="643"/>
      <c r="R1195" s="280"/>
      <c r="S1195" s="280"/>
      <c r="T1195" s="280"/>
      <c r="U1195" s="280"/>
      <c r="V1195" s="280"/>
      <c r="W1195" s="79"/>
    </row>
    <row r="1196" spans="1:23" ht="15.75">
      <c r="A1196" s="2080"/>
      <c r="B1196" s="705"/>
      <c r="C1196" s="90"/>
      <c r="D1196" s="2081"/>
      <c r="E1196" s="2082"/>
      <c r="F1196" s="1954"/>
      <c r="G1196" s="90"/>
      <c r="H1196" s="90"/>
      <c r="I1196" s="90"/>
      <c r="J1196" s="90"/>
      <c r="K1196" s="90"/>
      <c r="L1196" s="90"/>
      <c r="M1196" s="1956"/>
      <c r="N1196" s="643"/>
      <c r="O1196" s="2083"/>
      <c r="P1196" s="643"/>
      <c r="Q1196" s="643"/>
      <c r="R1196" s="280"/>
      <c r="S1196" s="280"/>
      <c r="T1196" s="280"/>
      <c r="U1196" s="280"/>
      <c r="V1196" s="280"/>
      <c r="W1196" s="79"/>
    </row>
    <row r="1197" spans="1:23" ht="15.75">
      <c r="A1197" s="2080"/>
      <c r="B1197" s="705"/>
      <c r="C1197" s="90"/>
      <c r="D1197" s="2081"/>
      <c r="E1197" s="2082"/>
      <c r="F1197" s="1954"/>
      <c r="G1197" s="90"/>
      <c r="H1197" s="90"/>
      <c r="I1197" s="90"/>
      <c r="J1197" s="90"/>
      <c r="K1197" s="90"/>
      <c r="L1197" s="90"/>
      <c r="M1197" s="1956"/>
      <c r="N1197" s="643"/>
      <c r="O1197" s="2083"/>
      <c r="P1197" s="643"/>
      <c r="Q1197" s="643"/>
      <c r="R1197" s="280"/>
      <c r="S1197" s="280"/>
      <c r="T1197" s="280"/>
      <c r="U1197" s="280"/>
      <c r="V1197" s="280"/>
      <c r="W1197" s="79"/>
    </row>
    <row r="1198" spans="1:23" ht="15.75">
      <c r="A1198" s="2080"/>
      <c r="B1198" s="705"/>
      <c r="C1198" s="90"/>
      <c r="D1198" s="2081"/>
      <c r="E1198" s="2082"/>
      <c r="F1198" s="1954"/>
      <c r="G1198" s="90"/>
      <c r="H1198" s="90"/>
      <c r="I1198" s="90"/>
      <c r="J1198" s="90"/>
      <c r="K1198" s="90"/>
      <c r="L1198" s="90"/>
      <c r="M1198" s="1956"/>
      <c r="N1198" s="643"/>
      <c r="O1198" s="2083"/>
      <c r="P1198" s="643"/>
      <c r="Q1198" s="643"/>
      <c r="R1198" s="280"/>
      <c r="S1198" s="280"/>
      <c r="T1198" s="280"/>
      <c r="U1198" s="280"/>
      <c r="V1198" s="280"/>
      <c r="W1198" s="79"/>
    </row>
    <row r="1199" spans="1:23" ht="15.75">
      <c r="A1199" s="2080"/>
      <c r="B1199" s="705"/>
      <c r="C1199" s="90"/>
      <c r="D1199" s="2081"/>
      <c r="E1199" s="2082"/>
      <c r="F1199" s="1954"/>
      <c r="G1199" s="90"/>
      <c r="H1199" s="90"/>
      <c r="I1199" s="90"/>
      <c r="J1199" s="90"/>
      <c r="K1199" s="90"/>
      <c r="L1199" s="90"/>
      <c r="M1199" s="1956"/>
      <c r="N1199" s="643"/>
      <c r="O1199" s="2083"/>
      <c r="P1199" s="643"/>
      <c r="Q1199" s="643"/>
      <c r="R1199" s="280"/>
      <c r="S1199" s="280"/>
      <c r="T1199" s="280"/>
      <c r="U1199" s="280"/>
      <c r="V1199" s="280"/>
      <c r="W1199" s="79"/>
    </row>
    <row r="1200" spans="1:23" ht="15.75">
      <c r="A1200" s="2080"/>
      <c r="B1200" s="705"/>
      <c r="C1200" s="90"/>
      <c r="D1200" s="2081"/>
      <c r="E1200" s="2082"/>
      <c r="F1200" s="1954"/>
      <c r="G1200" s="90"/>
      <c r="H1200" s="90"/>
      <c r="I1200" s="90"/>
      <c r="J1200" s="90"/>
      <c r="K1200" s="90"/>
      <c r="L1200" s="90"/>
      <c r="M1200" s="1956"/>
      <c r="N1200" s="643"/>
      <c r="O1200" s="2083"/>
      <c r="P1200" s="643"/>
      <c r="Q1200" s="643"/>
      <c r="R1200" s="280"/>
      <c r="S1200" s="280"/>
      <c r="T1200" s="280"/>
      <c r="U1200" s="280"/>
      <c r="V1200" s="280"/>
      <c r="W1200" s="79"/>
    </row>
    <row r="1201" spans="1:23" ht="15.75">
      <c r="A1201" s="2080"/>
      <c r="B1201" s="705"/>
      <c r="C1201" s="90"/>
      <c r="D1201" s="2081"/>
      <c r="E1201" s="2082"/>
      <c r="F1201" s="1954"/>
      <c r="G1201" s="90"/>
      <c r="H1201" s="90"/>
      <c r="I1201" s="90"/>
      <c r="J1201" s="90"/>
      <c r="K1201" s="90"/>
      <c r="L1201" s="90"/>
      <c r="M1201" s="1956"/>
      <c r="N1201" s="643"/>
      <c r="O1201" s="2083"/>
      <c r="P1201" s="643"/>
      <c r="Q1201" s="643"/>
      <c r="R1201" s="280"/>
      <c r="S1201" s="280"/>
      <c r="T1201" s="280"/>
      <c r="U1201" s="280"/>
      <c r="V1201" s="280"/>
      <c r="W1201" s="79"/>
    </row>
    <row r="1202" spans="1:23" ht="15.75">
      <c r="A1202" s="2080"/>
      <c r="B1202" s="705"/>
      <c r="C1202" s="90"/>
      <c r="D1202" s="2081"/>
      <c r="E1202" s="2082"/>
      <c r="F1202" s="1954"/>
      <c r="G1202" s="90"/>
      <c r="H1202" s="90"/>
      <c r="I1202" s="90"/>
      <c r="J1202" s="90"/>
      <c r="K1202" s="90"/>
      <c r="L1202" s="90"/>
      <c r="M1202" s="1956"/>
      <c r="N1202" s="643"/>
      <c r="O1202" s="2083"/>
      <c r="P1202" s="643"/>
      <c r="Q1202" s="643"/>
      <c r="R1202" s="280"/>
      <c r="S1202" s="280"/>
      <c r="T1202" s="280"/>
      <c r="U1202" s="280"/>
      <c r="V1202" s="280"/>
      <c r="W1202" s="79"/>
    </row>
    <row r="1203" spans="1:23" ht="15.75">
      <c r="A1203" s="2080"/>
      <c r="B1203" s="705"/>
      <c r="C1203" s="90"/>
      <c r="D1203" s="2081"/>
      <c r="E1203" s="2082"/>
      <c r="F1203" s="1954"/>
      <c r="G1203" s="90"/>
      <c r="H1203" s="90"/>
      <c r="I1203" s="90"/>
      <c r="J1203" s="90"/>
      <c r="K1203" s="90"/>
      <c r="L1203" s="90"/>
      <c r="M1203" s="1956"/>
      <c r="N1203" s="643"/>
      <c r="O1203" s="2083"/>
      <c r="P1203" s="643"/>
      <c r="Q1203" s="643"/>
      <c r="R1203" s="280"/>
      <c r="S1203" s="280"/>
      <c r="T1203" s="280"/>
      <c r="U1203" s="280"/>
      <c r="V1203" s="280"/>
      <c r="W1203" s="79"/>
    </row>
    <row r="1204" spans="1:23" ht="15.75">
      <c r="A1204" s="2080"/>
      <c r="B1204" s="705"/>
      <c r="C1204" s="90"/>
      <c r="D1204" s="2081"/>
      <c r="E1204" s="2082"/>
      <c r="F1204" s="1954"/>
      <c r="G1204" s="90"/>
      <c r="H1204" s="90"/>
      <c r="I1204" s="90"/>
      <c r="J1204" s="90"/>
      <c r="K1204" s="90"/>
      <c r="L1204" s="90"/>
      <c r="M1204" s="1956"/>
      <c r="N1204" s="643"/>
      <c r="O1204" s="2083"/>
      <c r="P1204" s="643"/>
      <c r="Q1204" s="643"/>
      <c r="R1204" s="280"/>
      <c r="S1204" s="280"/>
      <c r="T1204" s="280"/>
      <c r="U1204" s="280"/>
      <c r="V1204" s="280"/>
      <c r="W1204" s="79"/>
    </row>
    <row r="1205" spans="1:23" ht="15.75">
      <c r="A1205" s="2080"/>
      <c r="B1205" s="705"/>
      <c r="C1205" s="90"/>
      <c r="D1205" s="2081"/>
      <c r="E1205" s="2082"/>
      <c r="F1205" s="1954"/>
      <c r="G1205" s="90"/>
      <c r="H1205" s="90"/>
      <c r="I1205" s="90"/>
      <c r="J1205" s="90"/>
      <c r="K1205" s="90"/>
      <c r="L1205" s="90"/>
      <c r="M1205" s="1956"/>
      <c r="N1205" s="643"/>
      <c r="O1205" s="2083"/>
      <c r="P1205" s="643"/>
      <c r="Q1205" s="643"/>
      <c r="R1205" s="280"/>
      <c r="S1205" s="280"/>
      <c r="T1205" s="280"/>
      <c r="U1205" s="280"/>
      <c r="V1205" s="280"/>
      <c r="W1205" s="79"/>
    </row>
    <row r="1206" spans="1:23" ht="15.75">
      <c r="A1206" s="2080"/>
      <c r="B1206" s="705"/>
      <c r="C1206" s="90"/>
      <c r="D1206" s="2081"/>
      <c r="E1206" s="2082"/>
      <c r="F1206" s="1954"/>
      <c r="G1206" s="90"/>
      <c r="H1206" s="90"/>
      <c r="I1206" s="90"/>
      <c r="J1206" s="90"/>
      <c r="K1206" s="90"/>
      <c r="L1206" s="90"/>
      <c r="M1206" s="1956"/>
      <c r="N1206" s="643"/>
      <c r="O1206" s="2083"/>
      <c r="P1206" s="643"/>
      <c r="Q1206" s="643"/>
      <c r="R1206" s="280"/>
      <c r="S1206" s="280"/>
      <c r="T1206" s="280"/>
      <c r="U1206" s="280"/>
      <c r="V1206" s="280"/>
      <c r="W1206" s="79"/>
    </row>
    <row r="1207" spans="1:23" ht="15.75">
      <c r="A1207" s="2080"/>
      <c r="B1207" s="705"/>
      <c r="C1207" s="90"/>
      <c r="D1207" s="2081"/>
      <c r="E1207" s="2082"/>
      <c r="F1207" s="1954"/>
      <c r="G1207" s="90"/>
      <c r="H1207" s="90"/>
      <c r="I1207" s="90"/>
      <c r="J1207" s="90"/>
      <c r="K1207" s="90"/>
      <c r="L1207" s="90"/>
      <c r="M1207" s="1956"/>
      <c r="N1207" s="643"/>
      <c r="O1207" s="2083"/>
      <c r="P1207" s="643"/>
      <c r="Q1207" s="643"/>
      <c r="R1207" s="280"/>
      <c r="S1207" s="280"/>
      <c r="T1207" s="280"/>
      <c r="U1207" s="280"/>
      <c r="V1207" s="280"/>
      <c r="W1207" s="79"/>
    </row>
    <row r="1208" spans="1:23" ht="15.75">
      <c r="A1208" s="2080"/>
      <c r="B1208" s="705"/>
      <c r="C1208" s="90"/>
      <c r="D1208" s="2081"/>
      <c r="E1208" s="2082"/>
      <c r="F1208" s="1954"/>
      <c r="G1208" s="90"/>
      <c r="H1208" s="90"/>
      <c r="I1208" s="90"/>
      <c r="J1208" s="90"/>
      <c r="K1208" s="90"/>
      <c r="L1208" s="90"/>
      <c r="M1208" s="1956"/>
      <c r="N1208" s="643"/>
      <c r="O1208" s="2083"/>
      <c r="P1208" s="643"/>
      <c r="Q1208" s="643"/>
      <c r="R1208" s="280"/>
      <c r="S1208" s="280"/>
      <c r="T1208" s="280"/>
      <c r="U1208" s="280"/>
      <c r="V1208" s="280"/>
      <c r="W1208" s="79"/>
    </row>
    <row r="1209" spans="1:23" ht="15.75">
      <c r="A1209" s="2080"/>
      <c r="B1209" s="705"/>
      <c r="C1209" s="90"/>
      <c r="D1209" s="2081"/>
      <c r="E1209" s="2082"/>
      <c r="F1209" s="1954"/>
      <c r="G1209" s="90"/>
      <c r="H1209" s="90"/>
      <c r="I1209" s="90"/>
      <c r="J1209" s="90"/>
      <c r="K1209" s="90"/>
      <c r="L1209" s="90"/>
      <c r="M1209" s="1956"/>
      <c r="N1209" s="643"/>
      <c r="O1209" s="2083"/>
      <c r="P1209" s="643"/>
      <c r="Q1209" s="643"/>
      <c r="R1209" s="280"/>
      <c r="S1209" s="280"/>
      <c r="T1209" s="280"/>
      <c r="U1209" s="280"/>
      <c r="V1209" s="280"/>
      <c r="W1209" s="79"/>
    </row>
    <row r="1210" spans="1:23" ht="15.75">
      <c r="A1210" s="2080"/>
      <c r="B1210" s="705"/>
      <c r="C1210" s="90"/>
      <c r="D1210" s="2081"/>
      <c r="E1210" s="2082"/>
      <c r="F1210" s="1954"/>
      <c r="G1210" s="90"/>
      <c r="H1210" s="90"/>
      <c r="I1210" s="90"/>
      <c r="J1210" s="90"/>
      <c r="K1210" s="90"/>
      <c r="L1210" s="90"/>
      <c r="M1210" s="1956"/>
      <c r="N1210" s="643"/>
      <c r="O1210" s="2083"/>
      <c r="P1210" s="643"/>
      <c r="Q1210" s="643"/>
      <c r="R1210" s="280"/>
      <c r="S1210" s="280"/>
      <c r="T1210" s="280"/>
      <c r="U1210" s="280"/>
      <c r="V1210" s="280"/>
      <c r="W1210" s="79"/>
    </row>
    <row r="1211" spans="1:23" ht="15.75">
      <c r="A1211" s="2080"/>
      <c r="B1211" s="705"/>
      <c r="C1211" s="90"/>
      <c r="D1211" s="2081"/>
      <c r="E1211" s="2082"/>
      <c r="F1211" s="1954"/>
      <c r="G1211" s="90"/>
      <c r="H1211" s="90"/>
      <c r="I1211" s="90"/>
      <c r="J1211" s="90"/>
      <c r="K1211" s="90"/>
      <c r="L1211" s="90"/>
      <c r="M1211" s="1956"/>
      <c r="N1211" s="643"/>
      <c r="O1211" s="2083"/>
      <c r="P1211" s="643"/>
      <c r="Q1211" s="643"/>
      <c r="R1211" s="280"/>
      <c r="S1211" s="280"/>
      <c r="T1211" s="280"/>
      <c r="U1211" s="280"/>
      <c r="V1211" s="280"/>
      <c r="W1211" s="79"/>
    </row>
    <row r="1212" spans="1:23" ht="15.75">
      <c r="A1212" s="2080"/>
      <c r="B1212" s="705"/>
      <c r="C1212" s="90"/>
      <c r="D1212" s="2081"/>
      <c r="E1212" s="2082"/>
      <c r="F1212" s="1954"/>
      <c r="G1212" s="90"/>
      <c r="H1212" s="90"/>
      <c r="I1212" s="90"/>
      <c r="J1212" s="90"/>
      <c r="K1212" s="90"/>
      <c r="L1212" s="90"/>
      <c r="M1212" s="1956"/>
      <c r="N1212" s="643"/>
      <c r="O1212" s="2083"/>
      <c r="P1212" s="643"/>
      <c r="Q1212" s="643"/>
      <c r="R1212" s="280"/>
      <c r="S1212" s="280"/>
      <c r="T1212" s="280"/>
      <c r="U1212" s="280"/>
      <c r="V1212" s="280"/>
      <c r="W1212" s="79"/>
    </row>
    <row r="1213" spans="1:23" ht="15.75">
      <c r="A1213" s="2080"/>
      <c r="B1213" s="705"/>
      <c r="C1213" s="90"/>
      <c r="D1213" s="2081"/>
      <c r="E1213" s="2082"/>
      <c r="F1213" s="1954"/>
      <c r="G1213" s="90"/>
      <c r="H1213" s="90"/>
      <c r="I1213" s="90"/>
      <c r="J1213" s="90"/>
      <c r="K1213" s="90"/>
      <c r="L1213" s="90"/>
      <c r="M1213" s="1956"/>
      <c r="N1213" s="643"/>
      <c r="O1213" s="2083"/>
      <c r="P1213" s="643"/>
      <c r="Q1213" s="643"/>
      <c r="R1213" s="280"/>
      <c r="S1213" s="280"/>
      <c r="T1213" s="280"/>
      <c r="U1213" s="280"/>
      <c r="V1213" s="280"/>
      <c r="W1213" s="79"/>
    </row>
    <row r="1214" spans="1:23" ht="15.75">
      <c r="A1214" s="2080"/>
      <c r="B1214" s="705"/>
      <c r="C1214" s="90"/>
      <c r="D1214" s="2081"/>
      <c r="E1214" s="2082"/>
      <c r="F1214" s="1954"/>
      <c r="G1214" s="90"/>
      <c r="H1214" s="90"/>
      <c r="I1214" s="90"/>
      <c r="J1214" s="90"/>
      <c r="K1214" s="90"/>
      <c r="L1214" s="90"/>
      <c r="M1214" s="1956"/>
      <c r="N1214" s="643"/>
      <c r="O1214" s="2083"/>
      <c r="P1214" s="643"/>
      <c r="Q1214" s="643"/>
      <c r="R1214" s="280"/>
      <c r="S1214" s="280"/>
      <c r="T1214" s="280"/>
      <c r="U1214" s="280"/>
      <c r="V1214" s="280"/>
      <c r="W1214" s="79"/>
    </row>
    <row r="1215" spans="1:23" ht="15.75">
      <c r="A1215" s="2080"/>
      <c r="B1215" s="705"/>
      <c r="C1215" s="90"/>
      <c r="D1215" s="2081"/>
      <c r="E1215" s="2082"/>
      <c r="F1215" s="1954"/>
      <c r="G1215" s="90"/>
      <c r="H1215" s="90"/>
      <c r="I1215" s="90"/>
      <c r="J1215" s="90"/>
      <c r="K1215" s="90"/>
      <c r="L1215" s="90"/>
      <c r="M1215" s="1956"/>
      <c r="N1215" s="643"/>
      <c r="O1215" s="2083"/>
      <c r="P1215" s="643"/>
      <c r="Q1215" s="643"/>
      <c r="R1215" s="280"/>
      <c r="S1215" s="280"/>
      <c r="T1215" s="280"/>
      <c r="U1215" s="280"/>
      <c r="V1215" s="280"/>
      <c r="W1215" s="79"/>
    </row>
    <row r="1216" spans="1:23" ht="15.75">
      <c r="A1216" s="2080"/>
      <c r="B1216" s="705"/>
      <c r="C1216" s="90"/>
      <c r="D1216" s="2081"/>
      <c r="E1216" s="2082"/>
      <c r="F1216" s="1954"/>
      <c r="G1216" s="90"/>
      <c r="H1216" s="90"/>
      <c r="I1216" s="90"/>
      <c r="J1216" s="90"/>
      <c r="K1216" s="90"/>
      <c r="L1216" s="90"/>
      <c r="M1216" s="1956"/>
      <c r="N1216" s="643"/>
      <c r="O1216" s="2083"/>
      <c r="P1216" s="643"/>
      <c r="Q1216" s="643"/>
      <c r="R1216" s="280"/>
      <c r="S1216" s="280"/>
      <c r="T1216" s="280"/>
      <c r="U1216" s="280"/>
      <c r="V1216" s="280"/>
      <c r="W1216" s="79"/>
    </row>
    <row r="1217" spans="1:23" ht="15.75">
      <c r="A1217" s="2080"/>
      <c r="B1217" s="705"/>
      <c r="C1217" s="90"/>
      <c r="D1217" s="2081"/>
      <c r="E1217" s="2082"/>
      <c r="F1217" s="1954"/>
      <c r="G1217" s="90"/>
      <c r="H1217" s="90"/>
      <c r="I1217" s="90"/>
      <c r="J1217" s="90"/>
      <c r="K1217" s="90"/>
      <c r="L1217" s="90"/>
      <c r="M1217" s="1956"/>
      <c r="N1217" s="643"/>
      <c r="O1217" s="2083"/>
      <c r="P1217" s="643"/>
      <c r="Q1217" s="643"/>
      <c r="R1217" s="280"/>
      <c r="S1217" s="280"/>
      <c r="T1217" s="280"/>
      <c r="U1217" s="280"/>
      <c r="V1217" s="280"/>
      <c r="W1217" s="79"/>
    </row>
    <row r="1218" spans="1:23" ht="15.75">
      <c r="A1218" s="2080"/>
      <c r="B1218" s="705"/>
      <c r="C1218" s="90"/>
      <c r="D1218" s="2081"/>
      <c r="E1218" s="2082"/>
      <c r="F1218" s="1954"/>
      <c r="G1218" s="90"/>
      <c r="H1218" s="90"/>
      <c r="I1218" s="90"/>
      <c r="J1218" s="90"/>
      <c r="K1218" s="90"/>
      <c r="L1218" s="90"/>
      <c r="M1218" s="1956"/>
      <c r="N1218" s="643"/>
      <c r="O1218" s="2083"/>
      <c r="P1218" s="643"/>
      <c r="Q1218" s="643"/>
      <c r="R1218" s="280"/>
      <c r="S1218" s="280"/>
      <c r="T1218" s="280"/>
      <c r="U1218" s="280"/>
      <c r="V1218" s="280"/>
      <c r="W1218" s="79"/>
    </row>
    <row r="1219" spans="1:23" ht="15.75">
      <c r="A1219" s="2080"/>
      <c r="B1219" s="705"/>
      <c r="C1219" s="90"/>
      <c r="D1219" s="2081"/>
      <c r="E1219" s="2082"/>
      <c r="F1219" s="1954"/>
      <c r="G1219" s="90"/>
      <c r="H1219" s="90"/>
      <c r="I1219" s="90"/>
      <c r="J1219" s="90"/>
      <c r="K1219" s="90"/>
      <c r="L1219" s="90"/>
      <c r="M1219" s="1956"/>
      <c r="N1219" s="643"/>
      <c r="O1219" s="2083"/>
      <c r="P1219" s="643"/>
      <c r="Q1219" s="643"/>
      <c r="R1219" s="280"/>
      <c r="S1219" s="280"/>
      <c r="T1219" s="280"/>
      <c r="U1219" s="280"/>
      <c r="V1219" s="280"/>
      <c r="W1219" s="79"/>
    </row>
    <row r="1220" spans="1:23" ht="15.75">
      <c r="A1220" s="2080"/>
      <c r="B1220" s="705"/>
      <c r="C1220" s="90"/>
      <c r="D1220" s="2081"/>
      <c r="E1220" s="2082"/>
      <c r="F1220" s="1954"/>
      <c r="G1220" s="90"/>
      <c r="H1220" s="90"/>
      <c r="I1220" s="90"/>
      <c r="J1220" s="90"/>
      <c r="K1220" s="90"/>
      <c r="L1220" s="90"/>
      <c r="M1220" s="1956"/>
      <c r="N1220" s="643"/>
      <c r="O1220" s="2083"/>
      <c r="P1220" s="643"/>
      <c r="Q1220" s="643"/>
      <c r="R1220" s="280"/>
      <c r="S1220" s="280"/>
      <c r="T1220" s="280"/>
      <c r="U1220" s="280"/>
      <c r="V1220" s="280"/>
      <c r="W1220" s="79"/>
    </row>
    <row r="1221" spans="1:23" ht="15.75">
      <c r="A1221" s="2080"/>
      <c r="B1221" s="705"/>
      <c r="C1221" s="90"/>
      <c r="D1221" s="2081"/>
      <c r="E1221" s="2082"/>
      <c r="F1221" s="1954"/>
      <c r="G1221" s="90"/>
      <c r="H1221" s="90"/>
      <c r="I1221" s="90"/>
      <c r="J1221" s="90"/>
      <c r="K1221" s="90"/>
      <c r="L1221" s="90"/>
      <c r="M1221" s="1956"/>
      <c r="N1221" s="643"/>
      <c r="O1221" s="2083"/>
      <c r="P1221" s="643"/>
      <c r="Q1221" s="643"/>
      <c r="R1221" s="280"/>
      <c r="S1221" s="280"/>
      <c r="T1221" s="280"/>
      <c r="U1221" s="280"/>
      <c r="V1221" s="280"/>
      <c r="W1221" s="79"/>
    </row>
    <row r="1222" spans="1:23" ht="15.75">
      <c r="A1222" s="2080"/>
      <c r="B1222" s="705"/>
      <c r="C1222" s="90"/>
      <c r="D1222" s="2081"/>
      <c r="E1222" s="2082"/>
      <c r="F1222" s="1954"/>
      <c r="G1222" s="90"/>
      <c r="H1222" s="90"/>
      <c r="I1222" s="90"/>
      <c r="J1222" s="90"/>
      <c r="K1222" s="90"/>
      <c r="L1222" s="90"/>
      <c r="M1222" s="1956"/>
      <c r="N1222" s="643"/>
      <c r="O1222" s="2083"/>
      <c r="P1222" s="643"/>
      <c r="Q1222" s="643"/>
      <c r="R1222" s="280"/>
      <c r="S1222" s="280"/>
      <c r="T1222" s="280"/>
      <c r="U1222" s="280"/>
      <c r="V1222" s="280"/>
      <c r="W1222" s="79"/>
    </row>
    <row r="1223" spans="1:23" ht="15.75">
      <c r="A1223" s="2080"/>
      <c r="B1223" s="705"/>
      <c r="C1223" s="90"/>
      <c r="D1223" s="2081"/>
      <c r="E1223" s="2082"/>
      <c r="F1223" s="1954"/>
      <c r="G1223" s="90"/>
      <c r="H1223" s="90"/>
      <c r="I1223" s="90"/>
      <c r="J1223" s="90"/>
      <c r="K1223" s="90"/>
      <c r="L1223" s="90"/>
      <c r="M1223" s="1956"/>
      <c r="N1223" s="643"/>
      <c r="O1223" s="2083"/>
      <c r="P1223" s="643"/>
      <c r="Q1223" s="643"/>
      <c r="R1223" s="280"/>
      <c r="S1223" s="280"/>
      <c r="T1223" s="280"/>
      <c r="U1223" s="280"/>
      <c r="V1223" s="280"/>
      <c r="W1223" s="79"/>
    </row>
    <row r="1224" spans="1:23" ht="15.75">
      <c r="A1224" s="2080"/>
      <c r="B1224" s="705"/>
      <c r="C1224" s="90"/>
      <c r="D1224" s="2081"/>
      <c r="E1224" s="2082"/>
      <c r="F1224" s="1954"/>
      <c r="G1224" s="90"/>
      <c r="H1224" s="90"/>
      <c r="I1224" s="90"/>
      <c r="J1224" s="90"/>
      <c r="K1224" s="90"/>
      <c r="L1224" s="90"/>
      <c r="M1224" s="1956"/>
      <c r="N1224" s="643"/>
      <c r="O1224" s="2083"/>
      <c r="P1224" s="643"/>
      <c r="Q1224" s="643"/>
      <c r="R1224" s="280"/>
      <c r="S1224" s="280"/>
      <c r="T1224" s="280"/>
      <c r="U1224" s="280"/>
      <c r="V1224" s="280"/>
      <c r="W1224" s="79"/>
    </row>
    <row r="1225" spans="1:23" ht="15.75">
      <c r="A1225" s="2080"/>
      <c r="B1225" s="705"/>
      <c r="C1225" s="90"/>
      <c r="D1225" s="2081"/>
      <c r="E1225" s="2082"/>
      <c r="F1225" s="1954"/>
      <c r="G1225" s="90"/>
      <c r="H1225" s="90"/>
      <c r="I1225" s="90"/>
      <c r="J1225" s="90"/>
      <c r="K1225" s="90"/>
      <c r="L1225" s="90"/>
      <c r="M1225" s="1956"/>
      <c r="N1225" s="643"/>
      <c r="O1225" s="2083"/>
      <c r="P1225" s="643"/>
      <c r="Q1225" s="643"/>
      <c r="R1225" s="280"/>
      <c r="S1225" s="280"/>
      <c r="T1225" s="280"/>
      <c r="U1225" s="280"/>
      <c r="V1225" s="280"/>
      <c r="W1225" s="79"/>
    </row>
    <row r="1226" spans="1:23" ht="15.75">
      <c r="A1226" s="2080"/>
      <c r="B1226" s="705"/>
      <c r="C1226" s="90"/>
      <c r="D1226" s="2081"/>
      <c r="E1226" s="2082"/>
      <c r="F1226" s="1954"/>
      <c r="G1226" s="90"/>
      <c r="H1226" s="90"/>
      <c r="I1226" s="90"/>
      <c r="J1226" s="90"/>
      <c r="K1226" s="90"/>
      <c r="L1226" s="90"/>
      <c r="M1226" s="1956"/>
      <c r="N1226" s="643"/>
      <c r="O1226" s="2083"/>
      <c r="P1226" s="643"/>
      <c r="Q1226" s="643"/>
      <c r="R1226" s="280"/>
      <c r="S1226" s="280"/>
      <c r="T1226" s="280"/>
      <c r="U1226" s="280"/>
      <c r="V1226" s="280"/>
      <c r="W1226" s="79"/>
    </row>
    <row r="1227" spans="1:23" ht="15.75">
      <c r="A1227" s="2080"/>
      <c r="B1227" s="705"/>
      <c r="C1227" s="90"/>
      <c r="D1227" s="2081"/>
      <c r="E1227" s="2082"/>
      <c r="F1227" s="1954"/>
      <c r="G1227" s="90"/>
      <c r="H1227" s="90"/>
      <c r="I1227" s="90"/>
      <c r="J1227" s="90"/>
      <c r="K1227" s="90"/>
      <c r="L1227" s="90"/>
      <c r="M1227" s="1956"/>
      <c r="N1227" s="643"/>
      <c r="O1227" s="2083"/>
      <c r="P1227" s="643"/>
      <c r="Q1227" s="643"/>
      <c r="R1227" s="280"/>
      <c r="S1227" s="280"/>
      <c r="T1227" s="280"/>
      <c r="U1227" s="280"/>
      <c r="V1227" s="280"/>
      <c r="W1227" s="79"/>
    </row>
    <row r="1228" spans="1:23" ht="15.75">
      <c r="A1228" s="2080"/>
      <c r="B1228" s="705"/>
      <c r="C1228" s="90"/>
      <c r="D1228" s="2081"/>
      <c r="E1228" s="2082"/>
      <c r="F1228" s="1954"/>
      <c r="G1228" s="90"/>
      <c r="H1228" s="90"/>
      <c r="I1228" s="90"/>
      <c r="J1228" s="90"/>
      <c r="K1228" s="90"/>
      <c r="L1228" s="90"/>
      <c r="M1228" s="1956"/>
      <c r="N1228" s="643"/>
      <c r="O1228" s="2083"/>
      <c r="P1228" s="643"/>
      <c r="Q1228" s="643"/>
      <c r="R1228" s="280"/>
      <c r="S1228" s="280"/>
      <c r="T1228" s="280"/>
      <c r="U1228" s="280"/>
      <c r="V1228" s="280"/>
      <c r="W1228" s="79"/>
    </row>
    <row r="1229" spans="1:23" ht="15.75">
      <c r="A1229" s="2080"/>
      <c r="B1229" s="705"/>
      <c r="C1229" s="90"/>
      <c r="D1229" s="2081"/>
      <c r="E1229" s="2082"/>
      <c r="F1229" s="1954"/>
      <c r="G1229" s="90"/>
      <c r="H1229" s="90"/>
      <c r="I1229" s="90"/>
      <c r="J1229" s="90"/>
      <c r="K1229" s="90"/>
      <c r="L1229" s="90"/>
      <c r="M1229" s="1956"/>
      <c r="N1229" s="643"/>
      <c r="O1229" s="2083"/>
      <c r="P1229" s="643"/>
      <c r="Q1229" s="643"/>
      <c r="R1229" s="280"/>
      <c r="S1229" s="280"/>
      <c r="T1229" s="280"/>
      <c r="U1229" s="280"/>
      <c r="V1229" s="280"/>
      <c r="W1229" s="79"/>
    </row>
    <row r="1230" spans="1:23" ht="15.75">
      <c r="A1230" s="2080"/>
      <c r="B1230" s="705"/>
      <c r="C1230" s="90"/>
      <c r="D1230" s="2081"/>
      <c r="E1230" s="2082"/>
      <c r="F1230" s="1954"/>
      <c r="G1230" s="90"/>
      <c r="H1230" s="90"/>
      <c r="I1230" s="90"/>
      <c r="J1230" s="90"/>
      <c r="K1230" s="90"/>
      <c r="L1230" s="90"/>
      <c r="M1230" s="1956"/>
      <c r="N1230" s="643"/>
      <c r="O1230" s="2083"/>
      <c r="P1230" s="643"/>
      <c r="Q1230" s="643"/>
      <c r="R1230" s="280"/>
      <c r="S1230" s="280"/>
      <c r="T1230" s="280"/>
      <c r="U1230" s="280"/>
      <c r="V1230" s="280"/>
      <c r="W1230" s="79"/>
    </row>
    <row r="1231" spans="1:23" ht="15.75">
      <c r="A1231" s="2080"/>
      <c r="B1231" s="705"/>
      <c r="C1231" s="90"/>
      <c r="D1231" s="2081"/>
      <c r="E1231" s="2082"/>
      <c r="F1231" s="1954"/>
      <c r="G1231" s="90"/>
      <c r="H1231" s="90"/>
      <c r="I1231" s="90"/>
      <c r="J1231" s="90"/>
      <c r="K1231" s="90"/>
      <c r="L1231" s="90"/>
      <c r="M1231" s="1956"/>
      <c r="N1231" s="643"/>
      <c r="O1231" s="2083"/>
      <c r="P1231" s="643"/>
      <c r="Q1231" s="643"/>
      <c r="R1231" s="280"/>
      <c r="S1231" s="280"/>
      <c r="T1231" s="280"/>
      <c r="U1231" s="280"/>
      <c r="V1231" s="280"/>
      <c r="W1231" s="79"/>
    </row>
    <row r="1232" spans="1:23" ht="15.75">
      <c r="A1232" s="2080"/>
      <c r="B1232" s="705"/>
      <c r="C1232" s="90"/>
      <c r="D1232" s="2081"/>
      <c r="E1232" s="2082"/>
      <c r="F1232" s="1954"/>
      <c r="G1232" s="90"/>
      <c r="H1232" s="90"/>
      <c r="I1232" s="90"/>
      <c r="J1232" s="90"/>
      <c r="K1232" s="90"/>
      <c r="L1232" s="90"/>
      <c r="M1232" s="1956"/>
      <c r="N1232" s="643"/>
      <c r="O1232" s="2083"/>
      <c r="P1232" s="643"/>
      <c r="Q1232" s="643"/>
      <c r="R1232" s="280"/>
      <c r="S1232" s="280"/>
      <c r="T1232" s="280"/>
      <c r="U1232" s="280"/>
      <c r="V1232" s="280"/>
      <c r="W1232" s="79"/>
    </row>
    <row r="1233" spans="1:23" ht="15.75">
      <c r="A1233" s="2080"/>
      <c r="B1233" s="705"/>
      <c r="C1233" s="90"/>
      <c r="D1233" s="2081"/>
      <c r="E1233" s="2082"/>
      <c r="F1233" s="1954"/>
      <c r="G1233" s="90"/>
      <c r="H1233" s="90"/>
      <c r="I1233" s="90"/>
      <c r="J1233" s="90"/>
      <c r="K1233" s="90"/>
      <c r="L1233" s="90"/>
      <c r="M1233" s="1956"/>
      <c r="N1233" s="643"/>
      <c r="O1233" s="2083"/>
      <c r="P1233" s="643"/>
      <c r="Q1233" s="643"/>
      <c r="R1233" s="280"/>
      <c r="S1233" s="280"/>
      <c r="T1233" s="280"/>
      <c r="U1233" s="280"/>
      <c r="V1233" s="280"/>
      <c r="W1233" s="79"/>
    </row>
    <row r="1234" spans="1:23" ht="15.75">
      <c r="A1234" s="2080"/>
      <c r="B1234" s="705"/>
      <c r="C1234" s="90"/>
      <c r="D1234" s="2081"/>
      <c r="E1234" s="2082"/>
      <c r="F1234" s="1954"/>
      <c r="G1234" s="90"/>
      <c r="H1234" s="90"/>
      <c r="I1234" s="90"/>
      <c r="J1234" s="90"/>
      <c r="K1234" s="90"/>
      <c r="L1234" s="90"/>
      <c r="M1234" s="1956"/>
      <c r="N1234" s="643"/>
      <c r="O1234" s="2083"/>
      <c r="P1234" s="643"/>
      <c r="Q1234" s="643"/>
      <c r="R1234" s="280"/>
      <c r="S1234" s="280"/>
      <c r="T1234" s="280"/>
      <c r="U1234" s="280"/>
      <c r="V1234" s="280"/>
      <c r="W1234" s="79"/>
    </row>
    <row r="1235" spans="1:23" ht="15.75">
      <c r="A1235" s="2080"/>
      <c r="B1235" s="705"/>
      <c r="C1235" s="90"/>
      <c r="D1235" s="2081"/>
      <c r="E1235" s="2082"/>
      <c r="F1235" s="1954"/>
      <c r="G1235" s="90"/>
      <c r="H1235" s="90"/>
      <c r="I1235" s="90"/>
      <c r="J1235" s="90"/>
      <c r="K1235" s="90"/>
      <c r="L1235" s="90"/>
      <c r="M1235" s="1956"/>
      <c r="N1235" s="643"/>
      <c r="O1235" s="2083"/>
      <c r="P1235" s="643"/>
      <c r="Q1235" s="643"/>
      <c r="R1235" s="280"/>
      <c r="S1235" s="280"/>
      <c r="T1235" s="280"/>
      <c r="U1235" s="280"/>
      <c r="V1235" s="280"/>
      <c r="W1235" s="79"/>
    </row>
    <row r="1236" spans="1:23" ht="15.75">
      <c r="A1236" s="2080"/>
      <c r="B1236" s="705"/>
      <c r="C1236" s="90"/>
      <c r="D1236" s="2081"/>
      <c r="E1236" s="2082"/>
      <c r="F1236" s="1954"/>
      <c r="G1236" s="90"/>
      <c r="H1236" s="90"/>
      <c r="I1236" s="90"/>
      <c r="J1236" s="90"/>
      <c r="K1236" s="90"/>
      <c r="L1236" s="90"/>
      <c r="M1236" s="1956"/>
      <c r="N1236" s="643"/>
      <c r="O1236" s="2083"/>
      <c r="P1236" s="643"/>
      <c r="Q1236" s="643"/>
      <c r="R1236" s="280"/>
      <c r="S1236" s="280"/>
      <c r="T1236" s="280"/>
      <c r="U1236" s="280"/>
      <c r="V1236" s="280"/>
      <c r="W1236" s="79"/>
    </row>
    <row r="1237" spans="1:23" ht="15.75">
      <c r="A1237" s="2080"/>
      <c r="B1237" s="705"/>
      <c r="C1237" s="90"/>
      <c r="D1237" s="2081"/>
      <c r="E1237" s="2082"/>
      <c r="F1237" s="1954"/>
      <c r="G1237" s="90"/>
      <c r="H1237" s="90"/>
      <c r="I1237" s="90"/>
      <c r="J1237" s="90"/>
      <c r="K1237" s="90"/>
      <c r="L1237" s="90"/>
      <c r="M1237" s="1956"/>
      <c r="N1237" s="643"/>
      <c r="O1237" s="2083"/>
      <c r="P1237" s="643"/>
      <c r="Q1237" s="643"/>
      <c r="R1237" s="280"/>
      <c r="S1237" s="280"/>
      <c r="T1237" s="280"/>
      <c r="U1237" s="280"/>
      <c r="V1237" s="280"/>
      <c r="W1237" s="79"/>
    </row>
    <row r="1238" spans="1:23" ht="15.75">
      <c r="A1238" s="2080"/>
      <c r="B1238" s="705"/>
      <c r="C1238" s="90"/>
      <c r="D1238" s="2081"/>
      <c r="E1238" s="2082"/>
      <c r="F1238" s="1954"/>
      <c r="G1238" s="90"/>
      <c r="H1238" s="90"/>
      <c r="I1238" s="90"/>
      <c r="J1238" s="90"/>
      <c r="K1238" s="90"/>
      <c r="L1238" s="90"/>
      <c r="M1238" s="1956"/>
      <c r="N1238" s="643"/>
      <c r="O1238" s="2083"/>
      <c r="P1238" s="643"/>
      <c r="Q1238" s="643"/>
      <c r="R1238" s="280"/>
      <c r="S1238" s="280"/>
      <c r="T1238" s="280"/>
      <c r="U1238" s="280"/>
      <c r="V1238" s="280"/>
      <c r="W1238" s="79"/>
    </row>
    <row r="1239" spans="1:23" ht="15.75">
      <c r="A1239" s="2080"/>
      <c r="B1239" s="705"/>
      <c r="C1239" s="90"/>
      <c r="D1239" s="2081"/>
      <c r="E1239" s="2082"/>
      <c r="F1239" s="1954"/>
      <c r="G1239" s="90"/>
      <c r="H1239" s="90"/>
      <c r="I1239" s="90"/>
      <c r="J1239" s="90"/>
      <c r="K1239" s="90"/>
      <c r="L1239" s="90"/>
      <c r="M1239" s="1956"/>
      <c r="N1239" s="643"/>
      <c r="O1239" s="2083"/>
      <c r="P1239" s="643"/>
      <c r="Q1239" s="643"/>
      <c r="R1239" s="280"/>
      <c r="S1239" s="280"/>
      <c r="T1239" s="280"/>
      <c r="U1239" s="280"/>
      <c r="V1239" s="280"/>
      <c r="W1239" s="79"/>
    </row>
    <row r="1240" spans="1:23" ht="15.75">
      <c r="A1240" s="2080"/>
      <c r="B1240" s="705"/>
      <c r="C1240" s="90"/>
      <c r="D1240" s="2081"/>
      <c r="E1240" s="2082"/>
      <c r="F1240" s="1954"/>
      <c r="G1240" s="90"/>
      <c r="H1240" s="90"/>
      <c r="I1240" s="90"/>
      <c r="J1240" s="90"/>
      <c r="K1240" s="90"/>
      <c r="L1240" s="90"/>
      <c r="M1240" s="1956"/>
      <c r="N1240" s="643"/>
      <c r="O1240" s="2083"/>
      <c r="P1240" s="643"/>
      <c r="Q1240" s="643"/>
      <c r="R1240" s="280"/>
      <c r="S1240" s="280"/>
      <c r="T1240" s="280"/>
      <c r="U1240" s="280"/>
      <c r="V1240" s="280"/>
      <c r="W1240" s="79"/>
    </row>
    <row r="1241" spans="1:23" ht="15.75">
      <c r="A1241" s="2080"/>
      <c r="B1241" s="705"/>
      <c r="C1241" s="90"/>
      <c r="D1241" s="2081"/>
      <c r="E1241" s="2082"/>
      <c r="F1241" s="1954"/>
      <c r="G1241" s="90"/>
      <c r="H1241" s="90"/>
      <c r="I1241" s="90"/>
      <c r="J1241" s="90"/>
      <c r="K1241" s="90"/>
      <c r="L1241" s="90"/>
      <c r="M1241" s="1956"/>
      <c r="N1241" s="643"/>
      <c r="O1241" s="2083"/>
      <c r="P1241" s="643"/>
      <c r="Q1241" s="643"/>
      <c r="R1241" s="280"/>
      <c r="S1241" s="280"/>
      <c r="T1241" s="280"/>
      <c r="U1241" s="280"/>
      <c r="V1241" s="280"/>
      <c r="W1241" s="79"/>
    </row>
    <row r="1242" spans="1:23" ht="15.75">
      <c r="A1242" s="2080"/>
      <c r="B1242" s="705"/>
      <c r="C1242" s="90"/>
      <c r="D1242" s="2081"/>
      <c r="E1242" s="2082"/>
      <c r="F1242" s="1954"/>
      <c r="G1242" s="90"/>
      <c r="H1242" s="90"/>
      <c r="I1242" s="90"/>
      <c r="J1242" s="90"/>
      <c r="K1242" s="90"/>
      <c r="L1242" s="90"/>
      <c r="M1242" s="1956"/>
      <c r="N1242" s="643"/>
      <c r="O1242" s="2083"/>
      <c r="P1242" s="643"/>
      <c r="Q1242" s="643"/>
      <c r="R1242" s="280"/>
      <c r="S1242" s="280"/>
      <c r="T1242" s="280"/>
      <c r="U1242" s="280"/>
      <c r="V1242" s="280"/>
      <c r="W1242" s="79"/>
    </row>
    <row r="1243" spans="1:23" ht="15.75">
      <c r="A1243" s="2080"/>
      <c r="B1243" s="705"/>
      <c r="C1243" s="90"/>
      <c r="D1243" s="2081"/>
      <c r="E1243" s="2082"/>
      <c r="F1243" s="1954"/>
      <c r="G1243" s="90"/>
      <c r="H1243" s="90"/>
      <c r="I1243" s="90"/>
      <c r="J1243" s="90"/>
      <c r="K1243" s="90"/>
      <c r="L1243" s="90"/>
      <c r="M1243" s="1956"/>
      <c r="N1243" s="643"/>
      <c r="O1243" s="2083"/>
      <c r="P1243" s="643"/>
      <c r="Q1243" s="643"/>
      <c r="R1243" s="280"/>
      <c r="S1243" s="280"/>
      <c r="T1243" s="280"/>
      <c r="U1243" s="280"/>
      <c r="V1243" s="280"/>
      <c r="W1243" s="79"/>
    </row>
    <row r="1244" spans="1:23" ht="15.75">
      <c r="A1244" s="2080"/>
      <c r="B1244" s="705"/>
      <c r="C1244" s="90"/>
      <c r="D1244" s="2081"/>
      <c r="E1244" s="2082"/>
      <c r="F1244" s="1954"/>
      <c r="G1244" s="90"/>
      <c r="H1244" s="90"/>
      <c r="I1244" s="90"/>
      <c r="J1244" s="90"/>
      <c r="K1244" s="90"/>
      <c r="L1244" s="90"/>
      <c r="M1244" s="1956"/>
      <c r="N1244" s="643"/>
      <c r="O1244" s="2083"/>
      <c r="P1244" s="643"/>
      <c r="Q1244" s="643"/>
      <c r="R1244" s="280"/>
      <c r="S1244" s="280"/>
      <c r="T1244" s="280"/>
      <c r="U1244" s="280"/>
      <c r="V1244" s="280"/>
      <c r="W1244" s="79"/>
    </row>
    <row r="1245" spans="1:23" ht="15.75">
      <c r="A1245" s="2080"/>
      <c r="B1245" s="705"/>
      <c r="C1245" s="90"/>
      <c r="D1245" s="2081"/>
      <c r="E1245" s="2082"/>
      <c r="F1245" s="1954"/>
      <c r="G1245" s="90"/>
      <c r="H1245" s="90"/>
      <c r="I1245" s="90"/>
      <c r="J1245" s="90"/>
      <c r="K1245" s="90"/>
      <c r="L1245" s="90"/>
      <c r="M1245" s="1956"/>
      <c r="N1245" s="643"/>
      <c r="O1245" s="2083"/>
      <c r="P1245" s="643"/>
      <c r="Q1245" s="643"/>
      <c r="R1245" s="280"/>
      <c r="S1245" s="280"/>
      <c r="T1245" s="280"/>
      <c r="U1245" s="280"/>
      <c r="V1245" s="280"/>
      <c r="W1245" s="79"/>
    </row>
    <row r="1246" spans="1:23" ht="15.75">
      <c r="A1246" s="2080"/>
      <c r="B1246" s="705"/>
      <c r="C1246" s="90"/>
      <c r="D1246" s="2081"/>
      <c r="E1246" s="2082"/>
      <c r="F1246" s="1954"/>
      <c r="G1246" s="90"/>
      <c r="H1246" s="90"/>
      <c r="I1246" s="90"/>
      <c r="J1246" s="90"/>
      <c r="K1246" s="90"/>
      <c r="L1246" s="90"/>
      <c r="M1246" s="1956"/>
      <c r="N1246" s="643"/>
      <c r="O1246" s="2083"/>
      <c r="P1246" s="643"/>
      <c r="Q1246" s="643"/>
      <c r="R1246" s="280"/>
      <c r="S1246" s="280"/>
      <c r="T1246" s="280"/>
      <c r="U1246" s="280"/>
      <c r="V1246" s="280"/>
      <c r="W1246" s="79"/>
    </row>
    <row r="1247" spans="1:23" ht="15.75">
      <c r="A1247" s="2080"/>
      <c r="B1247" s="705"/>
      <c r="C1247" s="90"/>
      <c r="D1247" s="2081"/>
      <c r="E1247" s="2082"/>
      <c r="F1247" s="1954"/>
      <c r="G1247" s="90"/>
      <c r="H1247" s="90"/>
      <c r="I1247" s="90"/>
      <c r="J1247" s="90"/>
      <c r="K1247" s="90"/>
      <c r="L1247" s="90"/>
      <c r="M1247" s="1956"/>
      <c r="N1247" s="643"/>
      <c r="O1247" s="2083"/>
      <c r="P1247" s="643"/>
      <c r="Q1247" s="643"/>
      <c r="R1247" s="280"/>
      <c r="S1247" s="280"/>
      <c r="T1247" s="280"/>
      <c r="U1247" s="280"/>
      <c r="V1247" s="280"/>
      <c r="W1247" s="79"/>
    </row>
    <row r="1248" spans="1:23" ht="15.75">
      <c r="A1248" s="2080"/>
      <c r="B1248" s="705"/>
      <c r="C1248" s="90"/>
      <c r="D1248" s="2081"/>
      <c r="E1248" s="2082"/>
      <c r="F1248" s="1954"/>
      <c r="G1248" s="90"/>
      <c r="H1248" s="90"/>
      <c r="I1248" s="90"/>
      <c r="J1248" s="90"/>
      <c r="K1248" s="90"/>
      <c r="L1248" s="90"/>
      <c r="M1248" s="1956"/>
      <c r="N1248" s="643"/>
      <c r="O1248" s="2083"/>
      <c r="P1248" s="643"/>
      <c r="Q1248" s="643"/>
      <c r="R1248" s="280"/>
      <c r="S1248" s="280"/>
      <c r="T1248" s="280"/>
      <c r="U1248" s="280"/>
      <c r="V1248" s="280"/>
      <c r="W1248" s="79"/>
    </row>
    <row r="1249" spans="1:23" ht="15.75">
      <c r="A1249" s="2080"/>
      <c r="B1249" s="705"/>
      <c r="C1249" s="90"/>
      <c r="D1249" s="2081"/>
      <c r="E1249" s="2082"/>
      <c r="F1249" s="1954"/>
      <c r="G1249" s="90"/>
      <c r="H1249" s="90"/>
      <c r="I1249" s="90"/>
      <c r="J1249" s="90"/>
      <c r="K1249" s="90"/>
      <c r="L1249" s="90"/>
      <c r="M1249" s="1956"/>
      <c r="N1249" s="643"/>
      <c r="O1249" s="2083"/>
      <c r="P1249" s="643"/>
      <c r="Q1249" s="643"/>
      <c r="R1249" s="280"/>
      <c r="S1249" s="280"/>
      <c r="T1249" s="280"/>
      <c r="U1249" s="280"/>
      <c r="V1249" s="280"/>
      <c r="W1249" s="79"/>
    </row>
    <row r="1250" spans="1:23" ht="15.75">
      <c r="A1250" s="2080"/>
      <c r="B1250" s="705"/>
      <c r="C1250" s="90"/>
      <c r="D1250" s="2081"/>
      <c r="E1250" s="2082"/>
      <c r="F1250" s="1954"/>
      <c r="G1250" s="90"/>
      <c r="H1250" s="90"/>
      <c r="I1250" s="90"/>
      <c r="J1250" s="90"/>
      <c r="K1250" s="90"/>
      <c r="L1250" s="90"/>
      <c r="M1250" s="1956"/>
      <c r="N1250" s="643"/>
      <c r="O1250" s="2083"/>
      <c r="P1250" s="643"/>
      <c r="Q1250" s="643"/>
      <c r="R1250" s="280"/>
      <c r="S1250" s="280"/>
      <c r="T1250" s="280"/>
      <c r="U1250" s="280"/>
      <c r="V1250" s="280"/>
      <c r="W1250" s="79"/>
    </row>
    <row r="1251" spans="1:23" ht="15.75">
      <c r="A1251" s="2080"/>
      <c r="B1251" s="705"/>
      <c r="C1251" s="90"/>
      <c r="D1251" s="2081"/>
      <c r="E1251" s="2082"/>
      <c r="F1251" s="1954"/>
      <c r="G1251" s="90"/>
      <c r="H1251" s="90"/>
      <c r="I1251" s="90"/>
      <c r="J1251" s="90"/>
      <c r="K1251" s="90"/>
      <c r="L1251" s="90"/>
      <c r="M1251" s="1956"/>
      <c r="N1251" s="643"/>
      <c r="O1251" s="2083"/>
      <c r="P1251" s="643"/>
      <c r="Q1251" s="643"/>
      <c r="R1251" s="280"/>
      <c r="S1251" s="280"/>
      <c r="T1251" s="280"/>
      <c r="U1251" s="280"/>
      <c r="V1251" s="280"/>
      <c r="W1251" s="79"/>
    </row>
    <row r="1252" spans="1:23" ht="15.75">
      <c r="A1252" s="2080"/>
      <c r="B1252" s="705"/>
      <c r="C1252" s="90"/>
      <c r="D1252" s="2081"/>
      <c r="E1252" s="2082"/>
      <c r="F1252" s="1954"/>
      <c r="G1252" s="90"/>
      <c r="H1252" s="90"/>
      <c r="I1252" s="90"/>
      <c r="J1252" s="90"/>
      <c r="K1252" s="90"/>
      <c r="L1252" s="90"/>
      <c r="M1252" s="1956"/>
      <c r="N1252" s="643"/>
      <c r="O1252" s="2083"/>
      <c r="P1252" s="643"/>
      <c r="Q1252" s="643"/>
      <c r="R1252" s="280"/>
      <c r="S1252" s="280"/>
      <c r="T1252" s="280"/>
      <c r="U1252" s="280"/>
      <c r="V1252" s="280"/>
      <c r="W1252" s="79"/>
    </row>
    <row r="1253" spans="1:23" ht="15.75">
      <c r="A1253" s="2080"/>
      <c r="B1253" s="705"/>
      <c r="C1253" s="90"/>
      <c r="D1253" s="2081"/>
      <c r="E1253" s="2082"/>
      <c r="F1253" s="1954"/>
      <c r="G1253" s="90"/>
      <c r="H1253" s="90"/>
      <c r="I1253" s="90"/>
      <c r="J1253" s="90"/>
      <c r="K1253" s="90"/>
      <c r="L1253" s="90"/>
      <c r="M1253" s="1956"/>
      <c r="N1253" s="643"/>
      <c r="O1253" s="2083"/>
      <c r="P1253" s="643"/>
      <c r="Q1253" s="643"/>
      <c r="R1253" s="280"/>
      <c r="S1253" s="280"/>
      <c r="T1253" s="280"/>
      <c r="U1253" s="280"/>
      <c r="V1253" s="280"/>
      <c r="W1253" s="79"/>
    </row>
    <row r="1254" spans="1:23" ht="15.75">
      <c r="A1254" s="2080"/>
      <c r="B1254" s="705"/>
      <c r="C1254" s="90"/>
      <c r="D1254" s="2081"/>
      <c r="E1254" s="2082"/>
      <c r="F1254" s="1954"/>
      <c r="G1254" s="90"/>
      <c r="H1254" s="90"/>
      <c r="I1254" s="90"/>
      <c r="J1254" s="90"/>
      <c r="K1254" s="90"/>
      <c r="L1254" s="90"/>
      <c r="M1254" s="1956"/>
      <c r="N1254" s="643"/>
      <c r="O1254" s="2083"/>
      <c r="P1254" s="643"/>
      <c r="Q1254" s="643"/>
      <c r="R1254" s="280"/>
      <c r="S1254" s="280"/>
      <c r="T1254" s="280"/>
      <c r="U1254" s="280"/>
      <c r="V1254" s="280"/>
      <c r="W1254" s="79"/>
    </row>
    <row r="1255" spans="1:23" ht="15.75">
      <c r="A1255" s="2080"/>
      <c r="B1255" s="705"/>
      <c r="C1255" s="90"/>
      <c r="D1255" s="2081"/>
      <c r="E1255" s="2082"/>
      <c r="F1255" s="1954"/>
      <c r="G1255" s="90"/>
      <c r="H1255" s="90"/>
      <c r="I1255" s="90"/>
      <c r="J1255" s="90"/>
      <c r="K1255" s="90"/>
      <c r="L1255" s="90"/>
      <c r="M1255" s="1956"/>
      <c r="N1255" s="643"/>
      <c r="O1255" s="2083"/>
      <c r="P1255" s="643"/>
      <c r="Q1255" s="643"/>
      <c r="R1255" s="280"/>
      <c r="S1255" s="280"/>
      <c r="T1255" s="280"/>
      <c r="U1255" s="280"/>
      <c r="V1255" s="280"/>
      <c r="W1255" s="79"/>
    </row>
    <row r="1256" spans="1:23" ht="15.75">
      <c r="A1256" s="2080"/>
      <c r="B1256" s="705"/>
      <c r="C1256" s="90"/>
      <c r="D1256" s="2081"/>
      <c r="E1256" s="2082"/>
      <c r="F1256" s="1954"/>
      <c r="G1256" s="90"/>
      <c r="H1256" s="90"/>
      <c r="I1256" s="90"/>
      <c r="J1256" s="90"/>
      <c r="K1256" s="90"/>
      <c r="L1256" s="90"/>
      <c r="M1256" s="1956"/>
      <c r="N1256" s="643"/>
      <c r="O1256" s="2083"/>
      <c r="P1256" s="643"/>
      <c r="Q1256" s="643"/>
      <c r="R1256" s="280"/>
      <c r="S1256" s="280"/>
      <c r="T1256" s="280"/>
      <c r="U1256" s="280"/>
      <c r="V1256" s="280"/>
      <c r="W1256" s="79"/>
    </row>
    <row r="1257" spans="1:23" ht="15.75">
      <c r="A1257" s="2080"/>
      <c r="B1257" s="705"/>
      <c r="C1257" s="90"/>
      <c r="D1257" s="2081"/>
      <c r="E1257" s="2082"/>
      <c r="F1257" s="1954"/>
      <c r="G1257" s="90"/>
      <c r="H1257" s="90"/>
      <c r="I1257" s="90"/>
      <c r="J1257" s="90"/>
      <c r="K1257" s="90"/>
      <c r="L1257" s="90"/>
      <c r="M1257" s="1956"/>
      <c r="N1257" s="643"/>
      <c r="O1257" s="2083"/>
      <c r="P1257" s="643"/>
      <c r="Q1257" s="643"/>
      <c r="R1257" s="280"/>
      <c r="S1257" s="280"/>
      <c r="T1257" s="280"/>
      <c r="U1257" s="280"/>
      <c r="V1257" s="280"/>
      <c r="W1257" s="79"/>
    </row>
    <row r="1258" spans="1:23" ht="15.75">
      <c r="A1258" s="2080"/>
      <c r="B1258" s="705"/>
      <c r="C1258" s="90"/>
      <c r="D1258" s="2081"/>
      <c r="E1258" s="2082"/>
      <c r="F1258" s="1954"/>
      <c r="G1258" s="90"/>
      <c r="H1258" s="90"/>
      <c r="I1258" s="90"/>
      <c r="J1258" s="90"/>
      <c r="K1258" s="90"/>
      <c r="L1258" s="90"/>
      <c r="M1258" s="1956"/>
      <c r="N1258" s="643"/>
      <c r="O1258" s="2083"/>
      <c r="P1258" s="643"/>
      <c r="Q1258" s="643"/>
      <c r="R1258" s="280"/>
      <c r="S1258" s="280"/>
      <c r="T1258" s="280"/>
      <c r="U1258" s="280"/>
      <c r="V1258" s="280"/>
      <c r="W1258" s="79"/>
    </row>
    <row r="1259" spans="1:23" ht="15.75">
      <c r="A1259" s="2080"/>
      <c r="B1259" s="705"/>
      <c r="C1259" s="90"/>
      <c r="D1259" s="2081"/>
      <c r="E1259" s="2082"/>
      <c r="F1259" s="1954"/>
      <c r="G1259" s="90"/>
      <c r="H1259" s="90"/>
      <c r="I1259" s="90"/>
      <c r="J1259" s="90"/>
      <c r="K1259" s="90"/>
      <c r="L1259" s="90"/>
      <c r="M1259" s="1956"/>
      <c r="N1259" s="643"/>
      <c r="O1259" s="2083"/>
      <c r="P1259" s="643"/>
      <c r="Q1259" s="643"/>
      <c r="R1259" s="280"/>
      <c r="S1259" s="280"/>
      <c r="T1259" s="280"/>
      <c r="U1259" s="280"/>
      <c r="V1259" s="280"/>
      <c r="W1259" s="79"/>
    </row>
    <row r="1260" spans="1:23" ht="15.75">
      <c r="A1260" s="2080"/>
      <c r="B1260" s="705"/>
      <c r="C1260" s="90"/>
      <c r="D1260" s="2081"/>
      <c r="E1260" s="2082"/>
      <c r="F1260" s="1954"/>
      <c r="G1260" s="90"/>
      <c r="H1260" s="90"/>
      <c r="I1260" s="90"/>
      <c r="J1260" s="90"/>
      <c r="K1260" s="90"/>
      <c r="L1260" s="90"/>
      <c r="M1260" s="1956"/>
      <c r="N1260" s="643"/>
      <c r="O1260" s="2083"/>
      <c r="P1260" s="643"/>
      <c r="Q1260" s="643"/>
      <c r="R1260" s="280"/>
      <c r="S1260" s="280"/>
      <c r="T1260" s="280"/>
      <c r="U1260" s="280"/>
      <c r="V1260" s="280"/>
      <c r="W1260" s="79"/>
    </row>
    <row r="1261" spans="1:23" ht="15.75">
      <c r="A1261" s="2080"/>
      <c r="B1261" s="705"/>
      <c r="C1261" s="90"/>
      <c r="D1261" s="2081"/>
      <c r="E1261" s="2082"/>
      <c r="F1261" s="1954"/>
      <c r="G1261" s="90"/>
      <c r="H1261" s="90"/>
      <c r="I1261" s="90"/>
      <c r="J1261" s="90"/>
      <c r="K1261" s="90"/>
      <c r="L1261" s="90"/>
      <c r="M1261" s="1956"/>
      <c r="N1261" s="643"/>
      <c r="O1261" s="2083"/>
      <c r="P1261" s="643"/>
      <c r="Q1261" s="643"/>
      <c r="R1261" s="280"/>
      <c r="S1261" s="280"/>
      <c r="T1261" s="280"/>
      <c r="U1261" s="280"/>
      <c r="V1261" s="280"/>
      <c r="W1261" s="79"/>
    </row>
    <row r="1262" spans="1:23" ht="15.75">
      <c r="A1262" s="2080"/>
      <c r="B1262" s="705"/>
      <c r="C1262" s="90"/>
      <c r="D1262" s="2081"/>
      <c r="E1262" s="2082"/>
      <c r="F1262" s="1954"/>
      <c r="G1262" s="90"/>
      <c r="H1262" s="90"/>
      <c r="I1262" s="90"/>
      <c r="J1262" s="90"/>
      <c r="K1262" s="90"/>
      <c r="L1262" s="90"/>
      <c r="M1262" s="1956"/>
      <c r="N1262" s="643"/>
      <c r="O1262" s="2083"/>
      <c r="P1262" s="643"/>
      <c r="Q1262" s="643"/>
      <c r="R1262" s="280"/>
      <c r="S1262" s="280"/>
      <c r="T1262" s="280"/>
      <c r="U1262" s="280"/>
      <c r="V1262" s="280"/>
      <c r="W1262" s="79"/>
    </row>
    <row r="1263" spans="1:23" ht="15.75">
      <c r="A1263" s="2080"/>
      <c r="B1263" s="705"/>
      <c r="C1263" s="90"/>
      <c r="D1263" s="2081"/>
      <c r="E1263" s="2082"/>
      <c r="F1263" s="1954"/>
      <c r="G1263" s="90"/>
      <c r="H1263" s="90"/>
      <c r="I1263" s="90"/>
      <c r="J1263" s="90"/>
      <c r="K1263" s="90"/>
      <c r="L1263" s="90"/>
      <c r="M1263" s="1956"/>
      <c r="N1263" s="643"/>
      <c r="O1263" s="2083"/>
      <c r="P1263" s="643"/>
      <c r="Q1263" s="643"/>
      <c r="R1263" s="280"/>
      <c r="S1263" s="280"/>
      <c r="T1263" s="280"/>
      <c r="U1263" s="280"/>
      <c r="V1263" s="280"/>
      <c r="W1263" s="79"/>
    </row>
    <row r="1264" spans="1:23" ht="15.75">
      <c r="A1264" s="2080"/>
      <c r="B1264" s="705"/>
      <c r="C1264" s="90"/>
      <c r="D1264" s="2081"/>
      <c r="E1264" s="2082"/>
      <c r="F1264" s="1954"/>
      <c r="G1264" s="90"/>
      <c r="H1264" s="90"/>
      <c r="I1264" s="90"/>
      <c r="J1264" s="90"/>
      <c r="K1264" s="90"/>
      <c r="L1264" s="90"/>
      <c r="M1264" s="1956"/>
      <c r="N1264" s="643"/>
      <c r="O1264" s="2083"/>
      <c r="P1264" s="643"/>
      <c r="Q1264" s="643"/>
      <c r="R1264" s="280"/>
      <c r="S1264" s="280"/>
      <c r="T1264" s="280"/>
      <c r="U1264" s="280"/>
      <c r="V1264" s="280"/>
      <c r="W1264" s="79"/>
    </row>
    <row r="1265" spans="1:23" ht="15.75">
      <c r="A1265" s="2080"/>
      <c r="B1265" s="705"/>
      <c r="C1265" s="90"/>
      <c r="D1265" s="2081"/>
      <c r="E1265" s="2082"/>
      <c r="F1265" s="1954"/>
      <c r="G1265" s="90"/>
      <c r="H1265" s="90"/>
      <c r="I1265" s="90"/>
      <c r="J1265" s="90"/>
      <c r="K1265" s="90"/>
      <c r="L1265" s="90"/>
      <c r="M1265" s="1956"/>
      <c r="N1265" s="643"/>
      <c r="O1265" s="2083"/>
      <c r="P1265" s="643"/>
      <c r="Q1265" s="643"/>
      <c r="R1265" s="280"/>
      <c r="S1265" s="280"/>
      <c r="T1265" s="280"/>
      <c r="U1265" s="280"/>
      <c r="V1265" s="280"/>
      <c r="W1265" s="79"/>
    </row>
    <row r="1266" spans="1:23" ht="15.75">
      <c r="A1266" s="2080"/>
      <c r="B1266" s="705"/>
      <c r="C1266" s="90"/>
      <c r="D1266" s="2081"/>
      <c r="E1266" s="2082"/>
      <c r="F1266" s="1954"/>
      <c r="G1266" s="90"/>
      <c r="H1266" s="90"/>
      <c r="I1266" s="90"/>
      <c r="J1266" s="90"/>
      <c r="K1266" s="90"/>
      <c r="L1266" s="90"/>
      <c r="M1266" s="1956"/>
      <c r="N1266" s="643"/>
      <c r="O1266" s="2083"/>
      <c r="P1266" s="643"/>
      <c r="Q1266" s="643"/>
      <c r="R1266" s="280"/>
      <c r="S1266" s="280"/>
      <c r="T1266" s="280"/>
      <c r="U1266" s="280"/>
      <c r="V1266" s="280"/>
      <c r="W1266" s="79"/>
    </row>
    <row r="1267" spans="1:23" ht="15.75">
      <c r="A1267" s="2080"/>
      <c r="B1267" s="705"/>
      <c r="C1267" s="90"/>
      <c r="D1267" s="2081"/>
      <c r="E1267" s="2082"/>
      <c r="F1267" s="1954"/>
      <c r="G1267" s="90"/>
      <c r="H1267" s="90"/>
      <c r="I1267" s="90"/>
      <c r="J1267" s="90"/>
      <c r="K1267" s="90"/>
      <c r="L1267" s="90"/>
      <c r="M1267" s="1956"/>
      <c r="N1267" s="643"/>
      <c r="O1267" s="2083"/>
      <c r="P1267" s="643"/>
      <c r="Q1267" s="643"/>
      <c r="R1267" s="280"/>
      <c r="S1267" s="280"/>
      <c r="T1267" s="280"/>
      <c r="U1267" s="280"/>
      <c r="V1267" s="280"/>
      <c r="W1267" s="79"/>
    </row>
    <row r="1268" spans="1:23" ht="15.75">
      <c r="A1268" s="2080"/>
      <c r="B1268" s="705"/>
      <c r="C1268" s="90"/>
      <c r="D1268" s="2081"/>
      <c r="E1268" s="2082"/>
      <c r="F1268" s="1954"/>
      <c r="G1268" s="90"/>
      <c r="H1268" s="90"/>
      <c r="I1268" s="90"/>
      <c r="J1268" s="90"/>
      <c r="K1268" s="90"/>
      <c r="L1268" s="90"/>
      <c r="M1268" s="1956"/>
      <c r="N1268" s="643"/>
      <c r="O1268" s="2083"/>
      <c r="P1268" s="643"/>
      <c r="Q1268" s="643"/>
      <c r="R1268" s="280"/>
      <c r="S1268" s="280"/>
      <c r="T1268" s="280"/>
      <c r="U1268" s="280"/>
      <c r="V1268" s="280"/>
      <c r="W1268" s="79"/>
    </row>
    <row r="1269" spans="1:23" ht="15.75">
      <c r="A1269" s="2080"/>
      <c r="B1269" s="705"/>
      <c r="C1269" s="90"/>
      <c r="D1269" s="2081"/>
      <c r="E1269" s="2082"/>
      <c r="F1269" s="1954"/>
      <c r="G1269" s="90"/>
      <c r="H1269" s="90"/>
      <c r="I1269" s="90"/>
      <c r="J1269" s="90"/>
      <c r="K1269" s="90"/>
      <c r="L1269" s="90"/>
      <c r="M1269" s="1956"/>
      <c r="N1269" s="643"/>
      <c r="O1269" s="2083"/>
      <c r="P1269" s="643"/>
      <c r="Q1269" s="643"/>
      <c r="R1269" s="280"/>
      <c r="S1269" s="280"/>
      <c r="T1269" s="280"/>
      <c r="U1269" s="280"/>
      <c r="V1269" s="280"/>
      <c r="W1269" s="79"/>
    </row>
    <row r="1270" spans="1:23" ht="15.75">
      <c r="A1270" s="2080"/>
      <c r="B1270" s="705"/>
      <c r="C1270" s="90"/>
      <c r="D1270" s="2081"/>
      <c r="E1270" s="2082"/>
      <c r="F1270" s="1954"/>
      <c r="G1270" s="90"/>
      <c r="H1270" s="90"/>
      <c r="I1270" s="90"/>
      <c r="J1270" s="90"/>
      <c r="K1270" s="90"/>
      <c r="L1270" s="90"/>
      <c r="M1270" s="1956"/>
      <c r="N1270" s="643"/>
      <c r="O1270" s="2083"/>
      <c r="P1270" s="643"/>
      <c r="Q1270" s="643"/>
      <c r="R1270" s="280"/>
      <c r="S1270" s="280"/>
      <c r="T1270" s="280"/>
      <c r="U1270" s="280"/>
      <c r="V1270" s="280"/>
      <c r="W1270" s="79"/>
    </row>
    <row r="1271" spans="1:23" ht="15.75">
      <c r="A1271" s="2080"/>
      <c r="B1271" s="705"/>
      <c r="C1271" s="90"/>
      <c r="D1271" s="2081"/>
      <c r="E1271" s="2082"/>
      <c r="F1271" s="1954"/>
      <c r="G1271" s="90"/>
      <c r="H1271" s="90"/>
      <c r="I1271" s="90"/>
      <c r="J1271" s="90"/>
      <c r="K1271" s="90"/>
      <c r="L1271" s="90"/>
      <c r="M1271" s="1956"/>
      <c r="N1271" s="643"/>
      <c r="O1271" s="2083"/>
      <c r="P1271" s="643"/>
      <c r="Q1271" s="643"/>
      <c r="R1271" s="280"/>
      <c r="S1271" s="280"/>
      <c r="T1271" s="280"/>
      <c r="U1271" s="280"/>
      <c r="V1271" s="280"/>
      <c r="W1271" s="79"/>
    </row>
    <row r="1272" spans="1:23" ht="15.75">
      <c r="A1272" s="2080"/>
      <c r="B1272" s="705"/>
      <c r="C1272" s="90"/>
      <c r="D1272" s="2081"/>
      <c r="E1272" s="2082"/>
      <c r="F1272" s="1954"/>
      <c r="G1272" s="90"/>
      <c r="H1272" s="90"/>
      <c r="I1272" s="90"/>
      <c r="J1272" s="90"/>
      <c r="K1272" s="90"/>
      <c r="L1272" s="90"/>
      <c r="M1272" s="1956"/>
      <c r="N1272" s="643"/>
      <c r="O1272" s="2083"/>
      <c r="P1272" s="643"/>
      <c r="Q1272" s="643"/>
      <c r="R1272" s="280"/>
      <c r="S1272" s="280"/>
      <c r="T1272" s="280"/>
      <c r="U1272" s="280"/>
      <c r="V1272" s="280"/>
      <c r="W1272" s="79"/>
    </row>
    <row r="1273" spans="1:23" ht="15.75">
      <c r="A1273" s="2080"/>
      <c r="B1273" s="705"/>
      <c r="C1273" s="90"/>
      <c r="D1273" s="2081"/>
      <c r="E1273" s="2082"/>
      <c r="F1273" s="1954"/>
      <c r="G1273" s="90"/>
      <c r="H1273" s="90"/>
      <c r="I1273" s="90"/>
      <c r="J1273" s="90"/>
      <c r="K1273" s="90"/>
      <c r="L1273" s="90"/>
      <c r="M1273" s="1956"/>
      <c r="N1273" s="643"/>
      <c r="O1273" s="2083"/>
      <c r="P1273" s="643"/>
      <c r="Q1273" s="643"/>
      <c r="R1273" s="280"/>
      <c r="S1273" s="280"/>
      <c r="T1273" s="280"/>
      <c r="U1273" s="280"/>
      <c r="V1273" s="280"/>
      <c r="W1273" s="79"/>
    </row>
    <row r="1274" spans="1:23" ht="15.75">
      <c r="A1274" s="2080"/>
      <c r="B1274" s="705"/>
      <c r="C1274" s="90"/>
      <c r="D1274" s="2081"/>
      <c r="E1274" s="2082"/>
      <c r="F1274" s="1954"/>
      <c r="G1274" s="90"/>
      <c r="H1274" s="90"/>
      <c r="I1274" s="90"/>
      <c r="J1274" s="90"/>
      <c r="K1274" s="90"/>
      <c r="L1274" s="90"/>
      <c r="M1274" s="1956"/>
      <c r="N1274" s="643"/>
      <c r="O1274" s="2083"/>
      <c r="P1274" s="643"/>
      <c r="Q1274" s="643"/>
      <c r="R1274" s="280"/>
      <c r="S1274" s="280"/>
      <c r="T1274" s="280"/>
      <c r="U1274" s="280"/>
      <c r="V1274" s="280"/>
      <c r="W1274" s="79"/>
    </row>
    <row r="1275" spans="1:23" ht="15.75">
      <c r="A1275" s="2080"/>
      <c r="B1275" s="705"/>
      <c r="C1275" s="90"/>
      <c r="D1275" s="2081"/>
      <c r="E1275" s="2082"/>
      <c r="F1275" s="1954"/>
      <c r="G1275" s="90"/>
      <c r="H1275" s="90"/>
      <c r="I1275" s="90"/>
      <c r="J1275" s="90"/>
      <c r="K1275" s="90"/>
      <c r="L1275" s="90"/>
      <c r="M1275" s="1956"/>
      <c r="N1275" s="643"/>
      <c r="O1275" s="2083"/>
      <c r="P1275" s="643"/>
      <c r="Q1275" s="643"/>
      <c r="R1275" s="280"/>
      <c r="S1275" s="280"/>
      <c r="T1275" s="280"/>
      <c r="U1275" s="280"/>
      <c r="V1275" s="280"/>
      <c r="W1275" s="79"/>
    </row>
    <row r="1276" spans="1:23" ht="15.75">
      <c r="A1276" s="2080"/>
      <c r="B1276" s="705"/>
      <c r="C1276" s="90"/>
      <c r="D1276" s="2081"/>
      <c r="E1276" s="2082"/>
      <c r="F1276" s="1954"/>
      <c r="G1276" s="90"/>
      <c r="H1276" s="90"/>
      <c r="I1276" s="90"/>
      <c r="J1276" s="90"/>
      <c r="K1276" s="90"/>
      <c r="L1276" s="90"/>
      <c r="M1276" s="1956"/>
      <c r="N1276" s="643"/>
      <c r="O1276" s="2083"/>
      <c r="P1276" s="643"/>
      <c r="Q1276" s="643"/>
      <c r="R1276" s="280"/>
      <c r="S1276" s="280"/>
      <c r="T1276" s="280"/>
      <c r="U1276" s="280"/>
      <c r="V1276" s="280"/>
      <c r="W1276" s="79"/>
    </row>
    <row r="1277" spans="1:23" ht="15.75">
      <c r="A1277" s="2080"/>
      <c r="B1277" s="705"/>
      <c r="C1277" s="90"/>
      <c r="D1277" s="2081"/>
      <c r="E1277" s="2082"/>
      <c r="F1277" s="1954"/>
      <c r="G1277" s="90"/>
      <c r="H1277" s="90"/>
      <c r="I1277" s="90"/>
      <c r="J1277" s="90"/>
      <c r="K1277" s="90"/>
      <c r="L1277" s="90"/>
      <c r="M1277" s="1956"/>
      <c r="N1277" s="643"/>
      <c r="O1277" s="2083"/>
      <c r="P1277" s="643"/>
      <c r="Q1277" s="643"/>
      <c r="R1277" s="280"/>
      <c r="S1277" s="280"/>
      <c r="T1277" s="280"/>
      <c r="U1277" s="280"/>
      <c r="V1277" s="280"/>
      <c r="W1277" s="79"/>
    </row>
    <row r="1278" spans="1:23" ht="15.75">
      <c r="A1278" s="2080"/>
      <c r="B1278" s="705"/>
      <c r="C1278" s="90"/>
      <c r="D1278" s="2081"/>
      <c r="E1278" s="2082"/>
      <c r="F1278" s="1954"/>
      <c r="G1278" s="90"/>
      <c r="H1278" s="90"/>
      <c r="I1278" s="90"/>
      <c r="J1278" s="90"/>
      <c r="K1278" s="90"/>
      <c r="L1278" s="90"/>
      <c r="M1278" s="1956"/>
      <c r="N1278" s="643"/>
      <c r="O1278" s="2083"/>
      <c r="P1278" s="643"/>
      <c r="Q1278" s="643"/>
      <c r="R1278" s="280"/>
      <c r="S1278" s="280"/>
      <c r="T1278" s="280"/>
      <c r="U1278" s="280"/>
      <c r="V1278" s="280"/>
      <c r="W1278" s="79"/>
    </row>
    <row r="1279" spans="1:23" ht="15.75">
      <c r="A1279" s="2080"/>
      <c r="B1279" s="705"/>
      <c r="C1279" s="90"/>
      <c r="D1279" s="2081"/>
      <c r="E1279" s="2082"/>
      <c r="F1279" s="1954"/>
      <c r="G1279" s="90"/>
      <c r="H1279" s="90"/>
      <c r="I1279" s="90"/>
      <c r="J1279" s="90"/>
      <c r="K1279" s="90"/>
      <c r="L1279" s="90"/>
      <c r="M1279" s="1956"/>
      <c r="N1279" s="643"/>
      <c r="O1279" s="2083"/>
      <c r="P1279" s="643"/>
      <c r="Q1279" s="643"/>
      <c r="R1279" s="280"/>
      <c r="S1279" s="280"/>
      <c r="T1279" s="280"/>
      <c r="U1279" s="280"/>
      <c r="V1279" s="280"/>
      <c r="W1279" s="79"/>
    </row>
    <row r="1280" spans="1:23" ht="15.75">
      <c r="A1280" s="2080"/>
      <c r="B1280" s="705"/>
      <c r="C1280" s="90"/>
      <c r="D1280" s="2081"/>
      <c r="E1280" s="2082"/>
      <c r="F1280" s="1954"/>
      <c r="G1280" s="90"/>
      <c r="H1280" s="90"/>
      <c r="I1280" s="90"/>
      <c r="J1280" s="90"/>
      <c r="K1280" s="90"/>
      <c r="L1280" s="90"/>
      <c r="M1280" s="1956"/>
      <c r="N1280" s="643"/>
      <c r="O1280" s="2083"/>
      <c r="P1280" s="643"/>
      <c r="Q1280" s="643"/>
      <c r="R1280" s="280"/>
      <c r="S1280" s="280"/>
      <c r="T1280" s="280"/>
      <c r="U1280" s="280"/>
      <c r="V1280" s="280"/>
      <c r="W1280" s="79"/>
    </row>
    <row r="1281" spans="1:23" ht="15.75">
      <c r="A1281" s="2080"/>
      <c r="B1281" s="705"/>
      <c r="C1281" s="90"/>
      <c r="D1281" s="2081"/>
      <c r="E1281" s="2082"/>
      <c r="F1281" s="1954"/>
      <c r="G1281" s="90"/>
      <c r="H1281" s="90"/>
      <c r="I1281" s="90"/>
      <c r="J1281" s="90"/>
      <c r="K1281" s="90"/>
      <c r="L1281" s="90"/>
      <c r="M1281" s="1956"/>
      <c r="N1281" s="643"/>
      <c r="O1281" s="2083"/>
      <c r="P1281" s="643"/>
      <c r="Q1281" s="643"/>
      <c r="R1281" s="280"/>
      <c r="S1281" s="280"/>
      <c r="T1281" s="280"/>
      <c r="U1281" s="280"/>
      <c r="V1281" s="280"/>
      <c r="W1281" s="79"/>
    </row>
    <row r="1282" spans="1:23" ht="15.75">
      <c r="A1282" s="2080"/>
      <c r="B1282" s="705"/>
      <c r="C1282" s="90"/>
      <c r="D1282" s="2081"/>
      <c r="E1282" s="2082"/>
      <c r="F1282" s="1954"/>
      <c r="G1282" s="90"/>
      <c r="H1282" s="90"/>
      <c r="I1282" s="90"/>
      <c r="J1282" s="90"/>
      <c r="K1282" s="90"/>
      <c r="L1282" s="90"/>
      <c r="M1282" s="1956"/>
      <c r="N1282" s="643"/>
      <c r="O1282" s="2083"/>
      <c r="P1282" s="643"/>
      <c r="Q1282" s="643"/>
      <c r="R1282" s="280"/>
      <c r="S1282" s="280"/>
      <c r="T1282" s="280"/>
      <c r="U1282" s="280"/>
      <c r="V1282" s="280"/>
      <c r="W1282" s="79"/>
    </row>
    <row r="1283" spans="1:23" ht="15.75">
      <c r="A1283" s="2080"/>
      <c r="B1283" s="705"/>
      <c r="C1283" s="90"/>
      <c r="D1283" s="2081"/>
      <c r="E1283" s="2082"/>
      <c r="F1283" s="1954"/>
      <c r="G1283" s="90"/>
      <c r="H1283" s="90"/>
      <c r="I1283" s="90"/>
      <c r="J1283" s="90"/>
      <c r="K1283" s="90"/>
      <c r="L1283" s="90"/>
      <c r="M1283" s="1956"/>
      <c r="N1283" s="643"/>
      <c r="O1283" s="2083"/>
      <c r="P1283" s="643"/>
      <c r="Q1283" s="643"/>
      <c r="R1283" s="280"/>
      <c r="S1283" s="280"/>
      <c r="T1283" s="280"/>
      <c r="U1283" s="280"/>
      <c r="V1283" s="280"/>
      <c r="W1283" s="79"/>
    </row>
    <row r="1284" spans="1:23" ht="15.75">
      <c r="A1284" s="2080"/>
      <c r="B1284" s="705"/>
      <c r="C1284" s="90"/>
      <c r="D1284" s="2081"/>
      <c r="E1284" s="2082"/>
      <c r="F1284" s="1954"/>
      <c r="G1284" s="90"/>
      <c r="H1284" s="90"/>
      <c r="I1284" s="90"/>
      <c r="J1284" s="90"/>
      <c r="K1284" s="90"/>
      <c r="L1284" s="90"/>
      <c r="M1284" s="1956"/>
      <c r="N1284" s="643"/>
      <c r="O1284" s="2083"/>
      <c r="P1284" s="643"/>
      <c r="Q1284" s="643"/>
      <c r="R1284" s="280"/>
      <c r="S1284" s="280"/>
      <c r="T1284" s="280"/>
      <c r="U1284" s="280"/>
      <c r="V1284" s="280"/>
      <c r="W1284" s="79"/>
    </row>
    <row r="1285" spans="1:23" ht="15.75">
      <c r="A1285" s="2080"/>
      <c r="B1285" s="705"/>
      <c r="C1285" s="90"/>
      <c r="D1285" s="2081"/>
      <c r="E1285" s="2082"/>
      <c r="F1285" s="1954"/>
      <c r="G1285" s="90"/>
      <c r="H1285" s="90"/>
      <c r="I1285" s="90"/>
      <c r="J1285" s="90"/>
      <c r="K1285" s="90"/>
      <c r="L1285" s="90"/>
      <c r="M1285" s="1956"/>
      <c r="N1285" s="643"/>
      <c r="O1285" s="2083"/>
      <c r="P1285" s="643"/>
      <c r="Q1285" s="643"/>
      <c r="R1285" s="280"/>
      <c r="S1285" s="280"/>
      <c r="T1285" s="280"/>
      <c r="U1285" s="280"/>
      <c r="V1285" s="280"/>
      <c r="W1285" s="79"/>
    </row>
    <row r="1286" spans="1:23" ht="15.75">
      <c r="A1286" s="2080"/>
      <c r="B1286" s="705"/>
      <c r="C1286" s="90"/>
      <c r="D1286" s="2081"/>
      <c r="E1286" s="2082"/>
      <c r="F1286" s="1954"/>
      <c r="G1286" s="90"/>
      <c r="H1286" s="90"/>
      <c r="I1286" s="90"/>
      <c r="J1286" s="90"/>
      <c r="K1286" s="90"/>
      <c r="L1286" s="90"/>
      <c r="M1286" s="1956"/>
      <c r="N1286" s="643"/>
      <c r="O1286" s="2083"/>
      <c r="P1286" s="643"/>
      <c r="Q1286" s="643"/>
      <c r="R1286" s="280"/>
      <c r="S1286" s="280"/>
      <c r="T1286" s="280"/>
      <c r="U1286" s="280"/>
      <c r="V1286" s="280"/>
      <c r="W1286" s="79"/>
    </row>
    <row r="1287" spans="1:23" ht="15.75">
      <c r="A1287" s="2080"/>
      <c r="B1287" s="705"/>
      <c r="C1287" s="90"/>
      <c r="D1287" s="2081"/>
      <c r="E1287" s="2082"/>
      <c r="F1287" s="1954"/>
      <c r="G1287" s="90"/>
      <c r="H1287" s="90"/>
      <c r="I1287" s="90"/>
      <c r="J1287" s="90"/>
      <c r="K1287" s="90"/>
      <c r="L1287" s="90"/>
      <c r="M1287" s="1956"/>
      <c r="N1287" s="643"/>
      <c r="O1287" s="2083"/>
      <c r="P1287" s="643"/>
      <c r="Q1287" s="643"/>
      <c r="R1287" s="280"/>
      <c r="S1287" s="280"/>
      <c r="T1287" s="280"/>
      <c r="U1287" s="280"/>
      <c r="V1287" s="280"/>
      <c r="W1287" s="79"/>
    </row>
    <row r="1288" spans="1:23" ht="15.75">
      <c r="A1288" s="2080"/>
      <c r="B1288" s="705"/>
      <c r="C1288" s="90"/>
      <c r="D1288" s="2081"/>
      <c r="E1288" s="2082"/>
      <c r="F1288" s="1954"/>
      <c r="G1288" s="90"/>
      <c r="H1288" s="90"/>
      <c r="I1288" s="90"/>
      <c r="J1288" s="90"/>
      <c r="K1288" s="90"/>
      <c r="L1288" s="90"/>
      <c r="M1288" s="1956"/>
      <c r="N1288" s="643"/>
      <c r="O1288" s="2083"/>
      <c r="P1288" s="643"/>
      <c r="Q1288" s="643"/>
      <c r="R1288" s="280"/>
      <c r="S1288" s="280"/>
      <c r="T1288" s="280"/>
      <c r="U1288" s="280"/>
      <c r="V1288" s="280"/>
      <c r="W1288" s="79"/>
    </row>
    <row r="1289" spans="1:23" ht="15.75">
      <c r="A1289" s="2080"/>
      <c r="B1289" s="705"/>
      <c r="C1289" s="90"/>
      <c r="D1289" s="2081"/>
      <c r="E1289" s="2082"/>
      <c r="F1289" s="1954"/>
      <c r="G1289" s="90"/>
      <c r="H1289" s="90"/>
      <c r="I1289" s="90"/>
      <c r="J1289" s="90"/>
      <c r="K1289" s="90"/>
      <c r="L1289" s="90"/>
      <c r="M1289" s="1956"/>
      <c r="N1289" s="643"/>
      <c r="O1289" s="2083"/>
      <c r="P1289" s="643"/>
      <c r="Q1289" s="643"/>
      <c r="R1289" s="280"/>
      <c r="S1289" s="280"/>
      <c r="T1289" s="280"/>
      <c r="U1289" s="280"/>
      <c r="V1289" s="280"/>
      <c r="W1289" s="79"/>
    </row>
    <row r="1290" spans="1:23" ht="15.75">
      <c r="A1290" s="2080"/>
      <c r="B1290" s="705"/>
      <c r="C1290" s="90"/>
      <c r="D1290" s="2081"/>
      <c r="E1290" s="2082"/>
      <c r="F1290" s="1954"/>
      <c r="G1290" s="90"/>
      <c r="H1290" s="90"/>
      <c r="I1290" s="90"/>
      <c r="J1290" s="90"/>
      <c r="K1290" s="90"/>
      <c r="L1290" s="90"/>
      <c r="M1290" s="1956"/>
      <c r="N1290" s="643"/>
      <c r="O1290" s="2083"/>
      <c r="P1290" s="643"/>
      <c r="Q1290" s="643"/>
      <c r="R1290" s="280"/>
      <c r="S1290" s="280"/>
      <c r="T1290" s="280"/>
      <c r="U1290" s="280"/>
      <c r="V1290" s="280"/>
      <c r="W1290" s="79"/>
    </row>
    <row r="1291" spans="1:23" ht="15.75">
      <c r="A1291" s="2080"/>
      <c r="B1291" s="705"/>
      <c r="C1291" s="90"/>
      <c r="D1291" s="2081"/>
      <c r="E1291" s="2082"/>
      <c r="F1291" s="1954"/>
      <c r="G1291" s="90"/>
      <c r="H1291" s="90"/>
      <c r="I1291" s="90"/>
      <c r="J1291" s="90"/>
      <c r="K1291" s="90"/>
      <c r="L1291" s="90"/>
      <c r="M1291" s="1956"/>
      <c r="N1291" s="643"/>
      <c r="O1291" s="2083"/>
      <c r="P1291" s="643"/>
      <c r="Q1291" s="643"/>
      <c r="R1291" s="280"/>
      <c r="S1291" s="280"/>
      <c r="T1291" s="280"/>
      <c r="U1291" s="280"/>
      <c r="V1291" s="280"/>
      <c r="W1291" s="79"/>
    </row>
    <row r="1292" spans="1:23" ht="15.75">
      <c r="A1292" s="2080"/>
      <c r="B1292" s="705"/>
      <c r="C1292" s="90"/>
      <c r="D1292" s="2081"/>
      <c r="E1292" s="2082"/>
      <c r="F1292" s="1954"/>
      <c r="G1292" s="90"/>
      <c r="H1292" s="90"/>
      <c r="I1292" s="90"/>
      <c r="J1292" s="90"/>
      <c r="K1292" s="90"/>
      <c r="L1292" s="90"/>
      <c r="M1292" s="1956"/>
      <c r="N1292" s="643"/>
      <c r="O1292" s="2083"/>
      <c r="P1292" s="643"/>
      <c r="Q1292" s="643"/>
      <c r="R1292" s="280"/>
      <c r="S1292" s="280"/>
      <c r="T1292" s="280"/>
      <c r="U1292" s="280"/>
      <c r="V1292" s="280"/>
      <c r="W1292" s="79"/>
    </row>
    <row r="1293" spans="1:23" ht="15.75">
      <c r="A1293" s="2080"/>
      <c r="B1293" s="705"/>
      <c r="C1293" s="90"/>
      <c r="D1293" s="2081"/>
      <c r="E1293" s="2082"/>
      <c r="F1293" s="1954"/>
      <c r="G1293" s="90"/>
      <c r="H1293" s="90"/>
      <c r="I1293" s="90"/>
      <c r="J1293" s="90"/>
      <c r="K1293" s="90"/>
      <c r="L1293" s="90"/>
      <c r="M1293" s="1956"/>
      <c r="N1293" s="643"/>
      <c r="O1293" s="2083"/>
      <c r="P1293" s="643"/>
      <c r="Q1293" s="643"/>
      <c r="R1293" s="280"/>
      <c r="S1293" s="280"/>
      <c r="T1293" s="280"/>
      <c r="U1293" s="280"/>
      <c r="V1293" s="280"/>
      <c r="W1293" s="79"/>
    </row>
    <row r="1294" spans="1:23" ht="15.75">
      <c r="A1294" s="2080"/>
      <c r="B1294" s="705"/>
      <c r="C1294" s="90"/>
      <c r="D1294" s="2081"/>
      <c r="E1294" s="2082"/>
      <c r="F1294" s="1954"/>
      <c r="G1294" s="90"/>
      <c r="H1294" s="90"/>
      <c r="I1294" s="90"/>
      <c r="J1294" s="90"/>
      <c r="K1294" s="90"/>
      <c r="L1294" s="90"/>
      <c r="M1294" s="1956"/>
      <c r="N1294" s="643"/>
      <c r="O1294" s="2083"/>
      <c r="P1294" s="643"/>
      <c r="Q1294" s="643"/>
      <c r="R1294" s="280"/>
      <c r="S1294" s="280"/>
      <c r="T1294" s="280"/>
      <c r="U1294" s="280"/>
      <c r="V1294" s="280"/>
      <c r="W1294" s="79"/>
    </row>
    <row r="1295" spans="1:23" ht="15.75">
      <c r="A1295" s="2080"/>
      <c r="B1295" s="705"/>
      <c r="C1295" s="90"/>
      <c r="D1295" s="2081"/>
      <c r="E1295" s="2082"/>
      <c r="F1295" s="1954"/>
      <c r="G1295" s="90"/>
      <c r="H1295" s="90"/>
      <c r="I1295" s="90"/>
      <c r="J1295" s="90"/>
      <c r="K1295" s="90"/>
      <c r="L1295" s="90"/>
      <c r="M1295" s="1956"/>
      <c r="N1295" s="643"/>
      <c r="O1295" s="2083"/>
      <c r="P1295" s="643"/>
      <c r="Q1295" s="643"/>
      <c r="R1295" s="280"/>
      <c r="S1295" s="280"/>
      <c r="T1295" s="280"/>
      <c r="U1295" s="280"/>
      <c r="V1295" s="280"/>
      <c r="W1295" s="79"/>
    </row>
    <row r="1296" spans="1:23" ht="15.75">
      <c r="A1296" s="2080"/>
      <c r="B1296" s="705"/>
      <c r="C1296" s="90"/>
      <c r="D1296" s="2081"/>
      <c r="E1296" s="2082"/>
      <c r="F1296" s="1954"/>
      <c r="G1296" s="90"/>
      <c r="H1296" s="90"/>
      <c r="I1296" s="90"/>
      <c r="J1296" s="90"/>
      <c r="K1296" s="90"/>
      <c r="L1296" s="90"/>
      <c r="M1296" s="1956"/>
      <c r="N1296" s="643"/>
      <c r="O1296" s="2083"/>
      <c r="P1296" s="643"/>
      <c r="Q1296" s="643"/>
      <c r="R1296" s="280"/>
      <c r="S1296" s="280"/>
      <c r="T1296" s="280"/>
      <c r="U1296" s="280"/>
      <c r="V1296" s="280"/>
      <c r="W1296" s="79"/>
    </row>
    <row r="1297" spans="1:23" ht="15.75">
      <c r="A1297" s="2080"/>
      <c r="B1297" s="705"/>
      <c r="C1297" s="90"/>
      <c r="D1297" s="2081"/>
      <c r="E1297" s="2082"/>
      <c r="F1297" s="1954"/>
      <c r="G1297" s="90"/>
      <c r="H1297" s="90"/>
      <c r="I1297" s="90"/>
      <c r="J1297" s="90"/>
      <c r="K1297" s="90"/>
      <c r="L1297" s="90"/>
      <c r="M1297" s="1956"/>
      <c r="N1297" s="643"/>
      <c r="O1297" s="2083"/>
      <c r="P1297" s="643"/>
      <c r="Q1297" s="643"/>
      <c r="R1297" s="280"/>
      <c r="S1297" s="280"/>
      <c r="T1297" s="280"/>
      <c r="U1297" s="280"/>
      <c r="V1297" s="280"/>
      <c r="W1297" s="79"/>
    </row>
    <row r="1298" spans="1:23" ht="15.75">
      <c r="A1298" s="2080"/>
      <c r="B1298" s="705"/>
      <c r="C1298" s="90"/>
      <c r="D1298" s="2081"/>
      <c r="E1298" s="2082"/>
      <c r="F1298" s="1954"/>
      <c r="G1298" s="90"/>
      <c r="H1298" s="90"/>
      <c r="I1298" s="90"/>
      <c r="J1298" s="90"/>
      <c r="K1298" s="90"/>
      <c r="L1298" s="90"/>
      <c r="M1298" s="1956"/>
      <c r="N1298" s="643"/>
      <c r="O1298" s="2083"/>
      <c r="P1298" s="643"/>
      <c r="Q1298" s="643"/>
      <c r="R1298" s="280"/>
      <c r="S1298" s="280"/>
      <c r="T1298" s="280"/>
      <c r="U1298" s="280"/>
      <c r="V1298" s="280"/>
      <c r="W1298" s="79"/>
    </row>
    <row r="1299" spans="1:23" ht="15.75">
      <c r="A1299" s="2080"/>
      <c r="B1299" s="705"/>
      <c r="C1299" s="90"/>
      <c r="D1299" s="2081"/>
      <c r="E1299" s="2082"/>
      <c r="F1299" s="1954"/>
      <c r="G1299" s="90"/>
      <c r="H1299" s="90"/>
      <c r="I1299" s="90"/>
      <c r="J1299" s="90"/>
      <c r="K1299" s="90"/>
      <c r="L1299" s="90"/>
      <c r="M1299" s="1956"/>
      <c r="N1299" s="643"/>
      <c r="O1299" s="2083"/>
      <c r="P1299" s="643"/>
      <c r="Q1299" s="643"/>
      <c r="R1299" s="280"/>
      <c r="S1299" s="280"/>
      <c r="T1299" s="280"/>
      <c r="U1299" s="280"/>
      <c r="V1299" s="280"/>
      <c r="W1299" s="79"/>
    </row>
    <row r="1300" spans="1:23" ht="15.75">
      <c r="A1300" s="2080"/>
      <c r="B1300" s="705"/>
      <c r="C1300" s="90"/>
      <c r="D1300" s="2081"/>
      <c r="E1300" s="2082"/>
      <c r="F1300" s="1954"/>
      <c r="G1300" s="90"/>
      <c r="H1300" s="90"/>
      <c r="I1300" s="90"/>
      <c r="J1300" s="90"/>
      <c r="K1300" s="90"/>
      <c r="L1300" s="90"/>
      <c r="M1300" s="1956"/>
      <c r="N1300" s="643"/>
      <c r="O1300" s="2083"/>
      <c r="P1300" s="643"/>
      <c r="Q1300" s="643"/>
      <c r="R1300" s="280"/>
      <c r="S1300" s="280"/>
      <c r="T1300" s="280"/>
      <c r="U1300" s="280"/>
      <c r="V1300" s="280"/>
      <c r="W1300" s="79"/>
    </row>
    <row r="1301" spans="1:23" ht="15.75">
      <c r="A1301" s="2080"/>
      <c r="B1301" s="705"/>
      <c r="C1301" s="90"/>
      <c r="D1301" s="2081"/>
      <c r="E1301" s="2082"/>
      <c r="F1301" s="1954"/>
      <c r="G1301" s="90"/>
      <c r="H1301" s="90"/>
      <c r="I1301" s="90"/>
      <c r="J1301" s="90"/>
      <c r="K1301" s="90"/>
      <c r="L1301" s="90"/>
      <c r="M1301" s="1956"/>
      <c r="N1301" s="643"/>
      <c r="O1301" s="2083"/>
      <c r="P1301" s="643"/>
      <c r="Q1301" s="643"/>
      <c r="R1301" s="280"/>
      <c r="S1301" s="280"/>
      <c r="T1301" s="280"/>
      <c r="U1301" s="280"/>
      <c r="V1301" s="280"/>
      <c r="W1301" s="79"/>
    </row>
    <row r="1302" spans="1:23" ht="15.75">
      <c r="A1302" s="2080"/>
      <c r="B1302" s="705"/>
      <c r="C1302" s="90"/>
      <c r="D1302" s="2081"/>
      <c r="E1302" s="2082"/>
      <c r="F1302" s="1954"/>
      <c r="G1302" s="90"/>
      <c r="H1302" s="90"/>
      <c r="I1302" s="90"/>
      <c r="J1302" s="90"/>
      <c r="K1302" s="90"/>
      <c r="L1302" s="90"/>
      <c r="M1302" s="1956"/>
      <c r="N1302" s="643"/>
      <c r="O1302" s="2083"/>
      <c r="P1302" s="643"/>
      <c r="Q1302" s="643"/>
      <c r="R1302" s="280"/>
      <c r="S1302" s="280"/>
      <c r="T1302" s="280"/>
      <c r="U1302" s="280"/>
      <c r="V1302" s="280"/>
      <c r="W1302" s="79"/>
    </row>
    <row r="1303" spans="1:23" ht="15.75">
      <c r="A1303" s="2080"/>
      <c r="B1303" s="705"/>
      <c r="C1303" s="90"/>
      <c r="D1303" s="2081"/>
      <c r="E1303" s="2082"/>
      <c r="F1303" s="1954"/>
      <c r="G1303" s="90"/>
      <c r="H1303" s="90"/>
      <c r="I1303" s="90"/>
      <c r="J1303" s="90"/>
      <c r="K1303" s="90"/>
      <c r="L1303" s="90"/>
      <c r="M1303" s="1956"/>
      <c r="N1303" s="643"/>
      <c r="O1303" s="2083"/>
      <c r="P1303" s="643"/>
      <c r="Q1303" s="643"/>
      <c r="R1303" s="280"/>
      <c r="S1303" s="280"/>
      <c r="T1303" s="280"/>
      <c r="U1303" s="280"/>
      <c r="V1303" s="280"/>
      <c r="W1303" s="79"/>
    </row>
    <row r="1304" spans="1:23" ht="15.75">
      <c r="A1304" s="2080"/>
      <c r="B1304" s="705"/>
      <c r="C1304" s="90"/>
      <c r="D1304" s="2081"/>
      <c r="E1304" s="2082"/>
      <c r="F1304" s="1954"/>
      <c r="G1304" s="90"/>
      <c r="H1304" s="90"/>
      <c r="I1304" s="90"/>
      <c r="J1304" s="90"/>
      <c r="K1304" s="90"/>
      <c r="L1304" s="90"/>
      <c r="M1304" s="1956"/>
      <c r="N1304" s="643"/>
      <c r="O1304" s="2083"/>
      <c r="P1304" s="643"/>
      <c r="Q1304" s="643"/>
      <c r="R1304" s="280"/>
      <c r="S1304" s="280"/>
      <c r="T1304" s="280"/>
      <c r="U1304" s="280"/>
      <c r="V1304" s="280"/>
      <c r="W1304" s="79"/>
    </row>
    <row r="1305" spans="1:23" ht="15.75">
      <c r="A1305" s="2080"/>
      <c r="B1305" s="705"/>
      <c r="C1305" s="90"/>
      <c r="D1305" s="2081"/>
      <c r="E1305" s="2082"/>
      <c r="F1305" s="1954"/>
      <c r="G1305" s="90"/>
      <c r="H1305" s="90"/>
      <c r="I1305" s="90"/>
      <c r="J1305" s="90"/>
      <c r="K1305" s="90"/>
      <c r="L1305" s="90"/>
      <c r="M1305" s="1956"/>
      <c r="N1305" s="643"/>
      <c r="O1305" s="2083"/>
      <c r="P1305" s="643"/>
      <c r="Q1305" s="643"/>
      <c r="R1305" s="280"/>
      <c r="S1305" s="280"/>
      <c r="T1305" s="280"/>
      <c r="U1305" s="280"/>
      <c r="V1305" s="280"/>
      <c r="W1305" s="79"/>
    </row>
    <row r="1306" spans="1:23" ht="15.75">
      <c r="A1306" s="2080"/>
      <c r="B1306" s="705"/>
      <c r="C1306" s="90"/>
      <c r="D1306" s="2081"/>
      <c r="E1306" s="2082"/>
      <c r="F1306" s="1954"/>
      <c r="G1306" s="90"/>
      <c r="H1306" s="90"/>
      <c r="I1306" s="90"/>
      <c r="J1306" s="90"/>
      <c r="K1306" s="90"/>
      <c r="L1306" s="90"/>
      <c r="M1306" s="1956"/>
      <c r="N1306" s="643"/>
      <c r="O1306" s="2083"/>
      <c r="P1306" s="643"/>
      <c r="Q1306" s="643"/>
      <c r="R1306" s="280"/>
      <c r="S1306" s="280"/>
      <c r="T1306" s="280"/>
      <c r="U1306" s="280"/>
      <c r="V1306" s="280"/>
      <c r="W1306" s="79"/>
    </row>
    <row r="1307" spans="1:23" ht="15.75">
      <c r="A1307" s="2080"/>
      <c r="B1307" s="705"/>
      <c r="C1307" s="90"/>
      <c r="D1307" s="2081"/>
      <c r="E1307" s="2082"/>
      <c r="F1307" s="1954"/>
      <c r="G1307" s="90"/>
      <c r="H1307" s="90"/>
      <c r="I1307" s="90"/>
      <c r="J1307" s="90"/>
      <c r="K1307" s="90"/>
      <c r="L1307" s="90"/>
      <c r="M1307" s="1956"/>
      <c r="N1307" s="643"/>
      <c r="O1307" s="2083"/>
      <c r="P1307" s="643"/>
      <c r="Q1307" s="643"/>
      <c r="R1307" s="280"/>
      <c r="S1307" s="280"/>
      <c r="T1307" s="280"/>
      <c r="U1307" s="280"/>
      <c r="V1307" s="280"/>
      <c r="W1307" s="79"/>
    </row>
    <row r="1308" spans="1:23" ht="15.75">
      <c r="A1308" s="2080"/>
      <c r="B1308" s="705"/>
      <c r="C1308" s="90"/>
      <c r="D1308" s="2081"/>
      <c r="E1308" s="2082"/>
      <c r="F1308" s="1954"/>
      <c r="G1308" s="90"/>
      <c r="H1308" s="90"/>
      <c r="I1308" s="90"/>
      <c r="J1308" s="90"/>
      <c r="K1308" s="90"/>
      <c r="L1308" s="90"/>
      <c r="M1308" s="1956"/>
      <c r="N1308" s="643"/>
      <c r="O1308" s="2083"/>
      <c r="P1308" s="643"/>
      <c r="Q1308" s="643"/>
      <c r="R1308" s="280"/>
      <c r="S1308" s="280"/>
      <c r="T1308" s="280"/>
      <c r="U1308" s="280"/>
      <c r="V1308" s="280"/>
      <c r="W1308" s="79"/>
    </row>
    <row r="1309" spans="1:23" ht="15.75">
      <c r="A1309" s="2080"/>
      <c r="B1309" s="705"/>
      <c r="C1309" s="90"/>
      <c r="D1309" s="2081"/>
      <c r="E1309" s="2082"/>
      <c r="F1309" s="1954"/>
      <c r="G1309" s="90"/>
      <c r="H1309" s="90"/>
      <c r="I1309" s="90"/>
      <c r="J1309" s="90"/>
      <c r="K1309" s="90"/>
      <c r="L1309" s="90"/>
      <c r="M1309" s="1956"/>
      <c r="N1309" s="643"/>
      <c r="O1309" s="2083"/>
      <c r="P1309" s="643"/>
      <c r="Q1309" s="643"/>
      <c r="R1309" s="280"/>
      <c r="S1309" s="280"/>
      <c r="T1309" s="280"/>
      <c r="U1309" s="280"/>
      <c r="V1309" s="280"/>
      <c r="W1309" s="79"/>
    </row>
    <row r="1310" spans="1:23" ht="15.75">
      <c r="A1310" s="2080"/>
      <c r="B1310" s="705"/>
      <c r="C1310" s="90"/>
      <c r="D1310" s="2081"/>
      <c r="E1310" s="2082"/>
      <c r="F1310" s="1954"/>
      <c r="G1310" s="90"/>
      <c r="H1310" s="90"/>
      <c r="I1310" s="90"/>
      <c r="J1310" s="90"/>
      <c r="K1310" s="90"/>
      <c r="L1310" s="90"/>
      <c r="M1310" s="1956"/>
      <c r="N1310" s="643"/>
      <c r="O1310" s="2083"/>
      <c r="P1310" s="643"/>
      <c r="Q1310" s="643"/>
      <c r="R1310" s="280"/>
      <c r="S1310" s="280"/>
      <c r="T1310" s="280"/>
      <c r="U1310" s="280"/>
      <c r="V1310" s="280"/>
      <c r="W1310" s="79"/>
    </row>
    <row r="1311" spans="1:23" ht="15.75">
      <c r="A1311" s="2080"/>
      <c r="B1311" s="705"/>
      <c r="C1311" s="90"/>
      <c r="D1311" s="2081"/>
      <c r="E1311" s="2082"/>
      <c r="F1311" s="1954"/>
      <c r="G1311" s="90"/>
      <c r="H1311" s="90"/>
      <c r="I1311" s="90"/>
      <c r="J1311" s="90"/>
      <c r="K1311" s="90"/>
      <c r="L1311" s="90"/>
      <c r="M1311" s="1956"/>
      <c r="N1311" s="643"/>
      <c r="O1311" s="2083"/>
      <c r="P1311" s="643"/>
      <c r="Q1311" s="643"/>
      <c r="R1311" s="280"/>
      <c r="S1311" s="280"/>
      <c r="T1311" s="280"/>
      <c r="U1311" s="280"/>
      <c r="V1311" s="280"/>
      <c r="W1311" s="79"/>
    </row>
    <row r="1312" spans="1:23" ht="15.75">
      <c r="A1312" s="2080"/>
      <c r="B1312" s="705"/>
      <c r="C1312" s="90"/>
      <c r="D1312" s="2081"/>
      <c r="E1312" s="2082"/>
      <c r="F1312" s="1954"/>
      <c r="G1312" s="90"/>
      <c r="H1312" s="90"/>
      <c r="I1312" s="90"/>
      <c r="J1312" s="90"/>
      <c r="K1312" s="90"/>
      <c r="L1312" s="90"/>
      <c r="M1312" s="1956"/>
      <c r="N1312" s="643"/>
      <c r="O1312" s="2083"/>
      <c r="P1312" s="643"/>
      <c r="Q1312" s="643"/>
      <c r="R1312" s="280"/>
      <c r="S1312" s="280"/>
      <c r="T1312" s="280"/>
      <c r="U1312" s="280"/>
      <c r="V1312" s="280"/>
      <c r="W1312" s="79"/>
    </row>
    <row r="1313" spans="1:23" ht="15.75">
      <c r="A1313" s="2080"/>
      <c r="B1313" s="705"/>
      <c r="C1313" s="90"/>
      <c r="D1313" s="2081"/>
      <c r="E1313" s="2082"/>
      <c r="F1313" s="1954"/>
      <c r="G1313" s="90"/>
      <c r="H1313" s="90"/>
      <c r="I1313" s="90"/>
      <c r="J1313" s="90"/>
      <c r="K1313" s="90"/>
      <c r="L1313" s="90"/>
      <c r="M1313" s="1956"/>
      <c r="N1313" s="643"/>
      <c r="O1313" s="2083"/>
      <c r="P1313" s="643"/>
      <c r="Q1313" s="643"/>
      <c r="R1313" s="280"/>
      <c r="S1313" s="280"/>
      <c r="T1313" s="280"/>
      <c r="U1313" s="280"/>
      <c r="V1313" s="280"/>
      <c r="W1313" s="79"/>
    </row>
    <row r="1314" spans="1:23" ht="15.75">
      <c r="A1314" s="2080"/>
      <c r="B1314" s="705"/>
      <c r="C1314" s="90"/>
      <c r="D1314" s="2081"/>
      <c r="E1314" s="2082"/>
      <c r="F1314" s="1954"/>
      <c r="G1314" s="90"/>
      <c r="H1314" s="90"/>
      <c r="I1314" s="90"/>
      <c r="J1314" s="90"/>
      <c r="K1314" s="90"/>
      <c r="L1314" s="90"/>
      <c r="M1314" s="1956"/>
      <c r="N1314" s="643"/>
      <c r="O1314" s="2083"/>
      <c r="P1314" s="643"/>
      <c r="Q1314" s="643"/>
      <c r="R1314" s="280"/>
      <c r="S1314" s="280"/>
      <c r="T1314" s="280"/>
      <c r="U1314" s="280"/>
      <c r="V1314" s="280"/>
      <c r="W1314" s="79"/>
    </row>
    <row r="1315" spans="1:23" ht="15.75">
      <c r="A1315" s="2080"/>
      <c r="B1315" s="705"/>
      <c r="C1315" s="90"/>
      <c r="D1315" s="2081"/>
      <c r="E1315" s="2082"/>
      <c r="F1315" s="1954"/>
      <c r="G1315" s="90"/>
      <c r="H1315" s="90"/>
      <c r="I1315" s="90"/>
      <c r="J1315" s="90"/>
      <c r="K1315" s="90"/>
      <c r="L1315" s="90"/>
      <c r="M1315" s="1956"/>
      <c r="N1315" s="643"/>
      <c r="O1315" s="2083"/>
      <c r="P1315" s="643"/>
      <c r="Q1315" s="643"/>
      <c r="R1315" s="280"/>
      <c r="S1315" s="280"/>
      <c r="T1315" s="280"/>
      <c r="U1315" s="280"/>
      <c r="V1315" s="280"/>
      <c r="W1315" s="79"/>
    </row>
    <row r="1316" spans="1:23" ht="15.75">
      <c r="A1316" s="2080"/>
      <c r="B1316" s="705"/>
      <c r="C1316" s="90"/>
      <c r="D1316" s="2081"/>
      <c r="E1316" s="2082"/>
      <c r="F1316" s="1954"/>
      <c r="G1316" s="90"/>
      <c r="H1316" s="90"/>
      <c r="I1316" s="90"/>
      <c r="J1316" s="90"/>
      <c r="K1316" s="90"/>
      <c r="L1316" s="90"/>
      <c r="M1316" s="1956"/>
      <c r="N1316" s="643"/>
      <c r="O1316" s="2083"/>
      <c r="P1316" s="643"/>
      <c r="Q1316" s="643"/>
      <c r="R1316" s="280"/>
      <c r="S1316" s="280"/>
      <c r="T1316" s="280"/>
      <c r="U1316" s="280"/>
      <c r="V1316" s="280"/>
      <c r="W1316" s="79"/>
    </row>
    <row r="1317" spans="1:23" ht="15.75">
      <c r="A1317" s="2080"/>
      <c r="B1317" s="705"/>
      <c r="C1317" s="90"/>
      <c r="D1317" s="2081"/>
      <c r="E1317" s="2082"/>
      <c r="F1317" s="1954"/>
      <c r="G1317" s="90"/>
      <c r="H1317" s="90"/>
      <c r="I1317" s="90"/>
      <c r="J1317" s="90"/>
      <c r="K1317" s="90"/>
      <c r="L1317" s="90"/>
      <c r="M1317" s="1956"/>
      <c r="N1317" s="643"/>
      <c r="O1317" s="2083"/>
      <c r="P1317" s="643"/>
      <c r="Q1317" s="643"/>
      <c r="R1317" s="280"/>
      <c r="S1317" s="280"/>
      <c r="T1317" s="280"/>
      <c r="U1317" s="280"/>
      <c r="V1317" s="280"/>
      <c r="W1317" s="79"/>
    </row>
    <row r="1318" spans="1:23" ht="15.75">
      <c r="A1318" s="2080"/>
      <c r="B1318" s="705"/>
      <c r="C1318" s="90"/>
      <c r="D1318" s="2081"/>
      <c r="E1318" s="2082"/>
      <c r="F1318" s="1954"/>
      <c r="G1318" s="90"/>
      <c r="H1318" s="90"/>
      <c r="I1318" s="90"/>
      <c r="J1318" s="90"/>
      <c r="K1318" s="90"/>
      <c r="L1318" s="90"/>
      <c r="M1318" s="1956"/>
      <c r="N1318" s="643"/>
      <c r="O1318" s="2083"/>
      <c r="P1318" s="643"/>
      <c r="Q1318" s="643"/>
      <c r="R1318" s="280"/>
      <c r="S1318" s="280"/>
      <c r="T1318" s="280"/>
      <c r="U1318" s="280"/>
      <c r="V1318" s="280"/>
      <c r="W1318" s="79"/>
    </row>
    <row r="1319" spans="1:23" ht="15.75">
      <c r="A1319" s="2080"/>
      <c r="B1319" s="705"/>
      <c r="C1319" s="90"/>
      <c r="D1319" s="2081"/>
      <c r="E1319" s="2082"/>
      <c r="F1319" s="1954"/>
      <c r="G1319" s="90"/>
      <c r="H1319" s="90"/>
      <c r="I1319" s="90"/>
      <c r="J1319" s="90"/>
      <c r="K1319" s="90"/>
      <c r="L1319" s="90"/>
      <c r="M1319" s="1956"/>
      <c r="N1319" s="643"/>
      <c r="O1319" s="2083"/>
      <c r="P1319" s="643"/>
      <c r="Q1319" s="643"/>
      <c r="R1319" s="280"/>
      <c r="S1319" s="280"/>
      <c r="T1319" s="280"/>
      <c r="U1319" s="280"/>
      <c r="V1319" s="280"/>
      <c r="W1319" s="79"/>
    </row>
    <row r="1320" spans="1:23" ht="15.75">
      <c r="A1320" s="2080"/>
      <c r="B1320" s="705"/>
      <c r="C1320" s="90"/>
      <c r="D1320" s="2081"/>
      <c r="E1320" s="2082"/>
      <c r="F1320" s="1954"/>
      <c r="G1320" s="90"/>
      <c r="H1320" s="90"/>
      <c r="I1320" s="90"/>
      <c r="J1320" s="90"/>
      <c r="K1320" s="90"/>
      <c r="L1320" s="90"/>
      <c r="M1320" s="1956"/>
      <c r="N1320" s="643"/>
      <c r="O1320" s="2083"/>
      <c r="P1320" s="643"/>
      <c r="Q1320" s="643"/>
      <c r="R1320" s="280"/>
      <c r="S1320" s="280"/>
      <c r="T1320" s="280"/>
      <c r="U1320" s="280"/>
      <c r="V1320" s="280"/>
      <c r="W1320" s="79"/>
    </row>
    <row r="1321" spans="1:23" ht="15.75">
      <c r="A1321" s="2080"/>
      <c r="B1321" s="705"/>
      <c r="C1321" s="90"/>
      <c r="D1321" s="2081"/>
      <c r="E1321" s="2082"/>
      <c r="F1321" s="1954"/>
      <c r="G1321" s="90"/>
      <c r="H1321" s="90"/>
      <c r="I1321" s="90"/>
      <c r="J1321" s="90"/>
      <c r="K1321" s="90"/>
      <c r="L1321" s="90"/>
      <c r="M1321" s="1956"/>
      <c r="N1321" s="643"/>
      <c r="O1321" s="2083"/>
      <c r="P1321" s="643"/>
      <c r="Q1321" s="643"/>
      <c r="R1321" s="280"/>
      <c r="S1321" s="280"/>
      <c r="T1321" s="280"/>
      <c r="U1321" s="280"/>
      <c r="V1321" s="280"/>
      <c r="W1321" s="79"/>
    </row>
    <row r="1322" spans="1:23" ht="15.75">
      <c r="A1322" s="2080"/>
      <c r="B1322" s="705"/>
      <c r="C1322" s="90"/>
      <c r="D1322" s="2081"/>
      <c r="E1322" s="2082"/>
      <c r="F1322" s="1954"/>
      <c r="G1322" s="90"/>
      <c r="H1322" s="90"/>
      <c r="I1322" s="90"/>
      <c r="J1322" s="90"/>
      <c r="K1322" s="90"/>
      <c r="L1322" s="90"/>
      <c r="M1322" s="1956"/>
      <c r="N1322" s="643"/>
      <c r="O1322" s="2083"/>
      <c r="P1322" s="643"/>
      <c r="Q1322" s="643"/>
      <c r="R1322" s="280"/>
      <c r="S1322" s="280"/>
      <c r="T1322" s="280"/>
      <c r="U1322" s="280"/>
      <c r="V1322" s="280"/>
      <c r="W1322" s="79"/>
    </row>
    <row r="1323" spans="1:23" ht="15.75">
      <c r="A1323" s="2080"/>
      <c r="B1323" s="705"/>
      <c r="C1323" s="90"/>
      <c r="D1323" s="2081"/>
      <c r="E1323" s="2082"/>
      <c r="F1323" s="1954"/>
      <c r="G1323" s="90"/>
      <c r="H1323" s="90"/>
      <c r="I1323" s="90"/>
      <c r="J1323" s="90"/>
      <c r="K1323" s="90"/>
      <c r="L1323" s="90"/>
      <c r="M1323" s="1956"/>
      <c r="N1323" s="643"/>
      <c r="O1323" s="2083"/>
      <c r="P1323" s="643"/>
      <c r="Q1323" s="643"/>
      <c r="R1323" s="280"/>
      <c r="S1323" s="280"/>
      <c r="T1323" s="280"/>
      <c r="U1323" s="280"/>
      <c r="V1323" s="280"/>
      <c r="W1323" s="79"/>
    </row>
    <row r="1324" spans="1:23" ht="15.75">
      <c r="A1324" s="2080"/>
      <c r="B1324" s="705"/>
      <c r="C1324" s="90"/>
      <c r="D1324" s="2081"/>
      <c r="E1324" s="2082"/>
      <c r="F1324" s="1954"/>
      <c r="G1324" s="90"/>
      <c r="H1324" s="90"/>
      <c r="I1324" s="90"/>
      <c r="J1324" s="90"/>
      <c r="K1324" s="90"/>
      <c r="L1324" s="90"/>
      <c r="M1324" s="1956"/>
      <c r="N1324" s="643"/>
      <c r="O1324" s="2083"/>
      <c r="P1324" s="643"/>
      <c r="Q1324" s="643"/>
      <c r="R1324" s="280"/>
      <c r="S1324" s="280"/>
      <c r="T1324" s="280"/>
      <c r="U1324" s="280"/>
      <c r="V1324" s="280"/>
      <c r="W1324" s="79"/>
    </row>
    <row r="1325" spans="1:23" ht="15.75">
      <c r="A1325" s="2080"/>
      <c r="B1325" s="705"/>
      <c r="C1325" s="90"/>
      <c r="D1325" s="2081"/>
      <c r="E1325" s="2082"/>
      <c r="F1325" s="1954"/>
      <c r="G1325" s="90"/>
      <c r="H1325" s="90"/>
      <c r="I1325" s="90"/>
      <c r="J1325" s="90"/>
      <c r="K1325" s="90"/>
      <c r="L1325" s="90"/>
      <c r="M1325" s="1956"/>
      <c r="N1325" s="643"/>
      <c r="O1325" s="2083"/>
      <c r="P1325" s="643"/>
      <c r="Q1325" s="643"/>
      <c r="R1325" s="280"/>
      <c r="S1325" s="280"/>
      <c r="T1325" s="280"/>
      <c r="U1325" s="280"/>
      <c r="V1325" s="280"/>
      <c r="W1325" s="79"/>
    </row>
    <row r="1326" spans="1:23" ht="15.75">
      <c r="A1326" s="2080"/>
      <c r="B1326" s="705"/>
      <c r="C1326" s="90"/>
      <c r="D1326" s="2081"/>
      <c r="E1326" s="2082"/>
      <c r="F1326" s="1954"/>
      <c r="G1326" s="90"/>
      <c r="H1326" s="90"/>
      <c r="I1326" s="90"/>
      <c r="J1326" s="90"/>
      <c r="K1326" s="90"/>
      <c r="L1326" s="90"/>
      <c r="M1326" s="1956"/>
      <c r="N1326" s="643"/>
      <c r="O1326" s="2083"/>
      <c r="P1326" s="643"/>
      <c r="Q1326" s="643"/>
      <c r="R1326" s="280"/>
      <c r="S1326" s="280"/>
      <c r="T1326" s="280"/>
      <c r="U1326" s="280"/>
      <c r="V1326" s="280"/>
      <c r="W1326" s="79"/>
    </row>
    <row r="1327" spans="1:23" ht="15.75">
      <c r="A1327" s="2080"/>
      <c r="B1327" s="705"/>
      <c r="C1327" s="90"/>
      <c r="D1327" s="2081"/>
      <c r="E1327" s="2082"/>
      <c r="F1327" s="1954"/>
      <c r="G1327" s="90"/>
      <c r="H1327" s="90"/>
      <c r="I1327" s="90"/>
      <c r="J1327" s="90"/>
      <c r="K1327" s="90"/>
      <c r="L1327" s="90"/>
      <c r="M1327" s="1956"/>
      <c r="N1327" s="643"/>
      <c r="O1327" s="2083"/>
      <c r="P1327" s="643"/>
      <c r="Q1327" s="643"/>
      <c r="R1327" s="280"/>
      <c r="S1327" s="280"/>
      <c r="T1327" s="280"/>
      <c r="U1327" s="280"/>
      <c r="V1327" s="280"/>
      <c r="W1327" s="79"/>
    </row>
    <row r="1328" spans="1:23" ht="15.75">
      <c r="A1328" s="2080"/>
      <c r="B1328" s="705"/>
      <c r="C1328" s="90"/>
      <c r="D1328" s="2081"/>
      <c r="E1328" s="2082"/>
      <c r="F1328" s="1954"/>
      <c r="G1328" s="90"/>
      <c r="H1328" s="90"/>
      <c r="I1328" s="90"/>
      <c r="J1328" s="90"/>
      <c r="K1328" s="90"/>
      <c r="L1328" s="90"/>
      <c r="M1328" s="1956"/>
      <c r="N1328" s="643"/>
      <c r="O1328" s="2083"/>
      <c r="P1328" s="643"/>
      <c r="Q1328" s="643"/>
      <c r="R1328" s="280"/>
      <c r="S1328" s="280"/>
      <c r="T1328" s="280"/>
      <c r="U1328" s="280"/>
      <c r="V1328" s="280"/>
      <c r="W1328" s="79"/>
    </row>
    <row r="1329" spans="1:23" ht="15.75">
      <c r="A1329" s="2080"/>
      <c r="B1329" s="705"/>
      <c r="C1329" s="90"/>
      <c r="D1329" s="2081"/>
      <c r="E1329" s="2082"/>
      <c r="F1329" s="1954"/>
      <c r="G1329" s="90"/>
      <c r="H1329" s="90"/>
      <c r="I1329" s="90"/>
      <c r="J1329" s="90"/>
      <c r="K1329" s="90"/>
      <c r="L1329" s="90"/>
      <c r="M1329" s="1956"/>
      <c r="N1329" s="643"/>
      <c r="O1329" s="2083"/>
      <c r="P1329" s="643"/>
      <c r="Q1329" s="643"/>
      <c r="R1329" s="280"/>
      <c r="S1329" s="280"/>
      <c r="T1329" s="280"/>
      <c r="U1329" s="280"/>
      <c r="V1329" s="280"/>
      <c r="W1329" s="79"/>
    </row>
    <row r="1330" spans="1:23" ht="15.75">
      <c r="A1330" s="2080"/>
      <c r="B1330" s="705"/>
      <c r="C1330" s="90"/>
      <c r="D1330" s="2081"/>
      <c r="E1330" s="2082"/>
      <c r="F1330" s="1954"/>
      <c r="G1330" s="90"/>
      <c r="H1330" s="90"/>
      <c r="I1330" s="90"/>
      <c r="J1330" s="90"/>
      <c r="K1330" s="90"/>
      <c r="L1330" s="90"/>
      <c r="M1330" s="1956"/>
      <c r="N1330" s="643"/>
      <c r="O1330" s="2083"/>
      <c r="P1330" s="643"/>
      <c r="Q1330" s="643"/>
      <c r="R1330" s="280"/>
      <c r="S1330" s="280"/>
      <c r="T1330" s="280"/>
      <c r="U1330" s="280"/>
      <c r="V1330" s="280"/>
      <c r="W1330" s="79"/>
    </row>
    <row r="1331" spans="1:23" ht="15.75">
      <c r="A1331" s="2080"/>
      <c r="B1331" s="705"/>
      <c r="C1331" s="90"/>
      <c r="D1331" s="2081"/>
      <c r="E1331" s="2082"/>
      <c r="F1331" s="1954"/>
      <c r="G1331" s="90"/>
      <c r="H1331" s="90"/>
      <c r="I1331" s="90"/>
      <c r="J1331" s="90"/>
      <c r="K1331" s="90"/>
      <c r="L1331" s="90"/>
      <c r="M1331" s="1956"/>
      <c r="N1331" s="643"/>
      <c r="O1331" s="2083"/>
      <c r="P1331" s="643"/>
      <c r="Q1331" s="643"/>
      <c r="R1331" s="280"/>
      <c r="S1331" s="280"/>
      <c r="T1331" s="280"/>
      <c r="U1331" s="280"/>
      <c r="V1331" s="280"/>
      <c r="W1331" s="79"/>
    </row>
    <row r="1332" spans="1:23" ht="15.75">
      <c r="A1332" s="2080"/>
      <c r="B1332" s="705"/>
      <c r="C1332" s="90"/>
      <c r="D1332" s="2081"/>
      <c r="E1332" s="2082"/>
      <c r="F1332" s="1954"/>
      <c r="G1332" s="90"/>
      <c r="H1332" s="90"/>
      <c r="I1332" s="90"/>
      <c r="J1332" s="90"/>
      <c r="K1332" s="90"/>
      <c r="L1332" s="90"/>
      <c r="M1332" s="1956"/>
      <c r="N1332" s="643"/>
      <c r="O1332" s="2083"/>
      <c r="P1332" s="643"/>
      <c r="Q1332" s="643"/>
      <c r="R1332" s="280"/>
      <c r="S1332" s="280"/>
      <c r="T1332" s="280"/>
      <c r="U1332" s="280"/>
      <c r="V1332" s="280"/>
      <c r="W1332" s="79"/>
    </row>
    <row r="1333" spans="1:23" ht="15.75">
      <c r="A1333" s="2080"/>
      <c r="B1333" s="705"/>
      <c r="C1333" s="90"/>
      <c r="D1333" s="2081"/>
      <c r="E1333" s="2082"/>
      <c r="F1333" s="1954"/>
      <c r="G1333" s="90"/>
      <c r="H1333" s="90"/>
      <c r="I1333" s="90"/>
      <c r="J1333" s="90"/>
      <c r="K1333" s="90"/>
      <c r="L1333" s="90"/>
      <c r="M1333" s="1956"/>
      <c r="N1333" s="643"/>
      <c r="O1333" s="2083"/>
      <c r="P1333" s="643"/>
      <c r="Q1333" s="643"/>
      <c r="R1333" s="280"/>
      <c r="S1333" s="280"/>
      <c r="T1333" s="280"/>
      <c r="U1333" s="280"/>
      <c r="V1333" s="280"/>
      <c r="W1333" s="79"/>
    </row>
    <row r="1334" spans="1:23" ht="15.75">
      <c r="A1334" s="2080"/>
      <c r="B1334" s="705"/>
      <c r="C1334" s="90"/>
      <c r="D1334" s="2081"/>
      <c r="E1334" s="2082"/>
      <c r="F1334" s="1954"/>
      <c r="G1334" s="90"/>
      <c r="H1334" s="90"/>
      <c r="I1334" s="90"/>
      <c r="J1334" s="90"/>
      <c r="K1334" s="90"/>
      <c r="L1334" s="90"/>
      <c r="M1334" s="1956"/>
      <c r="N1334" s="643"/>
      <c r="O1334" s="2083"/>
      <c r="P1334" s="643"/>
      <c r="Q1334" s="643"/>
      <c r="R1334" s="280"/>
      <c r="S1334" s="280"/>
      <c r="T1334" s="280"/>
      <c r="U1334" s="280"/>
      <c r="V1334" s="280"/>
      <c r="W1334" s="79"/>
    </row>
    <row r="1335" spans="1:23" ht="15.75">
      <c r="A1335" s="2080"/>
      <c r="B1335" s="705"/>
      <c r="C1335" s="90"/>
      <c r="D1335" s="2081"/>
      <c r="E1335" s="2082"/>
      <c r="F1335" s="1954"/>
      <c r="G1335" s="90"/>
      <c r="H1335" s="90"/>
      <c r="I1335" s="90"/>
      <c r="J1335" s="90"/>
      <c r="K1335" s="90"/>
      <c r="L1335" s="90"/>
      <c r="M1335" s="1956"/>
      <c r="N1335" s="643"/>
      <c r="O1335" s="2083"/>
      <c r="P1335" s="643"/>
      <c r="Q1335" s="643"/>
      <c r="R1335" s="280"/>
      <c r="S1335" s="280"/>
      <c r="T1335" s="280"/>
      <c r="U1335" s="280"/>
      <c r="V1335" s="280"/>
      <c r="W1335" s="79"/>
    </row>
    <row r="1336" spans="1:23" ht="15.75">
      <c r="A1336" s="2080"/>
      <c r="B1336" s="705"/>
      <c r="C1336" s="90"/>
      <c r="D1336" s="2081"/>
      <c r="E1336" s="2082"/>
      <c r="F1336" s="1954"/>
      <c r="G1336" s="90"/>
      <c r="H1336" s="90"/>
      <c r="I1336" s="90"/>
      <c r="J1336" s="90"/>
      <c r="K1336" s="90"/>
      <c r="L1336" s="90"/>
      <c r="M1336" s="1956"/>
      <c r="N1336" s="643"/>
      <c r="O1336" s="2083"/>
      <c r="P1336" s="643"/>
      <c r="Q1336" s="643"/>
      <c r="R1336" s="280"/>
      <c r="S1336" s="280"/>
      <c r="T1336" s="280"/>
      <c r="U1336" s="280"/>
      <c r="V1336" s="280"/>
      <c r="W1336" s="79"/>
    </row>
    <row r="1337" spans="1:23" ht="15.75">
      <c r="A1337" s="2080"/>
      <c r="B1337" s="705"/>
      <c r="C1337" s="90"/>
      <c r="D1337" s="2081"/>
      <c r="E1337" s="2082"/>
      <c r="F1337" s="1954"/>
      <c r="G1337" s="90"/>
      <c r="H1337" s="90"/>
      <c r="I1337" s="90"/>
      <c r="J1337" s="90"/>
      <c r="K1337" s="90"/>
      <c r="L1337" s="90"/>
      <c r="M1337" s="1956"/>
      <c r="N1337" s="643"/>
      <c r="O1337" s="2083"/>
      <c r="P1337" s="643"/>
      <c r="Q1337" s="643"/>
      <c r="R1337" s="280"/>
      <c r="S1337" s="280"/>
      <c r="T1337" s="280"/>
      <c r="U1337" s="280"/>
      <c r="V1337" s="280"/>
      <c r="W1337" s="79"/>
    </row>
    <row r="1338" spans="1:23" ht="15.75">
      <c r="A1338" s="2080"/>
      <c r="B1338" s="705"/>
      <c r="C1338" s="90"/>
      <c r="D1338" s="2081"/>
      <c r="E1338" s="2082"/>
      <c r="F1338" s="1954"/>
      <c r="G1338" s="90"/>
      <c r="H1338" s="90"/>
      <c r="I1338" s="90"/>
      <c r="J1338" s="90"/>
      <c r="K1338" s="90"/>
      <c r="L1338" s="90"/>
      <c r="M1338" s="1956"/>
      <c r="N1338" s="643"/>
      <c r="O1338" s="2083"/>
      <c r="P1338" s="643"/>
      <c r="Q1338" s="643"/>
      <c r="R1338" s="280"/>
      <c r="S1338" s="280"/>
      <c r="T1338" s="280"/>
      <c r="U1338" s="280"/>
      <c r="V1338" s="280"/>
      <c r="W1338" s="79"/>
    </row>
    <row r="1339" spans="1:23" ht="15.75">
      <c r="A1339" s="2080"/>
      <c r="B1339" s="705"/>
      <c r="C1339" s="90"/>
      <c r="D1339" s="2081"/>
      <c r="E1339" s="2082"/>
      <c r="F1339" s="1954"/>
      <c r="G1339" s="90"/>
      <c r="H1339" s="90"/>
      <c r="I1339" s="90"/>
      <c r="J1339" s="90"/>
      <c r="K1339" s="90"/>
      <c r="L1339" s="90"/>
      <c r="M1339" s="1956"/>
      <c r="N1339" s="643"/>
      <c r="O1339" s="2083"/>
      <c r="P1339" s="643"/>
      <c r="Q1339" s="643"/>
      <c r="R1339" s="280"/>
      <c r="S1339" s="280"/>
      <c r="T1339" s="280"/>
      <c r="U1339" s="280"/>
      <c r="V1339" s="280"/>
      <c r="W1339" s="79"/>
    </row>
    <row r="1340" spans="1:23" ht="15.75">
      <c r="A1340" s="2080"/>
      <c r="B1340" s="705"/>
      <c r="C1340" s="90"/>
      <c r="D1340" s="2081"/>
      <c r="E1340" s="2082"/>
      <c r="F1340" s="1954"/>
      <c r="G1340" s="90"/>
      <c r="H1340" s="90"/>
      <c r="I1340" s="90"/>
      <c r="J1340" s="90"/>
      <c r="K1340" s="90"/>
      <c r="L1340" s="90"/>
      <c r="M1340" s="1956"/>
      <c r="N1340" s="643"/>
      <c r="O1340" s="2083"/>
      <c r="P1340" s="643"/>
      <c r="Q1340" s="643"/>
      <c r="R1340" s="280"/>
      <c r="S1340" s="280"/>
      <c r="T1340" s="280"/>
      <c r="U1340" s="280"/>
      <c r="V1340" s="280"/>
      <c r="W1340" s="79"/>
    </row>
    <row r="1341" spans="1:23" ht="15.75">
      <c r="A1341" s="2080"/>
      <c r="B1341" s="705"/>
      <c r="C1341" s="90"/>
      <c r="D1341" s="2081"/>
      <c r="E1341" s="2082"/>
      <c r="F1341" s="1954"/>
      <c r="G1341" s="90"/>
      <c r="H1341" s="90"/>
      <c r="I1341" s="90"/>
      <c r="J1341" s="90"/>
      <c r="K1341" s="90"/>
      <c r="L1341" s="90"/>
      <c r="M1341" s="1956"/>
      <c r="N1341" s="643"/>
      <c r="O1341" s="2083"/>
      <c r="P1341" s="643"/>
      <c r="Q1341" s="643"/>
      <c r="R1341" s="280"/>
      <c r="S1341" s="280"/>
      <c r="T1341" s="280"/>
      <c r="U1341" s="280"/>
      <c r="V1341" s="280"/>
      <c r="W1341" s="79"/>
    </row>
    <row r="1342" spans="1:23" ht="15.75">
      <c r="A1342" s="2080"/>
      <c r="B1342" s="705"/>
      <c r="C1342" s="90"/>
      <c r="D1342" s="2081"/>
      <c r="E1342" s="2082"/>
      <c r="F1342" s="1954"/>
      <c r="G1342" s="90"/>
      <c r="H1342" s="90"/>
      <c r="I1342" s="90"/>
      <c r="J1342" s="90"/>
      <c r="K1342" s="90"/>
      <c r="L1342" s="90"/>
      <c r="M1342" s="1956"/>
      <c r="N1342" s="643"/>
      <c r="O1342" s="2083"/>
      <c r="P1342" s="643"/>
      <c r="Q1342" s="643"/>
      <c r="R1342" s="280"/>
      <c r="S1342" s="280"/>
      <c r="T1342" s="280"/>
      <c r="U1342" s="280"/>
      <c r="V1342" s="280"/>
      <c r="W1342" s="79"/>
    </row>
    <row r="1343" spans="1:23" ht="15.75">
      <c r="A1343" s="2080"/>
      <c r="B1343" s="705"/>
      <c r="C1343" s="90"/>
      <c r="D1343" s="2081"/>
      <c r="E1343" s="2082"/>
      <c r="F1343" s="1954"/>
      <c r="G1343" s="90"/>
      <c r="H1343" s="90"/>
      <c r="I1343" s="90"/>
      <c r="J1343" s="90"/>
      <c r="K1343" s="90"/>
      <c r="L1343" s="90"/>
      <c r="M1343" s="1956"/>
      <c r="N1343" s="643"/>
      <c r="O1343" s="2083"/>
      <c r="P1343" s="643"/>
      <c r="Q1343" s="643"/>
      <c r="R1343" s="280"/>
      <c r="S1343" s="280"/>
      <c r="T1343" s="280"/>
      <c r="U1343" s="280"/>
      <c r="V1343" s="280"/>
      <c r="W1343" s="79"/>
    </row>
    <row r="1344" spans="1:23" ht="15.75">
      <c r="A1344" s="2080"/>
      <c r="B1344" s="705"/>
      <c r="C1344" s="90"/>
      <c r="D1344" s="2081"/>
      <c r="E1344" s="2082"/>
      <c r="F1344" s="1954"/>
      <c r="G1344" s="90"/>
      <c r="H1344" s="90"/>
      <c r="I1344" s="90"/>
      <c r="J1344" s="90"/>
      <c r="K1344" s="90"/>
      <c r="L1344" s="90"/>
      <c r="M1344" s="1956"/>
      <c r="N1344" s="643"/>
      <c r="O1344" s="2083"/>
      <c r="P1344" s="643"/>
      <c r="Q1344" s="643"/>
      <c r="R1344" s="280"/>
      <c r="S1344" s="280"/>
      <c r="T1344" s="280"/>
      <c r="U1344" s="280"/>
      <c r="V1344" s="280"/>
      <c r="W1344" s="79"/>
    </row>
    <row r="1345" spans="1:23" ht="15.75">
      <c r="A1345" s="2080"/>
      <c r="B1345" s="705"/>
      <c r="C1345" s="90"/>
      <c r="D1345" s="2081"/>
      <c r="E1345" s="2082"/>
      <c r="F1345" s="1954"/>
      <c r="G1345" s="90"/>
      <c r="H1345" s="90"/>
      <c r="I1345" s="90"/>
      <c r="J1345" s="90"/>
      <c r="K1345" s="90"/>
      <c r="L1345" s="90"/>
      <c r="M1345" s="1956"/>
      <c r="N1345" s="643"/>
      <c r="O1345" s="2083"/>
      <c r="P1345" s="643"/>
      <c r="Q1345" s="643"/>
      <c r="R1345" s="280"/>
      <c r="S1345" s="280"/>
      <c r="T1345" s="280"/>
      <c r="U1345" s="280"/>
      <c r="V1345" s="280"/>
      <c r="W1345" s="79"/>
    </row>
    <row r="1346" spans="1:23" ht="15.75">
      <c r="A1346" s="2080"/>
      <c r="B1346" s="705"/>
      <c r="C1346" s="90"/>
      <c r="D1346" s="2081"/>
      <c r="E1346" s="2082"/>
      <c r="F1346" s="1954"/>
      <c r="G1346" s="90"/>
      <c r="H1346" s="90"/>
      <c r="I1346" s="90"/>
      <c r="J1346" s="90"/>
      <c r="K1346" s="90"/>
      <c r="L1346" s="90"/>
      <c r="M1346" s="1956"/>
      <c r="N1346" s="643"/>
      <c r="O1346" s="2083"/>
      <c r="P1346" s="643"/>
      <c r="Q1346" s="643"/>
      <c r="R1346" s="280"/>
      <c r="S1346" s="280"/>
      <c r="T1346" s="280"/>
      <c r="U1346" s="280"/>
      <c r="V1346" s="280"/>
      <c r="W1346" s="79"/>
    </row>
    <row r="1347" spans="1:23" ht="15.75">
      <c r="A1347" s="2080"/>
      <c r="B1347" s="705"/>
      <c r="C1347" s="90"/>
      <c r="D1347" s="2081"/>
      <c r="E1347" s="2082"/>
      <c r="F1347" s="1954"/>
      <c r="G1347" s="90"/>
      <c r="H1347" s="90"/>
      <c r="I1347" s="90"/>
      <c r="J1347" s="90"/>
      <c r="K1347" s="90"/>
      <c r="L1347" s="90"/>
      <c r="M1347" s="1956"/>
      <c r="N1347" s="643"/>
      <c r="O1347" s="2083"/>
      <c r="P1347" s="643"/>
      <c r="Q1347" s="643"/>
      <c r="R1347" s="280"/>
      <c r="S1347" s="280"/>
      <c r="T1347" s="280"/>
      <c r="U1347" s="280"/>
      <c r="V1347" s="280"/>
      <c r="W1347" s="79"/>
    </row>
    <row r="1348" spans="1:23" ht="15.75">
      <c r="A1348" s="2080"/>
      <c r="B1348" s="705"/>
      <c r="C1348" s="90"/>
      <c r="D1348" s="2081"/>
      <c r="E1348" s="2082"/>
      <c r="F1348" s="1954"/>
      <c r="G1348" s="90"/>
      <c r="H1348" s="90"/>
      <c r="I1348" s="90"/>
      <c r="J1348" s="90"/>
      <c r="K1348" s="90"/>
      <c r="L1348" s="90"/>
      <c r="M1348" s="1956"/>
      <c r="N1348" s="643"/>
      <c r="O1348" s="2083"/>
      <c r="P1348" s="643"/>
      <c r="Q1348" s="643"/>
      <c r="R1348" s="280"/>
      <c r="S1348" s="280"/>
      <c r="T1348" s="280"/>
      <c r="U1348" s="280"/>
      <c r="V1348" s="280"/>
      <c r="W1348" s="79"/>
    </row>
    <row r="1349" spans="1:23" ht="15.75">
      <c r="A1349" s="2080"/>
      <c r="B1349" s="705"/>
      <c r="C1349" s="90"/>
      <c r="D1349" s="2081"/>
      <c r="E1349" s="2082"/>
      <c r="F1349" s="1954"/>
      <c r="G1349" s="90"/>
      <c r="H1349" s="90"/>
      <c r="I1349" s="90"/>
      <c r="J1349" s="90"/>
      <c r="K1349" s="90"/>
      <c r="L1349" s="90"/>
      <c r="M1349" s="1956"/>
      <c r="N1349" s="643"/>
      <c r="O1349" s="2083"/>
      <c r="P1349" s="643"/>
      <c r="Q1349" s="643"/>
      <c r="R1349" s="280"/>
      <c r="S1349" s="280"/>
      <c r="T1349" s="280"/>
      <c r="U1349" s="280"/>
      <c r="V1349" s="280"/>
      <c r="W1349" s="79"/>
    </row>
    <row r="1350" spans="1:23" ht="15.75">
      <c r="A1350" s="2080"/>
      <c r="B1350" s="705"/>
      <c r="C1350" s="90"/>
      <c r="D1350" s="2081"/>
      <c r="E1350" s="2082"/>
      <c r="F1350" s="1954"/>
      <c r="G1350" s="90"/>
      <c r="H1350" s="90"/>
      <c r="I1350" s="90"/>
      <c r="J1350" s="90"/>
      <c r="K1350" s="90"/>
      <c r="L1350" s="90"/>
      <c r="M1350" s="1956"/>
      <c r="N1350" s="643"/>
      <c r="O1350" s="2083"/>
      <c r="P1350" s="643"/>
      <c r="Q1350" s="643"/>
      <c r="R1350" s="280"/>
      <c r="S1350" s="280"/>
      <c r="T1350" s="280"/>
      <c r="U1350" s="280"/>
      <c r="V1350" s="280"/>
      <c r="W1350" s="79"/>
    </row>
    <row r="1351" spans="1:23" ht="15.75">
      <c r="A1351" s="2080"/>
      <c r="B1351" s="705"/>
      <c r="C1351" s="90"/>
      <c r="D1351" s="2081"/>
      <c r="E1351" s="2082"/>
      <c r="F1351" s="1954"/>
      <c r="G1351" s="90"/>
      <c r="H1351" s="90"/>
      <c r="I1351" s="90"/>
      <c r="J1351" s="90"/>
      <c r="K1351" s="90"/>
      <c r="L1351" s="90"/>
      <c r="M1351" s="1956"/>
      <c r="N1351" s="643"/>
      <c r="O1351" s="2083"/>
      <c r="P1351" s="643"/>
      <c r="Q1351" s="643"/>
      <c r="R1351" s="280"/>
      <c r="S1351" s="280"/>
      <c r="T1351" s="280"/>
      <c r="U1351" s="280"/>
      <c r="V1351" s="280"/>
      <c r="W1351" s="79"/>
    </row>
    <row r="1352" spans="1:23" ht="15.75">
      <c r="A1352" s="2080"/>
      <c r="B1352" s="705"/>
      <c r="C1352" s="90"/>
      <c r="D1352" s="2081"/>
      <c r="E1352" s="2082"/>
      <c r="F1352" s="1954"/>
      <c r="G1352" s="90"/>
      <c r="H1352" s="90"/>
      <c r="I1352" s="90"/>
      <c r="J1352" s="90"/>
      <c r="K1352" s="90"/>
      <c r="L1352" s="90"/>
      <c r="M1352" s="1956"/>
      <c r="N1352" s="643"/>
      <c r="O1352" s="2083"/>
      <c r="P1352" s="643"/>
      <c r="Q1352" s="643"/>
      <c r="R1352" s="280"/>
      <c r="S1352" s="280"/>
      <c r="T1352" s="280"/>
      <c r="U1352" s="280"/>
      <c r="V1352" s="280"/>
      <c r="W1352" s="79"/>
    </row>
    <row r="1353" spans="1:23" ht="15.75">
      <c r="A1353" s="2080"/>
      <c r="B1353" s="705"/>
      <c r="C1353" s="90"/>
      <c r="D1353" s="2081"/>
      <c r="E1353" s="2082"/>
      <c r="F1353" s="1954"/>
      <c r="G1353" s="90"/>
      <c r="H1353" s="90"/>
      <c r="I1353" s="90"/>
      <c r="J1353" s="90"/>
      <c r="K1353" s="90"/>
      <c r="L1353" s="90"/>
      <c r="M1353" s="1956"/>
      <c r="N1353" s="643"/>
      <c r="O1353" s="2083"/>
      <c r="P1353" s="643"/>
      <c r="Q1353" s="643"/>
      <c r="R1353" s="280"/>
      <c r="S1353" s="280"/>
      <c r="T1353" s="280"/>
      <c r="U1353" s="280"/>
      <c r="V1353" s="280"/>
      <c r="W1353" s="79"/>
    </row>
    <row r="1354" spans="1:23" ht="15.75">
      <c r="A1354" s="2080"/>
      <c r="B1354" s="705"/>
      <c r="C1354" s="90"/>
      <c r="D1354" s="2081"/>
      <c r="E1354" s="2082"/>
      <c r="F1354" s="1954"/>
      <c r="G1354" s="90"/>
      <c r="H1354" s="90"/>
      <c r="I1354" s="90"/>
      <c r="J1354" s="90"/>
      <c r="K1354" s="90"/>
      <c r="L1354" s="90"/>
      <c r="M1354" s="1956"/>
      <c r="N1354" s="643"/>
      <c r="O1354" s="2083"/>
      <c r="P1354" s="643"/>
      <c r="Q1354" s="643"/>
      <c r="R1354" s="280"/>
      <c r="S1354" s="280"/>
      <c r="T1354" s="280"/>
      <c r="U1354" s="280"/>
      <c r="V1354" s="280"/>
      <c r="W1354" s="79"/>
    </row>
    <row r="1355" spans="1:23" ht="15.75">
      <c r="A1355" s="2080"/>
      <c r="B1355" s="705"/>
      <c r="C1355" s="90"/>
      <c r="D1355" s="2081"/>
      <c r="E1355" s="2082"/>
      <c r="F1355" s="1954"/>
      <c r="G1355" s="90"/>
      <c r="H1355" s="90"/>
      <c r="I1355" s="90"/>
      <c r="J1355" s="90"/>
      <c r="K1355" s="90"/>
      <c r="L1355" s="90"/>
      <c r="M1355" s="1956"/>
      <c r="N1355" s="643"/>
      <c r="O1355" s="2083"/>
      <c r="P1355" s="643"/>
      <c r="Q1355" s="643"/>
      <c r="R1355" s="280"/>
      <c r="S1355" s="280"/>
      <c r="T1355" s="280"/>
      <c r="U1355" s="280"/>
      <c r="V1355" s="280"/>
      <c r="W1355" s="79"/>
    </row>
    <row r="1356" spans="1:23" ht="15.75">
      <c r="A1356" s="2080"/>
      <c r="B1356" s="705"/>
      <c r="C1356" s="90"/>
      <c r="D1356" s="2081"/>
      <c r="E1356" s="2082"/>
      <c r="F1356" s="1954"/>
      <c r="G1356" s="90"/>
      <c r="H1356" s="90"/>
      <c r="I1356" s="90"/>
      <c r="J1356" s="90"/>
      <c r="K1356" s="90"/>
      <c r="L1356" s="90"/>
      <c r="M1356" s="1956"/>
      <c r="N1356" s="643"/>
      <c r="O1356" s="2083"/>
      <c r="P1356" s="643"/>
      <c r="Q1356" s="643"/>
      <c r="R1356" s="280"/>
      <c r="S1356" s="280"/>
      <c r="T1356" s="280"/>
      <c r="U1356" s="280"/>
      <c r="V1356" s="280"/>
      <c r="W1356" s="79"/>
    </row>
    <row r="1357" spans="1:23" ht="15.75">
      <c r="A1357" s="2080"/>
      <c r="B1357" s="705"/>
      <c r="C1357" s="90"/>
      <c r="D1357" s="2081"/>
      <c r="E1357" s="2082"/>
      <c r="F1357" s="1954"/>
      <c r="G1357" s="90"/>
      <c r="H1357" s="90"/>
      <c r="I1357" s="90"/>
      <c r="J1357" s="90"/>
      <c r="K1357" s="90"/>
      <c r="L1357" s="90"/>
      <c r="M1357" s="1956"/>
      <c r="N1357" s="643"/>
      <c r="O1357" s="2083"/>
      <c r="P1357" s="643"/>
      <c r="Q1357" s="643"/>
      <c r="R1357" s="280"/>
      <c r="S1357" s="280"/>
      <c r="T1357" s="280"/>
      <c r="U1357" s="280"/>
      <c r="V1357" s="280"/>
      <c r="W1357" s="79"/>
    </row>
    <row r="1358" spans="1:23" ht="15.75">
      <c r="A1358" s="2080"/>
      <c r="B1358" s="705"/>
      <c r="C1358" s="90"/>
      <c r="D1358" s="2081"/>
      <c r="E1358" s="2082"/>
      <c r="F1358" s="1954"/>
      <c r="G1358" s="90"/>
      <c r="H1358" s="90"/>
      <c r="I1358" s="90"/>
      <c r="J1358" s="90"/>
      <c r="K1358" s="90"/>
      <c r="L1358" s="90"/>
      <c r="M1358" s="1956"/>
      <c r="N1358" s="643"/>
      <c r="O1358" s="2083"/>
      <c r="P1358" s="643"/>
      <c r="Q1358" s="643"/>
      <c r="R1358" s="280"/>
      <c r="S1358" s="280"/>
      <c r="T1358" s="280"/>
      <c r="U1358" s="280"/>
      <c r="V1358" s="280"/>
      <c r="W1358" s="79"/>
    </row>
    <row r="1359" spans="1:23" ht="15.75">
      <c r="A1359" s="2080"/>
      <c r="B1359" s="705"/>
      <c r="C1359" s="90"/>
      <c r="D1359" s="2081"/>
      <c r="E1359" s="2082"/>
      <c r="F1359" s="1954"/>
      <c r="G1359" s="90"/>
      <c r="H1359" s="90"/>
      <c r="I1359" s="90"/>
      <c r="J1359" s="90"/>
      <c r="K1359" s="90"/>
      <c r="L1359" s="90"/>
      <c r="M1359" s="1956"/>
      <c r="N1359" s="643"/>
      <c r="O1359" s="2083"/>
      <c r="P1359" s="643"/>
      <c r="Q1359" s="643"/>
      <c r="R1359" s="280"/>
      <c r="S1359" s="280"/>
      <c r="T1359" s="280"/>
      <c r="U1359" s="280"/>
      <c r="V1359" s="280"/>
      <c r="W1359" s="79"/>
    </row>
    <row r="1360" spans="1:23" ht="15.75">
      <c r="A1360" s="2080"/>
      <c r="B1360" s="705"/>
      <c r="C1360" s="90"/>
      <c r="D1360" s="2081"/>
      <c r="E1360" s="2082"/>
      <c r="F1360" s="1954"/>
      <c r="G1360" s="90"/>
      <c r="H1360" s="90"/>
      <c r="I1360" s="90"/>
      <c r="J1360" s="90"/>
      <c r="K1360" s="90"/>
      <c r="L1360" s="90"/>
      <c r="M1360" s="1956"/>
      <c r="N1360" s="643"/>
      <c r="O1360" s="2083"/>
      <c r="P1360" s="643"/>
      <c r="Q1360" s="643"/>
      <c r="R1360" s="280"/>
      <c r="S1360" s="280"/>
      <c r="T1360" s="280"/>
      <c r="U1360" s="280"/>
      <c r="V1360" s="280"/>
      <c r="W1360" s="79"/>
    </row>
    <row r="1361" spans="1:23" ht="15.75">
      <c r="A1361" s="2080"/>
      <c r="B1361" s="705"/>
      <c r="C1361" s="90"/>
      <c r="D1361" s="2081"/>
      <c r="E1361" s="2082"/>
      <c r="F1361" s="1954"/>
      <c r="G1361" s="90"/>
      <c r="H1361" s="90"/>
      <c r="I1361" s="90"/>
      <c r="J1361" s="90"/>
      <c r="K1361" s="90"/>
      <c r="L1361" s="90"/>
      <c r="M1361" s="1956"/>
      <c r="N1361" s="643"/>
      <c r="O1361" s="2083"/>
      <c r="P1361" s="643"/>
      <c r="Q1361" s="643"/>
      <c r="R1361" s="280"/>
      <c r="S1361" s="280"/>
      <c r="T1361" s="280"/>
      <c r="U1361" s="280"/>
      <c r="V1361" s="280"/>
      <c r="W1361" s="79"/>
    </row>
    <row r="1362" spans="1:23" ht="15.75">
      <c r="A1362" s="2080"/>
      <c r="B1362" s="705"/>
      <c r="C1362" s="90"/>
      <c r="D1362" s="2081"/>
      <c r="E1362" s="2082"/>
      <c r="F1362" s="1954"/>
      <c r="G1362" s="90"/>
      <c r="H1362" s="90"/>
      <c r="I1362" s="90"/>
      <c r="J1362" s="90"/>
      <c r="K1362" s="90"/>
      <c r="L1362" s="90"/>
      <c r="M1362" s="1956"/>
      <c r="N1362" s="643"/>
      <c r="O1362" s="2083"/>
      <c r="P1362" s="643"/>
      <c r="Q1362" s="643"/>
      <c r="R1362" s="280"/>
      <c r="S1362" s="280"/>
      <c r="T1362" s="280"/>
      <c r="U1362" s="280"/>
      <c r="V1362" s="280"/>
      <c r="W1362" s="79"/>
    </row>
    <row r="1363" spans="1:23" ht="15.75">
      <c r="A1363" s="2080"/>
      <c r="B1363" s="705"/>
      <c r="C1363" s="90"/>
      <c r="D1363" s="2081"/>
      <c r="E1363" s="2082"/>
      <c r="F1363" s="1954"/>
      <c r="G1363" s="90"/>
      <c r="H1363" s="90"/>
      <c r="I1363" s="90"/>
      <c r="J1363" s="90"/>
      <c r="K1363" s="90"/>
      <c r="L1363" s="90"/>
      <c r="M1363" s="1956"/>
      <c r="N1363" s="643"/>
      <c r="O1363" s="2083"/>
      <c r="P1363" s="643"/>
      <c r="Q1363" s="643"/>
      <c r="R1363" s="280"/>
      <c r="S1363" s="280"/>
      <c r="T1363" s="280"/>
      <c r="U1363" s="280"/>
      <c r="V1363" s="280"/>
      <c r="W1363" s="79"/>
    </row>
    <row r="1364" spans="1:23" ht="15.75">
      <c r="A1364" s="2080"/>
      <c r="B1364" s="705"/>
      <c r="C1364" s="90"/>
      <c r="D1364" s="2081"/>
      <c r="E1364" s="2082"/>
      <c r="F1364" s="1954"/>
      <c r="G1364" s="90"/>
      <c r="H1364" s="90"/>
      <c r="I1364" s="90"/>
      <c r="J1364" s="90"/>
      <c r="K1364" s="90"/>
      <c r="L1364" s="90"/>
      <c r="M1364" s="1956"/>
      <c r="N1364" s="643"/>
      <c r="O1364" s="2083"/>
      <c r="P1364" s="643"/>
      <c r="Q1364" s="643"/>
      <c r="R1364" s="280"/>
      <c r="S1364" s="280"/>
      <c r="T1364" s="280"/>
      <c r="U1364" s="280"/>
      <c r="V1364" s="280"/>
      <c r="W1364" s="79"/>
    </row>
    <row r="1365" spans="1:23" ht="15.75">
      <c r="A1365" s="2080"/>
      <c r="B1365" s="705"/>
      <c r="C1365" s="90"/>
      <c r="D1365" s="2081"/>
      <c r="E1365" s="2082"/>
      <c r="F1365" s="1954"/>
      <c r="G1365" s="90"/>
      <c r="H1365" s="90"/>
      <c r="I1365" s="90"/>
      <c r="J1365" s="90"/>
      <c r="K1365" s="90"/>
      <c r="L1365" s="90"/>
      <c r="M1365" s="1956"/>
      <c r="N1365" s="643"/>
      <c r="O1365" s="2083"/>
      <c r="P1365" s="643"/>
      <c r="Q1365" s="643"/>
      <c r="R1365" s="280"/>
      <c r="S1365" s="280"/>
      <c r="T1365" s="280"/>
      <c r="U1365" s="280"/>
      <c r="V1365" s="280"/>
      <c r="W1365" s="79"/>
    </row>
    <row r="1366" spans="1:23" ht="15.75">
      <c r="A1366" s="2080"/>
      <c r="B1366" s="705"/>
      <c r="C1366" s="90"/>
      <c r="D1366" s="2081"/>
      <c r="E1366" s="2082"/>
      <c r="F1366" s="1954"/>
      <c r="G1366" s="90"/>
      <c r="H1366" s="90"/>
      <c r="I1366" s="90"/>
      <c r="J1366" s="90"/>
      <c r="K1366" s="90"/>
      <c r="L1366" s="90"/>
      <c r="M1366" s="1956"/>
      <c r="N1366" s="643"/>
      <c r="O1366" s="2083"/>
      <c r="P1366" s="643"/>
      <c r="Q1366" s="643"/>
      <c r="R1366" s="280"/>
      <c r="S1366" s="280"/>
      <c r="T1366" s="280"/>
      <c r="U1366" s="280"/>
      <c r="V1366" s="280"/>
      <c r="W1366" s="79"/>
    </row>
    <row r="1367" spans="1:23" ht="15.75">
      <c r="A1367" s="2080"/>
      <c r="B1367" s="705"/>
      <c r="C1367" s="90"/>
      <c r="D1367" s="2081"/>
      <c r="E1367" s="2082"/>
      <c r="F1367" s="1954"/>
      <c r="G1367" s="90"/>
      <c r="H1367" s="90"/>
      <c r="I1367" s="90"/>
      <c r="J1367" s="90"/>
      <c r="K1367" s="90"/>
      <c r="L1367" s="90"/>
      <c r="M1367" s="1956"/>
      <c r="N1367" s="643"/>
      <c r="O1367" s="2083"/>
      <c r="P1367" s="643"/>
      <c r="Q1367" s="643"/>
      <c r="R1367" s="280"/>
      <c r="S1367" s="280"/>
      <c r="T1367" s="280"/>
      <c r="U1367" s="280"/>
      <c r="V1367" s="280"/>
      <c r="W1367" s="79"/>
    </row>
    <row r="1368" spans="1:23" ht="15.75">
      <c r="A1368" s="2080"/>
      <c r="B1368" s="705"/>
      <c r="C1368" s="90"/>
      <c r="D1368" s="2081"/>
      <c r="E1368" s="2082"/>
      <c r="F1368" s="1954"/>
      <c r="G1368" s="90"/>
      <c r="H1368" s="90"/>
      <c r="I1368" s="90"/>
      <c r="J1368" s="90"/>
      <c r="K1368" s="90"/>
      <c r="L1368" s="90"/>
      <c r="M1368" s="1956"/>
      <c r="N1368" s="643"/>
      <c r="O1368" s="2083"/>
      <c r="P1368" s="643"/>
      <c r="Q1368" s="643"/>
      <c r="R1368" s="280"/>
      <c r="S1368" s="280"/>
      <c r="T1368" s="280"/>
      <c r="U1368" s="280"/>
      <c r="V1368" s="280"/>
      <c r="W1368" s="79"/>
    </row>
    <row r="1369" spans="1:23" ht="15.75">
      <c r="A1369" s="2080"/>
      <c r="B1369" s="705"/>
      <c r="C1369" s="90"/>
      <c r="D1369" s="2081"/>
      <c r="E1369" s="2082"/>
      <c r="F1369" s="1954"/>
      <c r="G1369" s="90"/>
      <c r="H1369" s="90"/>
      <c r="I1369" s="90"/>
      <c r="J1369" s="90"/>
      <c r="K1369" s="90"/>
      <c r="L1369" s="90"/>
      <c r="M1369" s="1956"/>
      <c r="N1369" s="643"/>
      <c r="O1369" s="2083"/>
      <c r="P1369" s="643"/>
      <c r="Q1369" s="643"/>
      <c r="R1369" s="280"/>
      <c r="S1369" s="280"/>
      <c r="T1369" s="280"/>
      <c r="U1369" s="280"/>
      <c r="V1369" s="280"/>
      <c r="W1369" s="79"/>
    </row>
    <row r="1370" spans="1:23" ht="15.75">
      <c r="A1370" s="2080"/>
      <c r="B1370" s="705"/>
      <c r="C1370" s="90"/>
      <c r="D1370" s="2081"/>
      <c r="E1370" s="2082"/>
      <c r="F1370" s="1954"/>
      <c r="G1370" s="90"/>
      <c r="H1370" s="90"/>
      <c r="I1370" s="90"/>
      <c r="J1370" s="90"/>
      <c r="K1370" s="90"/>
      <c r="L1370" s="90"/>
      <c r="M1370" s="1956"/>
      <c r="N1370" s="643"/>
      <c r="O1370" s="2083"/>
      <c r="P1370" s="643"/>
      <c r="Q1370" s="643"/>
      <c r="R1370" s="280"/>
      <c r="S1370" s="280"/>
      <c r="T1370" s="280"/>
      <c r="U1370" s="280"/>
      <c r="V1370" s="280"/>
      <c r="W1370" s="79"/>
    </row>
    <row r="1371" spans="1:23" ht="15.75">
      <c r="A1371" s="2080"/>
      <c r="B1371" s="705"/>
      <c r="C1371" s="90"/>
      <c r="D1371" s="2081"/>
      <c r="E1371" s="2082"/>
      <c r="F1371" s="1954"/>
      <c r="G1371" s="90"/>
      <c r="H1371" s="90"/>
      <c r="I1371" s="90"/>
      <c r="J1371" s="90"/>
      <c r="K1371" s="90"/>
      <c r="L1371" s="90"/>
      <c r="M1371" s="1956"/>
      <c r="N1371" s="643"/>
      <c r="O1371" s="2083"/>
      <c r="P1371" s="643"/>
      <c r="Q1371" s="643"/>
      <c r="R1371" s="280"/>
      <c r="S1371" s="280"/>
      <c r="T1371" s="280"/>
      <c r="U1371" s="280"/>
      <c r="V1371" s="280"/>
      <c r="W1371" s="79"/>
    </row>
    <row r="1372" spans="1:23" ht="15.75">
      <c r="A1372" s="2080"/>
      <c r="B1372" s="705"/>
      <c r="C1372" s="90"/>
      <c r="D1372" s="2081"/>
      <c r="E1372" s="2082"/>
      <c r="F1372" s="1954"/>
      <c r="G1372" s="90"/>
      <c r="H1372" s="90"/>
      <c r="I1372" s="90"/>
      <c r="J1372" s="90"/>
      <c r="K1372" s="90"/>
      <c r="L1372" s="90"/>
      <c r="M1372" s="1956"/>
      <c r="N1372" s="643"/>
      <c r="O1372" s="2083"/>
      <c r="P1372" s="643"/>
      <c r="Q1372" s="643"/>
      <c r="R1372" s="280"/>
      <c r="S1372" s="280"/>
      <c r="T1372" s="280"/>
      <c r="U1372" s="280"/>
      <c r="V1372" s="280"/>
      <c r="W1372" s="79"/>
    </row>
    <row r="1373" spans="1:23" ht="15.75">
      <c r="A1373" s="2080"/>
      <c r="B1373" s="705"/>
      <c r="C1373" s="90"/>
      <c r="D1373" s="2081"/>
      <c r="E1373" s="2082"/>
      <c r="F1373" s="1954"/>
      <c r="G1373" s="90"/>
      <c r="H1373" s="90"/>
      <c r="I1373" s="90"/>
      <c r="J1373" s="90"/>
      <c r="K1373" s="90"/>
      <c r="L1373" s="90"/>
      <c r="M1373" s="1956"/>
      <c r="N1373" s="643"/>
      <c r="O1373" s="2083"/>
      <c r="P1373" s="643"/>
      <c r="Q1373" s="643"/>
      <c r="R1373" s="280"/>
      <c r="S1373" s="280"/>
      <c r="T1373" s="280"/>
      <c r="U1373" s="280"/>
      <c r="V1373" s="280"/>
      <c r="W1373" s="79"/>
    </row>
    <row r="1374" spans="1:23" ht="15.75">
      <c r="A1374" s="2080"/>
      <c r="B1374" s="705"/>
      <c r="C1374" s="90"/>
      <c r="D1374" s="2081"/>
      <c r="E1374" s="2082"/>
      <c r="F1374" s="1954"/>
      <c r="G1374" s="90"/>
      <c r="H1374" s="90"/>
      <c r="I1374" s="90"/>
      <c r="J1374" s="90"/>
      <c r="K1374" s="90"/>
      <c r="L1374" s="90"/>
      <c r="M1374" s="1956"/>
      <c r="N1374" s="643"/>
      <c r="O1374" s="2083"/>
      <c r="P1374" s="643"/>
      <c r="Q1374" s="643"/>
      <c r="R1374" s="280"/>
      <c r="S1374" s="280"/>
      <c r="T1374" s="280"/>
      <c r="U1374" s="280"/>
      <c r="V1374" s="280"/>
      <c r="W1374" s="79"/>
    </row>
    <row r="1375" spans="1:23" ht="15.75">
      <c r="A1375" s="2080"/>
      <c r="B1375" s="705"/>
      <c r="C1375" s="90"/>
      <c r="D1375" s="2081"/>
      <c r="E1375" s="2082"/>
      <c r="F1375" s="1954"/>
      <c r="G1375" s="90"/>
      <c r="H1375" s="90"/>
      <c r="I1375" s="90"/>
      <c r="J1375" s="90"/>
      <c r="K1375" s="90"/>
      <c r="L1375" s="90"/>
      <c r="M1375" s="1956"/>
      <c r="N1375" s="643"/>
      <c r="O1375" s="2083"/>
      <c r="P1375" s="643"/>
      <c r="Q1375" s="643"/>
      <c r="R1375" s="280"/>
      <c r="S1375" s="280"/>
      <c r="T1375" s="280"/>
      <c r="U1375" s="280"/>
      <c r="V1375" s="280"/>
      <c r="W1375" s="79"/>
    </row>
    <row r="1376" spans="1:23" ht="15.75">
      <c r="A1376" s="2080"/>
      <c r="B1376" s="705"/>
      <c r="C1376" s="90"/>
      <c r="D1376" s="2081"/>
      <c r="E1376" s="2082"/>
      <c r="F1376" s="1954"/>
      <c r="G1376" s="90"/>
      <c r="H1376" s="90"/>
      <c r="I1376" s="90"/>
      <c r="J1376" s="90"/>
      <c r="K1376" s="90"/>
      <c r="L1376" s="90"/>
      <c r="M1376" s="1956"/>
      <c r="N1376" s="643"/>
      <c r="O1376" s="2083"/>
      <c r="P1376" s="643"/>
      <c r="Q1376" s="643"/>
      <c r="R1376" s="280"/>
      <c r="S1376" s="280"/>
      <c r="T1376" s="280"/>
      <c r="U1376" s="280"/>
      <c r="V1376" s="280"/>
      <c r="W1376" s="79"/>
    </row>
    <row r="1377" spans="1:23" ht="15.75">
      <c r="A1377" s="2080"/>
      <c r="B1377" s="705"/>
      <c r="C1377" s="90"/>
      <c r="D1377" s="2081"/>
      <c r="E1377" s="2082"/>
      <c r="F1377" s="1954"/>
      <c r="G1377" s="90"/>
      <c r="H1377" s="90"/>
      <c r="I1377" s="90"/>
      <c r="J1377" s="90"/>
      <c r="K1377" s="90"/>
      <c r="L1377" s="90"/>
      <c r="M1377" s="1956"/>
      <c r="N1377" s="643"/>
      <c r="O1377" s="2083"/>
      <c r="P1377" s="643"/>
      <c r="Q1377" s="643"/>
      <c r="R1377" s="280"/>
      <c r="S1377" s="280"/>
      <c r="T1377" s="280"/>
      <c r="U1377" s="280"/>
      <c r="V1377" s="280"/>
      <c r="W1377" s="79"/>
    </row>
    <row r="1378" spans="1:23" ht="15.75">
      <c r="A1378" s="2080"/>
      <c r="B1378" s="705"/>
      <c r="C1378" s="90"/>
      <c r="D1378" s="2081"/>
      <c r="E1378" s="2082"/>
      <c r="F1378" s="1954"/>
      <c r="G1378" s="90"/>
      <c r="H1378" s="90"/>
      <c r="I1378" s="90"/>
      <c r="J1378" s="90"/>
      <c r="K1378" s="90"/>
      <c r="L1378" s="90"/>
      <c r="M1378" s="1956"/>
      <c r="N1378" s="643"/>
      <c r="O1378" s="2083"/>
      <c r="P1378" s="643"/>
      <c r="Q1378" s="643"/>
      <c r="R1378" s="280"/>
      <c r="S1378" s="280"/>
      <c r="T1378" s="280"/>
      <c r="U1378" s="280"/>
      <c r="V1378" s="280"/>
      <c r="W1378" s="79"/>
    </row>
    <row r="1379" spans="1:23" ht="15.75">
      <c r="A1379" s="2080"/>
      <c r="B1379" s="705"/>
      <c r="C1379" s="90"/>
      <c r="D1379" s="2081"/>
      <c r="E1379" s="2082"/>
      <c r="F1379" s="1954"/>
      <c r="G1379" s="90"/>
      <c r="H1379" s="90"/>
      <c r="I1379" s="90"/>
      <c r="J1379" s="90"/>
      <c r="K1379" s="90"/>
      <c r="L1379" s="90"/>
      <c r="M1379" s="1956"/>
      <c r="N1379" s="643"/>
      <c r="O1379" s="2083"/>
      <c r="P1379" s="643"/>
      <c r="Q1379" s="643"/>
      <c r="R1379" s="280"/>
      <c r="S1379" s="280"/>
      <c r="T1379" s="280"/>
      <c r="U1379" s="280"/>
      <c r="V1379" s="280"/>
      <c r="W1379" s="79"/>
    </row>
    <row r="1380" spans="1:23" ht="15.75">
      <c r="A1380" s="2080"/>
      <c r="B1380" s="705"/>
      <c r="C1380" s="90"/>
      <c r="D1380" s="2081"/>
      <c r="E1380" s="2082"/>
      <c r="F1380" s="1954"/>
      <c r="G1380" s="90"/>
      <c r="H1380" s="90"/>
      <c r="I1380" s="90"/>
      <c r="J1380" s="90"/>
      <c r="K1380" s="90"/>
      <c r="L1380" s="90"/>
      <c r="M1380" s="1956"/>
      <c r="N1380" s="643"/>
      <c r="O1380" s="2083"/>
      <c r="P1380" s="643"/>
      <c r="Q1380" s="643"/>
      <c r="R1380" s="280"/>
      <c r="S1380" s="280"/>
      <c r="T1380" s="280"/>
      <c r="U1380" s="280"/>
      <c r="V1380" s="280"/>
      <c r="W1380" s="79"/>
    </row>
    <row r="1381" spans="1:23" ht="15.75">
      <c r="A1381" s="2080"/>
      <c r="B1381" s="705"/>
      <c r="C1381" s="90"/>
      <c r="D1381" s="2081"/>
      <c r="E1381" s="2082"/>
      <c r="F1381" s="1954"/>
      <c r="G1381" s="90"/>
      <c r="H1381" s="90"/>
      <c r="I1381" s="90"/>
      <c r="J1381" s="90"/>
      <c r="K1381" s="90"/>
      <c r="L1381" s="90"/>
      <c r="M1381" s="1956"/>
      <c r="N1381" s="643"/>
      <c r="O1381" s="2083"/>
      <c r="P1381" s="643"/>
      <c r="Q1381" s="643"/>
      <c r="R1381" s="280"/>
      <c r="S1381" s="280"/>
      <c r="T1381" s="280"/>
      <c r="U1381" s="280"/>
      <c r="V1381" s="280"/>
      <c r="W1381" s="79"/>
    </row>
    <row r="1382" spans="1:23" ht="15.75">
      <c r="A1382" s="2080"/>
      <c r="B1382" s="705"/>
      <c r="C1382" s="90"/>
      <c r="D1382" s="2081"/>
      <c r="E1382" s="2082"/>
      <c r="F1382" s="1954"/>
      <c r="G1382" s="90"/>
      <c r="H1382" s="90"/>
      <c r="I1382" s="90"/>
      <c r="J1382" s="90"/>
      <c r="K1382" s="90"/>
      <c r="L1382" s="90"/>
      <c r="M1382" s="1956"/>
      <c r="N1382" s="643"/>
      <c r="O1382" s="2083"/>
      <c r="P1382" s="643"/>
      <c r="Q1382" s="643"/>
      <c r="R1382" s="280"/>
      <c r="S1382" s="280"/>
      <c r="T1382" s="280"/>
      <c r="U1382" s="280"/>
      <c r="V1382" s="280"/>
      <c r="W1382" s="79"/>
    </row>
    <row r="1383" spans="1:23" ht="15.75">
      <c r="A1383" s="2080"/>
      <c r="B1383" s="705"/>
      <c r="C1383" s="90"/>
      <c r="D1383" s="2081"/>
      <c r="E1383" s="2082"/>
      <c r="F1383" s="1954"/>
      <c r="G1383" s="90"/>
      <c r="H1383" s="90"/>
      <c r="I1383" s="90"/>
      <c r="J1383" s="90"/>
      <c r="K1383" s="90"/>
      <c r="L1383" s="90"/>
      <c r="M1383" s="1956"/>
      <c r="N1383" s="643"/>
      <c r="O1383" s="2083"/>
      <c r="P1383" s="643"/>
      <c r="Q1383" s="643"/>
      <c r="R1383" s="280"/>
      <c r="S1383" s="280"/>
      <c r="T1383" s="280"/>
      <c r="U1383" s="280"/>
      <c r="V1383" s="280"/>
      <c r="W1383" s="79"/>
    </row>
    <row r="1384" spans="1:23" ht="15.75">
      <c r="A1384" s="2080"/>
      <c r="B1384" s="705"/>
      <c r="C1384" s="90"/>
      <c r="D1384" s="2081"/>
      <c r="E1384" s="2082"/>
      <c r="F1384" s="1954"/>
      <c r="G1384" s="90"/>
      <c r="H1384" s="90"/>
      <c r="I1384" s="90"/>
      <c r="J1384" s="90"/>
      <c r="K1384" s="90"/>
      <c r="L1384" s="90"/>
      <c r="M1384" s="1956"/>
      <c r="N1384" s="643"/>
      <c r="O1384" s="2083"/>
      <c r="P1384" s="643"/>
      <c r="Q1384" s="643"/>
      <c r="R1384" s="280"/>
      <c r="S1384" s="280"/>
      <c r="T1384" s="280"/>
      <c r="U1384" s="280"/>
      <c r="V1384" s="280"/>
      <c r="W1384" s="79"/>
    </row>
    <row r="1385" spans="1:23" ht="15.75">
      <c r="A1385" s="2080"/>
      <c r="B1385" s="705"/>
      <c r="C1385" s="90"/>
      <c r="D1385" s="2081"/>
      <c r="E1385" s="2082"/>
      <c r="F1385" s="1954"/>
      <c r="G1385" s="90"/>
      <c r="H1385" s="90"/>
      <c r="I1385" s="90"/>
      <c r="J1385" s="90"/>
      <c r="K1385" s="90"/>
      <c r="L1385" s="90"/>
      <c r="M1385" s="1956"/>
      <c r="N1385" s="643"/>
      <c r="O1385" s="2083"/>
      <c r="P1385" s="643"/>
      <c r="Q1385" s="643"/>
      <c r="R1385" s="280"/>
      <c r="S1385" s="280"/>
      <c r="T1385" s="280"/>
      <c r="U1385" s="280"/>
      <c r="V1385" s="280"/>
      <c r="W1385" s="79"/>
    </row>
    <row r="1386" spans="1:23" ht="15.75">
      <c r="A1386" s="2080"/>
      <c r="B1386" s="705"/>
      <c r="C1386" s="90"/>
      <c r="D1386" s="2081"/>
      <c r="E1386" s="2082"/>
      <c r="F1386" s="1954"/>
      <c r="G1386" s="90"/>
      <c r="H1386" s="90"/>
      <c r="I1386" s="90"/>
      <c r="J1386" s="90"/>
      <c r="K1386" s="90"/>
      <c r="L1386" s="90"/>
      <c r="M1386" s="1956"/>
      <c r="N1386" s="643"/>
      <c r="O1386" s="2083"/>
      <c r="P1386" s="643"/>
      <c r="Q1386" s="643"/>
      <c r="R1386" s="280"/>
      <c r="S1386" s="280"/>
      <c r="T1386" s="280"/>
      <c r="U1386" s="280"/>
      <c r="V1386" s="280"/>
      <c r="W1386" s="79"/>
    </row>
    <row r="1387" spans="1:23" ht="15.75">
      <c r="A1387" s="2080"/>
      <c r="B1387" s="705"/>
      <c r="C1387" s="90"/>
      <c r="D1387" s="2081"/>
      <c r="E1387" s="2082"/>
      <c r="F1387" s="1954"/>
      <c r="G1387" s="90"/>
      <c r="H1387" s="90"/>
      <c r="I1387" s="90"/>
      <c r="J1387" s="90"/>
      <c r="K1387" s="90"/>
      <c r="L1387" s="90"/>
      <c r="M1387" s="1956"/>
      <c r="N1387" s="643"/>
      <c r="O1387" s="2083"/>
      <c r="P1387" s="643"/>
      <c r="Q1387" s="643"/>
      <c r="R1387" s="280"/>
      <c r="S1387" s="280"/>
      <c r="T1387" s="280"/>
      <c r="U1387" s="280"/>
      <c r="V1387" s="280"/>
      <c r="W1387" s="79"/>
    </row>
    <row r="1388" spans="1:23" ht="15.75">
      <c r="A1388" s="2080"/>
      <c r="B1388" s="705"/>
      <c r="C1388" s="90"/>
      <c r="D1388" s="2081"/>
      <c r="E1388" s="2082"/>
      <c r="F1388" s="1954"/>
      <c r="G1388" s="90"/>
      <c r="H1388" s="90"/>
      <c r="I1388" s="90"/>
      <c r="J1388" s="90"/>
      <c r="K1388" s="90"/>
      <c r="L1388" s="90"/>
      <c r="M1388" s="1956"/>
      <c r="N1388" s="643"/>
      <c r="O1388" s="2083"/>
      <c r="P1388" s="643"/>
      <c r="Q1388" s="643"/>
      <c r="R1388" s="280"/>
      <c r="S1388" s="280"/>
      <c r="T1388" s="280"/>
      <c r="U1388" s="280"/>
      <c r="V1388" s="280"/>
      <c r="W1388" s="79"/>
    </row>
    <row r="1389" spans="1:23" ht="15.75">
      <c r="A1389" s="2080"/>
      <c r="B1389" s="705"/>
      <c r="C1389" s="90"/>
      <c r="D1389" s="2081"/>
      <c r="E1389" s="2082"/>
      <c r="F1389" s="1954"/>
      <c r="G1389" s="90"/>
      <c r="H1389" s="90"/>
      <c r="I1389" s="90"/>
      <c r="J1389" s="90"/>
      <c r="K1389" s="90"/>
      <c r="L1389" s="90"/>
      <c r="M1389" s="1956"/>
      <c r="N1389" s="643"/>
      <c r="O1389" s="2083"/>
      <c r="P1389" s="643"/>
      <c r="Q1389" s="643"/>
      <c r="R1389" s="280"/>
      <c r="S1389" s="280"/>
      <c r="T1389" s="280"/>
      <c r="U1389" s="280"/>
      <c r="V1389" s="280"/>
      <c r="W1389" s="79"/>
    </row>
    <row r="1390" spans="1:23" ht="15.75">
      <c r="A1390" s="2080"/>
      <c r="B1390" s="705"/>
      <c r="C1390" s="90"/>
      <c r="D1390" s="2081"/>
      <c r="E1390" s="2082"/>
      <c r="F1390" s="1954"/>
      <c r="G1390" s="90"/>
      <c r="H1390" s="90"/>
      <c r="I1390" s="90"/>
      <c r="J1390" s="90"/>
      <c r="K1390" s="90"/>
      <c r="L1390" s="90"/>
      <c r="M1390" s="1956"/>
      <c r="N1390" s="643"/>
      <c r="O1390" s="2083"/>
      <c r="P1390" s="643"/>
      <c r="Q1390" s="643"/>
      <c r="R1390" s="280"/>
      <c r="S1390" s="280"/>
      <c r="T1390" s="280"/>
      <c r="U1390" s="280"/>
      <c r="V1390" s="280"/>
      <c r="W1390" s="79"/>
    </row>
    <row r="1391" spans="1:23" ht="15.75">
      <c r="A1391" s="2080"/>
      <c r="B1391" s="705"/>
      <c r="C1391" s="90"/>
      <c r="D1391" s="2081"/>
      <c r="E1391" s="2082"/>
      <c r="F1391" s="1954"/>
      <c r="G1391" s="90"/>
      <c r="H1391" s="90"/>
      <c r="I1391" s="90"/>
      <c r="J1391" s="90"/>
      <c r="K1391" s="90"/>
      <c r="L1391" s="90"/>
      <c r="M1391" s="1956"/>
      <c r="N1391" s="643"/>
      <c r="O1391" s="2083"/>
      <c r="P1391" s="643"/>
      <c r="Q1391" s="643"/>
      <c r="R1391" s="280"/>
      <c r="S1391" s="280"/>
      <c r="T1391" s="280"/>
      <c r="U1391" s="280"/>
      <c r="V1391" s="280"/>
      <c r="W1391" s="79"/>
    </row>
    <row r="1392" spans="1:23" ht="15.75">
      <c r="A1392" s="2080"/>
      <c r="B1392" s="705"/>
      <c r="C1392" s="90"/>
      <c r="D1392" s="2081"/>
      <c r="E1392" s="2082"/>
      <c r="F1392" s="1954"/>
      <c r="G1392" s="90"/>
      <c r="H1392" s="90"/>
      <c r="I1392" s="90"/>
      <c r="J1392" s="90"/>
      <c r="K1392" s="90"/>
      <c r="L1392" s="90"/>
      <c r="M1392" s="1956"/>
      <c r="N1392" s="643"/>
      <c r="O1392" s="2083"/>
      <c r="P1392" s="643"/>
      <c r="Q1392" s="643"/>
      <c r="R1392" s="280"/>
      <c r="S1392" s="280"/>
      <c r="T1392" s="280"/>
      <c r="U1392" s="280"/>
      <c r="V1392" s="280"/>
      <c r="W1392" s="79"/>
    </row>
    <row r="1393" spans="1:23" ht="15.75">
      <c r="A1393" s="2080"/>
      <c r="B1393" s="705"/>
      <c r="C1393" s="90"/>
      <c r="D1393" s="2081"/>
      <c r="E1393" s="2082"/>
      <c r="F1393" s="1954"/>
      <c r="G1393" s="90"/>
      <c r="H1393" s="90"/>
      <c r="I1393" s="90"/>
      <c r="J1393" s="90"/>
      <c r="K1393" s="90"/>
      <c r="L1393" s="90"/>
      <c r="M1393" s="1956"/>
      <c r="N1393" s="643"/>
      <c r="O1393" s="2083"/>
      <c r="P1393" s="643"/>
      <c r="Q1393" s="643"/>
      <c r="R1393" s="280"/>
      <c r="S1393" s="280"/>
      <c r="T1393" s="280"/>
      <c r="U1393" s="280"/>
      <c r="V1393" s="280"/>
      <c r="W1393" s="79"/>
    </row>
    <row r="1394" spans="1:23" ht="15.75">
      <c r="A1394" s="2080"/>
      <c r="B1394" s="705"/>
      <c r="C1394" s="90"/>
      <c r="D1394" s="2081"/>
      <c r="E1394" s="2082"/>
      <c r="F1394" s="1954"/>
      <c r="G1394" s="90"/>
      <c r="H1394" s="90"/>
      <c r="I1394" s="90"/>
      <c r="J1394" s="90"/>
      <c r="K1394" s="90"/>
      <c r="L1394" s="90"/>
      <c r="M1394" s="1956"/>
      <c r="N1394" s="643"/>
      <c r="O1394" s="2083"/>
      <c r="P1394" s="643"/>
      <c r="Q1394" s="643"/>
      <c r="R1394" s="280"/>
      <c r="S1394" s="280"/>
      <c r="T1394" s="280"/>
      <c r="U1394" s="280"/>
      <c r="V1394" s="280"/>
      <c r="W1394" s="79"/>
    </row>
    <row r="1395" spans="1:23" ht="15.75">
      <c r="A1395" s="2080"/>
      <c r="B1395" s="705"/>
      <c r="C1395" s="90"/>
      <c r="D1395" s="2081"/>
      <c r="E1395" s="2082"/>
      <c r="F1395" s="1954"/>
      <c r="G1395" s="90"/>
      <c r="H1395" s="90"/>
      <c r="I1395" s="90"/>
      <c r="J1395" s="90"/>
      <c r="K1395" s="90"/>
      <c r="L1395" s="90"/>
      <c r="M1395" s="1956"/>
      <c r="N1395" s="643"/>
      <c r="O1395" s="2083"/>
      <c r="P1395" s="643"/>
      <c r="Q1395" s="643"/>
      <c r="R1395" s="280"/>
      <c r="S1395" s="280"/>
      <c r="T1395" s="280"/>
      <c r="U1395" s="280"/>
      <c r="V1395" s="280"/>
      <c r="W1395" s="79"/>
    </row>
    <row r="1396" spans="1:23" ht="15.75">
      <c r="A1396" s="2080"/>
      <c r="B1396" s="705"/>
      <c r="C1396" s="90"/>
      <c r="D1396" s="2081"/>
      <c r="E1396" s="2082"/>
      <c r="F1396" s="1954"/>
      <c r="G1396" s="90"/>
      <c r="H1396" s="90"/>
      <c r="I1396" s="90"/>
      <c r="J1396" s="90"/>
      <c r="K1396" s="90"/>
      <c r="L1396" s="90"/>
      <c r="M1396" s="1956"/>
      <c r="N1396" s="643"/>
      <c r="O1396" s="2083"/>
      <c r="P1396" s="643"/>
      <c r="Q1396" s="643"/>
      <c r="R1396" s="280"/>
      <c r="S1396" s="280"/>
      <c r="T1396" s="280"/>
      <c r="U1396" s="280"/>
      <c r="V1396" s="280"/>
      <c r="W1396" s="79"/>
    </row>
    <row r="1397" spans="1:23" ht="15.75">
      <c r="A1397" s="2080"/>
      <c r="B1397" s="705"/>
      <c r="C1397" s="90"/>
      <c r="D1397" s="2081"/>
      <c r="E1397" s="2082"/>
      <c r="F1397" s="1954"/>
      <c r="G1397" s="90"/>
      <c r="H1397" s="90"/>
      <c r="I1397" s="90"/>
      <c r="J1397" s="90"/>
      <c r="K1397" s="90"/>
      <c r="L1397" s="90"/>
      <c r="M1397" s="1956"/>
      <c r="N1397" s="643"/>
      <c r="O1397" s="2083"/>
      <c r="P1397" s="643"/>
      <c r="Q1397" s="643"/>
      <c r="R1397" s="280"/>
      <c r="S1397" s="280"/>
      <c r="T1397" s="280"/>
      <c r="U1397" s="280"/>
      <c r="V1397" s="280"/>
      <c r="W1397" s="79"/>
    </row>
    <row r="1398" spans="1:23" ht="15.75">
      <c r="A1398" s="2080"/>
      <c r="B1398" s="705"/>
      <c r="C1398" s="90"/>
      <c r="D1398" s="2081"/>
      <c r="E1398" s="2082"/>
      <c r="F1398" s="1954"/>
      <c r="G1398" s="90"/>
      <c r="H1398" s="90"/>
      <c r="I1398" s="90"/>
      <c r="J1398" s="90"/>
      <c r="K1398" s="90"/>
      <c r="L1398" s="90"/>
      <c r="M1398" s="1956"/>
      <c r="N1398" s="643"/>
      <c r="O1398" s="2083"/>
      <c r="P1398" s="643"/>
      <c r="Q1398" s="643"/>
      <c r="R1398" s="280"/>
      <c r="S1398" s="280"/>
      <c r="T1398" s="280"/>
      <c r="U1398" s="280"/>
      <c r="V1398" s="280"/>
      <c r="W1398" s="79"/>
    </row>
    <row r="1399" spans="1:23" ht="15.75">
      <c r="A1399" s="2080"/>
      <c r="B1399" s="705"/>
      <c r="C1399" s="90"/>
      <c r="D1399" s="2081"/>
      <c r="E1399" s="2082"/>
      <c r="F1399" s="1954"/>
      <c r="G1399" s="90"/>
      <c r="H1399" s="90"/>
      <c r="I1399" s="90"/>
      <c r="J1399" s="90"/>
      <c r="K1399" s="90"/>
      <c r="L1399" s="90"/>
      <c r="M1399" s="1956"/>
      <c r="N1399" s="643"/>
      <c r="O1399" s="2083"/>
      <c r="P1399" s="643"/>
      <c r="Q1399" s="643"/>
      <c r="R1399" s="280"/>
      <c r="S1399" s="280"/>
      <c r="T1399" s="280"/>
      <c r="U1399" s="280"/>
      <c r="V1399" s="280"/>
      <c r="W1399" s="79"/>
    </row>
    <row r="1400" spans="1:23" ht="15.75">
      <c r="A1400" s="2080"/>
      <c r="B1400" s="705"/>
      <c r="C1400" s="90"/>
      <c r="D1400" s="2081"/>
      <c r="E1400" s="2082"/>
      <c r="F1400" s="1954"/>
      <c r="G1400" s="90"/>
      <c r="H1400" s="90"/>
      <c r="I1400" s="90"/>
      <c r="J1400" s="90"/>
      <c r="K1400" s="90"/>
      <c r="L1400" s="90"/>
      <c r="M1400" s="1956"/>
      <c r="N1400" s="643"/>
      <c r="O1400" s="2083"/>
      <c r="P1400" s="643"/>
      <c r="Q1400" s="643"/>
      <c r="R1400" s="280"/>
      <c r="S1400" s="280"/>
      <c r="T1400" s="280"/>
      <c r="U1400" s="280"/>
      <c r="V1400" s="280"/>
      <c r="W1400" s="79"/>
    </row>
    <row r="1401" spans="1:23" ht="15.75">
      <c r="A1401" s="2080"/>
      <c r="B1401" s="705"/>
      <c r="C1401" s="90"/>
      <c r="D1401" s="2081"/>
      <c r="E1401" s="2082"/>
      <c r="F1401" s="1954"/>
      <c r="G1401" s="90"/>
      <c r="H1401" s="90"/>
      <c r="I1401" s="90"/>
      <c r="J1401" s="90"/>
      <c r="K1401" s="90"/>
      <c r="L1401" s="90"/>
      <c r="M1401" s="1956"/>
      <c r="N1401" s="643"/>
      <c r="O1401" s="2083"/>
      <c r="P1401" s="643"/>
      <c r="Q1401" s="643"/>
      <c r="R1401" s="280"/>
      <c r="S1401" s="280"/>
      <c r="T1401" s="280"/>
      <c r="U1401" s="280"/>
      <c r="V1401" s="280"/>
      <c r="W1401" s="79"/>
    </row>
    <row r="1402" spans="1:23" ht="15.75">
      <c r="A1402" s="2080"/>
      <c r="B1402" s="705"/>
      <c r="C1402" s="90"/>
      <c r="D1402" s="2081"/>
      <c r="E1402" s="2082"/>
      <c r="F1402" s="1954"/>
      <c r="G1402" s="90"/>
      <c r="H1402" s="90"/>
      <c r="I1402" s="90"/>
      <c r="J1402" s="90"/>
      <c r="K1402" s="90"/>
      <c r="L1402" s="90"/>
      <c r="M1402" s="1956"/>
      <c r="N1402" s="643"/>
      <c r="O1402" s="2083"/>
      <c r="P1402" s="643"/>
      <c r="Q1402" s="643"/>
      <c r="R1402" s="280"/>
      <c r="S1402" s="280"/>
      <c r="T1402" s="280"/>
      <c r="U1402" s="280"/>
      <c r="V1402" s="280"/>
      <c r="W1402" s="79"/>
    </row>
    <row r="1403" spans="1:23" ht="15.75">
      <c r="A1403" s="2080"/>
      <c r="B1403" s="705"/>
      <c r="C1403" s="90"/>
      <c r="D1403" s="2081"/>
      <c r="E1403" s="2082"/>
      <c r="F1403" s="1954"/>
      <c r="G1403" s="90"/>
      <c r="H1403" s="90"/>
      <c r="I1403" s="90"/>
      <c r="J1403" s="90"/>
      <c r="K1403" s="90"/>
      <c r="L1403" s="90"/>
      <c r="M1403" s="1956"/>
      <c r="N1403" s="643"/>
      <c r="O1403" s="2083"/>
      <c r="P1403" s="643"/>
      <c r="Q1403" s="643"/>
      <c r="R1403" s="280"/>
      <c r="S1403" s="280"/>
      <c r="T1403" s="280"/>
      <c r="U1403" s="280"/>
      <c r="V1403" s="280"/>
      <c r="W1403" s="79"/>
    </row>
    <row r="1404" spans="1:23" ht="15.75">
      <c r="A1404" s="2080"/>
      <c r="B1404" s="705"/>
      <c r="C1404" s="90"/>
      <c r="D1404" s="2081"/>
      <c r="E1404" s="2082"/>
      <c r="F1404" s="1954"/>
      <c r="G1404" s="90"/>
      <c r="H1404" s="90"/>
      <c r="I1404" s="90"/>
      <c r="J1404" s="90"/>
      <c r="K1404" s="90"/>
      <c r="L1404" s="90"/>
      <c r="M1404" s="1956"/>
      <c r="N1404" s="643"/>
      <c r="O1404" s="2083"/>
      <c r="P1404" s="643"/>
      <c r="Q1404" s="643"/>
      <c r="R1404" s="280"/>
      <c r="S1404" s="280"/>
      <c r="T1404" s="280"/>
      <c r="U1404" s="280"/>
      <c r="V1404" s="280"/>
      <c r="W1404" s="79"/>
    </row>
    <row r="1405" spans="1:23" ht="15.75">
      <c r="A1405" s="2080"/>
      <c r="B1405" s="705"/>
      <c r="C1405" s="90"/>
      <c r="D1405" s="2081"/>
      <c r="E1405" s="2082"/>
      <c r="F1405" s="1954"/>
      <c r="G1405" s="90"/>
      <c r="H1405" s="90"/>
      <c r="I1405" s="90"/>
      <c r="J1405" s="90"/>
      <c r="K1405" s="90"/>
      <c r="L1405" s="90"/>
      <c r="M1405" s="1956"/>
      <c r="N1405" s="643"/>
      <c r="O1405" s="2083"/>
      <c r="P1405" s="643"/>
      <c r="Q1405" s="643"/>
      <c r="R1405" s="280"/>
      <c r="S1405" s="280"/>
      <c r="T1405" s="280"/>
      <c r="U1405" s="280"/>
      <c r="V1405" s="280"/>
      <c r="W1405" s="79"/>
    </row>
    <row r="1406" spans="1:23" ht="15.75">
      <c r="A1406" s="2080"/>
      <c r="B1406" s="705"/>
      <c r="C1406" s="90"/>
      <c r="D1406" s="2081"/>
      <c r="E1406" s="2082"/>
      <c r="F1406" s="1954"/>
      <c r="G1406" s="90"/>
      <c r="H1406" s="90"/>
      <c r="I1406" s="90"/>
      <c r="J1406" s="90"/>
      <c r="K1406" s="90"/>
      <c r="L1406" s="90"/>
      <c r="M1406" s="1956"/>
      <c r="N1406" s="643"/>
      <c r="O1406" s="2083"/>
      <c r="P1406" s="643"/>
      <c r="Q1406" s="643"/>
      <c r="R1406" s="280"/>
      <c r="S1406" s="280"/>
      <c r="T1406" s="280"/>
      <c r="U1406" s="280"/>
      <c r="V1406" s="280"/>
      <c r="W1406" s="79"/>
    </row>
    <row r="1407" spans="1:23" ht="15.75">
      <c r="A1407" s="2080"/>
      <c r="B1407" s="705"/>
      <c r="C1407" s="90"/>
      <c r="D1407" s="2081"/>
      <c r="E1407" s="2082"/>
      <c r="F1407" s="1954"/>
      <c r="G1407" s="90"/>
      <c r="H1407" s="90"/>
      <c r="I1407" s="90"/>
      <c r="J1407" s="90"/>
      <c r="K1407" s="90"/>
      <c r="L1407" s="90"/>
      <c r="M1407" s="1956"/>
      <c r="N1407" s="643"/>
      <c r="O1407" s="2083"/>
      <c r="P1407" s="643"/>
      <c r="Q1407" s="643"/>
      <c r="R1407" s="280"/>
      <c r="S1407" s="280"/>
      <c r="T1407" s="280"/>
      <c r="U1407" s="280"/>
      <c r="V1407" s="280"/>
      <c r="W1407" s="79"/>
    </row>
    <row r="1408" spans="1:23" ht="15.75">
      <c r="A1408" s="2080"/>
      <c r="B1408" s="705"/>
      <c r="C1408" s="90"/>
      <c r="D1408" s="2081"/>
      <c r="E1408" s="2082"/>
      <c r="F1408" s="1954"/>
      <c r="G1408" s="90"/>
      <c r="H1408" s="90"/>
      <c r="I1408" s="90"/>
      <c r="J1408" s="90"/>
      <c r="K1408" s="90"/>
      <c r="L1408" s="90"/>
      <c r="M1408" s="1956"/>
      <c r="N1408" s="643"/>
      <c r="O1408" s="2083"/>
      <c r="P1408" s="643"/>
      <c r="Q1408" s="643"/>
      <c r="R1408" s="280"/>
      <c r="S1408" s="280"/>
      <c r="T1408" s="280"/>
      <c r="U1408" s="280"/>
      <c r="V1408" s="280"/>
      <c r="W1408" s="79"/>
    </row>
    <row r="1409" spans="1:23" ht="15.75">
      <c r="A1409" s="2080"/>
      <c r="B1409" s="705"/>
      <c r="C1409" s="90"/>
      <c r="D1409" s="2081"/>
      <c r="E1409" s="2082"/>
      <c r="F1409" s="1954"/>
      <c r="G1409" s="90"/>
      <c r="H1409" s="90"/>
      <c r="I1409" s="90"/>
      <c r="J1409" s="90"/>
      <c r="K1409" s="90"/>
      <c r="L1409" s="90"/>
      <c r="M1409" s="1956"/>
      <c r="N1409" s="643"/>
      <c r="O1409" s="2083"/>
      <c r="P1409" s="643"/>
      <c r="Q1409" s="643"/>
      <c r="R1409" s="280"/>
      <c r="S1409" s="280"/>
      <c r="T1409" s="280"/>
      <c r="U1409" s="280"/>
      <c r="V1409" s="280"/>
      <c r="W1409" s="79"/>
    </row>
    <row r="1410" spans="1:23" ht="15.75">
      <c r="A1410" s="2080"/>
      <c r="B1410" s="705"/>
      <c r="C1410" s="90"/>
      <c r="D1410" s="2081"/>
      <c r="E1410" s="2082"/>
      <c r="F1410" s="1954"/>
      <c r="G1410" s="90"/>
      <c r="H1410" s="90"/>
      <c r="I1410" s="90"/>
      <c r="J1410" s="90"/>
      <c r="K1410" s="90"/>
      <c r="L1410" s="90"/>
      <c r="M1410" s="1956"/>
      <c r="N1410" s="643"/>
      <c r="O1410" s="2083"/>
      <c r="P1410" s="643"/>
      <c r="Q1410" s="643"/>
      <c r="R1410" s="280"/>
      <c r="S1410" s="280"/>
      <c r="T1410" s="280"/>
      <c r="U1410" s="280"/>
      <c r="V1410" s="280"/>
      <c r="W1410" s="79"/>
    </row>
    <row r="1411" spans="1:23" ht="15.75">
      <c r="A1411" s="2080"/>
      <c r="B1411" s="705"/>
      <c r="C1411" s="90"/>
      <c r="D1411" s="2081"/>
      <c r="E1411" s="2082"/>
      <c r="F1411" s="1954"/>
      <c r="G1411" s="90"/>
      <c r="H1411" s="90"/>
      <c r="I1411" s="90"/>
      <c r="J1411" s="90"/>
      <c r="K1411" s="90"/>
      <c r="L1411" s="90"/>
      <c r="M1411" s="1956"/>
      <c r="N1411" s="643"/>
      <c r="O1411" s="2083"/>
      <c r="P1411" s="643"/>
      <c r="Q1411" s="643"/>
      <c r="R1411" s="280"/>
      <c r="S1411" s="280"/>
      <c r="T1411" s="280"/>
      <c r="U1411" s="280"/>
      <c r="V1411" s="280"/>
      <c r="W1411" s="79"/>
    </row>
    <row r="1412" spans="1:23" ht="15.75">
      <c r="A1412" s="2080"/>
      <c r="B1412" s="705"/>
      <c r="C1412" s="90"/>
      <c r="D1412" s="2081"/>
      <c r="E1412" s="2082"/>
      <c r="F1412" s="1954"/>
      <c r="G1412" s="90"/>
      <c r="H1412" s="90"/>
      <c r="I1412" s="90"/>
      <c r="J1412" s="90"/>
      <c r="K1412" s="90"/>
      <c r="L1412" s="90"/>
      <c r="M1412" s="1956"/>
      <c r="N1412" s="643"/>
      <c r="O1412" s="2083"/>
      <c r="P1412" s="643"/>
      <c r="Q1412" s="643"/>
      <c r="R1412" s="280"/>
      <c r="S1412" s="280"/>
      <c r="T1412" s="280"/>
      <c r="U1412" s="280"/>
      <c r="V1412" s="280"/>
      <c r="W1412" s="79"/>
    </row>
    <row r="1413" spans="1:23" ht="15.75">
      <c r="A1413" s="2080"/>
      <c r="B1413" s="705"/>
      <c r="C1413" s="90"/>
      <c r="D1413" s="2081"/>
      <c r="E1413" s="2082"/>
      <c r="F1413" s="1954"/>
      <c r="G1413" s="90"/>
      <c r="H1413" s="90"/>
      <c r="I1413" s="90"/>
      <c r="J1413" s="90"/>
      <c r="K1413" s="90"/>
      <c r="L1413" s="90"/>
      <c r="M1413" s="1956"/>
      <c r="N1413" s="643"/>
      <c r="O1413" s="2083"/>
      <c r="P1413" s="643"/>
      <c r="Q1413" s="643"/>
      <c r="R1413" s="280"/>
      <c r="S1413" s="280"/>
      <c r="T1413" s="280"/>
      <c r="U1413" s="280"/>
      <c r="V1413" s="280"/>
      <c r="W1413" s="79"/>
    </row>
    <row r="1414" spans="1:23" ht="15.75">
      <c r="A1414" s="2080"/>
      <c r="B1414" s="705"/>
      <c r="C1414" s="90"/>
      <c r="D1414" s="2081"/>
      <c r="E1414" s="2082"/>
      <c r="F1414" s="1954"/>
      <c r="G1414" s="90"/>
      <c r="H1414" s="90"/>
      <c r="I1414" s="90"/>
      <c r="J1414" s="90"/>
      <c r="K1414" s="90"/>
      <c r="L1414" s="90"/>
      <c r="M1414" s="1956"/>
      <c r="N1414" s="643"/>
      <c r="O1414" s="2083"/>
      <c r="P1414" s="643"/>
      <c r="Q1414" s="643"/>
      <c r="R1414" s="280"/>
      <c r="S1414" s="280"/>
      <c r="T1414" s="280"/>
      <c r="U1414" s="280"/>
      <c r="V1414" s="280"/>
      <c r="W1414" s="79"/>
    </row>
    <row r="1415" spans="1:23" ht="15.75">
      <c r="A1415" s="2080"/>
      <c r="B1415" s="705"/>
      <c r="C1415" s="90"/>
      <c r="D1415" s="2081"/>
      <c r="E1415" s="2082"/>
      <c r="F1415" s="1954"/>
      <c r="G1415" s="90"/>
      <c r="H1415" s="90"/>
      <c r="I1415" s="90"/>
      <c r="J1415" s="90"/>
      <c r="K1415" s="90"/>
      <c r="L1415" s="90"/>
      <c r="M1415" s="1956"/>
      <c r="N1415" s="643"/>
      <c r="O1415" s="2083"/>
      <c r="P1415" s="643"/>
      <c r="Q1415" s="643"/>
      <c r="R1415" s="280"/>
      <c r="S1415" s="280"/>
      <c r="T1415" s="280"/>
      <c r="U1415" s="280"/>
      <c r="V1415" s="280"/>
      <c r="W1415" s="79"/>
    </row>
    <row r="1416" spans="1:23" ht="15.75">
      <c r="A1416" s="2080"/>
      <c r="B1416" s="705"/>
      <c r="C1416" s="90"/>
      <c r="D1416" s="2081"/>
      <c r="E1416" s="2082"/>
      <c r="F1416" s="1954"/>
      <c r="G1416" s="90"/>
      <c r="H1416" s="90"/>
      <c r="I1416" s="90"/>
      <c r="J1416" s="90"/>
      <c r="K1416" s="90"/>
      <c r="L1416" s="90"/>
      <c r="M1416" s="1956"/>
      <c r="N1416" s="643"/>
      <c r="O1416" s="2083"/>
      <c r="P1416" s="643"/>
      <c r="Q1416" s="643"/>
      <c r="R1416" s="280"/>
      <c r="S1416" s="280"/>
      <c r="T1416" s="280"/>
      <c r="U1416" s="280"/>
      <c r="V1416" s="280"/>
      <c r="W1416" s="79"/>
    </row>
    <row r="1417" spans="1:23" ht="15.75">
      <c r="A1417" s="2080"/>
      <c r="B1417" s="705"/>
      <c r="C1417" s="90"/>
      <c r="D1417" s="2081"/>
      <c r="E1417" s="2082"/>
      <c r="F1417" s="1954"/>
      <c r="G1417" s="90"/>
      <c r="H1417" s="90"/>
      <c r="I1417" s="90"/>
      <c r="J1417" s="90"/>
      <c r="K1417" s="90"/>
      <c r="L1417" s="90"/>
      <c r="M1417" s="1956"/>
      <c r="N1417" s="643"/>
      <c r="O1417" s="2083"/>
      <c r="P1417" s="643"/>
      <c r="Q1417" s="643"/>
      <c r="R1417" s="280"/>
      <c r="S1417" s="280"/>
      <c r="T1417" s="280"/>
      <c r="U1417" s="280"/>
      <c r="V1417" s="280"/>
      <c r="W1417" s="79"/>
    </row>
    <row r="1418" spans="1:23" ht="15.75">
      <c r="A1418" s="2080"/>
      <c r="B1418" s="705"/>
      <c r="C1418" s="90"/>
      <c r="D1418" s="2081"/>
      <c r="E1418" s="2082"/>
      <c r="F1418" s="1954"/>
      <c r="G1418" s="90"/>
      <c r="H1418" s="90"/>
      <c r="I1418" s="90"/>
      <c r="J1418" s="90"/>
      <c r="K1418" s="90"/>
      <c r="L1418" s="90"/>
      <c r="M1418" s="1956"/>
      <c r="N1418" s="643"/>
      <c r="O1418" s="2083"/>
      <c r="P1418" s="643"/>
      <c r="Q1418" s="643"/>
      <c r="R1418" s="280"/>
      <c r="S1418" s="280"/>
      <c r="T1418" s="280"/>
      <c r="U1418" s="280"/>
      <c r="V1418" s="280"/>
      <c r="W1418" s="79"/>
    </row>
    <row r="1419" spans="1:23" ht="15.75">
      <c r="A1419" s="2080"/>
      <c r="B1419" s="705"/>
      <c r="C1419" s="90"/>
      <c r="D1419" s="2081"/>
      <c r="E1419" s="2082"/>
      <c r="F1419" s="1954"/>
      <c r="G1419" s="90"/>
      <c r="H1419" s="90"/>
      <c r="I1419" s="90"/>
      <c r="J1419" s="90"/>
      <c r="K1419" s="90"/>
      <c r="L1419" s="90"/>
      <c r="M1419" s="1956"/>
      <c r="N1419" s="643"/>
      <c r="O1419" s="2083"/>
      <c r="P1419" s="643"/>
      <c r="Q1419" s="643"/>
      <c r="R1419" s="280"/>
      <c r="S1419" s="280"/>
      <c r="T1419" s="280"/>
      <c r="U1419" s="280"/>
      <c r="V1419" s="280"/>
      <c r="W1419" s="79"/>
    </row>
    <row r="1420" spans="1:23" ht="15.75">
      <c r="A1420" s="2080"/>
      <c r="B1420" s="705"/>
      <c r="C1420" s="90"/>
      <c r="D1420" s="2081"/>
      <c r="E1420" s="2082"/>
      <c r="F1420" s="1954"/>
      <c r="G1420" s="90"/>
      <c r="H1420" s="90"/>
      <c r="I1420" s="90"/>
      <c r="J1420" s="90"/>
      <c r="K1420" s="90"/>
      <c r="L1420" s="90"/>
      <c r="M1420" s="1956"/>
      <c r="N1420" s="643"/>
      <c r="O1420" s="2083"/>
      <c r="P1420" s="643"/>
      <c r="Q1420" s="643"/>
      <c r="R1420" s="280"/>
      <c r="S1420" s="280"/>
      <c r="T1420" s="280"/>
      <c r="U1420" s="280"/>
      <c r="V1420" s="280"/>
      <c r="W1420" s="79"/>
    </row>
    <row r="1421" spans="1:23" ht="15.75">
      <c r="A1421" s="2080"/>
      <c r="B1421" s="705"/>
      <c r="C1421" s="90"/>
      <c r="D1421" s="2081"/>
      <c r="E1421" s="2082"/>
      <c r="F1421" s="1954"/>
      <c r="G1421" s="90"/>
      <c r="H1421" s="90"/>
      <c r="I1421" s="90"/>
      <c r="J1421" s="90"/>
      <c r="K1421" s="90"/>
      <c r="L1421" s="90"/>
      <c r="M1421" s="1956"/>
      <c r="N1421" s="643"/>
      <c r="O1421" s="2083"/>
      <c r="P1421" s="643"/>
      <c r="Q1421" s="643"/>
      <c r="R1421" s="280"/>
      <c r="S1421" s="280"/>
      <c r="T1421" s="280"/>
      <c r="U1421" s="280"/>
      <c r="V1421" s="280"/>
      <c r="W1421" s="79"/>
    </row>
    <row r="1422" spans="1:23" ht="15.75">
      <c r="A1422" s="2080"/>
      <c r="B1422" s="705"/>
      <c r="C1422" s="90"/>
      <c r="D1422" s="2081"/>
      <c r="E1422" s="2082"/>
      <c r="F1422" s="1954"/>
      <c r="G1422" s="90"/>
      <c r="H1422" s="90"/>
      <c r="I1422" s="90"/>
      <c r="J1422" s="90"/>
      <c r="K1422" s="90"/>
      <c r="L1422" s="90"/>
      <c r="M1422" s="1956"/>
      <c r="N1422" s="643"/>
      <c r="O1422" s="2083"/>
      <c r="P1422" s="643"/>
      <c r="Q1422" s="643"/>
      <c r="R1422" s="280"/>
      <c r="S1422" s="280"/>
      <c r="T1422" s="280"/>
      <c r="U1422" s="280"/>
      <c r="V1422" s="280"/>
      <c r="W1422" s="79"/>
    </row>
    <row r="1423" spans="1:23" ht="15.75">
      <c r="A1423" s="2080"/>
      <c r="B1423" s="705"/>
      <c r="C1423" s="90"/>
      <c r="D1423" s="2081"/>
      <c r="E1423" s="2082"/>
      <c r="F1423" s="1954"/>
      <c r="G1423" s="90"/>
      <c r="H1423" s="90"/>
      <c r="I1423" s="90"/>
      <c r="J1423" s="90"/>
      <c r="K1423" s="90"/>
      <c r="L1423" s="90"/>
      <c r="M1423" s="1956"/>
      <c r="N1423" s="643"/>
      <c r="O1423" s="2083"/>
      <c r="P1423" s="643"/>
      <c r="Q1423" s="643"/>
      <c r="R1423" s="280"/>
      <c r="S1423" s="280"/>
      <c r="T1423" s="280"/>
      <c r="U1423" s="280"/>
      <c r="V1423" s="280"/>
      <c r="W1423" s="79"/>
    </row>
    <row r="1424" spans="1:23" ht="15.75">
      <c r="A1424" s="2080"/>
      <c r="B1424" s="705"/>
      <c r="C1424" s="90"/>
      <c r="D1424" s="2081"/>
      <c r="E1424" s="2082"/>
      <c r="F1424" s="1954"/>
      <c r="G1424" s="90"/>
      <c r="H1424" s="90"/>
      <c r="I1424" s="90"/>
      <c r="J1424" s="90"/>
      <c r="K1424" s="90"/>
      <c r="L1424" s="90"/>
      <c r="M1424" s="1956"/>
      <c r="N1424" s="643"/>
      <c r="O1424" s="2083"/>
      <c r="P1424" s="643"/>
      <c r="Q1424" s="643"/>
      <c r="R1424" s="280"/>
      <c r="S1424" s="280"/>
      <c r="T1424" s="280"/>
      <c r="U1424" s="280"/>
      <c r="V1424" s="280"/>
      <c r="W1424" s="79"/>
    </row>
    <row r="1425" spans="1:23" ht="15.75">
      <c r="A1425" s="2080"/>
      <c r="B1425" s="705"/>
      <c r="C1425" s="90"/>
      <c r="D1425" s="2081"/>
      <c r="E1425" s="2082"/>
      <c r="F1425" s="1954"/>
      <c r="G1425" s="90"/>
      <c r="H1425" s="90"/>
      <c r="I1425" s="90"/>
      <c r="J1425" s="90"/>
      <c r="K1425" s="90"/>
      <c r="L1425" s="90"/>
      <c r="M1425" s="1956"/>
      <c r="N1425" s="643"/>
      <c r="O1425" s="2083"/>
      <c r="P1425" s="643"/>
      <c r="Q1425" s="643"/>
      <c r="R1425" s="280"/>
      <c r="S1425" s="280"/>
      <c r="T1425" s="280"/>
      <c r="U1425" s="280"/>
      <c r="V1425" s="280"/>
      <c r="W1425" s="79"/>
    </row>
    <row r="1426" spans="1:23" ht="15.75">
      <c r="A1426" s="2080"/>
      <c r="B1426" s="705"/>
      <c r="C1426" s="90"/>
      <c r="D1426" s="2081"/>
      <c r="E1426" s="2082"/>
      <c r="F1426" s="1954"/>
      <c r="G1426" s="90"/>
      <c r="H1426" s="90"/>
      <c r="I1426" s="90"/>
      <c r="J1426" s="90"/>
      <c r="K1426" s="90"/>
      <c r="L1426" s="90"/>
      <c r="M1426" s="1956"/>
      <c r="N1426" s="643"/>
      <c r="O1426" s="2083"/>
      <c r="P1426" s="643"/>
      <c r="Q1426" s="643"/>
      <c r="R1426" s="280"/>
      <c r="S1426" s="280"/>
      <c r="T1426" s="280"/>
      <c r="U1426" s="280"/>
      <c r="V1426" s="280"/>
      <c r="W1426" s="79"/>
    </row>
    <row r="1427" spans="1:23" ht="15.75">
      <c r="A1427" s="2080"/>
      <c r="B1427" s="705"/>
      <c r="C1427" s="90"/>
      <c r="D1427" s="2081"/>
      <c r="E1427" s="2082"/>
      <c r="F1427" s="1954"/>
      <c r="G1427" s="90"/>
      <c r="H1427" s="90"/>
      <c r="I1427" s="90"/>
      <c r="J1427" s="90"/>
      <c r="K1427" s="90"/>
      <c r="L1427" s="90"/>
      <c r="M1427" s="1956"/>
      <c r="N1427" s="643"/>
      <c r="O1427" s="2083"/>
      <c r="P1427" s="643"/>
      <c r="Q1427" s="643"/>
      <c r="R1427" s="280"/>
      <c r="S1427" s="280"/>
      <c r="T1427" s="280"/>
      <c r="U1427" s="280"/>
      <c r="V1427" s="280"/>
      <c r="W1427" s="79"/>
    </row>
    <row r="1428" spans="1:23" ht="15.75">
      <c r="A1428" s="2080"/>
      <c r="B1428" s="705"/>
      <c r="C1428" s="90"/>
      <c r="D1428" s="2081"/>
      <c r="E1428" s="2082"/>
      <c r="F1428" s="1954"/>
      <c r="G1428" s="90"/>
      <c r="H1428" s="90"/>
      <c r="I1428" s="90"/>
      <c r="J1428" s="90"/>
      <c r="K1428" s="90"/>
      <c r="L1428" s="90"/>
      <c r="M1428" s="1956"/>
      <c r="N1428" s="643"/>
      <c r="O1428" s="2083"/>
      <c r="P1428" s="643"/>
      <c r="Q1428" s="643"/>
      <c r="R1428" s="280"/>
      <c r="S1428" s="280"/>
      <c r="T1428" s="280"/>
      <c r="U1428" s="280"/>
      <c r="V1428" s="280"/>
      <c r="W1428" s="79"/>
    </row>
    <row r="1429" spans="1:23" ht="15.75">
      <c r="A1429" s="2080"/>
      <c r="B1429" s="705"/>
      <c r="C1429" s="90"/>
      <c r="D1429" s="2081"/>
      <c r="E1429" s="2082"/>
      <c r="F1429" s="1954"/>
      <c r="G1429" s="90"/>
      <c r="H1429" s="90"/>
      <c r="I1429" s="90"/>
      <c r="J1429" s="90"/>
      <c r="K1429" s="90"/>
      <c r="L1429" s="90"/>
      <c r="M1429" s="1956"/>
      <c r="N1429" s="643"/>
      <c r="O1429" s="2083"/>
      <c r="P1429" s="643"/>
      <c r="Q1429" s="643"/>
      <c r="R1429" s="280"/>
      <c r="S1429" s="280"/>
      <c r="T1429" s="280"/>
      <c r="U1429" s="280"/>
      <c r="V1429" s="280"/>
      <c r="W1429" s="79"/>
    </row>
    <row r="1430" spans="1:23" ht="15.75">
      <c r="A1430" s="2080"/>
      <c r="B1430" s="705"/>
      <c r="C1430" s="90"/>
      <c r="D1430" s="2081"/>
      <c r="E1430" s="2082"/>
      <c r="F1430" s="1954"/>
      <c r="G1430" s="90"/>
      <c r="H1430" s="90"/>
      <c r="I1430" s="90"/>
      <c r="J1430" s="90"/>
      <c r="K1430" s="90"/>
      <c r="L1430" s="90"/>
      <c r="M1430" s="1956"/>
      <c r="N1430" s="643"/>
      <c r="O1430" s="2083"/>
      <c r="P1430" s="643"/>
      <c r="Q1430" s="643"/>
      <c r="R1430" s="280"/>
      <c r="S1430" s="280"/>
      <c r="T1430" s="280"/>
      <c r="U1430" s="280"/>
      <c r="V1430" s="280"/>
      <c r="W1430" s="79"/>
    </row>
    <row r="1431" spans="1:23" ht="15.75">
      <c r="A1431" s="2080"/>
      <c r="B1431" s="705"/>
      <c r="C1431" s="90"/>
      <c r="D1431" s="2081"/>
      <c r="E1431" s="2082"/>
      <c r="F1431" s="1954"/>
      <c r="G1431" s="90"/>
      <c r="H1431" s="90"/>
      <c r="I1431" s="90"/>
      <c r="J1431" s="90"/>
      <c r="K1431" s="90"/>
      <c r="L1431" s="90"/>
      <c r="M1431" s="1956"/>
      <c r="N1431" s="643"/>
      <c r="O1431" s="2083"/>
      <c r="P1431" s="643"/>
      <c r="Q1431" s="643"/>
      <c r="R1431" s="280"/>
      <c r="S1431" s="280"/>
      <c r="T1431" s="280"/>
      <c r="U1431" s="280"/>
      <c r="V1431" s="280"/>
      <c r="W1431" s="79"/>
    </row>
    <row r="1432" spans="1:23" ht="15.75">
      <c r="A1432" s="2080"/>
      <c r="B1432" s="705"/>
      <c r="C1432" s="90"/>
      <c r="D1432" s="2081"/>
      <c r="E1432" s="2082"/>
      <c r="F1432" s="1954"/>
      <c r="G1432" s="90"/>
      <c r="H1432" s="90"/>
      <c r="I1432" s="90"/>
      <c r="J1432" s="90"/>
      <c r="K1432" s="90"/>
      <c r="L1432" s="90"/>
      <c r="M1432" s="1956"/>
      <c r="N1432" s="643"/>
      <c r="O1432" s="2083"/>
      <c r="P1432" s="643"/>
      <c r="Q1432" s="643"/>
      <c r="R1432" s="280"/>
      <c r="S1432" s="280"/>
      <c r="T1432" s="280"/>
      <c r="U1432" s="280"/>
      <c r="V1432" s="280"/>
      <c r="W1432" s="79"/>
    </row>
    <row r="1433" spans="1:23" ht="15.75">
      <c r="A1433" s="2080"/>
      <c r="B1433" s="705"/>
      <c r="C1433" s="90"/>
      <c r="D1433" s="2081"/>
      <c r="E1433" s="2082"/>
      <c r="F1433" s="1954"/>
      <c r="G1433" s="90"/>
      <c r="H1433" s="90"/>
      <c r="I1433" s="90"/>
      <c r="J1433" s="90"/>
      <c r="K1433" s="90"/>
      <c r="L1433" s="90"/>
      <c r="M1433" s="1956"/>
      <c r="N1433" s="643"/>
      <c r="O1433" s="2083"/>
      <c r="P1433" s="643"/>
      <c r="Q1433" s="643"/>
      <c r="R1433" s="280"/>
      <c r="S1433" s="280"/>
      <c r="T1433" s="280"/>
      <c r="U1433" s="280"/>
      <c r="V1433" s="280"/>
      <c r="W1433" s="79"/>
    </row>
    <row r="1434" spans="1:23" ht="15.75">
      <c r="A1434" s="2080"/>
      <c r="B1434" s="705"/>
      <c r="C1434" s="90"/>
      <c r="D1434" s="2081"/>
      <c r="E1434" s="2082"/>
      <c r="F1434" s="1954"/>
      <c r="G1434" s="90"/>
      <c r="H1434" s="90"/>
      <c r="I1434" s="90"/>
      <c r="J1434" s="90"/>
      <c r="K1434" s="90"/>
      <c r="L1434" s="90"/>
      <c r="M1434" s="1956"/>
      <c r="N1434" s="643"/>
      <c r="O1434" s="2083"/>
      <c r="P1434" s="643"/>
      <c r="Q1434" s="643"/>
      <c r="R1434" s="280"/>
      <c r="S1434" s="280"/>
      <c r="T1434" s="280"/>
      <c r="U1434" s="280"/>
      <c r="V1434" s="280"/>
      <c r="W1434" s="79"/>
    </row>
    <row r="1435" spans="1:23" ht="15.75">
      <c r="A1435" s="2080"/>
      <c r="B1435" s="705"/>
      <c r="C1435" s="90"/>
      <c r="D1435" s="2081"/>
      <c r="E1435" s="2082"/>
      <c r="F1435" s="1954"/>
      <c r="G1435" s="90"/>
      <c r="H1435" s="90"/>
      <c r="I1435" s="90"/>
      <c r="J1435" s="90"/>
      <c r="K1435" s="90"/>
      <c r="L1435" s="90"/>
      <c r="M1435" s="1956"/>
      <c r="N1435" s="643"/>
      <c r="O1435" s="2083"/>
      <c r="P1435" s="643"/>
      <c r="Q1435" s="643"/>
      <c r="R1435" s="280"/>
      <c r="S1435" s="280"/>
      <c r="T1435" s="280"/>
      <c r="U1435" s="280"/>
      <c r="V1435" s="280"/>
      <c r="W1435" s="79"/>
    </row>
    <row r="1436" spans="1:23" ht="15.75">
      <c r="A1436" s="2080"/>
      <c r="B1436" s="705"/>
      <c r="C1436" s="90"/>
      <c r="D1436" s="2081"/>
      <c r="E1436" s="2082"/>
      <c r="F1436" s="1954"/>
      <c r="G1436" s="90"/>
      <c r="H1436" s="90"/>
      <c r="I1436" s="90"/>
      <c r="J1436" s="90"/>
      <c r="K1436" s="90"/>
      <c r="L1436" s="90"/>
      <c r="M1436" s="1956"/>
      <c r="N1436" s="643"/>
      <c r="O1436" s="2083"/>
      <c r="P1436" s="643"/>
      <c r="Q1436" s="643"/>
      <c r="R1436" s="280"/>
      <c r="S1436" s="280"/>
      <c r="T1436" s="280"/>
      <c r="U1436" s="280"/>
      <c r="V1436" s="280"/>
      <c r="W1436" s="79"/>
    </row>
    <row r="1437" spans="1:23" ht="15.75">
      <c r="A1437" s="2080"/>
      <c r="B1437" s="705"/>
      <c r="C1437" s="90"/>
      <c r="D1437" s="2081"/>
      <c r="E1437" s="2082"/>
      <c r="F1437" s="1954"/>
      <c r="G1437" s="90"/>
      <c r="H1437" s="90"/>
      <c r="I1437" s="90"/>
      <c r="J1437" s="90"/>
      <c r="K1437" s="90"/>
      <c r="L1437" s="90"/>
      <c r="M1437" s="1956"/>
      <c r="N1437" s="643"/>
      <c r="O1437" s="2083"/>
      <c r="P1437" s="643"/>
      <c r="Q1437" s="643"/>
      <c r="R1437" s="280"/>
      <c r="S1437" s="280"/>
      <c r="T1437" s="280"/>
      <c r="U1437" s="280"/>
      <c r="V1437" s="280"/>
      <c r="W1437" s="79"/>
    </row>
    <row r="1438" spans="1:23" ht="15.75">
      <c r="A1438" s="2080"/>
      <c r="B1438" s="705"/>
      <c r="C1438" s="90"/>
      <c r="D1438" s="2081"/>
      <c r="E1438" s="2082"/>
      <c r="F1438" s="1954"/>
      <c r="G1438" s="90"/>
      <c r="H1438" s="90"/>
      <c r="I1438" s="90"/>
      <c r="J1438" s="90"/>
      <c r="K1438" s="90"/>
      <c r="L1438" s="90"/>
      <c r="M1438" s="1956"/>
      <c r="N1438" s="643"/>
      <c r="O1438" s="2083"/>
      <c r="P1438" s="643"/>
      <c r="Q1438" s="643"/>
      <c r="R1438" s="280"/>
      <c r="S1438" s="280"/>
      <c r="T1438" s="280"/>
      <c r="U1438" s="280"/>
      <c r="V1438" s="280"/>
      <c r="W1438" s="79"/>
    </row>
    <row r="1439" spans="1:23" ht="15.75">
      <c r="A1439" s="2080"/>
      <c r="B1439" s="705"/>
      <c r="C1439" s="90"/>
      <c r="D1439" s="2081"/>
      <c r="E1439" s="2082"/>
      <c r="F1439" s="1954"/>
      <c r="G1439" s="90"/>
      <c r="H1439" s="90"/>
      <c r="I1439" s="90"/>
      <c r="J1439" s="90"/>
      <c r="K1439" s="90"/>
      <c r="L1439" s="90"/>
      <c r="M1439" s="1956"/>
      <c r="N1439" s="643"/>
      <c r="O1439" s="2083"/>
      <c r="P1439" s="643"/>
      <c r="Q1439" s="643"/>
      <c r="R1439" s="280"/>
      <c r="S1439" s="280"/>
      <c r="T1439" s="280"/>
      <c r="U1439" s="280"/>
      <c r="V1439" s="280"/>
      <c r="W1439" s="79"/>
    </row>
    <row r="1440" spans="1:23" ht="15.75">
      <c r="A1440" s="2080"/>
      <c r="B1440" s="705"/>
      <c r="C1440" s="90"/>
      <c r="D1440" s="2081"/>
      <c r="E1440" s="2082"/>
      <c r="F1440" s="1954"/>
      <c r="G1440" s="90"/>
      <c r="H1440" s="90"/>
      <c r="I1440" s="90"/>
      <c r="J1440" s="90"/>
      <c r="K1440" s="90"/>
      <c r="L1440" s="90"/>
      <c r="M1440" s="1956"/>
      <c r="N1440" s="643"/>
      <c r="O1440" s="2083"/>
      <c r="P1440" s="643"/>
      <c r="Q1440" s="643"/>
      <c r="R1440" s="280"/>
      <c r="S1440" s="280"/>
      <c r="T1440" s="280"/>
      <c r="U1440" s="280"/>
      <c r="V1440" s="280"/>
      <c r="W1440" s="79"/>
    </row>
    <row r="1441" spans="1:23" ht="15.75">
      <c r="A1441" s="2080"/>
      <c r="B1441" s="705"/>
      <c r="C1441" s="90"/>
      <c r="D1441" s="2081"/>
      <c r="E1441" s="2082"/>
      <c r="F1441" s="1954"/>
      <c r="G1441" s="90"/>
      <c r="H1441" s="90"/>
      <c r="I1441" s="90"/>
      <c r="J1441" s="90"/>
      <c r="K1441" s="90"/>
      <c r="L1441" s="90"/>
      <c r="M1441" s="1956"/>
      <c r="N1441" s="643"/>
      <c r="O1441" s="2083"/>
      <c r="P1441" s="643"/>
      <c r="Q1441" s="643"/>
      <c r="R1441" s="280"/>
      <c r="S1441" s="280"/>
      <c r="T1441" s="280"/>
      <c r="U1441" s="280"/>
      <c r="V1441" s="280"/>
      <c r="W1441" s="79"/>
    </row>
    <row r="1442" spans="1:23" ht="15.75">
      <c r="A1442" s="2080"/>
      <c r="B1442" s="705"/>
      <c r="C1442" s="90"/>
      <c r="D1442" s="2081"/>
      <c r="E1442" s="2082"/>
      <c r="F1442" s="1954"/>
      <c r="G1442" s="90"/>
      <c r="H1442" s="90"/>
      <c r="I1442" s="90"/>
      <c r="J1442" s="90"/>
      <c r="K1442" s="90"/>
      <c r="L1442" s="90"/>
      <c r="M1442" s="1956"/>
      <c r="N1442" s="643"/>
      <c r="O1442" s="2083"/>
      <c r="P1442" s="643"/>
      <c r="Q1442" s="643"/>
      <c r="R1442" s="280"/>
      <c r="S1442" s="280"/>
      <c r="T1442" s="280"/>
      <c r="U1442" s="280"/>
      <c r="V1442" s="280"/>
      <c r="W1442" s="79"/>
    </row>
    <row r="1443" spans="1:23" ht="15.75">
      <c r="A1443" s="2080"/>
      <c r="B1443" s="705"/>
      <c r="C1443" s="90"/>
      <c r="D1443" s="2081"/>
      <c r="E1443" s="2082"/>
      <c r="F1443" s="1954"/>
      <c r="G1443" s="90"/>
      <c r="H1443" s="90"/>
      <c r="I1443" s="90"/>
      <c r="J1443" s="90"/>
      <c r="K1443" s="90"/>
      <c r="L1443" s="90"/>
      <c r="M1443" s="1956"/>
      <c r="N1443" s="643"/>
      <c r="O1443" s="2083"/>
      <c r="P1443" s="643"/>
      <c r="Q1443" s="643"/>
      <c r="R1443" s="280"/>
      <c r="S1443" s="280"/>
      <c r="T1443" s="280"/>
      <c r="U1443" s="280"/>
      <c r="V1443" s="280"/>
      <c r="W1443" s="79"/>
    </row>
    <row r="1444" spans="1:23" ht="15.75">
      <c r="A1444" s="2080"/>
      <c r="B1444" s="705"/>
      <c r="C1444" s="90"/>
      <c r="D1444" s="2081"/>
      <c r="E1444" s="2082"/>
      <c r="F1444" s="1954"/>
      <c r="G1444" s="90"/>
      <c r="H1444" s="90"/>
      <c r="I1444" s="90"/>
      <c r="J1444" s="90"/>
      <c r="K1444" s="90"/>
      <c r="L1444" s="90"/>
      <c r="M1444" s="1956"/>
      <c r="N1444" s="643"/>
      <c r="O1444" s="2083"/>
      <c r="P1444" s="643"/>
      <c r="Q1444" s="643"/>
      <c r="R1444" s="280"/>
      <c r="S1444" s="280"/>
      <c r="T1444" s="280"/>
      <c r="U1444" s="280"/>
      <c r="V1444" s="280"/>
      <c r="W1444" s="79"/>
    </row>
    <row r="1445" spans="1:23" ht="15.75">
      <c r="A1445" s="2080"/>
      <c r="B1445" s="705"/>
      <c r="C1445" s="90"/>
      <c r="D1445" s="2081"/>
      <c r="E1445" s="2082"/>
      <c r="F1445" s="1954"/>
      <c r="G1445" s="90"/>
      <c r="H1445" s="90"/>
      <c r="I1445" s="90"/>
      <c r="J1445" s="90"/>
      <c r="K1445" s="90"/>
      <c r="L1445" s="90"/>
      <c r="M1445" s="1956"/>
      <c r="N1445" s="643"/>
      <c r="O1445" s="2083"/>
      <c r="P1445" s="643"/>
      <c r="Q1445" s="643"/>
      <c r="R1445" s="280"/>
      <c r="S1445" s="280"/>
      <c r="T1445" s="280"/>
      <c r="U1445" s="280"/>
      <c r="V1445" s="280"/>
      <c r="W1445" s="79"/>
    </row>
    <row r="1446" spans="1:23" ht="15.75">
      <c r="A1446" s="2080"/>
      <c r="B1446" s="705"/>
      <c r="C1446" s="90"/>
      <c r="D1446" s="2081"/>
      <c r="E1446" s="2082"/>
      <c r="F1446" s="1954"/>
      <c r="G1446" s="90"/>
      <c r="H1446" s="90"/>
      <c r="I1446" s="90"/>
      <c r="J1446" s="90"/>
      <c r="K1446" s="90"/>
      <c r="L1446" s="90"/>
      <c r="M1446" s="1956"/>
      <c r="N1446" s="643"/>
      <c r="O1446" s="2083"/>
      <c r="P1446" s="643"/>
      <c r="Q1446" s="643"/>
      <c r="R1446" s="280"/>
      <c r="S1446" s="280"/>
      <c r="T1446" s="280"/>
      <c r="U1446" s="280"/>
      <c r="V1446" s="280"/>
      <c r="W1446" s="79"/>
    </row>
    <row r="1447" spans="1:23" ht="15.75">
      <c r="A1447" s="2080"/>
      <c r="B1447" s="705"/>
      <c r="C1447" s="90"/>
      <c r="D1447" s="2081"/>
      <c r="E1447" s="2082"/>
      <c r="F1447" s="1954"/>
      <c r="G1447" s="90"/>
      <c r="H1447" s="90"/>
      <c r="I1447" s="90"/>
      <c r="J1447" s="90"/>
      <c r="K1447" s="90"/>
      <c r="L1447" s="90"/>
      <c r="M1447" s="1956"/>
      <c r="N1447" s="643"/>
      <c r="O1447" s="2083"/>
      <c r="P1447" s="643"/>
      <c r="Q1447" s="643"/>
      <c r="R1447" s="280"/>
      <c r="S1447" s="280"/>
      <c r="T1447" s="280"/>
      <c r="U1447" s="280"/>
      <c r="V1447" s="280"/>
      <c r="W1447" s="79"/>
    </row>
    <row r="1448" spans="1:23" ht="15.75">
      <c r="A1448" s="2080"/>
      <c r="B1448" s="705"/>
      <c r="C1448" s="90"/>
      <c r="D1448" s="2081"/>
      <c r="E1448" s="2082"/>
      <c r="F1448" s="1954"/>
      <c r="G1448" s="90"/>
      <c r="H1448" s="90"/>
      <c r="I1448" s="90"/>
      <c r="J1448" s="90"/>
      <c r="K1448" s="90"/>
      <c r="L1448" s="90"/>
      <c r="M1448" s="1956"/>
      <c r="N1448" s="643"/>
      <c r="O1448" s="2083"/>
      <c r="P1448" s="643"/>
      <c r="Q1448" s="643"/>
      <c r="R1448" s="280"/>
      <c r="S1448" s="280"/>
      <c r="T1448" s="280"/>
      <c r="U1448" s="280"/>
      <c r="V1448" s="280"/>
      <c r="W1448" s="79"/>
    </row>
    <row r="1449" spans="1:23" ht="15.75">
      <c r="A1449" s="2080"/>
      <c r="B1449" s="705"/>
      <c r="C1449" s="90"/>
      <c r="D1449" s="2081"/>
      <c r="E1449" s="2082"/>
      <c r="F1449" s="1954"/>
      <c r="G1449" s="90"/>
      <c r="H1449" s="90"/>
      <c r="I1449" s="90"/>
      <c r="J1449" s="90"/>
      <c r="K1449" s="90"/>
      <c r="L1449" s="90"/>
      <c r="M1449" s="1956"/>
      <c r="N1449" s="643"/>
      <c r="O1449" s="2083"/>
      <c r="P1449" s="643"/>
      <c r="Q1449" s="643"/>
      <c r="R1449" s="280"/>
      <c r="S1449" s="280"/>
      <c r="T1449" s="280"/>
      <c r="U1449" s="280"/>
      <c r="V1449" s="280"/>
      <c r="W1449" s="79"/>
    </row>
    <row r="1450" spans="1:23" ht="15.75">
      <c r="A1450" s="2080"/>
      <c r="B1450" s="705"/>
      <c r="C1450" s="90"/>
      <c r="D1450" s="2081"/>
      <c r="E1450" s="2082"/>
      <c r="F1450" s="1954"/>
      <c r="G1450" s="90"/>
      <c r="H1450" s="90"/>
      <c r="I1450" s="90"/>
      <c r="J1450" s="90"/>
      <c r="K1450" s="90"/>
      <c r="L1450" s="90"/>
      <c r="M1450" s="1956"/>
      <c r="N1450" s="643"/>
      <c r="O1450" s="2083"/>
      <c r="P1450" s="643"/>
      <c r="Q1450" s="643"/>
      <c r="R1450" s="280"/>
      <c r="S1450" s="280"/>
      <c r="T1450" s="280"/>
      <c r="U1450" s="280"/>
      <c r="V1450" s="280"/>
      <c r="W1450" s="79"/>
    </row>
    <row r="1451" spans="1:23" ht="15.75">
      <c r="A1451" s="2080"/>
      <c r="B1451" s="705"/>
      <c r="C1451" s="90"/>
      <c r="D1451" s="2081"/>
      <c r="E1451" s="2082"/>
      <c r="F1451" s="1954"/>
      <c r="G1451" s="90"/>
      <c r="H1451" s="90"/>
      <c r="I1451" s="90"/>
      <c r="J1451" s="90"/>
      <c r="K1451" s="90"/>
      <c r="L1451" s="90"/>
      <c r="M1451" s="1956"/>
      <c r="N1451" s="643"/>
      <c r="O1451" s="2083"/>
      <c r="P1451" s="643"/>
      <c r="Q1451" s="643"/>
      <c r="R1451" s="280"/>
      <c r="S1451" s="280"/>
      <c r="T1451" s="280"/>
      <c r="U1451" s="280"/>
      <c r="V1451" s="280"/>
      <c r="W1451" s="79"/>
    </row>
    <row r="1452" spans="1:23" ht="15.75">
      <c r="A1452" s="2080"/>
      <c r="B1452" s="705"/>
      <c r="C1452" s="90"/>
      <c r="D1452" s="2081"/>
      <c r="E1452" s="2082"/>
      <c r="F1452" s="1954"/>
      <c r="G1452" s="90"/>
      <c r="H1452" s="90"/>
      <c r="I1452" s="90"/>
      <c r="J1452" s="90"/>
      <c r="K1452" s="90"/>
      <c r="L1452" s="90"/>
      <c r="M1452" s="1956"/>
      <c r="N1452" s="643"/>
      <c r="O1452" s="2083"/>
      <c r="P1452" s="643"/>
      <c r="Q1452" s="643"/>
      <c r="R1452" s="280"/>
      <c r="S1452" s="280"/>
      <c r="T1452" s="280"/>
      <c r="U1452" s="280"/>
      <c r="V1452" s="280"/>
      <c r="W1452" s="79"/>
    </row>
    <row r="1453" spans="1:23" ht="15.75">
      <c r="A1453" s="2080"/>
      <c r="B1453" s="705"/>
      <c r="C1453" s="90"/>
      <c r="D1453" s="2081"/>
      <c r="E1453" s="2082"/>
      <c r="F1453" s="1954"/>
      <c r="G1453" s="90"/>
      <c r="H1453" s="90"/>
      <c r="I1453" s="90"/>
      <c r="J1453" s="90"/>
      <c r="K1453" s="90"/>
      <c r="L1453" s="90"/>
      <c r="M1453" s="1956"/>
      <c r="N1453" s="643"/>
      <c r="O1453" s="2083"/>
      <c r="P1453" s="643"/>
      <c r="Q1453" s="643"/>
      <c r="R1453" s="280"/>
      <c r="S1453" s="280"/>
      <c r="T1453" s="280"/>
      <c r="U1453" s="280"/>
      <c r="V1453" s="280"/>
      <c r="W1453" s="79"/>
    </row>
    <row r="1454" spans="1:23" ht="15.75">
      <c r="A1454" s="2080"/>
      <c r="B1454" s="705"/>
      <c r="C1454" s="90"/>
      <c r="D1454" s="2081"/>
      <c r="E1454" s="2082"/>
      <c r="F1454" s="1954"/>
      <c r="G1454" s="90"/>
      <c r="H1454" s="90"/>
      <c r="I1454" s="90"/>
      <c r="J1454" s="90"/>
      <c r="K1454" s="90"/>
      <c r="L1454" s="90"/>
      <c r="M1454" s="1956"/>
      <c r="N1454" s="643"/>
      <c r="O1454" s="2083"/>
      <c r="P1454" s="643"/>
      <c r="Q1454" s="643"/>
      <c r="R1454" s="280"/>
      <c r="S1454" s="280"/>
      <c r="T1454" s="280"/>
      <c r="U1454" s="280"/>
      <c r="V1454" s="280"/>
      <c r="W1454" s="79"/>
    </row>
    <row r="1455" spans="1:23" ht="15.75">
      <c r="A1455" s="2080"/>
      <c r="B1455" s="705"/>
      <c r="C1455" s="90"/>
      <c r="D1455" s="2081"/>
      <c r="E1455" s="2082"/>
      <c r="F1455" s="1954"/>
      <c r="G1455" s="90"/>
      <c r="H1455" s="90"/>
      <c r="I1455" s="90"/>
      <c r="J1455" s="90"/>
      <c r="K1455" s="90"/>
      <c r="L1455" s="90"/>
      <c r="M1455" s="1956"/>
      <c r="N1455" s="643"/>
      <c r="O1455" s="2083"/>
      <c r="P1455" s="643"/>
      <c r="Q1455" s="643"/>
      <c r="R1455" s="280"/>
      <c r="S1455" s="280"/>
      <c r="T1455" s="280"/>
      <c r="U1455" s="280"/>
      <c r="V1455" s="280"/>
      <c r="W1455" s="79"/>
    </row>
    <row r="1456" spans="1:23" ht="15.75">
      <c r="A1456" s="2080"/>
      <c r="B1456" s="705"/>
      <c r="C1456" s="90"/>
      <c r="D1456" s="2081"/>
      <c r="E1456" s="2082"/>
      <c r="F1456" s="1954"/>
      <c r="G1456" s="90"/>
      <c r="H1456" s="90"/>
      <c r="I1456" s="90"/>
      <c r="J1456" s="90"/>
      <c r="K1456" s="90"/>
      <c r="L1456" s="90"/>
      <c r="M1456" s="1956"/>
      <c r="N1456" s="643"/>
      <c r="O1456" s="2083"/>
      <c r="P1456" s="643"/>
      <c r="Q1456" s="643"/>
      <c r="R1456" s="280"/>
      <c r="S1456" s="280"/>
      <c r="T1456" s="280"/>
      <c r="U1456" s="280"/>
      <c r="V1456" s="280"/>
      <c r="W1456" s="79"/>
    </row>
    <row r="1457" spans="1:23" ht="15.75">
      <c r="A1457" s="2080"/>
      <c r="B1457" s="705"/>
      <c r="C1457" s="90"/>
      <c r="D1457" s="2081"/>
      <c r="E1457" s="2082"/>
      <c r="F1457" s="1954"/>
      <c r="G1457" s="90"/>
      <c r="H1457" s="90"/>
      <c r="I1457" s="90"/>
      <c r="J1457" s="90"/>
      <c r="K1457" s="90"/>
      <c r="L1457" s="90"/>
      <c r="M1457" s="1956"/>
      <c r="N1457" s="643"/>
      <c r="O1457" s="2083"/>
      <c r="P1457" s="643"/>
      <c r="Q1457" s="643"/>
      <c r="R1457" s="280"/>
      <c r="S1457" s="280"/>
      <c r="T1457" s="280"/>
      <c r="U1457" s="280"/>
      <c r="V1457" s="280"/>
      <c r="W1457" s="79"/>
    </row>
    <row r="1458" spans="1:23" ht="15.75">
      <c r="A1458" s="2080"/>
      <c r="B1458" s="705"/>
      <c r="C1458" s="90"/>
      <c r="D1458" s="2081"/>
      <c r="E1458" s="2082"/>
      <c r="F1458" s="1954"/>
      <c r="G1458" s="90"/>
      <c r="H1458" s="90"/>
      <c r="I1458" s="90"/>
      <c r="J1458" s="90"/>
      <c r="K1458" s="90"/>
      <c r="L1458" s="90"/>
      <c r="M1458" s="1956"/>
      <c r="N1458" s="643"/>
      <c r="O1458" s="2083"/>
      <c r="P1458" s="643"/>
      <c r="Q1458" s="643"/>
      <c r="R1458" s="280"/>
      <c r="S1458" s="280"/>
      <c r="T1458" s="280"/>
      <c r="U1458" s="280"/>
      <c r="V1458" s="280"/>
      <c r="W1458" s="79"/>
    </row>
    <row r="1459" spans="1:23" ht="15.75">
      <c r="A1459" s="2080"/>
      <c r="B1459" s="705"/>
      <c r="C1459" s="90"/>
      <c r="D1459" s="2081"/>
      <c r="E1459" s="2082"/>
      <c r="F1459" s="1954"/>
      <c r="G1459" s="90"/>
      <c r="H1459" s="90"/>
      <c r="I1459" s="90"/>
      <c r="J1459" s="90"/>
      <c r="K1459" s="90"/>
      <c r="L1459" s="90"/>
      <c r="M1459" s="1956"/>
      <c r="N1459" s="643"/>
      <c r="O1459" s="2083"/>
      <c r="P1459" s="643"/>
      <c r="Q1459" s="643"/>
      <c r="R1459" s="280"/>
      <c r="S1459" s="280"/>
      <c r="T1459" s="280"/>
      <c r="U1459" s="280"/>
      <c r="V1459" s="280"/>
      <c r="W1459" s="79"/>
    </row>
    <row r="1460" spans="1:23" ht="15.75">
      <c r="A1460" s="2080"/>
      <c r="B1460" s="705"/>
      <c r="C1460" s="90"/>
      <c r="D1460" s="2081"/>
      <c r="E1460" s="2082"/>
      <c r="F1460" s="1954"/>
      <c r="G1460" s="90"/>
      <c r="H1460" s="90"/>
      <c r="I1460" s="90"/>
      <c r="J1460" s="90"/>
      <c r="K1460" s="90"/>
      <c r="L1460" s="90"/>
      <c r="M1460" s="1956"/>
      <c r="N1460" s="643"/>
      <c r="O1460" s="2083"/>
      <c r="P1460" s="643"/>
      <c r="Q1460" s="643"/>
      <c r="R1460" s="280"/>
      <c r="S1460" s="280"/>
      <c r="T1460" s="280"/>
      <c r="U1460" s="280"/>
      <c r="V1460" s="280"/>
      <c r="W1460" s="79"/>
    </row>
    <row r="1461" spans="1:23" ht="15.75">
      <c r="A1461" s="2080"/>
      <c r="B1461" s="705"/>
      <c r="C1461" s="90"/>
      <c r="D1461" s="2081"/>
      <c r="E1461" s="2082"/>
      <c r="F1461" s="1954"/>
      <c r="G1461" s="90"/>
      <c r="H1461" s="90"/>
      <c r="I1461" s="90"/>
      <c r="J1461" s="90"/>
      <c r="K1461" s="90"/>
      <c r="L1461" s="90"/>
      <c r="M1461" s="1956"/>
      <c r="N1461" s="643"/>
      <c r="O1461" s="2083"/>
      <c r="P1461" s="643"/>
      <c r="Q1461" s="643"/>
      <c r="R1461" s="280"/>
      <c r="S1461" s="280"/>
      <c r="T1461" s="280"/>
      <c r="U1461" s="280"/>
      <c r="V1461" s="280"/>
      <c r="W1461" s="79"/>
    </row>
    <row r="1462" spans="1:23" ht="15.75">
      <c r="A1462" s="2080"/>
      <c r="B1462" s="705"/>
      <c r="C1462" s="90"/>
      <c r="D1462" s="2081"/>
      <c r="E1462" s="2082"/>
      <c r="F1462" s="1954"/>
      <c r="G1462" s="90"/>
      <c r="H1462" s="90"/>
      <c r="I1462" s="90"/>
      <c r="J1462" s="90"/>
      <c r="K1462" s="90"/>
      <c r="L1462" s="90"/>
      <c r="M1462" s="1956"/>
      <c r="N1462" s="643"/>
      <c r="O1462" s="2083"/>
      <c r="P1462" s="643"/>
      <c r="Q1462" s="643"/>
      <c r="R1462" s="280"/>
      <c r="S1462" s="280"/>
      <c r="T1462" s="280"/>
      <c r="U1462" s="280"/>
      <c r="V1462" s="280"/>
      <c r="W1462" s="79"/>
    </row>
    <row r="1463" spans="1:23" ht="15.75">
      <c r="A1463" s="2080"/>
      <c r="B1463" s="705"/>
      <c r="C1463" s="90"/>
      <c r="D1463" s="2081"/>
      <c r="E1463" s="2082"/>
      <c r="F1463" s="1954"/>
      <c r="G1463" s="90"/>
      <c r="H1463" s="90"/>
      <c r="I1463" s="90"/>
      <c r="J1463" s="90"/>
      <c r="K1463" s="90"/>
      <c r="L1463" s="90"/>
      <c r="M1463" s="1956"/>
      <c r="N1463" s="643"/>
      <c r="O1463" s="2083"/>
      <c r="P1463" s="643"/>
      <c r="Q1463" s="643"/>
      <c r="R1463" s="280"/>
      <c r="S1463" s="280"/>
      <c r="T1463" s="280"/>
      <c r="U1463" s="280"/>
      <c r="V1463" s="280"/>
      <c r="W1463" s="79"/>
    </row>
    <row r="1464" spans="1:23" ht="15.75">
      <c r="A1464" s="2080"/>
      <c r="B1464" s="705"/>
      <c r="C1464" s="90"/>
      <c r="D1464" s="2081"/>
      <c r="E1464" s="2082"/>
      <c r="F1464" s="1954"/>
      <c r="G1464" s="90"/>
      <c r="H1464" s="90"/>
      <c r="I1464" s="90"/>
      <c r="J1464" s="90"/>
      <c r="K1464" s="90"/>
      <c r="L1464" s="90"/>
      <c r="M1464" s="1956"/>
      <c r="N1464" s="643"/>
      <c r="O1464" s="2083"/>
      <c r="P1464" s="643"/>
      <c r="Q1464" s="643"/>
      <c r="R1464" s="280"/>
      <c r="S1464" s="280"/>
      <c r="T1464" s="280"/>
      <c r="U1464" s="280"/>
      <c r="V1464" s="280"/>
      <c r="W1464" s="79"/>
    </row>
    <row r="1465" spans="1:23" ht="15.75">
      <c r="A1465" s="2080"/>
      <c r="B1465" s="705"/>
      <c r="C1465" s="90"/>
      <c r="D1465" s="2081"/>
      <c r="E1465" s="2082"/>
      <c r="F1465" s="1954"/>
      <c r="G1465" s="90"/>
      <c r="H1465" s="90"/>
      <c r="I1465" s="90"/>
      <c r="J1465" s="90"/>
      <c r="K1465" s="90"/>
      <c r="L1465" s="90"/>
      <c r="M1465" s="1956"/>
      <c r="N1465" s="643"/>
      <c r="O1465" s="2083"/>
      <c r="P1465" s="643"/>
      <c r="Q1465" s="643"/>
      <c r="R1465" s="280"/>
      <c r="S1465" s="280"/>
      <c r="T1465" s="280"/>
      <c r="U1465" s="280"/>
      <c r="V1465" s="280"/>
      <c r="W1465" s="79"/>
    </row>
    <row r="1466" spans="1:23" ht="15.75">
      <c r="A1466" s="2080"/>
      <c r="B1466" s="705"/>
      <c r="C1466" s="90"/>
      <c r="D1466" s="2081"/>
      <c r="E1466" s="2082"/>
      <c r="F1466" s="1954"/>
      <c r="G1466" s="90"/>
      <c r="H1466" s="90"/>
      <c r="I1466" s="90"/>
      <c r="J1466" s="90"/>
      <c r="K1466" s="90"/>
      <c r="L1466" s="90"/>
      <c r="M1466" s="1956"/>
      <c r="N1466" s="643"/>
      <c r="O1466" s="2083"/>
      <c r="P1466" s="643"/>
      <c r="Q1466" s="643"/>
      <c r="R1466" s="280"/>
      <c r="S1466" s="280"/>
      <c r="T1466" s="280"/>
      <c r="U1466" s="280"/>
      <c r="V1466" s="280"/>
      <c r="W1466" s="79"/>
    </row>
    <row r="1467" spans="1:23" ht="15.75">
      <c r="A1467" s="2080"/>
      <c r="B1467" s="705"/>
      <c r="C1467" s="90"/>
      <c r="D1467" s="2081"/>
      <c r="E1467" s="2082"/>
      <c r="F1467" s="1954"/>
      <c r="G1467" s="90"/>
      <c r="H1467" s="90"/>
      <c r="I1467" s="90"/>
      <c r="J1467" s="90"/>
      <c r="K1467" s="90"/>
      <c r="L1467" s="90"/>
      <c r="M1467" s="1956"/>
      <c r="N1467" s="643"/>
      <c r="O1467" s="2083"/>
      <c r="P1467" s="643"/>
      <c r="Q1467" s="643"/>
      <c r="R1467" s="280"/>
      <c r="S1467" s="280"/>
      <c r="T1467" s="280"/>
      <c r="U1467" s="280"/>
      <c r="V1467" s="280"/>
      <c r="W1467" s="79"/>
    </row>
    <row r="1468" spans="1:23" ht="15.75">
      <c r="A1468" s="2080"/>
      <c r="B1468" s="705"/>
      <c r="C1468" s="90"/>
      <c r="D1468" s="2081"/>
      <c r="E1468" s="2082"/>
      <c r="F1468" s="1954"/>
      <c r="G1468" s="90"/>
      <c r="H1468" s="90"/>
      <c r="I1468" s="90"/>
      <c r="J1468" s="90"/>
      <c r="K1468" s="90"/>
      <c r="L1468" s="90"/>
      <c r="M1468" s="1956"/>
      <c r="N1468" s="643"/>
      <c r="O1468" s="2083"/>
      <c r="P1468" s="643"/>
      <c r="Q1468" s="643"/>
      <c r="R1468" s="280"/>
      <c r="S1468" s="280"/>
      <c r="T1468" s="280"/>
      <c r="U1468" s="280"/>
      <c r="V1468" s="280"/>
      <c r="W1468" s="79"/>
    </row>
    <row r="1469" spans="1:23" ht="15.75">
      <c r="A1469" s="2080"/>
      <c r="B1469" s="705"/>
      <c r="C1469" s="90"/>
      <c r="D1469" s="2081"/>
      <c r="E1469" s="2082"/>
      <c r="F1469" s="1954"/>
      <c r="G1469" s="90"/>
      <c r="H1469" s="90"/>
      <c r="I1469" s="90"/>
      <c r="J1469" s="90"/>
      <c r="K1469" s="90"/>
      <c r="L1469" s="90"/>
      <c r="M1469" s="1956"/>
      <c r="N1469" s="643"/>
      <c r="O1469" s="2083"/>
      <c r="P1469" s="643"/>
      <c r="Q1469" s="643"/>
      <c r="R1469" s="280"/>
      <c r="S1469" s="280"/>
      <c r="T1469" s="280"/>
      <c r="U1469" s="280"/>
      <c r="V1469" s="280"/>
      <c r="W1469" s="79"/>
    </row>
    <row r="1470" spans="1:23" ht="15.75">
      <c r="A1470" s="2080"/>
      <c r="B1470" s="705"/>
      <c r="C1470" s="90"/>
      <c r="D1470" s="2081"/>
      <c r="E1470" s="2082"/>
      <c r="F1470" s="1954"/>
      <c r="G1470" s="90"/>
      <c r="H1470" s="90"/>
      <c r="I1470" s="90"/>
      <c r="J1470" s="90"/>
      <c r="K1470" s="90"/>
      <c r="L1470" s="90"/>
      <c r="M1470" s="1956"/>
      <c r="N1470" s="643"/>
      <c r="O1470" s="2083"/>
      <c r="P1470" s="643"/>
      <c r="Q1470" s="643"/>
      <c r="R1470" s="280"/>
      <c r="S1470" s="280"/>
      <c r="T1470" s="280"/>
      <c r="U1470" s="280"/>
      <c r="V1470" s="280"/>
      <c r="W1470" s="79"/>
    </row>
    <row r="1471" spans="1:23" ht="15.75">
      <c r="A1471" s="2080"/>
      <c r="B1471" s="705"/>
      <c r="C1471" s="90"/>
      <c r="D1471" s="2081"/>
      <c r="E1471" s="2082"/>
      <c r="F1471" s="1954"/>
      <c r="G1471" s="90"/>
      <c r="H1471" s="90"/>
      <c r="I1471" s="90"/>
      <c r="J1471" s="90"/>
      <c r="K1471" s="90"/>
      <c r="L1471" s="90"/>
      <c r="M1471" s="1956"/>
      <c r="N1471" s="643"/>
      <c r="O1471" s="2083"/>
      <c r="P1471" s="643"/>
      <c r="Q1471" s="643"/>
      <c r="R1471" s="280"/>
      <c r="S1471" s="280"/>
      <c r="T1471" s="280"/>
      <c r="U1471" s="280"/>
      <c r="V1471" s="280"/>
      <c r="W1471" s="79"/>
    </row>
    <row r="1472" spans="1:23" ht="15.75">
      <c r="A1472" s="2080"/>
      <c r="B1472" s="705"/>
      <c r="C1472" s="90"/>
      <c r="D1472" s="2081"/>
      <c r="E1472" s="2082"/>
      <c r="F1472" s="1954"/>
      <c r="G1472" s="90"/>
      <c r="H1472" s="90"/>
      <c r="I1472" s="90"/>
      <c r="J1472" s="90"/>
      <c r="K1472" s="90"/>
      <c r="L1472" s="90"/>
      <c r="M1472" s="1956"/>
      <c r="N1472" s="643"/>
      <c r="O1472" s="2083"/>
      <c r="P1472" s="643"/>
      <c r="Q1472" s="643"/>
      <c r="R1472" s="280"/>
      <c r="S1472" s="280"/>
      <c r="T1472" s="280"/>
      <c r="U1472" s="280"/>
      <c r="V1472" s="280"/>
      <c r="W1472" s="79"/>
    </row>
    <row r="1473" spans="1:23" ht="15.75">
      <c r="A1473" s="2080"/>
      <c r="B1473" s="705"/>
      <c r="C1473" s="90"/>
      <c r="D1473" s="2081"/>
      <c r="E1473" s="2082"/>
      <c r="F1473" s="1954"/>
      <c r="G1473" s="90"/>
      <c r="H1473" s="90"/>
      <c r="I1473" s="90"/>
      <c r="J1473" s="90"/>
      <c r="K1473" s="90"/>
      <c r="L1473" s="90"/>
      <c r="M1473" s="1956"/>
      <c r="N1473" s="643"/>
      <c r="O1473" s="2083"/>
      <c r="P1473" s="643"/>
      <c r="Q1473" s="643"/>
      <c r="R1473" s="280"/>
      <c r="S1473" s="280"/>
      <c r="T1473" s="280"/>
      <c r="U1473" s="280"/>
      <c r="V1473" s="280"/>
      <c r="W1473" s="79"/>
    </row>
    <row r="1474" spans="1:23" ht="15.75">
      <c r="A1474" s="2080"/>
      <c r="B1474" s="705"/>
      <c r="C1474" s="90"/>
      <c r="D1474" s="2081"/>
      <c r="E1474" s="2082"/>
      <c r="F1474" s="1954"/>
      <c r="G1474" s="90"/>
      <c r="H1474" s="90"/>
      <c r="I1474" s="90"/>
      <c r="J1474" s="90"/>
      <c r="K1474" s="90"/>
      <c r="L1474" s="90"/>
      <c r="M1474" s="1956"/>
      <c r="N1474" s="643"/>
      <c r="O1474" s="2083"/>
      <c r="P1474" s="643"/>
      <c r="Q1474" s="643"/>
      <c r="R1474" s="280"/>
      <c r="S1474" s="280"/>
      <c r="T1474" s="280"/>
      <c r="U1474" s="280"/>
      <c r="V1474" s="280"/>
      <c r="W1474" s="79"/>
    </row>
    <row r="1475" spans="1:23" ht="15.75">
      <c r="A1475" s="2080"/>
      <c r="B1475" s="705"/>
      <c r="C1475" s="90"/>
      <c r="D1475" s="2081"/>
      <c r="E1475" s="2082"/>
      <c r="F1475" s="1954"/>
      <c r="G1475" s="90"/>
      <c r="H1475" s="90"/>
      <c r="I1475" s="90"/>
      <c r="J1475" s="90"/>
      <c r="K1475" s="90"/>
      <c r="L1475" s="90"/>
      <c r="M1475" s="1956"/>
      <c r="N1475" s="643"/>
      <c r="O1475" s="2083"/>
      <c r="P1475" s="643"/>
      <c r="Q1475" s="643"/>
      <c r="R1475" s="280"/>
      <c r="S1475" s="280"/>
      <c r="T1475" s="280"/>
      <c r="U1475" s="280"/>
      <c r="V1475" s="280"/>
      <c r="W1475" s="79"/>
    </row>
    <row r="1476" spans="1:23" ht="15.75">
      <c r="A1476" s="2080"/>
      <c r="B1476" s="705"/>
      <c r="C1476" s="90"/>
      <c r="D1476" s="2081"/>
      <c r="E1476" s="2082"/>
      <c r="F1476" s="1954"/>
      <c r="G1476" s="90"/>
      <c r="H1476" s="90"/>
      <c r="I1476" s="90"/>
      <c r="J1476" s="90"/>
      <c r="K1476" s="90"/>
      <c r="L1476" s="90"/>
      <c r="M1476" s="1956"/>
      <c r="N1476" s="643"/>
      <c r="O1476" s="2083"/>
      <c r="P1476" s="643"/>
      <c r="Q1476" s="643"/>
      <c r="R1476" s="280"/>
      <c r="S1476" s="280"/>
      <c r="T1476" s="280"/>
      <c r="U1476" s="280"/>
      <c r="V1476" s="280"/>
      <c r="W1476" s="79"/>
    </row>
    <row r="1477" spans="1:23" ht="15.75">
      <c r="A1477" s="2080"/>
      <c r="B1477" s="705"/>
      <c r="C1477" s="90"/>
      <c r="D1477" s="2081"/>
      <c r="E1477" s="2082"/>
      <c r="F1477" s="1954"/>
      <c r="G1477" s="90"/>
      <c r="H1477" s="90"/>
      <c r="I1477" s="90"/>
      <c r="J1477" s="90"/>
      <c r="K1477" s="90"/>
      <c r="L1477" s="90"/>
      <c r="M1477" s="1956"/>
      <c r="N1477" s="643"/>
      <c r="O1477" s="2083"/>
      <c r="P1477" s="643"/>
      <c r="Q1477" s="643"/>
      <c r="R1477" s="280"/>
      <c r="S1477" s="280"/>
      <c r="T1477" s="280"/>
      <c r="U1477" s="280"/>
      <c r="V1477" s="280"/>
      <c r="W1477" s="79"/>
    </row>
    <row r="1478" spans="1:23" ht="15.75">
      <c r="A1478" s="2080"/>
      <c r="B1478" s="705"/>
      <c r="C1478" s="90"/>
      <c r="D1478" s="2081"/>
      <c r="E1478" s="2082"/>
      <c r="F1478" s="1954"/>
      <c r="G1478" s="90"/>
      <c r="H1478" s="90"/>
      <c r="I1478" s="90"/>
      <c r="J1478" s="90"/>
      <c r="K1478" s="90"/>
      <c r="L1478" s="90"/>
      <c r="M1478" s="1956"/>
      <c r="N1478" s="643"/>
      <c r="O1478" s="2083"/>
      <c r="P1478" s="643"/>
      <c r="Q1478" s="643"/>
      <c r="R1478" s="280"/>
      <c r="S1478" s="280"/>
      <c r="T1478" s="280"/>
      <c r="U1478" s="280"/>
      <c r="V1478" s="280"/>
      <c r="W1478" s="79"/>
    </row>
    <row r="1479" spans="1:23" ht="15.75">
      <c r="A1479" s="2080"/>
      <c r="B1479" s="705"/>
      <c r="C1479" s="90"/>
      <c r="D1479" s="2081"/>
      <c r="E1479" s="2082"/>
      <c r="F1479" s="1954"/>
      <c r="G1479" s="90"/>
      <c r="H1479" s="90"/>
      <c r="I1479" s="90"/>
      <c r="J1479" s="90"/>
      <c r="K1479" s="90"/>
      <c r="L1479" s="90"/>
      <c r="M1479" s="1956"/>
      <c r="N1479" s="643"/>
      <c r="O1479" s="2083"/>
      <c r="P1479" s="643"/>
      <c r="Q1479" s="643"/>
      <c r="R1479" s="280"/>
      <c r="S1479" s="280"/>
      <c r="T1479" s="280"/>
      <c r="U1479" s="280"/>
      <c r="V1479" s="280"/>
      <c r="W1479" s="79"/>
    </row>
    <row r="1480" spans="1:23" ht="15.75">
      <c r="A1480" s="2080"/>
      <c r="B1480" s="705"/>
      <c r="C1480" s="90"/>
      <c r="D1480" s="2081"/>
      <c r="E1480" s="2082"/>
      <c r="F1480" s="1954"/>
      <c r="G1480" s="90"/>
      <c r="H1480" s="90"/>
      <c r="I1480" s="90"/>
      <c r="J1480" s="90"/>
      <c r="K1480" s="90"/>
      <c r="L1480" s="90"/>
      <c r="M1480" s="1956"/>
      <c r="N1480" s="643"/>
      <c r="O1480" s="2083"/>
      <c r="P1480" s="643"/>
      <c r="Q1480" s="643"/>
      <c r="R1480" s="280"/>
      <c r="S1480" s="280"/>
      <c r="T1480" s="280"/>
      <c r="U1480" s="280"/>
      <c r="V1480" s="280"/>
      <c r="W1480" s="79"/>
    </row>
    <row r="1481" spans="1:23" ht="15.75">
      <c r="A1481" s="2080"/>
      <c r="B1481" s="705"/>
      <c r="C1481" s="90"/>
      <c r="D1481" s="2081"/>
      <c r="E1481" s="2082"/>
      <c r="F1481" s="1954"/>
      <c r="G1481" s="90"/>
      <c r="H1481" s="90"/>
      <c r="I1481" s="90"/>
      <c r="J1481" s="90"/>
      <c r="K1481" s="90"/>
      <c r="L1481" s="90"/>
      <c r="M1481" s="1956"/>
      <c r="N1481" s="643"/>
      <c r="O1481" s="2083"/>
      <c r="P1481" s="643"/>
      <c r="Q1481" s="643"/>
      <c r="R1481" s="280"/>
      <c r="S1481" s="280"/>
      <c r="T1481" s="280"/>
      <c r="U1481" s="280"/>
      <c r="V1481" s="280"/>
      <c r="W1481" s="79"/>
    </row>
    <row r="1482" spans="1:23" ht="15.75">
      <c r="A1482" s="2080"/>
      <c r="B1482" s="705"/>
      <c r="C1482" s="90"/>
      <c r="D1482" s="2081"/>
      <c r="E1482" s="2082"/>
      <c r="F1482" s="1954"/>
      <c r="G1482" s="90"/>
      <c r="H1482" s="90"/>
      <c r="I1482" s="90"/>
      <c r="J1482" s="90"/>
      <c r="K1482" s="90"/>
      <c r="L1482" s="90"/>
      <c r="M1482" s="1956"/>
      <c r="N1482" s="643"/>
      <c r="O1482" s="2083"/>
      <c r="P1482" s="643"/>
      <c r="Q1482" s="643"/>
      <c r="R1482" s="280"/>
      <c r="S1482" s="280"/>
      <c r="T1482" s="280"/>
      <c r="U1482" s="280"/>
      <c r="V1482" s="280"/>
      <c r="W1482" s="79"/>
    </row>
    <row r="1483" spans="1:23" ht="15.75">
      <c r="A1483" s="2080"/>
      <c r="B1483" s="705"/>
      <c r="C1483" s="90"/>
      <c r="D1483" s="2081"/>
      <c r="E1483" s="2082"/>
      <c r="F1483" s="1954"/>
      <c r="G1483" s="90"/>
      <c r="H1483" s="90"/>
      <c r="I1483" s="90"/>
      <c r="J1483" s="90"/>
      <c r="K1483" s="90"/>
      <c r="L1483" s="90"/>
      <c r="M1483" s="1956"/>
      <c r="N1483" s="643"/>
      <c r="O1483" s="2083"/>
      <c r="P1483" s="643"/>
      <c r="Q1483" s="643"/>
      <c r="R1483" s="280"/>
      <c r="S1483" s="280"/>
      <c r="T1483" s="280"/>
      <c r="U1483" s="280"/>
      <c r="V1483" s="280"/>
      <c r="W1483" s="79"/>
    </row>
    <row r="1484" spans="1:23" ht="15.75">
      <c r="A1484" s="2080"/>
      <c r="B1484" s="705"/>
      <c r="C1484" s="90"/>
      <c r="D1484" s="2081"/>
      <c r="E1484" s="2082"/>
      <c r="F1484" s="1954"/>
      <c r="G1484" s="90"/>
      <c r="H1484" s="90"/>
      <c r="I1484" s="90"/>
      <c r="J1484" s="90"/>
      <c r="K1484" s="90"/>
      <c r="L1484" s="90"/>
      <c r="M1484" s="1956"/>
      <c r="N1484" s="643"/>
      <c r="O1484" s="2083"/>
      <c r="P1484" s="643"/>
      <c r="Q1484" s="643"/>
      <c r="R1484" s="280"/>
      <c r="S1484" s="280"/>
      <c r="T1484" s="280"/>
      <c r="U1484" s="280"/>
      <c r="V1484" s="280"/>
      <c r="W1484" s="79"/>
    </row>
    <row r="1485" spans="1:23" ht="15.75">
      <c r="A1485" s="2080"/>
      <c r="B1485" s="705"/>
      <c r="C1485" s="90"/>
      <c r="D1485" s="2081"/>
      <c r="E1485" s="2082"/>
      <c r="F1485" s="1954"/>
      <c r="G1485" s="90"/>
      <c r="H1485" s="90"/>
      <c r="I1485" s="90"/>
      <c r="J1485" s="90"/>
      <c r="K1485" s="90"/>
      <c r="L1485" s="90"/>
      <c r="M1485" s="1956"/>
      <c r="N1485" s="643"/>
      <c r="O1485" s="2083"/>
      <c r="P1485" s="643"/>
      <c r="Q1485" s="643"/>
      <c r="R1485" s="280"/>
      <c r="S1485" s="280"/>
      <c r="T1485" s="280"/>
      <c r="U1485" s="280"/>
      <c r="V1485" s="280"/>
      <c r="W1485" s="79"/>
    </row>
    <row r="1486" spans="1:23" ht="15.75">
      <c r="A1486" s="2080"/>
      <c r="B1486" s="705"/>
      <c r="C1486" s="90"/>
      <c r="D1486" s="2081"/>
      <c r="E1486" s="2082"/>
      <c r="F1486" s="1954"/>
      <c r="G1486" s="90"/>
      <c r="H1486" s="90"/>
      <c r="I1486" s="90"/>
      <c r="J1486" s="90"/>
      <c r="K1486" s="90"/>
      <c r="L1486" s="90"/>
      <c r="M1486" s="1956"/>
      <c r="N1486" s="643"/>
      <c r="O1486" s="2083"/>
      <c r="P1486" s="643"/>
      <c r="Q1486" s="643"/>
      <c r="R1486" s="280"/>
      <c r="S1486" s="280"/>
      <c r="T1486" s="280"/>
      <c r="U1486" s="280"/>
      <c r="V1486" s="280"/>
      <c r="W1486" s="79"/>
    </row>
    <row r="1487" spans="1:23" ht="15.75">
      <c r="A1487" s="2080"/>
      <c r="B1487" s="705"/>
      <c r="C1487" s="90"/>
      <c r="D1487" s="2081"/>
      <c r="E1487" s="2082"/>
      <c r="F1487" s="1954"/>
      <c r="G1487" s="90"/>
      <c r="H1487" s="90"/>
      <c r="I1487" s="90"/>
      <c r="J1487" s="90"/>
      <c r="K1487" s="90"/>
      <c r="L1487" s="90"/>
      <c r="M1487" s="1956"/>
      <c r="N1487" s="643"/>
      <c r="O1487" s="2083"/>
      <c r="P1487" s="643"/>
      <c r="Q1487" s="643"/>
      <c r="R1487" s="280"/>
      <c r="S1487" s="280"/>
      <c r="T1487" s="280"/>
      <c r="U1487" s="280"/>
      <c r="V1487" s="280"/>
      <c r="W1487" s="79"/>
    </row>
    <row r="1488" spans="1:23" ht="15.75">
      <c r="A1488" s="2080"/>
      <c r="B1488" s="705"/>
      <c r="C1488" s="90"/>
      <c r="D1488" s="2081"/>
      <c r="E1488" s="2082"/>
      <c r="F1488" s="1954"/>
      <c r="G1488" s="90"/>
      <c r="H1488" s="90"/>
      <c r="I1488" s="90"/>
      <c r="J1488" s="90"/>
      <c r="K1488" s="90"/>
      <c r="L1488" s="90"/>
      <c r="M1488" s="1956"/>
      <c r="N1488" s="643"/>
      <c r="O1488" s="2083"/>
      <c r="P1488" s="643"/>
      <c r="Q1488" s="643"/>
      <c r="R1488" s="280"/>
      <c r="S1488" s="280"/>
      <c r="T1488" s="280"/>
      <c r="U1488" s="280"/>
      <c r="V1488" s="280"/>
      <c r="W1488" s="79"/>
    </row>
    <row r="1489" spans="1:23" ht="15.75">
      <c r="A1489" s="2080"/>
      <c r="B1489" s="705"/>
      <c r="C1489" s="90"/>
      <c r="D1489" s="2081"/>
      <c r="E1489" s="2082"/>
      <c r="F1489" s="1954"/>
      <c r="G1489" s="90"/>
      <c r="H1489" s="90"/>
      <c r="I1489" s="90"/>
      <c r="J1489" s="90"/>
      <c r="K1489" s="90"/>
      <c r="L1489" s="90"/>
      <c r="M1489" s="1956"/>
      <c r="N1489" s="643"/>
      <c r="O1489" s="2083"/>
      <c r="P1489" s="643"/>
      <c r="Q1489" s="643"/>
      <c r="R1489" s="280"/>
      <c r="S1489" s="280"/>
      <c r="T1489" s="280"/>
      <c r="U1489" s="280"/>
      <c r="V1489" s="280"/>
      <c r="W1489" s="79"/>
    </row>
    <row r="1490" spans="1:23" ht="15.75">
      <c r="A1490" s="2080"/>
      <c r="B1490" s="705"/>
      <c r="C1490" s="90"/>
      <c r="D1490" s="2081"/>
      <c r="E1490" s="2082"/>
      <c r="F1490" s="1954"/>
      <c r="G1490" s="90"/>
      <c r="H1490" s="90"/>
      <c r="I1490" s="90"/>
      <c r="J1490" s="90"/>
      <c r="K1490" s="90"/>
      <c r="L1490" s="90"/>
      <c r="M1490" s="1956"/>
      <c r="N1490" s="643"/>
      <c r="O1490" s="2083"/>
      <c r="P1490" s="643"/>
      <c r="Q1490" s="643"/>
      <c r="R1490" s="280"/>
      <c r="S1490" s="280"/>
      <c r="T1490" s="280"/>
      <c r="U1490" s="280"/>
      <c r="V1490" s="280"/>
      <c r="W1490" s="79"/>
    </row>
    <row r="1491" spans="1:23" ht="15.75">
      <c r="A1491" s="2080"/>
      <c r="B1491" s="705"/>
      <c r="C1491" s="90"/>
      <c r="D1491" s="2081"/>
      <c r="E1491" s="2082"/>
      <c r="F1491" s="1954"/>
      <c r="G1491" s="90"/>
      <c r="H1491" s="90"/>
      <c r="I1491" s="90"/>
      <c r="J1491" s="90"/>
      <c r="K1491" s="90"/>
      <c r="L1491" s="90"/>
      <c r="M1491" s="1956"/>
      <c r="N1491" s="643"/>
      <c r="O1491" s="2083"/>
      <c r="P1491" s="643"/>
      <c r="Q1491" s="643"/>
      <c r="R1491" s="280"/>
      <c r="S1491" s="280"/>
      <c r="T1491" s="280"/>
      <c r="U1491" s="280"/>
      <c r="V1491" s="280"/>
      <c r="W1491" s="79"/>
    </row>
    <row r="1492" spans="1:23" ht="15.75">
      <c r="A1492" s="2080"/>
      <c r="B1492" s="705"/>
      <c r="C1492" s="90"/>
      <c r="D1492" s="2081"/>
      <c r="E1492" s="2082"/>
      <c r="F1492" s="1954"/>
      <c r="G1492" s="90"/>
      <c r="H1492" s="90"/>
      <c r="I1492" s="90"/>
      <c r="J1492" s="90"/>
      <c r="K1492" s="90"/>
      <c r="L1492" s="90"/>
      <c r="M1492" s="1956"/>
      <c r="N1492" s="643"/>
      <c r="O1492" s="2083"/>
      <c r="P1492" s="643"/>
      <c r="Q1492" s="643"/>
      <c r="R1492" s="280"/>
      <c r="S1492" s="280"/>
      <c r="T1492" s="280"/>
      <c r="U1492" s="280"/>
      <c r="V1492" s="280"/>
      <c r="W1492" s="79"/>
    </row>
    <row r="1493" spans="1:23" ht="15.75">
      <c r="A1493" s="2080"/>
      <c r="B1493" s="705"/>
      <c r="C1493" s="90"/>
      <c r="D1493" s="2081"/>
      <c r="E1493" s="2082"/>
      <c r="F1493" s="1954"/>
      <c r="G1493" s="90"/>
      <c r="H1493" s="90"/>
      <c r="I1493" s="90"/>
      <c r="J1493" s="90"/>
      <c r="K1493" s="90"/>
      <c r="L1493" s="90"/>
      <c r="M1493" s="1956"/>
      <c r="N1493" s="643"/>
      <c r="O1493" s="2083"/>
      <c r="P1493" s="643"/>
      <c r="Q1493" s="643"/>
      <c r="R1493" s="280"/>
      <c r="S1493" s="280"/>
      <c r="T1493" s="280"/>
      <c r="U1493" s="280"/>
      <c r="V1493" s="280"/>
      <c r="W1493" s="79"/>
    </row>
    <row r="1494" spans="1:23" ht="15.75">
      <c r="A1494" s="2080"/>
      <c r="B1494" s="705"/>
      <c r="C1494" s="90"/>
      <c r="D1494" s="2081"/>
      <c r="E1494" s="2082"/>
      <c r="F1494" s="1954"/>
      <c r="G1494" s="90"/>
      <c r="H1494" s="90"/>
      <c r="I1494" s="90"/>
      <c r="J1494" s="90"/>
      <c r="K1494" s="90"/>
      <c r="L1494" s="90"/>
      <c r="M1494" s="1956"/>
      <c r="N1494" s="643"/>
      <c r="O1494" s="2083"/>
      <c r="P1494" s="643"/>
      <c r="Q1494" s="643"/>
      <c r="R1494" s="280"/>
      <c r="S1494" s="280"/>
      <c r="T1494" s="280"/>
      <c r="U1494" s="280"/>
      <c r="V1494" s="280"/>
      <c r="W1494" s="79"/>
    </row>
    <row r="1495" spans="1:23" ht="15.75">
      <c r="A1495" s="2080"/>
      <c r="B1495" s="705"/>
      <c r="C1495" s="90"/>
      <c r="D1495" s="2081"/>
      <c r="E1495" s="2082"/>
      <c r="F1495" s="1954"/>
      <c r="G1495" s="90"/>
      <c r="H1495" s="90"/>
      <c r="I1495" s="90"/>
      <c r="J1495" s="90"/>
      <c r="K1495" s="90"/>
      <c r="L1495" s="90"/>
      <c r="M1495" s="1956"/>
      <c r="N1495" s="643"/>
      <c r="O1495" s="2083"/>
      <c r="P1495" s="643"/>
      <c r="Q1495" s="643"/>
      <c r="R1495" s="280"/>
      <c r="S1495" s="280"/>
      <c r="T1495" s="280"/>
      <c r="U1495" s="280"/>
      <c r="V1495" s="280"/>
      <c r="W1495" s="79"/>
    </row>
    <row r="1496" spans="1:23" ht="15.75">
      <c r="A1496" s="2080"/>
      <c r="B1496" s="705"/>
      <c r="C1496" s="90"/>
      <c r="D1496" s="2081"/>
      <c r="E1496" s="2082"/>
      <c r="F1496" s="1954"/>
      <c r="G1496" s="90"/>
      <c r="H1496" s="90"/>
      <c r="I1496" s="90"/>
      <c r="J1496" s="90"/>
      <c r="K1496" s="90"/>
      <c r="L1496" s="90"/>
      <c r="M1496" s="1956"/>
      <c r="N1496" s="643"/>
      <c r="O1496" s="2083"/>
      <c r="P1496" s="643"/>
      <c r="Q1496" s="643"/>
      <c r="R1496" s="280"/>
      <c r="S1496" s="280"/>
      <c r="T1496" s="280"/>
      <c r="U1496" s="280"/>
      <c r="V1496" s="280"/>
      <c r="W1496" s="79"/>
    </row>
    <row r="1497" spans="1:23" ht="15.75">
      <c r="A1497" s="2080"/>
      <c r="B1497" s="705"/>
      <c r="C1497" s="90"/>
      <c r="D1497" s="2081"/>
      <c r="E1497" s="2082"/>
      <c r="F1497" s="1954"/>
      <c r="G1497" s="90"/>
      <c r="H1497" s="90"/>
      <c r="I1497" s="90"/>
      <c r="J1497" s="90"/>
      <c r="K1497" s="90"/>
      <c r="L1497" s="90"/>
      <c r="M1497" s="1956"/>
      <c r="N1497" s="643"/>
      <c r="O1497" s="2083"/>
      <c r="P1497" s="643"/>
      <c r="Q1497" s="643"/>
      <c r="R1497" s="280"/>
      <c r="S1497" s="280"/>
      <c r="T1497" s="280"/>
      <c r="U1497" s="280"/>
      <c r="V1497" s="280"/>
      <c r="W1497" s="79"/>
    </row>
    <row r="1498" spans="1:23" ht="15.75">
      <c r="A1498" s="2080"/>
      <c r="B1498" s="705"/>
      <c r="C1498" s="90"/>
      <c r="D1498" s="2081"/>
      <c r="E1498" s="2082"/>
      <c r="F1498" s="1954"/>
      <c r="G1498" s="90"/>
      <c r="H1498" s="90"/>
      <c r="I1498" s="90"/>
      <c r="J1498" s="90"/>
      <c r="K1498" s="90"/>
      <c r="L1498" s="90"/>
      <c r="M1498" s="1956"/>
      <c r="N1498" s="643"/>
      <c r="O1498" s="2083"/>
      <c r="P1498" s="643"/>
      <c r="Q1498" s="643"/>
      <c r="R1498" s="280"/>
      <c r="S1498" s="280"/>
      <c r="T1498" s="280"/>
      <c r="U1498" s="280"/>
      <c r="V1498" s="280"/>
      <c r="W1498" s="79"/>
    </row>
    <row r="1499" spans="1:23" ht="15.75">
      <c r="A1499" s="2080"/>
      <c r="B1499" s="705"/>
      <c r="C1499" s="90"/>
      <c r="D1499" s="2081"/>
      <c r="E1499" s="2082"/>
      <c r="F1499" s="1954"/>
      <c r="G1499" s="90"/>
      <c r="H1499" s="90"/>
      <c r="I1499" s="90"/>
      <c r="J1499" s="90"/>
      <c r="K1499" s="90"/>
      <c r="L1499" s="90"/>
      <c r="M1499" s="1956"/>
      <c r="N1499" s="643"/>
      <c r="O1499" s="2083"/>
      <c r="P1499" s="643"/>
      <c r="Q1499" s="643"/>
      <c r="R1499" s="280"/>
      <c r="S1499" s="280"/>
      <c r="T1499" s="280"/>
      <c r="U1499" s="280"/>
      <c r="V1499" s="280"/>
      <c r="W1499" s="79"/>
    </row>
    <row r="1500" spans="1:23" ht="15.75">
      <c r="A1500" s="2080"/>
      <c r="B1500" s="705"/>
      <c r="C1500" s="90"/>
      <c r="D1500" s="2081"/>
      <c r="E1500" s="2082"/>
      <c r="F1500" s="1954"/>
      <c r="G1500" s="90"/>
      <c r="H1500" s="90"/>
      <c r="I1500" s="90"/>
      <c r="J1500" s="90"/>
      <c r="K1500" s="90"/>
      <c r="L1500" s="90"/>
      <c r="M1500" s="1956"/>
      <c r="N1500" s="643"/>
      <c r="O1500" s="2083"/>
      <c r="P1500" s="643"/>
      <c r="Q1500" s="643"/>
      <c r="R1500" s="280"/>
      <c r="S1500" s="280"/>
      <c r="T1500" s="280"/>
      <c r="U1500" s="280"/>
      <c r="V1500" s="280"/>
      <c r="W1500" s="79"/>
    </row>
    <row r="1501" spans="1:23" ht="15.75">
      <c r="A1501" s="2080"/>
      <c r="B1501" s="705"/>
      <c r="C1501" s="90"/>
      <c r="D1501" s="2081"/>
      <c r="E1501" s="2082"/>
      <c r="F1501" s="1954"/>
      <c r="G1501" s="90"/>
      <c r="H1501" s="90"/>
      <c r="I1501" s="90"/>
      <c r="J1501" s="90"/>
      <c r="K1501" s="90"/>
      <c r="L1501" s="90"/>
      <c r="M1501" s="1956"/>
      <c r="N1501" s="643"/>
      <c r="O1501" s="2083"/>
      <c r="P1501" s="643"/>
      <c r="Q1501" s="643"/>
      <c r="R1501" s="280"/>
      <c r="S1501" s="280"/>
      <c r="T1501" s="280"/>
      <c r="U1501" s="280"/>
      <c r="V1501" s="280"/>
      <c r="W1501" s="79"/>
    </row>
    <row r="1502" spans="1:23" ht="15.75">
      <c r="A1502" s="2080"/>
      <c r="B1502" s="705"/>
      <c r="C1502" s="90"/>
      <c r="D1502" s="2081"/>
      <c r="E1502" s="2082"/>
      <c r="F1502" s="1954"/>
      <c r="G1502" s="90"/>
      <c r="H1502" s="90"/>
      <c r="I1502" s="90"/>
      <c r="J1502" s="90"/>
      <c r="K1502" s="90"/>
      <c r="L1502" s="90"/>
      <c r="M1502" s="1956"/>
      <c r="N1502" s="643"/>
      <c r="O1502" s="2083"/>
      <c r="P1502" s="643"/>
      <c r="Q1502" s="643"/>
      <c r="R1502" s="280"/>
      <c r="S1502" s="280"/>
      <c r="T1502" s="280"/>
      <c r="U1502" s="280"/>
      <c r="V1502" s="280"/>
      <c r="W1502" s="79"/>
    </row>
    <row r="1503" spans="1:23" ht="15.75">
      <c r="A1503" s="2080"/>
      <c r="B1503" s="705"/>
      <c r="C1503" s="90"/>
      <c r="D1503" s="2081"/>
      <c r="E1503" s="2082"/>
      <c r="F1503" s="1954"/>
      <c r="G1503" s="90"/>
      <c r="H1503" s="90"/>
      <c r="I1503" s="90"/>
      <c r="J1503" s="90"/>
      <c r="K1503" s="90"/>
      <c r="L1503" s="90"/>
      <c r="M1503" s="1956"/>
      <c r="N1503" s="643"/>
      <c r="O1503" s="2083"/>
      <c r="P1503" s="643"/>
      <c r="Q1503" s="643"/>
      <c r="R1503" s="280"/>
      <c r="S1503" s="280"/>
      <c r="T1503" s="280"/>
      <c r="U1503" s="280"/>
      <c r="V1503" s="280"/>
      <c r="W1503" s="79"/>
    </row>
    <row r="1504" spans="1:23" ht="15.75">
      <c r="A1504" s="2080"/>
      <c r="B1504" s="705"/>
      <c r="C1504" s="90"/>
      <c r="D1504" s="2081"/>
      <c r="E1504" s="2082"/>
      <c r="F1504" s="1954"/>
      <c r="G1504" s="90"/>
      <c r="H1504" s="90"/>
      <c r="I1504" s="90"/>
      <c r="J1504" s="90"/>
      <c r="K1504" s="90"/>
      <c r="L1504" s="90"/>
      <c r="M1504" s="1956"/>
      <c r="N1504" s="643"/>
      <c r="O1504" s="2083"/>
      <c r="P1504" s="643"/>
      <c r="Q1504" s="643"/>
      <c r="R1504" s="280"/>
      <c r="S1504" s="280"/>
      <c r="T1504" s="280"/>
      <c r="U1504" s="280"/>
      <c r="V1504" s="280"/>
      <c r="W1504" s="79"/>
    </row>
    <row r="1505" spans="1:23" ht="15.75">
      <c r="A1505" s="2080"/>
      <c r="B1505" s="705"/>
      <c r="C1505" s="90"/>
      <c r="D1505" s="2081"/>
      <c r="E1505" s="2082"/>
      <c r="F1505" s="1954"/>
      <c r="G1505" s="90"/>
      <c r="H1505" s="90"/>
      <c r="I1505" s="90"/>
      <c r="J1505" s="90"/>
      <c r="K1505" s="90"/>
      <c r="L1505" s="90"/>
      <c r="M1505" s="1956"/>
      <c r="N1505" s="643"/>
      <c r="O1505" s="2083"/>
      <c r="P1505" s="643"/>
      <c r="Q1505" s="643"/>
      <c r="R1505" s="280"/>
      <c r="S1505" s="280"/>
      <c r="T1505" s="280"/>
      <c r="U1505" s="280"/>
      <c r="V1505" s="280"/>
      <c r="W1505" s="79"/>
    </row>
    <row r="1506" spans="1:23" ht="15.75">
      <c r="A1506" s="2080"/>
      <c r="B1506" s="705"/>
      <c r="C1506" s="90"/>
      <c r="D1506" s="2081"/>
      <c r="E1506" s="2082"/>
      <c r="F1506" s="1954"/>
      <c r="G1506" s="90"/>
      <c r="H1506" s="90"/>
      <c r="I1506" s="90"/>
      <c r="J1506" s="90"/>
      <c r="K1506" s="90"/>
      <c r="L1506" s="90"/>
      <c r="M1506" s="1956"/>
      <c r="N1506" s="643"/>
      <c r="O1506" s="2083"/>
      <c r="P1506" s="643"/>
      <c r="Q1506" s="643"/>
      <c r="R1506" s="280"/>
      <c r="S1506" s="280"/>
      <c r="T1506" s="280"/>
      <c r="U1506" s="280"/>
      <c r="V1506" s="280"/>
      <c r="W1506" s="79"/>
    </row>
    <row r="1507" spans="1:23" ht="15.75">
      <c r="A1507" s="2080"/>
      <c r="B1507" s="705"/>
      <c r="C1507" s="90"/>
      <c r="D1507" s="2081"/>
      <c r="E1507" s="2082"/>
      <c r="F1507" s="1954"/>
      <c r="G1507" s="90"/>
      <c r="H1507" s="90"/>
      <c r="I1507" s="90"/>
      <c r="J1507" s="90"/>
      <c r="K1507" s="90"/>
      <c r="L1507" s="90"/>
      <c r="M1507" s="1956"/>
      <c r="N1507" s="643"/>
      <c r="O1507" s="2083"/>
      <c r="P1507" s="643"/>
      <c r="Q1507" s="643"/>
      <c r="R1507" s="280"/>
      <c r="S1507" s="280"/>
      <c r="T1507" s="280"/>
      <c r="U1507" s="280"/>
      <c r="V1507" s="280"/>
      <c r="W1507" s="79"/>
    </row>
    <row r="1508" spans="1:23" ht="15.75">
      <c r="A1508" s="2080"/>
      <c r="B1508" s="705"/>
      <c r="C1508" s="90"/>
      <c r="D1508" s="2081"/>
      <c r="E1508" s="2082"/>
      <c r="F1508" s="1954"/>
      <c r="G1508" s="90"/>
      <c r="H1508" s="90"/>
      <c r="I1508" s="90"/>
      <c r="J1508" s="90"/>
      <c r="K1508" s="90"/>
      <c r="L1508" s="90"/>
      <c r="M1508" s="1956"/>
      <c r="N1508" s="643"/>
      <c r="O1508" s="2083"/>
      <c r="P1508" s="643"/>
      <c r="Q1508" s="643"/>
      <c r="R1508" s="280"/>
      <c r="S1508" s="280"/>
      <c r="T1508" s="280"/>
      <c r="U1508" s="280"/>
      <c r="V1508" s="280"/>
      <c r="W1508" s="79"/>
    </row>
    <row r="1509" spans="1:23" ht="15.75">
      <c r="A1509" s="2080"/>
      <c r="B1509" s="705"/>
      <c r="C1509" s="90"/>
      <c r="D1509" s="2081"/>
      <c r="E1509" s="2082"/>
      <c r="F1509" s="1954"/>
      <c r="G1509" s="90"/>
      <c r="H1509" s="90"/>
      <c r="I1509" s="90"/>
      <c r="J1509" s="90"/>
      <c r="K1509" s="90"/>
      <c r="L1509" s="90"/>
      <c r="M1509" s="1956"/>
      <c r="N1509" s="643"/>
      <c r="O1509" s="2083"/>
      <c r="P1509" s="643"/>
      <c r="Q1509" s="643"/>
      <c r="R1509" s="280"/>
      <c r="S1509" s="280"/>
      <c r="T1509" s="280"/>
      <c r="U1509" s="280"/>
      <c r="V1509" s="280"/>
      <c r="W1509" s="79"/>
    </row>
    <row r="1510" spans="1:23" ht="15.75">
      <c r="A1510" s="2080"/>
      <c r="B1510" s="705"/>
      <c r="C1510" s="90"/>
      <c r="D1510" s="2081"/>
      <c r="E1510" s="2082"/>
      <c r="F1510" s="1954"/>
      <c r="G1510" s="90"/>
      <c r="H1510" s="90"/>
      <c r="I1510" s="90"/>
      <c r="J1510" s="90"/>
      <c r="K1510" s="90"/>
      <c r="L1510" s="90"/>
      <c r="M1510" s="1956"/>
      <c r="N1510" s="643"/>
      <c r="O1510" s="2083"/>
      <c r="P1510" s="643"/>
      <c r="Q1510" s="643"/>
      <c r="R1510" s="280"/>
      <c r="S1510" s="280"/>
      <c r="T1510" s="280"/>
      <c r="U1510" s="280"/>
      <c r="V1510" s="280"/>
      <c r="W1510" s="79"/>
    </row>
    <row r="1511" spans="1:23" ht="15.75">
      <c r="A1511" s="2080"/>
      <c r="B1511" s="705"/>
      <c r="C1511" s="90"/>
      <c r="D1511" s="2081"/>
      <c r="E1511" s="2082"/>
      <c r="F1511" s="1954"/>
      <c r="G1511" s="90"/>
      <c r="H1511" s="90"/>
      <c r="I1511" s="90"/>
      <c r="J1511" s="90"/>
      <c r="K1511" s="90"/>
      <c r="L1511" s="90"/>
      <c r="M1511" s="1956"/>
      <c r="N1511" s="643"/>
      <c r="O1511" s="2083"/>
      <c r="P1511" s="643"/>
      <c r="Q1511" s="643"/>
      <c r="R1511" s="280"/>
      <c r="S1511" s="280"/>
      <c r="T1511" s="280"/>
      <c r="U1511" s="280"/>
      <c r="V1511" s="280"/>
      <c r="W1511" s="79"/>
    </row>
    <row r="1512" spans="1:23" ht="15.75">
      <c r="A1512" s="2080"/>
      <c r="B1512" s="705"/>
      <c r="C1512" s="90"/>
      <c r="D1512" s="2081"/>
      <c r="E1512" s="2082"/>
      <c r="F1512" s="1954"/>
      <c r="G1512" s="90"/>
      <c r="H1512" s="90"/>
      <c r="I1512" s="90"/>
      <c r="J1512" s="90"/>
      <c r="K1512" s="90"/>
      <c r="L1512" s="90"/>
      <c r="M1512" s="1956"/>
      <c r="N1512" s="643"/>
      <c r="O1512" s="2083"/>
      <c r="P1512" s="643"/>
      <c r="Q1512" s="643"/>
      <c r="R1512" s="280"/>
      <c r="S1512" s="280"/>
      <c r="T1512" s="280"/>
      <c r="U1512" s="280"/>
      <c r="V1512" s="280"/>
      <c r="W1512" s="79"/>
    </row>
    <row r="1513" spans="1:23" ht="15.75">
      <c r="A1513" s="2080"/>
      <c r="B1513" s="705"/>
      <c r="C1513" s="90"/>
      <c r="D1513" s="2081"/>
      <c r="E1513" s="2082"/>
      <c r="F1513" s="1954"/>
      <c r="G1513" s="90"/>
      <c r="H1513" s="90"/>
      <c r="I1513" s="90"/>
      <c r="J1513" s="90"/>
      <c r="K1513" s="90"/>
      <c r="L1513" s="90"/>
      <c r="M1513" s="1956"/>
      <c r="N1513" s="643"/>
      <c r="O1513" s="2083"/>
      <c r="P1513" s="643"/>
      <c r="Q1513" s="643"/>
      <c r="R1513" s="280"/>
      <c r="S1513" s="280"/>
      <c r="T1513" s="280"/>
      <c r="U1513" s="280"/>
      <c r="V1513" s="280"/>
      <c r="W1513" s="79"/>
    </row>
    <row r="1514" spans="1:23" ht="15.75">
      <c r="A1514" s="2080"/>
      <c r="B1514" s="705"/>
      <c r="C1514" s="90"/>
      <c r="D1514" s="2081"/>
      <c r="E1514" s="2082"/>
      <c r="F1514" s="1954"/>
      <c r="G1514" s="90"/>
      <c r="H1514" s="90"/>
      <c r="I1514" s="90"/>
      <c r="J1514" s="90"/>
      <c r="K1514" s="90"/>
      <c r="L1514" s="90"/>
      <c r="M1514" s="1956"/>
      <c r="N1514" s="643"/>
      <c r="O1514" s="2083"/>
      <c r="P1514" s="643"/>
      <c r="Q1514" s="643"/>
      <c r="R1514" s="280"/>
      <c r="S1514" s="280"/>
      <c r="T1514" s="280"/>
      <c r="U1514" s="280"/>
      <c r="V1514" s="280"/>
      <c r="W1514" s="79"/>
    </row>
    <row r="1515" spans="1:23" ht="15.75">
      <c r="A1515" s="2080"/>
      <c r="B1515" s="705"/>
      <c r="C1515" s="90"/>
      <c r="D1515" s="2081"/>
      <c r="E1515" s="2082"/>
      <c r="F1515" s="1954"/>
      <c r="G1515" s="90"/>
      <c r="H1515" s="90"/>
      <c r="I1515" s="90"/>
      <c r="J1515" s="90"/>
      <c r="K1515" s="90"/>
      <c r="L1515" s="90"/>
      <c r="M1515" s="1956"/>
      <c r="N1515" s="643"/>
      <c r="O1515" s="2083"/>
      <c r="P1515" s="643"/>
      <c r="Q1515" s="643"/>
      <c r="R1515" s="280"/>
      <c r="S1515" s="280"/>
      <c r="T1515" s="280"/>
      <c r="U1515" s="280"/>
      <c r="V1515" s="280"/>
      <c r="W1515" s="79"/>
    </row>
    <row r="1516" spans="1:23" ht="15.75">
      <c r="A1516" s="2080"/>
      <c r="B1516" s="705"/>
      <c r="C1516" s="90"/>
      <c r="D1516" s="2081"/>
      <c r="E1516" s="2082"/>
      <c r="F1516" s="1954"/>
      <c r="G1516" s="90"/>
      <c r="H1516" s="90"/>
      <c r="I1516" s="90"/>
      <c r="J1516" s="90"/>
      <c r="K1516" s="90"/>
      <c r="L1516" s="90"/>
      <c r="M1516" s="1956"/>
      <c r="N1516" s="643"/>
      <c r="O1516" s="2083"/>
      <c r="P1516" s="643"/>
      <c r="Q1516" s="643"/>
      <c r="R1516" s="280"/>
      <c r="S1516" s="280"/>
      <c r="T1516" s="280"/>
      <c r="U1516" s="280"/>
      <c r="V1516" s="280"/>
      <c r="W1516" s="79"/>
    </row>
    <row r="1517" spans="1:23" ht="15.75">
      <c r="A1517" s="2080"/>
      <c r="B1517" s="705"/>
      <c r="C1517" s="90"/>
      <c r="D1517" s="2081"/>
      <c r="E1517" s="2082"/>
      <c r="F1517" s="1954"/>
      <c r="G1517" s="90"/>
      <c r="H1517" s="90"/>
      <c r="I1517" s="90"/>
      <c r="J1517" s="90"/>
      <c r="K1517" s="90"/>
      <c r="L1517" s="90"/>
      <c r="M1517" s="1956"/>
      <c r="N1517" s="643"/>
      <c r="O1517" s="2083"/>
      <c r="P1517" s="643"/>
      <c r="Q1517" s="643"/>
      <c r="R1517" s="280"/>
      <c r="S1517" s="280"/>
      <c r="T1517" s="280"/>
      <c r="U1517" s="280"/>
      <c r="V1517" s="280"/>
      <c r="W1517" s="79"/>
    </row>
    <row r="1518" spans="1:23" ht="15.75">
      <c r="A1518" s="2080"/>
      <c r="B1518" s="705"/>
      <c r="C1518" s="90"/>
      <c r="D1518" s="2081"/>
      <c r="E1518" s="2082"/>
      <c r="F1518" s="1954"/>
      <c r="G1518" s="90"/>
      <c r="H1518" s="90"/>
      <c r="I1518" s="90"/>
      <c r="J1518" s="90"/>
      <c r="K1518" s="90"/>
      <c r="L1518" s="90"/>
      <c r="M1518" s="1956"/>
      <c r="N1518" s="643"/>
      <c r="O1518" s="2083"/>
      <c r="P1518" s="643"/>
      <c r="Q1518" s="643"/>
      <c r="R1518" s="280"/>
      <c r="S1518" s="280"/>
      <c r="T1518" s="280"/>
      <c r="U1518" s="280"/>
      <c r="V1518" s="280"/>
      <c r="W1518" s="79"/>
    </row>
    <row r="1519" spans="1:23" ht="15.75">
      <c r="A1519" s="2080"/>
      <c r="B1519" s="705"/>
      <c r="C1519" s="90"/>
      <c r="D1519" s="2081"/>
      <c r="E1519" s="2082"/>
      <c r="F1519" s="1954"/>
      <c r="G1519" s="90"/>
      <c r="H1519" s="90"/>
      <c r="I1519" s="90"/>
      <c r="J1519" s="90"/>
      <c r="K1519" s="90"/>
      <c r="L1519" s="90"/>
      <c r="M1519" s="1956"/>
      <c r="N1519" s="643"/>
      <c r="O1519" s="2083"/>
      <c r="P1519" s="643"/>
      <c r="Q1519" s="643"/>
      <c r="R1519" s="280"/>
      <c r="S1519" s="280"/>
      <c r="T1519" s="280"/>
      <c r="U1519" s="280"/>
      <c r="V1519" s="280"/>
      <c r="W1519" s="79"/>
    </row>
    <row r="1520" spans="1:23" ht="15.75">
      <c r="A1520" s="2080"/>
      <c r="B1520" s="705"/>
      <c r="C1520" s="90"/>
      <c r="D1520" s="2081"/>
      <c r="E1520" s="2082"/>
      <c r="F1520" s="1954"/>
      <c r="G1520" s="90"/>
      <c r="H1520" s="90"/>
      <c r="I1520" s="90"/>
      <c r="J1520" s="90"/>
      <c r="K1520" s="90"/>
      <c r="L1520" s="90"/>
      <c r="M1520" s="1956"/>
      <c r="N1520" s="643"/>
      <c r="O1520" s="2083"/>
      <c r="P1520" s="643"/>
      <c r="Q1520" s="643"/>
      <c r="R1520" s="280"/>
      <c r="S1520" s="280"/>
      <c r="T1520" s="280"/>
      <c r="U1520" s="280"/>
      <c r="V1520" s="280"/>
      <c r="W1520" s="79"/>
    </row>
    <row r="1521" spans="1:23" ht="15.75">
      <c r="A1521" s="2080"/>
      <c r="B1521" s="705"/>
      <c r="C1521" s="90"/>
      <c r="D1521" s="2081"/>
      <c r="E1521" s="2082"/>
      <c r="F1521" s="1954"/>
      <c r="G1521" s="90"/>
      <c r="H1521" s="90"/>
      <c r="I1521" s="90"/>
      <c r="J1521" s="90"/>
      <c r="K1521" s="90"/>
      <c r="L1521" s="90"/>
      <c r="M1521" s="1956"/>
      <c r="N1521" s="643"/>
      <c r="O1521" s="2083"/>
      <c r="P1521" s="643"/>
      <c r="Q1521" s="643"/>
      <c r="R1521" s="280"/>
      <c r="S1521" s="280"/>
      <c r="T1521" s="280"/>
      <c r="U1521" s="280"/>
      <c r="V1521" s="280"/>
      <c r="W1521" s="79"/>
    </row>
    <row r="1522" spans="1:23" ht="15.75">
      <c r="A1522" s="2080"/>
      <c r="B1522" s="705"/>
      <c r="C1522" s="90"/>
      <c r="D1522" s="2081"/>
      <c r="E1522" s="2082"/>
      <c r="F1522" s="1954"/>
      <c r="G1522" s="90"/>
      <c r="H1522" s="90"/>
      <c r="I1522" s="90"/>
      <c r="J1522" s="90"/>
      <c r="K1522" s="90"/>
      <c r="L1522" s="90"/>
      <c r="M1522" s="1956"/>
      <c r="N1522" s="643"/>
      <c r="O1522" s="2083"/>
      <c r="P1522" s="643"/>
      <c r="Q1522" s="643"/>
      <c r="R1522" s="280"/>
      <c r="S1522" s="280"/>
      <c r="T1522" s="280"/>
      <c r="U1522" s="280"/>
      <c r="V1522" s="280"/>
      <c r="W1522" s="79"/>
    </row>
    <row r="1523" spans="1:23" ht="15.75">
      <c r="A1523" s="2080"/>
      <c r="B1523" s="705"/>
      <c r="C1523" s="90"/>
      <c r="D1523" s="2081"/>
      <c r="E1523" s="2082"/>
      <c r="F1523" s="1954"/>
      <c r="G1523" s="90"/>
      <c r="H1523" s="90"/>
      <c r="I1523" s="90"/>
      <c r="J1523" s="90"/>
      <c r="K1523" s="90"/>
      <c r="L1523" s="90"/>
      <c r="M1523" s="1956"/>
      <c r="N1523" s="643"/>
      <c r="O1523" s="2083"/>
      <c r="P1523" s="643"/>
      <c r="Q1523" s="643"/>
      <c r="R1523" s="280"/>
      <c r="S1523" s="280"/>
      <c r="T1523" s="280"/>
      <c r="U1523" s="280"/>
      <c r="V1523" s="280"/>
      <c r="W1523" s="79"/>
    </row>
    <row r="1524" spans="1:23" ht="15.75">
      <c r="A1524" s="2080"/>
      <c r="B1524" s="705"/>
      <c r="C1524" s="90"/>
      <c r="D1524" s="2081"/>
      <c r="E1524" s="2082"/>
      <c r="F1524" s="1954"/>
      <c r="G1524" s="90"/>
      <c r="H1524" s="90"/>
      <c r="I1524" s="90"/>
      <c r="J1524" s="90"/>
      <c r="K1524" s="90"/>
      <c r="L1524" s="90"/>
      <c r="M1524" s="1956"/>
      <c r="N1524" s="643"/>
      <c r="O1524" s="2083"/>
      <c r="P1524" s="643"/>
      <c r="Q1524" s="643"/>
      <c r="R1524" s="280"/>
      <c r="S1524" s="280"/>
      <c r="T1524" s="280"/>
      <c r="U1524" s="280"/>
      <c r="V1524" s="280"/>
      <c r="W1524" s="79"/>
    </row>
    <row r="1525" spans="1:23" ht="15.75">
      <c r="A1525" s="2080"/>
      <c r="B1525" s="705"/>
      <c r="C1525" s="90"/>
      <c r="D1525" s="2081"/>
      <c r="E1525" s="2082"/>
      <c r="F1525" s="1954"/>
      <c r="G1525" s="90"/>
      <c r="H1525" s="90"/>
      <c r="I1525" s="90"/>
      <c r="J1525" s="90"/>
      <c r="K1525" s="90"/>
      <c r="L1525" s="90"/>
      <c r="M1525" s="1956"/>
      <c r="N1525" s="643"/>
      <c r="O1525" s="2083"/>
      <c r="P1525" s="643"/>
      <c r="Q1525" s="643"/>
      <c r="R1525" s="280"/>
      <c r="S1525" s="280"/>
      <c r="T1525" s="280"/>
      <c r="U1525" s="280"/>
      <c r="V1525" s="280"/>
      <c r="W1525" s="79"/>
    </row>
    <row r="1526" spans="1:23" ht="15.75">
      <c r="A1526" s="2080"/>
      <c r="B1526" s="705"/>
      <c r="C1526" s="90"/>
      <c r="D1526" s="2081"/>
      <c r="E1526" s="2082"/>
      <c r="F1526" s="1954"/>
      <c r="G1526" s="90"/>
      <c r="H1526" s="90"/>
      <c r="I1526" s="90"/>
      <c r="J1526" s="90"/>
      <c r="K1526" s="90"/>
      <c r="L1526" s="90"/>
      <c r="M1526" s="1956"/>
      <c r="N1526" s="643"/>
      <c r="O1526" s="2083"/>
      <c r="P1526" s="643"/>
      <c r="Q1526" s="643"/>
      <c r="R1526" s="280"/>
      <c r="S1526" s="280"/>
      <c r="T1526" s="280"/>
      <c r="U1526" s="280"/>
      <c r="V1526" s="280"/>
      <c r="W1526" s="79"/>
    </row>
    <row r="1527" spans="1:23" ht="15.75">
      <c r="A1527" s="2080"/>
      <c r="B1527" s="705"/>
      <c r="C1527" s="90"/>
      <c r="D1527" s="2081"/>
      <c r="E1527" s="2082"/>
      <c r="F1527" s="1954"/>
      <c r="G1527" s="90"/>
      <c r="H1527" s="90"/>
      <c r="I1527" s="90"/>
      <c r="J1527" s="90"/>
      <c r="K1527" s="90"/>
      <c r="L1527" s="90"/>
      <c r="M1527" s="1956"/>
      <c r="N1527" s="643"/>
      <c r="O1527" s="2083"/>
      <c r="P1527" s="643"/>
      <c r="Q1527" s="643"/>
      <c r="R1527" s="280"/>
      <c r="S1527" s="280"/>
      <c r="T1527" s="280"/>
      <c r="U1527" s="280"/>
      <c r="V1527" s="280"/>
      <c r="W1527" s="79"/>
    </row>
    <row r="1528" spans="1:23" ht="15.75">
      <c r="A1528" s="2080"/>
      <c r="B1528" s="705"/>
      <c r="C1528" s="90"/>
      <c r="D1528" s="2081"/>
      <c r="E1528" s="2082"/>
      <c r="F1528" s="1954"/>
      <c r="G1528" s="90"/>
      <c r="H1528" s="90"/>
      <c r="I1528" s="90"/>
      <c r="J1528" s="90"/>
      <c r="K1528" s="90"/>
      <c r="L1528" s="90"/>
      <c r="M1528" s="1956"/>
      <c r="N1528" s="643"/>
      <c r="O1528" s="2083"/>
      <c r="P1528" s="643"/>
      <c r="Q1528" s="643"/>
      <c r="R1528" s="280"/>
      <c r="S1528" s="280"/>
      <c r="T1528" s="280"/>
      <c r="U1528" s="280"/>
      <c r="V1528" s="280"/>
      <c r="W1528" s="79"/>
    </row>
    <row r="1529" spans="1:23" ht="15.75">
      <c r="A1529" s="2080"/>
      <c r="B1529" s="705"/>
      <c r="C1529" s="90"/>
      <c r="D1529" s="2081"/>
      <c r="E1529" s="2082"/>
      <c r="F1529" s="1954"/>
      <c r="G1529" s="90"/>
      <c r="H1529" s="90"/>
      <c r="I1529" s="90"/>
      <c r="J1529" s="90"/>
      <c r="K1529" s="90"/>
      <c r="L1529" s="90"/>
      <c r="M1529" s="1956"/>
      <c r="N1529" s="643"/>
      <c r="O1529" s="2083"/>
      <c r="P1529" s="643"/>
      <c r="Q1529" s="643"/>
      <c r="R1529" s="280"/>
      <c r="S1529" s="280"/>
      <c r="T1529" s="280"/>
      <c r="U1529" s="280"/>
      <c r="V1529" s="280"/>
      <c r="W1529" s="79"/>
    </row>
    <row r="1530" spans="1:23" ht="15.75">
      <c r="A1530" s="2080"/>
      <c r="B1530" s="705"/>
      <c r="C1530" s="90"/>
      <c r="D1530" s="2081"/>
      <c r="E1530" s="2082"/>
      <c r="F1530" s="1954"/>
      <c r="G1530" s="90"/>
      <c r="H1530" s="90"/>
      <c r="I1530" s="90"/>
      <c r="J1530" s="90"/>
      <c r="K1530" s="90"/>
      <c r="L1530" s="90"/>
      <c r="M1530" s="1956"/>
      <c r="N1530" s="643"/>
      <c r="O1530" s="2083"/>
      <c r="P1530" s="643"/>
      <c r="Q1530" s="643"/>
      <c r="R1530" s="280"/>
      <c r="S1530" s="280"/>
      <c r="T1530" s="280"/>
      <c r="U1530" s="280"/>
      <c r="V1530" s="280"/>
      <c r="W1530" s="79"/>
    </row>
    <row r="1531" spans="1:23" ht="15.75">
      <c r="A1531" s="2080"/>
      <c r="B1531" s="705"/>
      <c r="C1531" s="90"/>
      <c r="D1531" s="2081"/>
      <c r="E1531" s="2082"/>
      <c r="F1531" s="1954"/>
      <c r="G1531" s="90"/>
      <c r="H1531" s="90"/>
      <c r="I1531" s="90"/>
      <c r="J1531" s="90"/>
      <c r="K1531" s="90"/>
      <c r="L1531" s="90"/>
      <c r="M1531" s="1956"/>
      <c r="N1531" s="643"/>
      <c r="O1531" s="2083"/>
      <c r="P1531" s="643"/>
      <c r="Q1531" s="643"/>
      <c r="R1531" s="280"/>
      <c r="S1531" s="280"/>
      <c r="T1531" s="280"/>
      <c r="U1531" s="280"/>
      <c r="V1531" s="280"/>
      <c r="W1531" s="79"/>
    </row>
    <row r="1532" spans="1:23" ht="15.75">
      <c r="A1532" s="2080"/>
      <c r="B1532" s="705"/>
      <c r="C1532" s="90"/>
      <c r="D1532" s="2081"/>
      <c r="E1532" s="2082"/>
      <c r="F1532" s="1954"/>
      <c r="G1532" s="90"/>
      <c r="H1532" s="90"/>
      <c r="I1532" s="90"/>
      <c r="J1532" s="90"/>
      <c r="K1532" s="90"/>
      <c r="L1532" s="90"/>
      <c r="M1532" s="1956"/>
      <c r="N1532" s="643"/>
      <c r="O1532" s="2083"/>
      <c r="P1532" s="643"/>
      <c r="Q1532" s="643"/>
      <c r="R1532" s="280"/>
      <c r="S1532" s="280"/>
      <c r="T1532" s="280"/>
      <c r="U1532" s="280"/>
      <c r="V1532" s="280"/>
      <c r="W1532" s="79"/>
    </row>
    <row r="1533" spans="1:23" ht="15.75">
      <c r="A1533" s="2080"/>
      <c r="B1533" s="705"/>
      <c r="C1533" s="90"/>
      <c r="D1533" s="2081"/>
      <c r="E1533" s="2082"/>
      <c r="F1533" s="1954"/>
      <c r="G1533" s="90"/>
      <c r="H1533" s="90"/>
      <c r="I1533" s="90"/>
      <c r="J1533" s="90"/>
      <c r="K1533" s="90"/>
      <c r="L1533" s="90"/>
      <c r="M1533" s="1956"/>
      <c r="N1533" s="643"/>
      <c r="O1533" s="2083"/>
      <c r="P1533" s="643"/>
      <c r="Q1533" s="643"/>
      <c r="R1533" s="280"/>
      <c r="S1533" s="280"/>
      <c r="T1533" s="280"/>
      <c r="U1533" s="280"/>
      <c r="V1533" s="280"/>
      <c r="W1533" s="79"/>
    </row>
    <row r="1534" spans="1:23" ht="15.75">
      <c r="A1534" s="2080"/>
      <c r="B1534" s="705"/>
      <c r="C1534" s="90"/>
      <c r="D1534" s="2081"/>
      <c r="E1534" s="2082"/>
      <c r="F1534" s="1954"/>
      <c r="G1534" s="90"/>
      <c r="H1534" s="90"/>
      <c r="I1534" s="90"/>
      <c r="J1534" s="90"/>
      <c r="K1534" s="90"/>
      <c r="L1534" s="90"/>
      <c r="M1534" s="1956"/>
      <c r="N1534" s="643"/>
      <c r="O1534" s="2083"/>
      <c r="P1534" s="643"/>
      <c r="Q1534" s="643"/>
      <c r="R1534" s="280"/>
      <c r="S1534" s="280"/>
      <c r="T1534" s="280"/>
      <c r="U1534" s="280"/>
      <c r="V1534" s="280"/>
      <c r="W1534" s="79"/>
    </row>
    <row r="1535" spans="1:23" ht="15.75">
      <c r="A1535" s="2080"/>
      <c r="B1535" s="705"/>
      <c r="C1535" s="90"/>
      <c r="D1535" s="2081"/>
      <c r="E1535" s="2082"/>
      <c r="F1535" s="1954"/>
      <c r="G1535" s="90"/>
      <c r="H1535" s="90"/>
      <c r="I1535" s="90"/>
      <c r="J1535" s="90"/>
      <c r="K1535" s="90"/>
      <c r="L1535" s="90"/>
      <c r="M1535" s="1956"/>
      <c r="N1535" s="643"/>
      <c r="O1535" s="2083"/>
      <c r="P1535" s="643"/>
      <c r="Q1535" s="643"/>
      <c r="R1535" s="280"/>
      <c r="S1535" s="280"/>
      <c r="T1535" s="280"/>
      <c r="U1535" s="280"/>
      <c r="V1535" s="280"/>
      <c r="W1535" s="79"/>
    </row>
    <row r="1536" spans="1:23" ht="15.75">
      <c r="A1536" s="2080"/>
      <c r="B1536" s="705"/>
      <c r="C1536" s="90"/>
      <c r="D1536" s="2081"/>
      <c r="E1536" s="2082"/>
      <c r="F1536" s="1954"/>
      <c r="G1536" s="90"/>
      <c r="H1536" s="90"/>
      <c r="I1536" s="90"/>
      <c r="J1536" s="90"/>
      <c r="K1536" s="90"/>
      <c r="L1536" s="90"/>
      <c r="M1536" s="1956"/>
      <c r="N1536" s="643"/>
      <c r="O1536" s="2083"/>
      <c r="P1536" s="643"/>
      <c r="Q1536" s="643"/>
      <c r="R1536" s="280"/>
      <c r="S1536" s="280"/>
      <c r="T1536" s="280"/>
      <c r="U1536" s="280"/>
      <c r="V1536" s="280"/>
      <c r="W1536" s="79"/>
    </row>
    <row r="1537" spans="1:23" ht="15.75">
      <c r="A1537" s="2080"/>
      <c r="B1537" s="705"/>
      <c r="C1537" s="90"/>
      <c r="D1537" s="2081"/>
      <c r="E1537" s="2082"/>
      <c r="F1537" s="1954"/>
      <c r="G1537" s="90"/>
      <c r="H1537" s="90"/>
      <c r="I1537" s="90"/>
      <c r="J1537" s="90"/>
      <c r="K1537" s="90"/>
      <c r="L1537" s="90"/>
      <c r="M1537" s="1956"/>
      <c r="N1537" s="643"/>
      <c r="O1537" s="2083"/>
      <c r="P1537" s="643"/>
      <c r="Q1537" s="643"/>
      <c r="R1537" s="280"/>
      <c r="S1537" s="280"/>
      <c r="T1537" s="280"/>
      <c r="U1537" s="280"/>
      <c r="V1537" s="280"/>
      <c r="W1537" s="79"/>
    </row>
    <row r="1538" spans="1:23" ht="15.75">
      <c r="A1538" s="2080"/>
      <c r="B1538" s="705"/>
      <c r="C1538" s="90"/>
      <c r="D1538" s="2081"/>
      <c r="E1538" s="2082"/>
      <c r="F1538" s="1954"/>
      <c r="G1538" s="90"/>
      <c r="H1538" s="90"/>
      <c r="I1538" s="90"/>
      <c r="J1538" s="90"/>
      <c r="K1538" s="90"/>
      <c r="L1538" s="90"/>
      <c r="M1538" s="1956"/>
      <c r="N1538" s="643"/>
      <c r="O1538" s="2083"/>
      <c r="P1538" s="643"/>
      <c r="Q1538" s="643"/>
      <c r="R1538" s="280"/>
      <c r="S1538" s="280"/>
      <c r="T1538" s="280"/>
      <c r="U1538" s="280"/>
      <c r="V1538" s="280"/>
      <c r="W1538" s="79"/>
    </row>
    <row r="1539" spans="1:23" ht="15.75">
      <c r="A1539" s="2080"/>
      <c r="B1539" s="705"/>
      <c r="C1539" s="90"/>
      <c r="D1539" s="2081"/>
      <c r="E1539" s="2082"/>
      <c r="F1539" s="1954"/>
      <c r="G1539" s="90"/>
      <c r="H1539" s="90"/>
      <c r="I1539" s="90"/>
      <c r="J1539" s="90"/>
      <c r="K1539" s="90"/>
      <c r="L1539" s="90"/>
      <c r="M1539" s="1956"/>
      <c r="N1539" s="643"/>
      <c r="O1539" s="2083"/>
      <c r="P1539" s="643"/>
      <c r="Q1539" s="643"/>
      <c r="R1539" s="280"/>
      <c r="S1539" s="280"/>
      <c r="T1539" s="280"/>
      <c r="U1539" s="280"/>
      <c r="V1539" s="280"/>
      <c r="W1539" s="79"/>
    </row>
    <row r="1540" spans="1:23" ht="15.75">
      <c r="A1540" s="2080"/>
      <c r="B1540" s="705"/>
      <c r="C1540" s="90"/>
      <c r="D1540" s="2081"/>
      <c r="E1540" s="2082"/>
      <c r="F1540" s="1954"/>
      <c r="G1540" s="90"/>
      <c r="H1540" s="90"/>
      <c r="I1540" s="90"/>
      <c r="J1540" s="90"/>
      <c r="K1540" s="90"/>
      <c r="L1540" s="90"/>
      <c r="M1540" s="1956"/>
      <c r="N1540" s="643"/>
      <c r="O1540" s="2083"/>
      <c r="P1540" s="643"/>
      <c r="Q1540" s="643"/>
      <c r="R1540" s="280"/>
      <c r="S1540" s="280"/>
      <c r="T1540" s="280"/>
      <c r="U1540" s="280"/>
      <c r="V1540" s="280"/>
      <c r="W1540" s="79"/>
    </row>
    <row r="1541" spans="1:23" ht="15.75">
      <c r="A1541" s="2080"/>
      <c r="B1541" s="705"/>
      <c r="C1541" s="90"/>
      <c r="D1541" s="2081"/>
      <c r="E1541" s="2082"/>
      <c r="F1541" s="1954"/>
      <c r="G1541" s="90"/>
      <c r="H1541" s="90"/>
      <c r="I1541" s="90"/>
      <c r="J1541" s="90"/>
      <c r="K1541" s="90"/>
      <c r="L1541" s="90"/>
      <c r="M1541" s="1956"/>
      <c r="N1541" s="643"/>
      <c r="O1541" s="2083"/>
      <c r="P1541" s="643"/>
      <c r="Q1541" s="643"/>
      <c r="R1541" s="280"/>
      <c r="S1541" s="280"/>
      <c r="T1541" s="280"/>
      <c r="U1541" s="280"/>
      <c r="V1541" s="280"/>
      <c r="W1541" s="79"/>
    </row>
    <row r="1542" spans="1:23" ht="15.75">
      <c r="A1542" s="2080"/>
      <c r="B1542" s="705"/>
      <c r="C1542" s="90"/>
      <c r="D1542" s="2081"/>
      <c r="E1542" s="2082"/>
      <c r="F1542" s="1954"/>
      <c r="G1542" s="90"/>
      <c r="H1542" s="90"/>
      <c r="I1542" s="90"/>
      <c r="J1542" s="90"/>
      <c r="K1542" s="90"/>
      <c r="L1542" s="90"/>
      <c r="M1542" s="1956"/>
      <c r="N1542" s="643"/>
      <c r="O1542" s="2083"/>
      <c r="P1542" s="643"/>
      <c r="Q1542" s="643"/>
      <c r="R1542" s="280"/>
      <c r="S1542" s="280"/>
      <c r="T1542" s="280"/>
      <c r="U1542" s="280"/>
      <c r="V1542" s="280"/>
      <c r="W1542" s="79"/>
    </row>
    <row r="1543" spans="1:23" ht="15.75">
      <c r="A1543" s="2080"/>
      <c r="B1543" s="705"/>
      <c r="C1543" s="90"/>
      <c r="D1543" s="2081"/>
      <c r="E1543" s="2082"/>
      <c r="F1543" s="1954"/>
      <c r="G1543" s="90"/>
      <c r="H1543" s="90"/>
      <c r="I1543" s="90"/>
      <c r="J1543" s="90"/>
      <c r="K1543" s="90"/>
      <c r="L1543" s="90"/>
      <c r="M1543" s="1956"/>
      <c r="N1543" s="643"/>
      <c r="O1543" s="2083"/>
      <c r="P1543" s="643"/>
      <c r="Q1543" s="643"/>
      <c r="R1543" s="280"/>
      <c r="S1543" s="280"/>
      <c r="T1543" s="280"/>
      <c r="U1543" s="280"/>
      <c r="V1543" s="280"/>
      <c r="W1543" s="79"/>
    </row>
    <row r="1544" spans="1:23" ht="15.75">
      <c r="A1544" s="2080"/>
      <c r="B1544" s="705"/>
      <c r="C1544" s="90"/>
      <c r="D1544" s="2081"/>
      <c r="E1544" s="2082"/>
      <c r="F1544" s="1954"/>
      <c r="G1544" s="90"/>
      <c r="H1544" s="90"/>
      <c r="I1544" s="90"/>
      <c r="J1544" s="90"/>
      <c r="K1544" s="90"/>
      <c r="L1544" s="90"/>
      <c r="M1544" s="1956"/>
      <c r="N1544" s="643"/>
      <c r="O1544" s="2083"/>
      <c r="P1544" s="643"/>
      <c r="Q1544" s="643"/>
      <c r="R1544" s="280"/>
      <c r="S1544" s="280"/>
      <c r="T1544" s="280"/>
      <c r="U1544" s="280"/>
      <c r="V1544" s="280"/>
      <c r="W1544" s="79"/>
    </row>
    <row r="1545" spans="1:23" ht="15.75">
      <c r="A1545" s="2080"/>
      <c r="B1545" s="705"/>
      <c r="C1545" s="90"/>
      <c r="D1545" s="2081"/>
      <c r="E1545" s="2082"/>
      <c r="F1545" s="1954"/>
      <c r="G1545" s="90"/>
      <c r="H1545" s="90"/>
      <c r="I1545" s="90"/>
      <c r="J1545" s="90"/>
      <c r="K1545" s="90"/>
      <c r="L1545" s="90"/>
      <c r="M1545" s="1956"/>
      <c r="N1545" s="643"/>
      <c r="O1545" s="2083"/>
      <c r="P1545" s="643"/>
      <c r="Q1545" s="643"/>
      <c r="R1545" s="280"/>
      <c r="S1545" s="280"/>
      <c r="T1545" s="280"/>
      <c r="U1545" s="280"/>
      <c r="V1545" s="280"/>
      <c r="W1545" s="79"/>
    </row>
    <row r="1546" spans="1:23" ht="15.75">
      <c r="A1546" s="2080"/>
      <c r="B1546" s="705"/>
      <c r="C1546" s="90"/>
      <c r="D1546" s="2081"/>
      <c r="E1546" s="2082"/>
      <c r="F1546" s="1954"/>
      <c r="G1546" s="90"/>
      <c r="H1546" s="90"/>
      <c r="I1546" s="90"/>
      <c r="J1546" s="90"/>
      <c r="K1546" s="90"/>
      <c r="L1546" s="90"/>
      <c r="M1546" s="1956"/>
      <c r="N1546" s="643"/>
      <c r="O1546" s="2083"/>
      <c r="P1546" s="643"/>
      <c r="Q1546" s="643"/>
      <c r="R1546" s="280"/>
      <c r="S1546" s="280"/>
      <c r="T1546" s="280"/>
      <c r="U1546" s="280"/>
      <c r="V1546" s="280"/>
      <c r="W1546" s="79"/>
    </row>
    <row r="1547" spans="1:23" ht="15.75">
      <c r="A1547" s="2080"/>
      <c r="B1547" s="705"/>
      <c r="C1547" s="90"/>
      <c r="D1547" s="2081"/>
      <c r="E1547" s="2082"/>
      <c r="F1547" s="1954"/>
      <c r="G1547" s="90"/>
      <c r="H1547" s="90"/>
      <c r="I1547" s="90"/>
      <c r="J1547" s="90"/>
      <c r="K1547" s="90"/>
      <c r="L1547" s="90"/>
      <c r="M1547" s="1956"/>
      <c r="N1547" s="643"/>
      <c r="O1547" s="2083"/>
      <c r="P1547" s="643"/>
      <c r="Q1547" s="643"/>
      <c r="R1547" s="280"/>
      <c r="S1547" s="280"/>
      <c r="T1547" s="280"/>
      <c r="U1547" s="280"/>
      <c r="V1547" s="280"/>
      <c r="W1547" s="79"/>
    </row>
    <row r="1548" spans="1:23" ht="15.75">
      <c r="A1548" s="2080"/>
      <c r="B1548" s="705"/>
      <c r="C1548" s="90"/>
      <c r="D1548" s="2081"/>
      <c r="E1548" s="2082"/>
      <c r="F1548" s="1954"/>
      <c r="G1548" s="90"/>
      <c r="H1548" s="90"/>
      <c r="I1548" s="90"/>
      <c r="J1548" s="90"/>
      <c r="K1548" s="90"/>
      <c r="L1548" s="90"/>
      <c r="M1548" s="1956"/>
      <c r="N1548" s="643"/>
      <c r="O1548" s="2083"/>
      <c r="P1548" s="643"/>
      <c r="Q1548" s="643"/>
      <c r="R1548" s="280"/>
      <c r="S1548" s="280"/>
      <c r="T1548" s="280"/>
      <c r="U1548" s="280"/>
      <c r="V1548" s="280"/>
      <c r="W1548" s="79"/>
    </row>
    <row r="1549" spans="1:23" ht="15.75">
      <c r="A1549" s="2080"/>
      <c r="B1549" s="705"/>
      <c r="C1549" s="90"/>
      <c r="D1549" s="2081"/>
      <c r="E1549" s="2082"/>
      <c r="F1549" s="1954"/>
      <c r="G1549" s="90"/>
      <c r="H1549" s="90"/>
      <c r="I1549" s="90"/>
      <c r="J1549" s="90"/>
      <c r="K1549" s="90"/>
      <c r="L1549" s="90"/>
      <c r="M1549" s="1956"/>
      <c r="N1549" s="643"/>
      <c r="O1549" s="2083"/>
      <c r="P1549" s="643"/>
      <c r="Q1549" s="643"/>
      <c r="R1549" s="280"/>
      <c r="S1549" s="280"/>
      <c r="T1549" s="280"/>
      <c r="U1549" s="280"/>
      <c r="V1549" s="280"/>
      <c r="W1549" s="79"/>
    </row>
    <row r="1550" spans="1:23" ht="15.75">
      <c r="A1550" s="2080"/>
      <c r="B1550" s="705"/>
      <c r="C1550" s="90"/>
      <c r="D1550" s="2081"/>
      <c r="E1550" s="2082"/>
      <c r="F1550" s="1954"/>
      <c r="G1550" s="90"/>
      <c r="H1550" s="90"/>
      <c r="I1550" s="90"/>
      <c r="J1550" s="90"/>
      <c r="K1550" s="90"/>
      <c r="L1550" s="90"/>
      <c r="M1550" s="1956"/>
      <c r="N1550" s="643"/>
      <c r="O1550" s="2083"/>
      <c r="P1550" s="643"/>
      <c r="Q1550" s="643"/>
      <c r="R1550" s="280"/>
      <c r="S1550" s="280"/>
      <c r="T1550" s="280"/>
      <c r="U1550" s="280"/>
      <c r="V1550" s="280"/>
      <c r="W1550" s="79"/>
    </row>
    <row r="1551" spans="1:23" ht="15.75">
      <c r="A1551" s="2080"/>
      <c r="B1551" s="705"/>
      <c r="C1551" s="90"/>
      <c r="D1551" s="2081"/>
      <c r="E1551" s="2082"/>
      <c r="F1551" s="1954"/>
      <c r="G1551" s="90"/>
      <c r="H1551" s="90"/>
      <c r="I1551" s="90"/>
      <c r="J1551" s="90"/>
      <c r="K1551" s="90"/>
      <c r="L1551" s="90"/>
      <c r="M1551" s="1956"/>
      <c r="N1551" s="643"/>
      <c r="O1551" s="2083"/>
      <c r="P1551" s="643"/>
      <c r="Q1551" s="643"/>
      <c r="R1551" s="280"/>
      <c r="S1551" s="280"/>
      <c r="T1551" s="280"/>
      <c r="U1551" s="280"/>
      <c r="V1551" s="280"/>
      <c r="W1551" s="79"/>
    </row>
    <row r="1552" spans="1:23" ht="15.75">
      <c r="A1552" s="2080"/>
      <c r="B1552" s="705"/>
      <c r="C1552" s="90"/>
      <c r="D1552" s="2081"/>
      <c r="E1552" s="2082"/>
      <c r="F1552" s="1954"/>
      <c r="G1552" s="90"/>
      <c r="H1552" s="90"/>
      <c r="I1552" s="90"/>
      <c r="J1552" s="90"/>
      <c r="K1552" s="90"/>
      <c r="L1552" s="90"/>
      <c r="M1552" s="1956"/>
      <c r="N1552" s="643"/>
      <c r="O1552" s="2083"/>
      <c r="P1552" s="643"/>
      <c r="Q1552" s="643"/>
      <c r="R1552" s="280"/>
      <c r="S1552" s="280"/>
      <c r="T1552" s="280"/>
      <c r="U1552" s="280"/>
      <c r="V1552" s="280"/>
      <c r="W1552" s="79"/>
    </row>
    <row r="1553" spans="1:23" ht="15.75">
      <c r="A1553" s="2080"/>
      <c r="B1553" s="705"/>
      <c r="C1553" s="90"/>
      <c r="D1553" s="2081"/>
      <c r="E1553" s="2082"/>
      <c r="F1553" s="1954"/>
      <c r="G1553" s="90"/>
      <c r="H1553" s="90"/>
      <c r="I1553" s="90"/>
      <c r="J1553" s="90"/>
      <c r="K1553" s="90"/>
      <c r="L1553" s="90"/>
      <c r="M1553" s="1956"/>
      <c r="N1553" s="643"/>
      <c r="O1553" s="2083"/>
      <c r="P1553" s="643"/>
      <c r="Q1553" s="643"/>
      <c r="R1553" s="280"/>
      <c r="S1553" s="280"/>
      <c r="T1553" s="280"/>
      <c r="U1553" s="280"/>
      <c r="V1553" s="280"/>
      <c r="W1553" s="79"/>
    </row>
    <row r="1554" spans="1:23" ht="15.75">
      <c r="A1554" s="2080"/>
      <c r="B1554" s="705"/>
      <c r="C1554" s="90"/>
      <c r="D1554" s="2081"/>
      <c r="E1554" s="2082"/>
      <c r="F1554" s="1954"/>
      <c r="G1554" s="90"/>
      <c r="H1554" s="90"/>
      <c r="I1554" s="90"/>
      <c r="J1554" s="90"/>
      <c r="K1554" s="90"/>
      <c r="L1554" s="90"/>
      <c r="M1554" s="1956"/>
      <c r="N1554" s="643"/>
      <c r="O1554" s="2083"/>
      <c r="P1554" s="643"/>
      <c r="Q1554" s="643"/>
      <c r="R1554" s="280"/>
      <c r="S1554" s="280"/>
      <c r="T1554" s="280"/>
      <c r="U1554" s="280"/>
      <c r="V1554" s="280"/>
      <c r="W1554" s="79"/>
    </row>
    <row r="1555" spans="1:23" ht="15.75">
      <c r="A1555" s="2080"/>
      <c r="B1555" s="705"/>
      <c r="C1555" s="90"/>
      <c r="D1555" s="2081"/>
      <c r="E1555" s="2082"/>
      <c r="F1555" s="1954"/>
      <c r="G1555" s="90"/>
      <c r="H1555" s="90"/>
      <c r="I1555" s="90"/>
      <c r="J1555" s="90"/>
      <c r="K1555" s="90"/>
      <c r="L1555" s="90"/>
      <c r="M1555" s="1956"/>
      <c r="N1555" s="643"/>
      <c r="O1555" s="2083"/>
      <c r="P1555" s="643"/>
      <c r="Q1555" s="643"/>
      <c r="R1555" s="280"/>
      <c r="S1555" s="280"/>
      <c r="T1555" s="280"/>
      <c r="U1555" s="280"/>
      <c r="V1555" s="280"/>
      <c r="W1555" s="79"/>
    </row>
    <row r="1556" spans="1:23" ht="15.75">
      <c r="A1556" s="2080"/>
      <c r="B1556" s="705"/>
      <c r="C1556" s="90"/>
      <c r="D1556" s="2081"/>
      <c r="E1556" s="2082"/>
      <c r="F1556" s="1954"/>
      <c r="G1556" s="90"/>
      <c r="H1556" s="90"/>
      <c r="I1556" s="90"/>
      <c r="J1556" s="90"/>
      <c r="K1556" s="90"/>
      <c r="L1556" s="90"/>
      <c r="M1556" s="1956"/>
      <c r="N1556" s="643"/>
      <c r="O1556" s="2083"/>
      <c r="P1556" s="643"/>
      <c r="Q1556" s="643"/>
      <c r="R1556" s="280"/>
      <c r="S1556" s="280"/>
      <c r="T1556" s="280"/>
      <c r="U1556" s="280"/>
      <c r="V1556" s="280"/>
      <c r="W1556" s="79"/>
    </row>
    <row r="1557" spans="1:23" ht="15.75">
      <c r="A1557" s="2080"/>
      <c r="B1557" s="705"/>
      <c r="C1557" s="90"/>
      <c r="D1557" s="2081"/>
      <c r="E1557" s="2082"/>
      <c r="F1557" s="1954"/>
      <c r="G1557" s="90"/>
      <c r="H1557" s="90"/>
      <c r="I1557" s="90"/>
      <c r="J1557" s="90"/>
      <c r="K1557" s="90"/>
      <c r="L1557" s="90"/>
      <c r="M1557" s="1956"/>
      <c r="N1557" s="643"/>
      <c r="O1557" s="2083"/>
      <c r="P1557" s="643"/>
      <c r="Q1557" s="643"/>
      <c r="R1557" s="280"/>
      <c r="S1557" s="280"/>
      <c r="T1557" s="280"/>
      <c r="U1557" s="280"/>
      <c r="V1557" s="280"/>
      <c r="W1557" s="79"/>
    </row>
    <row r="1558" spans="1:23" ht="15.75">
      <c r="A1558" s="2080"/>
      <c r="B1558" s="705"/>
      <c r="C1558" s="90"/>
      <c r="D1558" s="2081"/>
      <c r="E1558" s="2082"/>
      <c r="F1558" s="1954"/>
      <c r="G1558" s="90"/>
      <c r="H1558" s="90"/>
      <c r="I1558" s="90"/>
      <c r="J1558" s="90"/>
      <c r="K1558" s="90"/>
      <c r="L1558" s="90"/>
      <c r="M1558" s="1956"/>
      <c r="N1558" s="643"/>
      <c r="O1558" s="2083"/>
      <c r="P1558" s="643"/>
      <c r="Q1558" s="643"/>
      <c r="R1558" s="280"/>
      <c r="S1558" s="280"/>
      <c r="T1558" s="280"/>
      <c r="U1558" s="280"/>
      <c r="V1558" s="280"/>
      <c r="W1558" s="79"/>
    </row>
    <row r="1559" spans="1:23" ht="15.75">
      <c r="A1559" s="2080"/>
      <c r="B1559" s="705"/>
      <c r="C1559" s="90"/>
      <c r="D1559" s="2081"/>
      <c r="E1559" s="2082"/>
      <c r="F1559" s="1954"/>
      <c r="G1559" s="90"/>
      <c r="H1559" s="90"/>
      <c r="I1559" s="90"/>
      <c r="J1559" s="90"/>
      <c r="K1559" s="90"/>
      <c r="L1559" s="90"/>
      <c r="M1559" s="1956"/>
      <c r="N1559" s="643"/>
      <c r="O1559" s="2083"/>
      <c r="P1559" s="643"/>
      <c r="Q1559" s="643"/>
      <c r="R1559" s="280"/>
      <c r="S1559" s="280"/>
      <c r="T1559" s="280"/>
      <c r="U1559" s="280"/>
      <c r="V1559" s="280"/>
      <c r="W1559" s="79"/>
    </row>
    <row r="1560" spans="1:23" ht="15.75">
      <c r="A1560" s="2080"/>
      <c r="B1560" s="705"/>
      <c r="C1560" s="90"/>
      <c r="D1560" s="2081"/>
      <c r="E1560" s="2082"/>
      <c r="F1560" s="1954"/>
      <c r="G1560" s="90"/>
      <c r="H1560" s="90"/>
      <c r="I1560" s="90"/>
      <c r="J1560" s="90"/>
      <c r="K1560" s="90"/>
      <c r="L1560" s="90"/>
      <c r="M1560" s="1956"/>
      <c r="N1560" s="643"/>
      <c r="O1560" s="2083"/>
      <c r="P1560" s="643"/>
      <c r="Q1560" s="643"/>
      <c r="R1560" s="280"/>
      <c r="S1560" s="280"/>
      <c r="T1560" s="280"/>
      <c r="U1560" s="280"/>
      <c r="V1560" s="280"/>
      <c r="W1560" s="79"/>
    </row>
    <row r="1561" spans="1:23" ht="15.75">
      <c r="A1561" s="2080"/>
      <c r="B1561" s="705"/>
      <c r="C1561" s="90"/>
      <c r="D1561" s="2081"/>
      <c r="E1561" s="2082"/>
      <c r="F1561" s="1954"/>
      <c r="G1561" s="90"/>
      <c r="H1561" s="90"/>
      <c r="I1561" s="90"/>
      <c r="J1561" s="90"/>
      <c r="K1561" s="90"/>
      <c r="L1561" s="90"/>
      <c r="M1561" s="1956"/>
      <c r="N1561" s="643"/>
      <c r="O1561" s="2083"/>
      <c r="P1561" s="643"/>
      <c r="Q1561" s="643"/>
      <c r="R1561" s="280"/>
      <c r="S1561" s="280"/>
      <c r="T1561" s="280"/>
      <c r="U1561" s="280"/>
      <c r="V1561" s="280"/>
      <c r="W1561" s="79"/>
    </row>
    <row r="1562" spans="1:23" ht="15.75">
      <c r="A1562" s="2080"/>
      <c r="B1562" s="705"/>
      <c r="C1562" s="90"/>
      <c r="D1562" s="2081"/>
      <c r="E1562" s="2082"/>
      <c r="F1562" s="1954"/>
      <c r="G1562" s="90"/>
      <c r="H1562" s="90"/>
      <c r="I1562" s="90"/>
      <c r="J1562" s="90"/>
      <c r="K1562" s="90"/>
      <c r="L1562" s="90"/>
      <c r="M1562" s="1956"/>
      <c r="N1562" s="643"/>
      <c r="O1562" s="2083"/>
      <c r="P1562" s="643"/>
      <c r="Q1562" s="643"/>
      <c r="R1562" s="280"/>
      <c r="S1562" s="280"/>
      <c r="T1562" s="280"/>
      <c r="U1562" s="280"/>
      <c r="V1562" s="280"/>
      <c r="W1562" s="79"/>
    </row>
    <row r="1563" spans="1:23" ht="15.75">
      <c r="A1563" s="2080"/>
      <c r="B1563" s="705"/>
      <c r="C1563" s="90"/>
      <c r="D1563" s="2081"/>
      <c r="E1563" s="2082"/>
      <c r="F1563" s="1954"/>
      <c r="G1563" s="90"/>
      <c r="H1563" s="90"/>
      <c r="I1563" s="90"/>
      <c r="J1563" s="90"/>
      <c r="K1563" s="90"/>
      <c r="L1563" s="90"/>
      <c r="M1563" s="1956"/>
      <c r="N1563" s="643"/>
      <c r="O1563" s="2083"/>
      <c r="P1563" s="643"/>
      <c r="Q1563" s="643"/>
      <c r="R1563" s="280"/>
      <c r="S1563" s="280"/>
      <c r="T1563" s="280"/>
      <c r="U1563" s="280"/>
      <c r="V1563" s="280"/>
      <c r="W1563" s="79"/>
    </row>
    <row r="1564" spans="1:23" ht="15.75">
      <c r="A1564" s="2080"/>
      <c r="B1564" s="705"/>
      <c r="C1564" s="90"/>
      <c r="D1564" s="2081"/>
      <c r="E1564" s="2082"/>
      <c r="F1564" s="1954"/>
      <c r="G1564" s="90"/>
      <c r="H1564" s="90"/>
      <c r="I1564" s="90"/>
      <c r="J1564" s="90"/>
      <c r="K1564" s="90"/>
      <c r="L1564" s="90"/>
      <c r="M1564" s="1956"/>
      <c r="N1564" s="643"/>
      <c r="O1564" s="2083"/>
      <c r="P1564" s="643"/>
      <c r="Q1564" s="643"/>
      <c r="R1564" s="280"/>
      <c r="S1564" s="280"/>
      <c r="T1564" s="280"/>
      <c r="U1564" s="280"/>
      <c r="V1564" s="280"/>
      <c r="W1564" s="79"/>
    </row>
    <row r="1565" spans="1:23" ht="15.75">
      <c r="A1565" s="2080"/>
      <c r="B1565" s="705"/>
      <c r="C1565" s="90"/>
      <c r="D1565" s="2081"/>
      <c r="E1565" s="2082"/>
      <c r="F1565" s="1954"/>
      <c r="G1565" s="90"/>
      <c r="H1565" s="90"/>
      <c r="I1565" s="90"/>
      <c r="J1565" s="90"/>
      <c r="K1565" s="90"/>
      <c r="L1565" s="90"/>
      <c r="M1565" s="1956"/>
      <c r="N1565" s="643"/>
      <c r="O1565" s="2083"/>
      <c r="P1565" s="643"/>
      <c r="Q1565" s="643"/>
      <c r="R1565" s="280"/>
      <c r="S1565" s="280"/>
      <c r="T1565" s="280"/>
      <c r="U1565" s="280"/>
      <c r="V1565" s="280"/>
      <c r="W1565" s="79"/>
    </row>
    <row r="1566" spans="1:23" ht="15.75">
      <c r="A1566" s="2080"/>
      <c r="B1566" s="705"/>
      <c r="C1566" s="90"/>
      <c r="D1566" s="2081"/>
      <c r="E1566" s="2082"/>
      <c r="F1566" s="1954"/>
      <c r="G1566" s="90"/>
      <c r="H1566" s="90"/>
      <c r="I1566" s="90"/>
      <c r="J1566" s="90"/>
      <c r="K1566" s="90"/>
      <c r="L1566" s="90"/>
      <c r="M1566" s="1956"/>
      <c r="N1566" s="643"/>
      <c r="O1566" s="2083"/>
      <c r="P1566" s="643"/>
      <c r="Q1566" s="643"/>
      <c r="R1566" s="280"/>
      <c r="S1566" s="280"/>
      <c r="T1566" s="280"/>
      <c r="U1566" s="280"/>
      <c r="V1566" s="280"/>
      <c r="W1566" s="79"/>
    </row>
    <row r="1567" spans="1:23" ht="15.75">
      <c r="A1567" s="2080"/>
      <c r="B1567" s="705"/>
      <c r="C1567" s="90"/>
      <c r="D1567" s="2081"/>
      <c r="E1567" s="2082"/>
      <c r="F1567" s="1954"/>
      <c r="G1567" s="90"/>
      <c r="H1567" s="90"/>
      <c r="I1567" s="90"/>
      <c r="J1567" s="90"/>
      <c r="K1567" s="90"/>
      <c r="L1567" s="90"/>
      <c r="M1567" s="1956"/>
      <c r="N1567" s="643"/>
      <c r="O1567" s="2083"/>
      <c r="P1567" s="643"/>
      <c r="Q1567" s="643"/>
      <c r="R1567" s="280"/>
      <c r="S1567" s="280"/>
      <c r="T1567" s="280"/>
      <c r="U1567" s="280"/>
      <c r="V1567" s="280"/>
      <c r="W1567" s="79"/>
    </row>
    <row r="1568" spans="1:23" ht="15.75">
      <c r="A1568" s="2080"/>
      <c r="B1568" s="705"/>
      <c r="C1568" s="90"/>
      <c r="D1568" s="2081"/>
      <c r="E1568" s="2082"/>
      <c r="F1568" s="1954"/>
      <c r="G1568" s="90"/>
      <c r="H1568" s="90"/>
      <c r="I1568" s="90"/>
      <c r="J1568" s="90"/>
      <c r="K1568" s="90"/>
      <c r="L1568" s="90"/>
      <c r="M1568" s="1956"/>
      <c r="N1568" s="643"/>
      <c r="O1568" s="2083"/>
      <c r="P1568" s="643"/>
      <c r="Q1568" s="643"/>
      <c r="R1568" s="280"/>
      <c r="S1568" s="280"/>
      <c r="T1568" s="280"/>
      <c r="U1568" s="280"/>
      <c r="V1568" s="280"/>
      <c r="W1568" s="79"/>
    </row>
    <row r="1569" spans="1:23" ht="15.75">
      <c r="A1569" s="2080"/>
      <c r="B1569" s="705"/>
      <c r="C1569" s="90"/>
      <c r="D1569" s="2081"/>
      <c r="E1569" s="2082"/>
      <c r="F1569" s="1954"/>
      <c r="G1569" s="90"/>
      <c r="H1569" s="90"/>
      <c r="I1569" s="90"/>
      <c r="J1569" s="90"/>
      <c r="K1569" s="90"/>
      <c r="L1569" s="90"/>
      <c r="M1569" s="1956"/>
      <c r="N1569" s="643"/>
      <c r="O1569" s="2083"/>
      <c r="P1569" s="643"/>
      <c r="Q1569" s="643"/>
      <c r="R1569" s="280"/>
      <c r="S1569" s="280"/>
      <c r="T1569" s="280"/>
      <c r="U1569" s="280"/>
      <c r="V1569" s="280"/>
      <c r="W1569" s="79"/>
    </row>
    <row r="1570" spans="1:23" ht="15.75">
      <c r="A1570" s="2080"/>
      <c r="B1570" s="705"/>
      <c r="C1570" s="90"/>
      <c r="D1570" s="2081"/>
      <c r="E1570" s="2082"/>
      <c r="F1570" s="1954"/>
      <c r="G1570" s="90"/>
      <c r="H1570" s="90"/>
      <c r="I1570" s="90"/>
      <c r="J1570" s="90"/>
      <c r="K1570" s="90"/>
      <c r="L1570" s="90"/>
      <c r="M1570" s="1956"/>
      <c r="N1570" s="643"/>
      <c r="O1570" s="2083"/>
      <c r="P1570" s="643"/>
      <c r="Q1570" s="643"/>
      <c r="R1570" s="280"/>
      <c r="S1570" s="280"/>
      <c r="T1570" s="280"/>
      <c r="U1570" s="280"/>
      <c r="V1570" s="280"/>
      <c r="W1570" s="79"/>
    </row>
    <row r="1571" spans="1:23" ht="15.75">
      <c r="A1571" s="2080"/>
      <c r="B1571" s="705"/>
      <c r="C1571" s="90"/>
      <c r="D1571" s="2081"/>
      <c r="E1571" s="2082"/>
      <c r="F1571" s="1954"/>
      <c r="G1571" s="90"/>
      <c r="H1571" s="90"/>
      <c r="I1571" s="90"/>
      <c r="J1571" s="90"/>
      <c r="K1571" s="90"/>
      <c r="L1571" s="90"/>
      <c r="M1571" s="1956"/>
      <c r="N1571" s="643"/>
      <c r="O1571" s="2083"/>
      <c r="P1571" s="643"/>
      <c r="Q1571" s="643"/>
      <c r="R1571" s="280"/>
      <c r="S1571" s="280"/>
      <c r="T1571" s="280"/>
      <c r="U1571" s="280"/>
      <c r="V1571" s="280"/>
      <c r="W1571" s="79"/>
    </row>
    <row r="1572" spans="1:23" ht="15.75">
      <c r="A1572" s="2080"/>
      <c r="B1572" s="705"/>
      <c r="C1572" s="90"/>
      <c r="D1572" s="2081"/>
      <c r="E1572" s="2082"/>
      <c r="F1572" s="1954"/>
      <c r="G1572" s="90"/>
      <c r="H1572" s="90"/>
      <c r="I1572" s="90"/>
      <c r="J1572" s="90"/>
      <c r="K1572" s="90"/>
      <c r="L1572" s="90"/>
      <c r="M1572" s="1956"/>
      <c r="N1572" s="643"/>
      <c r="O1572" s="2083"/>
      <c r="P1572" s="643"/>
      <c r="Q1572" s="643"/>
      <c r="R1572" s="280"/>
      <c r="S1572" s="280"/>
      <c r="T1572" s="280"/>
      <c r="U1572" s="280"/>
      <c r="V1572" s="280"/>
      <c r="W1572" s="79"/>
    </row>
    <row r="1573" spans="1:23" ht="15.75">
      <c r="A1573" s="2080"/>
      <c r="B1573" s="705"/>
      <c r="C1573" s="90"/>
      <c r="D1573" s="2081"/>
      <c r="E1573" s="2082"/>
      <c r="F1573" s="1954"/>
      <c r="G1573" s="90"/>
      <c r="H1573" s="90"/>
      <c r="I1573" s="90"/>
      <c r="J1573" s="90"/>
      <c r="K1573" s="90"/>
      <c r="L1573" s="90"/>
      <c r="M1573" s="1956"/>
      <c r="N1573" s="643"/>
      <c r="O1573" s="2083"/>
      <c r="P1573" s="643"/>
      <c r="Q1573" s="643"/>
      <c r="R1573" s="280"/>
      <c r="S1573" s="280"/>
      <c r="T1573" s="280"/>
      <c r="U1573" s="280"/>
      <c r="V1573" s="280"/>
      <c r="W1573" s="79"/>
    </row>
    <row r="1574" spans="1:23" ht="15.75">
      <c r="A1574" s="2080"/>
      <c r="B1574" s="705"/>
      <c r="C1574" s="90"/>
      <c r="D1574" s="2081"/>
      <c r="E1574" s="2082"/>
      <c r="F1574" s="1954"/>
      <c r="G1574" s="90"/>
      <c r="H1574" s="90"/>
      <c r="I1574" s="90"/>
      <c r="J1574" s="90"/>
      <c r="K1574" s="90"/>
      <c r="L1574" s="90"/>
      <c r="M1574" s="1956"/>
      <c r="N1574" s="643"/>
      <c r="O1574" s="2083"/>
      <c r="P1574" s="643"/>
      <c r="Q1574" s="643"/>
      <c r="R1574" s="280"/>
      <c r="S1574" s="280"/>
      <c r="T1574" s="280"/>
      <c r="U1574" s="280"/>
      <c r="V1574" s="280"/>
      <c r="W1574" s="79"/>
    </row>
    <row r="1575" spans="1:23" ht="15.75">
      <c r="A1575" s="2080"/>
      <c r="B1575" s="705"/>
      <c r="C1575" s="90"/>
      <c r="D1575" s="2081"/>
      <c r="E1575" s="2082"/>
      <c r="F1575" s="1954"/>
      <c r="G1575" s="90"/>
      <c r="H1575" s="90"/>
      <c r="I1575" s="90"/>
      <c r="J1575" s="90"/>
      <c r="K1575" s="90"/>
      <c r="L1575" s="90"/>
      <c r="M1575" s="1956"/>
      <c r="N1575" s="643"/>
      <c r="O1575" s="2083"/>
      <c r="P1575" s="643"/>
      <c r="Q1575" s="643"/>
      <c r="R1575" s="280"/>
      <c r="S1575" s="280"/>
      <c r="T1575" s="280"/>
      <c r="U1575" s="280"/>
      <c r="V1575" s="280"/>
      <c r="W1575" s="79"/>
    </row>
    <row r="1576" spans="1:23" ht="15.75">
      <c r="A1576" s="2080"/>
      <c r="B1576" s="705"/>
      <c r="C1576" s="90"/>
      <c r="D1576" s="2081"/>
      <c r="E1576" s="2082"/>
      <c r="F1576" s="1954"/>
      <c r="G1576" s="90"/>
      <c r="H1576" s="90"/>
      <c r="I1576" s="90"/>
      <c r="J1576" s="90"/>
      <c r="K1576" s="90"/>
      <c r="L1576" s="90"/>
      <c r="M1576" s="1956"/>
      <c r="N1576" s="643"/>
      <c r="O1576" s="2083"/>
      <c r="P1576" s="643"/>
      <c r="Q1576" s="643"/>
      <c r="R1576" s="280"/>
      <c r="S1576" s="280"/>
      <c r="T1576" s="280"/>
      <c r="U1576" s="280"/>
      <c r="V1576" s="280"/>
      <c r="W1576" s="79"/>
    </row>
    <row r="1577" spans="1:23" ht="15.75">
      <c r="A1577" s="2080"/>
      <c r="B1577" s="705"/>
      <c r="C1577" s="90"/>
      <c r="D1577" s="2081"/>
      <c r="E1577" s="2082"/>
      <c r="F1577" s="1954"/>
      <c r="G1577" s="90"/>
      <c r="H1577" s="90"/>
      <c r="I1577" s="90"/>
      <c r="J1577" s="90"/>
      <c r="K1577" s="90"/>
      <c r="L1577" s="90"/>
      <c r="M1577" s="1956"/>
      <c r="N1577" s="643"/>
      <c r="O1577" s="2083"/>
      <c r="P1577" s="643"/>
      <c r="Q1577" s="643"/>
      <c r="R1577" s="280"/>
      <c r="S1577" s="280"/>
      <c r="T1577" s="280"/>
      <c r="U1577" s="280"/>
      <c r="V1577" s="280"/>
      <c r="W1577" s="79"/>
    </row>
    <row r="1578" spans="1:23" ht="15.75">
      <c r="A1578" s="2080"/>
      <c r="B1578" s="705"/>
      <c r="C1578" s="90"/>
      <c r="D1578" s="2081"/>
      <c r="E1578" s="2082"/>
      <c r="F1578" s="1954"/>
      <c r="G1578" s="90"/>
      <c r="H1578" s="90"/>
      <c r="I1578" s="90"/>
      <c r="J1578" s="90"/>
      <c r="K1578" s="90"/>
      <c r="L1578" s="90"/>
      <c r="M1578" s="1956"/>
      <c r="N1578" s="643"/>
      <c r="O1578" s="2083"/>
      <c r="P1578" s="643"/>
      <c r="Q1578" s="643"/>
      <c r="R1578" s="280"/>
      <c r="S1578" s="280"/>
      <c r="T1578" s="280"/>
      <c r="U1578" s="280"/>
      <c r="V1578" s="280"/>
      <c r="W1578" s="79"/>
    </row>
    <row r="1579" spans="1:23" ht="15.75">
      <c r="A1579" s="2080"/>
      <c r="B1579" s="705"/>
      <c r="C1579" s="90"/>
      <c r="D1579" s="2081"/>
      <c r="E1579" s="2082"/>
      <c r="F1579" s="1954"/>
      <c r="G1579" s="90"/>
      <c r="H1579" s="90"/>
      <c r="I1579" s="90"/>
      <c r="J1579" s="90"/>
      <c r="K1579" s="90"/>
      <c r="L1579" s="90"/>
      <c r="M1579" s="1956"/>
      <c r="N1579" s="643"/>
      <c r="O1579" s="2083"/>
      <c r="P1579" s="643"/>
      <c r="Q1579" s="643"/>
      <c r="R1579" s="280"/>
      <c r="S1579" s="280"/>
      <c r="T1579" s="280"/>
      <c r="U1579" s="280"/>
      <c r="V1579" s="280"/>
      <c r="W1579" s="79"/>
    </row>
    <row r="1580" spans="1:23" ht="15.75">
      <c r="A1580" s="2080"/>
      <c r="B1580" s="705"/>
      <c r="C1580" s="90"/>
      <c r="D1580" s="2081"/>
      <c r="E1580" s="2082"/>
      <c r="F1580" s="1954"/>
      <c r="G1580" s="90"/>
      <c r="H1580" s="90"/>
      <c r="I1580" s="90"/>
      <c r="J1580" s="90"/>
      <c r="K1580" s="90"/>
      <c r="L1580" s="90"/>
      <c r="M1580" s="1956"/>
      <c r="N1580" s="643"/>
      <c r="O1580" s="2083"/>
      <c r="P1580" s="643"/>
      <c r="Q1580" s="643"/>
      <c r="R1580" s="280"/>
      <c r="S1580" s="280"/>
      <c r="T1580" s="280"/>
      <c r="U1580" s="280"/>
      <c r="V1580" s="280"/>
      <c r="W1580" s="79"/>
    </row>
    <row r="1581" spans="1:23" ht="15.75">
      <c r="A1581" s="2080"/>
      <c r="B1581" s="705"/>
      <c r="C1581" s="90"/>
      <c r="D1581" s="2081"/>
      <c r="E1581" s="2082"/>
      <c r="F1581" s="1954"/>
      <c r="G1581" s="90"/>
      <c r="H1581" s="90"/>
      <c r="I1581" s="90"/>
      <c r="J1581" s="90"/>
      <c r="K1581" s="90"/>
      <c r="L1581" s="90"/>
      <c r="M1581" s="1956"/>
      <c r="N1581" s="643"/>
      <c r="O1581" s="2083"/>
      <c r="P1581" s="643"/>
      <c r="Q1581" s="643"/>
      <c r="R1581" s="280"/>
      <c r="S1581" s="280"/>
      <c r="T1581" s="280"/>
      <c r="U1581" s="280"/>
      <c r="V1581" s="280"/>
      <c r="W1581" s="79"/>
    </row>
    <row r="1582" spans="1:23" ht="15.75">
      <c r="A1582" s="2080"/>
      <c r="B1582" s="705"/>
      <c r="C1582" s="90"/>
      <c r="D1582" s="2081"/>
      <c r="E1582" s="2082"/>
      <c r="F1582" s="1954"/>
      <c r="G1582" s="90"/>
      <c r="H1582" s="90"/>
      <c r="I1582" s="90"/>
      <c r="J1582" s="90"/>
      <c r="K1582" s="90"/>
      <c r="L1582" s="90"/>
      <c r="M1582" s="1956"/>
      <c r="N1582" s="643"/>
      <c r="O1582" s="2083"/>
      <c r="P1582" s="643"/>
      <c r="Q1582" s="643"/>
      <c r="R1582" s="280"/>
      <c r="S1582" s="280"/>
      <c r="T1582" s="280"/>
      <c r="U1582" s="280"/>
      <c r="V1582" s="280"/>
      <c r="W1582" s="79"/>
    </row>
    <row r="1583" spans="1:23" ht="15.75">
      <c r="A1583" s="2080"/>
      <c r="B1583" s="705"/>
      <c r="C1583" s="90"/>
      <c r="D1583" s="2081"/>
      <c r="E1583" s="2082"/>
      <c r="F1583" s="1954"/>
      <c r="G1583" s="90"/>
      <c r="H1583" s="90"/>
      <c r="I1583" s="90"/>
      <c r="J1583" s="90"/>
      <c r="K1583" s="90"/>
      <c r="L1583" s="90"/>
      <c r="M1583" s="1956"/>
      <c r="N1583" s="643"/>
      <c r="O1583" s="2083"/>
      <c r="P1583" s="643"/>
      <c r="Q1583" s="643"/>
      <c r="R1583" s="280"/>
      <c r="S1583" s="280"/>
      <c r="T1583" s="280"/>
      <c r="U1583" s="280"/>
      <c r="V1583" s="280"/>
      <c r="W1583" s="79"/>
    </row>
    <row r="1584" spans="1:23" ht="15.75">
      <c r="A1584" s="2080"/>
      <c r="B1584" s="705"/>
      <c r="C1584" s="90"/>
      <c r="D1584" s="2081"/>
      <c r="E1584" s="2082"/>
      <c r="F1584" s="1954"/>
      <c r="G1584" s="90"/>
      <c r="H1584" s="90"/>
      <c r="I1584" s="90"/>
      <c r="J1584" s="90"/>
      <c r="K1584" s="90"/>
      <c r="L1584" s="90"/>
      <c r="M1584" s="1956"/>
      <c r="N1584" s="643"/>
      <c r="O1584" s="2083"/>
      <c r="P1584" s="643"/>
      <c r="Q1584" s="643"/>
      <c r="R1584" s="280"/>
      <c r="S1584" s="280"/>
      <c r="T1584" s="280"/>
      <c r="U1584" s="280"/>
      <c r="V1584" s="280"/>
      <c r="W1584" s="79"/>
    </row>
    <row r="1585" spans="1:23" ht="15.75">
      <c r="A1585" s="2080"/>
      <c r="B1585" s="705"/>
      <c r="C1585" s="90"/>
      <c r="D1585" s="2081"/>
      <c r="E1585" s="2082"/>
      <c r="F1585" s="1954"/>
      <c r="G1585" s="90"/>
      <c r="H1585" s="90"/>
      <c r="I1585" s="90"/>
      <c r="J1585" s="90"/>
      <c r="K1585" s="90"/>
      <c r="L1585" s="90"/>
      <c r="M1585" s="1956"/>
      <c r="N1585" s="643"/>
      <c r="O1585" s="2083"/>
      <c r="P1585" s="643"/>
      <c r="Q1585" s="643"/>
      <c r="R1585" s="280"/>
      <c r="S1585" s="280"/>
      <c r="T1585" s="280"/>
      <c r="U1585" s="280"/>
      <c r="V1585" s="280"/>
      <c r="W1585" s="79"/>
    </row>
    <row r="1586" spans="1:23" ht="15.75">
      <c r="A1586" s="2080"/>
      <c r="B1586" s="705"/>
      <c r="C1586" s="90"/>
      <c r="D1586" s="2081"/>
      <c r="E1586" s="2082"/>
      <c r="F1586" s="1954"/>
      <c r="G1586" s="90"/>
      <c r="H1586" s="90"/>
      <c r="I1586" s="90"/>
      <c r="J1586" s="90"/>
      <c r="K1586" s="90"/>
      <c r="L1586" s="90"/>
      <c r="M1586" s="1956"/>
      <c r="N1586" s="643"/>
      <c r="O1586" s="2083"/>
      <c r="P1586" s="643"/>
      <c r="Q1586" s="643"/>
      <c r="R1586" s="280"/>
      <c r="S1586" s="280"/>
      <c r="T1586" s="280"/>
      <c r="U1586" s="280"/>
      <c r="V1586" s="280"/>
      <c r="W1586" s="79"/>
    </row>
    <row r="1587" spans="1:23" ht="15.75">
      <c r="A1587" s="2080"/>
      <c r="B1587" s="705"/>
      <c r="C1587" s="90"/>
      <c r="D1587" s="2081"/>
      <c r="E1587" s="2082"/>
      <c r="F1587" s="1954"/>
      <c r="G1587" s="90"/>
      <c r="H1587" s="90"/>
      <c r="I1587" s="90"/>
      <c r="J1587" s="90"/>
      <c r="K1587" s="90"/>
      <c r="L1587" s="90"/>
      <c r="M1587" s="1956"/>
      <c r="N1587" s="643"/>
      <c r="O1587" s="2083"/>
      <c r="P1587" s="643"/>
      <c r="Q1587" s="643"/>
      <c r="R1587" s="280"/>
      <c r="S1587" s="280"/>
      <c r="T1587" s="280"/>
      <c r="U1587" s="280"/>
      <c r="V1587" s="280"/>
      <c r="W1587" s="79"/>
    </row>
    <row r="1588" spans="1:23" ht="15.75">
      <c r="A1588" s="2080"/>
      <c r="B1588" s="705"/>
      <c r="C1588" s="90"/>
      <c r="D1588" s="2081"/>
      <c r="E1588" s="2082"/>
      <c r="F1588" s="1954"/>
      <c r="G1588" s="90"/>
      <c r="H1588" s="90"/>
      <c r="I1588" s="90"/>
      <c r="J1588" s="90"/>
      <c r="K1588" s="90"/>
      <c r="L1588" s="90"/>
      <c r="M1588" s="1956"/>
      <c r="N1588" s="643"/>
      <c r="O1588" s="2083"/>
      <c r="P1588" s="643"/>
      <c r="Q1588" s="643"/>
      <c r="R1588" s="280"/>
      <c r="S1588" s="280"/>
      <c r="T1588" s="280"/>
      <c r="U1588" s="280"/>
      <c r="V1588" s="280"/>
      <c r="W1588" s="79"/>
    </row>
    <row r="1589" spans="1:23" ht="15.75">
      <c r="A1589" s="2080"/>
      <c r="B1589" s="705"/>
      <c r="C1589" s="90"/>
      <c r="D1589" s="2081"/>
      <c r="E1589" s="2082"/>
      <c r="F1589" s="1954"/>
      <c r="G1589" s="90"/>
      <c r="H1589" s="90"/>
      <c r="I1589" s="90"/>
      <c r="J1589" s="90"/>
      <c r="K1589" s="90"/>
      <c r="L1589" s="90"/>
      <c r="M1589" s="1956"/>
      <c r="N1589" s="643"/>
      <c r="O1589" s="2083"/>
      <c r="P1589" s="643"/>
      <c r="Q1589" s="643"/>
      <c r="R1589" s="280"/>
      <c r="S1589" s="280"/>
      <c r="T1589" s="280"/>
      <c r="U1589" s="280"/>
      <c r="V1589" s="280"/>
      <c r="W1589" s="79"/>
    </row>
    <row r="1590" spans="1:23" ht="15.75">
      <c r="A1590" s="2080"/>
      <c r="B1590" s="705"/>
      <c r="C1590" s="90"/>
      <c r="D1590" s="2081"/>
      <c r="E1590" s="2082"/>
      <c r="F1590" s="1954"/>
      <c r="G1590" s="90"/>
      <c r="H1590" s="90"/>
      <c r="I1590" s="90"/>
      <c r="J1590" s="90"/>
      <c r="K1590" s="90"/>
      <c r="L1590" s="90"/>
      <c r="M1590" s="1956"/>
      <c r="N1590" s="643"/>
      <c r="O1590" s="2083"/>
      <c r="P1590" s="643"/>
      <c r="Q1590" s="643"/>
      <c r="R1590" s="280"/>
      <c r="S1590" s="280"/>
      <c r="T1590" s="280"/>
      <c r="U1590" s="280"/>
      <c r="V1590" s="280"/>
      <c r="W1590" s="79"/>
    </row>
    <row r="1591" spans="1:23" ht="15.75">
      <c r="A1591" s="2080"/>
      <c r="B1591" s="705"/>
      <c r="C1591" s="90"/>
      <c r="D1591" s="2081"/>
      <c r="E1591" s="2082"/>
      <c r="F1591" s="1954"/>
      <c r="G1591" s="90"/>
      <c r="H1591" s="90"/>
      <c r="I1591" s="90"/>
      <c r="J1591" s="90"/>
      <c r="K1591" s="90"/>
      <c r="L1591" s="90"/>
      <c r="M1591" s="1956"/>
      <c r="N1591" s="643"/>
      <c r="O1591" s="2083"/>
      <c r="P1591" s="643"/>
      <c r="Q1591" s="643"/>
      <c r="R1591" s="280"/>
      <c r="S1591" s="280"/>
      <c r="T1591" s="280"/>
      <c r="U1591" s="280"/>
      <c r="V1591" s="280"/>
      <c r="W1591" s="79"/>
    </row>
    <row r="1592" spans="1:23" ht="15.75">
      <c r="A1592" s="2080"/>
      <c r="B1592" s="705"/>
      <c r="C1592" s="90"/>
      <c r="D1592" s="2081"/>
      <c r="E1592" s="2082"/>
      <c r="F1592" s="1954"/>
      <c r="G1592" s="90"/>
      <c r="H1592" s="90"/>
      <c r="I1592" s="90"/>
      <c r="J1592" s="90"/>
      <c r="K1592" s="90"/>
      <c r="L1592" s="90"/>
      <c r="M1592" s="1956"/>
      <c r="N1592" s="643"/>
      <c r="O1592" s="2083"/>
      <c r="P1592" s="643"/>
      <c r="Q1592" s="643"/>
      <c r="R1592" s="280"/>
      <c r="S1592" s="280"/>
      <c r="T1592" s="280"/>
      <c r="U1592" s="280"/>
      <c r="V1592" s="280"/>
      <c r="W1592" s="79"/>
    </row>
    <row r="1593" spans="1:23" ht="15.75">
      <c r="A1593" s="2080"/>
      <c r="B1593" s="705"/>
      <c r="C1593" s="90"/>
      <c r="D1593" s="2081"/>
      <c r="E1593" s="2082"/>
      <c r="F1593" s="1954"/>
      <c r="G1593" s="90"/>
      <c r="H1593" s="90"/>
      <c r="I1593" s="90"/>
      <c r="J1593" s="90"/>
      <c r="K1593" s="90"/>
      <c r="L1593" s="90"/>
      <c r="M1593" s="1956"/>
      <c r="N1593" s="643"/>
      <c r="O1593" s="2083"/>
      <c r="P1593" s="643"/>
      <c r="Q1593" s="643"/>
      <c r="R1593" s="280"/>
      <c r="S1593" s="280"/>
      <c r="T1593" s="280"/>
      <c r="U1593" s="280"/>
      <c r="V1593" s="280"/>
      <c r="W1593" s="79"/>
    </row>
    <row r="1594" spans="1:23" ht="15.75">
      <c r="A1594" s="2080"/>
      <c r="B1594" s="705"/>
      <c r="C1594" s="90"/>
      <c r="D1594" s="2081"/>
      <c r="E1594" s="2082"/>
      <c r="F1594" s="1954"/>
      <c r="G1594" s="90"/>
      <c r="H1594" s="90"/>
      <c r="I1594" s="90"/>
      <c r="J1594" s="90"/>
      <c r="K1594" s="90"/>
      <c r="L1594" s="90"/>
      <c r="M1594" s="1956"/>
      <c r="N1594" s="643"/>
      <c r="O1594" s="2083"/>
      <c r="P1594" s="643"/>
      <c r="Q1594" s="643"/>
      <c r="R1594" s="280"/>
      <c r="S1594" s="280"/>
      <c r="T1594" s="280"/>
      <c r="U1594" s="280"/>
      <c r="V1594" s="280"/>
      <c r="W1594" s="79"/>
    </row>
    <row r="1595" spans="1:23" ht="15.75">
      <c r="A1595" s="2080"/>
      <c r="B1595" s="705"/>
      <c r="C1595" s="90"/>
      <c r="D1595" s="2081"/>
      <c r="E1595" s="2082"/>
      <c r="F1595" s="1954"/>
      <c r="G1595" s="90"/>
      <c r="H1595" s="90"/>
      <c r="I1595" s="90"/>
      <c r="J1595" s="90"/>
      <c r="K1595" s="90"/>
      <c r="L1595" s="90"/>
      <c r="M1595" s="1956"/>
      <c r="N1595" s="643"/>
      <c r="O1595" s="2083"/>
      <c r="P1595" s="643"/>
      <c r="Q1595" s="643"/>
      <c r="R1595" s="280"/>
      <c r="S1595" s="280"/>
      <c r="T1595" s="280"/>
      <c r="U1595" s="280"/>
      <c r="V1595" s="280"/>
      <c r="W1595" s="79"/>
    </row>
    <row r="1596" spans="1:23" ht="15.75">
      <c r="A1596" s="2080"/>
      <c r="B1596" s="705"/>
      <c r="C1596" s="90"/>
      <c r="D1596" s="2081"/>
      <c r="E1596" s="2082"/>
      <c r="F1596" s="1954"/>
      <c r="G1596" s="90"/>
      <c r="H1596" s="90"/>
      <c r="I1596" s="90"/>
      <c r="J1596" s="90"/>
      <c r="K1596" s="90"/>
      <c r="L1596" s="90"/>
      <c r="M1596" s="1956"/>
      <c r="N1596" s="643"/>
      <c r="O1596" s="2083"/>
      <c r="P1596" s="643"/>
      <c r="Q1596" s="643"/>
      <c r="R1596" s="280"/>
      <c r="S1596" s="280"/>
      <c r="T1596" s="280"/>
      <c r="U1596" s="280"/>
      <c r="V1596" s="280"/>
      <c r="W1596" s="79"/>
    </row>
    <row r="1597" spans="1:23" ht="15.75">
      <c r="A1597" s="2080"/>
      <c r="B1597" s="705"/>
      <c r="C1597" s="90"/>
      <c r="D1597" s="2081"/>
      <c r="E1597" s="2082"/>
      <c r="F1597" s="1954"/>
      <c r="G1597" s="90"/>
      <c r="H1597" s="90"/>
      <c r="I1597" s="90"/>
      <c r="J1597" s="90"/>
      <c r="K1597" s="90"/>
      <c r="L1597" s="90"/>
      <c r="M1597" s="1956"/>
      <c r="N1597" s="643"/>
      <c r="O1597" s="2083"/>
      <c r="P1597" s="643"/>
      <c r="Q1597" s="643"/>
      <c r="R1597" s="280"/>
      <c r="S1597" s="280"/>
      <c r="T1597" s="280"/>
      <c r="U1597" s="280"/>
      <c r="V1597" s="280"/>
      <c r="W1597" s="79"/>
    </row>
    <row r="1598" spans="1:23" ht="15.75">
      <c r="A1598" s="2080"/>
      <c r="B1598" s="705"/>
      <c r="C1598" s="90"/>
      <c r="D1598" s="2081"/>
      <c r="E1598" s="2082"/>
      <c r="F1598" s="1954"/>
      <c r="G1598" s="90"/>
      <c r="H1598" s="90"/>
      <c r="I1598" s="90"/>
      <c r="J1598" s="90"/>
      <c r="K1598" s="90"/>
      <c r="L1598" s="90"/>
      <c r="M1598" s="1956"/>
      <c r="N1598" s="643"/>
      <c r="O1598" s="2083"/>
      <c r="P1598" s="643"/>
      <c r="Q1598" s="643"/>
      <c r="R1598" s="280"/>
      <c r="S1598" s="280"/>
      <c r="T1598" s="280"/>
      <c r="U1598" s="280"/>
      <c r="V1598" s="280"/>
      <c r="W1598" s="79"/>
    </row>
    <row r="1599" spans="1:23" ht="15.75">
      <c r="A1599" s="2080"/>
      <c r="B1599" s="705"/>
      <c r="C1599" s="90"/>
      <c r="D1599" s="2081"/>
      <c r="E1599" s="2082"/>
      <c r="F1599" s="1954"/>
      <c r="G1599" s="90"/>
      <c r="H1599" s="90"/>
      <c r="I1599" s="90"/>
      <c r="J1599" s="90"/>
      <c r="K1599" s="90"/>
      <c r="L1599" s="90"/>
      <c r="M1599" s="1956"/>
      <c r="N1599" s="643"/>
      <c r="O1599" s="2083"/>
      <c r="P1599" s="643"/>
      <c r="Q1599" s="643"/>
      <c r="R1599" s="280"/>
      <c r="S1599" s="280"/>
      <c r="T1599" s="280"/>
      <c r="U1599" s="280"/>
      <c r="V1599" s="280"/>
      <c r="W1599" s="79"/>
    </row>
    <row r="1600" spans="1:23" ht="15.75">
      <c r="A1600" s="2080"/>
      <c r="B1600" s="705"/>
      <c r="C1600" s="90"/>
      <c r="D1600" s="2081"/>
      <c r="E1600" s="2082"/>
      <c r="F1600" s="1954"/>
      <c r="G1600" s="90"/>
      <c r="H1600" s="90"/>
      <c r="I1600" s="90"/>
      <c r="J1600" s="90"/>
      <c r="K1600" s="90"/>
      <c r="L1600" s="90"/>
      <c r="M1600" s="1956"/>
      <c r="N1600" s="643"/>
      <c r="O1600" s="2083"/>
      <c r="P1600" s="643"/>
      <c r="Q1600" s="643"/>
      <c r="R1600" s="280"/>
      <c r="S1600" s="280"/>
      <c r="T1600" s="280"/>
      <c r="U1600" s="280"/>
      <c r="V1600" s="280"/>
      <c r="W1600" s="79"/>
    </row>
    <row r="1601" spans="1:23" ht="15.75">
      <c r="A1601" s="2080"/>
      <c r="B1601" s="705"/>
      <c r="C1601" s="90"/>
      <c r="D1601" s="2081"/>
      <c r="E1601" s="2082"/>
      <c r="F1601" s="1954"/>
      <c r="G1601" s="90"/>
      <c r="H1601" s="90"/>
      <c r="I1601" s="90"/>
      <c r="J1601" s="90"/>
      <c r="K1601" s="90"/>
      <c r="L1601" s="90"/>
      <c r="M1601" s="1956"/>
      <c r="N1601" s="643"/>
      <c r="O1601" s="2083"/>
      <c r="P1601" s="643"/>
      <c r="Q1601" s="643"/>
      <c r="R1601" s="280"/>
      <c r="S1601" s="280"/>
      <c r="T1601" s="280"/>
      <c r="U1601" s="280"/>
      <c r="V1601" s="280"/>
      <c r="W1601" s="79"/>
    </row>
    <row r="1602" spans="1:23" ht="15.75">
      <c r="A1602" s="2080"/>
      <c r="B1602" s="705"/>
      <c r="C1602" s="90"/>
      <c r="D1602" s="2081"/>
      <c r="E1602" s="2082"/>
      <c r="F1602" s="1954"/>
      <c r="G1602" s="90"/>
      <c r="H1602" s="90"/>
      <c r="I1602" s="90"/>
      <c r="J1602" s="90"/>
      <c r="K1602" s="90"/>
      <c r="L1602" s="90"/>
      <c r="M1602" s="1956"/>
      <c r="N1602" s="643"/>
      <c r="O1602" s="2083"/>
      <c r="P1602" s="643"/>
      <c r="Q1602" s="643"/>
      <c r="R1602" s="280"/>
      <c r="S1602" s="280"/>
      <c r="T1602" s="280"/>
      <c r="U1602" s="280"/>
      <c r="V1602" s="280"/>
      <c r="W1602" s="79"/>
    </row>
    <row r="1603" spans="1:23" ht="15.75">
      <c r="A1603" s="2080"/>
      <c r="B1603" s="705"/>
      <c r="C1603" s="90"/>
      <c r="D1603" s="2081"/>
      <c r="E1603" s="2082"/>
      <c r="F1603" s="1954"/>
      <c r="G1603" s="90"/>
      <c r="H1603" s="90"/>
      <c r="I1603" s="90"/>
      <c r="J1603" s="90"/>
      <c r="K1603" s="90"/>
      <c r="L1603" s="90"/>
      <c r="M1603" s="1956"/>
      <c r="N1603" s="643"/>
      <c r="O1603" s="2083"/>
      <c r="P1603" s="643"/>
      <c r="Q1603" s="643"/>
      <c r="R1603" s="280"/>
      <c r="S1603" s="280"/>
      <c r="T1603" s="280"/>
      <c r="U1603" s="280"/>
      <c r="V1603" s="280"/>
      <c r="W1603" s="79"/>
    </row>
    <row r="1604" spans="1:23" ht="15.75">
      <c r="A1604" s="2080"/>
      <c r="B1604" s="705"/>
      <c r="C1604" s="90"/>
      <c r="D1604" s="2081"/>
      <c r="E1604" s="2082"/>
      <c r="F1604" s="1954"/>
      <c r="G1604" s="90"/>
      <c r="H1604" s="90"/>
      <c r="I1604" s="90"/>
      <c r="J1604" s="90"/>
      <c r="K1604" s="90"/>
      <c r="L1604" s="90"/>
      <c r="M1604" s="1956"/>
      <c r="N1604" s="643"/>
      <c r="O1604" s="2083"/>
      <c r="P1604" s="643"/>
      <c r="Q1604" s="643"/>
      <c r="R1604" s="280"/>
      <c r="S1604" s="280"/>
      <c r="T1604" s="280"/>
      <c r="U1604" s="280"/>
      <c r="V1604" s="280"/>
      <c r="W1604" s="79"/>
    </row>
    <row r="1605" spans="1:23" ht="15.75">
      <c r="A1605" s="2080"/>
      <c r="B1605" s="705"/>
      <c r="C1605" s="90"/>
      <c r="D1605" s="2081"/>
      <c r="E1605" s="2082"/>
      <c r="F1605" s="1954"/>
      <c r="G1605" s="90"/>
      <c r="H1605" s="90"/>
      <c r="I1605" s="90"/>
      <c r="J1605" s="90"/>
      <c r="K1605" s="90"/>
      <c r="L1605" s="90"/>
      <c r="M1605" s="1956"/>
      <c r="N1605" s="643"/>
      <c r="O1605" s="2083"/>
      <c r="P1605" s="643"/>
      <c r="Q1605" s="643"/>
      <c r="R1605" s="280"/>
      <c r="S1605" s="280"/>
      <c r="T1605" s="280"/>
      <c r="U1605" s="280"/>
      <c r="V1605" s="280"/>
      <c r="W1605" s="79"/>
    </row>
    <row r="1606" spans="1:23" ht="15.75">
      <c r="A1606" s="2080"/>
      <c r="B1606" s="705"/>
      <c r="C1606" s="90"/>
      <c r="D1606" s="2081"/>
      <c r="E1606" s="2082"/>
      <c r="F1606" s="1954"/>
      <c r="G1606" s="90"/>
      <c r="H1606" s="90"/>
      <c r="I1606" s="90"/>
      <c r="J1606" s="90"/>
      <c r="K1606" s="90"/>
      <c r="L1606" s="90"/>
      <c r="M1606" s="1956"/>
      <c r="N1606" s="643"/>
      <c r="O1606" s="2083"/>
      <c r="P1606" s="643"/>
      <c r="Q1606" s="643"/>
      <c r="R1606" s="280"/>
      <c r="S1606" s="280"/>
      <c r="T1606" s="280"/>
      <c r="U1606" s="280"/>
      <c r="V1606" s="280"/>
      <c r="W1606" s="79"/>
    </row>
    <row r="1607" spans="1:23" ht="15.75">
      <c r="A1607" s="2080"/>
      <c r="B1607" s="705"/>
      <c r="C1607" s="90"/>
      <c r="D1607" s="2081"/>
      <c r="E1607" s="2082"/>
      <c r="F1607" s="1954"/>
      <c r="G1607" s="90"/>
      <c r="H1607" s="90"/>
      <c r="I1607" s="90"/>
      <c r="J1607" s="90"/>
      <c r="K1607" s="90"/>
      <c r="L1607" s="90"/>
      <c r="M1607" s="1956"/>
      <c r="N1607" s="643"/>
      <c r="O1607" s="2083"/>
      <c r="P1607" s="643"/>
      <c r="Q1607" s="643"/>
      <c r="R1607" s="280"/>
      <c r="S1607" s="280"/>
      <c r="T1607" s="280"/>
      <c r="U1607" s="280"/>
      <c r="V1607" s="280"/>
      <c r="W1607" s="79"/>
    </row>
    <row r="1608" spans="1:23" ht="15.75">
      <c r="A1608" s="2080"/>
      <c r="B1608" s="705"/>
      <c r="C1608" s="90"/>
      <c r="D1608" s="2081"/>
      <c r="E1608" s="2082"/>
      <c r="F1608" s="1954"/>
      <c r="G1608" s="90"/>
      <c r="H1608" s="90"/>
      <c r="I1608" s="90"/>
      <c r="J1608" s="90"/>
      <c r="K1608" s="90"/>
      <c r="L1608" s="90"/>
      <c r="M1608" s="1956"/>
      <c r="N1608" s="643"/>
      <c r="O1608" s="2083"/>
      <c r="P1608" s="643"/>
      <c r="Q1608" s="643"/>
      <c r="R1608" s="280"/>
      <c r="S1608" s="280"/>
      <c r="T1608" s="280"/>
      <c r="U1608" s="280"/>
      <c r="V1608" s="280"/>
      <c r="W1608" s="79"/>
    </row>
    <row r="1609" spans="1:23" ht="15.75">
      <c r="A1609" s="2080"/>
      <c r="B1609" s="705"/>
      <c r="C1609" s="90"/>
      <c r="D1609" s="2081"/>
      <c r="E1609" s="2082"/>
      <c r="F1609" s="1954"/>
      <c r="G1609" s="90"/>
      <c r="H1609" s="90"/>
      <c r="I1609" s="90"/>
      <c r="J1609" s="90"/>
      <c r="K1609" s="90"/>
      <c r="L1609" s="90"/>
      <c r="M1609" s="1956"/>
      <c r="N1609" s="643"/>
      <c r="O1609" s="2083"/>
      <c r="P1609" s="643"/>
      <c r="Q1609" s="643"/>
      <c r="R1609" s="280"/>
      <c r="S1609" s="280"/>
      <c r="T1609" s="280"/>
      <c r="U1609" s="280"/>
      <c r="V1609" s="280"/>
      <c r="W1609" s="79"/>
    </row>
    <row r="1610" spans="1:23" ht="15.75">
      <c r="A1610" s="2080"/>
      <c r="B1610" s="705"/>
      <c r="C1610" s="90"/>
      <c r="D1610" s="2081"/>
      <c r="E1610" s="2082"/>
      <c r="F1610" s="1954"/>
      <c r="G1610" s="90"/>
      <c r="H1610" s="90"/>
      <c r="I1610" s="90"/>
      <c r="J1610" s="90"/>
      <c r="K1610" s="90"/>
      <c r="L1610" s="90"/>
      <c r="M1610" s="1956"/>
      <c r="N1610" s="643"/>
      <c r="O1610" s="2083"/>
      <c r="P1610" s="643"/>
      <c r="Q1610" s="643"/>
      <c r="R1610" s="280"/>
      <c r="S1610" s="280"/>
      <c r="T1610" s="280"/>
      <c r="U1610" s="280"/>
      <c r="V1610" s="280"/>
      <c r="W1610" s="79"/>
    </row>
    <row r="1611" spans="1:23" ht="15.75">
      <c r="A1611" s="2080"/>
      <c r="B1611" s="705"/>
      <c r="C1611" s="90"/>
      <c r="D1611" s="2081"/>
      <c r="E1611" s="2082"/>
      <c r="F1611" s="1954"/>
      <c r="G1611" s="90"/>
      <c r="H1611" s="90"/>
      <c r="I1611" s="90"/>
      <c r="J1611" s="90"/>
      <c r="K1611" s="90"/>
      <c r="L1611" s="90"/>
      <c r="M1611" s="1956"/>
      <c r="N1611" s="643"/>
      <c r="O1611" s="2083"/>
      <c r="P1611" s="643"/>
      <c r="Q1611" s="643"/>
      <c r="R1611" s="280"/>
      <c r="S1611" s="280"/>
      <c r="T1611" s="280"/>
      <c r="U1611" s="280"/>
      <c r="V1611" s="280"/>
      <c r="W1611" s="79"/>
    </row>
    <row r="1612" spans="1:23" ht="15.75">
      <c r="A1612" s="2080"/>
      <c r="B1612" s="705"/>
      <c r="C1612" s="90"/>
      <c r="D1612" s="2081"/>
      <c r="E1612" s="2082"/>
      <c r="F1612" s="1954"/>
      <c r="G1612" s="90"/>
      <c r="H1612" s="90"/>
      <c r="I1612" s="90"/>
      <c r="J1612" s="90"/>
      <c r="K1612" s="90"/>
      <c r="L1612" s="90"/>
      <c r="M1612" s="1956"/>
      <c r="N1612" s="643"/>
      <c r="O1612" s="2083"/>
      <c r="P1612" s="643"/>
      <c r="Q1612" s="643"/>
      <c r="R1612" s="280"/>
      <c r="S1612" s="280"/>
      <c r="T1612" s="280"/>
      <c r="U1612" s="280"/>
      <c r="V1612" s="280"/>
      <c r="W1612" s="79"/>
    </row>
    <row r="1613" spans="1:23" ht="15.75">
      <c r="A1613" s="2080"/>
      <c r="B1613" s="705"/>
      <c r="C1613" s="90"/>
      <c r="D1613" s="2081"/>
      <c r="E1613" s="2082"/>
      <c r="F1613" s="1954"/>
      <c r="G1613" s="90"/>
      <c r="H1613" s="90"/>
      <c r="I1613" s="90"/>
      <c r="J1613" s="90"/>
      <c r="K1613" s="90"/>
      <c r="L1613" s="90"/>
      <c r="M1613" s="1956"/>
      <c r="N1613" s="643"/>
      <c r="O1613" s="2083"/>
      <c r="P1613" s="643"/>
      <c r="Q1613" s="643"/>
      <c r="R1613" s="280"/>
      <c r="S1613" s="280"/>
      <c r="T1613" s="280"/>
      <c r="U1613" s="280"/>
      <c r="V1613" s="280"/>
      <c r="W1613" s="79"/>
    </row>
    <row r="1614" spans="1:23" ht="15.75">
      <c r="A1614" s="2080"/>
      <c r="B1614" s="705"/>
      <c r="C1614" s="90"/>
      <c r="D1614" s="2081"/>
      <c r="E1614" s="2082"/>
      <c r="F1614" s="1954"/>
      <c r="G1614" s="90"/>
      <c r="H1614" s="90"/>
      <c r="I1614" s="90"/>
      <c r="J1614" s="90"/>
      <c r="K1614" s="90"/>
      <c r="L1614" s="90"/>
      <c r="M1614" s="1956"/>
      <c r="N1614" s="643"/>
      <c r="O1614" s="2083"/>
      <c r="P1614" s="643"/>
      <c r="Q1614" s="643"/>
      <c r="R1614" s="280"/>
      <c r="S1614" s="280"/>
      <c r="T1614" s="280"/>
      <c r="U1614" s="280"/>
      <c r="V1614" s="280"/>
      <c r="W1614" s="79"/>
    </row>
    <row r="1615" spans="1:23" ht="15.75">
      <c r="A1615" s="2080"/>
      <c r="B1615" s="705"/>
      <c r="C1615" s="90"/>
      <c r="D1615" s="2081"/>
      <c r="E1615" s="2082"/>
      <c r="F1615" s="1954"/>
      <c r="G1615" s="90"/>
      <c r="H1615" s="90"/>
      <c r="I1615" s="90"/>
      <c r="J1615" s="90"/>
      <c r="K1615" s="90"/>
      <c r="L1615" s="90"/>
      <c r="M1615" s="1956"/>
      <c r="N1615" s="643"/>
      <c r="O1615" s="2083"/>
      <c r="P1615" s="643"/>
      <c r="Q1615" s="643"/>
      <c r="R1615" s="280"/>
      <c r="S1615" s="280"/>
      <c r="T1615" s="280"/>
      <c r="U1615" s="280"/>
      <c r="V1615" s="280"/>
      <c r="W1615" s="79"/>
    </row>
    <row r="1616" spans="1:23" ht="15.75">
      <c r="A1616" s="2080"/>
      <c r="B1616" s="705"/>
      <c r="C1616" s="90"/>
      <c r="D1616" s="2081"/>
      <c r="E1616" s="2082"/>
      <c r="F1616" s="1954"/>
      <c r="G1616" s="90"/>
      <c r="H1616" s="90"/>
      <c r="I1616" s="90"/>
      <c r="J1616" s="90"/>
      <c r="K1616" s="90"/>
      <c r="L1616" s="90"/>
      <c r="M1616" s="1956"/>
      <c r="N1616" s="643"/>
      <c r="O1616" s="2083"/>
      <c r="P1616" s="643"/>
      <c r="Q1616" s="643"/>
      <c r="R1616" s="280"/>
      <c r="S1616" s="280"/>
      <c r="T1616" s="280"/>
      <c r="U1616" s="280"/>
      <c r="V1616" s="280"/>
      <c r="W1616" s="79"/>
    </row>
    <row r="1617" spans="1:23" ht="15.75">
      <c r="A1617" s="2080"/>
      <c r="B1617" s="705"/>
      <c r="C1617" s="90"/>
      <c r="D1617" s="2081"/>
      <c r="E1617" s="2082"/>
      <c r="F1617" s="1954"/>
      <c r="G1617" s="90"/>
      <c r="H1617" s="90"/>
      <c r="I1617" s="90"/>
      <c r="J1617" s="90"/>
      <c r="K1617" s="90"/>
      <c r="L1617" s="90"/>
      <c r="M1617" s="1956"/>
      <c r="N1617" s="643"/>
      <c r="O1617" s="2083"/>
      <c r="P1617" s="643"/>
      <c r="Q1617" s="643"/>
      <c r="R1617" s="280"/>
      <c r="S1617" s="280"/>
      <c r="T1617" s="280"/>
      <c r="U1617" s="280"/>
      <c r="V1617" s="280"/>
      <c r="W1617" s="79"/>
    </row>
    <row r="1618" spans="1:23" ht="15.75">
      <c r="A1618" s="2080"/>
      <c r="B1618" s="705"/>
      <c r="C1618" s="90"/>
      <c r="D1618" s="2081"/>
      <c r="E1618" s="2082"/>
      <c r="F1618" s="1954"/>
      <c r="G1618" s="90"/>
      <c r="H1618" s="90"/>
      <c r="I1618" s="90"/>
      <c r="J1618" s="90"/>
      <c r="K1618" s="90"/>
      <c r="L1618" s="90"/>
      <c r="M1618" s="1956"/>
      <c r="N1618" s="643"/>
      <c r="O1618" s="2083"/>
      <c r="P1618" s="643"/>
      <c r="Q1618" s="643"/>
      <c r="R1618" s="280"/>
      <c r="S1618" s="280"/>
      <c r="T1618" s="280"/>
      <c r="U1618" s="280"/>
      <c r="V1618" s="280"/>
      <c r="W1618" s="79"/>
    </row>
    <row r="1619" spans="1:23" ht="15.75">
      <c r="A1619" s="2080"/>
      <c r="B1619" s="705"/>
      <c r="C1619" s="90"/>
      <c r="D1619" s="2081"/>
      <c r="E1619" s="2082"/>
      <c r="F1619" s="1954"/>
      <c r="G1619" s="90"/>
      <c r="H1619" s="90"/>
      <c r="I1619" s="90"/>
      <c r="J1619" s="90"/>
      <c r="K1619" s="90"/>
      <c r="L1619" s="90"/>
      <c r="M1619" s="1956"/>
      <c r="N1619" s="643"/>
      <c r="O1619" s="2083"/>
      <c r="P1619" s="643"/>
      <c r="Q1619" s="643"/>
      <c r="R1619" s="280"/>
      <c r="S1619" s="280"/>
      <c r="T1619" s="280"/>
      <c r="U1619" s="280"/>
      <c r="V1619" s="280"/>
      <c r="W1619" s="79"/>
    </row>
    <row r="1620" spans="1:23" ht="15.75">
      <c r="A1620" s="2080"/>
      <c r="B1620" s="705"/>
      <c r="C1620" s="90"/>
      <c r="D1620" s="2081"/>
      <c r="E1620" s="2082"/>
      <c r="F1620" s="1954"/>
      <c r="G1620" s="90"/>
      <c r="H1620" s="90"/>
      <c r="I1620" s="90"/>
      <c r="J1620" s="90"/>
      <c r="K1620" s="90"/>
      <c r="L1620" s="90"/>
      <c r="M1620" s="1956"/>
      <c r="N1620" s="643"/>
      <c r="O1620" s="2083"/>
      <c r="P1620" s="643"/>
      <c r="Q1620" s="643"/>
      <c r="R1620" s="280"/>
      <c r="S1620" s="280"/>
      <c r="T1620" s="280"/>
      <c r="U1620" s="280"/>
      <c r="V1620" s="280"/>
      <c r="W1620" s="79"/>
    </row>
    <row r="1621" spans="1:23" ht="15.75">
      <c r="A1621" s="2080"/>
      <c r="B1621" s="705"/>
      <c r="C1621" s="90"/>
      <c r="D1621" s="2081"/>
      <c r="E1621" s="2082"/>
      <c r="F1621" s="1954"/>
      <c r="G1621" s="90"/>
      <c r="H1621" s="90"/>
      <c r="I1621" s="90"/>
      <c r="J1621" s="90"/>
      <c r="K1621" s="90"/>
      <c r="L1621" s="90"/>
      <c r="M1621" s="1956"/>
      <c r="N1621" s="643"/>
      <c r="O1621" s="2083"/>
      <c r="P1621" s="643"/>
      <c r="Q1621" s="643"/>
      <c r="R1621" s="280"/>
      <c r="S1621" s="280"/>
      <c r="T1621" s="280"/>
      <c r="U1621" s="280"/>
      <c r="V1621" s="280"/>
      <c r="W1621" s="79"/>
    </row>
    <row r="1622" spans="1:23" ht="15.75">
      <c r="A1622" s="2080"/>
      <c r="B1622" s="705"/>
      <c r="C1622" s="90"/>
      <c r="D1622" s="2081"/>
      <c r="E1622" s="2082"/>
      <c r="F1622" s="1954"/>
      <c r="G1622" s="90"/>
      <c r="H1622" s="90"/>
      <c r="I1622" s="90"/>
      <c r="J1622" s="90"/>
      <c r="K1622" s="90"/>
      <c r="L1622" s="90"/>
      <c r="M1622" s="1956"/>
      <c r="N1622" s="643"/>
      <c r="O1622" s="2083"/>
      <c r="P1622" s="643"/>
      <c r="Q1622" s="643"/>
      <c r="R1622" s="280"/>
      <c r="S1622" s="280"/>
      <c r="T1622" s="280"/>
      <c r="U1622" s="280"/>
      <c r="V1622" s="280"/>
      <c r="W1622" s="79"/>
    </row>
    <row r="1623" spans="1:23" ht="15.75">
      <c r="A1623" s="2080"/>
      <c r="B1623" s="705"/>
      <c r="C1623" s="90"/>
      <c r="D1623" s="2081"/>
      <c r="E1623" s="2082"/>
      <c r="F1623" s="1954"/>
      <c r="G1623" s="90"/>
      <c r="H1623" s="90"/>
      <c r="I1623" s="90"/>
      <c r="J1623" s="90"/>
      <c r="K1623" s="90"/>
      <c r="L1623" s="90"/>
      <c r="M1623" s="1956"/>
      <c r="N1623" s="643"/>
      <c r="O1623" s="2083"/>
      <c r="P1623" s="643"/>
      <c r="Q1623" s="643"/>
      <c r="R1623" s="280"/>
      <c r="S1623" s="280"/>
      <c r="T1623" s="280"/>
      <c r="U1623" s="280"/>
      <c r="V1623" s="280"/>
      <c r="W1623" s="79"/>
    </row>
    <row r="1624" spans="1:23" ht="15.75">
      <c r="A1624" s="2080"/>
      <c r="B1624" s="705"/>
      <c r="C1624" s="90"/>
      <c r="D1624" s="2081"/>
      <c r="E1624" s="2082"/>
      <c r="F1624" s="1954"/>
      <c r="G1624" s="90"/>
      <c r="H1624" s="90"/>
      <c r="I1624" s="90"/>
      <c r="J1624" s="90"/>
      <c r="K1624" s="90"/>
      <c r="L1624" s="90"/>
      <c r="M1624" s="1956"/>
      <c r="N1624" s="643"/>
      <c r="O1624" s="2083"/>
      <c r="P1624" s="643"/>
      <c r="Q1624" s="643"/>
      <c r="R1624" s="280"/>
      <c r="S1624" s="280"/>
      <c r="T1624" s="280"/>
      <c r="U1624" s="280"/>
      <c r="V1624" s="280"/>
      <c r="W1624" s="79"/>
    </row>
    <row r="1625" spans="1:23" ht="15.75">
      <c r="A1625" s="2080"/>
      <c r="B1625" s="705"/>
      <c r="C1625" s="90"/>
      <c r="D1625" s="2081"/>
      <c r="E1625" s="2082"/>
      <c r="F1625" s="1954"/>
      <c r="G1625" s="90"/>
      <c r="H1625" s="90"/>
      <c r="I1625" s="90"/>
      <c r="J1625" s="90"/>
      <c r="K1625" s="90"/>
      <c r="L1625" s="90"/>
      <c r="M1625" s="1956"/>
      <c r="N1625" s="643"/>
      <c r="O1625" s="2083"/>
      <c r="P1625" s="643"/>
      <c r="Q1625" s="643"/>
      <c r="R1625" s="280"/>
      <c r="S1625" s="280"/>
      <c r="T1625" s="280"/>
      <c r="U1625" s="280"/>
      <c r="V1625" s="280"/>
      <c r="W1625" s="79"/>
    </row>
    <row r="1626" spans="1:23" ht="15.75">
      <c r="A1626" s="2080"/>
      <c r="B1626" s="705"/>
      <c r="C1626" s="90"/>
      <c r="D1626" s="2081"/>
      <c r="E1626" s="2082"/>
      <c r="F1626" s="1954"/>
      <c r="G1626" s="90"/>
      <c r="H1626" s="90"/>
      <c r="I1626" s="90"/>
      <c r="J1626" s="90"/>
      <c r="K1626" s="90"/>
      <c r="L1626" s="90"/>
      <c r="M1626" s="1956"/>
      <c r="N1626" s="643"/>
      <c r="O1626" s="2083"/>
      <c r="P1626" s="643"/>
      <c r="Q1626" s="643"/>
      <c r="R1626" s="280"/>
      <c r="S1626" s="280"/>
      <c r="T1626" s="280"/>
      <c r="U1626" s="280"/>
      <c r="V1626" s="280"/>
      <c r="W1626" s="79"/>
    </row>
    <row r="1627" spans="1:23" ht="15.75">
      <c r="A1627" s="2080"/>
      <c r="B1627" s="705"/>
      <c r="C1627" s="90"/>
      <c r="D1627" s="2081"/>
      <c r="E1627" s="2082"/>
      <c r="F1627" s="1954"/>
      <c r="G1627" s="90"/>
      <c r="H1627" s="90"/>
      <c r="I1627" s="90"/>
      <c r="J1627" s="90"/>
      <c r="K1627" s="90"/>
      <c r="L1627" s="90"/>
      <c r="M1627" s="1956"/>
      <c r="N1627" s="643"/>
      <c r="O1627" s="2083"/>
      <c r="P1627" s="643"/>
      <c r="Q1627" s="643"/>
      <c r="R1627" s="280"/>
      <c r="S1627" s="280"/>
      <c r="T1627" s="280"/>
      <c r="U1627" s="280"/>
      <c r="V1627" s="280"/>
      <c r="W1627" s="79"/>
    </row>
    <row r="1628" spans="1:23" ht="15.75">
      <c r="A1628" s="2080"/>
      <c r="B1628" s="705"/>
      <c r="C1628" s="90"/>
      <c r="D1628" s="2081"/>
      <c r="E1628" s="2082"/>
      <c r="F1628" s="1954"/>
      <c r="G1628" s="90"/>
      <c r="H1628" s="90"/>
      <c r="I1628" s="90"/>
      <c r="J1628" s="90"/>
      <c r="K1628" s="90"/>
      <c r="L1628" s="90"/>
      <c r="M1628" s="1956"/>
      <c r="N1628" s="643"/>
      <c r="O1628" s="2083"/>
      <c r="P1628" s="643"/>
      <c r="Q1628" s="643"/>
      <c r="R1628" s="280"/>
      <c r="S1628" s="280"/>
      <c r="T1628" s="280"/>
      <c r="U1628" s="280"/>
      <c r="V1628" s="280"/>
      <c r="W1628" s="79"/>
    </row>
    <row r="1629" spans="1:23" ht="15.75">
      <c r="A1629" s="2080"/>
      <c r="B1629" s="705"/>
      <c r="C1629" s="90"/>
      <c r="D1629" s="2081"/>
      <c r="E1629" s="2082"/>
      <c r="F1629" s="1954"/>
      <c r="G1629" s="90"/>
      <c r="H1629" s="90"/>
      <c r="I1629" s="90"/>
      <c r="J1629" s="90"/>
      <c r="K1629" s="90"/>
      <c r="L1629" s="90"/>
      <c r="M1629" s="1956"/>
      <c r="N1629" s="643"/>
      <c r="O1629" s="2083"/>
      <c r="P1629" s="643"/>
      <c r="Q1629" s="643"/>
      <c r="R1629" s="280"/>
      <c r="S1629" s="280"/>
      <c r="T1629" s="280"/>
      <c r="U1629" s="280"/>
      <c r="V1629" s="280"/>
      <c r="W1629" s="79"/>
    </row>
    <row r="1630" spans="1:23" ht="15.75">
      <c r="A1630" s="2080"/>
      <c r="B1630" s="705"/>
      <c r="C1630" s="90"/>
      <c r="D1630" s="2081"/>
      <c r="E1630" s="2082"/>
      <c r="F1630" s="1954"/>
      <c r="G1630" s="90"/>
      <c r="H1630" s="90"/>
      <c r="I1630" s="90"/>
      <c r="J1630" s="90"/>
      <c r="K1630" s="90"/>
      <c r="L1630" s="90"/>
      <c r="M1630" s="1956"/>
      <c r="N1630" s="643"/>
      <c r="O1630" s="2083"/>
      <c r="P1630" s="643"/>
      <c r="Q1630" s="643"/>
      <c r="R1630" s="280"/>
      <c r="S1630" s="280"/>
      <c r="T1630" s="280"/>
      <c r="U1630" s="280"/>
      <c r="V1630" s="280"/>
      <c r="W1630" s="79"/>
    </row>
    <row r="1631" spans="1:23" ht="15.75">
      <c r="A1631" s="2080"/>
      <c r="B1631" s="705"/>
      <c r="C1631" s="90"/>
      <c r="D1631" s="2081"/>
      <c r="E1631" s="2082"/>
      <c r="F1631" s="1954"/>
      <c r="G1631" s="90"/>
      <c r="H1631" s="90"/>
      <c r="I1631" s="90"/>
      <c r="J1631" s="90"/>
      <c r="K1631" s="90"/>
      <c r="L1631" s="90"/>
      <c r="M1631" s="1956"/>
      <c r="N1631" s="643"/>
      <c r="O1631" s="2083"/>
      <c r="P1631" s="643"/>
      <c r="Q1631" s="643"/>
      <c r="R1631" s="280"/>
      <c r="S1631" s="280"/>
      <c r="T1631" s="280"/>
      <c r="U1631" s="280"/>
      <c r="V1631" s="280"/>
      <c r="W1631" s="79"/>
    </row>
    <row r="1632" spans="1:23" ht="15.75">
      <c r="A1632" s="2080"/>
      <c r="B1632" s="705"/>
      <c r="C1632" s="90"/>
      <c r="D1632" s="2081"/>
      <c r="E1632" s="2082"/>
      <c r="F1632" s="1954"/>
      <c r="G1632" s="90"/>
      <c r="H1632" s="90"/>
      <c r="I1632" s="90"/>
      <c r="J1632" s="90"/>
      <c r="K1632" s="90"/>
      <c r="L1632" s="90"/>
      <c r="M1632" s="1956"/>
      <c r="N1632" s="643"/>
      <c r="O1632" s="2083"/>
      <c r="P1632" s="643"/>
      <c r="Q1632" s="643"/>
      <c r="R1632" s="280"/>
      <c r="S1632" s="280"/>
      <c r="T1632" s="280"/>
      <c r="U1632" s="280"/>
      <c r="V1632" s="280"/>
      <c r="W1632" s="79"/>
    </row>
    <row r="1633" spans="1:23" ht="15.75">
      <c r="A1633" s="2080"/>
      <c r="B1633" s="705"/>
      <c r="C1633" s="90"/>
      <c r="D1633" s="2081"/>
      <c r="E1633" s="2082"/>
      <c r="F1633" s="1954"/>
      <c r="G1633" s="90"/>
      <c r="H1633" s="90"/>
      <c r="I1633" s="90"/>
      <c r="J1633" s="90"/>
      <c r="K1633" s="90"/>
      <c r="L1633" s="90"/>
      <c r="M1633" s="1956"/>
      <c r="N1633" s="643"/>
      <c r="O1633" s="2083"/>
      <c r="P1633" s="643"/>
      <c r="Q1633" s="643"/>
      <c r="R1633" s="280"/>
      <c r="S1633" s="280"/>
      <c r="T1633" s="280"/>
      <c r="U1633" s="280"/>
      <c r="V1633" s="280"/>
      <c r="W1633" s="79"/>
    </row>
    <row r="1634" spans="1:23" ht="15.75">
      <c r="A1634" s="2080"/>
      <c r="B1634" s="705"/>
      <c r="C1634" s="90"/>
      <c r="D1634" s="2081"/>
      <c r="E1634" s="2082"/>
      <c r="F1634" s="1954"/>
      <c r="G1634" s="90"/>
      <c r="H1634" s="90"/>
      <c r="I1634" s="90"/>
      <c r="J1634" s="90"/>
      <c r="K1634" s="90"/>
      <c r="L1634" s="90"/>
      <c r="M1634" s="1956"/>
      <c r="N1634" s="643"/>
      <c r="O1634" s="2083"/>
      <c r="P1634" s="643"/>
      <c r="Q1634" s="643"/>
      <c r="R1634" s="280"/>
      <c r="S1634" s="280"/>
      <c r="T1634" s="280"/>
      <c r="U1634" s="280"/>
      <c r="V1634" s="280"/>
      <c r="W1634" s="79"/>
    </row>
    <row r="1635" spans="1:23" ht="15.75">
      <c r="A1635" s="2080"/>
      <c r="B1635" s="705"/>
      <c r="C1635" s="90"/>
      <c r="D1635" s="2081"/>
      <c r="E1635" s="2082"/>
      <c r="F1635" s="1954"/>
      <c r="G1635" s="90"/>
      <c r="H1635" s="90"/>
      <c r="I1635" s="90"/>
      <c r="J1635" s="90"/>
      <c r="K1635" s="90"/>
      <c r="L1635" s="90"/>
      <c r="M1635" s="1956"/>
      <c r="N1635" s="643"/>
      <c r="O1635" s="2083"/>
      <c r="P1635" s="643"/>
      <c r="Q1635" s="643"/>
      <c r="R1635" s="280"/>
      <c r="S1635" s="280"/>
      <c r="T1635" s="280"/>
      <c r="U1635" s="280"/>
      <c r="V1635" s="280"/>
      <c r="W1635" s="79"/>
    </row>
    <row r="1636" spans="1:23" ht="15.75">
      <c r="A1636" s="2080"/>
      <c r="B1636" s="705"/>
      <c r="C1636" s="90"/>
      <c r="D1636" s="2081"/>
      <c r="E1636" s="2082"/>
      <c r="F1636" s="1954"/>
      <c r="G1636" s="90"/>
      <c r="H1636" s="90"/>
      <c r="I1636" s="90"/>
      <c r="J1636" s="90"/>
      <c r="K1636" s="90"/>
      <c r="L1636" s="90"/>
      <c r="M1636" s="1956"/>
      <c r="N1636" s="643"/>
      <c r="O1636" s="2083"/>
      <c r="P1636" s="643"/>
      <c r="Q1636" s="643"/>
      <c r="R1636" s="280"/>
      <c r="S1636" s="280"/>
      <c r="T1636" s="280"/>
      <c r="U1636" s="280"/>
      <c r="V1636" s="280"/>
      <c r="W1636" s="79"/>
    </row>
    <row r="1637" spans="1:23" ht="15.75">
      <c r="A1637" s="2080"/>
      <c r="B1637" s="705"/>
      <c r="C1637" s="90"/>
      <c r="D1637" s="2081"/>
      <c r="E1637" s="2082"/>
      <c r="F1637" s="1954"/>
      <c r="G1637" s="90"/>
      <c r="H1637" s="90"/>
      <c r="I1637" s="90"/>
      <c r="J1637" s="90"/>
      <c r="K1637" s="90"/>
      <c r="L1637" s="90"/>
      <c r="M1637" s="1956"/>
      <c r="N1637" s="643"/>
      <c r="O1637" s="2083"/>
      <c r="P1637" s="643"/>
      <c r="Q1637" s="643"/>
      <c r="R1637" s="280"/>
      <c r="S1637" s="280"/>
      <c r="T1637" s="280"/>
      <c r="U1637" s="280"/>
      <c r="V1637" s="280"/>
      <c r="W1637" s="79"/>
    </row>
    <row r="1638" spans="1:23" ht="15.75">
      <c r="A1638" s="2080"/>
      <c r="B1638" s="705"/>
      <c r="C1638" s="90"/>
      <c r="D1638" s="2081"/>
      <c r="E1638" s="2082"/>
      <c r="F1638" s="1954"/>
      <c r="G1638" s="90"/>
      <c r="H1638" s="90"/>
      <c r="I1638" s="90"/>
      <c r="J1638" s="90"/>
      <c r="K1638" s="90"/>
      <c r="L1638" s="90"/>
      <c r="M1638" s="1956"/>
      <c r="N1638" s="643"/>
      <c r="O1638" s="2083"/>
      <c r="P1638" s="643"/>
      <c r="Q1638" s="643"/>
      <c r="R1638" s="280"/>
      <c r="S1638" s="280"/>
      <c r="T1638" s="280"/>
      <c r="U1638" s="280"/>
      <c r="V1638" s="280"/>
      <c r="W1638" s="79"/>
    </row>
    <row r="1639" spans="1:23" ht="15.75">
      <c r="A1639" s="2080"/>
      <c r="B1639" s="705"/>
      <c r="C1639" s="90"/>
      <c r="D1639" s="2081"/>
      <c r="E1639" s="2082"/>
      <c r="F1639" s="1954"/>
      <c r="G1639" s="90"/>
      <c r="H1639" s="90"/>
      <c r="I1639" s="90"/>
      <c r="J1639" s="90"/>
      <c r="K1639" s="90"/>
      <c r="L1639" s="90"/>
      <c r="M1639" s="1956"/>
      <c r="N1639" s="643"/>
      <c r="O1639" s="2083"/>
      <c r="P1639" s="643"/>
      <c r="Q1639" s="643"/>
      <c r="R1639" s="280"/>
      <c r="S1639" s="280"/>
      <c r="T1639" s="280"/>
      <c r="U1639" s="280"/>
      <c r="V1639" s="280"/>
      <c r="W1639" s="79"/>
    </row>
    <row r="1640" spans="1:23" ht="15.75">
      <c r="A1640" s="2080"/>
      <c r="B1640" s="705"/>
      <c r="C1640" s="90"/>
      <c r="D1640" s="2081"/>
      <c r="E1640" s="2082"/>
      <c r="F1640" s="1954"/>
      <c r="G1640" s="90"/>
      <c r="H1640" s="90"/>
      <c r="I1640" s="90"/>
      <c r="J1640" s="90"/>
      <c r="K1640" s="90"/>
      <c r="L1640" s="90"/>
      <c r="M1640" s="1956"/>
      <c r="N1640" s="643"/>
      <c r="O1640" s="2083"/>
      <c r="P1640" s="643"/>
      <c r="Q1640" s="643"/>
      <c r="R1640" s="280"/>
      <c r="S1640" s="280"/>
      <c r="T1640" s="280"/>
      <c r="U1640" s="280"/>
      <c r="V1640" s="280"/>
      <c r="W1640" s="79"/>
    </row>
    <row r="1641" spans="1:23" ht="15.75">
      <c r="A1641" s="2080"/>
      <c r="B1641" s="705"/>
      <c r="C1641" s="90"/>
      <c r="D1641" s="2081"/>
      <c r="E1641" s="2082"/>
      <c r="F1641" s="1954"/>
      <c r="G1641" s="90"/>
      <c r="H1641" s="90"/>
      <c r="I1641" s="90"/>
      <c r="J1641" s="90"/>
      <c r="K1641" s="90"/>
      <c r="L1641" s="90"/>
      <c r="M1641" s="1956"/>
      <c r="N1641" s="643"/>
      <c r="O1641" s="2083"/>
      <c r="P1641" s="643"/>
      <c r="Q1641" s="643"/>
      <c r="R1641" s="280"/>
      <c r="S1641" s="280"/>
      <c r="T1641" s="280"/>
      <c r="U1641" s="280"/>
      <c r="V1641" s="280"/>
      <c r="W1641" s="79"/>
    </row>
    <row r="1642" spans="1:23" ht="15.75">
      <c r="A1642" s="2080"/>
      <c r="B1642" s="705"/>
      <c r="C1642" s="90"/>
      <c r="D1642" s="2081"/>
      <c r="E1642" s="2082"/>
      <c r="F1642" s="1954"/>
      <c r="G1642" s="90"/>
      <c r="H1642" s="90"/>
      <c r="I1642" s="90"/>
      <c r="J1642" s="90"/>
      <c r="K1642" s="90"/>
      <c r="L1642" s="90"/>
      <c r="M1642" s="1956"/>
      <c r="N1642" s="643"/>
      <c r="O1642" s="2083"/>
      <c r="P1642" s="643"/>
      <c r="Q1642" s="643"/>
      <c r="R1642" s="280"/>
      <c r="S1642" s="280"/>
      <c r="T1642" s="280"/>
      <c r="U1642" s="280"/>
      <c r="V1642" s="280"/>
      <c r="W1642" s="79"/>
    </row>
    <row r="1643" spans="1:23" ht="15.75">
      <c r="A1643" s="2080"/>
      <c r="B1643" s="705"/>
      <c r="C1643" s="90"/>
      <c r="D1643" s="2081"/>
      <c r="E1643" s="2082"/>
      <c r="F1643" s="1954"/>
      <c r="G1643" s="90"/>
      <c r="H1643" s="90"/>
      <c r="I1643" s="90"/>
      <c r="J1643" s="90"/>
      <c r="K1643" s="90"/>
      <c r="L1643" s="90"/>
      <c r="M1643" s="1956"/>
      <c r="N1643" s="643"/>
      <c r="O1643" s="2083"/>
      <c r="P1643" s="643"/>
      <c r="Q1643" s="643"/>
      <c r="R1643" s="280"/>
      <c r="S1643" s="280"/>
      <c r="T1643" s="280"/>
      <c r="U1643" s="280"/>
      <c r="V1643" s="280"/>
      <c r="W1643" s="79"/>
    </row>
    <row r="1644" spans="1:23" ht="15.75">
      <c r="A1644" s="2080"/>
      <c r="B1644" s="705"/>
      <c r="C1644" s="90"/>
      <c r="D1644" s="2081"/>
      <c r="E1644" s="2082"/>
      <c r="F1644" s="1954"/>
      <c r="G1644" s="90"/>
      <c r="H1644" s="90"/>
      <c r="I1644" s="90"/>
      <c r="J1644" s="90"/>
      <c r="K1644" s="90"/>
      <c r="L1644" s="90"/>
      <c r="M1644" s="1956"/>
      <c r="N1644" s="643"/>
      <c r="O1644" s="2083"/>
      <c r="P1644" s="643"/>
      <c r="Q1644" s="643"/>
      <c r="R1644" s="280"/>
      <c r="S1644" s="280"/>
      <c r="T1644" s="280"/>
      <c r="U1644" s="280"/>
      <c r="V1644" s="280"/>
      <c r="W1644" s="79"/>
    </row>
    <row r="1645" spans="1:23" ht="15.75">
      <c r="A1645" s="2080"/>
      <c r="B1645" s="705"/>
      <c r="C1645" s="90"/>
      <c r="D1645" s="2081"/>
      <c r="E1645" s="2082"/>
      <c r="F1645" s="1954"/>
      <c r="G1645" s="90"/>
      <c r="H1645" s="90"/>
      <c r="I1645" s="90"/>
      <c r="J1645" s="90"/>
      <c r="K1645" s="90"/>
      <c r="L1645" s="90"/>
      <c r="M1645" s="1956"/>
      <c r="N1645" s="643"/>
      <c r="O1645" s="2083"/>
      <c r="P1645" s="643"/>
      <c r="Q1645" s="643"/>
      <c r="R1645" s="280"/>
      <c r="S1645" s="280"/>
      <c r="T1645" s="280"/>
      <c r="U1645" s="280"/>
      <c r="V1645" s="280"/>
      <c r="W1645" s="79"/>
    </row>
    <row r="1646" spans="1:23" ht="15.75">
      <c r="A1646" s="2080"/>
      <c r="B1646" s="705"/>
      <c r="C1646" s="90"/>
      <c r="D1646" s="2081"/>
      <c r="E1646" s="2082"/>
      <c r="F1646" s="1954"/>
      <c r="G1646" s="90"/>
      <c r="H1646" s="90"/>
      <c r="I1646" s="90"/>
      <c r="J1646" s="90"/>
      <c r="K1646" s="90"/>
      <c r="L1646" s="90"/>
      <c r="M1646" s="1956"/>
      <c r="N1646" s="643"/>
      <c r="O1646" s="2083"/>
      <c r="P1646" s="643"/>
      <c r="Q1646" s="643"/>
      <c r="R1646" s="280"/>
      <c r="S1646" s="280"/>
      <c r="T1646" s="280"/>
      <c r="U1646" s="280"/>
      <c r="V1646" s="280"/>
      <c r="W1646" s="79"/>
    </row>
    <row r="1647" spans="1:23" ht="15.75">
      <c r="A1647" s="2080"/>
      <c r="B1647" s="705"/>
      <c r="C1647" s="90"/>
      <c r="D1647" s="2081"/>
      <c r="E1647" s="2082"/>
      <c r="F1647" s="1954"/>
      <c r="G1647" s="90"/>
      <c r="H1647" s="90"/>
      <c r="I1647" s="90"/>
      <c r="J1647" s="90"/>
      <c r="K1647" s="90"/>
      <c r="L1647" s="90"/>
      <c r="M1647" s="1956"/>
      <c r="N1647" s="643"/>
      <c r="O1647" s="2083"/>
      <c r="P1647" s="643"/>
      <c r="Q1647" s="643"/>
      <c r="R1647" s="280"/>
      <c r="S1647" s="280"/>
      <c r="T1647" s="280"/>
      <c r="U1647" s="280"/>
      <c r="V1647" s="280"/>
      <c r="W1647" s="79"/>
    </row>
    <row r="1648" spans="1:23" ht="15.75">
      <c r="A1648" s="2080"/>
      <c r="B1648" s="705"/>
      <c r="C1648" s="90"/>
      <c r="D1648" s="2081"/>
      <c r="E1648" s="2082"/>
      <c r="F1648" s="1954"/>
      <c r="G1648" s="90"/>
      <c r="H1648" s="90"/>
      <c r="I1648" s="90"/>
      <c r="J1648" s="90"/>
      <c r="K1648" s="90"/>
      <c r="L1648" s="90"/>
      <c r="M1648" s="1956"/>
      <c r="N1648" s="643"/>
      <c r="O1648" s="2083"/>
      <c r="P1648" s="643"/>
      <c r="Q1648" s="643"/>
      <c r="R1648" s="280"/>
      <c r="S1648" s="280"/>
      <c r="T1648" s="280"/>
      <c r="U1648" s="280"/>
      <c r="V1648" s="280"/>
      <c r="W1648" s="79"/>
    </row>
    <row r="1649" spans="1:23" ht="15.75">
      <c r="A1649" s="2080"/>
      <c r="B1649" s="705"/>
      <c r="C1649" s="90"/>
      <c r="D1649" s="2081"/>
      <c r="E1649" s="2082"/>
      <c r="F1649" s="1954"/>
      <c r="G1649" s="90"/>
      <c r="H1649" s="90"/>
      <c r="I1649" s="90"/>
      <c r="J1649" s="90"/>
      <c r="K1649" s="90"/>
      <c r="L1649" s="90"/>
      <c r="M1649" s="1956"/>
      <c r="N1649" s="643"/>
      <c r="O1649" s="2083"/>
      <c r="P1649" s="643"/>
      <c r="Q1649" s="643"/>
      <c r="R1649" s="280"/>
      <c r="S1649" s="280"/>
      <c r="T1649" s="280"/>
      <c r="U1649" s="280"/>
      <c r="V1649" s="280"/>
      <c r="W1649" s="79"/>
    </row>
    <row r="1650" spans="1:23" ht="15.75">
      <c r="A1650" s="2080"/>
      <c r="B1650" s="705"/>
      <c r="C1650" s="90"/>
      <c r="D1650" s="2081"/>
      <c r="E1650" s="2082"/>
      <c r="F1650" s="1954"/>
      <c r="G1650" s="90"/>
      <c r="H1650" s="90"/>
      <c r="I1650" s="90"/>
      <c r="J1650" s="90"/>
      <c r="K1650" s="90"/>
      <c r="L1650" s="90"/>
      <c r="M1650" s="1956"/>
      <c r="N1650" s="643"/>
      <c r="O1650" s="2083"/>
      <c r="P1650" s="643"/>
      <c r="Q1650" s="643"/>
      <c r="R1650" s="280"/>
      <c r="S1650" s="280"/>
      <c r="T1650" s="280"/>
      <c r="U1650" s="280"/>
      <c r="V1650" s="280"/>
      <c r="W1650" s="79"/>
    </row>
    <row r="1651" spans="1:23" ht="15.75">
      <c r="A1651" s="2080"/>
      <c r="B1651" s="705"/>
      <c r="C1651" s="90"/>
      <c r="D1651" s="2081"/>
      <c r="E1651" s="2082"/>
      <c r="F1651" s="1954"/>
      <c r="G1651" s="90"/>
      <c r="H1651" s="90"/>
      <c r="I1651" s="90"/>
      <c r="J1651" s="90"/>
      <c r="K1651" s="90"/>
      <c r="L1651" s="90"/>
      <c r="M1651" s="1956"/>
      <c r="N1651" s="643"/>
      <c r="O1651" s="2083"/>
      <c r="P1651" s="643"/>
      <c r="Q1651" s="643"/>
      <c r="R1651" s="280"/>
      <c r="S1651" s="280"/>
      <c r="T1651" s="280"/>
      <c r="U1651" s="280"/>
      <c r="V1651" s="280"/>
      <c r="W1651" s="79"/>
    </row>
    <row r="1652" spans="1:23" ht="15.75">
      <c r="A1652" s="2080"/>
      <c r="B1652" s="705"/>
      <c r="C1652" s="90"/>
      <c r="D1652" s="2081"/>
      <c r="E1652" s="2082"/>
      <c r="F1652" s="1954"/>
      <c r="G1652" s="90"/>
      <c r="H1652" s="90"/>
      <c r="I1652" s="90"/>
      <c r="J1652" s="90"/>
      <c r="K1652" s="90"/>
      <c r="L1652" s="90"/>
      <c r="M1652" s="1956"/>
      <c r="N1652" s="643"/>
      <c r="O1652" s="2083"/>
      <c r="P1652" s="643"/>
      <c r="Q1652" s="643"/>
      <c r="R1652" s="280"/>
      <c r="S1652" s="280"/>
      <c r="T1652" s="280"/>
      <c r="U1652" s="280"/>
      <c r="V1652" s="280"/>
      <c r="W1652" s="79"/>
    </row>
    <row r="1653" spans="1:23" ht="15.75">
      <c r="A1653" s="2080"/>
      <c r="B1653" s="705"/>
      <c r="C1653" s="90"/>
      <c r="D1653" s="2081"/>
      <c r="E1653" s="2082"/>
      <c r="F1653" s="1954"/>
      <c r="G1653" s="90"/>
      <c r="H1653" s="90"/>
      <c r="I1653" s="90"/>
      <c r="J1653" s="90"/>
      <c r="K1653" s="90"/>
      <c r="L1653" s="90"/>
      <c r="M1653" s="1956"/>
      <c r="N1653" s="643"/>
      <c r="O1653" s="2083"/>
      <c r="P1653" s="643"/>
      <c r="Q1653" s="643"/>
      <c r="R1653" s="280"/>
      <c r="S1653" s="280"/>
      <c r="T1653" s="280"/>
      <c r="U1653" s="280"/>
      <c r="V1653" s="280"/>
      <c r="W1653" s="79"/>
    </row>
    <row r="1654" spans="1:23" ht="15.75">
      <c r="A1654" s="2080"/>
      <c r="B1654" s="705"/>
      <c r="C1654" s="90"/>
      <c r="D1654" s="2081"/>
      <c r="E1654" s="2082"/>
      <c r="F1654" s="1954"/>
      <c r="G1654" s="90"/>
      <c r="H1654" s="90"/>
      <c r="I1654" s="90"/>
      <c r="J1654" s="90"/>
      <c r="K1654" s="90"/>
      <c r="L1654" s="90"/>
      <c r="M1654" s="1956"/>
      <c r="N1654" s="643"/>
      <c r="O1654" s="2083"/>
      <c r="P1654" s="643"/>
      <c r="Q1654" s="643"/>
      <c r="R1654" s="280"/>
      <c r="S1654" s="280"/>
      <c r="T1654" s="280"/>
      <c r="U1654" s="280"/>
      <c r="V1654" s="280"/>
      <c r="W1654" s="79"/>
    </row>
    <row r="1655" spans="1:23" ht="15.75">
      <c r="A1655" s="2080"/>
      <c r="B1655" s="705"/>
      <c r="C1655" s="90"/>
      <c r="D1655" s="2081"/>
      <c r="E1655" s="2082"/>
      <c r="F1655" s="1954"/>
      <c r="G1655" s="90"/>
      <c r="H1655" s="90"/>
      <c r="I1655" s="90"/>
      <c r="J1655" s="90"/>
      <c r="K1655" s="90"/>
      <c r="L1655" s="90"/>
      <c r="M1655" s="1956"/>
      <c r="N1655" s="643"/>
      <c r="O1655" s="2083"/>
      <c r="P1655" s="643"/>
      <c r="Q1655" s="643"/>
      <c r="R1655" s="280"/>
      <c r="S1655" s="280"/>
      <c r="T1655" s="280"/>
      <c r="U1655" s="280"/>
      <c r="V1655" s="280"/>
      <c r="W1655" s="79"/>
    </row>
    <row r="1656" spans="1:23" ht="15.75">
      <c r="A1656" s="2080"/>
      <c r="B1656" s="705"/>
      <c r="C1656" s="90"/>
      <c r="D1656" s="2081"/>
      <c r="E1656" s="2082"/>
      <c r="F1656" s="1954"/>
      <c r="G1656" s="90"/>
      <c r="H1656" s="90"/>
      <c r="I1656" s="90"/>
      <c r="J1656" s="90"/>
      <c r="K1656" s="90"/>
      <c r="L1656" s="90"/>
      <c r="M1656" s="1956"/>
      <c r="N1656" s="643"/>
      <c r="O1656" s="2083"/>
      <c r="P1656" s="643"/>
      <c r="Q1656" s="643"/>
      <c r="R1656" s="280"/>
      <c r="S1656" s="280"/>
      <c r="T1656" s="280"/>
      <c r="U1656" s="280"/>
      <c r="V1656" s="280"/>
      <c r="W1656" s="79"/>
    </row>
    <row r="1657" spans="1:23" ht="15.75">
      <c r="A1657" s="2080"/>
      <c r="B1657" s="705"/>
      <c r="C1657" s="90"/>
      <c r="D1657" s="2081"/>
      <c r="E1657" s="2082"/>
      <c r="F1657" s="1954"/>
      <c r="G1657" s="90"/>
      <c r="H1657" s="90"/>
      <c r="I1657" s="90"/>
      <c r="J1657" s="90"/>
      <c r="K1657" s="90"/>
      <c r="L1657" s="90"/>
      <c r="M1657" s="1956"/>
      <c r="N1657" s="643"/>
      <c r="O1657" s="2083"/>
      <c r="P1657" s="643"/>
      <c r="Q1657" s="643"/>
      <c r="R1657" s="280"/>
      <c r="S1657" s="280"/>
      <c r="T1657" s="280"/>
      <c r="U1657" s="280"/>
      <c r="V1657" s="280"/>
      <c r="W1657" s="79"/>
    </row>
    <row r="1658" spans="1:23" ht="15.75">
      <c r="A1658" s="2080"/>
      <c r="B1658" s="705"/>
      <c r="C1658" s="90"/>
      <c r="D1658" s="2081"/>
      <c r="E1658" s="2082"/>
      <c r="F1658" s="1954"/>
      <c r="G1658" s="90"/>
      <c r="H1658" s="90"/>
      <c r="I1658" s="90"/>
      <c r="J1658" s="90"/>
      <c r="K1658" s="90"/>
      <c r="L1658" s="90"/>
      <c r="M1658" s="1956"/>
      <c r="N1658" s="643"/>
      <c r="O1658" s="2083"/>
      <c r="P1658" s="643"/>
      <c r="Q1658" s="643"/>
      <c r="R1658" s="280"/>
      <c r="S1658" s="280"/>
      <c r="T1658" s="280"/>
      <c r="U1658" s="280"/>
      <c r="V1658" s="280"/>
      <c r="W1658" s="79"/>
    </row>
    <row r="1659" spans="1:23" ht="15.75">
      <c r="A1659" s="2080"/>
      <c r="B1659" s="705"/>
      <c r="C1659" s="90"/>
      <c r="D1659" s="2081"/>
      <c r="E1659" s="2082"/>
      <c r="F1659" s="1954"/>
      <c r="G1659" s="90"/>
      <c r="H1659" s="90"/>
      <c r="I1659" s="90"/>
      <c r="J1659" s="90"/>
      <c r="K1659" s="90"/>
      <c r="L1659" s="90"/>
      <c r="M1659" s="1956"/>
      <c r="N1659" s="643"/>
      <c r="O1659" s="2083"/>
      <c r="P1659" s="643"/>
      <c r="Q1659" s="643"/>
      <c r="R1659" s="280"/>
      <c r="S1659" s="280"/>
      <c r="T1659" s="280"/>
      <c r="U1659" s="280"/>
      <c r="V1659" s="280"/>
      <c r="W1659" s="79"/>
    </row>
    <row r="1660" spans="1:23" ht="15.75">
      <c r="A1660" s="2080"/>
      <c r="B1660" s="705"/>
      <c r="C1660" s="90"/>
      <c r="D1660" s="2081"/>
      <c r="E1660" s="2082"/>
      <c r="F1660" s="1954"/>
      <c r="G1660" s="90"/>
      <c r="H1660" s="90"/>
      <c r="I1660" s="90"/>
      <c r="J1660" s="90"/>
      <c r="K1660" s="90"/>
      <c r="L1660" s="90"/>
      <c r="M1660" s="1956"/>
      <c r="N1660" s="643"/>
      <c r="O1660" s="2083"/>
      <c r="P1660" s="643"/>
      <c r="Q1660" s="643"/>
      <c r="R1660" s="280"/>
      <c r="S1660" s="280"/>
      <c r="T1660" s="280"/>
      <c r="U1660" s="280"/>
      <c r="V1660" s="280"/>
      <c r="W1660" s="79"/>
    </row>
    <row r="1661" spans="1:23" ht="15.75">
      <c r="A1661" s="2080"/>
      <c r="B1661" s="705"/>
      <c r="C1661" s="90"/>
      <c r="D1661" s="2081"/>
      <c r="E1661" s="2082"/>
      <c r="F1661" s="1954"/>
      <c r="G1661" s="90"/>
      <c r="H1661" s="90"/>
      <c r="I1661" s="90"/>
      <c r="J1661" s="90"/>
      <c r="K1661" s="90"/>
      <c r="L1661" s="90"/>
      <c r="M1661" s="1956"/>
      <c r="N1661" s="643"/>
      <c r="O1661" s="2083"/>
      <c r="P1661" s="643"/>
      <c r="Q1661" s="643"/>
      <c r="R1661" s="280"/>
      <c r="S1661" s="280"/>
      <c r="T1661" s="280"/>
      <c r="U1661" s="280"/>
      <c r="V1661" s="280"/>
      <c r="W1661" s="79"/>
    </row>
    <row r="1662" spans="1:23" ht="15.75">
      <c r="A1662" s="2080"/>
      <c r="B1662" s="705"/>
      <c r="C1662" s="90"/>
      <c r="D1662" s="2081"/>
      <c r="E1662" s="2082"/>
      <c r="F1662" s="1954"/>
      <c r="G1662" s="90"/>
      <c r="H1662" s="90"/>
      <c r="I1662" s="90"/>
      <c r="J1662" s="90"/>
      <c r="K1662" s="90"/>
      <c r="L1662" s="90"/>
      <c r="M1662" s="1956"/>
      <c r="N1662" s="643"/>
      <c r="O1662" s="2083"/>
      <c r="P1662" s="643"/>
      <c r="Q1662" s="643"/>
      <c r="R1662" s="280"/>
      <c r="S1662" s="280"/>
      <c r="T1662" s="280"/>
      <c r="U1662" s="280"/>
      <c r="V1662" s="280"/>
      <c r="W1662" s="79"/>
    </row>
    <row r="1663" spans="1:23" ht="15.75">
      <c r="A1663" s="2080"/>
      <c r="B1663" s="705"/>
      <c r="C1663" s="90"/>
      <c r="D1663" s="2081"/>
      <c r="E1663" s="2082"/>
      <c r="F1663" s="1954"/>
      <c r="G1663" s="90"/>
      <c r="H1663" s="90"/>
      <c r="I1663" s="90"/>
      <c r="J1663" s="90"/>
      <c r="K1663" s="90"/>
      <c r="L1663" s="90"/>
      <c r="M1663" s="1956"/>
      <c r="N1663" s="643"/>
      <c r="O1663" s="2083"/>
      <c r="P1663" s="643"/>
      <c r="Q1663" s="643"/>
      <c r="R1663" s="280"/>
      <c r="S1663" s="280"/>
      <c r="T1663" s="280"/>
      <c r="U1663" s="280"/>
      <c r="V1663" s="280"/>
      <c r="W1663" s="79"/>
    </row>
    <row r="1664" spans="1:23" ht="15.75">
      <c r="A1664" s="2080"/>
      <c r="B1664" s="705"/>
      <c r="C1664" s="90"/>
      <c r="D1664" s="2081"/>
      <c r="E1664" s="2082"/>
      <c r="F1664" s="1954"/>
      <c r="G1664" s="90"/>
      <c r="H1664" s="90"/>
      <c r="I1664" s="90"/>
      <c r="J1664" s="90"/>
      <c r="K1664" s="90"/>
      <c r="L1664" s="90"/>
      <c r="M1664" s="1956"/>
      <c r="N1664" s="643"/>
      <c r="O1664" s="2083"/>
      <c r="P1664" s="643"/>
      <c r="Q1664" s="643"/>
      <c r="R1664" s="280"/>
      <c r="S1664" s="280"/>
      <c r="T1664" s="280"/>
      <c r="U1664" s="280"/>
      <c r="V1664" s="280"/>
      <c r="W1664" s="79"/>
    </row>
    <row r="1665" spans="1:23" ht="15.75">
      <c r="A1665" s="2080"/>
      <c r="B1665" s="705"/>
      <c r="C1665" s="90"/>
      <c r="D1665" s="2081"/>
      <c r="E1665" s="2082"/>
      <c r="F1665" s="1954"/>
      <c r="G1665" s="90"/>
      <c r="H1665" s="90"/>
      <c r="I1665" s="90"/>
      <c r="J1665" s="90"/>
      <c r="K1665" s="90"/>
      <c r="L1665" s="90"/>
      <c r="M1665" s="1956"/>
      <c r="N1665" s="643"/>
      <c r="O1665" s="2083"/>
      <c r="P1665" s="643"/>
      <c r="Q1665" s="643"/>
      <c r="R1665" s="280"/>
      <c r="S1665" s="280"/>
      <c r="T1665" s="280"/>
      <c r="U1665" s="280"/>
      <c r="V1665" s="280"/>
      <c r="W1665" s="79"/>
    </row>
    <row r="1666" spans="1:23" ht="15.75">
      <c r="A1666" s="2080"/>
      <c r="B1666" s="705"/>
      <c r="C1666" s="90"/>
      <c r="D1666" s="2081"/>
      <c r="E1666" s="2082"/>
      <c r="F1666" s="1954"/>
      <c r="G1666" s="90"/>
      <c r="H1666" s="90"/>
      <c r="I1666" s="90"/>
      <c r="J1666" s="90"/>
      <c r="K1666" s="90"/>
      <c r="L1666" s="90"/>
      <c r="M1666" s="1956"/>
      <c r="N1666" s="643"/>
      <c r="O1666" s="2083"/>
      <c r="P1666" s="643"/>
      <c r="Q1666" s="643"/>
      <c r="R1666" s="280"/>
      <c r="S1666" s="280"/>
      <c r="T1666" s="280"/>
      <c r="U1666" s="280"/>
      <c r="V1666" s="280"/>
      <c r="W1666" s="79"/>
    </row>
    <row r="1667" spans="1:23" ht="15.75">
      <c r="A1667" s="2080"/>
      <c r="B1667" s="705"/>
      <c r="C1667" s="90"/>
      <c r="D1667" s="2081"/>
      <c r="E1667" s="2082"/>
      <c r="F1667" s="1954"/>
      <c r="G1667" s="90"/>
      <c r="H1667" s="90"/>
      <c r="I1667" s="90"/>
      <c r="J1667" s="90"/>
      <c r="K1667" s="90"/>
      <c r="L1667" s="90"/>
      <c r="M1667" s="1956"/>
      <c r="N1667" s="643"/>
      <c r="O1667" s="2083"/>
      <c r="P1667" s="643"/>
      <c r="Q1667" s="643"/>
      <c r="R1667" s="280"/>
      <c r="S1667" s="280"/>
      <c r="T1667" s="280"/>
      <c r="U1667" s="280"/>
      <c r="V1667" s="280"/>
      <c r="W1667" s="79"/>
    </row>
    <row r="1668" spans="1:23" ht="15.75">
      <c r="A1668" s="2080"/>
      <c r="B1668" s="705"/>
      <c r="C1668" s="90"/>
      <c r="D1668" s="2081"/>
      <c r="E1668" s="2082"/>
      <c r="F1668" s="1954"/>
      <c r="G1668" s="90"/>
      <c r="H1668" s="90"/>
      <c r="I1668" s="90"/>
      <c r="J1668" s="90"/>
      <c r="K1668" s="90"/>
      <c r="L1668" s="90"/>
      <c r="M1668" s="1956"/>
      <c r="N1668" s="643"/>
      <c r="O1668" s="2083"/>
      <c r="P1668" s="643"/>
      <c r="Q1668" s="643"/>
      <c r="R1668" s="280"/>
      <c r="S1668" s="280"/>
      <c r="T1668" s="280"/>
      <c r="U1668" s="280"/>
      <c r="V1668" s="280"/>
      <c r="W1668" s="79"/>
    </row>
    <row r="1669" spans="1:23" ht="15.75">
      <c r="A1669" s="2080"/>
      <c r="B1669" s="705"/>
      <c r="C1669" s="90"/>
      <c r="D1669" s="2081"/>
      <c r="E1669" s="2082"/>
      <c r="F1669" s="1954"/>
      <c r="G1669" s="90"/>
      <c r="H1669" s="90"/>
      <c r="I1669" s="90"/>
      <c r="J1669" s="90"/>
      <c r="K1669" s="90"/>
      <c r="L1669" s="90"/>
      <c r="M1669" s="1956"/>
      <c r="N1669" s="643"/>
      <c r="O1669" s="2083"/>
      <c r="P1669" s="643"/>
      <c r="Q1669" s="643"/>
      <c r="R1669" s="280"/>
      <c r="S1669" s="280"/>
      <c r="T1669" s="280"/>
      <c r="U1669" s="280"/>
      <c r="V1669" s="280"/>
      <c r="W1669" s="79"/>
    </row>
    <row r="1670" spans="1:23" ht="15.75">
      <c r="A1670" s="2080"/>
      <c r="B1670" s="705"/>
      <c r="C1670" s="90"/>
      <c r="D1670" s="2081"/>
      <c r="E1670" s="2082"/>
      <c r="F1670" s="1954"/>
      <c r="G1670" s="90"/>
      <c r="H1670" s="90"/>
      <c r="I1670" s="90"/>
      <c r="J1670" s="90"/>
      <c r="K1670" s="90"/>
      <c r="L1670" s="90"/>
      <c r="M1670" s="1956"/>
      <c r="N1670" s="643"/>
      <c r="O1670" s="2083"/>
      <c r="P1670" s="643"/>
      <c r="Q1670" s="643"/>
      <c r="R1670" s="280"/>
      <c r="S1670" s="280"/>
      <c r="T1670" s="280"/>
      <c r="U1670" s="280"/>
      <c r="V1670" s="280"/>
      <c r="W1670" s="79"/>
    </row>
    <row r="1671" spans="1:23" ht="15.75">
      <c r="A1671" s="2080"/>
      <c r="B1671" s="705"/>
      <c r="C1671" s="90"/>
      <c r="D1671" s="2081"/>
      <c r="E1671" s="2082"/>
      <c r="F1671" s="1954"/>
      <c r="G1671" s="90"/>
      <c r="H1671" s="90"/>
      <c r="I1671" s="90"/>
      <c r="J1671" s="90"/>
      <c r="K1671" s="90"/>
      <c r="L1671" s="90"/>
      <c r="M1671" s="1956"/>
      <c r="N1671" s="643"/>
      <c r="O1671" s="2083"/>
      <c r="P1671" s="643"/>
      <c r="Q1671" s="643"/>
      <c r="R1671" s="280"/>
      <c r="S1671" s="280"/>
      <c r="T1671" s="280"/>
      <c r="U1671" s="280"/>
      <c r="V1671" s="280"/>
      <c r="W1671" s="79"/>
    </row>
    <row r="1672" spans="1:23" ht="15.75">
      <c r="A1672" s="2080"/>
      <c r="B1672" s="705"/>
      <c r="C1672" s="90"/>
      <c r="D1672" s="2081"/>
      <c r="E1672" s="2082"/>
      <c r="F1672" s="1954"/>
      <c r="G1672" s="90"/>
      <c r="H1672" s="90"/>
      <c r="I1672" s="90"/>
      <c r="J1672" s="90"/>
      <c r="K1672" s="90"/>
      <c r="L1672" s="90"/>
      <c r="M1672" s="1956"/>
      <c r="N1672" s="643"/>
      <c r="O1672" s="2083"/>
      <c r="P1672" s="643"/>
      <c r="Q1672" s="643"/>
      <c r="R1672" s="280"/>
      <c r="S1672" s="280"/>
      <c r="T1672" s="280"/>
      <c r="U1672" s="280"/>
      <c r="V1672" s="280"/>
      <c r="W1672" s="79"/>
    </row>
    <row r="1673" spans="1:23" ht="15.75">
      <c r="A1673" s="2080"/>
      <c r="B1673" s="705"/>
      <c r="C1673" s="90"/>
      <c r="D1673" s="2081"/>
      <c r="E1673" s="2082"/>
      <c r="F1673" s="1954"/>
      <c r="G1673" s="90"/>
      <c r="H1673" s="90"/>
      <c r="I1673" s="90"/>
      <c r="J1673" s="90"/>
      <c r="K1673" s="90"/>
      <c r="L1673" s="90"/>
      <c r="M1673" s="1956"/>
      <c r="N1673" s="643"/>
      <c r="O1673" s="2083"/>
      <c r="P1673" s="643"/>
      <c r="Q1673" s="643"/>
      <c r="R1673" s="280"/>
      <c r="S1673" s="280"/>
      <c r="T1673" s="280"/>
      <c r="U1673" s="280"/>
      <c r="V1673" s="280"/>
      <c r="W1673" s="79"/>
    </row>
    <row r="1674" spans="1:23" ht="15.75">
      <c r="A1674" s="2080"/>
      <c r="B1674" s="705"/>
      <c r="C1674" s="90"/>
      <c r="D1674" s="2081"/>
      <c r="E1674" s="2082"/>
      <c r="F1674" s="1954"/>
      <c r="G1674" s="90"/>
      <c r="H1674" s="90"/>
      <c r="I1674" s="90"/>
      <c r="J1674" s="90"/>
      <c r="K1674" s="90"/>
      <c r="L1674" s="90"/>
      <c r="M1674" s="1956"/>
      <c r="N1674" s="643"/>
      <c r="O1674" s="2083"/>
      <c r="P1674" s="643"/>
      <c r="Q1674" s="643"/>
      <c r="R1674" s="280"/>
      <c r="S1674" s="280"/>
      <c r="T1674" s="280"/>
      <c r="U1674" s="280"/>
      <c r="V1674" s="280"/>
      <c r="W1674" s="79"/>
    </row>
    <row r="1675" spans="1:23" ht="15.75">
      <c r="A1675" s="2080"/>
      <c r="B1675" s="705"/>
      <c r="C1675" s="90"/>
      <c r="D1675" s="2081"/>
      <c r="E1675" s="2082"/>
      <c r="F1675" s="1954"/>
      <c r="G1675" s="90"/>
      <c r="H1675" s="90"/>
      <c r="I1675" s="90"/>
      <c r="J1675" s="90"/>
      <c r="K1675" s="90"/>
      <c r="L1675" s="90"/>
      <c r="M1675" s="1956"/>
      <c r="N1675" s="643"/>
      <c r="O1675" s="2083"/>
      <c r="P1675" s="643"/>
      <c r="Q1675" s="643"/>
      <c r="R1675" s="280"/>
      <c r="S1675" s="280"/>
      <c r="T1675" s="280"/>
      <c r="U1675" s="280"/>
      <c r="V1675" s="280"/>
      <c r="W1675" s="79"/>
    </row>
    <row r="1676" spans="1:23" ht="15.75">
      <c r="A1676" s="2080"/>
      <c r="B1676" s="705"/>
      <c r="C1676" s="90"/>
      <c r="D1676" s="2081"/>
      <c r="E1676" s="2082"/>
      <c r="F1676" s="1954"/>
      <c r="G1676" s="90"/>
      <c r="H1676" s="90"/>
      <c r="I1676" s="90"/>
      <c r="J1676" s="90"/>
      <c r="K1676" s="90"/>
      <c r="L1676" s="90"/>
      <c r="M1676" s="1956"/>
      <c r="N1676" s="643"/>
      <c r="O1676" s="2083"/>
      <c r="P1676" s="643"/>
      <c r="Q1676" s="643"/>
      <c r="R1676" s="280"/>
      <c r="S1676" s="280"/>
      <c r="T1676" s="280"/>
      <c r="U1676" s="280"/>
      <c r="V1676" s="280"/>
      <c r="W1676" s="79"/>
    </row>
    <row r="1677" spans="1:23" ht="15.75">
      <c r="A1677" s="2080"/>
      <c r="B1677" s="705"/>
      <c r="C1677" s="90"/>
      <c r="D1677" s="2081"/>
      <c r="E1677" s="2082"/>
      <c r="F1677" s="1954"/>
      <c r="G1677" s="90"/>
      <c r="H1677" s="90"/>
      <c r="I1677" s="90"/>
      <c r="J1677" s="90"/>
      <c r="K1677" s="90"/>
      <c r="L1677" s="90"/>
      <c r="M1677" s="1956"/>
      <c r="N1677" s="643"/>
      <c r="O1677" s="2083"/>
      <c r="P1677" s="643"/>
      <c r="Q1677" s="643"/>
      <c r="R1677" s="280"/>
      <c r="S1677" s="280"/>
      <c r="T1677" s="280"/>
      <c r="U1677" s="280"/>
      <c r="V1677" s="280"/>
      <c r="W1677" s="79"/>
    </row>
    <row r="1678" spans="1:23" ht="15.75">
      <c r="A1678" s="2080"/>
      <c r="B1678" s="705"/>
      <c r="C1678" s="90"/>
      <c r="D1678" s="2081"/>
      <c r="E1678" s="2082"/>
      <c r="F1678" s="1954"/>
      <c r="G1678" s="90"/>
      <c r="H1678" s="90"/>
      <c r="I1678" s="90"/>
      <c r="J1678" s="90"/>
      <c r="K1678" s="90"/>
      <c r="L1678" s="90"/>
      <c r="M1678" s="1956"/>
      <c r="N1678" s="643"/>
      <c r="O1678" s="2083"/>
      <c r="P1678" s="643"/>
      <c r="Q1678" s="643"/>
      <c r="R1678" s="280"/>
      <c r="S1678" s="280"/>
      <c r="T1678" s="280"/>
      <c r="U1678" s="280"/>
      <c r="V1678" s="280"/>
      <c r="W1678" s="79"/>
    </row>
    <row r="1679" spans="1:23" ht="15.75">
      <c r="A1679" s="2080"/>
      <c r="B1679" s="705"/>
      <c r="C1679" s="90"/>
      <c r="D1679" s="2081"/>
      <c r="E1679" s="2082"/>
      <c r="F1679" s="1954"/>
      <c r="G1679" s="90"/>
      <c r="H1679" s="90"/>
      <c r="I1679" s="90"/>
      <c r="J1679" s="90"/>
      <c r="K1679" s="90"/>
      <c r="L1679" s="90"/>
      <c r="M1679" s="1956"/>
      <c r="N1679" s="643"/>
      <c r="O1679" s="2083"/>
      <c r="P1679" s="643"/>
      <c r="Q1679" s="643"/>
      <c r="R1679" s="280"/>
      <c r="S1679" s="280"/>
      <c r="T1679" s="280"/>
      <c r="U1679" s="280"/>
      <c r="V1679" s="280"/>
      <c r="W1679" s="79"/>
    </row>
    <row r="1680" spans="1:23" ht="15.75">
      <c r="A1680" s="2080"/>
      <c r="B1680" s="705"/>
      <c r="C1680" s="90"/>
      <c r="D1680" s="2081"/>
      <c r="E1680" s="2082"/>
      <c r="F1680" s="1954"/>
      <c r="G1680" s="90"/>
      <c r="H1680" s="90"/>
      <c r="I1680" s="90"/>
      <c r="J1680" s="90"/>
      <c r="K1680" s="90"/>
      <c r="L1680" s="90"/>
      <c r="M1680" s="1956"/>
      <c r="N1680" s="643"/>
      <c r="O1680" s="2083"/>
      <c r="P1680" s="643"/>
      <c r="Q1680" s="643"/>
      <c r="R1680" s="280"/>
      <c r="S1680" s="280"/>
      <c r="T1680" s="280"/>
      <c r="U1680" s="280"/>
      <c r="V1680" s="280"/>
      <c r="W1680" s="79"/>
    </row>
    <row r="1681" spans="1:23" ht="15.75">
      <c r="A1681" s="2080"/>
      <c r="B1681" s="705"/>
      <c r="C1681" s="90"/>
      <c r="D1681" s="2081"/>
      <c r="E1681" s="2082"/>
      <c r="F1681" s="1954"/>
      <c r="G1681" s="90"/>
      <c r="H1681" s="90"/>
      <c r="I1681" s="90"/>
      <c r="J1681" s="90"/>
      <c r="K1681" s="90"/>
      <c r="L1681" s="90"/>
      <c r="M1681" s="1956"/>
      <c r="N1681" s="643"/>
      <c r="O1681" s="2083"/>
      <c r="P1681" s="643"/>
      <c r="Q1681" s="643"/>
      <c r="R1681" s="280"/>
      <c r="S1681" s="280"/>
      <c r="T1681" s="280"/>
      <c r="U1681" s="280"/>
      <c r="V1681" s="280"/>
      <c r="W1681" s="79"/>
    </row>
    <row r="1682" spans="1:23" ht="15.75">
      <c r="A1682" s="2080"/>
      <c r="B1682" s="705"/>
      <c r="C1682" s="90"/>
      <c r="D1682" s="2081"/>
      <c r="E1682" s="2082"/>
      <c r="F1682" s="1954"/>
      <c r="G1682" s="90"/>
      <c r="H1682" s="90"/>
      <c r="I1682" s="90"/>
      <c r="J1682" s="90"/>
      <c r="K1682" s="90"/>
      <c r="L1682" s="90"/>
      <c r="M1682" s="1956"/>
      <c r="N1682" s="643"/>
      <c r="O1682" s="2083"/>
      <c r="P1682" s="643"/>
      <c r="Q1682" s="643"/>
      <c r="R1682" s="280"/>
      <c r="S1682" s="280"/>
      <c r="T1682" s="280"/>
      <c r="U1682" s="280"/>
      <c r="V1682" s="280"/>
      <c r="W1682" s="79"/>
    </row>
    <row r="1683" spans="1:23" ht="15.75">
      <c r="A1683" s="2080"/>
      <c r="B1683" s="705"/>
      <c r="C1683" s="90"/>
      <c r="D1683" s="2081"/>
      <c r="E1683" s="2082"/>
      <c r="F1683" s="1954"/>
      <c r="G1683" s="90"/>
      <c r="H1683" s="90"/>
      <c r="I1683" s="90"/>
      <c r="J1683" s="90"/>
      <c r="K1683" s="90"/>
      <c r="L1683" s="90"/>
      <c r="M1683" s="1956"/>
      <c r="N1683" s="643"/>
      <c r="O1683" s="2083"/>
      <c r="P1683" s="643"/>
      <c r="Q1683" s="643"/>
      <c r="R1683" s="280"/>
      <c r="S1683" s="280"/>
      <c r="T1683" s="280"/>
      <c r="U1683" s="280"/>
      <c r="V1683" s="280"/>
      <c r="W1683" s="79"/>
    </row>
    <row r="1684" spans="1:23" ht="15.75">
      <c r="A1684" s="2080"/>
      <c r="B1684" s="705"/>
      <c r="C1684" s="90"/>
      <c r="D1684" s="2081"/>
      <c r="E1684" s="2082"/>
      <c r="F1684" s="1954"/>
      <c r="G1684" s="90"/>
      <c r="H1684" s="90"/>
      <c r="I1684" s="90"/>
      <c r="J1684" s="90"/>
      <c r="K1684" s="90"/>
      <c r="L1684" s="90"/>
      <c r="M1684" s="1956"/>
      <c r="N1684" s="643"/>
      <c r="O1684" s="2083"/>
      <c r="P1684" s="643"/>
      <c r="Q1684" s="643"/>
      <c r="R1684" s="280"/>
      <c r="S1684" s="280"/>
      <c r="T1684" s="280"/>
      <c r="U1684" s="280"/>
      <c r="V1684" s="280"/>
      <c r="W1684" s="79"/>
    </row>
    <row r="1685" spans="1:23" ht="15.75">
      <c r="A1685" s="2080"/>
      <c r="B1685" s="705"/>
      <c r="C1685" s="90"/>
      <c r="D1685" s="2081"/>
      <c r="E1685" s="2082"/>
      <c r="F1685" s="1954"/>
      <c r="G1685" s="90"/>
      <c r="H1685" s="90"/>
      <c r="I1685" s="90"/>
      <c r="J1685" s="90"/>
      <c r="K1685" s="90"/>
      <c r="L1685" s="90"/>
      <c r="M1685" s="1956"/>
      <c r="N1685" s="643"/>
      <c r="O1685" s="2083"/>
      <c r="P1685" s="643"/>
      <c r="Q1685" s="643"/>
      <c r="R1685" s="280"/>
      <c r="S1685" s="280"/>
      <c r="T1685" s="280"/>
      <c r="U1685" s="280"/>
      <c r="V1685" s="280"/>
      <c r="W1685" s="79"/>
    </row>
    <row r="1686" spans="1:23" ht="15.75">
      <c r="A1686" s="2080"/>
      <c r="B1686" s="705"/>
      <c r="C1686" s="90"/>
      <c r="D1686" s="2081"/>
      <c r="E1686" s="2082"/>
      <c r="F1686" s="1954"/>
      <c r="G1686" s="90"/>
      <c r="H1686" s="90"/>
      <c r="I1686" s="90"/>
      <c r="J1686" s="90"/>
      <c r="K1686" s="90"/>
      <c r="L1686" s="90"/>
      <c r="M1686" s="1956"/>
      <c r="N1686" s="643"/>
      <c r="O1686" s="2083"/>
      <c r="P1686" s="643"/>
      <c r="Q1686" s="643"/>
      <c r="R1686" s="280"/>
      <c r="S1686" s="280"/>
      <c r="T1686" s="280"/>
      <c r="U1686" s="280"/>
      <c r="V1686" s="280"/>
      <c r="W1686" s="79"/>
    </row>
    <row r="1687" spans="1:23" ht="15.75">
      <c r="A1687" s="2080"/>
      <c r="B1687" s="705"/>
      <c r="C1687" s="90"/>
      <c r="D1687" s="2081"/>
      <c r="E1687" s="2082"/>
      <c r="F1687" s="1954"/>
      <c r="G1687" s="90"/>
      <c r="H1687" s="90"/>
      <c r="I1687" s="90"/>
      <c r="J1687" s="90"/>
      <c r="K1687" s="90"/>
      <c r="L1687" s="90"/>
      <c r="M1687" s="1956"/>
      <c r="N1687" s="643"/>
      <c r="O1687" s="2083"/>
      <c r="P1687" s="643"/>
      <c r="Q1687" s="643"/>
      <c r="R1687" s="280"/>
      <c r="S1687" s="280"/>
      <c r="T1687" s="280"/>
      <c r="U1687" s="280"/>
      <c r="V1687" s="280"/>
      <c r="W1687" s="79"/>
    </row>
    <row r="1688" spans="1:23" ht="15.75">
      <c r="A1688" s="2080"/>
      <c r="B1688" s="705"/>
      <c r="C1688" s="90"/>
      <c r="D1688" s="2081"/>
      <c r="E1688" s="2082"/>
      <c r="F1688" s="1954"/>
      <c r="G1688" s="90"/>
      <c r="H1688" s="90"/>
      <c r="I1688" s="90"/>
      <c r="J1688" s="90"/>
      <c r="K1688" s="90"/>
      <c r="L1688" s="90"/>
      <c r="M1688" s="1956"/>
      <c r="N1688" s="643"/>
      <c r="O1688" s="2083"/>
      <c r="P1688" s="643"/>
      <c r="Q1688" s="643"/>
      <c r="R1688" s="280"/>
      <c r="S1688" s="280"/>
      <c r="T1688" s="280"/>
      <c r="U1688" s="280"/>
      <c r="V1688" s="280"/>
      <c r="W1688" s="79"/>
    </row>
    <row r="1689" spans="1:23" ht="15.75">
      <c r="A1689" s="2080"/>
      <c r="B1689" s="705"/>
      <c r="C1689" s="90"/>
      <c r="D1689" s="2081"/>
      <c r="E1689" s="2082"/>
      <c r="F1689" s="1954"/>
      <c r="G1689" s="90"/>
      <c r="H1689" s="90"/>
      <c r="I1689" s="90"/>
      <c r="J1689" s="90"/>
      <c r="K1689" s="90"/>
      <c r="L1689" s="90"/>
      <c r="M1689" s="1956"/>
      <c r="N1689" s="643"/>
      <c r="O1689" s="2083"/>
      <c r="P1689" s="643"/>
      <c r="Q1689" s="643"/>
      <c r="R1689" s="280"/>
      <c r="S1689" s="280"/>
      <c r="T1689" s="280"/>
      <c r="U1689" s="280"/>
      <c r="V1689" s="280"/>
      <c r="W1689" s="79"/>
    </row>
    <row r="1690" spans="1:23" ht="15.75">
      <c r="A1690" s="2080"/>
      <c r="B1690" s="705"/>
      <c r="C1690" s="90"/>
      <c r="D1690" s="2081"/>
      <c r="E1690" s="2082"/>
      <c r="F1690" s="1954"/>
      <c r="G1690" s="90"/>
      <c r="H1690" s="90"/>
      <c r="I1690" s="90"/>
      <c r="J1690" s="90"/>
      <c r="K1690" s="90"/>
      <c r="L1690" s="90"/>
      <c r="M1690" s="1956"/>
      <c r="N1690" s="643"/>
      <c r="O1690" s="2083"/>
      <c r="P1690" s="643"/>
      <c r="Q1690" s="643"/>
      <c r="R1690" s="280"/>
      <c r="S1690" s="280"/>
      <c r="T1690" s="280"/>
      <c r="U1690" s="280"/>
      <c r="V1690" s="280"/>
      <c r="W1690" s="79"/>
    </row>
    <row r="1691" spans="1:23" ht="15.75">
      <c r="A1691" s="2080"/>
      <c r="B1691" s="705"/>
      <c r="C1691" s="90"/>
      <c r="D1691" s="2081"/>
      <c r="E1691" s="2082"/>
      <c r="F1691" s="1954"/>
      <c r="G1691" s="90"/>
      <c r="H1691" s="90"/>
      <c r="I1691" s="90"/>
      <c r="J1691" s="90"/>
      <c r="K1691" s="90"/>
      <c r="L1691" s="90"/>
      <c r="M1691" s="1956"/>
      <c r="N1691" s="643"/>
      <c r="O1691" s="2083"/>
      <c r="P1691" s="643"/>
      <c r="Q1691" s="643"/>
      <c r="R1691" s="280"/>
      <c r="S1691" s="280"/>
      <c r="T1691" s="280"/>
      <c r="U1691" s="280"/>
      <c r="V1691" s="280"/>
      <c r="W1691" s="79"/>
    </row>
    <row r="1692" spans="1:23" ht="15.75">
      <c r="A1692" s="2080"/>
      <c r="B1692" s="705"/>
      <c r="C1692" s="90"/>
      <c r="D1692" s="2081"/>
      <c r="E1692" s="2082"/>
      <c r="F1692" s="1954"/>
      <c r="G1692" s="90"/>
      <c r="H1692" s="90"/>
      <c r="I1692" s="90"/>
      <c r="J1692" s="90"/>
      <c r="K1692" s="90"/>
      <c r="L1692" s="90"/>
      <c r="M1692" s="1956"/>
      <c r="N1692" s="643"/>
      <c r="O1692" s="2083"/>
      <c r="P1692" s="643"/>
      <c r="Q1692" s="643"/>
      <c r="R1692" s="280"/>
      <c r="S1692" s="280"/>
      <c r="T1692" s="280"/>
      <c r="U1692" s="280"/>
      <c r="V1692" s="280"/>
      <c r="W1692" s="79"/>
    </row>
    <row r="1693" spans="1:23" ht="15.75">
      <c r="A1693" s="2080"/>
      <c r="B1693" s="705"/>
      <c r="C1693" s="90"/>
      <c r="D1693" s="2081"/>
      <c r="E1693" s="2082"/>
      <c r="F1693" s="1954"/>
      <c r="G1693" s="90"/>
      <c r="H1693" s="90"/>
      <c r="I1693" s="90"/>
      <c r="J1693" s="90"/>
      <c r="K1693" s="90"/>
      <c r="L1693" s="90"/>
      <c r="M1693" s="1956"/>
      <c r="N1693" s="643"/>
      <c r="O1693" s="2083"/>
      <c r="P1693" s="643"/>
      <c r="Q1693" s="643"/>
      <c r="R1693" s="280"/>
      <c r="S1693" s="280"/>
      <c r="T1693" s="280"/>
      <c r="U1693" s="280"/>
      <c r="V1693" s="280"/>
      <c r="W1693" s="79"/>
    </row>
    <row r="1694" spans="1:23" ht="15.75">
      <c r="A1694" s="2080"/>
      <c r="B1694" s="705"/>
      <c r="C1694" s="90"/>
      <c r="D1694" s="2081"/>
      <c r="E1694" s="2082"/>
      <c r="F1694" s="1954"/>
      <c r="G1694" s="90"/>
      <c r="H1694" s="90"/>
      <c r="I1694" s="90"/>
      <c r="J1694" s="90"/>
      <c r="K1694" s="90"/>
      <c r="L1694" s="90"/>
      <c r="M1694" s="1956"/>
      <c r="N1694" s="643"/>
      <c r="O1694" s="2083"/>
      <c r="P1694" s="643"/>
      <c r="Q1694" s="643"/>
      <c r="R1694" s="280"/>
      <c r="S1694" s="280"/>
      <c r="T1694" s="280"/>
      <c r="U1694" s="280"/>
      <c r="V1694" s="280"/>
      <c r="W1694" s="79"/>
    </row>
    <row r="1695" spans="1:23" ht="15.75">
      <c r="A1695" s="2080"/>
      <c r="B1695" s="705"/>
      <c r="C1695" s="90"/>
      <c r="D1695" s="2081"/>
      <c r="E1695" s="2082"/>
      <c r="F1695" s="1954"/>
      <c r="G1695" s="90"/>
      <c r="H1695" s="90"/>
      <c r="I1695" s="90"/>
      <c r="J1695" s="90"/>
      <c r="K1695" s="90"/>
      <c r="L1695" s="90"/>
      <c r="M1695" s="1956"/>
      <c r="N1695" s="643"/>
      <c r="O1695" s="2083"/>
      <c r="P1695" s="643"/>
      <c r="Q1695" s="643"/>
      <c r="R1695" s="280"/>
      <c r="S1695" s="280"/>
      <c r="T1695" s="280"/>
      <c r="U1695" s="280"/>
      <c r="V1695" s="280"/>
      <c r="W1695" s="79"/>
    </row>
    <row r="1696" spans="1:23" ht="15.75">
      <c r="A1696" s="2080"/>
      <c r="B1696" s="705"/>
      <c r="C1696" s="90"/>
      <c r="D1696" s="2081"/>
      <c r="E1696" s="2082"/>
      <c r="F1696" s="1954"/>
      <c r="G1696" s="90"/>
      <c r="H1696" s="90"/>
      <c r="I1696" s="90"/>
      <c r="J1696" s="90"/>
      <c r="K1696" s="90"/>
      <c r="L1696" s="90"/>
      <c r="M1696" s="1956"/>
      <c r="N1696" s="643"/>
      <c r="O1696" s="2083"/>
      <c r="P1696" s="643"/>
      <c r="Q1696" s="643"/>
      <c r="R1696" s="280"/>
      <c r="S1696" s="280"/>
      <c r="T1696" s="280"/>
      <c r="U1696" s="280"/>
      <c r="V1696" s="280"/>
      <c r="W1696" s="79"/>
    </row>
    <row r="1697" spans="1:23" ht="15.75">
      <c r="A1697" s="2080"/>
      <c r="B1697" s="705"/>
      <c r="C1697" s="90"/>
      <c r="D1697" s="2081"/>
      <c r="E1697" s="2082"/>
      <c r="F1697" s="1954"/>
      <c r="G1697" s="90"/>
      <c r="H1697" s="90"/>
      <c r="I1697" s="90"/>
      <c r="J1697" s="90"/>
      <c r="K1697" s="90"/>
      <c r="L1697" s="90"/>
      <c r="M1697" s="1956"/>
      <c r="N1697" s="643"/>
      <c r="O1697" s="2083"/>
      <c r="P1697" s="643"/>
      <c r="Q1697" s="643"/>
      <c r="R1697" s="280"/>
      <c r="S1697" s="280"/>
      <c r="T1697" s="280"/>
      <c r="U1697" s="280"/>
      <c r="V1697" s="280"/>
      <c r="W1697" s="79"/>
    </row>
    <row r="1698" spans="1:23" ht="15.75">
      <c r="A1698" s="2080"/>
      <c r="B1698" s="705"/>
      <c r="C1698" s="90"/>
      <c r="D1698" s="2081"/>
      <c r="E1698" s="2082"/>
      <c r="F1698" s="1954"/>
      <c r="G1698" s="90"/>
      <c r="H1698" s="90"/>
      <c r="I1698" s="90"/>
      <c r="J1698" s="90"/>
      <c r="K1698" s="90"/>
      <c r="L1698" s="90"/>
      <c r="M1698" s="1956"/>
      <c r="N1698" s="643"/>
      <c r="O1698" s="2083"/>
      <c r="P1698" s="643"/>
      <c r="Q1698" s="643"/>
      <c r="R1698" s="280"/>
      <c r="S1698" s="280"/>
      <c r="T1698" s="280"/>
      <c r="U1698" s="280"/>
      <c r="V1698" s="280"/>
      <c r="W1698" s="79"/>
    </row>
    <row r="1699" spans="1:23" ht="15.75">
      <c r="A1699" s="2080"/>
      <c r="B1699" s="705"/>
      <c r="C1699" s="90"/>
      <c r="D1699" s="2081"/>
      <c r="E1699" s="2082"/>
      <c r="F1699" s="1954"/>
      <c r="G1699" s="90"/>
      <c r="H1699" s="90"/>
      <c r="I1699" s="90"/>
      <c r="J1699" s="90"/>
      <c r="K1699" s="90"/>
      <c r="L1699" s="90"/>
      <c r="M1699" s="1956"/>
      <c r="N1699" s="643"/>
      <c r="O1699" s="2083"/>
      <c r="P1699" s="643"/>
      <c r="Q1699" s="643"/>
      <c r="R1699" s="280"/>
      <c r="S1699" s="280"/>
      <c r="T1699" s="280"/>
      <c r="U1699" s="280"/>
      <c r="V1699" s="280"/>
      <c r="W1699" s="79"/>
    </row>
    <row r="1700" spans="1:23" ht="15.75">
      <c r="A1700" s="2080"/>
      <c r="B1700" s="705"/>
      <c r="C1700" s="90"/>
      <c r="D1700" s="2081"/>
      <c r="E1700" s="2082"/>
      <c r="F1700" s="1954"/>
      <c r="G1700" s="90"/>
      <c r="H1700" s="90"/>
      <c r="I1700" s="90"/>
      <c r="J1700" s="90"/>
      <c r="K1700" s="90"/>
      <c r="L1700" s="90"/>
      <c r="M1700" s="1956"/>
      <c r="N1700" s="643"/>
      <c r="O1700" s="2083"/>
      <c r="P1700" s="643"/>
      <c r="Q1700" s="643"/>
      <c r="R1700" s="280"/>
      <c r="S1700" s="280"/>
      <c r="T1700" s="280"/>
      <c r="U1700" s="280"/>
      <c r="V1700" s="280"/>
      <c r="W1700" s="79"/>
    </row>
    <row r="1701" spans="1:23" ht="15.75">
      <c r="A1701" s="2080"/>
      <c r="B1701" s="705"/>
      <c r="C1701" s="90"/>
      <c r="D1701" s="2081"/>
      <c r="E1701" s="2082"/>
      <c r="F1701" s="1954"/>
      <c r="G1701" s="90"/>
      <c r="H1701" s="90"/>
      <c r="I1701" s="90"/>
      <c r="J1701" s="90"/>
      <c r="K1701" s="90"/>
      <c r="L1701" s="90"/>
      <c r="M1701" s="1956"/>
      <c r="N1701" s="643"/>
      <c r="O1701" s="2083"/>
      <c r="P1701" s="643"/>
      <c r="Q1701" s="643"/>
      <c r="R1701" s="280"/>
      <c r="S1701" s="280"/>
      <c r="T1701" s="280"/>
      <c r="U1701" s="280"/>
      <c r="V1701" s="280"/>
      <c r="W1701" s="79"/>
    </row>
    <row r="1702" spans="1:23" ht="15.75">
      <c r="A1702" s="2080"/>
      <c r="B1702" s="705"/>
      <c r="C1702" s="90"/>
      <c r="D1702" s="2081"/>
      <c r="E1702" s="2082"/>
      <c r="F1702" s="1954"/>
      <c r="G1702" s="90"/>
      <c r="H1702" s="90"/>
      <c r="I1702" s="90"/>
      <c r="J1702" s="90"/>
      <c r="K1702" s="90"/>
      <c r="L1702" s="90"/>
      <c r="M1702" s="1956"/>
      <c r="N1702" s="643"/>
      <c r="O1702" s="2083"/>
      <c r="P1702" s="643"/>
      <c r="Q1702" s="643"/>
      <c r="R1702" s="280"/>
      <c r="S1702" s="280"/>
      <c r="T1702" s="280"/>
      <c r="U1702" s="280"/>
      <c r="V1702" s="280"/>
      <c r="W1702" s="79"/>
    </row>
    <row r="1703" spans="1:23" ht="15.75">
      <c r="A1703" s="2080"/>
      <c r="B1703" s="705"/>
      <c r="C1703" s="90"/>
      <c r="D1703" s="2081"/>
      <c r="E1703" s="2082"/>
      <c r="F1703" s="1954"/>
      <c r="G1703" s="90"/>
      <c r="H1703" s="90"/>
      <c r="I1703" s="90"/>
      <c r="J1703" s="90"/>
      <c r="K1703" s="90"/>
      <c r="L1703" s="90"/>
      <c r="M1703" s="1956"/>
      <c r="N1703" s="643"/>
      <c r="O1703" s="2083"/>
      <c r="P1703" s="643"/>
      <c r="Q1703" s="643"/>
      <c r="R1703" s="280"/>
      <c r="S1703" s="280"/>
      <c r="T1703" s="280"/>
      <c r="U1703" s="280"/>
      <c r="V1703" s="280"/>
      <c r="W1703" s="79"/>
    </row>
    <row r="1704" spans="1:23" ht="15.75">
      <c r="A1704" s="2080"/>
      <c r="B1704" s="705"/>
      <c r="C1704" s="90"/>
      <c r="D1704" s="2081"/>
      <c r="E1704" s="2082"/>
      <c r="F1704" s="1954"/>
      <c r="G1704" s="90"/>
      <c r="H1704" s="90"/>
      <c r="I1704" s="90"/>
      <c r="J1704" s="90"/>
      <c r="K1704" s="90"/>
      <c r="L1704" s="90"/>
      <c r="M1704" s="1956"/>
      <c r="N1704" s="643"/>
      <c r="O1704" s="2083"/>
      <c r="P1704" s="643"/>
      <c r="Q1704" s="643"/>
      <c r="R1704" s="280"/>
      <c r="S1704" s="280"/>
      <c r="T1704" s="280"/>
      <c r="U1704" s="280"/>
      <c r="V1704" s="280"/>
      <c r="W1704" s="79"/>
    </row>
    <row r="1705" spans="1:23" ht="15.75">
      <c r="A1705" s="2080"/>
      <c r="B1705" s="705"/>
      <c r="C1705" s="90"/>
      <c r="D1705" s="2081"/>
      <c r="E1705" s="2082"/>
      <c r="F1705" s="1954"/>
      <c r="G1705" s="90"/>
      <c r="H1705" s="90"/>
      <c r="I1705" s="90"/>
      <c r="J1705" s="90"/>
      <c r="K1705" s="90"/>
      <c r="L1705" s="90"/>
      <c r="M1705" s="1956"/>
      <c r="N1705" s="643"/>
      <c r="O1705" s="2083"/>
      <c r="P1705" s="643"/>
      <c r="Q1705" s="643"/>
      <c r="R1705" s="280"/>
      <c r="S1705" s="280"/>
      <c r="T1705" s="280"/>
      <c r="U1705" s="280"/>
      <c r="V1705" s="280"/>
      <c r="W1705" s="79"/>
    </row>
    <row r="1706" spans="1:23" ht="15.75">
      <c r="A1706" s="2080"/>
      <c r="B1706" s="705"/>
      <c r="C1706" s="90"/>
      <c r="D1706" s="2081"/>
      <c r="E1706" s="2082"/>
      <c r="F1706" s="1954"/>
      <c r="G1706" s="90"/>
      <c r="H1706" s="90"/>
      <c r="I1706" s="90"/>
      <c r="J1706" s="90"/>
      <c r="K1706" s="90"/>
      <c r="L1706" s="90"/>
      <c r="M1706" s="1956"/>
      <c r="N1706" s="643"/>
      <c r="O1706" s="2083"/>
      <c r="P1706" s="643"/>
      <c r="Q1706" s="643"/>
      <c r="R1706" s="280"/>
      <c r="S1706" s="280"/>
      <c r="T1706" s="280"/>
      <c r="U1706" s="280"/>
      <c r="V1706" s="280"/>
      <c r="W1706" s="79"/>
    </row>
    <row r="1707" spans="1:23" ht="15.75">
      <c r="A1707" s="2080"/>
      <c r="B1707" s="705"/>
      <c r="C1707" s="90"/>
      <c r="D1707" s="2081"/>
      <c r="E1707" s="2082"/>
      <c r="F1707" s="1954"/>
      <c r="G1707" s="90"/>
      <c r="H1707" s="90"/>
      <c r="I1707" s="90"/>
      <c r="J1707" s="90"/>
      <c r="K1707" s="90"/>
      <c r="L1707" s="90"/>
      <c r="M1707" s="1956"/>
      <c r="N1707" s="643"/>
      <c r="O1707" s="2083"/>
      <c r="P1707" s="643"/>
      <c r="Q1707" s="643"/>
      <c r="R1707" s="280"/>
      <c r="S1707" s="280"/>
      <c r="T1707" s="280"/>
      <c r="U1707" s="280"/>
      <c r="V1707" s="280"/>
      <c r="W1707" s="79"/>
    </row>
    <row r="1708" spans="1:23" ht="15.75">
      <c r="A1708" s="2080"/>
      <c r="B1708" s="705"/>
      <c r="C1708" s="90"/>
      <c r="D1708" s="2081"/>
      <c r="E1708" s="2082"/>
      <c r="F1708" s="1954"/>
      <c r="G1708" s="90"/>
      <c r="H1708" s="90"/>
      <c r="I1708" s="90"/>
      <c r="J1708" s="90"/>
      <c r="K1708" s="90"/>
      <c r="L1708" s="90"/>
      <c r="M1708" s="1956"/>
      <c r="N1708" s="643"/>
      <c r="O1708" s="2083"/>
      <c r="P1708" s="643"/>
      <c r="Q1708" s="643"/>
      <c r="R1708" s="280"/>
      <c r="S1708" s="280"/>
      <c r="T1708" s="280"/>
      <c r="U1708" s="280"/>
      <c r="V1708" s="280"/>
      <c r="W1708" s="79"/>
    </row>
    <row r="1709" spans="1:23" ht="15.75">
      <c r="A1709" s="2080"/>
      <c r="B1709" s="705"/>
      <c r="C1709" s="90"/>
      <c r="D1709" s="2081"/>
      <c r="E1709" s="2082"/>
      <c r="F1709" s="1954"/>
      <c r="G1709" s="90"/>
      <c r="H1709" s="90"/>
      <c r="I1709" s="90"/>
      <c r="J1709" s="90"/>
      <c r="K1709" s="90"/>
      <c r="L1709" s="90"/>
      <c r="M1709" s="1956"/>
      <c r="N1709" s="643"/>
      <c r="O1709" s="2083"/>
      <c r="P1709" s="643"/>
      <c r="Q1709" s="643"/>
      <c r="R1709" s="280"/>
      <c r="S1709" s="280"/>
      <c r="T1709" s="280"/>
      <c r="U1709" s="280"/>
      <c r="V1709" s="280"/>
      <c r="W1709" s="79"/>
    </row>
    <row r="1710" spans="1:23" ht="15.75">
      <c r="A1710" s="2080"/>
      <c r="B1710" s="705"/>
      <c r="C1710" s="90"/>
      <c r="D1710" s="2081"/>
      <c r="E1710" s="2082"/>
      <c r="F1710" s="1954"/>
      <c r="G1710" s="90"/>
      <c r="H1710" s="90"/>
      <c r="I1710" s="90"/>
      <c r="J1710" s="90"/>
      <c r="K1710" s="90"/>
      <c r="L1710" s="90"/>
      <c r="M1710" s="1956"/>
      <c r="N1710" s="643"/>
      <c r="O1710" s="2083"/>
      <c r="P1710" s="643"/>
      <c r="Q1710" s="643"/>
      <c r="R1710" s="280"/>
      <c r="S1710" s="280"/>
      <c r="T1710" s="280"/>
      <c r="U1710" s="280"/>
      <c r="V1710" s="280"/>
      <c r="W1710" s="79"/>
    </row>
    <row r="1711" spans="1:23" ht="15.75">
      <c r="A1711" s="2080"/>
      <c r="B1711" s="705"/>
      <c r="C1711" s="90"/>
      <c r="D1711" s="2081"/>
      <c r="E1711" s="2082"/>
      <c r="F1711" s="1954"/>
      <c r="G1711" s="90"/>
      <c r="H1711" s="90"/>
      <c r="I1711" s="90"/>
      <c r="J1711" s="90"/>
      <c r="K1711" s="90"/>
      <c r="L1711" s="90"/>
      <c r="M1711" s="1956"/>
      <c r="N1711" s="643"/>
      <c r="O1711" s="2083"/>
      <c r="P1711" s="643"/>
      <c r="Q1711" s="643"/>
      <c r="R1711" s="280"/>
      <c r="S1711" s="280"/>
      <c r="T1711" s="280"/>
      <c r="U1711" s="280"/>
      <c r="V1711" s="280"/>
      <c r="W1711" s="79"/>
    </row>
    <row r="1712" spans="1:23" ht="15.75">
      <c r="A1712" s="2080"/>
      <c r="B1712" s="705"/>
      <c r="C1712" s="90"/>
      <c r="D1712" s="2081"/>
      <c r="E1712" s="2082"/>
      <c r="F1712" s="1954"/>
      <c r="G1712" s="90"/>
      <c r="H1712" s="90"/>
      <c r="I1712" s="90"/>
      <c r="J1712" s="90"/>
      <c r="K1712" s="90"/>
      <c r="L1712" s="90"/>
      <c r="M1712" s="1956"/>
      <c r="N1712" s="643"/>
      <c r="O1712" s="2083"/>
      <c r="P1712" s="643"/>
      <c r="Q1712" s="643"/>
      <c r="R1712" s="280"/>
      <c r="S1712" s="280"/>
      <c r="T1712" s="280"/>
      <c r="U1712" s="280"/>
      <c r="V1712" s="280"/>
      <c r="W1712" s="79"/>
    </row>
    <row r="1713" spans="1:23" ht="15.75">
      <c r="A1713" s="2080"/>
      <c r="B1713" s="705"/>
      <c r="C1713" s="90"/>
      <c r="D1713" s="2081"/>
      <c r="E1713" s="2082"/>
      <c r="F1713" s="1954"/>
      <c r="G1713" s="90"/>
      <c r="H1713" s="90"/>
      <c r="I1713" s="90"/>
      <c r="J1713" s="90"/>
      <c r="K1713" s="90"/>
      <c r="L1713" s="90"/>
      <c r="M1713" s="1956"/>
      <c r="N1713" s="643"/>
      <c r="O1713" s="2083"/>
      <c r="P1713" s="643"/>
      <c r="Q1713" s="643"/>
      <c r="R1713" s="280"/>
      <c r="S1713" s="280"/>
      <c r="T1713" s="280"/>
      <c r="U1713" s="280"/>
      <c r="V1713" s="280"/>
      <c r="W1713" s="79"/>
    </row>
    <row r="1714" spans="1:23" ht="15.75">
      <c r="A1714" s="2080"/>
      <c r="B1714" s="705"/>
      <c r="C1714" s="90"/>
      <c r="D1714" s="2081"/>
      <c r="E1714" s="2082"/>
      <c r="F1714" s="1954"/>
      <c r="G1714" s="90"/>
      <c r="H1714" s="90"/>
      <c r="I1714" s="90"/>
      <c r="J1714" s="90"/>
      <c r="K1714" s="90"/>
      <c r="L1714" s="90"/>
      <c r="M1714" s="1956"/>
      <c r="N1714" s="643"/>
      <c r="O1714" s="2083"/>
      <c r="P1714" s="643"/>
      <c r="Q1714" s="643"/>
      <c r="R1714" s="280"/>
      <c r="S1714" s="280"/>
      <c r="T1714" s="280"/>
      <c r="U1714" s="280"/>
      <c r="V1714" s="280"/>
      <c r="W1714" s="79"/>
    </row>
    <row r="1715" spans="1:23" ht="15.75">
      <c r="A1715" s="2080"/>
      <c r="B1715" s="705"/>
      <c r="C1715" s="90"/>
      <c r="D1715" s="2081"/>
      <c r="E1715" s="2082"/>
      <c r="F1715" s="1954"/>
      <c r="G1715" s="90"/>
      <c r="H1715" s="90"/>
      <c r="I1715" s="90"/>
      <c r="J1715" s="90"/>
      <c r="K1715" s="90"/>
      <c r="L1715" s="90"/>
      <c r="M1715" s="1956"/>
      <c r="N1715" s="643"/>
      <c r="O1715" s="2083"/>
      <c r="P1715" s="643"/>
      <c r="Q1715" s="643"/>
      <c r="R1715" s="280"/>
      <c r="S1715" s="280"/>
      <c r="T1715" s="280"/>
      <c r="U1715" s="280"/>
      <c r="V1715" s="280"/>
      <c r="W1715" s="79"/>
    </row>
    <row r="1716" spans="1:23" ht="15.75">
      <c r="A1716" s="2080"/>
      <c r="B1716" s="705"/>
      <c r="C1716" s="90"/>
      <c r="D1716" s="2081"/>
      <c r="E1716" s="2082"/>
      <c r="F1716" s="1954"/>
      <c r="G1716" s="90"/>
      <c r="H1716" s="90"/>
      <c r="I1716" s="90"/>
      <c r="J1716" s="90"/>
      <c r="K1716" s="90"/>
      <c r="L1716" s="90"/>
      <c r="M1716" s="1956"/>
      <c r="N1716" s="643"/>
      <c r="O1716" s="2083"/>
      <c r="P1716" s="643"/>
      <c r="Q1716" s="643"/>
      <c r="R1716" s="280"/>
      <c r="S1716" s="280"/>
      <c r="T1716" s="280"/>
      <c r="U1716" s="280"/>
      <c r="V1716" s="280"/>
      <c r="W1716" s="79"/>
    </row>
    <row r="1717" spans="1:23" ht="15.75">
      <c r="A1717" s="2080"/>
      <c r="B1717" s="705"/>
      <c r="C1717" s="90"/>
      <c r="D1717" s="2081"/>
      <c r="E1717" s="2082"/>
      <c r="F1717" s="1954"/>
      <c r="G1717" s="90"/>
      <c r="H1717" s="90"/>
      <c r="I1717" s="90"/>
      <c r="J1717" s="90"/>
      <c r="K1717" s="90"/>
      <c r="L1717" s="90"/>
      <c r="M1717" s="1956"/>
      <c r="N1717" s="643"/>
      <c r="O1717" s="2083"/>
      <c r="P1717" s="643"/>
      <c r="Q1717" s="643"/>
      <c r="R1717" s="280"/>
      <c r="S1717" s="280"/>
      <c r="T1717" s="280"/>
      <c r="U1717" s="280"/>
      <c r="V1717" s="280"/>
      <c r="W1717" s="79"/>
    </row>
    <row r="1718" spans="1:23" ht="15.75">
      <c r="A1718" s="2080"/>
      <c r="B1718" s="705"/>
      <c r="C1718" s="90"/>
      <c r="D1718" s="2081"/>
      <c r="E1718" s="2082"/>
      <c r="F1718" s="1954"/>
      <c r="G1718" s="90"/>
      <c r="H1718" s="90"/>
      <c r="I1718" s="90"/>
      <c r="J1718" s="90"/>
      <c r="K1718" s="90"/>
      <c r="L1718" s="90"/>
      <c r="M1718" s="1956"/>
      <c r="N1718" s="643"/>
      <c r="O1718" s="2083"/>
      <c r="P1718" s="643"/>
      <c r="Q1718" s="643"/>
      <c r="R1718" s="280"/>
      <c r="S1718" s="280"/>
      <c r="T1718" s="280"/>
      <c r="U1718" s="280"/>
      <c r="V1718" s="280"/>
      <c r="W1718" s="79"/>
    </row>
    <row r="1719" spans="1:23" ht="15.75">
      <c r="A1719" s="2080"/>
      <c r="B1719" s="705"/>
      <c r="C1719" s="90"/>
      <c r="D1719" s="2081"/>
      <c r="E1719" s="2082"/>
      <c r="F1719" s="1954"/>
      <c r="G1719" s="90"/>
      <c r="H1719" s="90"/>
      <c r="I1719" s="90"/>
      <c r="J1719" s="90"/>
      <c r="K1719" s="90"/>
      <c r="L1719" s="90"/>
      <c r="M1719" s="1956"/>
      <c r="N1719" s="643"/>
      <c r="O1719" s="2083"/>
      <c r="P1719" s="643"/>
      <c r="Q1719" s="643"/>
      <c r="R1719" s="280"/>
      <c r="S1719" s="280"/>
      <c r="T1719" s="280"/>
      <c r="U1719" s="280"/>
      <c r="V1719" s="280"/>
      <c r="W1719" s="79"/>
    </row>
    <row r="1720" spans="1:23" ht="15.75">
      <c r="A1720" s="2080"/>
      <c r="B1720" s="705"/>
      <c r="C1720" s="90"/>
      <c r="D1720" s="2081"/>
      <c r="E1720" s="2082"/>
      <c r="F1720" s="1954"/>
      <c r="G1720" s="90"/>
      <c r="H1720" s="90"/>
      <c r="I1720" s="90"/>
      <c r="J1720" s="90"/>
      <c r="K1720" s="90"/>
      <c r="L1720" s="90"/>
      <c r="M1720" s="1956"/>
      <c r="N1720" s="643"/>
      <c r="O1720" s="2083"/>
      <c r="P1720" s="643"/>
      <c r="Q1720" s="643"/>
      <c r="R1720" s="280"/>
      <c r="S1720" s="280"/>
      <c r="T1720" s="280"/>
      <c r="U1720" s="280"/>
      <c r="V1720" s="280"/>
      <c r="W1720" s="79"/>
    </row>
    <row r="1721" spans="1:23" ht="15.75">
      <c r="A1721" s="2080"/>
      <c r="B1721" s="705"/>
      <c r="C1721" s="90"/>
      <c r="D1721" s="2081"/>
      <c r="E1721" s="2082"/>
      <c r="F1721" s="1954"/>
      <c r="G1721" s="90"/>
      <c r="H1721" s="90"/>
      <c r="I1721" s="90"/>
      <c r="J1721" s="90"/>
      <c r="K1721" s="90"/>
      <c r="L1721" s="90"/>
      <c r="M1721" s="1956"/>
      <c r="N1721" s="643"/>
      <c r="O1721" s="2083"/>
      <c r="P1721" s="643"/>
      <c r="Q1721" s="643"/>
      <c r="R1721" s="280"/>
      <c r="S1721" s="280"/>
      <c r="T1721" s="280"/>
      <c r="U1721" s="280"/>
      <c r="V1721" s="280"/>
      <c r="W1721" s="79"/>
    </row>
    <row r="1722" spans="1:23" ht="15.75">
      <c r="A1722" s="2080"/>
      <c r="B1722" s="705"/>
      <c r="C1722" s="90"/>
      <c r="D1722" s="2081"/>
      <c r="E1722" s="2082"/>
      <c r="F1722" s="1954"/>
      <c r="G1722" s="90"/>
      <c r="H1722" s="90"/>
      <c r="I1722" s="90"/>
      <c r="J1722" s="90"/>
      <c r="K1722" s="90"/>
      <c r="L1722" s="90"/>
      <c r="M1722" s="1956"/>
      <c r="N1722" s="643"/>
      <c r="O1722" s="2083"/>
      <c r="P1722" s="643"/>
      <c r="Q1722" s="643"/>
      <c r="R1722" s="280"/>
      <c r="S1722" s="280"/>
      <c r="T1722" s="280"/>
      <c r="U1722" s="280"/>
      <c r="V1722" s="280"/>
      <c r="W1722" s="79"/>
    </row>
    <row r="1723" spans="1:23" ht="15.75">
      <c r="A1723" s="2080"/>
      <c r="B1723" s="705"/>
      <c r="C1723" s="90"/>
      <c r="D1723" s="2081"/>
      <c r="E1723" s="2082"/>
      <c r="F1723" s="1954"/>
      <c r="G1723" s="90"/>
      <c r="H1723" s="90"/>
      <c r="I1723" s="90"/>
      <c r="J1723" s="90"/>
      <c r="K1723" s="90"/>
      <c r="L1723" s="90"/>
      <c r="M1723" s="1956"/>
      <c r="N1723" s="643"/>
      <c r="O1723" s="2083"/>
      <c r="P1723" s="643"/>
      <c r="Q1723" s="643"/>
      <c r="R1723" s="280"/>
      <c r="S1723" s="280"/>
      <c r="T1723" s="280"/>
      <c r="U1723" s="280"/>
      <c r="V1723" s="280"/>
      <c r="W1723" s="79"/>
    </row>
    <row r="1724" spans="1:23" ht="15.75">
      <c r="A1724" s="2080"/>
      <c r="B1724" s="705"/>
      <c r="C1724" s="90"/>
      <c r="D1724" s="2081"/>
      <c r="E1724" s="2082"/>
      <c r="F1724" s="1954"/>
      <c r="G1724" s="90"/>
      <c r="H1724" s="90"/>
      <c r="I1724" s="90"/>
      <c r="J1724" s="90"/>
      <c r="K1724" s="90"/>
      <c r="L1724" s="90"/>
      <c r="M1724" s="1956"/>
      <c r="N1724" s="643"/>
      <c r="O1724" s="2083"/>
      <c r="P1724" s="643"/>
      <c r="Q1724" s="643"/>
      <c r="R1724" s="280"/>
      <c r="S1724" s="280"/>
      <c r="T1724" s="280"/>
      <c r="U1724" s="280"/>
      <c r="V1724" s="280"/>
      <c r="W1724" s="79"/>
    </row>
    <row r="1725" spans="1:23" ht="15.75">
      <c r="A1725" s="2080"/>
      <c r="B1725" s="705"/>
      <c r="C1725" s="90"/>
      <c r="D1725" s="2081"/>
      <c r="E1725" s="2082"/>
      <c r="F1725" s="1954"/>
      <c r="G1725" s="90"/>
      <c r="H1725" s="90"/>
      <c r="I1725" s="90"/>
      <c r="J1725" s="90"/>
      <c r="K1725" s="90"/>
      <c r="L1725" s="90"/>
      <c r="M1725" s="1956"/>
      <c r="N1725" s="643"/>
      <c r="O1725" s="2083"/>
      <c r="P1725" s="643"/>
      <c r="Q1725" s="643"/>
      <c r="R1725" s="280"/>
      <c r="S1725" s="280"/>
      <c r="T1725" s="280"/>
      <c r="U1725" s="280"/>
      <c r="V1725" s="280"/>
      <c r="W1725" s="79"/>
    </row>
    <row r="1726" spans="1:23" ht="15.75">
      <c r="A1726" s="2080"/>
      <c r="B1726" s="705"/>
      <c r="C1726" s="90"/>
      <c r="D1726" s="2081"/>
      <c r="E1726" s="2082"/>
      <c r="F1726" s="1954"/>
      <c r="G1726" s="90"/>
      <c r="H1726" s="90"/>
      <c r="I1726" s="90"/>
      <c r="J1726" s="90"/>
      <c r="K1726" s="90"/>
      <c r="L1726" s="90"/>
      <c r="M1726" s="1956"/>
      <c r="N1726" s="643"/>
      <c r="O1726" s="2083"/>
      <c r="P1726" s="643"/>
      <c r="Q1726" s="643"/>
      <c r="R1726" s="280"/>
      <c r="S1726" s="280"/>
      <c r="T1726" s="280"/>
      <c r="U1726" s="280"/>
      <c r="V1726" s="280"/>
      <c r="W1726" s="79"/>
    </row>
    <row r="1727" spans="1:23" ht="15.75">
      <c r="A1727" s="2080"/>
      <c r="B1727" s="705"/>
      <c r="C1727" s="90"/>
      <c r="D1727" s="2081"/>
      <c r="E1727" s="2082"/>
      <c r="F1727" s="1954"/>
      <c r="G1727" s="90"/>
      <c r="H1727" s="90"/>
      <c r="I1727" s="90"/>
      <c r="J1727" s="90"/>
      <c r="K1727" s="90"/>
      <c r="L1727" s="90"/>
      <c r="M1727" s="1956"/>
      <c r="N1727" s="643"/>
      <c r="O1727" s="2083"/>
      <c r="P1727" s="643"/>
      <c r="Q1727" s="643"/>
      <c r="R1727" s="280"/>
      <c r="S1727" s="280"/>
      <c r="T1727" s="280"/>
      <c r="U1727" s="280"/>
      <c r="V1727" s="280"/>
      <c r="W1727" s="79"/>
    </row>
    <row r="1728" spans="1:23" ht="15.75">
      <c r="A1728" s="2080"/>
      <c r="B1728" s="705"/>
      <c r="C1728" s="90"/>
      <c r="D1728" s="2081"/>
      <c r="E1728" s="2082"/>
      <c r="F1728" s="1954"/>
      <c r="G1728" s="90"/>
      <c r="H1728" s="90"/>
      <c r="I1728" s="90"/>
      <c r="J1728" s="90"/>
      <c r="K1728" s="90"/>
      <c r="L1728" s="90"/>
      <c r="M1728" s="1956"/>
      <c r="N1728" s="643"/>
      <c r="O1728" s="2083"/>
      <c r="P1728" s="643"/>
      <c r="Q1728" s="643"/>
      <c r="R1728" s="280"/>
      <c r="S1728" s="280"/>
      <c r="T1728" s="280"/>
      <c r="U1728" s="280"/>
      <c r="V1728" s="280"/>
      <c r="W1728" s="79"/>
    </row>
    <row r="1729" spans="1:23" ht="15.75">
      <c r="A1729" s="2080"/>
      <c r="B1729" s="705"/>
      <c r="C1729" s="90"/>
      <c r="D1729" s="2081"/>
      <c r="E1729" s="2082"/>
      <c r="F1729" s="1954"/>
      <c r="G1729" s="90"/>
      <c r="H1729" s="90"/>
      <c r="I1729" s="90"/>
      <c r="J1729" s="90"/>
      <c r="K1729" s="90"/>
      <c r="L1729" s="90"/>
      <c r="M1729" s="1956"/>
      <c r="N1729" s="643"/>
      <c r="O1729" s="2083"/>
      <c r="P1729" s="643"/>
      <c r="Q1729" s="643"/>
      <c r="R1729" s="280"/>
      <c r="S1729" s="280"/>
      <c r="T1729" s="280"/>
      <c r="U1729" s="280"/>
      <c r="V1729" s="280"/>
      <c r="W1729" s="79"/>
    </row>
    <row r="1730" spans="1:23" ht="15.75">
      <c r="A1730" s="2080"/>
      <c r="B1730" s="705"/>
      <c r="C1730" s="90"/>
      <c r="D1730" s="2081"/>
      <c r="E1730" s="2082"/>
      <c r="F1730" s="1954"/>
      <c r="G1730" s="90"/>
      <c r="H1730" s="90"/>
      <c r="I1730" s="90"/>
      <c r="J1730" s="90"/>
      <c r="K1730" s="90"/>
      <c r="L1730" s="90"/>
      <c r="M1730" s="1956"/>
      <c r="N1730" s="643"/>
      <c r="O1730" s="2083"/>
      <c r="P1730" s="643"/>
      <c r="Q1730" s="643"/>
      <c r="R1730" s="280"/>
      <c r="S1730" s="280"/>
      <c r="T1730" s="280"/>
      <c r="U1730" s="280"/>
      <c r="V1730" s="280"/>
      <c r="W1730" s="79"/>
    </row>
    <row r="1731" spans="1:23" ht="15.75">
      <c r="A1731" s="2080"/>
      <c r="B1731" s="705"/>
      <c r="C1731" s="90"/>
      <c r="D1731" s="2081"/>
      <c r="E1731" s="2082"/>
      <c r="F1731" s="1954"/>
      <c r="G1731" s="90"/>
      <c r="H1731" s="90"/>
      <c r="I1731" s="90"/>
      <c r="J1731" s="90"/>
      <c r="K1731" s="90"/>
      <c r="L1731" s="90"/>
      <c r="M1731" s="1956"/>
      <c r="N1731" s="643"/>
      <c r="O1731" s="2083"/>
      <c r="P1731" s="643"/>
      <c r="Q1731" s="643"/>
      <c r="R1731" s="280"/>
      <c r="S1731" s="280"/>
      <c r="T1731" s="280"/>
      <c r="U1731" s="280"/>
      <c r="V1731" s="280"/>
      <c r="W1731" s="79"/>
    </row>
    <row r="1732" spans="1:23" ht="15.75">
      <c r="A1732" s="2080"/>
      <c r="B1732" s="705"/>
      <c r="C1732" s="90"/>
      <c r="D1732" s="2081"/>
      <c r="E1732" s="2082"/>
      <c r="F1732" s="1954"/>
      <c r="G1732" s="90"/>
      <c r="H1732" s="90"/>
      <c r="I1732" s="90"/>
      <c r="J1732" s="90"/>
      <c r="K1732" s="90"/>
      <c r="L1732" s="90"/>
      <c r="M1732" s="1956"/>
      <c r="N1732" s="643"/>
      <c r="O1732" s="2083"/>
      <c r="P1732" s="643"/>
      <c r="Q1732" s="643"/>
      <c r="R1732" s="280"/>
      <c r="S1732" s="280"/>
      <c r="T1732" s="280"/>
      <c r="U1732" s="280"/>
      <c r="V1732" s="280"/>
      <c r="W1732" s="79"/>
    </row>
    <row r="1733" spans="1:23" ht="15.75">
      <c r="A1733" s="2080"/>
      <c r="B1733" s="705"/>
      <c r="C1733" s="90"/>
      <c r="D1733" s="2081"/>
      <c r="E1733" s="2082"/>
      <c r="F1733" s="1954"/>
      <c r="G1733" s="90"/>
      <c r="H1733" s="90"/>
      <c r="I1733" s="90"/>
      <c r="J1733" s="90"/>
      <c r="K1733" s="90"/>
      <c r="L1733" s="90"/>
      <c r="M1733" s="1956"/>
      <c r="N1733" s="643"/>
      <c r="O1733" s="2083"/>
      <c r="P1733" s="643"/>
      <c r="Q1733" s="643"/>
      <c r="R1733" s="280"/>
      <c r="S1733" s="280"/>
      <c r="T1733" s="280"/>
      <c r="U1733" s="280"/>
      <c r="V1733" s="280"/>
      <c r="W1733" s="79"/>
    </row>
    <row r="1734" spans="1:23" ht="15.75">
      <c r="A1734" s="2080"/>
      <c r="B1734" s="705"/>
      <c r="C1734" s="90"/>
      <c r="D1734" s="2081"/>
      <c r="E1734" s="2082"/>
      <c r="F1734" s="1954"/>
      <c r="G1734" s="90"/>
      <c r="H1734" s="90"/>
      <c r="I1734" s="90"/>
      <c r="J1734" s="90"/>
      <c r="K1734" s="90"/>
      <c r="L1734" s="90"/>
      <c r="M1734" s="1956"/>
      <c r="N1734" s="643"/>
      <c r="O1734" s="2083"/>
      <c r="P1734" s="643"/>
      <c r="Q1734" s="643"/>
      <c r="R1734" s="280"/>
      <c r="S1734" s="280"/>
      <c r="T1734" s="280"/>
      <c r="U1734" s="280"/>
      <c r="V1734" s="280"/>
      <c r="W1734" s="79"/>
    </row>
    <row r="1735" spans="1:23" ht="15.75">
      <c r="A1735" s="2080"/>
      <c r="B1735" s="705"/>
      <c r="C1735" s="90"/>
      <c r="D1735" s="2081"/>
      <c r="E1735" s="2082"/>
      <c r="F1735" s="1954"/>
      <c r="G1735" s="90"/>
      <c r="H1735" s="90"/>
      <c r="I1735" s="90"/>
      <c r="J1735" s="90"/>
      <c r="K1735" s="90"/>
      <c r="L1735" s="90"/>
      <c r="M1735" s="1956"/>
      <c r="N1735" s="643"/>
      <c r="O1735" s="2083"/>
      <c r="P1735" s="643"/>
      <c r="Q1735" s="643"/>
      <c r="R1735" s="280"/>
      <c r="S1735" s="280"/>
      <c r="T1735" s="280"/>
      <c r="U1735" s="280"/>
      <c r="V1735" s="280"/>
      <c r="W1735" s="79"/>
    </row>
    <row r="1736" spans="1:23" ht="15.75">
      <c r="A1736" s="2080"/>
      <c r="B1736" s="705"/>
      <c r="C1736" s="90"/>
      <c r="D1736" s="2081"/>
      <c r="E1736" s="2082"/>
      <c r="F1736" s="1954"/>
      <c r="G1736" s="90"/>
      <c r="H1736" s="90"/>
      <c r="I1736" s="90"/>
      <c r="J1736" s="90"/>
      <c r="K1736" s="90"/>
      <c r="L1736" s="90"/>
      <c r="M1736" s="1956"/>
      <c r="N1736" s="643"/>
      <c r="O1736" s="2083"/>
      <c r="P1736" s="643"/>
      <c r="Q1736" s="643"/>
      <c r="R1736" s="280"/>
      <c r="S1736" s="280"/>
      <c r="T1736" s="280"/>
      <c r="U1736" s="280"/>
      <c r="V1736" s="280"/>
      <c r="W1736" s="79"/>
    </row>
    <row r="1737" spans="1:23" ht="15.75">
      <c r="A1737" s="2080"/>
      <c r="B1737" s="705"/>
      <c r="C1737" s="90"/>
      <c r="D1737" s="2081"/>
      <c r="E1737" s="2082"/>
      <c r="F1737" s="1954"/>
      <c r="G1737" s="90"/>
      <c r="H1737" s="90"/>
      <c r="I1737" s="90"/>
      <c r="J1737" s="90"/>
      <c r="K1737" s="90"/>
      <c r="L1737" s="90"/>
      <c r="M1737" s="1956"/>
      <c r="N1737" s="643"/>
      <c r="O1737" s="2083"/>
      <c r="P1737" s="643"/>
      <c r="Q1737" s="643"/>
      <c r="R1737" s="280"/>
      <c r="S1737" s="280"/>
      <c r="T1737" s="280"/>
      <c r="U1737" s="280"/>
      <c r="V1737" s="280"/>
      <c r="W1737" s="79"/>
    </row>
    <row r="1738" spans="1:23" ht="15.75">
      <c r="A1738" s="2080"/>
      <c r="B1738" s="705"/>
      <c r="C1738" s="90"/>
      <c r="D1738" s="2081"/>
      <c r="E1738" s="2082"/>
      <c r="F1738" s="1954"/>
      <c r="G1738" s="90"/>
      <c r="H1738" s="90"/>
      <c r="I1738" s="90"/>
      <c r="J1738" s="90"/>
      <c r="K1738" s="90"/>
      <c r="L1738" s="90"/>
      <c r="M1738" s="1956"/>
      <c r="N1738" s="643"/>
      <c r="O1738" s="2083"/>
      <c r="P1738" s="643"/>
      <c r="Q1738" s="643"/>
      <c r="R1738" s="280"/>
      <c r="S1738" s="280"/>
      <c r="T1738" s="280"/>
      <c r="U1738" s="280"/>
      <c r="V1738" s="280"/>
      <c r="W1738" s="79"/>
    </row>
    <row r="1739" spans="1:23" ht="15.75">
      <c r="A1739" s="2080"/>
      <c r="B1739" s="705"/>
      <c r="C1739" s="90"/>
      <c r="D1739" s="2081"/>
      <c r="E1739" s="2082"/>
      <c r="F1739" s="1954"/>
      <c r="G1739" s="90"/>
      <c r="H1739" s="90"/>
      <c r="I1739" s="90"/>
      <c r="J1739" s="90"/>
      <c r="K1739" s="90"/>
      <c r="L1739" s="90"/>
      <c r="M1739" s="1956"/>
      <c r="N1739" s="643"/>
      <c r="O1739" s="2083"/>
      <c r="P1739" s="643"/>
      <c r="Q1739" s="643"/>
      <c r="R1739" s="280"/>
      <c r="S1739" s="280"/>
      <c r="T1739" s="280"/>
      <c r="U1739" s="280"/>
      <c r="V1739" s="280"/>
      <c r="W1739" s="79"/>
    </row>
    <row r="1740" spans="1:23" ht="15.75">
      <c r="A1740" s="2080"/>
      <c r="B1740" s="705"/>
      <c r="C1740" s="90"/>
      <c r="D1740" s="2081"/>
      <c r="E1740" s="2082"/>
      <c r="F1740" s="1954"/>
      <c r="G1740" s="90"/>
      <c r="H1740" s="90"/>
      <c r="I1740" s="90"/>
      <c r="J1740" s="90"/>
      <c r="K1740" s="90"/>
      <c r="L1740" s="90"/>
      <c r="M1740" s="1956"/>
      <c r="N1740" s="643"/>
      <c r="O1740" s="2083"/>
      <c r="P1740" s="643"/>
      <c r="Q1740" s="643"/>
      <c r="R1740" s="280"/>
      <c r="S1740" s="280"/>
      <c r="T1740" s="280"/>
      <c r="U1740" s="280"/>
      <c r="V1740" s="280"/>
      <c r="W1740" s="79"/>
    </row>
    <row r="1741" spans="1:23" ht="15.75">
      <c r="A1741" s="2080"/>
      <c r="B1741" s="705"/>
      <c r="C1741" s="90"/>
      <c r="D1741" s="2081"/>
      <c r="E1741" s="2082"/>
      <c r="F1741" s="1954"/>
      <c r="G1741" s="90"/>
      <c r="H1741" s="90"/>
      <c r="I1741" s="90"/>
      <c r="J1741" s="90"/>
      <c r="K1741" s="90"/>
      <c r="L1741" s="90"/>
      <c r="M1741" s="1956"/>
      <c r="N1741" s="643"/>
      <c r="O1741" s="2083"/>
      <c r="P1741" s="643"/>
      <c r="Q1741" s="643"/>
      <c r="R1741" s="280"/>
      <c r="S1741" s="280"/>
      <c r="T1741" s="280"/>
      <c r="U1741" s="280"/>
      <c r="V1741" s="280"/>
      <c r="W1741" s="79"/>
    </row>
    <row r="1742" spans="1:23" ht="15.75">
      <c r="A1742" s="2080"/>
      <c r="B1742" s="705"/>
      <c r="C1742" s="90"/>
      <c r="D1742" s="2081"/>
      <c r="E1742" s="2082"/>
      <c r="F1742" s="1954"/>
      <c r="G1742" s="90"/>
      <c r="H1742" s="90"/>
      <c r="I1742" s="90"/>
      <c r="J1742" s="90"/>
      <c r="K1742" s="90"/>
      <c r="L1742" s="90"/>
      <c r="M1742" s="1956"/>
      <c r="N1742" s="643"/>
      <c r="O1742" s="2083"/>
      <c r="P1742" s="643"/>
      <c r="Q1742" s="643"/>
      <c r="R1742" s="280"/>
      <c r="S1742" s="280"/>
      <c r="T1742" s="280"/>
      <c r="U1742" s="280"/>
      <c r="V1742" s="280"/>
      <c r="W1742" s="79"/>
    </row>
    <row r="1743" spans="1:23" ht="15.75">
      <c r="A1743" s="2080"/>
      <c r="B1743" s="705"/>
      <c r="C1743" s="90"/>
      <c r="D1743" s="2081"/>
      <c r="E1743" s="2082"/>
      <c r="F1743" s="1954"/>
      <c r="G1743" s="90"/>
      <c r="H1743" s="90"/>
      <c r="I1743" s="90"/>
      <c r="J1743" s="90"/>
      <c r="K1743" s="90"/>
      <c r="L1743" s="90"/>
      <c r="M1743" s="1956"/>
      <c r="N1743" s="643"/>
      <c r="O1743" s="2083"/>
      <c r="P1743" s="643"/>
      <c r="Q1743" s="643"/>
      <c r="R1743" s="280"/>
      <c r="S1743" s="280"/>
      <c r="T1743" s="280"/>
      <c r="U1743" s="280"/>
      <c r="V1743" s="280"/>
      <c r="W1743" s="79"/>
    </row>
    <row r="1744" spans="1:23" ht="15.75">
      <c r="A1744" s="2080"/>
      <c r="B1744" s="705"/>
      <c r="C1744" s="90"/>
      <c r="D1744" s="2081"/>
      <c r="E1744" s="2082"/>
      <c r="F1744" s="1954"/>
      <c r="G1744" s="90"/>
      <c r="H1744" s="90"/>
      <c r="I1744" s="90"/>
      <c r="J1744" s="90"/>
      <c r="K1744" s="90"/>
      <c r="L1744" s="90"/>
      <c r="M1744" s="1956"/>
      <c r="N1744" s="643"/>
      <c r="O1744" s="2083"/>
      <c r="P1744" s="643"/>
      <c r="Q1744" s="643"/>
      <c r="R1744" s="280"/>
      <c r="S1744" s="280"/>
      <c r="T1744" s="280"/>
      <c r="U1744" s="280"/>
      <c r="V1744" s="280"/>
      <c r="W1744" s="79"/>
    </row>
    <row r="1745" spans="1:23" ht="15.75">
      <c r="A1745" s="2080"/>
      <c r="B1745" s="705"/>
      <c r="C1745" s="90"/>
      <c r="D1745" s="2081"/>
      <c r="E1745" s="2082"/>
      <c r="F1745" s="1954"/>
      <c r="G1745" s="90"/>
      <c r="H1745" s="90"/>
      <c r="I1745" s="90"/>
      <c r="J1745" s="90"/>
      <c r="K1745" s="90"/>
      <c r="L1745" s="90"/>
      <c r="M1745" s="1956"/>
      <c r="N1745" s="643"/>
      <c r="O1745" s="2083"/>
      <c r="P1745" s="643"/>
      <c r="Q1745" s="643"/>
      <c r="R1745" s="280"/>
      <c r="S1745" s="280"/>
      <c r="T1745" s="280"/>
      <c r="U1745" s="280"/>
      <c r="V1745" s="280"/>
      <c r="W1745" s="79"/>
    </row>
    <row r="1746" spans="1:23" ht="15.75">
      <c r="A1746" s="2080"/>
      <c r="B1746" s="705"/>
      <c r="C1746" s="90"/>
      <c r="D1746" s="2081"/>
      <c r="E1746" s="2082"/>
      <c r="F1746" s="1954"/>
      <c r="G1746" s="90"/>
      <c r="H1746" s="90"/>
      <c r="I1746" s="90"/>
      <c r="J1746" s="90"/>
      <c r="K1746" s="90"/>
      <c r="L1746" s="90"/>
      <c r="M1746" s="1956"/>
      <c r="N1746" s="643"/>
      <c r="O1746" s="2083"/>
      <c r="P1746" s="643"/>
      <c r="Q1746" s="643"/>
      <c r="R1746" s="280"/>
      <c r="S1746" s="280"/>
      <c r="T1746" s="280"/>
      <c r="U1746" s="280"/>
      <c r="V1746" s="280"/>
      <c r="W1746" s="79"/>
    </row>
    <row r="1747" spans="1:23" ht="15.75">
      <c r="A1747" s="2080"/>
      <c r="B1747" s="705"/>
      <c r="C1747" s="90"/>
      <c r="D1747" s="2081"/>
      <c r="E1747" s="2082"/>
      <c r="F1747" s="1954"/>
      <c r="G1747" s="90"/>
      <c r="H1747" s="90"/>
      <c r="I1747" s="90"/>
      <c r="J1747" s="90"/>
      <c r="K1747" s="90"/>
      <c r="L1747" s="90"/>
      <c r="M1747" s="1956"/>
      <c r="N1747" s="643"/>
      <c r="O1747" s="2083"/>
      <c r="P1747" s="643"/>
      <c r="Q1747" s="643"/>
      <c r="R1747" s="280"/>
      <c r="S1747" s="280"/>
      <c r="T1747" s="280"/>
      <c r="U1747" s="280"/>
      <c r="V1747" s="280"/>
      <c r="W1747" s="79"/>
    </row>
    <row r="1748" spans="1:23" ht="15.75">
      <c r="A1748" s="2080"/>
      <c r="B1748" s="705"/>
      <c r="C1748" s="90"/>
      <c r="D1748" s="2081"/>
      <c r="E1748" s="2082"/>
      <c r="F1748" s="1954"/>
      <c r="G1748" s="90"/>
      <c r="H1748" s="90"/>
      <c r="I1748" s="90"/>
      <c r="J1748" s="90"/>
      <c r="K1748" s="90"/>
      <c r="L1748" s="90"/>
      <c r="M1748" s="1956"/>
      <c r="N1748" s="643"/>
      <c r="O1748" s="2083"/>
      <c r="P1748" s="643"/>
      <c r="Q1748" s="643"/>
      <c r="R1748" s="280"/>
      <c r="S1748" s="280"/>
      <c r="T1748" s="280"/>
      <c r="U1748" s="280"/>
      <c r="V1748" s="280"/>
      <c r="W1748" s="79"/>
    </row>
    <row r="1749" spans="1:23" ht="15.75">
      <c r="A1749" s="2080"/>
      <c r="B1749" s="705"/>
      <c r="C1749" s="90"/>
      <c r="D1749" s="2081"/>
      <c r="E1749" s="2082"/>
      <c r="F1749" s="1954"/>
      <c r="G1749" s="90"/>
      <c r="H1749" s="90"/>
      <c r="I1749" s="90"/>
      <c r="J1749" s="90"/>
      <c r="K1749" s="90"/>
      <c r="L1749" s="90"/>
      <c r="M1749" s="1956"/>
      <c r="N1749" s="643"/>
      <c r="O1749" s="2083"/>
      <c r="P1749" s="643"/>
      <c r="Q1749" s="643"/>
      <c r="R1749" s="280"/>
      <c r="S1749" s="280"/>
      <c r="T1749" s="280"/>
      <c r="U1749" s="280"/>
      <c r="V1749" s="280"/>
      <c r="W1749" s="79"/>
    </row>
    <row r="1750" spans="1:23" ht="15.75">
      <c r="A1750" s="2080"/>
      <c r="B1750" s="705"/>
      <c r="C1750" s="90"/>
      <c r="D1750" s="2081"/>
      <c r="E1750" s="2082"/>
      <c r="F1750" s="1954"/>
      <c r="G1750" s="90"/>
      <c r="H1750" s="90"/>
      <c r="I1750" s="90"/>
      <c r="J1750" s="90"/>
      <c r="K1750" s="90"/>
      <c r="L1750" s="90"/>
      <c r="M1750" s="1956"/>
      <c r="N1750" s="643"/>
      <c r="O1750" s="2083"/>
      <c r="P1750" s="643"/>
      <c r="Q1750" s="643"/>
      <c r="R1750" s="280"/>
      <c r="S1750" s="280"/>
      <c r="T1750" s="280"/>
      <c r="U1750" s="280"/>
      <c r="V1750" s="280"/>
      <c r="W1750" s="79"/>
    </row>
    <row r="1751" spans="1:23" ht="15.75">
      <c r="A1751" s="2080"/>
      <c r="B1751" s="705"/>
      <c r="C1751" s="90"/>
      <c r="D1751" s="2081"/>
      <c r="E1751" s="2082"/>
      <c r="F1751" s="1954"/>
      <c r="G1751" s="90"/>
      <c r="H1751" s="90"/>
      <c r="I1751" s="90"/>
      <c r="J1751" s="90"/>
      <c r="K1751" s="90"/>
      <c r="L1751" s="90"/>
      <c r="M1751" s="1956"/>
      <c r="N1751" s="643"/>
      <c r="O1751" s="2083"/>
      <c r="P1751" s="643"/>
      <c r="Q1751" s="643"/>
      <c r="R1751" s="280"/>
      <c r="S1751" s="280"/>
      <c r="T1751" s="280"/>
      <c r="U1751" s="280"/>
      <c r="V1751" s="280"/>
      <c r="W1751" s="79"/>
    </row>
    <row r="1752" spans="1:23" ht="15.75">
      <c r="A1752" s="2080"/>
      <c r="B1752" s="705"/>
      <c r="C1752" s="90"/>
      <c r="D1752" s="2081"/>
      <c r="E1752" s="2082"/>
      <c r="F1752" s="1954"/>
      <c r="G1752" s="90"/>
      <c r="H1752" s="90"/>
      <c r="I1752" s="90"/>
      <c r="J1752" s="90"/>
      <c r="K1752" s="90"/>
      <c r="L1752" s="90"/>
      <c r="M1752" s="1956"/>
      <c r="N1752" s="643"/>
      <c r="O1752" s="2083"/>
      <c r="P1752" s="643"/>
      <c r="Q1752" s="643"/>
      <c r="R1752" s="280"/>
      <c r="S1752" s="280"/>
      <c r="T1752" s="280"/>
      <c r="U1752" s="280"/>
      <c r="V1752" s="280"/>
      <c r="W1752" s="79"/>
    </row>
    <row r="1753" spans="1:23" ht="15.75">
      <c r="A1753" s="2080"/>
      <c r="B1753" s="705"/>
      <c r="C1753" s="90"/>
      <c r="D1753" s="2081"/>
      <c r="E1753" s="2082"/>
      <c r="F1753" s="1954"/>
      <c r="G1753" s="90"/>
      <c r="H1753" s="90"/>
      <c r="I1753" s="90"/>
      <c r="J1753" s="90"/>
      <c r="K1753" s="90"/>
      <c r="L1753" s="90"/>
      <c r="M1753" s="1956"/>
      <c r="N1753" s="643"/>
      <c r="O1753" s="2083"/>
      <c r="P1753" s="643"/>
      <c r="Q1753" s="643"/>
      <c r="R1753" s="280"/>
      <c r="S1753" s="280"/>
      <c r="T1753" s="280"/>
      <c r="U1753" s="280"/>
      <c r="V1753" s="280"/>
      <c r="W1753" s="79"/>
    </row>
    <row r="1754" spans="1:23" ht="15.75">
      <c r="A1754" s="2080"/>
      <c r="B1754" s="705"/>
      <c r="C1754" s="90"/>
      <c r="D1754" s="2081"/>
      <c r="E1754" s="2082"/>
      <c r="F1754" s="1954"/>
      <c r="G1754" s="90"/>
      <c r="H1754" s="90"/>
      <c r="I1754" s="90"/>
      <c r="J1754" s="90"/>
      <c r="K1754" s="90"/>
      <c r="L1754" s="90"/>
      <c r="M1754" s="1956"/>
      <c r="N1754" s="643"/>
      <c r="O1754" s="2083"/>
      <c r="P1754" s="643"/>
      <c r="Q1754" s="643"/>
      <c r="R1754" s="280"/>
      <c r="S1754" s="280"/>
      <c r="T1754" s="280"/>
      <c r="U1754" s="280"/>
      <c r="V1754" s="280"/>
      <c r="W1754" s="79"/>
    </row>
    <row r="1755" spans="1:23" ht="15.75">
      <c r="A1755" s="2080"/>
      <c r="B1755" s="705"/>
      <c r="C1755" s="90"/>
      <c r="D1755" s="2081"/>
      <c r="E1755" s="2082"/>
      <c r="F1755" s="1954"/>
      <c r="G1755" s="90"/>
      <c r="H1755" s="90"/>
      <c r="I1755" s="90"/>
      <c r="J1755" s="90"/>
      <c r="K1755" s="90"/>
      <c r="L1755" s="90"/>
      <c r="M1755" s="1956"/>
      <c r="N1755" s="643"/>
      <c r="O1755" s="2083"/>
      <c r="P1755" s="643"/>
      <c r="Q1755" s="643"/>
      <c r="R1755" s="280"/>
      <c r="S1755" s="280"/>
      <c r="T1755" s="280"/>
      <c r="U1755" s="280"/>
      <c r="V1755" s="280"/>
      <c r="W1755" s="79"/>
    </row>
    <row r="1756" spans="1:23" ht="15.75">
      <c r="A1756" s="2080"/>
      <c r="B1756" s="705"/>
      <c r="C1756" s="90"/>
      <c r="D1756" s="2081"/>
      <c r="E1756" s="2082"/>
      <c r="F1756" s="1954"/>
      <c r="G1756" s="90"/>
      <c r="H1756" s="90"/>
      <c r="I1756" s="90"/>
      <c r="J1756" s="90"/>
      <c r="K1756" s="90"/>
      <c r="L1756" s="90"/>
      <c r="M1756" s="1956"/>
      <c r="N1756" s="643"/>
      <c r="O1756" s="2083"/>
      <c r="P1756" s="643"/>
      <c r="Q1756" s="643"/>
      <c r="R1756" s="280"/>
      <c r="S1756" s="280"/>
      <c r="T1756" s="280"/>
      <c r="U1756" s="280"/>
      <c r="V1756" s="280"/>
      <c r="W1756" s="79"/>
    </row>
    <row r="1757" spans="1:23" ht="15.75">
      <c r="A1757" s="2080"/>
      <c r="B1757" s="705"/>
      <c r="C1757" s="90"/>
      <c r="D1757" s="2081"/>
      <c r="E1757" s="2082"/>
      <c r="F1757" s="1954"/>
      <c r="G1757" s="90"/>
      <c r="H1757" s="90"/>
      <c r="I1757" s="90"/>
      <c r="J1757" s="90"/>
      <c r="K1757" s="90"/>
      <c r="L1757" s="90"/>
      <c r="M1757" s="1956"/>
      <c r="N1757" s="643"/>
      <c r="O1757" s="2083"/>
      <c r="P1757" s="643"/>
      <c r="Q1757" s="643"/>
      <c r="R1757" s="280"/>
      <c r="S1757" s="280"/>
      <c r="T1757" s="280"/>
      <c r="U1757" s="280"/>
      <c r="V1757" s="280"/>
      <c r="W1757" s="79"/>
    </row>
    <row r="1758" spans="1:23" ht="15.75">
      <c r="A1758" s="2080"/>
      <c r="B1758" s="705"/>
      <c r="C1758" s="90"/>
      <c r="D1758" s="2081"/>
      <c r="E1758" s="2082"/>
      <c r="F1758" s="1954"/>
      <c r="G1758" s="90"/>
      <c r="H1758" s="90"/>
      <c r="I1758" s="90"/>
      <c r="J1758" s="90"/>
      <c r="K1758" s="90"/>
      <c r="L1758" s="90"/>
      <c r="M1758" s="1956"/>
      <c r="N1758" s="643"/>
      <c r="O1758" s="2083"/>
      <c r="P1758" s="643"/>
      <c r="Q1758" s="643"/>
      <c r="R1758" s="280"/>
      <c r="S1758" s="280"/>
      <c r="T1758" s="280"/>
      <c r="U1758" s="280"/>
      <c r="V1758" s="280"/>
      <c r="W1758" s="79"/>
    </row>
    <row r="1759" spans="1:23" ht="15.75">
      <c r="A1759" s="2080"/>
      <c r="B1759" s="705"/>
      <c r="C1759" s="90"/>
      <c r="D1759" s="2081"/>
      <c r="E1759" s="2082"/>
      <c r="F1759" s="1954"/>
      <c r="G1759" s="90"/>
      <c r="H1759" s="90"/>
      <c r="I1759" s="90"/>
      <c r="J1759" s="90"/>
      <c r="K1759" s="90"/>
      <c r="L1759" s="90"/>
      <c r="M1759" s="1956"/>
      <c r="N1759" s="643"/>
      <c r="O1759" s="2083"/>
      <c r="P1759" s="643"/>
      <c r="Q1759" s="643"/>
      <c r="R1759" s="280"/>
      <c r="S1759" s="280"/>
      <c r="T1759" s="280"/>
      <c r="U1759" s="280"/>
      <c r="V1759" s="280"/>
      <c r="W1759" s="79"/>
    </row>
    <row r="1760" spans="1:23" ht="15.75">
      <c r="A1760" s="2080"/>
      <c r="B1760" s="705"/>
      <c r="C1760" s="90"/>
      <c r="D1760" s="2081"/>
      <c r="E1760" s="2082"/>
      <c r="F1760" s="1954"/>
      <c r="G1760" s="90"/>
      <c r="H1760" s="90"/>
      <c r="I1760" s="90"/>
      <c r="J1760" s="90"/>
      <c r="K1760" s="90"/>
      <c r="L1760" s="90"/>
      <c r="M1760" s="1956"/>
      <c r="N1760" s="643"/>
      <c r="O1760" s="2083"/>
      <c r="P1760" s="643"/>
      <c r="Q1760" s="643"/>
      <c r="R1760" s="280"/>
      <c r="S1760" s="280"/>
      <c r="T1760" s="280"/>
      <c r="U1760" s="280"/>
      <c r="V1760" s="280"/>
      <c r="W1760" s="79"/>
    </row>
    <row r="1761" spans="1:23" ht="15.75">
      <c r="A1761" s="2080"/>
      <c r="B1761" s="705"/>
      <c r="C1761" s="90"/>
      <c r="D1761" s="2081"/>
      <c r="E1761" s="2082"/>
      <c r="F1761" s="1954"/>
      <c r="G1761" s="90"/>
      <c r="H1761" s="90"/>
      <c r="I1761" s="90"/>
      <c r="J1761" s="90"/>
      <c r="K1761" s="90"/>
      <c r="L1761" s="90"/>
      <c r="M1761" s="1956"/>
      <c r="N1761" s="643"/>
      <c r="O1761" s="2083"/>
      <c r="P1761" s="643"/>
      <c r="Q1761" s="643"/>
      <c r="R1761" s="280"/>
      <c r="S1761" s="280"/>
      <c r="T1761" s="280"/>
      <c r="U1761" s="280"/>
      <c r="V1761" s="280"/>
      <c r="W1761" s="79"/>
    </row>
    <row r="1762" spans="1:23" ht="15.75">
      <c r="A1762" s="2080"/>
      <c r="B1762" s="705"/>
      <c r="C1762" s="90"/>
      <c r="D1762" s="2081"/>
      <c r="E1762" s="2082"/>
      <c r="F1762" s="1954"/>
      <c r="G1762" s="90"/>
      <c r="H1762" s="90"/>
      <c r="I1762" s="90"/>
      <c r="J1762" s="90"/>
      <c r="K1762" s="90"/>
      <c r="L1762" s="90"/>
      <c r="M1762" s="1956"/>
      <c r="N1762" s="643"/>
      <c r="O1762" s="2083"/>
      <c r="P1762" s="643"/>
      <c r="Q1762" s="643"/>
      <c r="R1762" s="280"/>
      <c r="S1762" s="280"/>
      <c r="T1762" s="280"/>
      <c r="U1762" s="280"/>
      <c r="V1762" s="280"/>
      <c r="W1762" s="79"/>
    </row>
    <row r="1763" spans="1:23" ht="15.75">
      <c r="A1763" s="2080"/>
      <c r="B1763" s="705"/>
      <c r="C1763" s="90"/>
      <c r="D1763" s="2081"/>
      <c r="E1763" s="2082"/>
      <c r="F1763" s="1954"/>
      <c r="G1763" s="90"/>
      <c r="H1763" s="90"/>
      <c r="I1763" s="90"/>
      <c r="J1763" s="90"/>
      <c r="K1763" s="90"/>
      <c r="L1763" s="90"/>
      <c r="M1763" s="1956"/>
      <c r="N1763" s="643"/>
      <c r="O1763" s="2083"/>
      <c r="P1763" s="643"/>
      <c r="Q1763" s="643"/>
      <c r="R1763" s="280"/>
      <c r="S1763" s="280"/>
      <c r="T1763" s="280"/>
      <c r="U1763" s="280"/>
      <c r="V1763" s="280"/>
      <c r="W1763" s="79"/>
    </row>
    <row r="1764" spans="1:23" ht="15.75">
      <c r="A1764" s="2080"/>
      <c r="B1764" s="705"/>
      <c r="C1764" s="90"/>
      <c r="D1764" s="2081"/>
      <c r="E1764" s="2082"/>
      <c r="F1764" s="1954"/>
      <c r="G1764" s="90"/>
      <c r="H1764" s="90"/>
      <c r="I1764" s="90"/>
      <c r="J1764" s="90"/>
      <c r="K1764" s="90"/>
      <c r="L1764" s="90"/>
      <c r="M1764" s="1956"/>
      <c r="N1764" s="643"/>
      <c r="O1764" s="2083"/>
      <c r="P1764" s="643"/>
      <c r="Q1764" s="643"/>
      <c r="R1764" s="280"/>
      <c r="S1764" s="280"/>
      <c r="T1764" s="280"/>
      <c r="U1764" s="280"/>
      <c r="V1764" s="280"/>
      <c r="W1764" s="79"/>
    </row>
    <row r="1765" spans="1:23" ht="15.75">
      <c r="A1765" s="2080"/>
      <c r="B1765" s="705"/>
      <c r="C1765" s="90"/>
      <c r="D1765" s="2081"/>
      <c r="E1765" s="2082"/>
      <c r="F1765" s="1954"/>
      <c r="G1765" s="90"/>
      <c r="H1765" s="90"/>
      <c r="I1765" s="90"/>
      <c r="J1765" s="90"/>
      <c r="K1765" s="90"/>
      <c r="L1765" s="90"/>
      <c r="M1765" s="1956"/>
      <c r="N1765" s="643"/>
      <c r="O1765" s="2083"/>
      <c r="P1765" s="643"/>
      <c r="Q1765" s="643"/>
      <c r="R1765" s="280"/>
      <c r="S1765" s="280"/>
      <c r="T1765" s="280"/>
      <c r="U1765" s="280"/>
      <c r="V1765" s="280"/>
      <c r="W1765" s="79"/>
    </row>
    <row r="1766" spans="1:23" ht="15.75">
      <c r="A1766" s="2080"/>
      <c r="B1766" s="705"/>
      <c r="C1766" s="90"/>
      <c r="D1766" s="2081"/>
      <c r="E1766" s="2082"/>
      <c r="F1766" s="1954"/>
      <c r="G1766" s="90"/>
      <c r="H1766" s="90"/>
      <c r="I1766" s="90"/>
      <c r="J1766" s="90"/>
      <c r="K1766" s="90"/>
      <c r="L1766" s="90"/>
      <c r="M1766" s="1956"/>
      <c r="N1766" s="643"/>
      <c r="O1766" s="2083"/>
      <c r="P1766" s="643"/>
      <c r="Q1766" s="643"/>
      <c r="R1766" s="280"/>
      <c r="S1766" s="280"/>
      <c r="T1766" s="280"/>
      <c r="U1766" s="280"/>
      <c r="V1766" s="280"/>
      <c r="W1766" s="79"/>
    </row>
    <row r="1767" spans="1:23" ht="15.75">
      <c r="A1767" s="2080"/>
      <c r="B1767" s="705"/>
      <c r="C1767" s="90"/>
      <c r="D1767" s="2081"/>
      <c r="E1767" s="2082"/>
      <c r="F1767" s="1954"/>
      <c r="G1767" s="90"/>
      <c r="H1767" s="90"/>
      <c r="I1767" s="90"/>
      <c r="J1767" s="90"/>
      <c r="K1767" s="90"/>
      <c r="L1767" s="90"/>
      <c r="M1767" s="1956"/>
      <c r="N1767" s="643"/>
      <c r="O1767" s="2083"/>
      <c r="P1767" s="643"/>
      <c r="Q1767" s="643"/>
      <c r="R1767" s="280"/>
      <c r="S1767" s="280"/>
      <c r="T1767" s="280"/>
      <c r="U1767" s="280"/>
      <c r="V1767" s="280"/>
      <c r="W1767" s="79"/>
    </row>
    <row r="1768" spans="1:23" ht="15.75">
      <c r="A1768" s="2080"/>
      <c r="B1768" s="705"/>
      <c r="C1768" s="90"/>
      <c r="D1768" s="2081"/>
      <c r="E1768" s="2082"/>
      <c r="F1768" s="1954"/>
      <c r="G1768" s="90"/>
      <c r="H1768" s="90"/>
      <c r="I1768" s="90"/>
      <c r="J1768" s="90"/>
      <c r="K1768" s="90"/>
      <c r="L1768" s="90"/>
      <c r="M1768" s="1956"/>
      <c r="N1768" s="643"/>
      <c r="O1768" s="2083"/>
      <c r="P1768" s="643"/>
      <c r="Q1768" s="643"/>
      <c r="R1768" s="280"/>
      <c r="S1768" s="280"/>
      <c r="T1768" s="280"/>
      <c r="U1768" s="280"/>
      <c r="V1768" s="280"/>
      <c r="W1768" s="79"/>
    </row>
    <row r="1769" spans="1:23" ht="15.75">
      <c r="A1769" s="2080"/>
      <c r="B1769" s="705"/>
      <c r="C1769" s="90"/>
      <c r="D1769" s="2081"/>
      <c r="E1769" s="2082"/>
      <c r="F1769" s="1954"/>
      <c r="G1769" s="90"/>
      <c r="H1769" s="90"/>
      <c r="I1769" s="90"/>
      <c r="J1769" s="90"/>
      <c r="K1769" s="90"/>
      <c r="L1769" s="90"/>
      <c r="M1769" s="1956"/>
      <c r="N1769" s="643"/>
      <c r="O1769" s="2083"/>
      <c r="P1769" s="643"/>
      <c r="Q1769" s="643"/>
      <c r="R1769" s="280"/>
      <c r="S1769" s="280"/>
      <c r="T1769" s="280"/>
      <c r="U1769" s="280"/>
      <c r="V1769" s="280"/>
      <c r="W1769" s="79"/>
    </row>
    <row r="1770" spans="1:23" ht="15.75">
      <c r="A1770" s="2080"/>
      <c r="B1770" s="705"/>
      <c r="C1770" s="90"/>
      <c r="D1770" s="2081"/>
      <c r="E1770" s="2082"/>
      <c r="F1770" s="1954"/>
      <c r="G1770" s="90"/>
      <c r="H1770" s="90"/>
      <c r="I1770" s="90"/>
      <c r="J1770" s="90"/>
      <c r="K1770" s="90"/>
      <c r="L1770" s="90"/>
      <c r="M1770" s="1956"/>
      <c r="N1770" s="643"/>
      <c r="O1770" s="2083"/>
      <c r="P1770" s="643"/>
      <c r="Q1770" s="643"/>
      <c r="R1770" s="280"/>
      <c r="S1770" s="280"/>
      <c r="T1770" s="280"/>
      <c r="U1770" s="280"/>
      <c r="V1770" s="280"/>
      <c r="W1770" s="79"/>
    </row>
    <row r="1771" spans="1:23" ht="15.75">
      <c r="A1771" s="2080"/>
      <c r="B1771" s="705"/>
      <c r="C1771" s="90"/>
      <c r="D1771" s="2081"/>
      <c r="E1771" s="2082"/>
      <c r="F1771" s="1954"/>
      <c r="G1771" s="90"/>
      <c r="H1771" s="90"/>
      <c r="I1771" s="90"/>
      <c r="J1771" s="90"/>
      <c r="K1771" s="90"/>
      <c r="L1771" s="90"/>
      <c r="M1771" s="1956"/>
      <c r="N1771" s="643"/>
      <c r="O1771" s="2083"/>
      <c r="P1771" s="643"/>
      <c r="Q1771" s="643"/>
      <c r="R1771" s="280"/>
      <c r="S1771" s="280"/>
      <c r="T1771" s="280"/>
      <c r="U1771" s="280"/>
      <c r="V1771" s="280"/>
      <c r="W1771" s="79"/>
    </row>
    <row r="1772" spans="1:23" ht="15.75">
      <c r="A1772" s="2080"/>
      <c r="B1772" s="705"/>
      <c r="C1772" s="90"/>
      <c r="D1772" s="2081"/>
      <c r="E1772" s="2082"/>
      <c r="F1772" s="1954"/>
      <c r="G1772" s="90"/>
      <c r="H1772" s="90"/>
      <c r="I1772" s="90"/>
      <c r="J1772" s="90"/>
      <c r="K1772" s="90"/>
      <c r="L1772" s="90"/>
      <c r="M1772" s="1956"/>
      <c r="N1772" s="643"/>
      <c r="O1772" s="2083"/>
      <c r="P1772" s="643"/>
      <c r="Q1772" s="643"/>
      <c r="R1772" s="280"/>
      <c r="S1772" s="280"/>
      <c r="T1772" s="280"/>
      <c r="U1772" s="280"/>
      <c r="V1772" s="280"/>
      <c r="W1772" s="79"/>
    </row>
    <row r="1773" spans="1:23" ht="15.75">
      <c r="A1773" s="2080"/>
      <c r="B1773" s="705"/>
      <c r="C1773" s="90"/>
      <c r="D1773" s="2081"/>
      <c r="E1773" s="2082"/>
      <c r="F1773" s="1954"/>
      <c r="G1773" s="90"/>
      <c r="H1773" s="90"/>
      <c r="I1773" s="90"/>
      <c r="J1773" s="90"/>
      <c r="K1773" s="90"/>
      <c r="L1773" s="90"/>
      <c r="M1773" s="1956"/>
      <c r="N1773" s="643"/>
      <c r="O1773" s="2083"/>
      <c r="P1773" s="643"/>
      <c r="Q1773" s="643"/>
      <c r="R1773" s="280"/>
      <c r="S1773" s="280"/>
      <c r="T1773" s="280"/>
      <c r="U1773" s="280"/>
      <c r="V1773" s="280"/>
      <c r="W1773" s="79"/>
    </row>
    <row r="1774" spans="1:23" ht="15.75">
      <c r="A1774" s="2080"/>
      <c r="B1774" s="705"/>
      <c r="C1774" s="90"/>
      <c r="D1774" s="2081"/>
      <c r="E1774" s="2082"/>
      <c r="F1774" s="1954"/>
      <c r="G1774" s="90"/>
      <c r="H1774" s="90"/>
      <c r="I1774" s="90"/>
      <c r="J1774" s="90"/>
      <c r="K1774" s="90"/>
      <c r="L1774" s="90"/>
      <c r="M1774" s="1956"/>
      <c r="N1774" s="643"/>
      <c r="O1774" s="2083"/>
      <c r="P1774" s="643"/>
      <c r="Q1774" s="643"/>
      <c r="R1774" s="280"/>
      <c r="S1774" s="280"/>
      <c r="T1774" s="280"/>
      <c r="U1774" s="280"/>
      <c r="V1774" s="280"/>
      <c r="W1774" s="79"/>
    </row>
    <row r="1775" spans="1:23" ht="15.75">
      <c r="A1775" s="2080"/>
      <c r="B1775" s="705"/>
      <c r="C1775" s="90"/>
      <c r="D1775" s="2081"/>
      <c r="E1775" s="2082"/>
      <c r="F1775" s="1954"/>
      <c r="G1775" s="90"/>
      <c r="H1775" s="90"/>
      <c r="I1775" s="90"/>
      <c r="J1775" s="90"/>
      <c r="K1775" s="90"/>
      <c r="L1775" s="90"/>
      <c r="M1775" s="1956"/>
      <c r="N1775" s="643"/>
      <c r="O1775" s="2083"/>
      <c r="P1775" s="643"/>
      <c r="Q1775" s="643"/>
      <c r="R1775" s="280"/>
      <c r="S1775" s="280"/>
      <c r="T1775" s="280"/>
      <c r="U1775" s="280"/>
      <c r="V1775" s="280"/>
      <c r="W1775" s="79"/>
    </row>
    <row r="1776" spans="1:23" ht="15.75">
      <c r="A1776" s="2080"/>
      <c r="B1776" s="705"/>
      <c r="C1776" s="90"/>
      <c r="D1776" s="2081"/>
      <c r="E1776" s="2082"/>
      <c r="F1776" s="1954"/>
      <c r="G1776" s="90"/>
      <c r="H1776" s="90"/>
      <c r="I1776" s="90"/>
      <c r="J1776" s="90"/>
      <c r="K1776" s="90"/>
      <c r="L1776" s="90"/>
      <c r="M1776" s="1956"/>
      <c r="N1776" s="643"/>
      <c r="O1776" s="2083"/>
      <c r="P1776" s="643"/>
      <c r="Q1776" s="643"/>
      <c r="R1776" s="280"/>
      <c r="S1776" s="280"/>
      <c r="T1776" s="280"/>
      <c r="U1776" s="280"/>
      <c r="V1776" s="280"/>
      <c r="W1776" s="79"/>
    </row>
    <row r="1777" spans="1:23" ht="15.75">
      <c r="A1777" s="2080"/>
      <c r="B1777" s="705"/>
      <c r="C1777" s="90"/>
      <c r="D1777" s="2081"/>
      <c r="E1777" s="2082"/>
      <c r="F1777" s="1954"/>
      <c r="G1777" s="90"/>
      <c r="H1777" s="90"/>
      <c r="I1777" s="90"/>
      <c r="J1777" s="90"/>
      <c r="K1777" s="90"/>
      <c r="L1777" s="90"/>
      <c r="M1777" s="1956"/>
      <c r="N1777" s="643"/>
      <c r="O1777" s="2083"/>
      <c r="P1777" s="643"/>
      <c r="Q1777" s="643"/>
      <c r="R1777" s="280"/>
      <c r="S1777" s="280"/>
      <c r="T1777" s="280"/>
      <c r="U1777" s="280"/>
      <c r="V1777" s="280"/>
      <c r="W1777" s="79"/>
    </row>
    <row r="1778" spans="1:23" ht="15.75">
      <c r="A1778" s="2080"/>
      <c r="B1778" s="705"/>
      <c r="C1778" s="90"/>
      <c r="D1778" s="2081"/>
      <c r="E1778" s="2082"/>
      <c r="F1778" s="1954"/>
      <c r="G1778" s="90"/>
      <c r="H1778" s="90"/>
      <c r="I1778" s="90"/>
      <c r="J1778" s="90"/>
      <c r="K1778" s="90"/>
      <c r="L1778" s="90"/>
      <c r="M1778" s="1956"/>
      <c r="N1778" s="643"/>
      <c r="O1778" s="2083"/>
      <c r="P1778" s="643"/>
      <c r="Q1778" s="643"/>
      <c r="R1778" s="280"/>
      <c r="S1778" s="280"/>
      <c r="T1778" s="280"/>
      <c r="U1778" s="280"/>
      <c r="V1778" s="280"/>
      <c r="W1778" s="79"/>
    </row>
    <row r="1779" spans="1:23" ht="15.75">
      <c r="A1779" s="2080"/>
      <c r="B1779" s="705"/>
      <c r="C1779" s="90"/>
      <c r="D1779" s="2081"/>
      <c r="E1779" s="2082"/>
      <c r="F1779" s="1954"/>
      <c r="G1779" s="90"/>
      <c r="H1779" s="90"/>
      <c r="I1779" s="90"/>
      <c r="J1779" s="90"/>
      <c r="K1779" s="90"/>
      <c r="L1779" s="90"/>
      <c r="M1779" s="1956"/>
      <c r="N1779" s="643"/>
      <c r="O1779" s="2083"/>
      <c r="P1779" s="643"/>
      <c r="Q1779" s="643"/>
      <c r="R1779" s="280"/>
      <c r="S1779" s="280"/>
      <c r="T1779" s="280"/>
      <c r="U1779" s="280"/>
      <c r="V1779" s="280"/>
      <c r="W1779" s="79"/>
    </row>
    <row r="1780" spans="1:23" ht="15.75">
      <c r="A1780" s="2080"/>
      <c r="B1780" s="705"/>
      <c r="C1780" s="90"/>
      <c r="D1780" s="2081"/>
      <c r="E1780" s="2082"/>
      <c r="F1780" s="1954"/>
      <c r="G1780" s="90"/>
      <c r="H1780" s="90"/>
      <c r="I1780" s="90"/>
      <c r="J1780" s="90"/>
      <c r="K1780" s="90"/>
      <c r="L1780" s="90"/>
      <c r="M1780" s="1956"/>
      <c r="N1780" s="643"/>
      <c r="O1780" s="2083"/>
      <c r="P1780" s="643"/>
      <c r="Q1780" s="643"/>
      <c r="R1780" s="280"/>
      <c r="S1780" s="280"/>
      <c r="T1780" s="280"/>
      <c r="U1780" s="280"/>
      <c r="V1780" s="280"/>
      <c r="W1780" s="79"/>
    </row>
    <row r="1781" spans="1:23" ht="15.75">
      <c r="A1781" s="2080"/>
      <c r="B1781" s="705"/>
      <c r="C1781" s="90"/>
      <c r="D1781" s="2081"/>
      <c r="E1781" s="2082"/>
      <c r="F1781" s="1954"/>
      <c r="G1781" s="90"/>
      <c r="H1781" s="90"/>
      <c r="I1781" s="90"/>
      <c r="J1781" s="90"/>
      <c r="K1781" s="90"/>
      <c r="L1781" s="90"/>
      <c r="M1781" s="1956"/>
      <c r="N1781" s="643"/>
      <c r="O1781" s="2083"/>
      <c r="P1781" s="643"/>
      <c r="Q1781" s="643"/>
      <c r="R1781" s="280"/>
      <c r="S1781" s="280"/>
      <c r="T1781" s="280"/>
      <c r="U1781" s="280"/>
      <c r="V1781" s="280"/>
      <c r="W1781" s="79"/>
    </row>
    <row r="1782" spans="1:23" ht="15.75">
      <c r="A1782" s="2080"/>
      <c r="B1782" s="705"/>
      <c r="C1782" s="90"/>
      <c r="D1782" s="2081"/>
      <c r="E1782" s="2082"/>
      <c r="F1782" s="1954"/>
      <c r="G1782" s="90"/>
      <c r="H1782" s="90"/>
      <c r="I1782" s="90"/>
      <c r="J1782" s="90"/>
      <c r="K1782" s="90"/>
      <c r="L1782" s="90"/>
      <c r="M1782" s="1956"/>
      <c r="N1782" s="643"/>
      <c r="O1782" s="2083"/>
      <c r="P1782" s="643"/>
      <c r="Q1782" s="643"/>
      <c r="R1782" s="280"/>
      <c r="S1782" s="280"/>
      <c r="T1782" s="280"/>
      <c r="U1782" s="280"/>
      <c r="V1782" s="280"/>
      <c r="W1782" s="79"/>
    </row>
    <row r="1783" spans="1:23" ht="15.75">
      <c r="A1783" s="2080"/>
      <c r="B1783" s="705"/>
      <c r="C1783" s="90"/>
      <c r="D1783" s="2081"/>
      <c r="E1783" s="2082"/>
      <c r="F1783" s="1954"/>
      <c r="G1783" s="90"/>
      <c r="H1783" s="90"/>
      <c r="I1783" s="90"/>
      <c r="J1783" s="90"/>
      <c r="K1783" s="90"/>
      <c r="L1783" s="90"/>
      <c r="M1783" s="1956"/>
      <c r="N1783" s="643"/>
      <c r="O1783" s="2083"/>
      <c r="P1783" s="643"/>
      <c r="Q1783" s="643"/>
      <c r="R1783" s="280"/>
      <c r="S1783" s="280"/>
      <c r="T1783" s="280"/>
      <c r="U1783" s="280"/>
      <c r="V1783" s="280"/>
      <c r="W1783" s="79"/>
    </row>
    <row r="1784" spans="1:23" ht="15.75">
      <c r="A1784" s="2080"/>
      <c r="B1784" s="705"/>
      <c r="C1784" s="90"/>
      <c r="D1784" s="2081"/>
      <c r="E1784" s="2082"/>
      <c r="F1784" s="1954"/>
      <c r="G1784" s="90"/>
      <c r="H1784" s="90"/>
      <c r="I1784" s="90"/>
      <c r="J1784" s="90"/>
      <c r="K1784" s="90"/>
      <c r="L1784" s="90"/>
      <c r="M1784" s="1956"/>
      <c r="N1784" s="643"/>
      <c r="O1784" s="2083"/>
      <c r="P1784" s="643"/>
      <c r="Q1784" s="643"/>
      <c r="R1784" s="280"/>
      <c r="S1784" s="280"/>
      <c r="T1784" s="280"/>
      <c r="U1784" s="280"/>
      <c r="V1784" s="280"/>
      <c r="W1784" s="79"/>
    </row>
    <row r="1785" spans="1:23" ht="15.75">
      <c r="A1785" s="2080"/>
      <c r="B1785" s="705"/>
      <c r="C1785" s="90"/>
      <c r="D1785" s="2081"/>
      <c r="E1785" s="2082"/>
      <c r="F1785" s="1954"/>
      <c r="G1785" s="90"/>
      <c r="H1785" s="90"/>
      <c r="I1785" s="90"/>
      <c r="J1785" s="90"/>
      <c r="K1785" s="90"/>
      <c r="L1785" s="90"/>
      <c r="M1785" s="1956"/>
      <c r="N1785" s="643"/>
      <c r="O1785" s="2083"/>
      <c r="P1785" s="643"/>
      <c r="Q1785" s="643"/>
      <c r="R1785" s="280"/>
      <c r="S1785" s="280"/>
      <c r="T1785" s="280"/>
      <c r="U1785" s="280"/>
      <c r="V1785" s="280"/>
      <c r="W1785" s="79"/>
    </row>
    <row r="1786" spans="1:23" ht="15.75">
      <c r="A1786" s="2080"/>
      <c r="B1786" s="705"/>
      <c r="C1786" s="90"/>
      <c r="D1786" s="2081"/>
      <c r="E1786" s="2082"/>
      <c r="F1786" s="1954"/>
      <c r="G1786" s="90"/>
      <c r="H1786" s="90"/>
      <c r="I1786" s="90"/>
      <c r="J1786" s="90"/>
      <c r="K1786" s="90"/>
      <c r="L1786" s="90"/>
      <c r="M1786" s="1956"/>
      <c r="N1786" s="643"/>
      <c r="O1786" s="2083"/>
      <c r="P1786" s="643"/>
      <c r="Q1786" s="643"/>
      <c r="R1786" s="280"/>
      <c r="S1786" s="280"/>
      <c r="T1786" s="280"/>
      <c r="U1786" s="280"/>
      <c r="V1786" s="280"/>
      <c r="W1786" s="79"/>
    </row>
    <row r="1787" spans="1:23" ht="15.75">
      <c r="A1787" s="2080"/>
      <c r="B1787" s="705"/>
      <c r="C1787" s="90"/>
      <c r="D1787" s="2081"/>
      <c r="E1787" s="2082"/>
      <c r="F1787" s="1954"/>
      <c r="G1787" s="90"/>
      <c r="H1787" s="90"/>
      <c r="I1787" s="90"/>
      <c r="J1787" s="90"/>
      <c r="K1787" s="90"/>
      <c r="L1787" s="90"/>
      <c r="M1787" s="1956"/>
      <c r="N1787" s="643"/>
      <c r="O1787" s="2083"/>
      <c r="P1787" s="643"/>
      <c r="Q1787" s="643"/>
      <c r="R1787" s="280"/>
      <c r="S1787" s="280"/>
      <c r="T1787" s="280"/>
      <c r="U1787" s="280"/>
      <c r="V1787" s="280"/>
      <c r="W1787" s="79"/>
    </row>
    <row r="1788" spans="1:23" ht="15.75">
      <c r="A1788" s="2080"/>
      <c r="B1788" s="705"/>
      <c r="C1788" s="90"/>
      <c r="D1788" s="2081"/>
      <c r="E1788" s="2082"/>
      <c r="F1788" s="1954"/>
      <c r="G1788" s="90"/>
      <c r="H1788" s="90"/>
      <c r="I1788" s="90"/>
      <c r="J1788" s="90"/>
      <c r="K1788" s="90"/>
      <c r="L1788" s="90"/>
      <c r="M1788" s="1956"/>
      <c r="N1788" s="643"/>
      <c r="O1788" s="2083"/>
      <c r="P1788" s="643"/>
      <c r="Q1788" s="643"/>
      <c r="R1788" s="280"/>
      <c r="S1788" s="280"/>
      <c r="T1788" s="280"/>
      <c r="U1788" s="280"/>
      <c r="V1788" s="280"/>
      <c r="W1788" s="79"/>
    </row>
    <row r="1789" spans="1:23" ht="15.75">
      <c r="A1789" s="2080"/>
      <c r="B1789" s="705"/>
      <c r="C1789" s="90"/>
      <c r="D1789" s="2081"/>
      <c r="E1789" s="2082"/>
      <c r="F1789" s="1954"/>
      <c r="G1789" s="90"/>
      <c r="H1789" s="90"/>
      <c r="I1789" s="90"/>
      <c r="J1789" s="90"/>
      <c r="K1789" s="90"/>
      <c r="L1789" s="90"/>
      <c r="M1789" s="1956"/>
      <c r="N1789" s="643"/>
      <c r="O1789" s="2083"/>
      <c r="P1789" s="643"/>
      <c r="Q1789" s="643"/>
      <c r="R1789" s="280"/>
      <c r="S1789" s="280"/>
      <c r="T1789" s="280"/>
      <c r="U1789" s="280"/>
      <c r="V1789" s="280"/>
      <c r="W1789" s="79"/>
    </row>
    <row r="1790" spans="1:23" ht="15.75">
      <c r="A1790" s="2080"/>
      <c r="B1790" s="705"/>
      <c r="C1790" s="90"/>
      <c r="D1790" s="2081"/>
      <c r="E1790" s="2082"/>
      <c r="F1790" s="1954"/>
      <c r="G1790" s="90"/>
      <c r="H1790" s="90"/>
      <c r="I1790" s="90"/>
      <c r="J1790" s="90"/>
      <c r="K1790" s="90"/>
      <c r="L1790" s="90"/>
      <c r="M1790" s="1956"/>
      <c r="N1790" s="643"/>
      <c r="O1790" s="2083"/>
      <c r="P1790" s="643"/>
      <c r="Q1790" s="643"/>
      <c r="R1790" s="280"/>
      <c r="S1790" s="280"/>
      <c r="T1790" s="280"/>
      <c r="U1790" s="280"/>
      <c r="V1790" s="280"/>
      <c r="W1790" s="79"/>
    </row>
    <row r="1791" spans="1:23" ht="15.75">
      <c r="A1791" s="2080"/>
      <c r="B1791" s="705"/>
      <c r="C1791" s="90"/>
      <c r="D1791" s="2081"/>
      <c r="E1791" s="2082"/>
      <c r="F1791" s="1954"/>
      <c r="G1791" s="90"/>
      <c r="H1791" s="90"/>
      <c r="I1791" s="90"/>
      <c r="J1791" s="90"/>
      <c r="K1791" s="90"/>
      <c r="L1791" s="90"/>
      <c r="M1791" s="1956"/>
      <c r="N1791" s="643"/>
      <c r="O1791" s="2083"/>
      <c r="P1791" s="643"/>
      <c r="Q1791" s="643"/>
      <c r="R1791" s="280"/>
      <c r="S1791" s="280"/>
      <c r="T1791" s="280"/>
      <c r="U1791" s="280"/>
      <c r="V1791" s="280"/>
      <c r="W1791" s="79"/>
    </row>
    <row r="1792" spans="1:23" ht="15.75">
      <c r="A1792" s="2080"/>
      <c r="B1792" s="705"/>
      <c r="C1792" s="90"/>
      <c r="D1792" s="2081"/>
      <c r="E1792" s="2082"/>
      <c r="F1792" s="1954"/>
      <c r="G1792" s="90"/>
      <c r="H1792" s="90"/>
      <c r="I1792" s="90"/>
      <c r="J1792" s="90"/>
      <c r="K1792" s="90"/>
      <c r="L1792" s="90"/>
      <c r="M1792" s="1956"/>
      <c r="N1792" s="643"/>
      <c r="O1792" s="2083"/>
      <c r="P1792" s="643"/>
      <c r="Q1792" s="643"/>
      <c r="R1792" s="280"/>
      <c r="S1792" s="280"/>
      <c r="T1792" s="280"/>
      <c r="U1792" s="280"/>
      <c r="V1792" s="280"/>
      <c r="W1792" s="79"/>
    </row>
    <row r="1793" spans="1:23" ht="15.75">
      <c r="A1793" s="2080"/>
      <c r="B1793" s="705"/>
      <c r="C1793" s="90"/>
      <c r="D1793" s="2081"/>
      <c r="E1793" s="2082"/>
      <c r="F1793" s="1954"/>
      <c r="G1793" s="90"/>
      <c r="H1793" s="90"/>
      <c r="I1793" s="90"/>
      <c r="J1793" s="90"/>
      <c r="K1793" s="90"/>
      <c r="L1793" s="90"/>
      <c r="M1793" s="1956"/>
      <c r="N1793" s="643"/>
      <c r="O1793" s="2083"/>
      <c r="P1793" s="643"/>
      <c r="Q1793" s="643"/>
      <c r="R1793" s="280"/>
      <c r="S1793" s="280"/>
      <c r="T1793" s="280"/>
      <c r="U1793" s="280"/>
      <c r="V1793" s="280"/>
      <c r="W1793" s="79"/>
    </row>
    <row r="1794" spans="1:23" ht="15.75">
      <c r="A1794" s="2080"/>
      <c r="B1794" s="705"/>
      <c r="C1794" s="90"/>
      <c r="D1794" s="2081"/>
      <c r="E1794" s="2082"/>
      <c r="F1794" s="1954"/>
      <c r="G1794" s="90"/>
      <c r="H1794" s="90"/>
      <c r="I1794" s="90"/>
      <c r="J1794" s="90"/>
      <c r="K1794" s="90"/>
      <c r="L1794" s="90"/>
      <c r="M1794" s="1956"/>
      <c r="N1794" s="643"/>
      <c r="O1794" s="2083"/>
      <c r="P1794" s="643"/>
      <c r="Q1794" s="643"/>
      <c r="R1794" s="280"/>
      <c r="S1794" s="280"/>
      <c r="T1794" s="280"/>
      <c r="U1794" s="280"/>
      <c r="V1794" s="280"/>
      <c r="W1794" s="79"/>
    </row>
    <row r="1795" spans="1:23" ht="15.75">
      <c r="A1795" s="2080"/>
      <c r="B1795" s="705"/>
      <c r="C1795" s="90"/>
      <c r="D1795" s="2081"/>
      <c r="E1795" s="2082"/>
      <c r="F1795" s="1954"/>
      <c r="G1795" s="90"/>
      <c r="H1795" s="90"/>
      <c r="I1795" s="90"/>
      <c r="J1795" s="90"/>
      <c r="K1795" s="90"/>
      <c r="L1795" s="90"/>
      <c r="M1795" s="1956"/>
      <c r="N1795" s="643"/>
      <c r="O1795" s="2083"/>
      <c r="P1795" s="643"/>
      <c r="Q1795" s="643"/>
      <c r="R1795" s="280"/>
      <c r="S1795" s="280"/>
      <c r="T1795" s="280"/>
      <c r="U1795" s="280"/>
      <c r="V1795" s="280"/>
      <c r="W1795" s="79"/>
    </row>
    <row r="1796" spans="1:23" ht="15.75">
      <c r="A1796" s="2080"/>
      <c r="B1796" s="705"/>
      <c r="C1796" s="90"/>
      <c r="D1796" s="2081"/>
      <c r="E1796" s="2082"/>
      <c r="F1796" s="1954"/>
      <c r="G1796" s="90"/>
      <c r="H1796" s="90"/>
      <c r="I1796" s="90"/>
      <c r="J1796" s="90"/>
      <c r="K1796" s="90"/>
      <c r="L1796" s="90"/>
      <c r="M1796" s="1956"/>
      <c r="N1796" s="643"/>
      <c r="O1796" s="2083"/>
      <c r="P1796" s="643"/>
      <c r="Q1796" s="643"/>
      <c r="R1796" s="280"/>
      <c r="S1796" s="280"/>
      <c r="T1796" s="280"/>
      <c r="U1796" s="280"/>
      <c r="V1796" s="280"/>
      <c r="W1796" s="79"/>
    </row>
    <row r="1797" spans="1:23" ht="15.75">
      <c r="A1797" s="2080"/>
      <c r="B1797" s="705"/>
      <c r="C1797" s="90"/>
      <c r="D1797" s="2081"/>
      <c r="E1797" s="2082"/>
      <c r="F1797" s="1954"/>
      <c r="G1797" s="90"/>
      <c r="H1797" s="90"/>
      <c r="I1797" s="90"/>
      <c r="J1797" s="90"/>
      <c r="K1797" s="90"/>
      <c r="L1797" s="90"/>
      <c r="M1797" s="1956"/>
      <c r="N1797" s="643"/>
      <c r="O1797" s="2083"/>
      <c r="P1797" s="643"/>
      <c r="Q1797" s="643"/>
      <c r="R1797" s="280"/>
      <c r="S1797" s="280"/>
      <c r="T1797" s="280"/>
      <c r="U1797" s="280"/>
      <c r="V1797" s="280"/>
      <c r="W1797" s="79"/>
    </row>
    <row r="1798" spans="1:23" ht="15.75">
      <c r="A1798" s="2080"/>
      <c r="B1798" s="705"/>
      <c r="C1798" s="90"/>
      <c r="D1798" s="2081"/>
      <c r="E1798" s="2082"/>
      <c r="F1798" s="1954"/>
      <c r="G1798" s="90"/>
      <c r="H1798" s="90"/>
      <c r="I1798" s="90"/>
      <c r="J1798" s="90"/>
      <c r="K1798" s="90"/>
      <c r="L1798" s="90"/>
      <c r="M1798" s="1956"/>
      <c r="N1798" s="643"/>
      <c r="O1798" s="2083"/>
      <c r="P1798" s="643"/>
      <c r="Q1798" s="643"/>
      <c r="R1798" s="280"/>
      <c r="S1798" s="280"/>
      <c r="T1798" s="280"/>
      <c r="U1798" s="280"/>
      <c r="V1798" s="280"/>
      <c r="W1798" s="79"/>
    </row>
    <row r="1799" spans="1:23" ht="15.75">
      <c r="A1799" s="2080"/>
      <c r="B1799" s="705"/>
      <c r="C1799" s="90"/>
      <c r="D1799" s="2081"/>
      <c r="E1799" s="2082"/>
      <c r="F1799" s="1954"/>
      <c r="G1799" s="90"/>
      <c r="H1799" s="90"/>
      <c r="I1799" s="90"/>
      <c r="J1799" s="90"/>
      <c r="K1799" s="90"/>
      <c r="L1799" s="90"/>
      <c r="M1799" s="1956"/>
      <c r="N1799" s="643"/>
      <c r="O1799" s="2083"/>
      <c r="P1799" s="643"/>
      <c r="Q1799" s="643"/>
      <c r="R1799" s="280"/>
      <c r="S1799" s="280"/>
      <c r="T1799" s="280"/>
      <c r="U1799" s="280"/>
      <c r="V1799" s="280"/>
      <c r="W1799" s="79"/>
    </row>
    <row r="1800" spans="1:23" ht="15.75">
      <c r="A1800" s="2080"/>
      <c r="B1800" s="705"/>
      <c r="C1800" s="90"/>
      <c r="D1800" s="2081"/>
      <c r="E1800" s="2082"/>
      <c r="F1800" s="1954"/>
      <c r="G1800" s="90"/>
      <c r="H1800" s="90"/>
      <c r="I1800" s="90"/>
      <c r="J1800" s="90"/>
      <c r="K1800" s="90"/>
      <c r="L1800" s="90"/>
      <c r="M1800" s="1956"/>
      <c r="N1800" s="643"/>
      <c r="O1800" s="2083"/>
      <c r="P1800" s="643"/>
      <c r="Q1800" s="643"/>
      <c r="R1800" s="280"/>
      <c r="S1800" s="280"/>
      <c r="T1800" s="280"/>
      <c r="U1800" s="280"/>
      <c r="V1800" s="280"/>
      <c r="W1800" s="79"/>
    </row>
    <row r="1801" spans="1:23" ht="15.75">
      <c r="A1801" s="2080"/>
      <c r="B1801" s="705"/>
      <c r="C1801" s="90"/>
      <c r="D1801" s="2081"/>
      <c r="E1801" s="2082"/>
      <c r="F1801" s="1954"/>
      <c r="G1801" s="90"/>
      <c r="H1801" s="90"/>
      <c r="I1801" s="90"/>
      <c r="J1801" s="90"/>
      <c r="K1801" s="90"/>
      <c r="L1801" s="90"/>
      <c r="M1801" s="1956"/>
      <c r="N1801" s="643"/>
      <c r="O1801" s="2083"/>
      <c r="P1801" s="643"/>
      <c r="Q1801" s="643"/>
      <c r="R1801" s="280"/>
      <c r="S1801" s="280"/>
      <c r="T1801" s="280"/>
      <c r="U1801" s="280"/>
      <c r="V1801" s="280"/>
      <c r="W1801" s="79"/>
    </row>
    <row r="1802" spans="1:23" ht="15.75">
      <c r="A1802" s="2080"/>
      <c r="B1802" s="705"/>
      <c r="C1802" s="90"/>
      <c r="D1802" s="2081"/>
      <c r="E1802" s="2082"/>
      <c r="F1802" s="1954"/>
      <c r="G1802" s="90"/>
      <c r="H1802" s="90"/>
      <c r="I1802" s="90"/>
      <c r="J1802" s="90"/>
      <c r="K1802" s="90"/>
      <c r="L1802" s="90"/>
      <c r="M1802" s="1956"/>
      <c r="N1802" s="643"/>
      <c r="O1802" s="2083"/>
      <c r="P1802" s="643"/>
      <c r="Q1802" s="643"/>
      <c r="R1802" s="280"/>
      <c r="S1802" s="280"/>
      <c r="T1802" s="280"/>
      <c r="U1802" s="280"/>
      <c r="V1802" s="280"/>
      <c r="W1802" s="79"/>
    </row>
    <row r="1803" spans="1:23" ht="15.75">
      <c r="A1803" s="2080"/>
      <c r="B1803" s="705"/>
      <c r="C1803" s="90"/>
      <c r="D1803" s="2081"/>
      <c r="E1803" s="2082"/>
      <c r="F1803" s="1954"/>
      <c r="G1803" s="90"/>
      <c r="H1803" s="90"/>
      <c r="I1803" s="90"/>
      <c r="J1803" s="90"/>
      <c r="K1803" s="90"/>
      <c r="L1803" s="90"/>
      <c r="M1803" s="1956"/>
      <c r="N1803" s="643"/>
      <c r="O1803" s="2083"/>
      <c r="P1803" s="643"/>
      <c r="Q1803" s="643"/>
      <c r="R1803" s="280"/>
      <c r="S1803" s="280"/>
      <c r="T1803" s="280"/>
      <c r="U1803" s="280"/>
      <c r="V1803" s="280"/>
      <c r="W1803" s="79"/>
    </row>
    <row r="1804" spans="1:23" ht="15.75">
      <c r="A1804" s="2080"/>
      <c r="B1804" s="705"/>
      <c r="C1804" s="90"/>
      <c r="D1804" s="2081"/>
      <c r="E1804" s="2082"/>
      <c r="F1804" s="1954"/>
      <c r="G1804" s="90"/>
      <c r="H1804" s="90"/>
      <c r="I1804" s="90"/>
      <c r="J1804" s="90"/>
      <c r="K1804" s="90"/>
      <c r="L1804" s="90"/>
      <c r="M1804" s="1956"/>
      <c r="N1804" s="643"/>
      <c r="O1804" s="2083"/>
      <c r="P1804" s="643"/>
      <c r="Q1804" s="643"/>
      <c r="R1804" s="280"/>
      <c r="S1804" s="280"/>
      <c r="T1804" s="280"/>
      <c r="U1804" s="280"/>
      <c r="V1804" s="280"/>
      <c r="W1804" s="79"/>
    </row>
    <row r="1805" spans="1:23" ht="15.75">
      <c r="A1805" s="2080"/>
      <c r="B1805" s="705"/>
      <c r="C1805" s="90"/>
      <c r="D1805" s="2081"/>
      <c r="E1805" s="2082"/>
      <c r="F1805" s="1954"/>
      <c r="G1805" s="90"/>
      <c r="H1805" s="90"/>
      <c r="I1805" s="90"/>
      <c r="J1805" s="90"/>
      <c r="K1805" s="90"/>
      <c r="L1805" s="90"/>
      <c r="M1805" s="1956"/>
      <c r="N1805" s="643"/>
      <c r="O1805" s="2083"/>
      <c r="P1805" s="643"/>
      <c r="Q1805" s="643"/>
      <c r="R1805" s="280"/>
      <c r="S1805" s="280"/>
      <c r="T1805" s="280"/>
      <c r="U1805" s="280"/>
      <c r="V1805" s="280"/>
      <c r="W1805" s="79"/>
    </row>
    <row r="1806" spans="1:23" ht="15.75">
      <c r="A1806" s="2080"/>
      <c r="B1806" s="705"/>
      <c r="C1806" s="90"/>
      <c r="D1806" s="2081"/>
      <c r="E1806" s="2082"/>
      <c r="F1806" s="1954"/>
      <c r="G1806" s="90"/>
      <c r="H1806" s="90"/>
      <c r="I1806" s="90"/>
      <c r="J1806" s="90"/>
      <c r="K1806" s="90"/>
      <c r="L1806" s="90"/>
      <c r="M1806" s="1956"/>
      <c r="N1806" s="643"/>
      <c r="O1806" s="2083"/>
      <c r="P1806" s="643"/>
      <c r="Q1806" s="643"/>
      <c r="R1806" s="280"/>
      <c r="S1806" s="280"/>
      <c r="T1806" s="280"/>
      <c r="U1806" s="280"/>
      <c r="V1806" s="280"/>
      <c r="W1806" s="79"/>
    </row>
    <row r="1807" spans="1:23" ht="15.75">
      <c r="A1807" s="2080"/>
      <c r="B1807" s="705"/>
      <c r="C1807" s="90"/>
      <c r="D1807" s="2081"/>
      <c r="E1807" s="2082"/>
      <c r="F1807" s="1954"/>
      <c r="G1807" s="90"/>
      <c r="H1807" s="90"/>
      <c r="I1807" s="90"/>
      <c r="J1807" s="90"/>
      <c r="K1807" s="90"/>
      <c r="L1807" s="90"/>
      <c r="M1807" s="1956"/>
      <c r="N1807" s="643"/>
      <c r="O1807" s="2083"/>
      <c r="P1807" s="643"/>
      <c r="Q1807" s="643"/>
      <c r="R1807" s="280"/>
      <c r="S1807" s="280"/>
      <c r="T1807" s="280"/>
      <c r="U1807" s="280"/>
      <c r="V1807" s="280"/>
      <c r="W1807" s="79"/>
    </row>
    <row r="1808" spans="1:23" ht="15.75">
      <c r="A1808" s="2080"/>
      <c r="B1808" s="705"/>
      <c r="C1808" s="90"/>
      <c r="D1808" s="2081"/>
      <c r="E1808" s="2082"/>
      <c r="F1808" s="1954"/>
      <c r="G1808" s="90"/>
      <c r="H1808" s="90"/>
      <c r="I1808" s="90"/>
      <c r="J1808" s="90"/>
      <c r="K1808" s="90"/>
      <c r="L1808" s="90"/>
      <c r="M1808" s="1956"/>
      <c r="N1808" s="643"/>
      <c r="O1808" s="2083"/>
      <c r="P1808" s="643"/>
      <c r="Q1808" s="643"/>
      <c r="R1808" s="280"/>
      <c r="S1808" s="280"/>
      <c r="T1808" s="280"/>
      <c r="U1808" s="280"/>
      <c r="V1808" s="280"/>
      <c r="W1808" s="79"/>
    </row>
    <row r="1809" spans="1:23" ht="15.75">
      <c r="A1809" s="2080"/>
      <c r="B1809" s="705"/>
      <c r="C1809" s="90"/>
      <c r="D1809" s="2081"/>
      <c r="E1809" s="2082"/>
      <c r="F1809" s="1954"/>
      <c r="G1809" s="90"/>
      <c r="H1809" s="90"/>
      <c r="I1809" s="90"/>
      <c r="J1809" s="90"/>
      <c r="K1809" s="90"/>
      <c r="L1809" s="90"/>
      <c r="M1809" s="1956"/>
      <c r="N1809" s="643"/>
      <c r="O1809" s="2083"/>
      <c r="P1809" s="643"/>
      <c r="Q1809" s="643"/>
      <c r="R1809" s="280"/>
      <c r="S1809" s="280"/>
      <c r="T1809" s="280"/>
      <c r="U1809" s="280"/>
      <c r="V1809" s="280"/>
      <c r="W1809" s="79"/>
    </row>
    <row r="1810" spans="1:23" ht="15.75">
      <c r="A1810" s="2080"/>
      <c r="B1810" s="705"/>
      <c r="C1810" s="90"/>
      <c r="D1810" s="2081"/>
      <c r="E1810" s="2082"/>
      <c r="F1810" s="1954"/>
      <c r="G1810" s="90"/>
      <c r="H1810" s="90"/>
      <c r="I1810" s="90"/>
      <c r="J1810" s="90"/>
      <c r="K1810" s="90"/>
      <c r="L1810" s="90"/>
      <c r="M1810" s="1956"/>
      <c r="N1810" s="643"/>
      <c r="O1810" s="2083"/>
      <c r="P1810" s="643"/>
      <c r="Q1810" s="643"/>
      <c r="R1810" s="280"/>
      <c r="S1810" s="280"/>
      <c r="T1810" s="280"/>
      <c r="U1810" s="280"/>
      <c r="V1810" s="280"/>
      <c r="W1810" s="79"/>
    </row>
    <row r="1811" spans="1:23" ht="15.75">
      <c r="A1811" s="2080"/>
      <c r="B1811" s="705"/>
      <c r="C1811" s="90"/>
      <c r="D1811" s="2081"/>
      <c r="E1811" s="2082"/>
      <c r="F1811" s="1954"/>
      <c r="G1811" s="90"/>
      <c r="H1811" s="90"/>
      <c r="I1811" s="90"/>
      <c r="J1811" s="90"/>
      <c r="K1811" s="90"/>
      <c r="L1811" s="90"/>
      <c r="M1811" s="1956"/>
      <c r="N1811" s="643"/>
      <c r="O1811" s="2083"/>
      <c r="P1811" s="643"/>
      <c r="Q1811" s="643"/>
      <c r="R1811" s="280"/>
      <c r="S1811" s="280"/>
      <c r="T1811" s="280"/>
      <c r="U1811" s="280"/>
      <c r="V1811" s="280"/>
      <c r="W1811" s="79"/>
    </row>
    <row r="1812" spans="1:23" ht="15.75">
      <c r="A1812" s="2080"/>
      <c r="B1812" s="705"/>
      <c r="C1812" s="90"/>
      <c r="D1812" s="2081"/>
      <c r="E1812" s="2082"/>
      <c r="F1812" s="1954"/>
      <c r="G1812" s="90"/>
      <c r="H1812" s="90"/>
      <c r="I1812" s="90"/>
      <c r="J1812" s="90"/>
      <c r="K1812" s="90"/>
      <c r="L1812" s="90"/>
      <c r="M1812" s="1956"/>
      <c r="N1812" s="643"/>
      <c r="O1812" s="2083"/>
      <c r="P1812" s="643"/>
      <c r="Q1812" s="643"/>
      <c r="R1812" s="280"/>
      <c r="S1812" s="280"/>
      <c r="T1812" s="280"/>
      <c r="U1812" s="280"/>
      <c r="V1812" s="280"/>
      <c r="W1812" s="79"/>
    </row>
    <row r="1813" spans="1:23" ht="15.75">
      <c r="A1813" s="2080"/>
      <c r="B1813" s="705"/>
      <c r="C1813" s="90"/>
      <c r="D1813" s="2081"/>
      <c r="E1813" s="2082"/>
      <c r="F1813" s="1954"/>
      <c r="G1813" s="90"/>
      <c r="H1813" s="90"/>
      <c r="I1813" s="90"/>
      <c r="J1813" s="90"/>
      <c r="K1813" s="90"/>
      <c r="L1813" s="90"/>
      <c r="M1813" s="1956"/>
      <c r="N1813" s="643"/>
      <c r="O1813" s="2083"/>
      <c r="P1813" s="643"/>
      <c r="Q1813" s="643"/>
      <c r="R1813" s="280"/>
      <c r="S1813" s="280"/>
      <c r="T1813" s="280"/>
      <c r="U1813" s="280"/>
      <c r="V1813" s="280"/>
      <c r="W1813" s="79"/>
    </row>
    <row r="1814" spans="1:23" ht="15.75">
      <c r="A1814" s="2080"/>
      <c r="B1814" s="705"/>
      <c r="C1814" s="90"/>
      <c r="D1814" s="2081"/>
      <c r="E1814" s="2082"/>
      <c r="F1814" s="1954"/>
      <c r="G1814" s="90"/>
      <c r="H1814" s="90"/>
      <c r="I1814" s="90"/>
      <c r="J1814" s="90"/>
      <c r="K1814" s="90"/>
      <c r="L1814" s="90"/>
      <c r="M1814" s="1956"/>
      <c r="N1814" s="643"/>
      <c r="O1814" s="2083"/>
      <c r="P1814" s="643"/>
      <c r="Q1814" s="643"/>
      <c r="R1814" s="280"/>
      <c r="S1814" s="280"/>
      <c r="T1814" s="280"/>
      <c r="U1814" s="280"/>
      <c r="V1814" s="280"/>
      <c r="W1814" s="79"/>
    </row>
    <row r="1815" spans="1:23" ht="15.75">
      <c r="A1815" s="2080"/>
      <c r="B1815" s="705"/>
      <c r="C1815" s="90"/>
      <c r="D1815" s="2081"/>
      <c r="E1815" s="2082"/>
      <c r="F1815" s="1954"/>
      <c r="G1815" s="90"/>
      <c r="H1815" s="90"/>
      <c r="I1815" s="90"/>
      <c r="J1815" s="90"/>
      <c r="K1815" s="90"/>
      <c r="L1815" s="90"/>
      <c r="M1815" s="1956"/>
      <c r="N1815" s="643"/>
      <c r="O1815" s="2083"/>
      <c r="P1815" s="643"/>
      <c r="Q1815" s="643"/>
      <c r="R1815" s="280"/>
      <c r="S1815" s="280"/>
      <c r="T1815" s="280"/>
      <c r="U1815" s="280"/>
      <c r="V1815" s="280"/>
      <c r="W1815" s="79"/>
    </row>
    <row r="1816" spans="1:23" ht="15.75">
      <c r="A1816" s="2080"/>
      <c r="B1816" s="705"/>
      <c r="C1816" s="90"/>
      <c r="D1816" s="2081"/>
      <c r="E1816" s="2082"/>
      <c r="F1816" s="1954"/>
      <c r="G1816" s="90"/>
      <c r="H1816" s="90"/>
      <c r="I1816" s="90"/>
      <c r="J1816" s="90"/>
      <c r="K1816" s="90"/>
      <c r="L1816" s="90"/>
      <c r="M1816" s="1956"/>
      <c r="N1816" s="643"/>
      <c r="O1816" s="2083"/>
      <c r="P1816" s="643"/>
      <c r="Q1816" s="643"/>
      <c r="R1816" s="280"/>
      <c r="S1816" s="280"/>
      <c r="T1816" s="280"/>
      <c r="U1816" s="280"/>
      <c r="V1816" s="280"/>
      <c r="W1816" s="79"/>
    </row>
    <row r="1817" spans="1:23" ht="15.75">
      <c r="A1817" s="2080"/>
      <c r="B1817" s="705"/>
      <c r="C1817" s="90"/>
      <c r="D1817" s="2081"/>
      <c r="E1817" s="2082"/>
      <c r="F1817" s="1954"/>
      <c r="G1817" s="90"/>
      <c r="H1817" s="90"/>
      <c r="I1817" s="90"/>
      <c r="J1817" s="90"/>
      <c r="K1817" s="90"/>
      <c r="L1817" s="90"/>
      <c r="M1817" s="1956"/>
      <c r="N1817" s="643"/>
      <c r="O1817" s="2083"/>
      <c r="P1817" s="643"/>
      <c r="Q1817" s="643"/>
      <c r="R1817" s="280"/>
      <c r="S1817" s="280"/>
      <c r="T1817" s="280"/>
      <c r="U1817" s="280"/>
      <c r="V1817" s="280"/>
      <c r="W1817" s="79"/>
    </row>
    <row r="1818" spans="1:23" ht="15.75">
      <c r="A1818" s="2080"/>
      <c r="B1818" s="705"/>
      <c r="C1818" s="90"/>
      <c r="D1818" s="2081"/>
      <c r="E1818" s="2082"/>
      <c r="F1818" s="1954"/>
      <c r="G1818" s="90"/>
      <c r="H1818" s="90"/>
      <c r="I1818" s="90"/>
      <c r="J1818" s="90"/>
      <c r="K1818" s="90"/>
      <c r="L1818" s="90"/>
      <c r="M1818" s="1956"/>
      <c r="N1818" s="643"/>
      <c r="O1818" s="2083"/>
      <c r="P1818" s="643"/>
      <c r="Q1818" s="643"/>
      <c r="R1818" s="280"/>
      <c r="S1818" s="280"/>
      <c r="T1818" s="280"/>
      <c r="U1818" s="280"/>
      <c r="V1818" s="280"/>
      <c r="W1818" s="79"/>
    </row>
    <row r="1819" spans="1:23" ht="15.75">
      <c r="A1819" s="2080"/>
      <c r="B1819" s="705"/>
      <c r="C1819" s="90"/>
      <c r="D1819" s="2081"/>
      <c r="E1819" s="2082"/>
      <c r="F1819" s="1954"/>
      <c r="G1819" s="90"/>
      <c r="H1819" s="90"/>
      <c r="I1819" s="90"/>
      <c r="J1819" s="90"/>
      <c r="K1819" s="90"/>
      <c r="L1819" s="90"/>
      <c r="M1819" s="1956"/>
      <c r="N1819" s="643"/>
      <c r="O1819" s="2083"/>
      <c r="P1819" s="643"/>
      <c r="Q1819" s="643"/>
      <c r="R1819" s="280"/>
      <c r="S1819" s="280"/>
      <c r="T1819" s="280"/>
      <c r="U1819" s="280"/>
      <c r="V1819" s="280"/>
      <c r="W1819" s="79"/>
    </row>
    <row r="1820" spans="1:23" ht="15.75">
      <c r="A1820" s="2080"/>
      <c r="B1820" s="705"/>
      <c r="C1820" s="90"/>
      <c r="D1820" s="2081"/>
      <c r="E1820" s="2082"/>
      <c r="F1820" s="1954"/>
      <c r="G1820" s="90"/>
      <c r="H1820" s="90"/>
      <c r="I1820" s="90"/>
      <c r="J1820" s="90"/>
      <c r="K1820" s="90"/>
      <c r="L1820" s="90"/>
      <c r="M1820" s="1956"/>
      <c r="N1820" s="643"/>
      <c r="O1820" s="2083"/>
      <c r="P1820" s="643"/>
      <c r="Q1820" s="643"/>
      <c r="R1820" s="280"/>
      <c r="S1820" s="280"/>
      <c r="T1820" s="280"/>
      <c r="U1820" s="280"/>
      <c r="V1820" s="280"/>
      <c r="W1820" s="79"/>
    </row>
    <row r="1821" spans="1:23" ht="15.75">
      <c r="A1821" s="2080"/>
      <c r="B1821" s="705"/>
      <c r="C1821" s="90"/>
      <c r="D1821" s="2081"/>
      <c r="E1821" s="2082"/>
      <c r="F1821" s="1954"/>
      <c r="G1821" s="90"/>
      <c r="H1821" s="90"/>
      <c r="I1821" s="90"/>
      <c r="J1821" s="90"/>
      <c r="K1821" s="90"/>
      <c r="L1821" s="90"/>
      <c r="M1821" s="1956"/>
      <c r="N1821" s="643"/>
      <c r="O1821" s="2083"/>
      <c r="P1821" s="643"/>
      <c r="Q1821" s="643"/>
      <c r="R1821" s="280"/>
      <c r="S1821" s="280"/>
      <c r="T1821" s="280"/>
      <c r="U1821" s="280"/>
      <c r="V1821" s="280"/>
      <c r="W1821" s="79"/>
    </row>
    <row r="1822" spans="1:23" ht="15.75">
      <c r="A1822" s="2080"/>
      <c r="B1822" s="705"/>
      <c r="C1822" s="90"/>
      <c r="D1822" s="2081"/>
      <c r="E1822" s="2082"/>
      <c r="F1822" s="1954"/>
      <c r="G1822" s="90"/>
      <c r="H1822" s="90"/>
      <c r="I1822" s="90"/>
      <c r="J1822" s="90"/>
      <c r="K1822" s="90"/>
      <c r="L1822" s="90"/>
      <c r="M1822" s="1956"/>
      <c r="N1822" s="643"/>
      <c r="O1822" s="2083"/>
      <c r="P1822" s="643"/>
      <c r="Q1822" s="643"/>
      <c r="R1822" s="280"/>
      <c r="S1822" s="280"/>
      <c r="T1822" s="280"/>
      <c r="U1822" s="280"/>
      <c r="V1822" s="280"/>
      <c r="W1822" s="79"/>
    </row>
    <row r="1823" spans="1:23" ht="15.75">
      <c r="A1823" s="2080"/>
      <c r="B1823" s="705"/>
      <c r="C1823" s="90"/>
      <c r="D1823" s="2081"/>
      <c r="E1823" s="2082"/>
      <c r="F1823" s="1954"/>
      <c r="G1823" s="90"/>
      <c r="H1823" s="90"/>
      <c r="I1823" s="90"/>
      <c r="J1823" s="90"/>
      <c r="K1823" s="90"/>
      <c r="L1823" s="90"/>
      <c r="M1823" s="1956"/>
      <c r="N1823" s="643"/>
      <c r="O1823" s="2083"/>
      <c r="P1823" s="643"/>
      <c r="Q1823" s="643"/>
      <c r="R1823" s="280"/>
      <c r="S1823" s="280"/>
      <c r="T1823" s="280"/>
      <c r="U1823" s="280"/>
      <c r="V1823" s="280"/>
      <c r="W1823" s="79"/>
    </row>
    <row r="1824" spans="1:23" ht="15.75">
      <c r="A1824" s="2080"/>
      <c r="B1824" s="705"/>
      <c r="C1824" s="90"/>
      <c r="D1824" s="2081"/>
      <c r="E1824" s="2082"/>
      <c r="F1824" s="1954"/>
      <c r="G1824" s="90"/>
      <c r="H1824" s="90"/>
      <c r="I1824" s="90"/>
      <c r="J1824" s="90"/>
      <c r="K1824" s="90"/>
      <c r="L1824" s="90"/>
      <c r="M1824" s="1956"/>
      <c r="N1824" s="643"/>
      <c r="O1824" s="2083"/>
      <c r="P1824" s="643"/>
      <c r="Q1824" s="643"/>
      <c r="R1824" s="280"/>
      <c r="S1824" s="280"/>
      <c r="T1824" s="280"/>
      <c r="U1824" s="280"/>
      <c r="V1824" s="280"/>
      <c r="W1824" s="79"/>
    </row>
    <row r="1825" spans="1:23" ht="15.75">
      <c r="A1825" s="2080"/>
      <c r="B1825" s="705"/>
      <c r="C1825" s="90"/>
      <c r="D1825" s="2081"/>
      <c r="E1825" s="2082"/>
      <c r="F1825" s="1954"/>
      <c r="G1825" s="90"/>
      <c r="H1825" s="90"/>
      <c r="I1825" s="90"/>
      <c r="J1825" s="90"/>
      <c r="K1825" s="90"/>
      <c r="L1825" s="90"/>
      <c r="M1825" s="1956"/>
      <c r="N1825" s="643"/>
      <c r="O1825" s="2083"/>
      <c r="P1825" s="643"/>
      <c r="Q1825" s="643"/>
      <c r="R1825" s="280"/>
      <c r="S1825" s="280"/>
      <c r="T1825" s="280"/>
      <c r="U1825" s="280"/>
      <c r="V1825" s="280"/>
      <c r="W1825" s="79"/>
    </row>
    <row r="1826" spans="1:23" ht="15.75">
      <c r="A1826" s="2080"/>
      <c r="B1826" s="705"/>
      <c r="C1826" s="90"/>
      <c r="D1826" s="2081"/>
      <c r="E1826" s="2082"/>
      <c r="F1826" s="1954"/>
      <c r="G1826" s="90"/>
      <c r="H1826" s="90"/>
      <c r="I1826" s="90"/>
      <c r="J1826" s="90"/>
      <c r="K1826" s="90"/>
      <c r="L1826" s="90"/>
      <c r="M1826" s="1956"/>
      <c r="N1826" s="643"/>
      <c r="O1826" s="2083"/>
      <c r="P1826" s="643"/>
      <c r="Q1826" s="643"/>
      <c r="R1826" s="280"/>
      <c r="S1826" s="280"/>
      <c r="T1826" s="280"/>
      <c r="U1826" s="280"/>
      <c r="V1826" s="280"/>
      <c r="W1826" s="79"/>
    </row>
    <row r="1827" spans="1:23" ht="15.75">
      <c r="A1827" s="2080"/>
      <c r="B1827" s="705"/>
      <c r="C1827" s="90"/>
      <c r="D1827" s="2081"/>
      <c r="E1827" s="2082"/>
      <c r="F1827" s="1954"/>
      <c r="G1827" s="90"/>
      <c r="H1827" s="90"/>
      <c r="I1827" s="90"/>
      <c r="J1827" s="90"/>
      <c r="K1827" s="90"/>
      <c r="L1827" s="90"/>
      <c r="M1827" s="1956"/>
      <c r="N1827" s="643"/>
      <c r="O1827" s="2083"/>
      <c r="P1827" s="643"/>
      <c r="Q1827" s="643"/>
      <c r="R1827" s="280"/>
      <c r="S1827" s="280"/>
      <c r="T1827" s="280"/>
      <c r="U1827" s="280"/>
      <c r="V1827" s="280"/>
      <c r="W1827" s="79"/>
    </row>
    <row r="1828" spans="1:23" ht="15.75">
      <c r="A1828" s="2080"/>
      <c r="B1828" s="705"/>
      <c r="C1828" s="90"/>
      <c r="D1828" s="2081"/>
      <c r="E1828" s="2082"/>
      <c r="F1828" s="1954"/>
      <c r="G1828" s="90"/>
      <c r="H1828" s="90"/>
      <c r="I1828" s="90"/>
      <c r="J1828" s="90"/>
      <c r="K1828" s="90"/>
      <c r="L1828" s="90"/>
      <c r="M1828" s="1956"/>
      <c r="N1828" s="643"/>
      <c r="O1828" s="2083"/>
      <c r="P1828" s="643"/>
      <c r="Q1828" s="643"/>
      <c r="R1828" s="280"/>
      <c r="S1828" s="280"/>
      <c r="T1828" s="280"/>
      <c r="U1828" s="280"/>
      <c r="V1828" s="280"/>
      <c r="W1828" s="79"/>
    </row>
    <row r="1829" spans="1:23" ht="15.75">
      <c r="A1829" s="2080"/>
      <c r="B1829" s="705"/>
      <c r="C1829" s="90"/>
      <c r="D1829" s="2081"/>
      <c r="E1829" s="2082"/>
      <c r="F1829" s="1954"/>
      <c r="G1829" s="90"/>
      <c r="H1829" s="90"/>
      <c r="I1829" s="90"/>
      <c r="J1829" s="90"/>
      <c r="K1829" s="90"/>
      <c r="L1829" s="90"/>
      <c r="M1829" s="1956"/>
      <c r="N1829" s="643"/>
      <c r="O1829" s="2083"/>
      <c r="P1829" s="643"/>
      <c r="Q1829" s="643"/>
      <c r="R1829" s="280"/>
      <c r="S1829" s="280"/>
      <c r="T1829" s="280"/>
      <c r="U1829" s="280"/>
      <c r="V1829" s="280"/>
      <c r="W1829" s="79"/>
    </row>
    <row r="1830" spans="1:23" ht="15.75">
      <c r="A1830" s="2080"/>
      <c r="B1830" s="705"/>
      <c r="C1830" s="90"/>
      <c r="D1830" s="2081"/>
      <c r="E1830" s="2082"/>
      <c r="F1830" s="1954"/>
      <c r="G1830" s="90"/>
      <c r="H1830" s="90"/>
      <c r="I1830" s="90"/>
      <c r="J1830" s="90"/>
      <c r="K1830" s="90"/>
      <c r="L1830" s="90"/>
      <c r="M1830" s="1956"/>
      <c r="N1830" s="643"/>
      <c r="O1830" s="2083"/>
      <c r="P1830" s="643"/>
      <c r="Q1830" s="643"/>
      <c r="R1830" s="280"/>
      <c r="S1830" s="280"/>
      <c r="T1830" s="280"/>
      <c r="U1830" s="280"/>
      <c r="V1830" s="280"/>
      <c r="W1830" s="79"/>
    </row>
    <row r="1831" spans="1:23" ht="15.75">
      <c r="A1831" s="2080"/>
      <c r="B1831" s="705"/>
      <c r="C1831" s="90"/>
      <c r="D1831" s="2081"/>
      <c r="E1831" s="2082"/>
      <c r="F1831" s="1954"/>
      <c r="G1831" s="90"/>
      <c r="H1831" s="90"/>
      <c r="I1831" s="90"/>
      <c r="J1831" s="90"/>
      <c r="K1831" s="90"/>
      <c r="L1831" s="90"/>
      <c r="M1831" s="1956"/>
      <c r="N1831" s="643"/>
      <c r="O1831" s="2083"/>
      <c r="P1831" s="643"/>
      <c r="Q1831" s="643"/>
      <c r="R1831" s="280"/>
      <c r="S1831" s="280"/>
      <c r="T1831" s="280"/>
      <c r="U1831" s="280"/>
      <c r="V1831" s="280"/>
      <c r="W1831" s="79"/>
    </row>
    <row r="1832" spans="1:23" ht="15.75">
      <c r="A1832" s="2080"/>
      <c r="B1832" s="705"/>
      <c r="C1832" s="90"/>
      <c r="D1832" s="2081"/>
      <c r="E1832" s="2082"/>
      <c r="F1832" s="1954"/>
      <c r="G1832" s="90"/>
      <c r="H1832" s="90"/>
      <c r="I1832" s="90"/>
      <c r="J1832" s="90"/>
      <c r="K1832" s="90"/>
      <c r="L1832" s="90"/>
      <c r="M1832" s="1956"/>
      <c r="N1832" s="643"/>
      <c r="O1832" s="2083"/>
      <c r="P1832" s="643"/>
      <c r="Q1832" s="643"/>
      <c r="R1832" s="280"/>
      <c r="S1832" s="280"/>
      <c r="T1832" s="280"/>
      <c r="U1832" s="280"/>
      <c r="V1832" s="280"/>
      <c r="W1832" s="79"/>
    </row>
    <row r="1833" spans="1:23" ht="15.75">
      <c r="A1833" s="2080"/>
      <c r="B1833" s="705"/>
      <c r="C1833" s="90"/>
      <c r="D1833" s="2081"/>
      <c r="E1833" s="2082"/>
      <c r="F1833" s="1954"/>
      <c r="G1833" s="90"/>
      <c r="H1833" s="90"/>
      <c r="I1833" s="90"/>
      <c r="J1833" s="90"/>
      <c r="K1833" s="90"/>
      <c r="L1833" s="90"/>
      <c r="M1833" s="1956"/>
      <c r="N1833" s="643"/>
      <c r="O1833" s="2083"/>
      <c r="P1833" s="643"/>
      <c r="Q1833" s="643"/>
      <c r="R1833" s="280"/>
      <c r="S1833" s="280"/>
      <c r="T1833" s="280"/>
      <c r="U1833" s="280"/>
      <c r="V1833" s="280"/>
      <c r="W1833" s="79"/>
    </row>
    <row r="1834" spans="1:23" ht="15.75">
      <c r="A1834" s="2080"/>
      <c r="B1834" s="705"/>
      <c r="C1834" s="90"/>
      <c r="D1834" s="2081"/>
      <c r="E1834" s="2082"/>
      <c r="F1834" s="1954"/>
      <c r="G1834" s="90"/>
      <c r="H1834" s="90"/>
      <c r="I1834" s="90"/>
      <c r="J1834" s="90"/>
      <c r="K1834" s="90"/>
      <c r="L1834" s="90"/>
      <c r="M1834" s="1956"/>
      <c r="N1834" s="643"/>
      <c r="O1834" s="2083"/>
      <c r="P1834" s="643"/>
      <c r="Q1834" s="643"/>
      <c r="R1834" s="280"/>
      <c r="S1834" s="280"/>
      <c r="T1834" s="280"/>
      <c r="U1834" s="280"/>
      <c r="V1834" s="280"/>
      <c r="W1834" s="79"/>
    </row>
    <row r="1835" spans="1:23" ht="15.75">
      <c r="A1835" s="2080"/>
      <c r="B1835" s="705"/>
      <c r="C1835" s="90"/>
      <c r="D1835" s="2081"/>
      <c r="E1835" s="2082"/>
      <c r="F1835" s="1954"/>
      <c r="G1835" s="90"/>
      <c r="H1835" s="90"/>
      <c r="I1835" s="90"/>
      <c r="J1835" s="90"/>
      <c r="K1835" s="90"/>
      <c r="L1835" s="90"/>
      <c r="M1835" s="1956"/>
      <c r="N1835" s="643"/>
      <c r="O1835" s="2083"/>
      <c r="P1835" s="643"/>
      <c r="Q1835" s="643"/>
      <c r="R1835" s="280"/>
      <c r="S1835" s="280"/>
      <c r="T1835" s="280"/>
      <c r="U1835" s="280"/>
      <c r="V1835" s="280"/>
      <c r="W1835" s="79"/>
    </row>
    <row r="1836" spans="1:23" ht="15.75">
      <c r="A1836" s="2080"/>
      <c r="B1836" s="705"/>
      <c r="C1836" s="90"/>
      <c r="D1836" s="2081"/>
      <c r="E1836" s="2082"/>
      <c r="F1836" s="1954"/>
      <c r="G1836" s="90"/>
      <c r="H1836" s="90"/>
      <c r="I1836" s="90"/>
      <c r="J1836" s="90"/>
      <c r="K1836" s="90"/>
      <c r="L1836" s="90"/>
      <c r="M1836" s="1956"/>
      <c r="N1836" s="643"/>
      <c r="O1836" s="2083"/>
      <c r="P1836" s="643"/>
      <c r="Q1836" s="643"/>
      <c r="R1836" s="280"/>
      <c r="S1836" s="280"/>
      <c r="T1836" s="280"/>
      <c r="U1836" s="280"/>
      <c r="V1836" s="280"/>
      <c r="W1836" s="79"/>
    </row>
    <row r="1837" spans="1:23" ht="15.75">
      <c r="A1837" s="2080"/>
      <c r="B1837" s="705"/>
      <c r="C1837" s="90"/>
      <c r="D1837" s="2081"/>
      <c r="E1837" s="2082"/>
      <c r="F1837" s="1954"/>
      <c r="G1837" s="90"/>
      <c r="H1837" s="90"/>
      <c r="I1837" s="90"/>
      <c r="J1837" s="90"/>
      <c r="K1837" s="90"/>
      <c r="L1837" s="90"/>
      <c r="M1837" s="1956"/>
      <c r="N1837" s="643"/>
      <c r="O1837" s="2083"/>
      <c r="P1837" s="643"/>
      <c r="Q1837" s="643"/>
      <c r="R1837" s="280"/>
      <c r="S1837" s="280"/>
      <c r="T1837" s="280"/>
      <c r="U1837" s="280"/>
      <c r="V1837" s="280"/>
      <c r="W1837" s="79"/>
    </row>
    <row r="1838" spans="1:23" ht="15.75">
      <c r="A1838" s="2080"/>
      <c r="B1838" s="705"/>
      <c r="C1838" s="90"/>
      <c r="D1838" s="2081"/>
      <c r="E1838" s="2082"/>
      <c r="F1838" s="1954"/>
      <c r="G1838" s="90"/>
      <c r="H1838" s="90"/>
      <c r="I1838" s="90"/>
      <c r="J1838" s="90"/>
      <c r="K1838" s="90"/>
      <c r="L1838" s="90"/>
      <c r="M1838" s="1956"/>
      <c r="N1838" s="643"/>
      <c r="O1838" s="2083"/>
      <c r="P1838" s="643"/>
      <c r="Q1838" s="643"/>
      <c r="R1838" s="280"/>
      <c r="S1838" s="280"/>
      <c r="T1838" s="280"/>
      <c r="U1838" s="280"/>
      <c r="V1838" s="280"/>
      <c r="W1838" s="79"/>
    </row>
    <row r="1839" spans="1:23" ht="15.75">
      <c r="A1839" s="2080"/>
      <c r="B1839" s="705"/>
      <c r="C1839" s="90"/>
      <c r="D1839" s="2081"/>
      <c r="E1839" s="2082"/>
      <c r="F1839" s="1954"/>
      <c r="G1839" s="90"/>
      <c r="H1839" s="90"/>
      <c r="I1839" s="90"/>
      <c r="J1839" s="90"/>
      <c r="K1839" s="90"/>
      <c r="L1839" s="90"/>
      <c r="M1839" s="1956"/>
      <c r="N1839" s="643"/>
      <c r="O1839" s="2083"/>
      <c r="P1839" s="643"/>
      <c r="Q1839" s="643"/>
      <c r="R1839" s="280"/>
      <c r="S1839" s="280"/>
      <c r="T1839" s="280"/>
      <c r="U1839" s="280"/>
      <c r="V1839" s="280"/>
      <c r="W1839" s="79"/>
    </row>
    <row r="1840" spans="1:23" ht="15.75">
      <c r="A1840" s="2080"/>
      <c r="B1840" s="705"/>
      <c r="C1840" s="90"/>
      <c r="D1840" s="2081"/>
      <c r="E1840" s="2082"/>
      <c r="F1840" s="1954"/>
      <c r="G1840" s="90"/>
      <c r="H1840" s="90"/>
      <c r="I1840" s="90"/>
      <c r="J1840" s="90"/>
      <c r="K1840" s="90"/>
      <c r="L1840" s="90"/>
      <c r="M1840" s="1956"/>
      <c r="N1840" s="643"/>
      <c r="O1840" s="2083"/>
      <c r="P1840" s="643"/>
      <c r="Q1840" s="643"/>
      <c r="R1840" s="280"/>
      <c r="S1840" s="280"/>
      <c r="T1840" s="280"/>
      <c r="U1840" s="280"/>
      <c r="V1840" s="280"/>
      <c r="W1840" s="79"/>
    </row>
    <row r="1841" spans="1:23" ht="15.75">
      <c r="A1841" s="2080"/>
      <c r="B1841" s="705"/>
      <c r="C1841" s="90"/>
      <c r="D1841" s="2081"/>
      <c r="E1841" s="2082"/>
      <c r="F1841" s="1954"/>
      <c r="G1841" s="90"/>
      <c r="H1841" s="90"/>
      <c r="I1841" s="90"/>
      <c r="J1841" s="90"/>
      <c r="K1841" s="90"/>
      <c r="L1841" s="90"/>
      <c r="M1841" s="1956"/>
      <c r="N1841" s="643"/>
      <c r="O1841" s="2083"/>
      <c r="P1841" s="643"/>
      <c r="Q1841" s="643"/>
      <c r="R1841" s="280"/>
      <c r="S1841" s="280"/>
      <c r="T1841" s="280"/>
      <c r="U1841" s="280"/>
      <c r="V1841" s="280"/>
      <c r="W1841" s="79"/>
    </row>
    <row r="1842" spans="1:23" ht="15.75">
      <c r="A1842" s="2080"/>
      <c r="B1842" s="705"/>
      <c r="C1842" s="90"/>
      <c r="D1842" s="2081"/>
      <c r="E1842" s="2082"/>
      <c r="F1842" s="1954"/>
      <c r="G1842" s="90"/>
      <c r="H1842" s="90"/>
      <c r="I1842" s="90"/>
      <c r="J1842" s="90"/>
      <c r="K1842" s="90"/>
      <c r="L1842" s="90"/>
      <c r="M1842" s="1956"/>
      <c r="N1842" s="643"/>
      <c r="O1842" s="2083"/>
      <c r="P1842" s="643"/>
      <c r="Q1842" s="643"/>
      <c r="R1842" s="280"/>
      <c r="S1842" s="280"/>
      <c r="T1842" s="280"/>
      <c r="U1842" s="280"/>
      <c r="V1842" s="280"/>
      <c r="W1842" s="79"/>
    </row>
    <row r="1843" spans="1:23" ht="15.75">
      <c r="A1843" s="2080"/>
      <c r="B1843" s="705"/>
      <c r="C1843" s="90"/>
      <c r="D1843" s="2081"/>
      <c r="E1843" s="2082"/>
      <c r="F1843" s="1954"/>
      <c r="G1843" s="90"/>
      <c r="H1843" s="90"/>
      <c r="I1843" s="90"/>
      <c r="J1843" s="90"/>
      <c r="K1843" s="90"/>
      <c r="L1843" s="90"/>
      <c r="M1843" s="1956"/>
      <c r="N1843" s="643"/>
      <c r="O1843" s="2083"/>
      <c r="P1843" s="643"/>
      <c r="Q1843" s="643"/>
      <c r="R1843" s="280"/>
      <c r="S1843" s="280"/>
      <c r="T1843" s="280"/>
      <c r="U1843" s="280"/>
      <c r="V1843" s="280"/>
      <c r="W1843" s="79"/>
    </row>
    <row r="1844" spans="1:23" ht="15.75">
      <c r="A1844" s="2080"/>
      <c r="B1844" s="705"/>
      <c r="C1844" s="90"/>
      <c r="D1844" s="2081"/>
      <c r="E1844" s="2082"/>
      <c r="F1844" s="1954"/>
      <c r="G1844" s="90"/>
      <c r="H1844" s="90"/>
      <c r="I1844" s="90"/>
      <c r="J1844" s="90"/>
      <c r="K1844" s="90"/>
      <c r="L1844" s="90"/>
      <c r="M1844" s="1956"/>
      <c r="N1844" s="643"/>
      <c r="O1844" s="2083"/>
      <c r="P1844" s="643"/>
      <c r="Q1844" s="643"/>
      <c r="R1844" s="280"/>
      <c r="S1844" s="280"/>
      <c r="T1844" s="280"/>
      <c r="U1844" s="280"/>
      <c r="V1844" s="280"/>
      <c r="W1844" s="79"/>
    </row>
    <row r="1845" spans="1:23" ht="15.75">
      <c r="A1845" s="2080"/>
      <c r="B1845" s="705"/>
      <c r="C1845" s="90"/>
      <c r="D1845" s="2081"/>
      <c r="E1845" s="2082"/>
      <c r="F1845" s="1954"/>
      <c r="G1845" s="90"/>
      <c r="H1845" s="90"/>
      <c r="I1845" s="90"/>
      <c r="J1845" s="90"/>
      <c r="K1845" s="90"/>
      <c r="L1845" s="90"/>
      <c r="M1845" s="1956"/>
      <c r="N1845" s="643"/>
      <c r="O1845" s="2083"/>
      <c r="P1845" s="643"/>
      <c r="Q1845" s="643"/>
      <c r="R1845" s="280"/>
      <c r="S1845" s="280"/>
      <c r="T1845" s="280"/>
      <c r="U1845" s="280"/>
      <c r="V1845" s="280"/>
      <c r="W1845" s="79"/>
    </row>
    <row r="1846" spans="1:23" ht="15.75">
      <c r="A1846" s="2080"/>
      <c r="B1846" s="705"/>
      <c r="C1846" s="90"/>
      <c r="D1846" s="2081"/>
      <c r="E1846" s="2082"/>
      <c r="F1846" s="1954"/>
      <c r="G1846" s="90"/>
      <c r="H1846" s="90"/>
      <c r="I1846" s="90"/>
      <c r="J1846" s="90"/>
      <c r="K1846" s="90"/>
      <c r="L1846" s="90"/>
      <c r="M1846" s="1956"/>
      <c r="N1846" s="643"/>
      <c r="O1846" s="2083"/>
      <c r="P1846" s="643"/>
      <c r="Q1846" s="643"/>
      <c r="R1846" s="280"/>
      <c r="S1846" s="280"/>
      <c r="T1846" s="280"/>
      <c r="U1846" s="280"/>
      <c r="V1846" s="280"/>
      <c r="W1846" s="79"/>
    </row>
  </sheetData>
  <customSheetViews>
    <customSheetView guid="{33EFB045-6F18-44EF-AF30-A70FBA4175CB}" filter="1" showAutoFilter="1">
      <pageMargins left="0.7" right="0.7" top="0.75" bottom="0.75" header="0.3" footer="0.3"/>
      <autoFilter ref="A1:V5"/>
    </customSheetView>
    <customSheetView guid="{E35DC7DC-3457-48C8-A5BC-48210E8789BE}" filter="1" showAutoFilter="1">
      <pageMargins left="0.7" right="0.7" top="0.75" bottom="0.75" header="0.3" footer="0.3"/>
      <autoFilter ref="O1:O727"/>
    </customSheetView>
    <customSheetView guid="{FBC3CD13-E3C0-4C21-A8EF-FC22F8388BF0}" filter="1" showAutoFilter="1">
      <pageMargins left="0.7" right="0.7" top="0.75" bottom="0.75" header="0.3" footer="0.3"/>
      <autoFilter ref="A1:X2"/>
    </customSheetView>
  </customSheetViews>
  <conditionalFormatting sqref="V78">
    <cfRule type="notContainsBlanks" dxfId="1092" priority="1">
      <formula>LEN(TRIM(V78))&gt;0</formula>
    </cfRule>
  </conditionalFormatting>
  <conditionalFormatting sqref="F78">
    <cfRule type="containsText" dxfId="1091" priority="2" operator="containsText" text="F">
      <formula>NOT(ISERROR(SEARCH(("F"),(F78))))</formula>
    </cfRule>
  </conditionalFormatting>
  <conditionalFormatting sqref="P78">
    <cfRule type="expression" dxfId="1090" priority="3">
      <formula>AND(ISNUMBER(P78),TRUNC(P78)&lt;TODAY())</formula>
    </cfRule>
  </conditionalFormatting>
  <conditionalFormatting sqref="P78">
    <cfRule type="expression" dxfId="1089" priority="4">
      <formula>AND(ISNUMBER(P78),TRUNC(P78)&lt;TODAY())</formula>
    </cfRule>
  </conditionalFormatting>
  <conditionalFormatting sqref="O78">
    <cfRule type="expression" dxfId="1088" priority="5">
      <formula>AND(ISNUMBER(O78),TRUNC(O78)&lt;TODAY())</formula>
    </cfRule>
  </conditionalFormatting>
  <conditionalFormatting sqref="Q78">
    <cfRule type="expression" dxfId="1087" priority="6">
      <formula>AND(ISNUMBER(Q78),TRUNC(Q78)&lt;TODAY())</formula>
    </cfRule>
  </conditionalFormatting>
  <conditionalFormatting sqref="Q79">
    <cfRule type="expression" dxfId="1086" priority="7">
      <formula>AND(ISNUMBER(Q79),TRUNC(Q79)&lt;TODAY())</formula>
    </cfRule>
  </conditionalFormatting>
  <conditionalFormatting sqref="P79">
    <cfRule type="expression" dxfId="1085" priority="8">
      <formula>AND(ISNUMBER(P79),TRUNC(P79)&lt;TODAY())</formula>
    </cfRule>
  </conditionalFormatting>
  <conditionalFormatting sqref="F79">
    <cfRule type="containsText" dxfId="1084" priority="9" operator="containsText" text="F">
      <formula>NOT(ISERROR(SEARCH(("F"),(F79))))</formula>
    </cfRule>
  </conditionalFormatting>
  <conditionalFormatting sqref="V79">
    <cfRule type="notContainsBlanks" dxfId="1083" priority="10">
      <formula>LEN(TRIM(V79))&gt;0</formula>
    </cfRule>
  </conditionalFormatting>
  <conditionalFormatting sqref="O79">
    <cfRule type="expression" dxfId="1082" priority="11">
      <formula>AND(ISNUMBER(O79),TRUNC(O79)&lt;TODAY())</formula>
    </cfRule>
  </conditionalFormatting>
  <conditionalFormatting sqref="P80">
    <cfRule type="expression" dxfId="1081" priority="12">
      <formula>AND(ISNUMBER(P80),TRUNC(P80)&lt;TODAY())</formula>
    </cfRule>
  </conditionalFormatting>
  <conditionalFormatting sqref="Q80">
    <cfRule type="expression" dxfId="1080" priority="13">
      <formula>AND(ISNUMBER(Q80),TRUNC(Q80)&lt;TODAY())</formula>
    </cfRule>
  </conditionalFormatting>
  <conditionalFormatting sqref="O80">
    <cfRule type="expression" dxfId="1079" priority="14">
      <formula>AND(ISNUMBER(O80),TRUNC(O80)&lt;TODAY())</formula>
    </cfRule>
  </conditionalFormatting>
  <conditionalFormatting sqref="F80">
    <cfRule type="containsText" dxfId="1078" priority="15" operator="containsText" text="F">
      <formula>NOT(ISERROR(SEARCH(("F"),(F80))))</formula>
    </cfRule>
  </conditionalFormatting>
  <conditionalFormatting sqref="Q81">
    <cfRule type="expression" dxfId="1077" priority="16">
      <formula>AND(ISNUMBER(Q81),TRUNC(Q81)&lt;TODAY())</formula>
    </cfRule>
  </conditionalFormatting>
  <conditionalFormatting sqref="F81">
    <cfRule type="containsText" dxfId="1076" priority="17" operator="containsText" text="F">
      <formula>NOT(ISERROR(SEARCH(("F"),(F81))))</formula>
    </cfRule>
  </conditionalFormatting>
  <conditionalFormatting sqref="P81">
    <cfRule type="expression" dxfId="1075" priority="18">
      <formula>AND(ISNUMBER(P81),TRUNC(P81)&lt;TODAY())</formula>
    </cfRule>
  </conditionalFormatting>
  <conditionalFormatting sqref="O81">
    <cfRule type="expression" dxfId="1074" priority="19">
      <formula>AND(ISNUMBER(O81),TRUNC(O81)&lt;TODAY())</formula>
    </cfRule>
  </conditionalFormatting>
  <conditionalFormatting sqref="V81">
    <cfRule type="notContainsBlanks" dxfId="1073" priority="20">
      <formula>LEN(TRIM(V81))&gt;0</formula>
    </cfRule>
  </conditionalFormatting>
  <conditionalFormatting sqref="V82">
    <cfRule type="notContainsBlanks" dxfId="1072" priority="21">
      <formula>LEN(TRIM(V82))&gt;0</formula>
    </cfRule>
  </conditionalFormatting>
  <conditionalFormatting sqref="O82">
    <cfRule type="expression" dxfId="1071" priority="22">
      <formula>AND(ISNUMBER(O82),TRUNC(O82)&lt;TODAY())</formula>
    </cfRule>
  </conditionalFormatting>
  <conditionalFormatting sqref="P82">
    <cfRule type="expression" dxfId="1070" priority="23">
      <formula>AND(ISNUMBER(P82),TRUNC(P82)&lt;TODAY())</formula>
    </cfRule>
  </conditionalFormatting>
  <conditionalFormatting sqref="Q82">
    <cfRule type="expression" dxfId="1069" priority="24">
      <formula>AND(ISNUMBER(Q82),TRUNC(Q82)&lt;TODAY())</formula>
    </cfRule>
  </conditionalFormatting>
  <conditionalFormatting sqref="Q82">
    <cfRule type="expression" dxfId="1068" priority="25">
      <formula>AND(ISNUMBER(Q82),TRUNC(Q82)&lt;TODAY())</formula>
    </cfRule>
  </conditionalFormatting>
  <conditionalFormatting sqref="F82">
    <cfRule type="containsText" dxfId="1067" priority="26" operator="containsText" text="F">
      <formula>NOT(ISERROR(SEARCH(("F"),(F82))))</formula>
    </cfRule>
  </conditionalFormatting>
  <conditionalFormatting sqref="F83">
    <cfRule type="containsText" dxfId="1066" priority="27" operator="containsText" text="F">
      <formula>NOT(ISERROR(SEARCH(("F"),(F83))))</formula>
    </cfRule>
  </conditionalFormatting>
  <conditionalFormatting sqref="V83">
    <cfRule type="notContainsBlanks" dxfId="1065" priority="28">
      <formula>LEN(TRIM(V83))&gt;0</formula>
    </cfRule>
  </conditionalFormatting>
  <conditionalFormatting sqref="O83">
    <cfRule type="expression" dxfId="1064" priority="29">
      <formula>AND(ISNUMBER(O83),TRUNC(O83)&lt;TODAY())</formula>
    </cfRule>
  </conditionalFormatting>
  <conditionalFormatting sqref="Q83">
    <cfRule type="expression" dxfId="1063" priority="30">
      <formula>AND(ISNUMBER(Q83),TRUNC(Q83)&lt;TODAY())</formula>
    </cfRule>
  </conditionalFormatting>
  <conditionalFormatting sqref="Q83">
    <cfRule type="expression" dxfId="1062" priority="31">
      <formula>AND(ISNUMBER(Q83),TRUNC(Q83)&lt;TODAY())</formula>
    </cfRule>
  </conditionalFormatting>
  <conditionalFormatting sqref="P83">
    <cfRule type="expression" dxfId="1061" priority="32">
      <formula>AND(ISNUMBER(P83),TRUNC(P83)&lt;TODAY())</formula>
    </cfRule>
  </conditionalFormatting>
  <conditionalFormatting sqref="P83">
    <cfRule type="expression" dxfId="1060" priority="33">
      <formula>AND(ISNUMBER(P83),TRUNC(P83)&lt;TODAY())</formula>
    </cfRule>
  </conditionalFormatting>
  <conditionalFormatting sqref="F84">
    <cfRule type="containsText" dxfId="1059" priority="34" operator="containsText" text="F">
      <formula>NOT(ISERROR(SEARCH(("F"),(F84))))</formula>
    </cfRule>
  </conditionalFormatting>
  <conditionalFormatting sqref="V84">
    <cfRule type="notContainsBlanks" dxfId="1058" priority="35">
      <formula>LEN(TRIM(V84))&gt;0</formula>
    </cfRule>
  </conditionalFormatting>
  <conditionalFormatting sqref="O84">
    <cfRule type="expression" dxfId="1057" priority="36">
      <formula>AND(ISNUMBER(O84),TRUNC(O84)&lt;TODAY())</formula>
    </cfRule>
  </conditionalFormatting>
  <conditionalFormatting sqref="P84">
    <cfRule type="expression" dxfId="1056" priority="37">
      <formula>AND(ISNUMBER(P84),TRUNC(P84)&lt;TODAY())</formula>
    </cfRule>
  </conditionalFormatting>
  <conditionalFormatting sqref="F85">
    <cfRule type="containsText" dxfId="1055" priority="38" operator="containsText" text="F">
      <formula>NOT(ISERROR(SEARCH(("F"),(F85))))</formula>
    </cfRule>
  </conditionalFormatting>
  <conditionalFormatting sqref="O85">
    <cfRule type="expression" dxfId="1054" priority="39">
      <formula>AND(ISNUMBER(O85),TRUNC(O85)&lt;TODAY())</formula>
    </cfRule>
  </conditionalFormatting>
  <conditionalFormatting sqref="Q85">
    <cfRule type="expression" dxfId="1053" priority="40">
      <formula>AND(ISNUMBER(Q85),TRUNC(Q85)&lt;TODAY())</formula>
    </cfRule>
  </conditionalFormatting>
  <conditionalFormatting sqref="P85">
    <cfRule type="expression" dxfId="1052" priority="41">
      <formula>AND(ISNUMBER(P85),TRUNC(P85)&lt;TODAY())</formula>
    </cfRule>
  </conditionalFormatting>
  <conditionalFormatting sqref="O86">
    <cfRule type="expression" dxfId="1051" priority="42">
      <formula>AND(ISNUMBER(O86),TRUNC(O86)&lt;TODAY())</formula>
    </cfRule>
  </conditionalFormatting>
  <conditionalFormatting sqref="F86">
    <cfRule type="containsText" dxfId="1050" priority="43" operator="containsText" text="F">
      <formula>NOT(ISERROR(SEARCH(("F"),(F86))))</formula>
    </cfRule>
  </conditionalFormatting>
  <conditionalFormatting sqref="P86">
    <cfRule type="expression" dxfId="1049" priority="44">
      <formula>AND(ISNUMBER(P86),TRUNC(P86)&lt;TODAY())</formula>
    </cfRule>
  </conditionalFormatting>
  <conditionalFormatting sqref="Q86">
    <cfRule type="expression" dxfId="1048" priority="45">
      <formula>AND(ISNUMBER(Q86),TRUNC(Q86)&lt;TODAY())</formula>
    </cfRule>
  </conditionalFormatting>
  <conditionalFormatting sqref="F87">
    <cfRule type="containsText" dxfId="1047" priority="46" operator="containsText" text="F">
      <formula>NOT(ISERROR(SEARCH(("F"),(F87))))</formula>
    </cfRule>
  </conditionalFormatting>
  <conditionalFormatting sqref="P87">
    <cfRule type="expression" dxfId="1046" priority="47">
      <formula>AND(ISNUMBER(P87),TRUNC(P87)&lt;TODAY())</formula>
    </cfRule>
  </conditionalFormatting>
  <conditionalFormatting sqref="O87">
    <cfRule type="expression" dxfId="1045" priority="48">
      <formula>AND(ISNUMBER(O87),TRUNC(O87)&lt;TODAY())</formula>
    </cfRule>
  </conditionalFormatting>
  <conditionalFormatting sqref="Q87">
    <cfRule type="expression" dxfId="1044" priority="49">
      <formula>AND(ISNUMBER(Q87),TRUNC(Q87)&lt;TODAY())</formula>
    </cfRule>
  </conditionalFormatting>
  <conditionalFormatting sqref="V88">
    <cfRule type="notContainsBlanks" dxfId="1043" priority="50">
      <formula>LEN(TRIM(V88))&gt;0</formula>
    </cfRule>
  </conditionalFormatting>
  <conditionalFormatting sqref="P88">
    <cfRule type="expression" dxfId="1042" priority="51">
      <formula>AND(ISNUMBER(P88),TRUNC(P88)&lt;TODAY())</formula>
    </cfRule>
  </conditionalFormatting>
  <conditionalFormatting sqref="O88">
    <cfRule type="expression" dxfId="1041" priority="52">
      <formula>AND(ISNUMBER(O88),TRUNC(O88)&lt;TODAY())</formula>
    </cfRule>
  </conditionalFormatting>
  <conditionalFormatting sqref="O88:Q88">
    <cfRule type="expression" dxfId="1040" priority="53">
      <formula>AND(ISNUMBER(O88),TRUNC(O88)&lt;TODAY())</formula>
    </cfRule>
  </conditionalFormatting>
  <conditionalFormatting sqref="F88">
    <cfRule type="containsText" dxfId="1039" priority="54" operator="containsText" text="F">
      <formula>NOT(ISERROR(SEARCH(("F"),(F88))))</formula>
    </cfRule>
  </conditionalFormatting>
  <conditionalFormatting sqref="F77">
    <cfRule type="containsText" dxfId="1038" priority="55" operator="containsText" text="F">
      <formula>NOT(ISERROR(SEARCH(("F"),(F77))))</formula>
    </cfRule>
  </conditionalFormatting>
  <conditionalFormatting sqref="O77:Q77">
    <cfRule type="expression" dxfId="1037" priority="56">
      <formula>AND(ISNUMBER(O77),TRUNC(O77)&lt;TODAY())</formula>
    </cfRule>
  </conditionalFormatting>
  <conditionalFormatting sqref="F143">
    <cfRule type="containsText" dxfId="1036" priority="57" operator="containsText" text="F">
      <formula>NOT(ISERROR(SEARCH(("F"),(F143))))</formula>
    </cfRule>
  </conditionalFormatting>
  <conditionalFormatting sqref="V143">
    <cfRule type="notContainsBlanks" dxfId="1035" priority="58">
      <formula>LEN(TRIM(V143))&gt;0</formula>
    </cfRule>
  </conditionalFormatting>
  <conditionalFormatting sqref="O143">
    <cfRule type="expression" dxfId="1034" priority="59">
      <formula>AND(ISNUMBER(O143),TRUNC(O143)&lt;TODAY())</formula>
    </cfRule>
  </conditionalFormatting>
  <conditionalFormatting sqref="Q143">
    <cfRule type="expression" dxfId="1033" priority="60">
      <formula>AND(ISNUMBER(Q143),TRUNC(Q143)&lt;TODAY())</formula>
    </cfRule>
  </conditionalFormatting>
  <conditionalFormatting sqref="P143">
    <cfRule type="expression" dxfId="1032" priority="61">
      <formula>AND(ISNUMBER(P143),TRUNC(P143)&lt;TODAY())</formula>
    </cfRule>
  </conditionalFormatting>
  <conditionalFormatting sqref="V142">
    <cfRule type="notContainsBlanks" dxfId="1031" priority="62">
      <formula>LEN(TRIM(V142))&gt;0</formula>
    </cfRule>
  </conditionalFormatting>
  <conditionalFormatting sqref="Q142">
    <cfRule type="expression" dxfId="1030" priority="63">
      <formula>AND(ISNUMBER(Q142),TRUNC(Q142)&lt;TODAY())</formula>
    </cfRule>
  </conditionalFormatting>
  <conditionalFormatting sqref="Q142">
    <cfRule type="expression" dxfId="1029" priority="64">
      <formula>AND(ISNUMBER(Q142),TRUNC(Q142)&lt;TODAY())</formula>
    </cfRule>
  </conditionalFormatting>
  <conditionalFormatting sqref="P142">
    <cfRule type="expression" dxfId="1028" priority="65">
      <formula>AND(ISNUMBER(P142),TRUNC(P142)&lt;TODAY())</formula>
    </cfRule>
  </conditionalFormatting>
  <conditionalFormatting sqref="P142">
    <cfRule type="expression" dxfId="1027" priority="66">
      <formula>AND(ISNUMBER(P142),TRUNC(P142)&lt;TODAY())</formula>
    </cfRule>
  </conditionalFormatting>
  <conditionalFormatting sqref="O142">
    <cfRule type="expression" dxfId="1026" priority="67">
      <formula>AND(ISNUMBER(O142),TRUNC(O142)&lt;TODAY())</formula>
    </cfRule>
  </conditionalFormatting>
  <conditionalFormatting sqref="F142">
    <cfRule type="containsText" dxfId="1025" priority="68" operator="containsText" text="F">
      <formula>NOT(ISERROR(SEARCH(("F"),(F142))))</formula>
    </cfRule>
  </conditionalFormatting>
  <conditionalFormatting sqref="F141">
    <cfRule type="containsText" dxfId="1024" priority="69" operator="containsText" text="F">
      <formula>NOT(ISERROR(SEARCH(("F"),(F141))))</formula>
    </cfRule>
  </conditionalFormatting>
  <conditionalFormatting sqref="V141">
    <cfRule type="notContainsBlanks" dxfId="1023" priority="70">
      <formula>LEN(TRIM(V141))&gt;0</formula>
    </cfRule>
  </conditionalFormatting>
  <conditionalFormatting sqref="O141">
    <cfRule type="expression" dxfId="1022" priority="71">
      <formula>AND(ISNUMBER(O141),TRUNC(O141)&lt;TODAY())</formula>
    </cfRule>
  </conditionalFormatting>
  <conditionalFormatting sqref="Q141">
    <cfRule type="expression" dxfId="1021" priority="72">
      <formula>AND(ISNUMBER(Q141),TRUNC(Q141)&lt;TODAY())</formula>
    </cfRule>
  </conditionalFormatting>
  <conditionalFormatting sqref="P141">
    <cfRule type="expression" dxfId="1020" priority="73">
      <formula>AND(ISNUMBER(P141),TRUNC(P141)&lt;TODAY())</formula>
    </cfRule>
  </conditionalFormatting>
  <conditionalFormatting sqref="O74:Q76">
    <cfRule type="expression" dxfId="1019" priority="74">
      <formula>AND(ISNUMBER(O74),TRUNC(O74)&lt;TODAY())</formula>
    </cfRule>
  </conditionalFormatting>
  <conditionalFormatting sqref="F152">
    <cfRule type="containsText" dxfId="1018" priority="75" operator="containsText" text="F">
      <formula>NOT(ISERROR(SEARCH(("F"),(F152))))</formula>
    </cfRule>
  </conditionalFormatting>
  <conditionalFormatting sqref="O152:Q152">
    <cfRule type="expression" dxfId="1017" priority="76">
      <formula>AND(ISNUMBER(O152),TRUNC(O152)&lt;TODAY())</formula>
    </cfRule>
  </conditionalFormatting>
  <conditionalFormatting sqref="O137:Q137">
    <cfRule type="expression" dxfId="1016" priority="77">
      <formula>AND(ISNUMBER(O137),TRUNC(O137)&lt;TODAY())</formula>
    </cfRule>
  </conditionalFormatting>
  <conditionalFormatting sqref="O137:Q137">
    <cfRule type="expression" dxfId="1015" priority="78">
      <formula>AND(ISNUMBER(O137),TRUNC(O137)&lt;TODAY())</formula>
    </cfRule>
  </conditionalFormatting>
  <conditionalFormatting sqref="F137">
    <cfRule type="containsText" dxfId="1014" priority="79" operator="containsText" text="F">
      <formula>NOT(ISERROR(SEARCH(("F"),(F137))))</formula>
    </cfRule>
  </conditionalFormatting>
  <conditionalFormatting sqref="Q136">
    <cfRule type="expression" dxfId="1013" priority="80">
      <formula>AND(ISNUMBER(Q136),TRUNC(Q136)&lt;TODAY())</formula>
    </cfRule>
  </conditionalFormatting>
  <conditionalFormatting sqref="P136">
    <cfRule type="expression" dxfId="1012" priority="81">
      <formula>AND(ISNUMBER(P136),TRUNC(P136)&lt;TODAY())</formula>
    </cfRule>
  </conditionalFormatting>
  <conditionalFormatting sqref="F136">
    <cfRule type="containsText" dxfId="1011" priority="82" operator="containsText" text="F">
      <formula>NOT(ISERROR(SEARCH(("F"),(F136))))</formula>
    </cfRule>
  </conditionalFormatting>
  <conditionalFormatting sqref="O136">
    <cfRule type="expression" dxfId="1010" priority="83">
      <formula>AND(ISNUMBER(O136),TRUNC(O136)&lt;TODAY())</formula>
    </cfRule>
  </conditionalFormatting>
  <conditionalFormatting sqref="V136">
    <cfRule type="notContainsBlanks" dxfId="1009" priority="84">
      <formula>LEN(TRIM(V136))&gt;0</formula>
    </cfRule>
  </conditionalFormatting>
  <conditionalFormatting sqref="F135">
    <cfRule type="containsText" dxfId="1008" priority="85" operator="containsText" text="F">
      <formula>NOT(ISERROR(SEARCH(("F"),(F135))))</formula>
    </cfRule>
  </conditionalFormatting>
  <conditionalFormatting sqref="O135">
    <cfRule type="expression" dxfId="1007" priority="86">
      <formula>AND(ISNUMBER(O135),TRUNC(O135)&lt;TODAY())</formula>
    </cfRule>
  </conditionalFormatting>
  <conditionalFormatting sqref="P135">
    <cfRule type="expression" dxfId="1006" priority="87">
      <formula>AND(ISNUMBER(P135),TRUNC(P135)&lt;TODAY())</formula>
    </cfRule>
  </conditionalFormatting>
  <conditionalFormatting sqref="Q135">
    <cfRule type="expression" dxfId="1005" priority="88">
      <formula>AND(ISNUMBER(Q135),TRUNC(Q135)&lt;TODAY())</formula>
    </cfRule>
  </conditionalFormatting>
  <conditionalFormatting sqref="V135">
    <cfRule type="notContainsBlanks" dxfId="1004" priority="89">
      <formula>LEN(TRIM(V135))&gt;0</formula>
    </cfRule>
  </conditionalFormatting>
  <conditionalFormatting sqref="F134">
    <cfRule type="containsText" dxfId="1003" priority="90" operator="containsText" text="F">
      <formula>NOT(ISERROR(SEARCH(("F"),(F134))))</formula>
    </cfRule>
  </conditionalFormatting>
  <conditionalFormatting sqref="V134">
    <cfRule type="notContainsBlanks" dxfId="1002" priority="91">
      <formula>LEN(TRIM(V134))&gt;0</formula>
    </cfRule>
  </conditionalFormatting>
  <conditionalFormatting sqref="O134">
    <cfRule type="expression" dxfId="1001" priority="92">
      <formula>AND(ISNUMBER(O134),TRUNC(O134)&lt;TODAY())</formula>
    </cfRule>
  </conditionalFormatting>
  <conditionalFormatting sqref="P134">
    <cfRule type="expression" dxfId="1000" priority="93">
      <formula>AND(ISNUMBER(P134),TRUNC(P134)&lt;TODAY())</formula>
    </cfRule>
  </conditionalFormatting>
  <conditionalFormatting sqref="P134:Q134">
    <cfRule type="expression" dxfId="999" priority="94">
      <formula>AND(ISNUMBER(P134),TRUNC(P134)&lt;TODAY())</formula>
    </cfRule>
  </conditionalFormatting>
  <conditionalFormatting sqref="F130">
    <cfRule type="containsText" dxfId="998" priority="95" operator="containsText" text="F">
      <formula>NOT(ISERROR(SEARCH(("F"),(F130))))</formula>
    </cfRule>
  </conditionalFormatting>
  <conditionalFormatting sqref="O130:Q130">
    <cfRule type="expression" dxfId="997" priority="96">
      <formula>AND(ISNUMBER(O130),TRUNC(O130)&lt;TODAY())</formula>
    </cfRule>
  </conditionalFormatting>
  <conditionalFormatting sqref="F40">
    <cfRule type="containsText" dxfId="996" priority="97" operator="containsText" text="F">
      <formula>NOT(ISERROR(SEARCH(("F"),(F40))))</formula>
    </cfRule>
  </conditionalFormatting>
  <conditionalFormatting sqref="O40:Q40">
    <cfRule type="expression" dxfId="995" priority="98">
      <formula>AND(ISNUMBER(O40),TRUNC(O40)&lt;TODAY())</formula>
    </cfRule>
  </conditionalFormatting>
  <conditionalFormatting sqref="O58:Q58">
    <cfRule type="expression" dxfId="994" priority="99">
      <formula>AND(ISNUMBER(O58),TRUNC(O58)&lt;TODAY())</formula>
    </cfRule>
  </conditionalFormatting>
  <conditionalFormatting sqref="F58:F62">
    <cfRule type="containsText" dxfId="993" priority="100" operator="containsText" text="F">
      <formula>NOT(ISERROR(SEARCH(("F"),(F58))))</formula>
    </cfRule>
  </conditionalFormatting>
  <conditionalFormatting sqref="O39">
    <cfRule type="expression" dxfId="992" priority="101">
      <formula>AND(ISNUMBER(O39),TRUNC(O39)&lt;TODAY())</formula>
    </cfRule>
  </conditionalFormatting>
  <conditionalFormatting sqref="Q39">
    <cfRule type="expression" dxfId="991" priority="102">
      <formula>AND(ISNUMBER(Q39),TRUNC(Q39)&lt;TODAY())</formula>
    </cfRule>
  </conditionalFormatting>
  <conditionalFormatting sqref="P39">
    <cfRule type="expression" dxfId="990" priority="103">
      <formula>AND(ISNUMBER(P39),TRUNC(P39)&lt;TODAY())</formula>
    </cfRule>
  </conditionalFormatting>
  <conditionalFormatting sqref="P39">
    <cfRule type="expression" dxfId="989" priority="104">
      <formula>P39&lt;44165</formula>
    </cfRule>
  </conditionalFormatting>
  <conditionalFormatting sqref="F39">
    <cfRule type="containsText" dxfId="988" priority="105" operator="containsText" text="F">
      <formula>NOT(ISERROR(SEARCH(("F"),(F39))))</formula>
    </cfRule>
  </conditionalFormatting>
  <conditionalFormatting sqref="F38">
    <cfRule type="containsText" dxfId="987" priority="106" operator="containsText" text="F">
      <formula>NOT(ISERROR(SEARCH(("F"),(F38))))</formula>
    </cfRule>
  </conditionalFormatting>
  <conditionalFormatting sqref="O38:Q38">
    <cfRule type="expression" dxfId="986" priority="107">
      <formula>AND(ISNUMBER(O38),TRUNC(O38)&lt;TODAY())</formula>
    </cfRule>
  </conditionalFormatting>
  <conditionalFormatting sqref="Q129">
    <cfRule type="expression" dxfId="985" priority="108">
      <formula>AND(ISNUMBER(Q129),TRUNC(Q129)&lt;TODAY())</formula>
    </cfRule>
  </conditionalFormatting>
  <conditionalFormatting sqref="F129">
    <cfRule type="containsText" dxfId="984" priority="109" operator="containsText" text="F">
      <formula>NOT(ISERROR(SEARCH(("F"),(F129))))</formula>
    </cfRule>
  </conditionalFormatting>
  <conditionalFormatting sqref="O129">
    <cfRule type="expression" dxfId="983" priority="110">
      <formula>AND(ISNUMBER(O129),TRUNC(O129)&lt;TODAY())</formula>
    </cfRule>
  </conditionalFormatting>
  <conditionalFormatting sqref="P129">
    <cfRule type="expression" dxfId="982" priority="111">
      <formula>AND(ISNUMBER(P129),TRUNC(P129)&lt;TODAY())</formula>
    </cfRule>
  </conditionalFormatting>
  <conditionalFormatting sqref="F128">
    <cfRule type="containsText" dxfId="981" priority="112" operator="containsText" text="F">
      <formula>NOT(ISERROR(SEARCH(("F"),(F128))))</formula>
    </cfRule>
  </conditionalFormatting>
  <conditionalFormatting sqref="O128:Q128">
    <cfRule type="expression" dxfId="980" priority="113">
      <formula>AND(ISNUMBER(O128),TRUNC(O128)&lt;TODAY())</formula>
    </cfRule>
  </conditionalFormatting>
  <conditionalFormatting sqref="V128">
    <cfRule type="notContainsBlanks" dxfId="979" priority="114">
      <formula>LEN(TRIM(V128))&gt;0</formula>
    </cfRule>
  </conditionalFormatting>
  <conditionalFormatting sqref="O127:Q127">
    <cfRule type="expression" dxfId="978" priority="115">
      <formula>AND(ISNUMBER(O127),TRUNC(O127)&lt;TODAY())</formula>
    </cfRule>
  </conditionalFormatting>
  <conditionalFormatting sqref="Q127">
    <cfRule type="expression" dxfId="977" priority="116">
      <formula>AND(ISNUMBER(Q127),TRUNC(Q127)&lt;TODAY())</formula>
    </cfRule>
  </conditionalFormatting>
  <conditionalFormatting sqref="P127">
    <cfRule type="expression" dxfId="976" priority="117">
      <formula>AND(ISNUMBER(P127),TRUNC(P127)&lt;TODAY())</formula>
    </cfRule>
  </conditionalFormatting>
  <conditionalFormatting sqref="O127">
    <cfRule type="expression" dxfId="975" priority="118">
      <formula>AND(ISNUMBER(O127),TRUNC(O127)&lt;TODAY())</formula>
    </cfRule>
  </conditionalFormatting>
  <conditionalFormatting sqref="F127">
    <cfRule type="containsText" dxfId="974" priority="119" operator="containsText" text="F">
      <formula>NOT(ISERROR(SEARCH(("F"),(F127))))</formula>
    </cfRule>
  </conditionalFormatting>
  <conditionalFormatting sqref="F126">
    <cfRule type="containsText" dxfId="973" priority="120" operator="containsText" text="F">
      <formula>NOT(ISERROR(SEARCH(("F"),(F126))))</formula>
    </cfRule>
  </conditionalFormatting>
  <conditionalFormatting sqref="Q126">
    <cfRule type="expression" dxfId="972" priority="121">
      <formula>AND(ISNUMBER(Q126),TRUNC(Q126)&lt;TODAY())</formula>
    </cfRule>
  </conditionalFormatting>
  <conditionalFormatting sqref="O126">
    <cfRule type="expression" dxfId="971" priority="122">
      <formula>AND(ISNUMBER(O126),TRUNC(O126)&lt;TODAY())</formula>
    </cfRule>
  </conditionalFormatting>
  <conditionalFormatting sqref="P126">
    <cfRule type="expression" dxfId="970" priority="123">
      <formula>AND(ISNUMBER(P126),TRUNC(P126)&lt;TODAY())</formula>
    </cfRule>
  </conditionalFormatting>
  <conditionalFormatting sqref="V126">
    <cfRule type="notContainsBlanks" dxfId="969" priority="124">
      <formula>LEN(TRIM(V126))&gt;0</formula>
    </cfRule>
  </conditionalFormatting>
  <conditionalFormatting sqref="F125">
    <cfRule type="containsText" dxfId="968" priority="125" operator="containsText" text="F">
      <formula>NOT(ISERROR(SEARCH(("F"),(F125))))</formula>
    </cfRule>
  </conditionalFormatting>
  <conditionalFormatting sqref="O125">
    <cfRule type="expression" dxfId="967" priority="126">
      <formula>AND(ISNUMBER(O125),TRUNC(O125)&lt;TODAY())</formula>
    </cfRule>
  </conditionalFormatting>
  <conditionalFormatting sqref="P125:Q125">
    <cfRule type="expression" dxfId="966" priority="127">
      <formula>AND(ISNUMBER(P125),TRUNC(P125)&lt;TODAY())</formula>
    </cfRule>
  </conditionalFormatting>
  <conditionalFormatting sqref="P125">
    <cfRule type="expression" dxfId="965" priority="128">
      <formula>AND(ISNUMBER(P125),TRUNC(P125)&lt;TODAY())</formula>
    </cfRule>
  </conditionalFormatting>
  <conditionalFormatting sqref="P125">
    <cfRule type="expression" dxfId="964" priority="129">
      <formula>AND(ISNUMBER(P125),TRUNC(P125)&lt;TODAY())</formula>
    </cfRule>
  </conditionalFormatting>
  <conditionalFormatting sqref="V125">
    <cfRule type="notContainsBlanks" dxfId="963" priority="130">
      <formula>LEN(TRIM(V125))&gt;0</formula>
    </cfRule>
  </conditionalFormatting>
  <conditionalFormatting sqref="F124">
    <cfRule type="containsText" dxfId="962" priority="131" operator="containsText" text="F">
      <formula>NOT(ISERROR(SEARCH(("F"),(F124))))</formula>
    </cfRule>
  </conditionalFormatting>
  <conditionalFormatting sqref="P124">
    <cfRule type="expression" dxfId="961" priority="132">
      <formula>AND(ISNUMBER(P124),TRUNC(P124)&lt;TODAY())</formula>
    </cfRule>
  </conditionalFormatting>
  <conditionalFormatting sqref="O124">
    <cfRule type="expression" dxfId="960" priority="133">
      <formula>AND(ISNUMBER(O124),TRUNC(O124)&lt;TODAY())</formula>
    </cfRule>
  </conditionalFormatting>
  <conditionalFormatting sqref="Q124">
    <cfRule type="expression" dxfId="959" priority="134">
      <formula>AND(ISNUMBER(Q124),TRUNC(Q124)&lt;TODAY())</formula>
    </cfRule>
  </conditionalFormatting>
  <conditionalFormatting sqref="V124">
    <cfRule type="notContainsBlanks" dxfId="958" priority="135">
      <formula>LEN(TRIM(V124))&gt;0</formula>
    </cfRule>
  </conditionalFormatting>
  <conditionalFormatting sqref="F123">
    <cfRule type="containsText" dxfId="957" priority="136" operator="containsText" text="F">
      <formula>NOT(ISERROR(SEARCH(("F"),(F123))))</formula>
    </cfRule>
  </conditionalFormatting>
  <conditionalFormatting sqref="O123:Q123">
    <cfRule type="expression" dxfId="956" priority="137">
      <formula>AND(ISNUMBER(O123),TRUNC(O123)&lt;TODAY())</formula>
    </cfRule>
  </conditionalFormatting>
  <conditionalFormatting sqref="O122:Q122">
    <cfRule type="expression" dxfId="955" priority="138">
      <formula>AND(ISNUMBER(O122),TRUNC(O122)&lt;TODAY())</formula>
    </cfRule>
  </conditionalFormatting>
  <conditionalFormatting sqref="F122">
    <cfRule type="containsText" dxfId="954" priority="139" operator="containsText" text="F">
      <formula>NOT(ISERROR(SEARCH(("F"),(F122))))</formula>
    </cfRule>
  </conditionalFormatting>
  <conditionalFormatting sqref="Q151">
    <cfRule type="expression" dxfId="953" priority="140">
      <formula>AND(ISNUMBER(Q151),TRUNC(Q151)&lt;TODAY())</formula>
    </cfRule>
  </conditionalFormatting>
  <conditionalFormatting sqref="P151">
    <cfRule type="expression" dxfId="952" priority="141">
      <formula>AND(ISNUMBER(P151),TRUNC(P151)&lt;TODAY())</formula>
    </cfRule>
  </conditionalFormatting>
  <conditionalFormatting sqref="O151">
    <cfRule type="expression" dxfId="951" priority="142">
      <formula>AND(ISNUMBER(O151),TRUNC(O151)&lt;TODAY())</formula>
    </cfRule>
  </conditionalFormatting>
  <conditionalFormatting sqref="F151">
    <cfRule type="containsText" dxfId="950" priority="143" operator="containsText" text="F">
      <formula>NOT(ISERROR(SEARCH(("F"),(F151))))</formula>
    </cfRule>
  </conditionalFormatting>
  <conditionalFormatting sqref="O121:Q121">
    <cfRule type="expression" dxfId="949" priority="144">
      <formula>AND(ISNUMBER(O121),TRUNC(O121)&lt;TODAY())</formula>
    </cfRule>
  </conditionalFormatting>
  <conditionalFormatting sqref="F121">
    <cfRule type="containsText" dxfId="948" priority="145" operator="containsText" text="F">
      <formula>NOT(ISERROR(SEARCH(("F"),(F121))))</formula>
    </cfRule>
  </conditionalFormatting>
  <conditionalFormatting sqref="F150">
    <cfRule type="containsText" dxfId="947" priority="146" operator="containsText" text="F">
      <formula>NOT(ISERROR(SEARCH(("F"),(F150))))</formula>
    </cfRule>
  </conditionalFormatting>
  <conditionalFormatting sqref="O150:Q150">
    <cfRule type="expression" dxfId="946" priority="147">
      <formula>AND(ISNUMBER(O150),TRUNC(O150)&lt;TODAY())</formula>
    </cfRule>
  </conditionalFormatting>
  <conditionalFormatting sqref="F149">
    <cfRule type="containsText" dxfId="945" priority="148" operator="containsText" text="F">
      <formula>NOT(ISERROR(SEARCH(("F"),(F149))))</formula>
    </cfRule>
  </conditionalFormatting>
  <conditionalFormatting sqref="O149">
    <cfRule type="expression" dxfId="944" priority="149">
      <formula>AND(ISNUMBER(O149),TRUNC(O149)&lt;TODAY())</formula>
    </cfRule>
  </conditionalFormatting>
  <conditionalFormatting sqref="P149">
    <cfRule type="expression" dxfId="943" priority="150">
      <formula>P149&lt;44165</formula>
    </cfRule>
  </conditionalFormatting>
  <conditionalFormatting sqref="Q149">
    <cfRule type="expression" dxfId="942" priority="151">
      <formula>AND(ISNUMBER(Q149),TRUNC(Q149)&lt;TODAY())</formula>
    </cfRule>
  </conditionalFormatting>
  <conditionalFormatting sqref="P148:Q148">
    <cfRule type="expression" dxfId="941" priority="152">
      <formula>AND(ISNUMBER(P148),TRUNC(P148)&lt;TODAY())</formula>
    </cfRule>
  </conditionalFormatting>
  <conditionalFormatting sqref="Q148">
    <cfRule type="expression" dxfId="940" priority="153">
      <formula>AND(ISNUMBER(Q148),TRUNC(Q148)&lt;TODAY())</formula>
    </cfRule>
  </conditionalFormatting>
  <conditionalFormatting sqref="O148">
    <cfRule type="expression" dxfId="939" priority="154">
      <formula>AND(ISNUMBER(O148),TRUNC(O148)&lt;TODAY())</formula>
    </cfRule>
  </conditionalFormatting>
  <conditionalFormatting sqref="P148">
    <cfRule type="expression" dxfId="938" priority="155">
      <formula>AND(ISNUMBER(P148),TRUNC(P148)&lt;TODAY())</formula>
    </cfRule>
  </conditionalFormatting>
  <conditionalFormatting sqref="F148">
    <cfRule type="containsText" dxfId="937" priority="156" operator="containsText" text="F">
      <formula>NOT(ISERROR(SEARCH(("F"),(F148))))</formula>
    </cfRule>
  </conditionalFormatting>
  <conditionalFormatting sqref="F120">
    <cfRule type="containsText" dxfId="936" priority="157" operator="containsText" text="F">
      <formula>NOT(ISERROR(SEARCH(("F"),(F120))))</formula>
    </cfRule>
  </conditionalFormatting>
  <conditionalFormatting sqref="O120:Q120">
    <cfRule type="expression" dxfId="935" priority="158">
      <formula>AND(ISNUMBER(O120),TRUNC(O120)&lt;TODAY())</formula>
    </cfRule>
  </conditionalFormatting>
  <conditionalFormatting sqref="P32:P34">
    <cfRule type="expression" dxfId="934" priority="159">
      <formula>AND(ISNUMBER(P32),TRUNC(P32)&lt;TODAY())</formula>
    </cfRule>
  </conditionalFormatting>
  <conditionalFormatting sqref="F32:F34">
    <cfRule type="containsText" dxfId="933" priority="160" operator="containsText" text="F">
      <formula>NOT(ISERROR(SEARCH(("F"),(F32))))</formula>
    </cfRule>
  </conditionalFormatting>
  <conditionalFormatting sqref="O32:O34">
    <cfRule type="expression" dxfId="932" priority="161">
      <formula>AND(ISNUMBER(O32),TRUNC(O32)&lt;TODAY())</formula>
    </cfRule>
  </conditionalFormatting>
  <conditionalFormatting sqref="F119">
    <cfRule type="containsText" dxfId="931" priority="162" operator="containsText" text="F">
      <formula>NOT(ISERROR(SEARCH(("F"),(F119))))</formula>
    </cfRule>
  </conditionalFormatting>
  <conditionalFormatting sqref="O119:Q119">
    <cfRule type="expression" dxfId="930" priority="163">
      <formula>AND(ISNUMBER(O119),TRUNC(O119)&lt;TODAY())</formula>
    </cfRule>
  </conditionalFormatting>
  <conditionalFormatting sqref="F118">
    <cfRule type="containsText" dxfId="929" priority="164" operator="containsText" text="F">
      <formula>NOT(ISERROR(SEARCH(("F"),(F118))))</formula>
    </cfRule>
  </conditionalFormatting>
  <conditionalFormatting sqref="O118">
    <cfRule type="expression" dxfId="928" priority="165">
      <formula>AND(ISNUMBER(O118),TRUNC(O118)&lt;TODAY())</formula>
    </cfRule>
  </conditionalFormatting>
  <conditionalFormatting sqref="Q118">
    <cfRule type="expression" dxfId="927" priority="166">
      <formula>AND(ISNUMBER(Q118),TRUNC(Q118)&lt;TODAY())</formula>
    </cfRule>
  </conditionalFormatting>
  <conditionalFormatting sqref="P118">
    <cfRule type="expression" dxfId="926" priority="167">
      <formula>P118&lt;44165</formula>
    </cfRule>
  </conditionalFormatting>
  <conditionalFormatting sqref="P118">
    <cfRule type="expression" dxfId="925" priority="168">
      <formula>AND(ISNUMBER(P118),TRUNC(P118)&lt;TODAY())</formula>
    </cfRule>
  </conditionalFormatting>
  <conditionalFormatting sqref="Q117">
    <cfRule type="expression" dxfId="924" priority="169">
      <formula>AND(ISNUMBER(Q117),TRUNC(Q117)&lt;TODAY())</formula>
    </cfRule>
  </conditionalFormatting>
  <conditionalFormatting sqref="P117">
    <cfRule type="expression" dxfId="923" priority="170">
      <formula>AND(ISNUMBER(P117),TRUNC(P117)&lt;TODAY())</formula>
    </cfRule>
  </conditionalFormatting>
  <conditionalFormatting sqref="O117">
    <cfRule type="expression" dxfId="922" priority="171">
      <formula>AND(ISNUMBER(O117),TRUNC(O117)&lt;TODAY())</formula>
    </cfRule>
  </conditionalFormatting>
  <conditionalFormatting sqref="F117">
    <cfRule type="containsText" dxfId="921" priority="172" operator="containsText" text="F">
      <formula>NOT(ISERROR(SEARCH(("F"),(F117))))</formula>
    </cfRule>
  </conditionalFormatting>
  <conditionalFormatting sqref="P147">
    <cfRule type="expression" dxfId="920" priority="173">
      <formula>AND(ISNUMBER(P147),TRUNC(P147)&lt;TODAY())</formula>
    </cfRule>
  </conditionalFormatting>
  <conditionalFormatting sqref="Q147">
    <cfRule type="expression" dxfId="919" priority="174">
      <formula>AND(ISNUMBER(Q147),TRUNC(Q147)&lt;TODAY())</formula>
    </cfRule>
  </conditionalFormatting>
  <conditionalFormatting sqref="F147">
    <cfRule type="containsText" dxfId="918" priority="175" operator="containsText" text="F">
      <formula>NOT(ISERROR(SEARCH(("F"),(F147))))</formula>
    </cfRule>
  </conditionalFormatting>
  <conditionalFormatting sqref="F31">
    <cfRule type="containsText" dxfId="917" priority="176" operator="containsText" text="F">
      <formula>NOT(ISERROR(SEARCH(("F"),(F31))))</formula>
    </cfRule>
  </conditionalFormatting>
  <conditionalFormatting sqref="O31">
    <cfRule type="expression" dxfId="916" priority="177">
      <formula>AND(ISNUMBER(O31),TRUNC(O31)&lt;TODAY())</formula>
    </cfRule>
  </conditionalFormatting>
  <conditionalFormatting sqref="Q31">
    <cfRule type="expression" dxfId="915" priority="178">
      <formula>AND(ISNUMBER(Q31),TRUNC(Q31)&lt;TODAY())</formula>
    </cfRule>
  </conditionalFormatting>
  <conditionalFormatting sqref="P31">
    <cfRule type="expression" dxfId="914" priority="179">
      <formula>AND(ISNUMBER(P31),TRUNC(P31)&lt;TODAY())</formula>
    </cfRule>
  </conditionalFormatting>
  <conditionalFormatting sqref="F133">
    <cfRule type="containsText" dxfId="913" priority="180" operator="containsText" text="F">
      <formula>NOT(ISERROR(SEARCH(("F"),(F133))))</formula>
    </cfRule>
  </conditionalFormatting>
  <conditionalFormatting sqref="O133:Q133">
    <cfRule type="expression" dxfId="912" priority="181">
      <formula>AND(ISNUMBER(O133),TRUNC(O133)&lt;TODAY())</formula>
    </cfRule>
  </conditionalFormatting>
  <conditionalFormatting sqref="F132">
    <cfRule type="containsText" dxfId="911" priority="182" operator="containsText" text="F">
      <formula>NOT(ISERROR(SEARCH(("F"),(F132))))</formula>
    </cfRule>
  </conditionalFormatting>
  <conditionalFormatting sqref="Q132">
    <cfRule type="expression" dxfId="910" priority="183">
      <formula>AND(ISNUMBER(Q132),TRUNC(Q132)&lt;TODAY())</formula>
    </cfRule>
  </conditionalFormatting>
  <conditionalFormatting sqref="P132">
    <cfRule type="expression" dxfId="909" priority="184">
      <formula>AND(ISNUMBER(P132),TRUNC(P132)&lt;TODAY())</formula>
    </cfRule>
  </conditionalFormatting>
  <conditionalFormatting sqref="O132">
    <cfRule type="expression" dxfId="908" priority="185">
      <formula>AND(ISNUMBER(O132),TRUNC(O132)&lt;TODAY())</formula>
    </cfRule>
  </conditionalFormatting>
  <conditionalFormatting sqref="O146">
    <cfRule type="expression" dxfId="907" priority="186">
      <formula>AND(ISNUMBER(O146),TRUNC(O146)&lt;TODAY())</formula>
    </cfRule>
  </conditionalFormatting>
  <conditionalFormatting sqref="P146">
    <cfRule type="expression" dxfId="906" priority="187">
      <formula>AND(ISNUMBER(P146),TRUNC(P146)&lt;TODAY())</formula>
    </cfRule>
  </conditionalFormatting>
  <conditionalFormatting sqref="Q146">
    <cfRule type="expression" dxfId="905" priority="188">
      <formula>AND(ISNUMBER(Q146),TRUNC(Q146)&lt;TODAY())</formula>
    </cfRule>
  </conditionalFormatting>
  <conditionalFormatting sqref="F146">
    <cfRule type="containsText" dxfId="904" priority="189" operator="containsText" text="F">
      <formula>NOT(ISERROR(SEARCH(("F"),(F146))))</formula>
    </cfRule>
  </conditionalFormatting>
  <conditionalFormatting sqref="V146">
    <cfRule type="notContainsBlanks" dxfId="903" priority="190">
      <formula>LEN(TRIM(V146))&gt;0</formula>
    </cfRule>
  </conditionalFormatting>
  <conditionalFormatting sqref="P145:Q145">
    <cfRule type="expression" dxfId="902" priority="191">
      <formula>AND(ISNUMBER(P145),TRUNC(P145)&lt;TODAY())</formula>
    </cfRule>
  </conditionalFormatting>
  <conditionalFormatting sqref="F145">
    <cfRule type="containsText" dxfId="901" priority="192" operator="containsText" text="F">
      <formula>NOT(ISERROR(SEARCH(("F"),(F145))))</formula>
    </cfRule>
  </conditionalFormatting>
  <conditionalFormatting sqref="O145:Q145">
    <cfRule type="expression" dxfId="900" priority="193">
      <formula>AND(ISNUMBER(O145),TRUNC(O145)&lt;TODAY())</formula>
    </cfRule>
  </conditionalFormatting>
  <conditionalFormatting sqref="F131">
    <cfRule type="containsText" dxfId="899" priority="194" operator="containsText" text="F">
      <formula>NOT(ISERROR(SEARCH(("F"),(F131))))</formula>
    </cfRule>
  </conditionalFormatting>
  <conditionalFormatting sqref="P131">
    <cfRule type="expression" dxfId="898" priority="195">
      <formula>AND(ISNUMBER(P131),TRUNC(P131)&lt;TODAY())</formula>
    </cfRule>
  </conditionalFormatting>
  <conditionalFormatting sqref="P131">
    <cfRule type="expression" dxfId="897" priority="196">
      <formula>AND(ISNUMBER(P131),TRUNC(P131)&lt;TODAY())</formula>
    </cfRule>
  </conditionalFormatting>
  <conditionalFormatting sqref="Q131">
    <cfRule type="expression" dxfId="896" priority="197">
      <formula>AND(ISNUMBER(Q131),TRUNC(Q131)&lt;TODAY())</formula>
    </cfRule>
  </conditionalFormatting>
  <conditionalFormatting sqref="O131">
    <cfRule type="expression" dxfId="895" priority="198">
      <formula>AND(ISNUMBER(O131),TRUNC(O131)&lt;TODAY())</formula>
    </cfRule>
  </conditionalFormatting>
  <conditionalFormatting sqref="F144">
    <cfRule type="containsText" dxfId="894" priority="199" operator="containsText" text="F">
      <formula>NOT(ISERROR(SEARCH(("F"),(F144))))</formula>
    </cfRule>
  </conditionalFormatting>
  <conditionalFormatting sqref="O144:Q144">
    <cfRule type="expression" dxfId="893" priority="200">
      <formula>AND(ISNUMBER(O144),TRUNC(O144)&lt;TODAY())</formula>
    </cfRule>
  </conditionalFormatting>
  <conditionalFormatting sqref="V116">
    <cfRule type="notContainsBlanks" dxfId="892" priority="201">
      <formula>LEN(TRIM(V116))&gt;0</formula>
    </cfRule>
  </conditionalFormatting>
  <conditionalFormatting sqref="F116">
    <cfRule type="containsText" dxfId="891" priority="202" operator="containsText" text="F">
      <formula>NOT(ISERROR(SEARCH(("F"),(F116))))</formula>
    </cfRule>
  </conditionalFormatting>
  <conditionalFormatting sqref="P116">
    <cfRule type="expression" dxfId="890" priority="203">
      <formula>AND(ISNUMBER(P116),TRUNC(P116)&lt;TODAY())</formula>
    </cfRule>
  </conditionalFormatting>
  <conditionalFormatting sqref="Q116">
    <cfRule type="expression" dxfId="889" priority="204">
      <formula>AND(ISNUMBER(Q116),TRUNC(Q116)&lt;TODAY())</formula>
    </cfRule>
  </conditionalFormatting>
  <conditionalFormatting sqref="O116">
    <cfRule type="expression" dxfId="888" priority="205">
      <formula>AND(ISNUMBER(O116),TRUNC(O116)&lt;TODAY())</formula>
    </cfRule>
  </conditionalFormatting>
  <conditionalFormatting sqref="O115">
    <cfRule type="expression" dxfId="887" priority="206">
      <formula>AND(ISNUMBER(O115),TRUNC(O115)&lt;TODAY())</formula>
    </cfRule>
  </conditionalFormatting>
  <conditionalFormatting sqref="P115">
    <cfRule type="expression" dxfId="886" priority="207">
      <formula>AND(ISNUMBER(P115),TRUNC(P115)&lt;TODAY())</formula>
    </cfRule>
  </conditionalFormatting>
  <conditionalFormatting sqref="P115">
    <cfRule type="expression" dxfId="885" priority="208">
      <formula>AND(ISNUMBER(P115),TRUNC(P115)&lt;TODAY())</formula>
    </cfRule>
  </conditionalFormatting>
  <conditionalFormatting sqref="Q115">
    <cfRule type="expression" dxfId="884" priority="209">
      <formula>AND(ISNUMBER(Q115),TRUNC(Q115)&lt;TODAY())</formula>
    </cfRule>
  </conditionalFormatting>
  <conditionalFormatting sqref="P115">
    <cfRule type="expression" dxfId="883" priority="210">
      <formula>AND(ISNUMBER(P115),TRUNC(P115)&lt;TODAY())</formula>
    </cfRule>
  </conditionalFormatting>
  <conditionalFormatting sqref="V115">
    <cfRule type="notContainsBlanks" dxfId="882" priority="211">
      <formula>LEN(TRIM(V115))&gt;0</formula>
    </cfRule>
  </conditionalFormatting>
  <conditionalFormatting sqref="F115">
    <cfRule type="containsText" dxfId="881" priority="212" operator="containsText" text="F">
      <formula>NOT(ISERROR(SEARCH(("F"),(F115))))</formula>
    </cfRule>
  </conditionalFormatting>
  <conditionalFormatting sqref="O114">
    <cfRule type="expression" dxfId="880" priority="213">
      <formula>AND(ISNUMBER(O114),TRUNC(O114)&lt;TODAY())</formula>
    </cfRule>
  </conditionalFormatting>
  <conditionalFormatting sqref="P114">
    <cfRule type="expression" dxfId="879" priority="214">
      <formula>AND(ISNUMBER(P114),TRUNC(P114)&lt;TODAY())</formula>
    </cfRule>
  </conditionalFormatting>
  <conditionalFormatting sqref="P114">
    <cfRule type="expression" dxfId="878" priority="215">
      <formula>AND(ISNUMBER(P114),TRUNC(P114)&lt;TODAY())</formula>
    </cfRule>
  </conditionalFormatting>
  <conditionalFormatting sqref="Q114">
    <cfRule type="expression" dxfId="877" priority="216">
      <formula>AND(ISNUMBER(Q114),TRUNC(Q114)&lt;TODAY())</formula>
    </cfRule>
  </conditionalFormatting>
  <conditionalFormatting sqref="Q114">
    <cfRule type="expression" dxfId="876" priority="217">
      <formula>AND(ISNUMBER(Q114),TRUNC(Q114)&lt;TODAY())</formula>
    </cfRule>
  </conditionalFormatting>
  <conditionalFormatting sqref="V114">
    <cfRule type="notContainsBlanks" dxfId="875" priority="218">
      <formula>LEN(TRIM(V114))&gt;0</formula>
    </cfRule>
  </conditionalFormatting>
  <conditionalFormatting sqref="F114">
    <cfRule type="containsText" dxfId="874" priority="219" operator="containsText" text="F">
      <formula>NOT(ISERROR(SEARCH(("F"),(F114))))</formula>
    </cfRule>
  </conditionalFormatting>
  <conditionalFormatting sqref="V113">
    <cfRule type="notContainsBlanks" dxfId="873" priority="220">
      <formula>LEN(TRIM(V113))&gt;0</formula>
    </cfRule>
  </conditionalFormatting>
  <conditionalFormatting sqref="F113">
    <cfRule type="containsText" dxfId="872" priority="221" operator="containsText" text="F">
      <formula>NOT(ISERROR(SEARCH(("F"),(F113))))</formula>
    </cfRule>
  </conditionalFormatting>
  <conditionalFormatting sqref="Q113">
    <cfRule type="expression" dxfId="871" priority="222">
      <formula>AND(ISNUMBER(Q113),TRUNC(Q113)&lt;TODAY())</formula>
    </cfRule>
  </conditionalFormatting>
  <conditionalFormatting sqref="O113">
    <cfRule type="expression" dxfId="870" priority="223">
      <formula>AND(ISNUMBER(O113),TRUNC(O113)&lt;TODAY())</formula>
    </cfRule>
  </conditionalFormatting>
  <conditionalFormatting sqref="P113">
    <cfRule type="expression" dxfId="869" priority="224">
      <formula>AND(ISNUMBER(P113),TRUNC(P113)&lt;TODAY())</formula>
    </cfRule>
  </conditionalFormatting>
  <conditionalFormatting sqref="F112">
    <cfRule type="containsText" dxfId="868" priority="225" operator="containsText" text="F">
      <formula>NOT(ISERROR(SEARCH(("F"),(F112))))</formula>
    </cfRule>
  </conditionalFormatting>
  <conditionalFormatting sqref="O112:Q112">
    <cfRule type="expression" dxfId="867" priority="226">
      <formula>AND(ISNUMBER(O112),TRUNC(O112)&lt;TODAY())</formula>
    </cfRule>
  </conditionalFormatting>
  <conditionalFormatting sqref="O111">
    <cfRule type="expression" dxfId="866" priority="227">
      <formula>AND(ISNUMBER(O111),TRUNC(O111)&lt;TODAY())</formula>
    </cfRule>
  </conditionalFormatting>
  <conditionalFormatting sqref="P111">
    <cfRule type="expression" dxfId="865" priority="228">
      <formula>AND(ISNUMBER(P111),TRUNC(P111)&lt;TODAY())</formula>
    </cfRule>
  </conditionalFormatting>
  <conditionalFormatting sqref="Q111">
    <cfRule type="expression" dxfId="864" priority="229">
      <formula>AND(ISNUMBER(Q111),TRUNC(Q111)&lt;TODAY())</formula>
    </cfRule>
  </conditionalFormatting>
  <conditionalFormatting sqref="V111">
    <cfRule type="notContainsBlanks" dxfId="863" priority="230">
      <formula>LEN(TRIM(V111))&gt;0</formula>
    </cfRule>
  </conditionalFormatting>
  <conditionalFormatting sqref="F111">
    <cfRule type="containsText" dxfId="862" priority="231" operator="containsText" text="F">
      <formula>NOT(ISERROR(SEARCH(("F"),(F111))))</formula>
    </cfRule>
  </conditionalFormatting>
  <conditionalFormatting sqref="O110:Q110">
    <cfRule type="expression" dxfId="861" priority="232">
      <formula>AND(ISNUMBER(O110),TRUNC(O110)&lt;TODAY())</formula>
    </cfRule>
  </conditionalFormatting>
  <conditionalFormatting sqref="O109:Q109">
    <cfRule type="expression" dxfId="860" priority="233">
      <formula>AND(ISNUMBER(O109),TRUNC(O109)&lt;TODAY())</formula>
    </cfRule>
  </conditionalFormatting>
  <conditionalFormatting sqref="F108">
    <cfRule type="containsText" dxfId="859" priority="234" operator="containsText" text="F">
      <formula>NOT(ISERROR(SEARCH(("F"),(F108))))</formula>
    </cfRule>
  </conditionalFormatting>
  <conditionalFormatting sqref="O108">
    <cfRule type="expression" dxfId="858" priority="235">
      <formula>AND(ISNUMBER(O108),TRUNC(O108)&lt;TODAY())</formula>
    </cfRule>
  </conditionalFormatting>
  <conditionalFormatting sqref="P108">
    <cfRule type="expression" dxfId="857" priority="236">
      <formula>AND(ISNUMBER(P108),TRUNC(P108)&lt;TODAY())</formula>
    </cfRule>
  </conditionalFormatting>
  <conditionalFormatting sqref="Q108">
    <cfRule type="expression" dxfId="856" priority="237">
      <formula>AND(ISNUMBER(Q108),TRUNC(Q108)&lt;TODAY())</formula>
    </cfRule>
  </conditionalFormatting>
  <conditionalFormatting sqref="P108:Q108">
    <cfRule type="expression" dxfId="855" priority="238">
      <formula>AND(ISNUMBER(P108),TRUNC(P108)&lt;TODAY())</formula>
    </cfRule>
  </conditionalFormatting>
  <conditionalFormatting sqref="V108">
    <cfRule type="notContainsBlanks" dxfId="854" priority="239">
      <formula>LEN(TRIM(V108))&gt;0</formula>
    </cfRule>
  </conditionalFormatting>
  <conditionalFormatting sqref="F107">
    <cfRule type="containsText" dxfId="853" priority="240" operator="containsText" text="F">
      <formula>NOT(ISERROR(SEARCH(("F"),(F107))))</formula>
    </cfRule>
  </conditionalFormatting>
  <conditionalFormatting sqref="O107">
    <cfRule type="expression" dxfId="852" priority="241">
      <formula>AND(ISNUMBER(O107),TRUNC(O107)&lt;TODAY())</formula>
    </cfRule>
  </conditionalFormatting>
  <conditionalFormatting sqref="P107">
    <cfRule type="expression" dxfId="851" priority="242">
      <formula>AND(ISNUMBER(P107),TRUNC(P107)&lt;TODAY())</formula>
    </cfRule>
  </conditionalFormatting>
  <conditionalFormatting sqref="Q106">
    <cfRule type="expression" dxfId="850" priority="243">
      <formula>AND(ISNUMBER(Q106),TRUNC(Q106)&lt;TODAY())</formula>
    </cfRule>
  </conditionalFormatting>
  <conditionalFormatting sqref="O106">
    <cfRule type="expression" dxfId="849" priority="244">
      <formula>AND(ISNUMBER(O106),TRUNC(O106)&lt;TODAY())</formula>
    </cfRule>
  </conditionalFormatting>
  <conditionalFormatting sqref="P106">
    <cfRule type="expression" dxfId="848" priority="245">
      <formula>AND(ISNUMBER(P106),TRUNC(P106)&lt;TODAY())</formula>
    </cfRule>
  </conditionalFormatting>
  <conditionalFormatting sqref="F106">
    <cfRule type="containsText" dxfId="847" priority="246" operator="containsText" text="F">
      <formula>NOT(ISERROR(SEARCH(("F"),(F106))))</formula>
    </cfRule>
  </conditionalFormatting>
  <conditionalFormatting sqref="V106">
    <cfRule type="notContainsBlanks" dxfId="846" priority="247">
      <formula>LEN(TRIM(V106))&gt;0</formula>
    </cfRule>
  </conditionalFormatting>
  <conditionalFormatting sqref="F105">
    <cfRule type="containsText" dxfId="845" priority="248" operator="containsText" text="F">
      <formula>NOT(ISERROR(SEARCH(("F"),(F105))))</formula>
    </cfRule>
  </conditionalFormatting>
  <conditionalFormatting sqref="O105">
    <cfRule type="expression" dxfId="844" priority="249">
      <formula>AND(ISNUMBER(O105),TRUNC(O105)&lt;TODAY())</formula>
    </cfRule>
  </conditionalFormatting>
  <conditionalFormatting sqref="Q105">
    <cfRule type="expression" dxfId="843" priority="250">
      <formula>AND(ISNUMBER(Q105),TRUNC(Q105)&lt;TODAY())</formula>
    </cfRule>
  </conditionalFormatting>
  <conditionalFormatting sqref="P105">
    <cfRule type="expression" dxfId="842" priority="251">
      <formula>AND(ISNUMBER(P105),TRUNC(P105)&lt;TODAY())</formula>
    </cfRule>
  </conditionalFormatting>
  <conditionalFormatting sqref="Q104">
    <cfRule type="expression" dxfId="841" priority="252">
      <formula>AND(ISNUMBER(Q104),TRUNC(Q104)&lt;TODAY())</formula>
    </cfRule>
  </conditionalFormatting>
  <conditionalFormatting sqref="O104:Q104">
    <cfRule type="expression" dxfId="840" priority="253">
      <formula>AND(ISNUMBER(O104),TRUNC(O104)&lt;TODAY())</formula>
    </cfRule>
  </conditionalFormatting>
  <conditionalFormatting sqref="F104">
    <cfRule type="containsText" dxfId="839" priority="254" operator="containsText" text="F">
      <formula>NOT(ISERROR(SEARCH(("F"),(F104))))</formula>
    </cfRule>
  </conditionalFormatting>
  <conditionalFormatting sqref="O103:Q103">
    <cfRule type="expression" dxfId="838" priority="255">
      <formula>AND(ISNUMBER(O103),TRUNC(O103)&lt;TODAY())</formula>
    </cfRule>
  </conditionalFormatting>
  <conditionalFormatting sqref="F103">
    <cfRule type="containsText" dxfId="837" priority="256" operator="containsText" text="F">
      <formula>NOT(ISERROR(SEARCH(("F"),(F103))))</formula>
    </cfRule>
  </conditionalFormatting>
  <conditionalFormatting sqref="O102">
    <cfRule type="expression" dxfId="836" priority="257">
      <formula>AND(ISNUMBER(O102),TRUNC(O102)&lt;TODAY())</formula>
    </cfRule>
  </conditionalFormatting>
  <conditionalFormatting sqref="Q102">
    <cfRule type="expression" dxfId="835" priority="258">
      <formula>AND(ISNUMBER(Q102),TRUNC(Q102)&lt;TODAY())</formula>
    </cfRule>
  </conditionalFormatting>
  <conditionalFormatting sqref="P102">
    <cfRule type="expression" dxfId="834" priority="259">
      <formula>AND(ISNUMBER(P102),TRUNC(P102)&lt;TODAY())</formula>
    </cfRule>
  </conditionalFormatting>
  <conditionalFormatting sqref="F102">
    <cfRule type="containsText" dxfId="833" priority="260" operator="containsText" text="F">
      <formula>NOT(ISERROR(SEARCH(("F"),(F102))))</formula>
    </cfRule>
  </conditionalFormatting>
  <conditionalFormatting sqref="V102">
    <cfRule type="notContainsBlanks" dxfId="832" priority="261">
      <formula>LEN(TRIM(V102))&gt;0</formula>
    </cfRule>
  </conditionalFormatting>
  <conditionalFormatting sqref="P102">
    <cfRule type="expression" dxfId="831" priority="262">
      <formula>AND(ISNUMBER(P102),TRUNC(P102)&lt;TODAY())</formula>
    </cfRule>
  </conditionalFormatting>
  <conditionalFormatting sqref="O101">
    <cfRule type="expression" dxfId="830" priority="263">
      <formula>AND(ISNUMBER(O101),TRUNC(O101)&lt;TODAY())</formula>
    </cfRule>
  </conditionalFormatting>
  <conditionalFormatting sqref="F101">
    <cfRule type="containsText" dxfId="829" priority="264" operator="containsText" text="F">
      <formula>NOT(ISERROR(SEARCH(("F"),(F101))))</formula>
    </cfRule>
  </conditionalFormatting>
  <conditionalFormatting sqref="Q101">
    <cfRule type="expression" dxfId="828" priority="265">
      <formula>AND(ISNUMBER(Q101),TRUNC(Q101)&lt;TODAY())</formula>
    </cfRule>
  </conditionalFormatting>
  <conditionalFormatting sqref="P101">
    <cfRule type="expression" dxfId="827" priority="266">
      <formula>AND(ISNUMBER(P101),TRUNC(P101)&lt;TODAY())</formula>
    </cfRule>
  </conditionalFormatting>
  <conditionalFormatting sqref="V101">
    <cfRule type="notContainsBlanks" dxfId="826" priority="267">
      <formula>LEN(TRIM(V101))&gt;0</formula>
    </cfRule>
  </conditionalFormatting>
  <conditionalFormatting sqref="P100">
    <cfRule type="expression" dxfId="825" priority="268">
      <formula>AND(ISNUMBER(P100),TRUNC(P100)&lt;TODAY())</formula>
    </cfRule>
  </conditionalFormatting>
  <conditionalFormatting sqref="Q100">
    <cfRule type="expression" dxfId="824" priority="269">
      <formula>AND(ISNUMBER(Q100),TRUNC(Q100)&lt;TODAY())</formula>
    </cfRule>
  </conditionalFormatting>
  <conditionalFormatting sqref="O100">
    <cfRule type="expression" dxfId="823" priority="270">
      <formula>AND(ISNUMBER(O100),TRUNC(O100)&lt;TODAY())</formula>
    </cfRule>
  </conditionalFormatting>
  <conditionalFormatting sqref="F100">
    <cfRule type="containsText" dxfId="822" priority="271" operator="containsText" text="F">
      <formula>NOT(ISERROR(SEARCH(("F"),(F100))))</formula>
    </cfRule>
  </conditionalFormatting>
  <conditionalFormatting sqref="F99">
    <cfRule type="containsText" dxfId="821" priority="272" operator="containsText" text="F">
      <formula>NOT(ISERROR(SEARCH(("F"),(F99))))</formula>
    </cfRule>
  </conditionalFormatting>
  <conditionalFormatting sqref="Q99">
    <cfRule type="expression" dxfId="820" priority="273">
      <formula>AND(ISNUMBER(Q99),TRUNC(Q99)&lt;TODAY())</formula>
    </cfRule>
  </conditionalFormatting>
  <conditionalFormatting sqref="P99">
    <cfRule type="expression" dxfId="819" priority="274">
      <formula>AND(ISNUMBER(P99),TRUNC(P99)&lt;TODAY())</formula>
    </cfRule>
  </conditionalFormatting>
  <conditionalFormatting sqref="O99">
    <cfRule type="expression" dxfId="818" priority="275">
      <formula>AND(ISNUMBER(O99),TRUNC(O99)&lt;TODAY())</formula>
    </cfRule>
  </conditionalFormatting>
  <conditionalFormatting sqref="F98">
    <cfRule type="containsText" dxfId="817" priority="276" operator="containsText" text="F">
      <formula>NOT(ISERROR(SEARCH(("F"),(F98))))</formula>
    </cfRule>
  </conditionalFormatting>
  <conditionalFormatting sqref="P98">
    <cfRule type="expression" dxfId="816" priority="277">
      <formula>AND(ISNUMBER(P98),TRUNC(P98)&lt;TODAY())</formula>
    </cfRule>
  </conditionalFormatting>
  <conditionalFormatting sqref="O98 Q98">
    <cfRule type="expression" dxfId="815" priority="278">
      <formula>AND(ISNUMBER(O98),TRUNC(O98)&lt;TODAY())</formula>
    </cfRule>
  </conditionalFormatting>
  <conditionalFormatting sqref="F97">
    <cfRule type="containsText" dxfId="814" priority="279" operator="containsText" text="F">
      <formula>NOT(ISERROR(SEARCH(("F"),(F97))))</formula>
    </cfRule>
  </conditionalFormatting>
  <conditionalFormatting sqref="O97:Q97">
    <cfRule type="expression" dxfId="813" priority="280">
      <formula>AND(ISNUMBER(O97),TRUNC(O97)&lt;TODAY())</formula>
    </cfRule>
  </conditionalFormatting>
  <conditionalFormatting sqref="F96">
    <cfRule type="containsText" dxfId="812" priority="281" operator="containsText" text="F">
      <formula>NOT(ISERROR(SEARCH(("F"),(F96))))</formula>
    </cfRule>
  </conditionalFormatting>
  <conditionalFormatting sqref="Q96">
    <cfRule type="expression" dxfId="811" priority="282">
      <formula>AND(ISNUMBER(Q96),TRUNC(Q96)&lt;TODAY())</formula>
    </cfRule>
  </conditionalFormatting>
  <conditionalFormatting sqref="P96">
    <cfRule type="expression" dxfId="810" priority="283">
      <formula>P96&lt;44043</formula>
    </cfRule>
  </conditionalFormatting>
  <conditionalFormatting sqref="P96">
    <cfRule type="expression" dxfId="809" priority="284">
      <formula>AND(ISNUMBER(P96),TRUNC(P96)&lt;TODAY())</formula>
    </cfRule>
  </conditionalFormatting>
  <conditionalFormatting sqref="O96">
    <cfRule type="expression" dxfId="808" priority="285">
      <formula>AND(ISNUMBER(O96),TRUNC(O96)&lt;TODAY())</formula>
    </cfRule>
  </conditionalFormatting>
  <conditionalFormatting sqref="Q4">
    <cfRule type="expression" dxfId="807" priority="286">
      <formula>AND(ISNUMBER(Q4),TRUNC(Q4)&lt;TODAY())</formula>
    </cfRule>
  </conditionalFormatting>
  <conditionalFormatting sqref="P4">
    <cfRule type="expression" dxfId="806" priority="287">
      <formula>AND(ISNUMBER(P4),TRUNC(P4)&lt;TODAY())</formula>
    </cfRule>
  </conditionalFormatting>
  <conditionalFormatting sqref="O4">
    <cfRule type="expression" dxfId="805" priority="288">
      <formula>AND(ISNUMBER(O4),TRUNC(O4)&lt;TODAY())</formula>
    </cfRule>
  </conditionalFormatting>
  <conditionalFormatting sqref="F4">
    <cfRule type="containsText" dxfId="804" priority="289" operator="containsText" text="F">
      <formula>NOT(ISERROR(SEARCH(("F"),(F4))))</formula>
    </cfRule>
  </conditionalFormatting>
  <conditionalFormatting sqref="F138">
    <cfRule type="containsText" dxfId="803" priority="290" operator="containsText" text="F">
      <formula>NOT(ISERROR(SEARCH(("F"),(F138))))</formula>
    </cfRule>
  </conditionalFormatting>
  <conditionalFormatting sqref="O138">
    <cfRule type="expression" dxfId="802" priority="291">
      <formula>AND(ISNUMBER(O138),TRUNC(O138)&lt;TODAY())</formula>
    </cfRule>
  </conditionalFormatting>
  <conditionalFormatting sqref="Q138">
    <cfRule type="expression" dxfId="801" priority="292">
      <formula>AND(ISNUMBER(Q138),TRUNC(Q138)&lt;TODAY())</formula>
    </cfRule>
  </conditionalFormatting>
  <conditionalFormatting sqref="P138">
    <cfRule type="expression" dxfId="800" priority="293">
      <formula>AND(ISNUMBER(P138),TRUNC(P138)&lt;TODAY())</formula>
    </cfRule>
  </conditionalFormatting>
  <conditionalFormatting sqref="F3">
    <cfRule type="containsText" dxfId="799" priority="294" operator="containsText" text="F">
      <formula>NOT(ISERROR(SEARCH(("F"),(F3))))</formula>
    </cfRule>
  </conditionalFormatting>
  <conditionalFormatting sqref="P2:P3">
    <cfRule type="expression" dxfId="798" priority="295">
      <formula>AND(ISNUMBER(P2),TRUNC(P2)&lt;TODAY())</formula>
    </cfRule>
  </conditionalFormatting>
  <conditionalFormatting sqref="P3">
    <cfRule type="expression" dxfId="797" priority="296">
      <formula>P3&lt;44165</formula>
    </cfRule>
  </conditionalFormatting>
  <conditionalFormatting sqref="P3:Q3">
    <cfRule type="expression" dxfId="796" priority="297">
      <formula>AND(ISNUMBER(P3),TRUNC(P3)&lt;TODAY())</formula>
    </cfRule>
  </conditionalFormatting>
  <conditionalFormatting sqref="O3">
    <cfRule type="expression" dxfId="795" priority="298">
      <formula>AND(ISNUMBER(O3),TRUNC(O3)&lt;TODAY())</formula>
    </cfRule>
  </conditionalFormatting>
  <conditionalFormatting sqref="F95">
    <cfRule type="containsText" dxfId="794" priority="299" operator="containsText" text="F">
      <formula>NOT(ISERROR(SEARCH(("F"),(F95))))</formula>
    </cfRule>
  </conditionalFormatting>
  <conditionalFormatting sqref="F91:F94">
    <cfRule type="containsText" dxfId="793" priority="300" operator="containsText" text="F">
      <formula>NOT(ISERROR(SEARCH(("F"),(F91))))</formula>
    </cfRule>
  </conditionalFormatting>
  <conditionalFormatting sqref="F1:F2 F5:F30 F35:F37 F41:F57 F60:F73 F89:F90 F139 F153:F1846">
    <cfRule type="containsText" dxfId="792" priority="301" operator="containsText" text="F">
      <formula>NOT(ISERROR(SEARCH(("F"),(F1))))</formula>
    </cfRule>
  </conditionalFormatting>
  <conditionalFormatting sqref="O1:Q2 O5:Q16 O18:Q25 Q27:Q30 P29:P30 O35:Q37 O41:Q51 O53:Q54 O56:Q57 O60:Q73 O89:Q95 O139:Q139 O153:Q1846">
    <cfRule type="expression" dxfId="791" priority="302">
      <formula>AND(ISNUMBER(O1),TRUNC(O1)&lt;TODAY())</formula>
    </cfRule>
  </conditionalFormatting>
  <dataValidations count="8">
    <dataValidation type="list" allowBlank="1" sqref="H2:H16 H18:H26 H31:H51 H53:H54 H56:H57 H60:H76 H78:H152">
      <formula1>"A,B,C"</formula1>
    </dataValidation>
    <dataValidation type="list" allowBlank="1" showInputMessage="1" showErrorMessage="1" prompt="Either M or F" sqref="F1:F76 F78:F1846">
      <formula1>"M,F"</formula1>
    </dataValidation>
    <dataValidation type="custom" allowBlank="1" showDropDown="1" showInputMessage="1" showErrorMessage="1" prompt="Enter a valid date" sqref="M1:Q16 M18:Q25 Q27:Q28 N26:N30 P29:Q30 M31:Q36 M37 P37:Q37 M38:Q39 M40:M51 P40:Q51 P53:Q54 P56:Q57 M56:M58 O58:Q58 M60:M76 P60:Q76 M77:Q80 M81:O81 Q81 M82:Q88 M89:M91 P89:Q91 M92:Q94 M95 P95:Q95 M96:Q96 P97:Q98 Q99 P100:Q101 M97:M102 Q102 M103:Q104 M105 P105:Q105 M106:Q107 Q108 M108:M109 P109:Q109 M110:Q110 P111:Q111 Q112 M111:M114 P113:Q114 M115:Q121 M122:O125 Q122:Q125 M126:Q126 M127:O128 Q127:Q128 M129:Q129 M130:O130 Q130 M131:Q135 M136:O137 Q136:Q137 M138:Q140 M141:O142 Q141:Q142 M143:Q151 M152:O152 Q152 M153:M154 O153:Q154 M155:Q1846">
      <formula1>OR(NOT(ISERROR(DATEVALUE(M1))), AND(ISNUMBER(M1), LEFT(CELL("format", M1))="D"))</formula1>
    </dataValidation>
    <dataValidation type="list" allowBlank="1" sqref="G1:G29 G31:G34 G38:G39 G77:G88 G92:G94 G96 G103:G104 G106:G107 G110 G115:G120 G122:G137 G139:G151 G153:G1846">
      <formula1>"UR,SC,ST"</formula1>
    </dataValidation>
    <dataValidation type="list" allowBlank="1" sqref="V37 V41:V51 V53:V54 V56:V57 V60:V73 V78:V80 V82:V83 V85:V86 V88:V90 V97 V99 V101:V102 V106 V111 V113:V120 V122 V126 V129:V130 V134:V137 V141 V143 V148">
      <formula1>"YES,NO,DW"</formula1>
    </dataValidation>
    <dataValidation type="list" allowBlank="1" showErrorMessage="1" sqref="G35:G37 G40 G66:G76 G89:G91 G95 G97:G102 G105 G108:G109 G111:G114 G121 G138 G152">
      <formula1>"UR,SC,ST,OBC"</formula1>
    </dataValidation>
    <dataValidation type="list" allowBlank="1" sqref="G30">
      <formula1>"UR,SC,ST"</formula1>
    </dataValidation>
    <dataValidation type="custom" allowBlank="1" showDropDown="1" showErrorMessage="1" sqref="N37:O37 N40:O51 N52 N53:O54 N55 N56:O57 N58:N59 N60:O76 P81 N89:O91 N95:O95 N97:O98 N99:P99 N100:O101 N102:P102 N105:O105 N108:P108 N109:O109 N111:O111 N112:P112 N113:O114 P122:P125 P127:P128 P130 P136:P137 P141:P142 P152 N153:N154">
      <formula1>OR(NOT(ISERROR(DATEVALUE(N37))), AND(ISNUMBER(N37), LEFT(CELL("format", N37))="D"))</formula1>
    </dataValidation>
  </dataValidations>
  <hyperlinks>
    <hyperlink ref="A1" r:id="rId1"/>
    <hyperlink ref="R2" r:id="rId2"/>
    <hyperlink ref="R5" r:id="rId3"/>
    <hyperlink ref="R8" r:id="rId4"/>
    <hyperlink ref="R10" r:id="rId5"/>
    <hyperlink ref="R11" r:id="rId6"/>
    <hyperlink ref="R17" r:id="rId7"/>
    <hyperlink ref="R27" r:id="rId8"/>
    <hyperlink ref="R29" r:id="rId9"/>
    <hyperlink ref="R30" r:id="rId10"/>
    <hyperlink ref="R33" r:id="rId11"/>
    <hyperlink ref="R34" r:id="rId12"/>
    <hyperlink ref="R35" r:id="rId13"/>
    <hyperlink ref="R36" r:id="rId14"/>
    <hyperlink ref="R37" r:id="rId15"/>
    <hyperlink ref="R38" r:id="rId16"/>
    <hyperlink ref="R39" r:id="rId17"/>
    <hyperlink ref="R40" r:id="rId18"/>
    <hyperlink ref="S40" r:id="rId19"/>
    <hyperlink ref="W40" r:id="rId20"/>
    <hyperlink ref="R41" r:id="rId21"/>
    <hyperlink ref="R42" r:id="rId22"/>
    <hyperlink ref="R43" r:id="rId23"/>
    <hyperlink ref="R44" r:id="rId24"/>
    <hyperlink ref="R45" r:id="rId25"/>
    <hyperlink ref="R46" r:id="rId26"/>
    <hyperlink ref="R47" r:id="rId27"/>
    <hyperlink ref="R48" r:id="rId28"/>
    <hyperlink ref="R49" r:id="rId29"/>
    <hyperlink ref="R50" r:id="rId30"/>
    <hyperlink ref="R51" r:id="rId31"/>
    <hyperlink ref="R52" r:id="rId32"/>
    <hyperlink ref="R53" r:id="rId33"/>
    <hyperlink ref="R54" r:id="rId34"/>
    <hyperlink ref="R55" r:id="rId35"/>
    <hyperlink ref="R56" r:id="rId36"/>
    <hyperlink ref="R57" r:id="rId37"/>
    <hyperlink ref="R58" r:id="rId38"/>
    <hyperlink ref="R59" r:id="rId39"/>
    <hyperlink ref="R60" r:id="rId40"/>
    <hyperlink ref="R61" r:id="rId41"/>
    <hyperlink ref="R62" r:id="rId42"/>
    <hyperlink ref="R63" r:id="rId43"/>
    <hyperlink ref="R64" r:id="rId44"/>
    <hyperlink ref="R65" r:id="rId45"/>
    <hyperlink ref="R66" r:id="rId46"/>
    <hyperlink ref="R67" r:id="rId47"/>
    <hyperlink ref="R68" r:id="rId48"/>
    <hyperlink ref="R69" r:id="rId49"/>
    <hyperlink ref="R70" r:id="rId50"/>
    <hyperlink ref="R71" r:id="rId51"/>
    <hyperlink ref="R72" r:id="rId52"/>
    <hyperlink ref="R73" r:id="rId53"/>
    <hyperlink ref="R74" r:id="rId54"/>
    <hyperlink ref="R77" r:id="rId55"/>
    <hyperlink ref="R78" r:id="rId56"/>
    <hyperlink ref="R79" r:id="rId57"/>
    <hyperlink ref="S79" r:id="rId58"/>
    <hyperlink ref="R80" r:id="rId59"/>
    <hyperlink ref="T80" r:id="rId60"/>
    <hyperlink ref="R81" r:id="rId61"/>
    <hyperlink ref="S81" r:id="rId62"/>
    <hyperlink ref="T81" r:id="rId63"/>
    <hyperlink ref="R82" r:id="rId64"/>
    <hyperlink ref="R83" r:id="rId65"/>
    <hyperlink ref="S83" r:id="rId66"/>
    <hyperlink ref="R84" r:id="rId67"/>
    <hyperlink ref="R85" r:id="rId68"/>
    <hyperlink ref="S85" r:id="rId69"/>
    <hyperlink ref="R86" r:id="rId70"/>
    <hyperlink ref="T86" r:id="rId71"/>
    <hyperlink ref="R87" r:id="rId72"/>
    <hyperlink ref="S87" r:id="rId73"/>
    <hyperlink ref="T87" r:id="rId74"/>
    <hyperlink ref="R88" r:id="rId75"/>
    <hyperlink ref="S88" r:id="rId76"/>
    <hyperlink ref="R89" r:id="rId77"/>
    <hyperlink ref="S89" r:id="rId78"/>
    <hyperlink ref="T89" r:id="rId79"/>
    <hyperlink ref="R90" r:id="rId80"/>
    <hyperlink ref="S90" r:id="rId81"/>
    <hyperlink ref="T90" r:id="rId82"/>
    <hyperlink ref="R91" r:id="rId83"/>
    <hyperlink ref="S91" r:id="rId84"/>
    <hyperlink ref="T91" r:id="rId85"/>
    <hyperlink ref="R92" r:id="rId86"/>
    <hyperlink ref="S92" r:id="rId87"/>
    <hyperlink ref="T92" r:id="rId88"/>
    <hyperlink ref="R93" r:id="rId89"/>
    <hyperlink ref="S93" r:id="rId90"/>
    <hyperlink ref="T93" r:id="rId91"/>
    <hyperlink ref="R94" r:id="rId92"/>
    <hyperlink ref="S94" r:id="rId93"/>
    <hyperlink ref="T94" r:id="rId94"/>
    <hyperlink ref="R95" r:id="rId95"/>
    <hyperlink ref="S95" r:id="rId96"/>
    <hyperlink ref="T95" r:id="rId97"/>
    <hyperlink ref="R96" r:id="rId98"/>
    <hyperlink ref="S96" r:id="rId99"/>
    <hyperlink ref="T96" r:id="rId100"/>
    <hyperlink ref="R97" r:id="rId101"/>
    <hyperlink ref="S97" r:id="rId102"/>
    <hyperlink ref="T97" r:id="rId103"/>
    <hyperlink ref="R98" r:id="rId104"/>
    <hyperlink ref="S98" r:id="rId105"/>
    <hyperlink ref="T98" r:id="rId106"/>
    <hyperlink ref="R99" r:id="rId107"/>
    <hyperlink ref="S99" r:id="rId108"/>
    <hyperlink ref="T99" r:id="rId109"/>
    <hyperlink ref="R100" r:id="rId110"/>
    <hyperlink ref="S100" r:id="rId111"/>
    <hyperlink ref="T100" r:id="rId112"/>
    <hyperlink ref="R101" r:id="rId113"/>
    <hyperlink ref="S101" r:id="rId114"/>
    <hyperlink ref="R102" r:id="rId115"/>
    <hyperlink ref="S102" r:id="rId116"/>
    <hyperlink ref="T102" r:id="rId117"/>
    <hyperlink ref="R103" r:id="rId118"/>
    <hyperlink ref="S103" r:id="rId119"/>
    <hyperlink ref="T103" r:id="rId120"/>
    <hyperlink ref="R104" r:id="rId121"/>
    <hyperlink ref="S104" r:id="rId122"/>
    <hyperlink ref="T104" r:id="rId123"/>
    <hyperlink ref="R105" r:id="rId124"/>
    <hyperlink ref="S105" r:id="rId125"/>
    <hyperlink ref="T105" r:id="rId126"/>
    <hyperlink ref="R106" r:id="rId127"/>
    <hyperlink ref="S106" r:id="rId128"/>
    <hyperlink ref="R107" r:id="rId129"/>
    <hyperlink ref="S107" r:id="rId130"/>
    <hyperlink ref="T107" r:id="rId131"/>
    <hyperlink ref="R108" r:id="rId132"/>
    <hyperlink ref="S108" r:id="rId133"/>
    <hyperlink ref="T108" r:id="rId134"/>
    <hyperlink ref="R109" r:id="rId135"/>
    <hyperlink ref="S109" r:id="rId136"/>
    <hyperlink ref="R110" r:id="rId137"/>
    <hyperlink ref="S110" r:id="rId138"/>
    <hyperlink ref="R111" r:id="rId139"/>
    <hyperlink ref="S111" r:id="rId140"/>
    <hyperlink ref="R112" r:id="rId141"/>
    <hyperlink ref="S112" r:id="rId142"/>
    <hyperlink ref="T112" r:id="rId143"/>
    <hyperlink ref="R113" r:id="rId144"/>
    <hyperlink ref="R114" r:id="rId145"/>
    <hyperlink ref="S114" r:id="rId146"/>
    <hyperlink ref="T114" r:id="rId147"/>
    <hyperlink ref="R115" r:id="rId148"/>
    <hyperlink ref="S115" r:id="rId149"/>
    <hyperlink ref="R116" r:id="rId150"/>
    <hyperlink ref="S116" r:id="rId151"/>
    <hyperlink ref="R117" r:id="rId152"/>
    <hyperlink ref="S117" r:id="rId153"/>
    <hyperlink ref="T117" r:id="rId154"/>
    <hyperlink ref="R118" r:id="rId155"/>
    <hyperlink ref="T118" r:id="rId156"/>
    <hyperlink ref="R119" r:id="rId157"/>
    <hyperlink ref="T119" r:id="rId158"/>
    <hyperlink ref="R120" r:id="rId159"/>
    <hyperlink ref="S120" r:id="rId160"/>
    <hyperlink ref="T120" r:id="rId161"/>
    <hyperlink ref="U121" r:id="rId162"/>
    <hyperlink ref="W121" r:id="rId163"/>
    <hyperlink ref="R122" r:id="rId164"/>
    <hyperlink ref="S122" r:id="rId165"/>
    <hyperlink ref="T122" r:id="rId166"/>
    <hyperlink ref="R123" r:id="rId167"/>
    <hyperlink ref="S123" r:id="rId168"/>
    <hyperlink ref="T123" r:id="rId169"/>
    <hyperlink ref="R124" r:id="rId170"/>
    <hyperlink ref="S124" r:id="rId171"/>
    <hyperlink ref="T124" r:id="rId172"/>
    <hyperlink ref="R125" r:id="rId173"/>
    <hyperlink ref="S125" r:id="rId174"/>
    <hyperlink ref="T125" r:id="rId175"/>
    <hyperlink ref="R126" r:id="rId176"/>
    <hyperlink ref="S126" r:id="rId177"/>
    <hyperlink ref="T126" r:id="rId178"/>
    <hyperlink ref="R127" r:id="rId179"/>
    <hyperlink ref="S127" r:id="rId180"/>
    <hyperlink ref="T127" r:id="rId181"/>
    <hyperlink ref="R128" r:id="rId182"/>
    <hyperlink ref="S128" r:id="rId183"/>
    <hyperlink ref="T128" r:id="rId184"/>
    <hyperlink ref="R129" r:id="rId185"/>
    <hyperlink ref="T129" r:id="rId186"/>
    <hyperlink ref="R130" r:id="rId187"/>
    <hyperlink ref="S130" r:id="rId188"/>
    <hyperlink ref="T130" r:id="rId189"/>
    <hyperlink ref="R131" r:id="rId190"/>
    <hyperlink ref="R132" r:id="rId191"/>
    <hyperlink ref="T132" r:id="rId192"/>
    <hyperlink ref="R133" r:id="rId193"/>
    <hyperlink ref="R134" r:id="rId194"/>
    <hyperlink ref="S134" r:id="rId195"/>
    <hyperlink ref="T134" r:id="rId196"/>
    <hyperlink ref="R135" r:id="rId197"/>
    <hyperlink ref="T135" r:id="rId198"/>
    <hyperlink ref="R136" r:id="rId199"/>
    <hyperlink ref="S136" r:id="rId200"/>
    <hyperlink ref="T136" r:id="rId201"/>
    <hyperlink ref="R137" r:id="rId202"/>
    <hyperlink ref="T137" r:id="rId203"/>
    <hyperlink ref="S138" r:id="rId204"/>
    <hyperlink ref="R139" r:id="rId205"/>
    <hyperlink ref="R140" r:id="rId206"/>
    <hyperlink ref="R141" r:id="rId207"/>
    <hyperlink ref="S141" r:id="rId208"/>
    <hyperlink ref="R142" r:id="rId209"/>
    <hyperlink ref="S142" r:id="rId210"/>
    <hyperlink ref="R143" r:id="rId211"/>
    <hyperlink ref="S143" r:id="rId212"/>
    <hyperlink ref="T143" r:id="rId213"/>
    <hyperlink ref="R144" r:id="rId214"/>
    <hyperlink ref="R145" r:id="rId215"/>
    <hyperlink ref="R146" r:id="rId216"/>
    <hyperlink ref="R147" r:id="rId217"/>
    <hyperlink ref="R148" r:id="rId218"/>
    <hyperlink ref="R149" r:id="rId219"/>
    <hyperlink ref="S149" r:id="rId220"/>
    <hyperlink ref="R150" r:id="rId221"/>
    <hyperlink ref="S150" r:id="rId222"/>
    <hyperlink ref="R151" r:id="rId223"/>
    <hyperlink ref="S151" r:id="rId224"/>
    <hyperlink ref="S152" r:id="rId225"/>
    <hyperlink ref="R153" r:id="rId226"/>
    <hyperlink ref="R154" r:id="rId227"/>
  </hyperlinks>
  <pageMargins left="0.7" right="0.7" top="0.75" bottom="0.75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AM10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ColWidth="14.42578125" defaultRowHeight="15" customHeight="1"/>
  <cols>
    <col min="1" max="1" width="4.7109375" customWidth="1"/>
    <col min="2" max="2" width="30.85546875" customWidth="1"/>
    <col min="3" max="3" width="12.5703125" customWidth="1"/>
    <col min="5" max="5" width="13.7109375" customWidth="1"/>
    <col min="6" max="6" width="10.28515625" customWidth="1"/>
    <col min="8" max="8" width="18.42578125" customWidth="1"/>
    <col min="10" max="10" width="16.42578125" customWidth="1"/>
    <col min="12" max="12" width="24.42578125" customWidth="1"/>
    <col min="16" max="16" width="18" customWidth="1"/>
    <col min="17" max="17" width="22.7109375" customWidth="1"/>
    <col min="20" max="20" width="13.5703125" customWidth="1"/>
    <col min="21" max="21" width="11.7109375" customWidth="1"/>
  </cols>
  <sheetData>
    <row r="1" spans="1:39" ht="17.25">
      <c r="A1" s="1754" t="s">
        <v>40</v>
      </c>
      <c r="B1" s="2084" t="s">
        <v>430</v>
      </c>
      <c r="C1" s="1754" t="s">
        <v>675</v>
      </c>
      <c r="D1" s="2085" t="s">
        <v>432</v>
      </c>
      <c r="E1" s="1133" t="s">
        <v>433</v>
      </c>
      <c r="F1" s="1007" t="s">
        <v>2759</v>
      </c>
      <c r="G1" s="1133" t="s">
        <v>15</v>
      </c>
      <c r="H1" s="1133" t="s">
        <v>2760</v>
      </c>
      <c r="I1" s="2086" t="s">
        <v>1005</v>
      </c>
      <c r="J1" s="1133" t="s">
        <v>1006</v>
      </c>
      <c r="K1" s="1133" t="s">
        <v>29</v>
      </c>
      <c r="L1" s="2086" t="s">
        <v>23</v>
      </c>
      <c r="M1" s="418" t="s">
        <v>435</v>
      </c>
      <c r="N1" s="418" t="s">
        <v>130</v>
      </c>
      <c r="O1" s="418" t="s">
        <v>1007</v>
      </c>
      <c r="P1" s="418" t="s">
        <v>1008</v>
      </c>
      <c r="Q1" s="418" t="s">
        <v>1009</v>
      </c>
      <c r="R1" s="2087" t="s">
        <v>7345</v>
      </c>
      <c r="S1" s="952" t="s">
        <v>7346</v>
      </c>
      <c r="T1" s="952" t="s">
        <v>7347</v>
      </c>
      <c r="U1" s="952" t="s">
        <v>7348</v>
      </c>
      <c r="V1" s="954" t="s">
        <v>5629</v>
      </c>
      <c r="W1" s="2088" t="s">
        <v>7349</v>
      </c>
      <c r="X1" s="2088" t="s">
        <v>7350</v>
      </c>
      <c r="Y1" s="382"/>
      <c r="Z1" s="382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</row>
    <row r="2" spans="1:39" ht="18.75">
      <c r="A2" s="1566">
        <v>1</v>
      </c>
      <c r="B2" s="2089" t="s">
        <v>7351</v>
      </c>
      <c r="C2" s="307" t="s">
        <v>31</v>
      </c>
      <c r="D2" s="510">
        <v>50205602385</v>
      </c>
      <c r="E2" s="303" t="s">
        <v>7352</v>
      </c>
      <c r="F2" s="2090" t="s">
        <v>759</v>
      </c>
      <c r="G2" s="337" t="s">
        <v>76</v>
      </c>
      <c r="H2" s="303" t="s">
        <v>279</v>
      </c>
      <c r="I2" s="307">
        <v>9002079694</v>
      </c>
      <c r="J2" s="703">
        <v>8918637567</v>
      </c>
      <c r="K2" s="274" t="s">
        <v>464</v>
      </c>
      <c r="L2" s="303" t="s">
        <v>52</v>
      </c>
      <c r="M2" s="278">
        <v>32254</v>
      </c>
      <c r="N2" s="315">
        <v>54178</v>
      </c>
      <c r="O2" s="278">
        <v>46510</v>
      </c>
      <c r="P2" s="278">
        <v>45608</v>
      </c>
      <c r="Q2" s="300">
        <v>45591</v>
      </c>
      <c r="R2" s="285"/>
      <c r="S2" s="285"/>
      <c r="T2" s="318" t="s">
        <v>7353</v>
      </c>
      <c r="U2" s="318" t="s">
        <v>7354</v>
      </c>
      <c r="V2" s="285">
        <f t="shared" ref="V2:V10" si="0">LEN(D2)</f>
        <v>11</v>
      </c>
      <c r="W2" s="3"/>
      <c r="X2" s="3"/>
      <c r="Y2" s="79"/>
      <c r="Z2" s="79"/>
      <c r="AA2" s="79"/>
      <c r="AB2" s="79"/>
      <c r="AC2" s="79"/>
      <c r="AD2" s="79"/>
      <c r="AE2" s="79"/>
      <c r="AF2" s="79"/>
      <c r="AG2" s="79"/>
      <c r="AH2" s="79"/>
    </row>
    <row r="3" spans="1:39" ht="18.75">
      <c r="A3" s="1566">
        <v>3</v>
      </c>
      <c r="B3" s="2089" t="s">
        <v>7355</v>
      </c>
      <c r="C3" s="307" t="s">
        <v>31</v>
      </c>
      <c r="D3" s="510">
        <v>50200101357</v>
      </c>
      <c r="E3" s="303" t="s">
        <v>7356</v>
      </c>
      <c r="F3" s="2090" t="s">
        <v>759</v>
      </c>
      <c r="G3" s="337" t="s">
        <v>77</v>
      </c>
      <c r="H3" s="303" t="s">
        <v>266</v>
      </c>
      <c r="I3" s="307">
        <v>9002071008</v>
      </c>
      <c r="J3" s="307">
        <v>9002071008</v>
      </c>
      <c r="K3" s="274" t="s">
        <v>464</v>
      </c>
      <c r="L3" s="303" t="s">
        <v>52</v>
      </c>
      <c r="M3" s="278">
        <v>30303</v>
      </c>
      <c r="N3" s="315">
        <v>52231</v>
      </c>
      <c r="O3" s="278">
        <v>46210</v>
      </c>
      <c r="P3" s="278">
        <v>45608</v>
      </c>
      <c r="Q3" s="300">
        <v>45591</v>
      </c>
      <c r="R3" s="285"/>
      <c r="S3" s="285"/>
      <c r="T3" s="318" t="s">
        <v>7357</v>
      </c>
      <c r="U3" s="318" t="s">
        <v>7358</v>
      </c>
      <c r="V3" s="285">
        <f t="shared" si="0"/>
        <v>11</v>
      </c>
      <c r="W3" s="3"/>
      <c r="X3" s="3"/>
      <c r="Y3" s="382"/>
      <c r="Z3" s="382"/>
      <c r="AA3" s="382"/>
      <c r="AB3" s="382"/>
      <c r="AC3" s="382"/>
      <c r="AD3" s="382"/>
      <c r="AE3" s="382"/>
      <c r="AF3" s="382"/>
      <c r="AG3" s="382"/>
      <c r="AH3" s="382"/>
      <c r="AI3" s="311"/>
      <c r="AJ3" s="311"/>
      <c r="AK3" s="311"/>
      <c r="AL3" s="311"/>
      <c r="AM3" s="311"/>
    </row>
    <row r="4" spans="1:39" ht="15.75" customHeight="1">
      <c r="A4" s="1566">
        <v>5</v>
      </c>
      <c r="B4" s="2089" t="s">
        <v>7359</v>
      </c>
      <c r="C4" s="307" t="s">
        <v>31</v>
      </c>
      <c r="D4" s="510">
        <v>50205602555</v>
      </c>
      <c r="E4" s="303" t="s">
        <v>7360</v>
      </c>
      <c r="F4" s="2090" t="s">
        <v>759</v>
      </c>
      <c r="G4" s="337" t="s">
        <v>76</v>
      </c>
      <c r="H4" s="303" t="s">
        <v>279</v>
      </c>
      <c r="I4" s="307">
        <v>9002071228</v>
      </c>
      <c r="J4" s="303"/>
      <c r="K4" s="274" t="s">
        <v>464</v>
      </c>
      <c r="L4" s="274" t="s">
        <v>52</v>
      </c>
      <c r="M4" s="278">
        <v>30878</v>
      </c>
      <c r="N4" s="315">
        <v>52809</v>
      </c>
      <c r="O4" s="278">
        <v>45767</v>
      </c>
      <c r="P4" s="278">
        <v>45608</v>
      </c>
      <c r="Q4" s="300">
        <v>45591</v>
      </c>
      <c r="R4" s="285"/>
      <c r="S4" s="285"/>
      <c r="T4" s="318" t="s">
        <v>7361</v>
      </c>
      <c r="U4" s="318" t="s">
        <v>7362</v>
      </c>
      <c r="V4" s="285">
        <f t="shared" si="0"/>
        <v>11</v>
      </c>
      <c r="W4" s="3"/>
      <c r="X4" s="3"/>
      <c r="Y4" s="79"/>
      <c r="Z4" s="79"/>
      <c r="AB4" s="79"/>
    </row>
    <row r="5" spans="1:39" ht="15.75" customHeight="1">
      <c r="A5" s="1566">
        <v>7</v>
      </c>
      <c r="B5" s="401" t="s">
        <v>7363</v>
      </c>
      <c r="C5" s="275" t="s">
        <v>31</v>
      </c>
      <c r="D5" s="1284">
        <v>50209645664</v>
      </c>
      <c r="E5" s="303" t="s">
        <v>7364</v>
      </c>
      <c r="F5" s="286" t="s">
        <v>759</v>
      </c>
      <c r="G5" s="303" t="s">
        <v>76</v>
      </c>
      <c r="H5" s="274" t="s">
        <v>279</v>
      </c>
      <c r="I5" s="275">
        <v>9002071798</v>
      </c>
      <c r="J5" s="275">
        <v>9002071798</v>
      </c>
      <c r="K5" s="274" t="s">
        <v>464</v>
      </c>
      <c r="L5" s="303" t="s">
        <v>54</v>
      </c>
      <c r="M5" s="272">
        <v>26688</v>
      </c>
      <c r="N5" s="272">
        <v>48610</v>
      </c>
      <c r="O5" s="272">
        <v>45318</v>
      </c>
      <c r="P5" s="279">
        <v>45212</v>
      </c>
      <c r="Q5" s="302">
        <v>45177</v>
      </c>
      <c r="R5" s="79"/>
      <c r="S5" s="485"/>
      <c r="T5" s="486" t="s">
        <v>7365</v>
      </c>
      <c r="U5" s="486" t="s">
        <v>7366</v>
      </c>
      <c r="V5" s="382">
        <f t="shared" si="0"/>
        <v>11</v>
      </c>
      <c r="W5" s="382"/>
      <c r="X5" s="282">
        <f t="shared" ref="X5:X6" ca="1" si="1">INT((TODAY()-M5)/365)</f>
        <v>53</v>
      </c>
      <c r="Y5" s="79"/>
      <c r="Z5" s="79"/>
    </row>
    <row r="6" spans="1:39">
      <c r="A6" s="1566">
        <v>9</v>
      </c>
      <c r="B6" s="401" t="s">
        <v>7367</v>
      </c>
      <c r="C6" s="275" t="s">
        <v>31</v>
      </c>
      <c r="D6" s="1284">
        <v>50200035841</v>
      </c>
      <c r="E6" s="303" t="s">
        <v>7368</v>
      </c>
      <c r="F6" s="286" t="s">
        <v>759</v>
      </c>
      <c r="G6" s="303" t="s">
        <v>76</v>
      </c>
      <c r="H6" s="274" t="s">
        <v>279</v>
      </c>
      <c r="I6" s="284">
        <v>9002071392</v>
      </c>
      <c r="J6" s="284">
        <v>9002071392</v>
      </c>
      <c r="K6" s="274" t="s">
        <v>464</v>
      </c>
      <c r="L6" s="274" t="s">
        <v>54</v>
      </c>
      <c r="M6" s="272">
        <v>32333</v>
      </c>
      <c r="N6" s="272">
        <v>54270</v>
      </c>
      <c r="O6" s="272">
        <v>45458</v>
      </c>
      <c r="P6" s="279">
        <v>45212</v>
      </c>
      <c r="Q6" s="302">
        <v>45177</v>
      </c>
      <c r="R6" s="79"/>
      <c r="S6" s="485"/>
      <c r="T6" s="486" t="s">
        <v>7369</v>
      </c>
      <c r="U6" s="486" t="s">
        <v>7369</v>
      </c>
      <c r="V6" s="382">
        <f t="shared" si="0"/>
        <v>11</v>
      </c>
      <c r="W6" s="382"/>
      <c r="X6" s="282">
        <f t="shared" ca="1" si="1"/>
        <v>37</v>
      </c>
      <c r="Y6" s="79"/>
      <c r="Z6" s="79"/>
    </row>
    <row r="7" spans="1:39" ht="15.75" customHeight="1">
      <c r="A7" s="1566">
        <v>10</v>
      </c>
      <c r="B7" s="2089" t="s">
        <v>7370</v>
      </c>
      <c r="C7" s="303" t="s">
        <v>31</v>
      </c>
      <c r="D7" s="510">
        <v>50202682710</v>
      </c>
      <c r="E7" s="970" t="s">
        <v>7371</v>
      </c>
      <c r="F7" s="2090" t="s">
        <v>759</v>
      </c>
      <c r="G7" s="875" t="s">
        <v>77</v>
      </c>
      <c r="H7" s="303" t="s">
        <v>266</v>
      </c>
      <c r="I7" s="307">
        <v>8420320083</v>
      </c>
      <c r="J7" s="307"/>
      <c r="K7" s="274" t="s">
        <v>464</v>
      </c>
      <c r="L7" s="274" t="s">
        <v>54</v>
      </c>
      <c r="M7" s="278">
        <v>26574</v>
      </c>
      <c r="N7" s="315">
        <v>48518</v>
      </c>
      <c r="O7" s="278">
        <v>45200</v>
      </c>
      <c r="P7" s="279">
        <v>45552</v>
      </c>
      <c r="Q7" s="272">
        <v>45537</v>
      </c>
      <c r="R7" s="285"/>
      <c r="S7" s="285"/>
      <c r="T7" s="318" t="s">
        <v>7372</v>
      </c>
      <c r="U7" s="318" t="s">
        <v>7373</v>
      </c>
      <c r="V7" s="285">
        <f t="shared" si="0"/>
        <v>11</v>
      </c>
      <c r="W7" s="3"/>
      <c r="X7" s="3"/>
      <c r="Y7" s="79"/>
      <c r="Z7" s="79"/>
    </row>
    <row r="8" spans="1:39" ht="18.75">
      <c r="A8" s="1566">
        <v>11</v>
      </c>
      <c r="B8" s="2089" t="s">
        <v>7374</v>
      </c>
      <c r="C8" s="307" t="s">
        <v>31</v>
      </c>
      <c r="D8" s="510">
        <v>50200099260</v>
      </c>
      <c r="E8" s="303" t="s">
        <v>7375</v>
      </c>
      <c r="F8" s="2090" t="s">
        <v>759</v>
      </c>
      <c r="G8" s="337" t="s">
        <v>76</v>
      </c>
      <c r="H8" s="303" t="s">
        <v>266</v>
      </c>
      <c r="I8" s="307">
        <v>9002071076</v>
      </c>
      <c r="J8" s="703">
        <v>7001554906</v>
      </c>
      <c r="K8" s="274" t="s">
        <v>464</v>
      </c>
      <c r="L8" s="274" t="s">
        <v>56</v>
      </c>
      <c r="M8" s="278">
        <v>30237</v>
      </c>
      <c r="N8" s="315">
        <v>52170</v>
      </c>
      <c r="O8" s="278">
        <v>46000</v>
      </c>
      <c r="P8" s="278">
        <v>45748</v>
      </c>
      <c r="Q8" s="302">
        <v>45705</v>
      </c>
      <c r="R8" s="998"/>
      <c r="S8" s="285"/>
      <c r="T8" s="318" t="s">
        <v>7376</v>
      </c>
      <c r="U8" s="318" t="s">
        <v>7377</v>
      </c>
      <c r="V8" s="285">
        <f t="shared" si="0"/>
        <v>11</v>
      </c>
      <c r="W8" s="3"/>
      <c r="X8" s="3"/>
      <c r="Y8" s="3"/>
      <c r="Z8" s="79"/>
      <c r="AA8" s="79"/>
      <c r="AB8" s="311">
        <f t="shared" ref="AB8:AB11" ca="1" si="2">INT((TODAY()-M8)/365)</f>
        <v>43</v>
      </c>
      <c r="AC8" s="311"/>
      <c r="AD8" s="311"/>
      <c r="AE8" s="311"/>
      <c r="AF8" s="311"/>
      <c r="AG8" s="311"/>
      <c r="AH8" s="311"/>
      <c r="AI8" s="311"/>
      <c r="AJ8" s="311"/>
      <c r="AK8" s="311"/>
      <c r="AL8" s="311"/>
      <c r="AM8" s="311"/>
    </row>
    <row r="9" spans="1:39" ht="15.75" customHeight="1">
      <c r="A9" s="1566">
        <v>12</v>
      </c>
      <c r="B9" s="2089" t="s">
        <v>7378</v>
      </c>
      <c r="C9" s="307" t="s">
        <v>31</v>
      </c>
      <c r="D9" s="510">
        <v>50200101175</v>
      </c>
      <c r="E9" s="303" t="s">
        <v>7379</v>
      </c>
      <c r="F9" s="2090" t="s">
        <v>759</v>
      </c>
      <c r="G9" s="337" t="s">
        <v>76</v>
      </c>
      <c r="H9" s="303" t="s">
        <v>266</v>
      </c>
      <c r="I9" s="307">
        <v>9002079000</v>
      </c>
      <c r="J9" s="307"/>
      <c r="K9" s="274" t="s">
        <v>464</v>
      </c>
      <c r="L9" s="303" t="s">
        <v>62</v>
      </c>
      <c r="M9" s="278">
        <v>29244</v>
      </c>
      <c r="N9" s="315">
        <v>51166</v>
      </c>
      <c r="O9" s="278">
        <v>45681</v>
      </c>
      <c r="P9" s="279">
        <v>45720</v>
      </c>
      <c r="Q9" s="302">
        <v>45705</v>
      </c>
      <c r="R9" s="285"/>
      <c r="S9" s="285"/>
      <c r="T9" s="318" t="s">
        <v>7380</v>
      </c>
      <c r="U9" s="318" t="s">
        <v>7381</v>
      </c>
      <c r="V9" s="285">
        <f t="shared" si="0"/>
        <v>11</v>
      </c>
      <c r="W9" s="3"/>
      <c r="X9" s="3"/>
      <c r="Y9" s="3"/>
      <c r="Z9" s="79"/>
      <c r="AA9" s="79"/>
      <c r="AB9" s="382">
        <f t="shared" ca="1" si="2"/>
        <v>46</v>
      </c>
      <c r="AC9" s="334"/>
      <c r="AD9" s="334"/>
      <c r="AE9" s="334"/>
      <c r="AF9" s="334"/>
      <c r="AG9" s="334"/>
      <c r="AH9" s="334"/>
      <c r="AI9" s="199"/>
      <c r="AJ9" s="199"/>
      <c r="AK9" s="199"/>
      <c r="AL9" s="199"/>
      <c r="AM9" s="199"/>
    </row>
    <row r="10" spans="1:39" ht="15.75" customHeight="1">
      <c r="A10" s="1566">
        <v>13</v>
      </c>
      <c r="B10" s="2089" t="s">
        <v>7382</v>
      </c>
      <c r="C10" s="307" t="s">
        <v>31</v>
      </c>
      <c r="D10" s="2091">
        <v>50205606860</v>
      </c>
      <c r="E10" s="303" t="s">
        <v>7383</v>
      </c>
      <c r="F10" s="2090" t="s">
        <v>759</v>
      </c>
      <c r="G10" s="337" t="s">
        <v>77</v>
      </c>
      <c r="H10" s="303" t="s">
        <v>279</v>
      </c>
      <c r="I10" s="307">
        <v>9002071053</v>
      </c>
      <c r="J10" s="703">
        <v>9609625595</v>
      </c>
      <c r="K10" s="274" t="s">
        <v>464</v>
      </c>
      <c r="L10" s="303" t="s">
        <v>62</v>
      </c>
      <c r="M10" s="278">
        <v>32238</v>
      </c>
      <c r="N10" s="315">
        <v>54178</v>
      </c>
      <c r="O10" s="278">
        <v>45847</v>
      </c>
      <c r="P10" s="302">
        <v>45695</v>
      </c>
      <c r="Q10" s="302">
        <v>45622</v>
      </c>
      <c r="R10" s="998"/>
      <c r="S10" s="285"/>
      <c r="T10" s="318" t="s">
        <v>7384</v>
      </c>
      <c r="U10" s="1363" t="s">
        <v>7385</v>
      </c>
      <c r="V10" s="285">
        <f t="shared" si="0"/>
        <v>11</v>
      </c>
      <c r="W10" s="3"/>
      <c r="X10" s="3"/>
      <c r="Y10" s="3"/>
      <c r="Z10" s="79"/>
      <c r="AA10" s="79"/>
      <c r="AB10" s="311">
        <f t="shared" ca="1" si="2"/>
        <v>37</v>
      </c>
    </row>
    <row r="11" spans="1:39" ht="15.75" customHeight="1">
      <c r="A11" s="1566">
        <v>14</v>
      </c>
      <c r="B11" s="2089" t="s">
        <v>7386</v>
      </c>
      <c r="C11" s="307" t="s">
        <v>31</v>
      </c>
      <c r="D11" s="510">
        <v>50200099650</v>
      </c>
      <c r="E11" s="303" t="s">
        <v>7387</v>
      </c>
      <c r="F11" s="2090" t="s">
        <v>759</v>
      </c>
      <c r="G11" s="337" t="s">
        <v>76</v>
      </c>
      <c r="H11" s="303" t="s">
        <v>279</v>
      </c>
      <c r="I11" s="307">
        <v>9002071363</v>
      </c>
      <c r="J11" s="307"/>
      <c r="K11" s="274" t="s">
        <v>464</v>
      </c>
      <c r="L11" s="303" t="s">
        <v>52</v>
      </c>
      <c r="M11" s="278">
        <v>31905</v>
      </c>
      <c r="N11" s="315">
        <v>53843</v>
      </c>
      <c r="O11" s="278">
        <v>45999</v>
      </c>
      <c r="P11" s="279">
        <v>45720</v>
      </c>
      <c r="Q11" s="302">
        <v>45677</v>
      </c>
      <c r="R11" s="285"/>
      <c r="S11" s="285"/>
      <c r="T11" s="318" t="s">
        <v>7388</v>
      </c>
      <c r="U11" s="318" t="s">
        <v>7389</v>
      </c>
      <c r="V11" s="285"/>
      <c r="W11" s="3"/>
      <c r="X11" s="3"/>
      <c r="Y11" s="3"/>
      <c r="Z11" s="79"/>
      <c r="AB11" s="311">
        <f t="shared" ca="1" si="2"/>
        <v>38</v>
      </c>
    </row>
    <row r="12" spans="1:39" ht="18.75">
      <c r="A12" s="1566">
        <v>15</v>
      </c>
      <c r="B12" s="2089" t="s">
        <v>7390</v>
      </c>
      <c r="C12" s="307" t="s">
        <v>31</v>
      </c>
      <c r="D12" s="2091">
        <v>50200065754</v>
      </c>
      <c r="E12" s="337" t="s">
        <v>7391</v>
      </c>
      <c r="F12" s="286" t="s">
        <v>759</v>
      </c>
      <c r="G12" s="337" t="s">
        <v>76</v>
      </c>
      <c r="H12" s="274" t="s">
        <v>266</v>
      </c>
      <c r="I12" s="307">
        <v>9002071027</v>
      </c>
      <c r="J12" s="307">
        <v>9002071027</v>
      </c>
      <c r="K12" s="274" t="s">
        <v>464</v>
      </c>
      <c r="L12" s="303" t="s">
        <v>417</v>
      </c>
      <c r="M12" s="278">
        <v>27987</v>
      </c>
      <c r="N12" s="315">
        <v>49918</v>
      </c>
      <c r="O12" s="278">
        <v>45151</v>
      </c>
      <c r="P12" s="279">
        <v>45487</v>
      </c>
      <c r="Q12" s="272">
        <v>45509</v>
      </c>
      <c r="R12" s="79"/>
      <c r="S12" s="285"/>
      <c r="T12" s="318" t="s">
        <v>7392</v>
      </c>
      <c r="U12" s="318" t="s">
        <v>7393</v>
      </c>
      <c r="V12" s="285">
        <f>LEN(D12)</f>
        <v>11</v>
      </c>
      <c r="W12" s="3"/>
      <c r="X12" s="282">
        <f ca="1">INT((TODAY()-M12)/365)</f>
        <v>49</v>
      </c>
      <c r="Y12" s="79"/>
      <c r="Z12" s="79"/>
    </row>
    <row r="13" spans="1:39" ht="15.75" customHeight="1">
      <c r="A13" s="1566">
        <v>16</v>
      </c>
      <c r="B13" s="1729" t="s">
        <v>7394</v>
      </c>
      <c r="C13" s="275" t="s">
        <v>31</v>
      </c>
      <c r="D13" s="306">
        <v>50205606846</v>
      </c>
      <c r="E13" s="303" t="s">
        <v>7395</v>
      </c>
      <c r="F13" s="1700" t="s">
        <v>759</v>
      </c>
      <c r="G13" s="303" t="s">
        <v>76</v>
      </c>
      <c r="H13" s="274" t="s">
        <v>279</v>
      </c>
      <c r="I13" s="275">
        <v>9002071665</v>
      </c>
      <c r="J13" s="275"/>
      <c r="K13" s="274" t="s">
        <v>464</v>
      </c>
      <c r="L13" s="18" t="s">
        <v>64</v>
      </c>
      <c r="M13" s="289">
        <v>31654</v>
      </c>
      <c r="N13" s="289">
        <v>53570</v>
      </c>
      <c r="O13" s="272">
        <v>45847</v>
      </c>
      <c r="P13" s="279">
        <v>45720</v>
      </c>
      <c r="Q13" s="302">
        <v>45705</v>
      </c>
      <c r="R13" s="294"/>
      <c r="S13" s="295"/>
      <c r="T13" s="296" t="s">
        <v>7396</v>
      </c>
      <c r="U13" s="296" t="s">
        <v>7397</v>
      </c>
      <c r="V13" s="297">
        <f>LEN(TEXT(D13,0))</f>
        <v>11</v>
      </c>
      <c r="W13" s="282">
        <f ca="1">INT((TODAY()-M13)/365)</f>
        <v>39</v>
      </c>
      <c r="X13" s="297"/>
      <c r="Y13" s="79"/>
      <c r="Z13" s="79"/>
      <c r="AH13" s="298"/>
      <c r="AI13" s="298"/>
      <c r="AJ13" s="298"/>
      <c r="AK13" s="298"/>
      <c r="AL13" s="298"/>
      <c r="AM13" s="298"/>
    </row>
    <row r="14" spans="1:39" ht="15.75" customHeight="1">
      <c r="A14" s="1566">
        <v>17</v>
      </c>
      <c r="B14" s="2089" t="s">
        <v>7398</v>
      </c>
      <c r="C14" s="307" t="s">
        <v>31</v>
      </c>
      <c r="D14" s="2091">
        <v>50205607085</v>
      </c>
      <c r="E14" s="303" t="s">
        <v>7399</v>
      </c>
      <c r="F14" s="2090" t="s">
        <v>759</v>
      </c>
      <c r="G14" s="337" t="s">
        <v>76</v>
      </c>
      <c r="H14" s="303" t="s">
        <v>266</v>
      </c>
      <c r="I14" s="307">
        <v>9002071107</v>
      </c>
      <c r="J14" s="307"/>
      <c r="K14" s="274" t="s">
        <v>464</v>
      </c>
      <c r="L14" s="18" t="s">
        <v>52</v>
      </c>
      <c r="M14" s="278">
        <v>30752</v>
      </c>
      <c r="N14" s="315">
        <v>52687</v>
      </c>
      <c r="O14" s="278">
        <v>45880</v>
      </c>
      <c r="P14" s="278">
        <v>45748</v>
      </c>
      <c r="Q14" s="302">
        <v>7350527</v>
      </c>
      <c r="R14" s="285"/>
      <c r="S14" s="285"/>
      <c r="T14" s="318" t="s">
        <v>7400</v>
      </c>
      <c r="U14" s="318" t="s">
        <v>7401</v>
      </c>
      <c r="V14" s="285">
        <f>LEN(D14)</f>
        <v>11</v>
      </c>
      <c r="W14" s="3"/>
      <c r="X14" s="3"/>
      <c r="Y14" s="3"/>
      <c r="Z14" s="79"/>
      <c r="AA14" s="79"/>
      <c r="AB14" s="311">
        <f ca="1">INT((TODAY()-M14)/365)</f>
        <v>42</v>
      </c>
      <c r="AC14" s="311"/>
      <c r="AD14" s="311"/>
      <c r="AE14" s="311"/>
      <c r="AF14" s="311"/>
      <c r="AG14" s="311"/>
      <c r="AH14" s="311"/>
      <c r="AI14" s="311"/>
      <c r="AJ14" s="311"/>
      <c r="AK14" s="311"/>
      <c r="AL14" s="311"/>
      <c r="AM14" s="311"/>
    </row>
    <row r="15" spans="1:39" ht="15.75" customHeight="1">
      <c r="A15" s="1566">
        <v>18</v>
      </c>
      <c r="B15" s="401" t="s">
        <v>7402</v>
      </c>
      <c r="C15" s="275" t="s">
        <v>31</v>
      </c>
      <c r="D15" s="306">
        <v>50205607048</v>
      </c>
      <c r="E15" s="303" t="s">
        <v>7403</v>
      </c>
      <c r="F15" s="1700" t="s">
        <v>759</v>
      </c>
      <c r="G15" s="303" t="s">
        <v>76</v>
      </c>
      <c r="H15" s="274" t="s">
        <v>279</v>
      </c>
      <c r="I15" s="274">
        <v>9002071352</v>
      </c>
      <c r="J15" s="275"/>
      <c r="K15" s="274" t="s">
        <v>464</v>
      </c>
      <c r="L15" s="303" t="s">
        <v>417</v>
      </c>
      <c r="M15" s="272">
        <v>32274</v>
      </c>
      <c r="N15" s="289">
        <v>54209</v>
      </c>
      <c r="O15" s="272">
        <v>45847</v>
      </c>
      <c r="P15" s="279">
        <v>45720</v>
      </c>
      <c r="Q15" s="272">
        <v>45674</v>
      </c>
      <c r="R15" s="294"/>
      <c r="S15" s="295"/>
      <c r="T15" s="296" t="s">
        <v>7404</v>
      </c>
      <c r="U15" s="296" t="s">
        <v>7405</v>
      </c>
      <c r="V15" s="297">
        <f>LEN(TEXT(D15,0))</f>
        <v>11</v>
      </c>
      <c r="W15" s="282">
        <f ca="1">INT((TODAY()-M15)/365)</f>
        <v>37</v>
      </c>
      <c r="X15" s="297"/>
      <c r="Y15" s="3"/>
      <c r="Z15" s="79"/>
      <c r="AH15" s="298"/>
      <c r="AI15" s="298"/>
      <c r="AJ15" s="298"/>
      <c r="AK15" s="298"/>
      <c r="AL15" s="298"/>
      <c r="AM15" s="298"/>
    </row>
    <row r="16" spans="1:39" ht="15.75" customHeight="1">
      <c r="A16" s="1566">
        <v>19</v>
      </c>
      <c r="B16" s="1583" t="s">
        <v>7406</v>
      </c>
      <c r="C16" s="275" t="s">
        <v>31</v>
      </c>
      <c r="D16" s="1284">
        <v>50200035695</v>
      </c>
      <c r="E16" s="274" t="s">
        <v>7407</v>
      </c>
      <c r="F16" s="286" t="s">
        <v>759</v>
      </c>
      <c r="G16" s="274" t="s">
        <v>77</v>
      </c>
      <c r="H16" s="274" t="s">
        <v>279</v>
      </c>
      <c r="I16" s="275">
        <v>9002079090</v>
      </c>
      <c r="J16" s="887">
        <v>9735769398</v>
      </c>
      <c r="K16" s="274" t="s">
        <v>464</v>
      </c>
      <c r="L16" s="303" t="s">
        <v>55</v>
      </c>
      <c r="M16" s="289">
        <v>28522</v>
      </c>
      <c r="N16" s="272">
        <v>50436</v>
      </c>
      <c r="O16" s="272">
        <v>45402</v>
      </c>
      <c r="P16" s="279">
        <v>45212</v>
      </c>
      <c r="Q16" s="302">
        <v>45177</v>
      </c>
      <c r="R16" s="79"/>
      <c r="S16" s="485"/>
      <c r="T16" s="486" t="s">
        <v>7408</v>
      </c>
      <c r="U16" s="486" t="s">
        <v>7409</v>
      </c>
      <c r="V16" s="954" t="s">
        <v>1269</v>
      </c>
      <c r="W16" s="382"/>
      <c r="X16" s="282">
        <f ca="1">INT((TODAY()-M16)/365)</f>
        <v>48</v>
      </c>
      <c r="Y16" s="382"/>
      <c r="Z16" s="382"/>
      <c r="AA16" s="311"/>
      <c r="AB16" s="311"/>
      <c r="AC16" s="311"/>
      <c r="AD16" s="311"/>
      <c r="AE16" s="311"/>
      <c r="AF16" s="311"/>
      <c r="AG16" s="311"/>
      <c r="AH16" s="311"/>
      <c r="AI16" s="311"/>
      <c r="AJ16" s="311"/>
      <c r="AK16" s="311"/>
      <c r="AL16" s="311"/>
      <c r="AM16" s="311"/>
    </row>
    <row r="17" spans="1:39" ht="15.75" customHeight="1">
      <c r="A17" s="1566">
        <v>21</v>
      </c>
      <c r="B17" s="1583" t="s">
        <v>7410</v>
      </c>
      <c r="C17" s="275" t="s">
        <v>31</v>
      </c>
      <c r="D17" s="917">
        <v>50200116051</v>
      </c>
      <c r="E17" s="274" t="s">
        <v>7411</v>
      </c>
      <c r="F17" s="1700" t="s">
        <v>759</v>
      </c>
      <c r="G17" s="274" t="s">
        <v>77</v>
      </c>
      <c r="H17" s="274" t="s">
        <v>279</v>
      </c>
      <c r="I17" s="275">
        <v>9002071184</v>
      </c>
      <c r="J17" s="1909">
        <v>9002071184</v>
      </c>
      <c r="K17" s="274" t="s">
        <v>464</v>
      </c>
      <c r="L17" s="303" t="s">
        <v>54</v>
      </c>
      <c r="M17" s="289">
        <v>32215</v>
      </c>
      <c r="N17" s="289">
        <v>54148</v>
      </c>
      <c r="O17" s="289">
        <v>45185</v>
      </c>
      <c r="P17" s="279">
        <v>45720</v>
      </c>
      <c r="Q17" s="302">
        <v>45705</v>
      </c>
      <c r="R17" s="280"/>
      <c r="S17" s="295"/>
      <c r="T17" s="296" t="s">
        <v>7412</v>
      </c>
      <c r="U17" s="296" t="s">
        <v>7413</v>
      </c>
      <c r="V17" s="297">
        <f>LEN(TEXT(D17,0))</f>
        <v>11</v>
      </c>
      <c r="W17" s="282">
        <f ca="1">INT((TODAY()-M17)/365)</f>
        <v>38</v>
      </c>
      <c r="X17" s="297"/>
      <c r="Y17" s="3"/>
      <c r="Z17" s="79"/>
      <c r="AB17" s="311">
        <f t="shared" ref="AB17:AB18" ca="1" si="3">INT((TODAY()-M17)/365)</f>
        <v>38</v>
      </c>
    </row>
    <row r="18" spans="1:39" ht="15.75" customHeight="1">
      <c r="A18" s="1566">
        <v>22</v>
      </c>
      <c r="B18" s="1882" t="s">
        <v>7414</v>
      </c>
      <c r="C18" s="307" t="s">
        <v>31</v>
      </c>
      <c r="D18" s="2091">
        <v>50205607127</v>
      </c>
      <c r="E18" s="303" t="s">
        <v>7415</v>
      </c>
      <c r="F18" s="2090" t="s">
        <v>759</v>
      </c>
      <c r="G18" s="337" t="s">
        <v>76</v>
      </c>
      <c r="H18" s="303" t="s">
        <v>279</v>
      </c>
      <c r="I18" s="307">
        <v>9002071082</v>
      </c>
      <c r="J18" s="307"/>
      <c r="K18" s="274" t="s">
        <v>464</v>
      </c>
      <c r="L18" s="274" t="s">
        <v>44</v>
      </c>
      <c r="M18" s="278">
        <v>33044</v>
      </c>
      <c r="N18" s="315">
        <v>54969</v>
      </c>
      <c r="O18" s="278">
        <v>45853</v>
      </c>
      <c r="P18" s="278">
        <v>45748</v>
      </c>
      <c r="Q18" s="302">
        <v>45705</v>
      </c>
      <c r="R18" s="998"/>
      <c r="S18" s="285"/>
      <c r="T18" s="318" t="s">
        <v>7416</v>
      </c>
      <c r="U18" s="318" t="s">
        <v>7417</v>
      </c>
      <c r="V18" s="285">
        <f>LEN(D18)</f>
        <v>11</v>
      </c>
      <c r="W18" s="3"/>
      <c r="X18" s="3"/>
      <c r="Y18" s="382"/>
      <c r="Z18" s="382"/>
      <c r="AA18" s="311"/>
      <c r="AB18" s="208">
        <f t="shared" ca="1" si="3"/>
        <v>35</v>
      </c>
      <c r="AC18" s="384"/>
      <c r="AD18" s="384"/>
      <c r="AE18" s="384"/>
      <c r="AF18" s="384"/>
      <c r="AG18" s="384"/>
      <c r="AH18" s="384"/>
      <c r="AI18" s="384"/>
      <c r="AJ18" s="384"/>
      <c r="AK18" s="384"/>
      <c r="AL18" s="384"/>
      <c r="AM18" s="384"/>
    </row>
    <row r="19" spans="1:39" ht="15.75" customHeight="1">
      <c r="A19" s="1566">
        <v>23</v>
      </c>
      <c r="B19" s="1583" t="s">
        <v>7418</v>
      </c>
      <c r="C19" s="275" t="s">
        <v>31</v>
      </c>
      <c r="D19" s="2092">
        <v>50205607358</v>
      </c>
      <c r="E19" s="303" t="s">
        <v>7419</v>
      </c>
      <c r="F19" s="1700" t="s">
        <v>759</v>
      </c>
      <c r="G19" s="303" t="s">
        <v>76</v>
      </c>
      <c r="H19" s="274" t="s">
        <v>266</v>
      </c>
      <c r="I19" s="275">
        <v>9002071810</v>
      </c>
      <c r="J19" s="601">
        <v>8170022283</v>
      </c>
      <c r="K19" s="274" t="s">
        <v>464</v>
      </c>
      <c r="L19" s="18" t="s">
        <v>62</v>
      </c>
      <c r="M19" s="289">
        <v>31829</v>
      </c>
      <c r="N19" s="289">
        <v>53751</v>
      </c>
      <c r="O19" s="272">
        <v>45882</v>
      </c>
      <c r="P19" s="279">
        <v>45720</v>
      </c>
      <c r="Q19" s="272">
        <v>45674</v>
      </c>
      <c r="R19" s="294"/>
      <c r="S19" s="295"/>
      <c r="T19" s="296" t="s">
        <v>7420</v>
      </c>
      <c r="U19" s="296" t="s">
        <v>7421</v>
      </c>
      <c r="V19" s="297">
        <f>LEN(TEXT(D19,0))</f>
        <v>11</v>
      </c>
      <c r="W19" s="282">
        <f ca="1">INT((TODAY()-M19)/365)</f>
        <v>39</v>
      </c>
      <c r="X19" s="297"/>
      <c r="Y19" s="297"/>
      <c r="Z19" s="297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</row>
    <row r="20" spans="1:39" ht="15.75">
      <c r="A20" s="1566">
        <v>24</v>
      </c>
      <c r="B20" s="401" t="s">
        <v>7422</v>
      </c>
      <c r="C20" s="307" t="s">
        <v>31</v>
      </c>
      <c r="D20" s="1567">
        <v>50200116701</v>
      </c>
      <c r="E20" s="620" t="s">
        <v>7423</v>
      </c>
      <c r="F20" s="2090" t="s">
        <v>759</v>
      </c>
      <c r="G20" s="274" t="s">
        <v>77</v>
      </c>
      <c r="H20" s="303" t="s">
        <v>266</v>
      </c>
      <c r="I20" s="275">
        <v>9002071631</v>
      </c>
      <c r="J20" s="306">
        <v>9002071631</v>
      </c>
      <c r="K20" s="274" t="s">
        <v>464</v>
      </c>
      <c r="L20" s="303" t="s">
        <v>52</v>
      </c>
      <c r="M20" s="272">
        <v>30787</v>
      </c>
      <c r="N20" s="272">
        <v>52717</v>
      </c>
      <c r="O20" s="272">
        <v>46643</v>
      </c>
      <c r="P20" s="272">
        <v>45257</v>
      </c>
      <c r="Q20" s="272">
        <v>45242</v>
      </c>
      <c r="R20" s="285"/>
      <c r="S20" s="485"/>
      <c r="T20" s="486" t="s">
        <v>7424</v>
      </c>
      <c r="U20" s="1363" t="s">
        <v>7425</v>
      </c>
      <c r="V20" s="382">
        <f t="shared" ref="V20:V36" si="4">LEN(D20)</f>
        <v>11</v>
      </c>
      <c r="W20" s="382"/>
      <c r="X20" s="382"/>
      <c r="Y20" s="382"/>
      <c r="Z20" s="382"/>
      <c r="AA20" s="382"/>
      <c r="AB20" s="311">
        <f ca="1">INT((TODAY()-M20)/365)</f>
        <v>41</v>
      </c>
    </row>
    <row r="21" spans="1:39" ht="15.75" customHeight="1">
      <c r="A21" s="1566">
        <v>25</v>
      </c>
      <c r="B21" s="293" t="s">
        <v>7426</v>
      </c>
      <c r="C21" s="18" t="s">
        <v>31</v>
      </c>
      <c r="D21" s="1284">
        <v>50200162292</v>
      </c>
      <c r="E21" s="303" t="s">
        <v>7427</v>
      </c>
      <c r="F21" s="286" t="s">
        <v>759</v>
      </c>
      <c r="G21" s="274" t="s">
        <v>77</v>
      </c>
      <c r="H21" s="274" t="s">
        <v>279</v>
      </c>
      <c r="I21" s="461">
        <v>9002071793</v>
      </c>
      <c r="J21" s="690"/>
      <c r="K21" s="274" t="s">
        <v>464</v>
      </c>
      <c r="L21" s="18" t="s">
        <v>62</v>
      </c>
      <c r="M21" s="272">
        <v>30806</v>
      </c>
      <c r="N21" s="272">
        <v>52748</v>
      </c>
      <c r="O21" s="272">
        <v>45997</v>
      </c>
      <c r="P21" s="278">
        <v>45559</v>
      </c>
      <c r="Q21" s="279">
        <v>45527</v>
      </c>
      <c r="R21" s="1134"/>
      <c r="S21" s="485"/>
      <c r="T21" s="486" t="s">
        <v>7428</v>
      </c>
      <c r="U21" s="486" t="s">
        <v>7429</v>
      </c>
      <c r="V21" s="382">
        <f t="shared" si="4"/>
        <v>11</v>
      </c>
      <c r="W21" s="382"/>
      <c r="X21" s="282">
        <f ca="1">INT((TODAY()-M21)/365)</f>
        <v>41</v>
      </c>
      <c r="Y21" s="382"/>
      <c r="Z21" s="382"/>
      <c r="AA21" s="311"/>
      <c r="AB21" s="311"/>
    </row>
    <row r="22" spans="1:39" ht="15.75" customHeight="1">
      <c r="A22" s="1566">
        <v>26</v>
      </c>
      <c r="B22" s="293" t="s">
        <v>7430</v>
      </c>
      <c r="C22" s="307" t="s">
        <v>31</v>
      </c>
      <c r="D22" s="2093">
        <v>50205607462</v>
      </c>
      <c r="E22" s="18" t="s">
        <v>7431</v>
      </c>
      <c r="F22" s="1700" t="s">
        <v>759</v>
      </c>
      <c r="G22" s="274" t="s">
        <v>77</v>
      </c>
      <c r="H22" s="274" t="s">
        <v>266</v>
      </c>
      <c r="I22" s="275">
        <v>9003071703</v>
      </c>
      <c r="J22" s="601">
        <v>850915465</v>
      </c>
      <c r="K22" s="274" t="s">
        <v>464</v>
      </c>
      <c r="L22" s="284" t="s">
        <v>64</v>
      </c>
      <c r="M22" s="272">
        <v>32065</v>
      </c>
      <c r="N22" s="272">
        <v>53996</v>
      </c>
      <c r="O22" s="272">
        <v>45903</v>
      </c>
      <c r="P22" s="278">
        <v>45391</v>
      </c>
      <c r="Q22" s="279">
        <v>45373</v>
      </c>
      <c r="R22" s="1134"/>
      <c r="S22" s="485"/>
      <c r="T22" s="486" t="s">
        <v>7432</v>
      </c>
      <c r="U22" s="486" t="s">
        <v>7433</v>
      </c>
      <c r="V22" s="382">
        <f t="shared" si="4"/>
        <v>11</v>
      </c>
      <c r="W22" s="282">
        <f t="shared" ref="W22:W24" ca="1" si="5">INT((TODAY()-M22)/365)</f>
        <v>38</v>
      </c>
      <c r="X22" s="382"/>
      <c r="Y22" s="297"/>
      <c r="Z22" s="297"/>
      <c r="AA22" s="298"/>
      <c r="AB22" s="298"/>
      <c r="AC22" s="298"/>
      <c r="AD22" s="298"/>
      <c r="AE22" s="298"/>
      <c r="AF22" s="298"/>
      <c r="AG22" s="298"/>
      <c r="AH22" s="298"/>
      <c r="AI22" s="298"/>
      <c r="AJ22" s="298"/>
      <c r="AK22" s="298"/>
      <c r="AL22" s="298"/>
      <c r="AM22" s="298"/>
    </row>
    <row r="23" spans="1:39" ht="15.75" customHeight="1">
      <c r="A23" s="1566">
        <v>27</v>
      </c>
      <c r="B23" s="351" t="s">
        <v>7434</v>
      </c>
      <c r="C23" s="307" t="s">
        <v>31</v>
      </c>
      <c r="D23" s="1284">
        <v>50200114637</v>
      </c>
      <c r="E23" s="18" t="s">
        <v>7435</v>
      </c>
      <c r="F23" s="1700" t="s">
        <v>759</v>
      </c>
      <c r="G23" s="274" t="s">
        <v>76</v>
      </c>
      <c r="H23" s="274" t="s">
        <v>266</v>
      </c>
      <c r="I23" s="275">
        <v>9002071367</v>
      </c>
      <c r="J23" s="275"/>
      <c r="K23" s="274" t="s">
        <v>464</v>
      </c>
      <c r="L23" s="18" t="s">
        <v>62</v>
      </c>
      <c r="M23" s="272">
        <v>30030</v>
      </c>
      <c r="N23" s="272">
        <v>51956</v>
      </c>
      <c r="O23" s="272">
        <v>45181</v>
      </c>
      <c r="P23" s="272">
        <v>45257</v>
      </c>
      <c r="Q23" s="272">
        <v>45242</v>
      </c>
      <c r="R23" s="998"/>
      <c r="S23" s="485"/>
      <c r="T23" s="486" t="s">
        <v>7436</v>
      </c>
      <c r="U23" s="486" t="s">
        <v>7437</v>
      </c>
      <c r="V23" s="382">
        <f t="shared" si="4"/>
        <v>11</v>
      </c>
      <c r="W23" s="282">
        <f t="shared" ca="1" si="5"/>
        <v>44</v>
      </c>
      <c r="X23" s="382"/>
      <c r="Y23" s="297"/>
      <c r="Z23" s="297"/>
      <c r="AA23" s="298"/>
      <c r="AB23" s="298"/>
      <c r="AC23" s="298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</row>
    <row r="24" spans="1:39" ht="15.75" customHeight="1">
      <c r="A24" s="1566">
        <v>28</v>
      </c>
      <c r="B24" s="351" t="s">
        <v>7438</v>
      </c>
      <c r="C24" s="307" t="s">
        <v>31</v>
      </c>
      <c r="D24" s="1284">
        <v>50205607437</v>
      </c>
      <c r="E24" s="18" t="s">
        <v>7439</v>
      </c>
      <c r="F24" s="1700" t="s">
        <v>759</v>
      </c>
      <c r="G24" s="274" t="s">
        <v>77</v>
      </c>
      <c r="H24" s="274" t="s">
        <v>279</v>
      </c>
      <c r="I24" s="275">
        <v>9002071395</v>
      </c>
      <c r="J24" s="275"/>
      <c r="K24" s="274" t="s">
        <v>464</v>
      </c>
      <c r="L24" s="274" t="s">
        <v>44</v>
      </c>
      <c r="M24" s="272">
        <v>32787</v>
      </c>
      <c r="N24" s="272">
        <v>54727</v>
      </c>
      <c r="O24" s="272">
        <v>45909</v>
      </c>
      <c r="P24" s="315">
        <v>45283</v>
      </c>
      <c r="Q24" s="279">
        <v>45242</v>
      </c>
      <c r="R24" s="294"/>
      <c r="S24" s="485"/>
      <c r="T24" s="486" t="s">
        <v>7440</v>
      </c>
      <c r="U24" s="486" t="s">
        <v>7441</v>
      </c>
      <c r="V24" s="382">
        <f t="shared" si="4"/>
        <v>11</v>
      </c>
      <c r="W24" s="282">
        <f t="shared" ca="1" si="5"/>
        <v>36</v>
      </c>
      <c r="X24" s="382"/>
      <c r="Y24" s="297"/>
      <c r="Z24" s="297"/>
      <c r="AA24" s="298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</row>
    <row r="25" spans="1:39" ht="15.75" customHeight="1">
      <c r="A25" s="1566">
        <v>29</v>
      </c>
      <c r="B25" s="293" t="s">
        <v>7442</v>
      </c>
      <c r="C25" s="18" t="s">
        <v>31</v>
      </c>
      <c r="D25" s="1284">
        <v>50205607565</v>
      </c>
      <c r="E25" s="303" t="s">
        <v>7443</v>
      </c>
      <c r="F25" s="286" t="s">
        <v>759</v>
      </c>
      <c r="G25" s="274" t="s">
        <v>76</v>
      </c>
      <c r="H25" s="274" t="s">
        <v>266</v>
      </c>
      <c r="I25" s="275">
        <v>8420320005</v>
      </c>
      <c r="J25" s="690"/>
      <c r="K25" s="274" t="s">
        <v>464</v>
      </c>
      <c r="L25" s="18" t="s">
        <v>62</v>
      </c>
      <c r="M25" s="272">
        <v>32769</v>
      </c>
      <c r="N25" s="272">
        <v>54696</v>
      </c>
      <c r="O25" s="272">
        <v>45913</v>
      </c>
      <c r="P25" s="278">
        <v>45141</v>
      </c>
      <c r="Q25" s="279">
        <v>45108</v>
      </c>
      <c r="R25" s="998"/>
      <c r="S25" s="285"/>
      <c r="T25" s="486" t="s">
        <v>7444</v>
      </c>
      <c r="U25" s="486" t="s">
        <v>7445</v>
      </c>
      <c r="V25" s="382">
        <f t="shared" si="4"/>
        <v>11</v>
      </c>
      <c r="W25" s="3"/>
      <c r="X25" s="3"/>
      <c r="Y25" s="3"/>
      <c r="Z25" s="382"/>
      <c r="AA25" s="311"/>
      <c r="AB25" s="311"/>
    </row>
    <row r="26" spans="1:39" ht="15.75" customHeight="1">
      <c r="A26" s="1566">
        <v>30</v>
      </c>
      <c r="B26" s="351" t="s">
        <v>7446</v>
      </c>
      <c r="C26" s="18" t="s">
        <v>31</v>
      </c>
      <c r="D26" s="1567">
        <v>50205607486</v>
      </c>
      <c r="E26" s="303" t="s">
        <v>7447</v>
      </c>
      <c r="F26" s="286" t="s">
        <v>759</v>
      </c>
      <c r="G26" s="274" t="s">
        <v>77</v>
      </c>
      <c r="H26" s="274" t="s">
        <v>266</v>
      </c>
      <c r="I26" s="275">
        <v>9330028437</v>
      </c>
      <c r="J26" s="306">
        <v>8642078821</v>
      </c>
      <c r="K26" s="274" t="s">
        <v>464</v>
      </c>
      <c r="L26" s="274" t="s">
        <v>54</v>
      </c>
      <c r="M26" s="272">
        <v>31964</v>
      </c>
      <c r="N26" s="272">
        <v>53904</v>
      </c>
      <c r="O26" s="272">
        <v>45920</v>
      </c>
      <c r="P26" s="278">
        <v>45559</v>
      </c>
      <c r="Q26" s="279">
        <v>45527</v>
      </c>
      <c r="R26" s="998"/>
      <c r="S26" s="485"/>
      <c r="T26" s="486" t="s">
        <v>7448</v>
      </c>
      <c r="U26" s="486" t="s">
        <v>7449</v>
      </c>
      <c r="V26" s="382">
        <f t="shared" si="4"/>
        <v>11</v>
      </c>
      <c r="W26" s="382"/>
      <c r="X26" s="282">
        <f ca="1">INT((TODAY()-M26)/365)</f>
        <v>38</v>
      </c>
      <c r="Y26" s="382"/>
      <c r="Z26" s="382"/>
      <c r="AA26" s="311"/>
      <c r="AB26" s="311"/>
    </row>
    <row r="27" spans="1:39" ht="15.75" customHeight="1">
      <c r="A27" s="1566">
        <v>31</v>
      </c>
      <c r="B27" s="293" t="s">
        <v>7450</v>
      </c>
      <c r="C27" s="274" t="s">
        <v>31</v>
      </c>
      <c r="D27" s="1284">
        <v>50200116105</v>
      </c>
      <c r="E27" s="620" t="s">
        <v>7451</v>
      </c>
      <c r="F27" s="2090" t="s">
        <v>759</v>
      </c>
      <c r="G27" s="274" t="s">
        <v>77</v>
      </c>
      <c r="H27" s="303" t="s">
        <v>266</v>
      </c>
      <c r="I27" s="275">
        <v>9002071760</v>
      </c>
      <c r="J27" s="690"/>
      <c r="K27" s="274" t="s">
        <v>464</v>
      </c>
      <c r="L27" s="274" t="s">
        <v>44</v>
      </c>
      <c r="M27" s="272">
        <v>31540</v>
      </c>
      <c r="N27" s="272">
        <v>53478</v>
      </c>
      <c r="O27" s="272">
        <v>45210</v>
      </c>
      <c r="P27" s="279">
        <v>45748</v>
      </c>
      <c r="Q27" s="279">
        <v>45677</v>
      </c>
      <c r="R27" s="1134"/>
      <c r="S27" s="485"/>
      <c r="T27" s="486" t="s">
        <v>7452</v>
      </c>
      <c r="U27" s="486" t="s">
        <v>7453</v>
      </c>
      <c r="V27" s="382">
        <f t="shared" si="4"/>
        <v>11</v>
      </c>
      <c r="W27" s="382"/>
      <c r="X27" s="382"/>
      <c r="Y27" s="382"/>
      <c r="Z27" s="382"/>
      <c r="AA27" s="382"/>
      <c r="AB27" s="382">
        <f ca="1">INT((TODAY()-M27)/365)</f>
        <v>39</v>
      </c>
      <c r="AC27" s="382"/>
      <c r="AD27" s="382"/>
      <c r="AE27" s="382"/>
      <c r="AF27" s="382"/>
      <c r="AG27" s="382"/>
      <c r="AH27" s="382"/>
      <c r="AI27" s="311"/>
      <c r="AJ27" s="311"/>
      <c r="AK27" s="311"/>
      <c r="AL27" s="311"/>
      <c r="AM27" s="311"/>
    </row>
    <row r="28" spans="1:39" ht="15.75" customHeight="1">
      <c r="A28" s="1566">
        <v>32</v>
      </c>
      <c r="B28" s="351" t="s">
        <v>7454</v>
      </c>
      <c r="C28" s="18" t="s">
        <v>31</v>
      </c>
      <c r="D28" s="1284">
        <v>50205607759</v>
      </c>
      <c r="E28" s="2094" t="s">
        <v>7455</v>
      </c>
      <c r="F28" s="286" t="s">
        <v>759</v>
      </c>
      <c r="G28" s="274" t="s">
        <v>76</v>
      </c>
      <c r="H28" s="274" t="s">
        <v>266</v>
      </c>
      <c r="I28" s="284">
        <v>9002079697</v>
      </c>
      <c r="J28" s="306">
        <v>9002079697</v>
      </c>
      <c r="K28" s="274" t="s">
        <v>464</v>
      </c>
      <c r="L28" s="303" t="s">
        <v>52</v>
      </c>
      <c r="M28" s="272">
        <v>31303</v>
      </c>
      <c r="N28" s="272">
        <v>53235</v>
      </c>
      <c r="O28" s="272">
        <v>45909</v>
      </c>
      <c r="P28" s="272">
        <v>45691</v>
      </c>
      <c r="Q28" s="279">
        <v>45654</v>
      </c>
      <c r="R28" s="1134"/>
      <c r="S28" s="485"/>
      <c r="T28" s="486" t="s">
        <v>7456</v>
      </c>
      <c r="U28" s="486" t="s">
        <v>7457</v>
      </c>
      <c r="V28" s="382">
        <f t="shared" si="4"/>
        <v>11</v>
      </c>
      <c r="W28" s="382"/>
      <c r="X28" s="282">
        <f t="shared" ref="X28:X29" ca="1" si="6">INT((TODAY()-M28)/365)</f>
        <v>40</v>
      </c>
      <c r="Y28" s="382"/>
      <c r="Z28" s="382"/>
      <c r="AA28" s="311"/>
      <c r="AB28" s="311"/>
    </row>
    <row r="29" spans="1:39" ht="15.75" customHeight="1">
      <c r="A29" s="1566">
        <v>33</v>
      </c>
      <c r="B29" s="351" t="s">
        <v>7458</v>
      </c>
      <c r="C29" s="275" t="s">
        <v>31</v>
      </c>
      <c r="D29" s="1567">
        <v>50205612007</v>
      </c>
      <c r="E29" s="274" t="s">
        <v>7459</v>
      </c>
      <c r="F29" s="286" t="s">
        <v>759</v>
      </c>
      <c r="G29" s="274" t="s">
        <v>76</v>
      </c>
      <c r="H29" s="274" t="s">
        <v>266</v>
      </c>
      <c r="I29" s="1309">
        <v>9002071085</v>
      </c>
      <c r="J29" s="306">
        <v>7003325559</v>
      </c>
      <c r="K29" s="274" t="s">
        <v>464</v>
      </c>
      <c r="L29" s="274" t="s">
        <v>417</v>
      </c>
      <c r="M29" s="272">
        <v>31506</v>
      </c>
      <c r="N29" s="272">
        <v>53447</v>
      </c>
      <c r="O29" s="272">
        <v>46021</v>
      </c>
      <c r="P29" s="315">
        <v>45826</v>
      </c>
      <c r="Q29" s="272">
        <v>45842</v>
      </c>
      <c r="R29" s="998"/>
      <c r="S29" s="486" t="s">
        <v>7460</v>
      </c>
      <c r="T29" s="486" t="s">
        <v>7461</v>
      </c>
      <c r="U29" s="486" t="s">
        <v>7462</v>
      </c>
      <c r="V29" s="382">
        <f t="shared" si="4"/>
        <v>11</v>
      </c>
      <c r="W29" s="382"/>
      <c r="X29" s="282">
        <f t="shared" ca="1" si="6"/>
        <v>39</v>
      </c>
      <c r="Y29" s="382"/>
      <c r="Z29" s="382"/>
      <c r="AA29" s="382"/>
      <c r="AB29" s="311"/>
      <c r="AC29" s="311"/>
      <c r="AD29" s="311"/>
      <c r="AE29" s="311"/>
      <c r="AF29" s="311"/>
      <c r="AG29" s="311"/>
      <c r="AH29" s="311"/>
      <c r="AI29" s="311"/>
      <c r="AJ29" s="311"/>
      <c r="AK29" s="311"/>
      <c r="AL29" s="311"/>
      <c r="AM29" s="311"/>
    </row>
    <row r="30" spans="1:39" ht="15.75" customHeight="1">
      <c r="A30" s="1566">
        <v>34</v>
      </c>
      <c r="B30" s="293" t="s">
        <v>2858</v>
      </c>
      <c r="C30" s="307" t="s">
        <v>31</v>
      </c>
      <c r="D30" s="1284">
        <v>50200116079</v>
      </c>
      <c r="E30" s="18" t="s">
        <v>7463</v>
      </c>
      <c r="F30" s="1700" t="s">
        <v>759</v>
      </c>
      <c r="G30" s="274" t="s">
        <v>77</v>
      </c>
      <c r="H30" s="274" t="s">
        <v>266</v>
      </c>
      <c r="I30" s="275">
        <v>9002071068</v>
      </c>
      <c r="J30" s="284">
        <v>9002071068</v>
      </c>
      <c r="K30" s="274" t="s">
        <v>464</v>
      </c>
      <c r="L30" s="445" t="s">
        <v>56</v>
      </c>
      <c r="M30" s="272">
        <v>29958</v>
      </c>
      <c r="N30" s="272">
        <v>51897</v>
      </c>
      <c r="O30" s="272">
        <v>45192</v>
      </c>
      <c r="P30" s="272">
        <v>45257</v>
      </c>
      <c r="Q30" s="272">
        <v>45242</v>
      </c>
      <c r="R30" s="294"/>
      <c r="S30" s="485"/>
      <c r="T30" s="486" t="s">
        <v>7464</v>
      </c>
      <c r="U30" s="486" t="s">
        <v>7465</v>
      </c>
      <c r="V30" s="382">
        <f t="shared" si="4"/>
        <v>11</v>
      </c>
      <c r="W30" s="282">
        <f ca="1">INT((TODAY()-M30)/365)</f>
        <v>44</v>
      </c>
      <c r="X30" s="382"/>
      <c r="Y30" s="382"/>
      <c r="Z30" s="382"/>
      <c r="AA30" s="311"/>
      <c r="AB30" s="311"/>
      <c r="AC30" s="311"/>
      <c r="AD30" s="311"/>
      <c r="AE30" s="311"/>
      <c r="AH30" s="298"/>
      <c r="AI30" s="298"/>
      <c r="AJ30" s="298"/>
      <c r="AK30" s="298"/>
      <c r="AL30" s="298"/>
      <c r="AM30" s="298"/>
    </row>
    <row r="31" spans="1:39" ht="15.75" customHeight="1">
      <c r="A31" s="1566">
        <v>32</v>
      </c>
      <c r="B31" s="276" t="s">
        <v>7466</v>
      </c>
      <c r="C31" s="307" t="s">
        <v>31</v>
      </c>
      <c r="D31" s="2091">
        <v>50205602452</v>
      </c>
      <c r="E31" s="303" t="s">
        <v>7467</v>
      </c>
      <c r="F31" s="2090" t="s">
        <v>759</v>
      </c>
      <c r="G31" s="337" t="s">
        <v>77</v>
      </c>
      <c r="H31" s="303" t="s">
        <v>279</v>
      </c>
      <c r="I31" s="307">
        <v>9002071220</v>
      </c>
      <c r="J31" s="703">
        <v>9153559093</v>
      </c>
      <c r="K31" s="274" t="s">
        <v>464</v>
      </c>
      <c r="L31" s="303" t="s">
        <v>52</v>
      </c>
      <c r="M31" s="278">
        <v>31835</v>
      </c>
      <c r="N31" s="315">
        <v>53751</v>
      </c>
      <c r="O31" s="278">
        <v>45762</v>
      </c>
      <c r="P31" s="279">
        <v>45552</v>
      </c>
      <c r="Q31" s="300">
        <v>45591</v>
      </c>
      <c r="R31" s="338"/>
      <c r="S31" s="285"/>
      <c r="T31" s="318" t="s">
        <v>7468</v>
      </c>
      <c r="U31" s="1363" t="s">
        <v>7469</v>
      </c>
      <c r="V31" s="285">
        <f t="shared" si="4"/>
        <v>11</v>
      </c>
      <c r="W31" s="3"/>
      <c r="X31" s="3"/>
      <c r="Y31" s="79"/>
      <c r="Z31" s="79"/>
    </row>
    <row r="32" spans="1:39" ht="15.75" customHeight="1">
      <c r="A32" s="1566">
        <v>68</v>
      </c>
      <c r="B32" s="276" t="s">
        <v>7470</v>
      </c>
      <c r="C32" s="307" t="s">
        <v>31</v>
      </c>
      <c r="D32" s="510">
        <v>50212548730</v>
      </c>
      <c r="E32" s="674" t="s">
        <v>7471</v>
      </c>
      <c r="F32" s="286" t="s">
        <v>759</v>
      </c>
      <c r="G32" s="337" t="s">
        <v>76</v>
      </c>
      <c r="H32" s="274" t="s">
        <v>279</v>
      </c>
      <c r="I32" s="307">
        <v>9002071723</v>
      </c>
      <c r="J32" s="307">
        <v>9002071723</v>
      </c>
      <c r="K32" s="274" t="s">
        <v>464</v>
      </c>
      <c r="L32" s="303" t="s">
        <v>52</v>
      </c>
      <c r="M32" s="278">
        <v>24488</v>
      </c>
      <c r="N32" s="315">
        <v>46418</v>
      </c>
      <c r="O32" s="278">
        <v>45279</v>
      </c>
      <c r="P32" s="279">
        <v>45487</v>
      </c>
      <c r="Q32" s="272">
        <v>45509</v>
      </c>
      <c r="R32" s="79"/>
      <c r="S32" s="285"/>
      <c r="T32" s="318" t="s">
        <v>7472</v>
      </c>
      <c r="U32" s="318" t="s">
        <v>7472</v>
      </c>
      <c r="V32" s="285">
        <f t="shared" si="4"/>
        <v>11</v>
      </c>
      <c r="W32" s="3"/>
      <c r="X32" s="282">
        <f t="shared" ref="X32:X33" ca="1" si="7">INT((TODAY()-M32)/365)</f>
        <v>59</v>
      </c>
      <c r="Y32" s="382"/>
      <c r="Z32" s="382"/>
      <c r="AA32" s="311"/>
      <c r="AB32" s="311"/>
      <c r="AC32" s="311"/>
      <c r="AD32" s="311"/>
      <c r="AE32" s="311"/>
      <c r="AF32" s="311"/>
      <c r="AG32" s="311"/>
      <c r="AH32" s="311"/>
      <c r="AI32" s="311"/>
      <c r="AJ32" s="311"/>
      <c r="AK32" s="311"/>
      <c r="AL32" s="311"/>
      <c r="AM32" s="311"/>
    </row>
    <row r="33" spans="1:39" ht="14.25" customHeight="1">
      <c r="A33" s="898">
        <v>142</v>
      </c>
      <c r="B33" s="351" t="s">
        <v>7473</v>
      </c>
      <c r="C33" s="275" t="s">
        <v>31</v>
      </c>
      <c r="D33" s="1284">
        <v>50205611957</v>
      </c>
      <c r="E33" s="274" t="s">
        <v>7474</v>
      </c>
      <c r="F33" s="286" t="s">
        <v>759</v>
      </c>
      <c r="G33" s="274" t="s">
        <v>76</v>
      </c>
      <c r="H33" s="274" t="s">
        <v>266</v>
      </c>
      <c r="I33" s="461">
        <v>9002071014</v>
      </c>
      <c r="J33" s="690"/>
      <c r="K33" s="274" t="s">
        <v>464</v>
      </c>
      <c r="L33" s="274" t="s">
        <v>52</v>
      </c>
      <c r="M33" s="272">
        <v>31486</v>
      </c>
      <c r="N33" s="272">
        <v>53417</v>
      </c>
      <c r="O33" s="272">
        <v>46035</v>
      </c>
      <c r="P33" s="272">
        <v>45280</v>
      </c>
      <c r="Q33" s="272">
        <v>45842</v>
      </c>
      <c r="R33" s="998"/>
      <c r="S33" s="486" t="s">
        <v>7475</v>
      </c>
      <c r="T33" s="486" t="s">
        <v>7476</v>
      </c>
      <c r="U33" s="281" t="s">
        <v>7477</v>
      </c>
      <c r="V33" s="382">
        <f t="shared" si="4"/>
        <v>11</v>
      </c>
      <c r="W33" s="382"/>
      <c r="X33" s="282">
        <f t="shared" ca="1" si="7"/>
        <v>40</v>
      </c>
      <c r="Y33" s="382"/>
      <c r="Z33" s="382"/>
      <c r="AA33" s="382"/>
      <c r="AB33" s="311"/>
      <c r="AC33" s="311"/>
      <c r="AD33" s="311"/>
      <c r="AE33" s="311"/>
      <c r="AF33" s="311"/>
      <c r="AG33" s="311"/>
      <c r="AH33" s="311"/>
      <c r="AI33" s="311"/>
      <c r="AJ33" s="311"/>
      <c r="AK33" s="311"/>
      <c r="AL33" s="311"/>
      <c r="AM33" s="311"/>
    </row>
    <row r="34" spans="1:39" ht="15.75" customHeight="1">
      <c r="A34" s="1566">
        <v>81</v>
      </c>
      <c r="B34" s="276" t="s">
        <v>7478</v>
      </c>
      <c r="C34" s="307" t="s">
        <v>31</v>
      </c>
      <c r="D34" s="2091">
        <v>50205602415</v>
      </c>
      <c r="E34" s="366" t="s">
        <v>7479</v>
      </c>
      <c r="F34" s="2090" t="s">
        <v>759</v>
      </c>
      <c r="G34" s="337" t="s">
        <v>76</v>
      </c>
      <c r="H34" s="303" t="s">
        <v>279</v>
      </c>
      <c r="I34" s="307">
        <v>9002071078</v>
      </c>
      <c r="J34" s="307"/>
      <c r="K34" s="274" t="s">
        <v>464</v>
      </c>
      <c r="L34" s="303" t="s">
        <v>417</v>
      </c>
      <c r="M34" s="278">
        <v>32384</v>
      </c>
      <c r="N34" s="315">
        <v>54301</v>
      </c>
      <c r="O34" s="278">
        <v>45767</v>
      </c>
      <c r="P34" s="302">
        <v>45695</v>
      </c>
      <c r="Q34" s="302">
        <v>45622</v>
      </c>
      <c r="R34" s="285"/>
      <c r="S34" s="285"/>
      <c r="T34" s="318" t="s">
        <v>7480</v>
      </c>
      <c r="U34" s="1363" t="s">
        <v>7481</v>
      </c>
      <c r="V34" s="285">
        <f t="shared" si="4"/>
        <v>11</v>
      </c>
      <c r="W34" s="3"/>
      <c r="X34" s="3"/>
      <c r="Y34" s="79"/>
      <c r="Z34" s="79"/>
      <c r="AF34" s="311"/>
      <c r="AG34" s="311"/>
      <c r="AH34" s="311"/>
      <c r="AI34" s="311"/>
      <c r="AJ34" s="311"/>
      <c r="AK34" s="311"/>
      <c r="AL34" s="311"/>
      <c r="AM34" s="311"/>
    </row>
    <row r="35" spans="1:39" ht="15.75" customHeight="1">
      <c r="A35" s="2095"/>
      <c r="B35" s="351" t="s">
        <v>7482</v>
      </c>
      <c r="C35" s="275" t="s">
        <v>31</v>
      </c>
      <c r="D35" s="1284">
        <v>50200162565</v>
      </c>
      <c r="E35" s="274" t="s">
        <v>7483</v>
      </c>
      <c r="F35" s="286" t="s">
        <v>759</v>
      </c>
      <c r="G35" s="274" t="s">
        <v>76</v>
      </c>
      <c r="H35" s="274" t="s">
        <v>266</v>
      </c>
      <c r="I35" s="275">
        <v>9002071386</v>
      </c>
      <c r="J35" s="306">
        <v>9635311180</v>
      </c>
      <c r="K35" s="274" t="s">
        <v>464</v>
      </c>
      <c r="L35" s="274" t="s">
        <v>54</v>
      </c>
      <c r="M35" s="272">
        <v>32445</v>
      </c>
      <c r="N35" s="272">
        <v>54362</v>
      </c>
      <c r="O35" s="272">
        <v>46061</v>
      </c>
      <c r="P35" s="272">
        <v>45305</v>
      </c>
      <c r="Q35" s="302">
        <v>45284</v>
      </c>
      <c r="R35" s="1134"/>
      <c r="S35" s="485"/>
      <c r="T35" s="486" t="s">
        <v>7484</v>
      </c>
      <c r="U35" s="486" t="s">
        <v>7485</v>
      </c>
      <c r="V35" s="382">
        <f t="shared" si="4"/>
        <v>11</v>
      </c>
      <c r="W35" s="382"/>
      <c r="X35" s="282">
        <f ca="1">INT((TODAY()-M35)/365)</f>
        <v>37</v>
      </c>
      <c r="Y35" s="297"/>
      <c r="Z35" s="297"/>
      <c r="AA35" s="298"/>
      <c r="AB35" s="298"/>
      <c r="AC35" s="298"/>
      <c r="AD35" s="298"/>
      <c r="AE35" s="298"/>
      <c r="AF35" s="298"/>
      <c r="AG35" s="298"/>
      <c r="AH35" s="298"/>
      <c r="AI35" s="298"/>
      <c r="AJ35" s="298"/>
      <c r="AK35" s="298"/>
      <c r="AL35" s="298"/>
      <c r="AM35" s="298"/>
    </row>
    <row r="36" spans="1:39" ht="15.75" customHeight="1">
      <c r="A36" s="936">
        <v>107</v>
      </c>
      <c r="B36" s="351" t="s">
        <v>7486</v>
      </c>
      <c r="C36" s="307" t="s">
        <v>31</v>
      </c>
      <c r="D36" s="1567">
        <v>50205607802</v>
      </c>
      <c r="E36" s="18" t="s">
        <v>7487</v>
      </c>
      <c r="F36" s="1700" t="s">
        <v>759</v>
      </c>
      <c r="G36" s="284" t="s">
        <v>77</v>
      </c>
      <c r="H36" s="274" t="s">
        <v>266</v>
      </c>
      <c r="I36" s="284">
        <v>9002071839</v>
      </c>
      <c r="J36" s="284">
        <v>9002071839</v>
      </c>
      <c r="K36" s="274" t="s">
        <v>464</v>
      </c>
      <c r="L36" s="274" t="s">
        <v>417</v>
      </c>
      <c r="M36" s="272">
        <v>32779</v>
      </c>
      <c r="N36" s="272">
        <v>54696</v>
      </c>
      <c r="O36" s="272">
        <v>45957</v>
      </c>
      <c r="P36" s="278">
        <v>45391</v>
      </c>
      <c r="Q36" s="279">
        <v>45373</v>
      </c>
      <c r="R36" s="998"/>
      <c r="S36" s="485"/>
      <c r="T36" s="486" t="s">
        <v>7488</v>
      </c>
      <c r="U36" s="1363" t="s">
        <v>7489</v>
      </c>
      <c r="V36" s="382">
        <f t="shared" si="4"/>
        <v>11</v>
      </c>
      <c r="W36" s="282">
        <f t="shared" ref="W36:W39" ca="1" si="8">INT((TODAY()-M36)/365)</f>
        <v>36</v>
      </c>
      <c r="X36" s="382"/>
      <c r="Y36" s="297"/>
      <c r="Z36" s="297"/>
      <c r="AA36" s="298"/>
      <c r="AB36" s="298"/>
      <c r="AC36" s="298"/>
      <c r="AD36" s="298"/>
      <c r="AE36" s="298"/>
      <c r="AF36" s="298"/>
      <c r="AG36" s="298"/>
      <c r="AH36" s="298"/>
      <c r="AI36" s="298"/>
      <c r="AJ36" s="298"/>
      <c r="AK36" s="298"/>
      <c r="AL36" s="298"/>
      <c r="AM36" s="298"/>
    </row>
    <row r="37" spans="1:39" ht="15.75" customHeight="1">
      <c r="A37" s="886">
        <v>13</v>
      </c>
      <c r="B37" s="351" t="s">
        <v>7490</v>
      </c>
      <c r="C37" s="307" t="s">
        <v>31</v>
      </c>
      <c r="D37" s="306">
        <v>50205613322</v>
      </c>
      <c r="E37" s="565" t="s">
        <v>7491</v>
      </c>
      <c r="F37" s="286" t="s">
        <v>759</v>
      </c>
      <c r="G37" s="284" t="s">
        <v>77</v>
      </c>
      <c r="H37" s="284" t="s">
        <v>266</v>
      </c>
      <c r="I37" s="461">
        <v>9002071058</v>
      </c>
      <c r="J37" s="284">
        <v>7797106155</v>
      </c>
      <c r="K37" s="274" t="s">
        <v>464</v>
      </c>
      <c r="L37" s="274" t="s">
        <v>54</v>
      </c>
      <c r="M37" s="289">
        <v>32263</v>
      </c>
      <c r="N37" s="390">
        <v>54178</v>
      </c>
      <c r="O37" s="400">
        <v>46147</v>
      </c>
      <c r="P37" s="279">
        <v>45552</v>
      </c>
      <c r="Q37" s="419">
        <v>45385</v>
      </c>
      <c r="R37" s="394" t="s">
        <v>3297</v>
      </c>
      <c r="S37" s="393"/>
      <c r="T37" s="394" t="s">
        <v>7492</v>
      </c>
      <c r="U37" s="394" t="s">
        <v>7493</v>
      </c>
      <c r="V37" s="383">
        <f>LEN(TEXT(D37,0))</f>
        <v>11</v>
      </c>
      <c r="W37" s="282">
        <f t="shared" ca="1" si="8"/>
        <v>37</v>
      </c>
      <c r="X37" s="382"/>
      <c r="Y37" s="382"/>
      <c r="Z37" s="382"/>
      <c r="AA37" s="311"/>
      <c r="AB37" s="311"/>
      <c r="AC37" s="311"/>
      <c r="AD37" s="311"/>
      <c r="AE37" s="311"/>
      <c r="AF37" s="311"/>
      <c r="AG37" s="311"/>
      <c r="AH37" s="311"/>
      <c r="AI37" s="311"/>
      <c r="AJ37" s="311"/>
      <c r="AK37" s="311"/>
      <c r="AL37" s="311"/>
      <c r="AM37" s="311"/>
    </row>
    <row r="38" spans="1:39" ht="15.75" customHeight="1">
      <c r="A38" s="886">
        <v>57</v>
      </c>
      <c r="B38" s="293" t="s">
        <v>7494</v>
      </c>
      <c r="C38" s="307" t="s">
        <v>31</v>
      </c>
      <c r="D38" s="1567">
        <v>50205613383</v>
      </c>
      <c r="E38" s="491" t="s">
        <v>7495</v>
      </c>
      <c r="F38" s="286" t="s">
        <v>759</v>
      </c>
      <c r="G38" s="274" t="s">
        <v>77</v>
      </c>
      <c r="H38" s="284" t="s">
        <v>266</v>
      </c>
      <c r="I38" s="1309">
        <v>9002071804</v>
      </c>
      <c r="J38" s="275">
        <v>6295138905</v>
      </c>
      <c r="K38" s="274" t="s">
        <v>464</v>
      </c>
      <c r="L38" s="274" t="s">
        <v>417</v>
      </c>
      <c r="M38" s="272">
        <v>30484</v>
      </c>
      <c r="N38" s="272">
        <v>52412</v>
      </c>
      <c r="O38" s="272">
        <v>46082</v>
      </c>
      <c r="P38" s="279">
        <v>45522</v>
      </c>
      <c r="Q38" s="279">
        <v>45409</v>
      </c>
      <c r="R38" s="1134"/>
      <c r="S38" s="486" t="s">
        <v>7496</v>
      </c>
      <c r="T38" s="486" t="s">
        <v>7497</v>
      </c>
      <c r="U38" s="486" t="s">
        <v>7498</v>
      </c>
      <c r="V38" s="382">
        <f t="shared" ref="V38:V47" si="9">LEN(D38)</f>
        <v>11</v>
      </c>
      <c r="W38" s="282">
        <f t="shared" ca="1" si="8"/>
        <v>42</v>
      </c>
      <c r="X38" s="382"/>
      <c r="Y38" s="382"/>
      <c r="Z38" s="382"/>
      <c r="AA38" s="311"/>
      <c r="AB38" s="311"/>
      <c r="AC38" s="311"/>
      <c r="AD38" s="311"/>
      <c r="AE38" s="311"/>
      <c r="AF38" s="311"/>
      <c r="AG38" s="311"/>
      <c r="AH38" s="311"/>
      <c r="AI38" s="311"/>
      <c r="AJ38" s="311"/>
      <c r="AK38" s="311"/>
      <c r="AL38" s="311"/>
      <c r="AM38" s="311"/>
    </row>
    <row r="39" spans="1:39" ht="15.75" customHeight="1">
      <c r="A39" s="886">
        <v>44</v>
      </c>
      <c r="B39" s="293" t="s">
        <v>7499</v>
      </c>
      <c r="C39" s="307" t="s">
        <v>31</v>
      </c>
      <c r="D39" s="1284">
        <v>50200150605</v>
      </c>
      <c r="E39" s="491" t="s">
        <v>7500</v>
      </c>
      <c r="F39" s="286" t="s">
        <v>759</v>
      </c>
      <c r="G39" s="274" t="s">
        <v>77</v>
      </c>
      <c r="H39" s="284" t="s">
        <v>266</v>
      </c>
      <c r="I39" s="18">
        <v>9002071859</v>
      </c>
      <c r="J39" s="275">
        <v>7908525335</v>
      </c>
      <c r="K39" s="274" t="s">
        <v>464</v>
      </c>
      <c r="L39" s="274" t="s">
        <v>417</v>
      </c>
      <c r="M39" s="272">
        <v>29042</v>
      </c>
      <c r="N39" s="272">
        <v>50982</v>
      </c>
      <c r="O39" s="272">
        <v>45479</v>
      </c>
      <c r="P39" s="279">
        <v>45522</v>
      </c>
      <c r="Q39" s="316">
        <v>45409</v>
      </c>
      <c r="R39" s="603" t="s">
        <v>7501</v>
      </c>
      <c r="S39" s="952"/>
      <c r="T39" s="486" t="s">
        <v>7502</v>
      </c>
      <c r="U39" s="486" t="s">
        <v>7503</v>
      </c>
      <c r="V39" s="382">
        <f t="shared" si="9"/>
        <v>11</v>
      </c>
      <c r="W39" s="282">
        <f t="shared" ca="1" si="8"/>
        <v>46</v>
      </c>
      <c r="X39" s="3"/>
      <c r="Y39" s="382"/>
      <c r="Z39" s="382"/>
      <c r="AA39" s="311"/>
      <c r="AB39" s="311"/>
      <c r="AC39" s="311"/>
      <c r="AD39" s="311"/>
      <c r="AE39" s="311"/>
      <c r="AF39" s="311"/>
      <c r="AG39" s="311"/>
      <c r="AH39" s="311"/>
      <c r="AI39" s="311"/>
      <c r="AJ39" s="311"/>
      <c r="AK39" s="311"/>
      <c r="AL39" s="311"/>
      <c r="AM39" s="311"/>
    </row>
    <row r="40" spans="1:39" ht="15.75" customHeight="1">
      <c r="A40" s="898">
        <v>147</v>
      </c>
      <c r="B40" s="293" t="s">
        <v>7504</v>
      </c>
      <c r="C40" s="275" t="s">
        <v>31</v>
      </c>
      <c r="D40" s="1284">
        <v>50205611969</v>
      </c>
      <c r="E40" s="274" t="s">
        <v>7505</v>
      </c>
      <c r="F40" s="286" t="s">
        <v>759</v>
      </c>
      <c r="G40" s="274" t="s">
        <v>76</v>
      </c>
      <c r="H40" s="274" t="s">
        <v>266</v>
      </c>
      <c r="I40" s="275">
        <v>9002071346</v>
      </c>
      <c r="J40" s="79"/>
      <c r="K40" s="274" t="s">
        <v>464</v>
      </c>
      <c r="L40" s="274" t="s">
        <v>52</v>
      </c>
      <c r="M40" s="272">
        <v>30985</v>
      </c>
      <c r="N40" s="272">
        <v>52900</v>
      </c>
      <c r="O40" s="272">
        <v>46013</v>
      </c>
      <c r="P40" s="315">
        <v>45913</v>
      </c>
      <c r="Q40" s="279">
        <v>45928</v>
      </c>
      <c r="R40" s="1134"/>
      <c r="S40" s="485"/>
      <c r="T40" s="486" t="s">
        <v>7506</v>
      </c>
      <c r="U40" s="486" t="s">
        <v>7507</v>
      </c>
      <c r="V40" s="382">
        <f t="shared" si="9"/>
        <v>11</v>
      </c>
      <c r="W40" s="954" t="s">
        <v>86</v>
      </c>
      <c r="X40" s="282">
        <f t="shared" ref="X40:X43" ca="1" si="10">INT((TODAY()-M40)/365)</f>
        <v>41</v>
      </c>
      <c r="Y40" s="382"/>
      <c r="Z40" s="382"/>
      <c r="AA40" s="311"/>
      <c r="AB40" s="311"/>
    </row>
    <row r="41" spans="1:39" ht="15.75" customHeight="1">
      <c r="A41" s="898">
        <v>148</v>
      </c>
      <c r="B41" s="351" t="s">
        <v>7508</v>
      </c>
      <c r="C41" s="275" t="s">
        <v>31</v>
      </c>
      <c r="D41" s="1284">
        <v>50205612123</v>
      </c>
      <c r="E41" s="274" t="s">
        <v>7509</v>
      </c>
      <c r="F41" s="286" t="s">
        <v>759</v>
      </c>
      <c r="G41" s="274" t="s">
        <v>76</v>
      </c>
      <c r="H41" s="274" t="s">
        <v>266</v>
      </c>
      <c r="I41" s="275">
        <v>8240398724</v>
      </c>
      <c r="J41" s="79"/>
      <c r="K41" s="274" t="s">
        <v>464</v>
      </c>
      <c r="L41" s="439" t="s">
        <v>52</v>
      </c>
      <c r="M41" s="272">
        <v>30327</v>
      </c>
      <c r="N41" s="272">
        <v>52262</v>
      </c>
      <c r="O41" s="272">
        <v>46104</v>
      </c>
      <c r="P41" s="272">
        <v>45305</v>
      </c>
      <c r="Q41" s="272">
        <v>45258</v>
      </c>
      <c r="R41" s="998"/>
      <c r="S41" s="485"/>
      <c r="T41" s="486" t="s">
        <v>7510</v>
      </c>
      <c r="U41" s="485"/>
      <c r="V41" s="382">
        <f t="shared" si="9"/>
        <v>11</v>
      </c>
      <c r="W41" s="382"/>
      <c r="X41" s="282">
        <f t="shared" ca="1" si="10"/>
        <v>43</v>
      </c>
      <c r="Y41" s="382"/>
      <c r="Z41" s="382"/>
      <c r="AA41" s="2096"/>
      <c r="AB41" s="311"/>
      <c r="AC41" s="384"/>
      <c r="AD41" s="384"/>
      <c r="AE41" s="384"/>
      <c r="AF41" s="384"/>
      <c r="AG41" s="384"/>
      <c r="AH41" s="384"/>
      <c r="AI41" s="384"/>
      <c r="AJ41" s="384"/>
      <c r="AK41" s="384"/>
      <c r="AL41" s="384"/>
      <c r="AM41" s="384"/>
    </row>
    <row r="42" spans="1:39" ht="15.75" customHeight="1">
      <c r="A42" s="898">
        <v>149</v>
      </c>
      <c r="B42" s="557" t="s">
        <v>7511</v>
      </c>
      <c r="C42" s="275" t="s">
        <v>31</v>
      </c>
      <c r="D42" s="1284">
        <v>50205612135</v>
      </c>
      <c r="E42" s="274" t="s">
        <v>7512</v>
      </c>
      <c r="F42" s="286" t="s">
        <v>759</v>
      </c>
      <c r="G42" s="274" t="s">
        <v>76</v>
      </c>
      <c r="H42" s="274" t="s">
        <v>266</v>
      </c>
      <c r="I42" s="461">
        <v>8944090990</v>
      </c>
      <c r="J42" s="275">
        <v>6296318629</v>
      </c>
      <c r="K42" s="274" t="s">
        <v>464</v>
      </c>
      <c r="L42" s="274" t="s">
        <v>54</v>
      </c>
      <c r="M42" s="272">
        <v>30487</v>
      </c>
      <c r="N42" s="272">
        <v>52412</v>
      </c>
      <c r="O42" s="272">
        <v>46062</v>
      </c>
      <c r="P42" s="272">
        <v>45305</v>
      </c>
      <c r="Q42" s="302">
        <v>45284</v>
      </c>
      <c r="R42" s="1852" t="s">
        <v>7513</v>
      </c>
      <c r="S42" s="486" t="s">
        <v>7513</v>
      </c>
      <c r="T42" s="486" t="s">
        <v>7514</v>
      </c>
      <c r="U42" s="485"/>
      <c r="V42" s="382">
        <f t="shared" si="9"/>
        <v>11</v>
      </c>
      <c r="W42" s="382"/>
      <c r="X42" s="282">
        <f t="shared" ca="1" si="10"/>
        <v>42</v>
      </c>
      <c r="Y42" s="382"/>
      <c r="Z42" s="382"/>
      <c r="AA42" s="311"/>
      <c r="AB42" s="311"/>
      <c r="AC42" s="384"/>
      <c r="AD42" s="384"/>
      <c r="AE42" s="384"/>
      <c r="AF42" s="384"/>
      <c r="AG42" s="384"/>
      <c r="AH42" s="384"/>
      <c r="AI42" s="384"/>
      <c r="AJ42" s="384"/>
      <c r="AK42" s="384"/>
      <c r="AL42" s="384"/>
      <c r="AM42" s="384"/>
    </row>
    <row r="43" spans="1:39" ht="15.75" customHeight="1">
      <c r="A43" s="898">
        <v>157</v>
      </c>
      <c r="B43" s="688" t="s">
        <v>7515</v>
      </c>
      <c r="C43" s="307" t="s">
        <v>31</v>
      </c>
      <c r="D43" s="489">
        <v>50205602982</v>
      </c>
      <c r="E43" s="274" t="s">
        <v>7516</v>
      </c>
      <c r="F43" s="286" t="s">
        <v>759</v>
      </c>
      <c r="G43" s="274" t="s">
        <v>77</v>
      </c>
      <c r="H43" s="274" t="s">
        <v>266</v>
      </c>
      <c r="I43" s="275">
        <v>9002071351</v>
      </c>
      <c r="J43" s="284">
        <v>9547158907</v>
      </c>
      <c r="K43" s="274" t="s">
        <v>464</v>
      </c>
      <c r="L43" s="274" t="s">
        <v>56</v>
      </c>
      <c r="M43" s="272">
        <v>31779</v>
      </c>
      <c r="N43" s="272">
        <v>53723</v>
      </c>
      <c r="O43" s="272">
        <v>45837</v>
      </c>
      <c r="P43" s="279">
        <v>46133</v>
      </c>
      <c r="Q43" s="279">
        <v>45002</v>
      </c>
      <c r="R43" s="998"/>
      <c r="S43" s="486" t="s">
        <v>337</v>
      </c>
      <c r="T43" s="486" t="s">
        <v>7517</v>
      </c>
      <c r="U43" s="485"/>
      <c r="V43" s="382">
        <f t="shared" si="9"/>
        <v>11</v>
      </c>
      <c r="W43" s="382"/>
      <c r="X43" s="282">
        <f t="shared" ca="1" si="10"/>
        <v>39</v>
      </c>
      <c r="Y43" s="382"/>
      <c r="Z43" s="382"/>
      <c r="AA43" s="382"/>
      <c r="AB43" s="311"/>
      <c r="AC43" s="311"/>
      <c r="AD43" s="311"/>
      <c r="AE43" s="311"/>
      <c r="AF43" s="311"/>
      <c r="AG43" s="311"/>
      <c r="AH43" s="311"/>
      <c r="AI43" s="311"/>
      <c r="AJ43" s="311"/>
      <c r="AK43" s="311"/>
      <c r="AL43" s="311"/>
      <c r="AM43" s="311"/>
    </row>
    <row r="44" spans="1:39" ht="15.75" customHeight="1">
      <c r="A44" s="886">
        <v>9</v>
      </c>
      <c r="B44" s="293" t="s">
        <v>7518</v>
      </c>
      <c r="C44" s="303" t="s">
        <v>31</v>
      </c>
      <c r="D44" s="489">
        <v>50205613292</v>
      </c>
      <c r="E44" s="491" t="s">
        <v>7519</v>
      </c>
      <c r="F44" s="1700" t="s">
        <v>759</v>
      </c>
      <c r="G44" s="274" t="s">
        <v>77</v>
      </c>
      <c r="H44" s="274" t="s">
        <v>266</v>
      </c>
      <c r="I44" s="275">
        <v>9933054537</v>
      </c>
      <c r="J44" s="275">
        <v>9933054537</v>
      </c>
      <c r="K44" s="274" t="s">
        <v>464</v>
      </c>
      <c r="L44" s="274" t="s">
        <v>417</v>
      </c>
      <c r="M44" s="272">
        <v>30022</v>
      </c>
      <c r="N44" s="272">
        <v>51956</v>
      </c>
      <c r="O44" s="279">
        <v>46152</v>
      </c>
      <c r="P44" s="278">
        <v>45499</v>
      </c>
      <c r="Q44" s="302">
        <v>45328</v>
      </c>
      <c r="R44" s="998"/>
      <c r="S44" s="485"/>
      <c r="T44" s="486" t="s">
        <v>7520</v>
      </c>
      <c r="U44" s="485"/>
      <c r="V44" s="485">
        <f t="shared" si="9"/>
        <v>11</v>
      </c>
      <c r="W44" s="282">
        <f ca="1">INT((TODAY()-M44)/365)</f>
        <v>44</v>
      </c>
      <c r="X44" s="382"/>
      <c r="Y44" s="382"/>
      <c r="Z44" s="382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</row>
    <row r="45" spans="1:39">
      <c r="A45" s="898">
        <v>84</v>
      </c>
      <c r="B45" s="351" t="s">
        <v>7521</v>
      </c>
      <c r="C45" s="275" t="s">
        <v>31</v>
      </c>
      <c r="D45" s="495">
        <v>50205618940</v>
      </c>
      <c r="E45" s="274" t="s">
        <v>7522</v>
      </c>
      <c r="F45" s="286" t="s">
        <v>759</v>
      </c>
      <c r="G45" s="274" t="s">
        <v>78</v>
      </c>
      <c r="H45" s="274" t="s">
        <v>266</v>
      </c>
      <c r="I45" s="275">
        <v>9679626217</v>
      </c>
      <c r="J45" s="275"/>
      <c r="K45" s="274" t="s">
        <v>464</v>
      </c>
      <c r="L45" s="274" t="s">
        <v>62</v>
      </c>
      <c r="M45" s="272">
        <v>31487</v>
      </c>
      <c r="N45" s="272">
        <v>53417</v>
      </c>
      <c r="O45" s="277">
        <v>46295</v>
      </c>
      <c r="P45" s="315">
        <v>46186</v>
      </c>
      <c r="Q45" s="272">
        <v>45928</v>
      </c>
      <c r="R45" s="280"/>
      <c r="S45" s="280"/>
      <c r="T45" s="281" t="s">
        <v>7523</v>
      </c>
      <c r="U45" s="280"/>
      <c r="V45" s="79">
        <f t="shared" si="9"/>
        <v>11</v>
      </c>
      <c r="W45" s="79"/>
      <c r="X45" s="282">
        <f t="shared" ref="X45:X46" ca="1" si="11">INT((TODAY()-M45)/365)</f>
        <v>40</v>
      </c>
      <c r="Y45" s="382"/>
      <c r="Z45" s="382"/>
      <c r="AA45" s="382"/>
      <c r="AB45" s="382"/>
      <c r="AC45" s="383"/>
      <c r="AD45" s="383"/>
      <c r="AE45" s="383"/>
      <c r="AF45" s="383"/>
      <c r="AG45" s="383"/>
      <c r="AH45" s="383"/>
      <c r="AI45" s="384"/>
      <c r="AJ45" s="384"/>
      <c r="AK45" s="384"/>
      <c r="AL45" s="384"/>
      <c r="AM45" s="384"/>
    </row>
    <row r="46" spans="1:39" ht="15.75" customHeight="1">
      <c r="A46" s="936">
        <v>132</v>
      </c>
      <c r="B46" s="293" t="s">
        <v>7524</v>
      </c>
      <c r="C46" s="303" t="s">
        <v>31</v>
      </c>
      <c r="D46" s="489">
        <v>50205606913</v>
      </c>
      <c r="E46" s="303" t="s">
        <v>7525</v>
      </c>
      <c r="F46" s="286" t="s">
        <v>759</v>
      </c>
      <c r="G46" s="303" t="s">
        <v>76</v>
      </c>
      <c r="H46" s="274" t="s">
        <v>266</v>
      </c>
      <c r="I46" s="275">
        <v>9002071817</v>
      </c>
      <c r="J46" s="284">
        <v>9002071817</v>
      </c>
      <c r="K46" s="274" t="s">
        <v>464</v>
      </c>
      <c r="L46" s="274" t="s">
        <v>52</v>
      </c>
      <c r="M46" s="272">
        <v>31156</v>
      </c>
      <c r="N46" s="272">
        <v>53082</v>
      </c>
      <c r="O46" s="272">
        <v>45838</v>
      </c>
      <c r="P46" s="279">
        <v>45131</v>
      </c>
      <c r="Q46" s="279">
        <v>45127</v>
      </c>
      <c r="R46" s="1134"/>
      <c r="S46" s="486" t="s">
        <v>7526</v>
      </c>
      <c r="T46" s="486" t="s">
        <v>7527</v>
      </c>
      <c r="U46" s="486" t="s">
        <v>7528</v>
      </c>
      <c r="V46" s="382">
        <f t="shared" si="9"/>
        <v>11</v>
      </c>
      <c r="W46" s="382"/>
      <c r="X46" s="282">
        <f t="shared" ca="1" si="11"/>
        <v>40</v>
      </c>
      <c r="Y46" s="382"/>
      <c r="Z46" s="382"/>
      <c r="AA46" s="311"/>
      <c r="AB46" s="311"/>
      <c r="AC46" s="311"/>
      <c r="AD46" s="311"/>
      <c r="AE46" s="311"/>
      <c r="AF46" s="311"/>
      <c r="AG46" s="311"/>
      <c r="AH46" s="311"/>
      <c r="AI46" s="311"/>
      <c r="AJ46" s="311"/>
      <c r="AK46" s="311"/>
      <c r="AL46" s="311"/>
      <c r="AM46" s="311"/>
    </row>
    <row r="47" spans="1:39" ht="15.75" customHeight="1">
      <c r="A47" s="1162">
        <v>124</v>
      </c>
      <c r="B47" s="293" t="s">
        <v>7529</v>
      </c>
      <c r="C47" s="275" t="s">
        <v>31</v>
      </c>
      <c r="D47" s="562" t="s">
        <v>7530</v>
      </c>
      <c r="E47" s="491" t="s">
        <v>7531</v>
      </c>
      <c r="F47" s="18" t="s">
        <v>759</v>
      </c>
      <c r="G47" s="303" t="s">
        <v>76</v>
      </c>
      <c r="H47" s="274" t="s">
        <v>266</v>
      </c>
      <c r="I47" s="275">
        <v>9477372239</v>
      </c>
      <c r="J47" s="275"/>
      <c r="K47" s="274" t="s">
        <v>464</v>
      </c>
      <c r="L47" s="274" t="s">
        <v>54</v>
      </c>
      <c r="M47" s="272">
        <v>30792</v>
      </c>
      <c r="N47" s="272">
        <v>52717</v>
      </c>
      <c r="O47" s="272">
        <v>46154</v>
      </c>
      <c r="P47" s="278">
        <v>45499</v>
      </c>
      <c r="Q47" s="419">
        <v>45385</v>
      </c>
      <c r="R47" s="430"/>
      <c r="S47" s="377" t="s">
        <v>7532</v>
      </c>
      <c r="T47" s="310" t="s">
        <v>7533</v>
      </c>
      <c r="U47" s="309"/>
      <c r="V47" s="309">
        <f t="shared" si="9"/>
        <v>11</v>
      </c>
      <c r="W47" s="208">
        <f ca="1">INT((TODAY()-M47)/365)</f>
        <v>41</v>
      </c>
      <c r="X47" s="311"/>
      <c r="Y47" s="311"/>
      <c r="Z47" s="311"/>
      <c r="AA47" s="311"/>
      <c r="AB47" s="311"/>
      <c r="AC47" s="311"/>
      <c r="AD47" s="311"/>
      <c r="AE47" s="311"/>
      <c r="AF47" s="311"/>
      <c r="AG47" s="311"/>
      <c r="AH47" s="311"/>
      <c r="AI47" s="311"/>
      <c r="AJ47" s="311"/>
      <c r="AK47" s="311"/>
      <c r="AL47" s="311"/>
      <c r="AM47" s="311"/>
    </row>
    <row r="48" spans="1:39" ht="15.75" customHeight="1">
      <c r="A48" s="1131">
        <v>1</v>
      </c>
      <c r="B48" s="1583" t="s">
        <v>7534</v>
      </c>
      <c r="C48" s="274" t="s">
        <v>20</v>
      </c>
      <c r="D48" s="2093">
        <v>50200405698</v>
      </c>
      <c r="E48" s="620" t="s">
        <v>7535</v>
      </c>
      <c r="F48" s="1690" t="s">
        <v>759</v>
      </c>
      <c r="G48" s="284" t="s">
        <v>77</v>
      </c>
      <c r="H48" s="1584"/>
      <c r="I48" s="275">
        <v>9064548354</v>
      </c>
      <c r="J48" s="963">
        <v>9832904970</v>
      </c>
      <c r="K48" s="274" t="s">
        <v>464</v>
      </c>
      <c r="L48" s="18" t="s">
        <v>62</v>
      </c>
      <c r="M48" s="272">
        <v>33212</v>
      </c>
      <c r="N48" s="272">
        <v>55153</v>
      </c>
      <c r="O48" s="272">
        <v>45852</v>
      </c>
      <c r="P48" s="279">
        <v>45996</v>
      </c>
      <c r="Q48" s="279">
        <v>46035</v>
      </c>
      <c r="R48" s="603" t="s">
        <v>7536</v>
      </c>
      <c r="S48" s="486" t="s">
        <v>7537</v>
      </c>
      <c r="T48" s="486" t="s">
        <v>7538</v>
      </c>
      <c r="U48" s="485"/>
      <c r="V48" s="285"/>
      <c r="W48" s="382"/>
      <c r="X48" s="382"/>
      <c r="Y48" s="334"/>
      <c r="Z48" s="334"/>
      <c r="AA48" s="199"/>
    </row>
    <row r="49" spans="1:39" ht="15.75" customHeight="1">
      <c r="A49" s="1131">
        <v>3</v>
      </c>
      <c r="B49" s="1583" t="s">
        <v>7539</v>
      </c>
      <c r="C49" s="274" t="s">
        <v>20</v>
      </c>
      <c r="D49" s="1567">
        <v>50200406520</v>
      </c>
      <c r="E49" s="620" t="s">
        <v>7540</v>
      </c>
      <c r="F49" s="1690" t="s">
        <v>759</v>
      </c>
      <c r="G49" s="274" t="s">
        <v>76</v>
      </c>
      <c r="H49" s="1584"/>
      <c r="I49" s="1309">
        <v>8918768295</v>
      </c>
      <c r="J49" s="690">
        <v>8918768295</v>
      </c>
      <c r="K49" s="274" t="s">
        <v>464</v>
      </c>
      <c r="L49" s="18" t="s">
        <v>62</v>
      </c>
      <c r="M49" s="272">
        <v>31963</v>
      </c>
      <c r="N49" s="272">
        <v>53904</v>
      </c>
      <c r="O49" s="272">
        <v>46060</v>
      </c>
      <c r="P49" s="278">
        <v>45637</v>
      </c>
      <c r="Q49" s="279">
        <v>45602</v>
      </c>
      <c r="R49" s="603" t="s">
        <v>7541</v>
      </c>
      <c r="S49" s="486" t="s">
        <v>7542</v>
      </c>
      <c r="T49" s="486" t="s">
        <v>7543</v>
      </c>
      <c r="U49" s="485"/>
      <c r="V49" s="285"/>
      <c r="W49" s="382"/>
      <c r="X49" s="382"/>
      <c r="Y49" s="382"/>
      <c r="Z49" s="382"/>
      <c r="AA49" s="382"/>
      <c r="AB49" s="311"/>
    </row>
    <row r="50" spans="1:39" ht="15.75" customHeight="1">
      <c r="A50" s="1131">
        <v>4</v>
      </c>
      <c r="B50" s="1583" t="s">
        <v>7544</v>
      </c>
      <c r="C50" s="274" t="s">
        <v>20</v>
      </c>
      <c r="D50" s="1284">
        <v>50200407448</v>
      </c>
      <c r="E50" s="303" t="s">
        <v>7545</v>
      </c>
      <c r="F50" s="2097" t="s">
        <v>759</v>
      </c>
      <c r="G50" s="274" t="s">
        <v>77</v>
      </c>
      <c r="H50" s="2098"/>
      <c r="I50" s="275">
        <v>8597126566</v>
      </c>
      <c r="J50" s="79"/>
      <c r="K50" s="274" t="s">
        <v>464</v>
      </c>
      <c r="L50" s="18" t="s">
        <v>62</v>
      </c>
      <c r="M50" s="272">
        <v>32143</v>
      </c>
      <c r="N50" s="272">
        <v>54057</v>
      </c>
      <c r="O50" s="272">
        <v>46230</v>
      </c>
      <c r="P50" s="278">
        <v>45637</v>
      </c>
      <c r="Q50" s="279">
        <v>45602</v>
      </c>
      <c r="R50" s="603" t="s">
        <v>4749</v>
      </c>
      <c r="S50" s="486" t="s">
        <v>7546</v>
      </c>
      <c r="T50" s="486" t="s">
        <v>7547</v>
      </c>
      <c r="U50" s="485"/>
      <c r="V50" s="285"/>
      <c r="W50" s="382"/>
      <c r="X50" s="282">
        <f ca="1">INT((TODAY()-M50)/365)</f>
        <v>38</v>
      </c>
      <c r="Y50" s="382"/>
      <c r="Z50" s="382"/>
      <c r="AA50" s="382"/>
    </row>
    <row r="51" spans="1:39" ht="15.75" customHeight="1">
      <c r="A51" s="1131">
        <v>5</v>
      </c>
      <c r="B51" s="1583" t="s">
        <v>7548</v>
      </c>
      <c r="C51" s="274" t="s">
        <v>20</v>
      </c>
      <c r="D51" s="1822" t="s">
        <v>7549</v>
      </c>
      <c r="E51" s="18" t="s">
        <v>7550</v>
      </c>
      <c r="F51" s="1700" t="s">
        <v>759</v>
      </c>
      <c r="G51" s="284" t="s">
        <v>77</v>
      </c>
      <c r="H51" s="1701"/>
      <c r="I51" s="275">
        <v>9681230926</v>
      </c>
      <c r="J51" s="2099"/>
      <c r="K51" s="274" t="s">
        <v>464</v>
      </c>
      <c r="L51" s="303" t="s">
        <v>52</v>
      </c>
      <c r="M51" s="272">
        <v>30647</v>
      </c>
      <c r="N51" s="272">
        <v>52565</v>
      </c>
      <c r="O51" s="272">
        <v>45461</v>
      </c>
      <c r="P51" s="278">
        <v>45637</v>
      </c>
      <c r="Q51" s="279">
        <v>45602</v>
      </c>
      <c r="R51" s="603" t="s">
        <v>7551</v>
      </c>
      <c r="S51" s="485"/>
      <c r="T51" s="486" t="s">
        <v>7552</v>
      </c>
      <c r="U51" s="485"/>
      <c r="V51" s="382">
        <f>LEN(D51)</f>
        <v>11</v>
      </c>
      <c r="W51" s="382"/>
      <c r="X51" s="382"/>
      <c r="Y51" s="382"/>
      <c r="Z51" s="382"/>
      <c r="AA51" s="382"/>
      <c r="AB51" s="208">
        <f ca="1">INT((TODAY()-M51)/365)</f>
        <v>42</v>
      </c>
    </row>
    <row r="52" spans="1:39" ht="15.75" customHeight="1">
      <c r="A52" s="1131">
        <v>6</v>
      </c>
      <c r="B52" s="1583" t="s">
        <v>7553</v>
      </c>
      <c r="C52" s="307" t="s">
        <v>21</v>
      </c>
      <c r="D52" s="2100">
        <v>50205677816</v>
      </c>
      <c r="E52" s="303" t="s">
        <v>7554</v>
      </c>
      <c r="F52" s="286" t="s">
        <v>759</v>
      </c>
      <c r="G52" s="274" t="s">
        <v>76</v>
      </c>
      <c r="H52" s="2098"/>
      <c r="I52" s="275">
        <v>9641575177</v>
      </c>
      <c r="J52" s="690"/>
      <c r="K52" s="274" t="s">
        <v>464</v>
      </c>
      <c r="L52" s="303" t="s">
        <v>52</v>
      </c>
      <c r="M52" s="272">
        <v>33280</v>
      </c>
      <c r="N52" s="272">
        <v>55212</v>
      </c>
      <c r="O52" s="272">
        <v>46517</v>
      </c>
      <c r="P52" s="279">
        <v>45905</v>
      </c>
      <c r="Q52" s="279">
        <v>45951</v>
      </c>
      <c r="R52" s="603" t="s">
        <v>2917</v>
      </c>
      <c r="S52" s="485"/>
      <c r="T52" s="280"/>
      <c r="U52" s="485"/>
      <c r="V52" s="285"/>
      <c r="W52" s="382"/>
      <c r="X52" s="282">
        <f ca="1">INT((TODAY()-M52)/365)</f>
        <v>35</v>
      </c>
      <c r="Y52" s="382"/>
      <c r="Z52" s="382"/>
      <c r="AA52" s="311"/>
      <c r="AB52" s="311"/>
      <c r="AC52" s="311"/>
      <c r="AD52" s="311"/>
      <c r="AE52" s="311"/>
      <c r="AF52" s="311"/>
      <c r="AG52" s="311"/>
      <c r="AH52" s="311"/>
      <c r="AI52" s="311"/>
      <c r="AJ52" s="311"/>
      <c r="AK52" s="311"/>
      <c r="AL52" s="311"/>
      <c r="AM52" s="311"/>
    </row>
    <row r="53" spans="1:39" ht="15.75" customHeight="1">
      <c r="A53" s="1131">
        <v>8</v>
      </c>
      <c r="B53" s="1734" t="s">
        <v>7555</v>
      </c>
      <c r="C53" s="303" t="s">
        <v>20</v>
      </c>
      <c r="D53" s="1284">
        <v>50200165931</v>
      </c>
      <c r="E53" s="274" t="s">
        <v>7556</v>
      </c>
      <c r="F53" s="1700" t="s">
        <v>759</v>
      </c>
      <c r="G53" s="274" t="s">
        <v>77</v>
      </c>
      <c r="H53" s="2098"/>
      <c r="I53" s="275">
        <v>9093443840</v>
      </c>
      <c r="J53" s="690">
        <v>9093443840</v>
      </c>
      <c r="K53" s="274" t="s">
        <v>464</v>
      </c>
      <c r="L53" s="275" t="s">
        <v>44</v>
      </c>
      <c r="M53" s="272">
        <v>31815</v>
      </c>
      <c r="N53" s="272">
        <v>53751</v>
      </c>
      <c r="O53" s="272">
        <v>46074</v>
      </c>
      <c r="P53" s="315">
        <v>45187</v>
      </c>
      <c r="Q53" s="279">
        <v>45833</v>
      </c>
      <c r="R53" s="603" t="s">
        <v>7557</v>
      </c>
      <c r="S53" s="486" t="s">
        <v>7558</v>
      </c>
      <c r="T53" s="486" t="s">
        <v>7559</v>
      </c>
      <c r="U53" s="485"/>
      <c r="V53" s="382">
        <f t="shared" ref="V53:V54" si="12">LEN(D53)</f>
        <v>11</v>
      </c>
      <c r="W53" s="382"/>
      <c r="X53" s="382"/>
      <c r="Y53" s="395"/>
      <c r="Z53" s="79"/>
      <c r="AA53" s="384"/>
      <c r="AB53" s="311">
        <f t="shared" ref="AB53:AB54" ca="1" si="13">INT((TODAY()-M53)/365)</f>
        <v>39</v>
      </c>
      <c r="AC53" s="384"/>
      <c r="AD53" s="384"/>
      <c r="AE53" s="384"/>
      <c r="AF53" s="384"/>
      <c r="AG53" s="384"/>
      <c r="AH53" s="384"/>
      <c r="AI53" s="384"/>
      <c r="AJ53" s="384"/>
      <c r="AK53" s="384"/>
      <c r="AL53" s="384"/>
      <c r="AM53" s="384"/>
    </row>
    <row r="54" spans="1:39" ht="15.75" customHeight="1">
      <c r="A54" s="1131">
        <v>9</v>
      </c>
      <c r="B54" s="1583" t="s">
        <v>7560</v>
      </c>
      <c r="C54" s="303" t="s">
        <v>20</v>
      </c>
      <c r="D54" s="1567">
        <v>50205677683</v>
      </c>
      <c r="E54" s="274" t="s">
        <v>7561</v>
      </c>
      <c r="F54" s="1700" t="s">
        <v>759</v>
      </c>
      <c r="G54" s="274" t="s">
        <v>77</v>
      </c>
      <c r="H54" s="2098"/>
      <c r="I54" s="275">
        <v>7585006017</v>
      </c>
      <c r="J54" s="306">
        <v>8293538397</v>
      </c>
      <c r="K54" s="274" t="s">
        <v>464</v>
      </c>
      <c r="L54" s="1217" t="s">
        <v>52</v>
      </c>
      <c r="M54" s="272">
        <v>34445</v>
      </c>
      <c r="N54" s="272">
        <v>56369</v>
      </c>
      <c r="O54" s="272">
        <v>45112</v>
      </c>
      <c r="P54" s="279">
        <v>45905</v>
      </c>
      <c r="Q54" s="279">
        <v>45860</v>
      </c>
      <c r="R54" s="603" t="s">
        <v>7562</v>
      </c>
      <c r="S54" s="485"/>
      <c r="T54" s="485"/>
      <c r="U54" s="485"/>
      <c r="V54" s="382">
        <f t="shared" si="12"/>
        <v>11</v>
      </c>
      <c r="W54" s="382"/>
      <c r="X54" s="282">
        <f t="shared" ref="X54:X57" ca="1" si="14">INT((TODAY()-M54)/365)</f>
        <v>31</v>
      </c>
      <c r="Y54" s="3"/>
      <c r="Z54" s="79"/>
      <c r="AB54" s="311">
        <f t="shared" ca="1" si="13"/>
        <v>31</v>
      </c>
    </row>
    <row r="55" spans="1:39" ht="15.75" customHeight="1">
      <c r="A55" s="1131">
        <v>10</v>
      </c>
      <c r="B55" s="1096" t="s">
        <v>7563</v>
      </c>
      <c r="C55" s="303" t="s">
        <v>20</v>
      </c>
      <c r="D55" s="1567">
        <v>50205677920</v>
      </c>
      <c r="E55" s="303" t="s">
        <v>7564</v>
      </c>
      <c r="F55" s="2097" t="s">
        <v>759</v>
      </c>
      <c r="G55" s="274" t="s">
        <v>77</v>
      </c>
      <c r="H55" s="2098"/>
      <c r="I55" s="275">
        <v>7679179284</v>
      </c>
      <c r="J55" s="690">
        <v>7679179284</v>
      </c>
      <c r="K55" s="274" t="s">
        <v>464</v>
      </c>
      <c r="L55" s="445" t="s">
        <v>56</v>
      </c>
      <c r="M55" s="272">
        <v>34320</v>
      </c>
      <c r="N55" s="272">
        <v>56249</v>
      </c>
      <c r="O55" s="272">
        <v>46510</v>
      </c>
      <c r="P55" s="279">
        <v>45905</v>
      </c>
      <c r="Q55" s="279">
        <v>44858</v>
      </c>
      <c r="R55" s="603" t="s">
        <v>7565</v>
      </c>
      <c r="S55" s="485"/>
      <c r="T55" s="280"/>
      <c r="U55" s="485"/>
      <c r="V55" s="285"/>
      <c r="W55" s="382"/>
      <c r="X55" s="282">
        <f t="shared" ca="1" si="14"/>
        <v>32</v>
      </c>
      <c r="Y55" s="382"/>
      <c r="Z55" s="382"/>
      <c r="AA55" s="382"/>
      <c r="AB55" s="311"/>
    </row>
    <row r="56" spans="1:39" ht="15.75" customHeight="1">
      <c r="A56" s="1131">
        <v>11</v>
      </c>
      <c r="B56" s="293" t="s">
        <v>7566</v>
      </c>
      <c r="C56" s="307" t="s">
        <v>21</v>
      </c>
      <c r="D56" s="2101">
        <v>50714504900</v>
      </c>
      <c r="E56" s="303" t="s">
        <v>7567</v>
      </c>
      <c r="F56" s="1700" t="s">
        <v>759</v>
      </c>
      <c r="G56" s="274" t="s">
        <v>76</v>
      </c>
      <c r="H56" s="2098"/>
      <c r="I56" s="275">
        <v>6294014120</v>
      </c>
      <c r="J56" s="690">
        <v>6294014120</v>
      </c>
      <c r="K56" s="274" t="s">
        <v>464</v>
      </c>
      <c r="L56" s="1217" t="s">
        <v>52</v>
      </c>
      <c r="M56" s="272">
        <v>29313</v>
      </c>
      <c r="N56" s="272">
        <v>51256</v>
      </c>
      <c r="O56" s="272">
        <v>45328</v>
      </c>
      <c r="P56" s="272">
        <v>45485</v>
      </c>
      <c r="Q56" s="316">
        <v>45496</v>
      </c>
      <c r="R56" s="603" t="s">
        <v>7568</v>
      </c>
      <c r="S56" s="486" t="s">
        <v>7569</v>
      </c>
      <c r="T56" s="485"/>
      <c r="U56" s="485"/>
      <c r="V56" s="285"/>
      <c r="W56" s="382"/>
      <c r="X56" s="282">
        <f t="shared" ca="1" si="14"/>
        <v>45</v>
      </c>
      <c r="Y56" s="382"/>
      <c r="Z56" s="382"/>
      <c r="AA56" s="311"/>
      <c r="AB56" s="311"/>
      <c r="AC56" s="705"/>
      <c r="AD56" s="705"/>
      <c r="AE56" s="705"/>
      <c r="AF56" s="705"/>
      <c r="AG56" s="705"/>
      <c r="AH56" s="705"/>
      <c r="AI56" s="705"/>
      <c r="AJ56" s="705"/>
      <c r="AK56" s="705"/>
      <c r="AL56" s="705"/>
      <c r="AM56" s="705"/>
    </row>
    <row r="57" spans="1:39" ht="15.75" customHeight="1">
      <c r="A57" s="1131">
        <v>12</v>
      </c>
      <c r="B57" s="293" t="s">
        <v>7570</v>
      </c>
      <c r="C57" s="307" t="s">
        <v>21</v>
      </c>
      <c r="D57" s="1567">
        <v>50205677660</v>
      </c>
      <c r="E57" s="703" t="s">
        <v>7571</v>
      </c>
      <c r="F57" s="1700" t="s">
        <v>759</v>
      </c>
      <c r="G57" s="284" t="s">
        <v>76</v>
      </c>
      <c r="H57" s="2098"/>
      <c r="I57" s="284">
        <v>8967508023</v>
      </c>
      <c r="J57" s="306">
        <v>8967508023</v>
      </c>
      <c r="K57" s="274" t="s">
        <v>464</v>
      </c>
      <c r="L57" s="274" t="s">
        <v>50</v>
      </c>
      <c r="M57" s="272">
        <v>34985</v>
      </c>
      <c r="N57" s="272">
        <v>56918</v>
      </c>
      <c r="O57" s="272">
        <v>46526</v>
      </c>
      <c r="P57" s="279">
        <v>45287</v>
      </c>
      <c r="Q57" s="279">
        <v>45948</v>
      </c>
      <c r="R57" s="603" t="s">
        <v>4465</v>
      </c>
      <c r="S57" s="486" t="s">
        <v>7572</v>
      </c>
      <c r="T57" s="485"/>
      <c r="U57" s="485"/>
      <c r="V57" s="285"/>
      <c r="W57" s="382"/>
      <c r="X57" s="282">
        <f t="shared" ca="1" si="14"/>
        <v>30</v>
      </c>
      <c r="Y57" s="382"/>
      <c r="Z57" s="382"/>
      <c r="AA57" s="311"/>
      <c r="AB57" s="311"/>
      <c r="AC57" s="311"/>
      <c r="AD57" s="311"/>
      <c r="AE57" s="311"/>
      <c r="AF57" s="311"/>
      <c r="AG57" s="311"/>
      <c r="AH57" s="311"/>
      <c r="AI57" s="311"/>
      <c r="AJ57" s="311"/>
      <c r="AK57" s="311"/>
      <c r="AL57" s="311"/>
      <c r="AM57" s="311"/>
    </row>
    <row r="58" spans="1:39" ht="15.75" customHeight="1">
      <c r="A58" s="1131">
        <v>13</v>
      </c>
      <c r="B58" s="301" t="s">
        <v>7573</v>
      </c>
      <c r="C58" s="303" t="s">
        <v>21</v>
      </c>
      <c r="D58" s="2102">
        <v>50205677701</v>
      </c>
      <c r="E58" s="703" t="s">
        <v>7574</v>
      </c>
      <c r="F58" s="1700" t="s">
        <v>759</v>
      </c>
      <c r="G58" s="284" t="s">
        <v>76</v>
      </c>
      <c r="H58" s="2098"/>
      <c r="I58" s="432">
        <v>8293141195</v>
      </c>
      <c r="J58" s="284" t="s">
        <v>7575</v>
      </c>
      <c r="K58" s="274" t="s">
        <v>464</v>
      </c>
      <c r="L58" s="274" t="s">
        <v>50</v>
      </c>
      <c r="M58" s="272">
        <v>34578</v>
      </c>
      <c r="N58" s="272">
        <v>56492</v>
      </c>
      <c r="O58" s="320">
        <v>46526</v>
      </c>
      <c r="P58" s="272">
        <v>45996</v>
      </c>
      <c r="Q58" s="419">
        <v>45951</v>
      </c>
      <c r="R58" s="1592" t="s">
        <v>7576</v>
      </c>
      <c r="S58" s="1778"/>
      <c r="T58" s="79"/>
      <c r="U58" s="79"/>
      <c r="V58" s="435"/>
      <c r="W58" s="435"/>
      <c r="X58" s="435"/>
      <c r="Y58" s="382"/>
      <c r="Z58" s="382"/>
      <c r="AA58" s="382"/>
      <c r="AB58" s="311"/>
    </row>
    <row r="59" spans="1:39" ht="15.75" customHeight="1">
      <c r="A59" s="1131">
        <v>14</v>
      </c>
      <c r="B59" s="351" t="s">
        <v>7577</v>
      </c>
      <c r="C59" s="303" t="s">
        <v>21</v>
      </c>
      <c r="D59" s="495">
        <v>50205677671</v>
      </c>
      <c r="E59" s="284" t="s">
        <v>7578</v>
      </c>
      <c r="F59" s="1700" t="s">
        <v>759</v>
      </c>
      <c r="G59" s="284" t="s">
        <v>76</v>
      </c>
      <c r="H59" s="2098"/>
      <c r="I59" s="284">
        <v>9564179703</v>
      </c>
      <c r="J59" s="284">
        <v>9564179703</v>
      </c>
      <c r="K59" s="274" t="s">
        <v>464</v>
      </c>
      <c r="L59" s="274" t="s">
        <v>61</v>
      </c>
      <c r="M59" s="272">
        <v>34186</v>
      </c>
      <c r="N59" s="272">
        <v>56127</v>
      </c>
      <c r="O59" s="320">
        <v>45112</v>
      </c>
      <c r="P59" s="272">
        <v>46038</v>
      </c>
      <c r="Q59" s="419">
        <v>45860</v>
      </c>
      <c r="R59" s="281" t="s">
        <v>7579</v>
      </c>
      <c r="S59" s="280"/>
      <c r="T59" s="280"/>
      <c r="U59" s="280"/>
      <c r="V59" s="79">
        <f>LEN(D59)</f>
        <v>11</v>
      </c>
      <c r="W59" s="79"/>
      <c r="X59" s="282">
        <f ca="1">INT((TODAY()-M59)/365)</f>
        <v>32</v>
      </c>
      <c r="Y59" s="382"/>
      <c r="Z59" s="382"/>
      <c r="AA59" s="382"/>
      <c r="AB59" s="311"/>
      <c r="AC59" s="382"/>
      <c r="AD59" s="382"/>
      <c r="AE59" s="382"/>
      <c r="AF59" s="311"/>
      <c r="AG59" s="311"/>
      <c r="AH59" s="311"/>
      <c r="AI59" s="311"/>
      <c r="AJ59" s="311"/>
      <c r="AK59" s="311"/>
      <c r="AL59" s="311"/>
      <c r="AM59" s="311"/>
    </row>
    <row r="60" spans="1:39">
      <c r="A60" s="1131">
        <v>16</v>
      </c>
      <c r="B60" s="351" t="s">
        <v>7580</v>
      </c>
      <c r="C60" s="303" t="s">
        <v>21</v>
      </c>
      <c r="D60" s="416">
        <v>50205690602</v>
      </c>
      <c r="E60" s="274" t="s">
        <v>7581</v>
      </c>
      <c r="F60" s="1700" t="s">
        <v>759</v>
      </c>
      <c r="G60" s="274" t="s">
        <v>76</v>
      </c>
      <c r="H60" s="2098"/>
      <c r="I60" s="275">
        <v>891843232</v>
      </c>
      <c r="J60" s="284">
        <v>8918432329</v>
      </c>
      <c r="K60" s="274" t="s">
        <v>464</v>
      </c>
      <c r="L60" s="274" t="s">
        <v>50</v>
      </c>
      <c r="M60" s="532">
        <v>33957</v>
      </c>
      <c r="N60" s="272">
        <v>55884</v>
      </c>
      <c r="O60" s="440">
        <v>46524</v>
      </c>
      <c r="P60" s="272">
        <v>46074</v>
      </c>
      <c r="Q60" s="419">
        <v>45948</v>
      </c>
      <c r="R60" s="2103" t="s">
        <v>7582</v>
      </c>
      <c r="S60" s="280"/>
      <c r="T60" s="79"/>
      <c r="U60" s="79"/>
      <c r="V60" s="435"/>
      <c r="W60" s="435"/>
      <c r="X60" s="435"/>
      <c r="Y60" s="382"/>
      <c r="Z60" s="382"/>
      <c r="AA60" s="311"/>
      <c r="AB60" s="311"/>
    </row>
    <row r="61" spans="1:39" ht="15" customHeight="1">
      <c r="A61" s="1131">
        <v>17</v>
      </c>
      <c r="B61" s="351" t="s">
        <v>7583</v>
      </c>
      <c r="C61" s="303" t="s">
        <v>21</v>
      </c>
      <c r="D61" s="416">
        <v>50205690663</v>
      </c>
      <c r="E61" s="274" t="s">
        <v>7584</v>
      </c>
      <c r="F61" s="286" t="s">
        <v>759</v>
      </c>
      <c r="G61" s="274" t="s">
        <v>76</v>
      </c>
      <c r="H61" s="2098"/>
      <c r="I61" s="275">
        <v>8013040349</v>
      </c>
      <c r="J61" s="275">
        <v>8013040349</v>
      </c>
      <c r="K61" s="274" t="s">
        <v>464</v>
      </c>
      <c r="L61" s="274" t="s">
        <v>61</v>
      </c>
      <c r="M61" s="272">
        <v>34999</v>
      </c>
      <c r="N61" s="272">
        <v>56918</v>
      </c>
      <c r="O61" s="320">
        <v>45127</v>
      </c>
      <c r="P61" s="272">
        <v>46106</v>
      </c>
      <c r="Q61" s="419">
        <v>45977</v>
      </c>
      <c r="R61" s="281" t="s">
        <v>7585</v>
      </c>
      <c r="S61" s="280"/>
      <c r="T61" s="280"/>
      <c r="U61" s="280"/>
      <c r="V61" s="79">
        <f t="shared" ref="V61:V62" si="15">LEN(D61)</f>
        <v>11</v>
      </c>
      <c r="W61" s="79"/>
      <c r="X61" s="282">
        <f t="shared" ref="X61:X62" ca="1" si="16">INT((TODAY()-M61)/365)</f>
        <v>30</v>
      </c>
      <c r="Y61" s="382"/>
      <c r="Z61" s="382"/>
      <c r="AA61" s="382"/>
      <c r="AB61" s="311"/>
    </row>
    <row r="62" spans="1:39" ht="15.75" customHeight="1">
      <c r="A62" s="2104">
        <v>9</v>
      </c>
      <c r="B62" s="293" t="s">
        <v>7586</v>
      </c>
      <c r="C62" s="275" t="s">
        <v>21</v>
      </c>
      <c r="D62" s="1284">
        <v>50205564827</v>
      </c>
      <c r="E62" s="274" t="s">
        <v>7587</v>
      </c>
      <c r="F62" s="286" t="s">
        <v>759</v>
      </c>
      <c r="G62" s="274" t="s">
        <v>77</v>
      </c>
      <c r="H62" s="2098"/>
      <c r="I62" s="275">
        <v>9002071079</v>
      </c>
      <c r="J62" s="275"/>
      <c r="K62" s="274" t="s">
        <v>464</v>
      </c>
      <c r="L62" s="274" t="s">
        <v>61</v>
      </c>
      <c r="M62" s="272">
        <v>30603</v>
      </c>
      <c r="N62" s="272">
        <v>52535</v>
      </c>
      <c r="O62" s="272">
        <v>45174</v>
      </c>
      <c r="P62" s="279">
        <v>45697</v>
      </c>
      <c r="Q62" s="302">
        <v>45160</v>
      </c>
      <c r="R62" s="79"/>
      <c r="S62" s="603" t="s">
        <v>7588</v>
      </c>
      <c r="T62" s="485"/>
      <c r="U62" s="485"/>
      <c r="V62" s="382">
        <f t="shared" si="15"/>
        <v>11</v>
      </c>
      <c r="W62" s="382"/>
      <c r="X62" s="282">
        <f t="shared" ca="1" si="16"/>
        <v>42</v>
      </c>
      <c r="Y62" s="382"/>
      <c r="Z62" s="382"/>
      <c r="AA62" s="311"/>
      <c r="AB62" s="311"/>
      <c r="AC62" s="311"/>
      <c r="AD62" s="311"/>
      <c r="AE62" s="311"/>
      <c r="AF62" s="311"/>
      <c r="AG62" s="311"/>
      <c r="AH62" s="311"/>
      <c r="AI62" s="311"/>
      <c r="AJ62" s="311"/>
      <c r="AK62" s="311"/>
      <c r="AL62" s="311"/>
      <c r="AM62" s="311"/>
    </row>
    <row r="63" spans="1:39" ht="15.75" customHeight="1">
      <c r="A63" s="944">
        <v>5</v>
      </c>
      <c r="B63" s="351" t="s">
        <v>7589</v>
      </c>
      <c r="C63" s="275" t="s">
        <v>21</v>
      </c>
      <c r="D63" s="416">
        <v>50205690675</v>
      </c>
      <c r="E63" s="274" t="s">
        <v>7590</v>
      </c>
      <c r="F63" s="1700" t="s">
        <v>759</v>
      </c>
      <c r="G63" s="274" t="s">
        <v>77</v>
      </c>
      <c r="H63" s="2098"/>
      <c r="I63" s="275">
        <v>9832978546</v>
      </c>
      <c r="J63" s="275"/>
      <c r="K63" s="274" t="s">
        <v>464</v>
      </c>
      <c r="L63" s="274" t="s">
        <v>55</v>
      </c>
      <c r="M63" s="272">
        <v>34071</v>
      </c>
      <c r="N63" s="272">
        <v>56004</v>
      </c>
      <c r="O63" s="320">
        <v>46531</v>
      </c>
      <c r="P63" s="272">
        <v>46106</v>
      </c>
      <c r="Q63" s="419">
        <v>46004</v>
      </c>
      <c r="R63" s="281" t="s">
        <v>7591</v>
      </c>
      <c r="S63" s="281" t="s">
        <v>7592</v>
      </c>
      <c r="T63" s="79"/>
      <c r="U63" s="79"/>
      <c r="V63" s="435"/>
      <c r="W63" s="435"/>
      <c r="X63" s="435"/>
      <c r="Y63" s="382"/>
      <c r="Z63" s="382"/>
      <c r="AA63" s="311"/>
      <c r="AB63" s="311"/>
      <c r="AD63" s="705"/>
      <c r="AE63" s="705"/>
      <c r="AF63" s="705"/>
      <c r="AG63" s="705"/>
      <c r="AH63" s="705"/>
      <c r="AI63" s="705"/>
      <c r="AJ63" s="705"/>
      <c r="AK63" s="705"/>
      <c r="AL63" s="705"/>
      <c r="AM63" s="705"/>
    </row>
    <row r="64" spans="1:39" ht="15.75" customHeight="1">
      <c r="A64" s="944">
        <v>29</v>
      </c>
      <c r="B64" s="301" t="s">
        <v>7593</v>
      </c>
      <c r="C64" s="303" t="s">
        <v>20</v>
      </c>
      <c r="D64" s="495">
        <v>50205690596</v>
      </c>
      <c r="E64" s="274" t="s">
        <v>7594</v>
      </c>
      <c r="F64" s="1700" t="s">
        <v>759</v>
      </c>
      <c r="G64" s="274" t="s">
        <v>77</v>
      </c>
      <c r="H64" s="2098"/>
      <c r="I64" s="275">
        <v>8436494945</v>
      </c>
      <c r="J64" s="284">
        <v>8436494945</v>
      </c>
      <c r="K64" s="274" t="s">
        <v>464</v>
      </c>
      <c r="L64" s="274" t="s">
        <v>55</v>
      </c>
      <c r="M64" s="272">
        <v>33300</v>
      </c>
      <c r="N64" s="272">
        <v>55243</v>
      </c>
      <c r="O64" s="320">
        <v>46566</v>
      </c>
      <c r="P64" s="272">
        <v>46074</v>
      </c>
      <c r="Q64" s="419">
        <v>45948</v>
      </c>
      <c r="R64" s="281" t="s">
        <v>7595</v>
      </c>
      <c r="S64" s="281" t="s">
        <v>7596</v>
      </c>
      <c r="T64" s="79"/>
      <c r="U64" s="280"/>
      <c r="V64" s="79">
        <f t="shared" ref="V64:V67" si="17">LEN(D64)</f>
        <v>11</v>
      </c>
      <c r="W64" s="79"/>
      <c r="X64" s="282">
        <f t="shared" ref="X64:X66" ca="1" si="18">INT((TODAY()-M64)/365)</f>
        <v>35</v>
      </c>
      <c r="Y64" s="382"/>
      <c r="Z64" s="382"/>
      <c r="AA64" s="311"/>
      <c r="AB64" s="311"/>
      <c r="AC64" s="311"/>
      <c r="AD64" s="311"/>
      <c r="AE64" s="311"/>
      <c r="AF64" s="311"/>
      <c r="AG64" s="311"/>
      <c r="AH64" s="311"/>
      <c r="AI64" s="311"/>
      <c r="AJ64" s="311"/>
      <c r="AK64" s="311"/>
      <c r="AL64" s="311"/>
      <c r="AM64" s="311"/>
    </row>
    <row r="65" spans="1:39" ht="15.75" customHeight="1">
      <c r="A65" s="1131">
        <v>18</v>
      </c>
      <c r="B65" s="401" t="s">
        <v>7597</v>
      </c>
      <c r="C65" s="274" t="s">
        <v>21</v>
      </c>
      <c r="D65" s="972">
        <v>50205678195</v>
      </c>
      <c r="E65" s="303" t="s">
        <v>7598</v>
      </c>
      <c r="F65" s="1700" t="s">
        <v>759</v>
      </c>
      <c r="G65" s="274" t="s">
        <v>76</v>
      </c>
      <c r="H65" s="2098"/>
      <c r="I65" s="275">
        <v>8515981464</v>
      </c>
      <c r="J65" s="1835">
        <v>8515981464</v>
      </c>
      <c r="K65" s="274" t="s">
        <v>464</v>
      </c>
      <c r="L65" s="274" t="s">
        <v>61</v>
      </c>
      <c r="M65" s="272">
        <v>34195</v>
      </c>
      <c r="N65" s="272">
        <v>56127</v>
      </c>
      <c r="O65" s="320">
        <v>46538</v>
      </c>
      <c r="P65" s="272">
        <v>46020</v>
      </c>
      <c r="Q65" s="419">
        <v>45913</v>
      </c>
      <c r="R65" s="281" t="s">
        <v>7599</v>
      </c>
      <c r="S65" s="280"/>
      <c r="T65" s="79"/>
      <c r="U65" s="280"/>
      <c r="V65" s="79">
        <f t="shared" si="17"/>
        <v>11</v>
      </c>
      <c r="W65" s="79"/>
      <c r="X65" s="282">
        <f t="shared" ca="1" si="18"/>
        <v>32</v>
      </c>
      <c r="Y65" s="382"/>
      <c r="Z65" s="382"/>
      <c r="AA65" s="311"/>
      <c r="AB65" s="311"/>
      <c r="AC65" s="311"/>
      <c r="AD65" s="311"/>
      <c r="AE65" s="311"/>
      <c r="AF65" s="311"/>
      <c r="AG65" s="311"/>
      <c r="AH65" s="311"/>
      <c r="AI65" s="311"/>
      <c r="AJ65" s="311"/>
      <c r="AK65" s="311"/>
      <c r="AL65" s="311"/>
      <c r="AM65" s="311"/>
    </row>
    <row r="66" spans="1:39" ht="15.75" customHeight="1">
      <c r="A66" s="1131">
        <v>19</v>
      </c>
      <c r="B66" s="401" t="s">
        <v>7600</v>
      </c>
      <c r="C66" s="274" t="s">
        <v>21</v>
      </c>
      <c r="D66" s="416">
        <v>50205678172</v>
      </c>
      <c r="E66" s="703" t="s">
        <v>7601</v>
      </c>
      <c r="F66" s="1700" t="s">
        <v>759</v>
      </c>
      <c r="G66" s="284" t="s">
        <v>76</v>
      </c>
      <c r="H66" s="2098"/>
      <c r="I66" s="284">
        <v>8436887881</v>
      </c>
      <c r="J66" s="284">
        <v>8436887881</v>
      </c>
      <c r="K66" s="274" t="s">
        <v>464</v>
      </c>
      <c r="L66" s="18" t="s">
        <v>62</v>
      </c>
      <c r="M66" s="272">
        <v>34366</v>
      </c>
      <c r="N66" s="272">
        <v>56280</v>
      </c>
      <c r="O66" s="320">
        <v>46524</v>
      </c>
      <c r="P66" s="272">
        <v>46020</v>
      </c>
      <c r="Q66" s="419">
        <v>45913</v>
      </c>
      <c r="R66" s="281" t="s">
        <v>7602</v>
      </c>
      <c r="S66" s="280"/>
      <c r="T66" s="79"/>
      <c r="U66" s="79"/>
      <c r="V66" s="79">
        <f t="shared" si="17"/>
        <v>11</v>
      </c>
      <c r="W66" s="79"/>
      <c r="X66" s="282">
        <f t="shared" ca="1" si="18"/>
        <v>32</v>
      </c>
      <c r="Y66" s="382"/>
      <c r="Z66" s="382"/>
      <c r="AA66" s="311"/>
      <c r="AB66" s="311"/>
    </row>
    <row r="67" spans="1:39" ht="15.75" customHeight="1">
      <c r="A67" s="1131">
        <v>20</v>
      </c>
      <c r="B67" s="1734" t="s">
        <v>7603</v>
      </c>
      <c r="C67" s="274" t="s">
        <v>20</v>
      </c>
      <c r="D67" s="1822" t="s">
        <v>7604</v>
      </c>
      <c r="E67" s="18" t="s">
        <v>7605</v>
      </c>
      <c r="F67" s="1700" t="s">
        <v>759</v>
      </c>
      <c r="G67" s="274" t="s">
        <v>76</v>
      </c>
      <c r="H67" s="1701"/>
      <c r="I67" s="275">
        <v>9933686542</v>
      </c>
      <c r="J67" s="690">
        <v>9933686542</v>
      </c>
      <c r="K67" s="274" t="s">
        <v>464</v>
      </c>
      <c r="L67" s="303" t="s">
        <v>52</v>
      </c>
      <c r="M67" s="272">
        <v>32632</v>
      </c>
      <c r="N67" s="272">
        <v>54574</v>
      </c>
      <c r="O67" s="272">
        <v>45461</v>
      </c>
      <c r="P67" s="315">
        <v>45774</v>
      </c>
      <c r="Q67" s="302">
        <v>45746</v>
      </c>
      <c r="R67" s="281" t="s">
        <v>7606</v>
      </c>
      <c r="S67" s="486" t="s">
        <v>7607</v>
      </c>
      <c r="T67" s="486" t="s">
        <v>7608</v>
      </c>
      <c r="U67" s="1852"/>
      <c r="V67" s="382">
        <f t="shared" si="17"/>
        <v>11</v>
      </c>
      <c r="W67" s="382"/>
      <c r="X67" s="382"/>
      <c r="Y67" s="382"/>
      <c r="Z67" s="382"/>
      <c r="AA67" s="311"/>
      <c r="AB67" s="311"/>
      <c r="AC67" s="311"/>
      <c r="AD67" s="311"/>
      <c r="AE67" s="311"/>
      <c r="AF67" s="311"/>
      <c r="AG67" s="311"/>
      <c r="AH67" s="311"/>
      <c r="AI67" s="311"/>
      <c r="AJ67" s="311"/>
      <c r="AK67" s="311"/>
      <c r="AL67" s="311"/>
      <c r="AM67" s="311"/>
    </row>
    <row r="68" spans="1:39" ht="15.75" customHeight="1">
      <c r="A68" s="1131">
        <v>21</v>
      </c>
      <c r="B68" s="1096" t="s">
        <v>7609</v>
      </c>
      <c r="C68" s="274" t="s">
        <v>20</v>
      </c>
      <c r="D68" s="945">
        <v>50200178871</v>
      </c>
      <c r="E68" s="303" t="s">
        <v>7610</v>
      </c>
      <c r="F68" s="1690" t="s">
        <v>759</v>
      </c>
      <c r="G68" s="274" t="s">
        <v>77</v>
      </c>
      <c r="H68" s="2098"/>
      <c r="I68" s="275">
        <v>9800011688</v>
      </c>
      <c r="J68" s="284">
        <v>9830616923</v>
      </c>
      <c r="K68" s="274" t="s">
        <v>464</v>
      </c>
      <c r="L68" s="274" t="s">
        <v>58</v>
      </c>
      <c r="M68" s="272">
        <v>32819</v>
      </c>
      <c r="N68" s="272">
        <v>54757</v>
      </c>
      <c r="O68" s="320">
        <v>46259</v>
      </c>
      <c r="P68" s="315">
        <v>45222</v>
      </c>
      <c r="Q68" s="302">
        <v>45248</v>
      </c>
      <c r="R68" s="281" t="s">
        <v>7611</v>
      </c>
      <c r="S68" s="281" t="s">
        <v>7612</v>
      </c>
      <c r="T68" s="281" t="s">
        <v>7613</v>
      </c>
      <c r="U68" s="280"/>
      <c r="V68" s="285"/>
      <c r="W68" s="79"/>
      <c r="X68" s="79"/>
      <c r="Y68" s="79"/>
      <c r="Z68" s="79"/>
      <c r="AA68" s="79"/>
      <c r="AB68" s="311">
        <f ca="1">INT((TODAY()-M68)/365)</f>
        <v>36</v>
      </c>
    </row>
    <row r="69" spans="1:39">
      <c r="A69" s="1131">
        <v>22</v>
      </c>
      <c r="B69" s="401" t="s">
        <v>7614</v>
      </c>
      <c r="C69" s="307" t="s">
        <v>21</v>
      </c>
      <c r="D69" s="972">
        <v>50205678110</v>
      </c>
      <c r="E69" s="274" t="s">
        <v>7615</v>
      </c>
      <c r="F69" s="1700" t="s">
        <v>759</v>
      </c>
      <c r="G69" s="274" t="s">
        <v>76</v>
      </c>
      <c r="H69" s="2098"/>
      <c r="I69" s="275">
        <v>7797400518</v>
      </c>
      <c r="J69" s="1835">
        <v>7797400518</v>
      </c>
      <c r="K69" s="274" t="s">
        <v>464</v>
      </c>
      <c r="L69" s="274" t="s">
        <v>50</v>
      </c>
      <c r="M69" s="272">
        <v>34627</v>
      </c>
      <c r="N69" s="272">
        <v>56553</v>
      </c>
      <c r="O69" s="320">
        <v>45110</v>
      </c>
      <c r="P69" s="272">
        <v>46019</v>
      </c>
      <c r="Q69" s="419">
        <v>45913</v>
      </c>
      <c r="R69" s="281" t="s">
        <v>7616</v>
      </c>
      <c r="S69" s="280"/>
      <c r="T69" s="79"/>
      <c r="U69" s="280"/>
      <c r="V69" s="79">
        <f t="shared" ref="V69:V70" si="19">LEN(D69)</f>
        <v>11</v>
      </c>
      <c r="W69" s="79"/>
      <c r="X69" s="282">
        <f t="shared" ref="X69:X70" ca="1" si="20">INT((TODAY()-M69)/365)</f>
        <v>31</v>
      </c>
      <c r="Y69" s="382"/>
      <c r="Z69" s="382"/>
      <c r="AA69" s="382"/>
      <c r="AB69" s="311"/>
      <c r="AC69" s="382"/>
      <c r="AD69" s="382"/>
      <c r="AE69" s="382"/>
      <c r="AF69" s="382"/>
      <c r="AG69" s="382"/>
      <c r="AH69" s="382"/>
      <c r="AI69" s="311"/>
      <c r="AJ69" s="311"/>
      <c r="AK69" s="311"/>
      <c r="AL69" s="311"/>
      <c r="AM69" s="311"/>
    </row>
    <row r="70" spans="1:39" ht="15.75" customHeight="1">
      <c r="A70" s="1131">
        <v>23</v>
      </c>
      <c r="B70" s="1583" t="s">
        <v>7617</v>
      </c>
      <c r="C70" s="307" t="s">
        <v>21</v>
      </c>
      <c r="D70" s="2100">
        <v>50205677695</v>
      </c>
      <c r="E70" s="274" t="s">
        <v>7618</v>
      </c>
      <c r="F70" s="286" t="s">
        <v>759</v>
      </c>
      <c r="G70" s="274" t="s">
        <v>76</v>
      </c>
      <c r="H70" s="2098"/>
      <c r="I70" s="275">
        <v>8617354372</v>
      </c>
      <c r="J70" s="306">
        <v>9547643868</v>
      </c>
      <c r="K70" s="274" t="s">
        <v>464</v>
      </c>
      <c r="L70" s="18" t="s">
        <v>62</v>
      </c>
      <c r="M70" s="272">
        <v>34933</v>
      </c>
      <c r="N70" s="272">
        <v>56857</v>
      </c>
      <c r="O70" s="272">
        <v>45112</v>
      </c>
      <c r="P70" s="279">
        <v>45905</v>
      </c>
      <c r="Q70" s="279">
        <v>45951</v>
      </c>
      <c r="R70" s="603" t="s">
        <v>7619</v>
      </c>
      <c r="S70" s="485"/>
      <c r="T70" s="280"/>
      <c r="U70" s="280"/>
      <c r="V70" s="382">
        <f t="shared" si="19"/>
        <v>11</v>
      </c>
      <c r="W70" s="382"/>
      <c r="X70" s="282">
        <f t="shared" ca="1" si="20"/>
        <v>30</v>
      </c>
      <c r="Y70" s="382"/>
      <c r="Z70" s="382"/>
      <c r="AA70" s="311"/>
      <c r="AB70" s="311"/>
      <c r="AF70" s="384"/>
      <c r="AG70" s="384"/>
      <c r="AH70" s="384"/>
      <c r="AI70" s="384"/>
      <c r="AJ70" s="384"/>
      <c r="AK70" s="384"/>
      <c r="AL70" s="384"/>
      <c r="AM70" s="384"/>
    </row>
    <row r="71" spans="1:39" ht="15.75" customHeight="1">
      <c r="A71" s="944">
        <v>77</v>
      </c>
      <c r="B71" s="426" t="s">
        <v>7620</v>
      </c>
      <c r="C71" s="274" t="s">
        <v>20</v>
      </c>
      <c r="D71" s="972">
        <v>50205680888</v>
      </c>
      <c r="E71" s="18" t="s">
        <v>7012</v>
      </c>
      <c r="F71" s="1700" t="s">
        <v>759</v>
      </c>
      <c r="G71" s="18" t="s">
        <v>77</v>
      </c>
      <c r="H71" s="2098"/>
      <c r="I71" s="432">
        <v>9647717009</v>
      </c>
      <c r="J71" s="433"/>
      <c r="K71" s="274" t="s">
        <v>464</v>
      </c>
      <c r="L71" s="18" t="s">
        <v>417</v>
      </c>
      <c r="M71" s="272">
        <v>33728</v>
      </c>
      <c r="N71" s="272">
        <v>55670</v>
      </c>
      <c r="O71" s="428">
        <v>45519</v>
      </c>
      <c r="P71" s="418">
        <v>45145</v>
      </c>
      <c r="Q71" s="418">
        <v>46032</v>
      </c>
      <c r="R71" s="281" t="s">
        <v>7621</v>
      </c>
      <c r="S71" s="281" t="s">
        <v>7622</v>
      </c>
      <c r="T71" s="281" t="s">
        <v>7623</v>
      </c>
      <c r="U71" s="79"/>
      <c r="V71" s="435"/>
      <c r="W71" s="435"/>
      <c r="X71" s="435"/>
      <c r="Y71" s="382"/>
      <c r="Z71" s="382"/>
      <c r="AA71" s="311"/>
      <c r="AB71" s="311"/>
    </row>
    <row r="72" spans="1:39" ht="15.75" customHeight="1">
      <c r="A72" s="944">
        <v>29</v>
      </c>
      <c r="B72" s="971" t="s">
        <v>7624</v>
      </c>
      <c r="C72" s="274" t="s">
        <v>20</v>
      </c>
      <c r="D72" s="972">
        <v>3329804070</v>
      </c>
      <c r="E72" s="973" t="s">
        <v>7625</v>
      </c>
      <c r="F72" s="2105" t="s">
        <v>759</v>
      </c>
      <c r="G72" s="18" t="s">
        <v>78</v>
      </c>
      <c r="H72" s="2098"/>
      <c r="I72" s="18">
        <v>9748283769</v>
      </c>
      <c r="J72" s="18">
        <v>9748283769</v>
      </c>
      <c r="K72" s="274" t="s">
        <v>464</v>
      </c>
      <c r="L72" s="274" t="s">
        <v>52</v>
      </c>
      <c r="M72" s="418" t="s">
        <v>7626</v>
      </c>
      <c r="N72" s="418">
        <v>54696</v>
      </c>
      <c r="O72" s="440">
        <v>45177</v>
      </c>
      <c r="P72" s="418">
        <v>45459</v>
      </c>
      <c r="Q72" s="418">
        <v>45382</v>
      </c>
      <c r="R72" s="281" t="s">
        <v>7627</v>
      </c>
      <c r="S72" s="281" t="s">
        <v>7628</v>
      </c>
      <c r="T72" s="280"/>
      <c r="U72" s="280"/>
      <c r="V72" s="280"/>
      <c r="W72" s="282" t="e">
        <f t="shared" ref="W72:W73" ca="1" si="21">INT((TODAY()-M72)/365)</f>
        <v>#VALUE!</v>
      </c>
      <c r="X72" s="79"/>
      <c r="Y72" s="79"/>
      <c r="Z72" s="79"/>
    </row>
    <row r="73" spans="1:39" ht="30">
      <c r="A73" s="1131">
        <v>58</v>
      </c>
      <c r="B73" s="351" t="s">
        <v>7629</v>
      </c>
      <c r="C73" s="307" t="s">
        <v>21</v>
      </c>
      <c r="D73" s="1781" t="s">
        <v>7630</v>
      </c>
      <c r="E73" s="491" t="s">
        <v>7235</v>
      </c>
      <c r="F73" s="2105" t="s">
        <v>759</v>
      </c>
      <c r="G73" s="274" t="s">
        <v>76</v>
      </c>
      <c r="H73" s="2098"/>
      <c r="I73" s="275">
        <v>9804635887</v>
      </c>
      <c r="J73" s="284">
        <v>9330594881</v>
      </c>
      <c r="K73" s="274" t="s">
        <v>464</v>
      </c>
      <c r="L73" s="274" t="s">
        <v>44</v>
      </c>
      <c r="M73" s="272">
        <v>34192</v>
      </c>
      <c r="N73" s="272">
        <v>56127</v>
      </c>
      <c r="O73" s="320">
        <v>45120</v>
      </c>
      <c r="P73" s="272">
        <v>45916</v>
      </c>
      <c r="Q73" s="419">
        <v>45916</v>
      </c>
      <c r="R73" s="281" t="s">
        <v>7631</v>
      </c>
      <c r="S73" s="280"/>
      <c r="T73" s="280"/>
      <c r="U73" s="280"/>
      <c r="V73" s="280">
        <f t="shared" ref="V73:V77" si="22">LEN(D73)</f>
        <v>11</v>
      </c>
      <c r="W73" s="282">
        <f t="shared" ca="1" si="21"/>
        <v>32</v>
      </c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</row>
    <row r="74" spans="1:39" ht="15.75" customHeight="1">
      <c r="A74" s="1051">
        <v>1</v>
      </c>
      <c r="B74" s="1583" t="s">
        <v>7632</v>
      </c>
      <c r="C74" s="274" t="s">
        <v>20</v>
      </c>
      <c r="D74" s="1567">
        <v>50205618400</v>
      </c>
      <c r="E74" s="284" t="s">
        <v>7633</v>
      </c>
      <c r="F74" s="2106" t="s">
        <v>3258</v>
      </c>
      <c r="G74" s="284" t="s">
        <v>77</v>
      </c>
      <c r="H74" s="274" t="s">
        <v>1567</v>
      </c>
      <c r="I74" s="275">
        <v>8240068511</v>
      </c>
      <c r="J74" s="275"/>
      <c r="K74" s="274" t="s">
        <v>464</v>
      </c>
      <c r="L74" s="274" t="s">
        <v>56</v>
      </c>
      <c r="M74" s="272">
        <v>31628</v>
      </c>
      <c r="N74" s="272">
        <v>53570</v>
      </c>
      <c r="O74" s="272">
        <v>46243</v>
      </c>
      <c r="P74" s="272">
        <v>45396</v>
      </c>
      <c r="Q74" s="272">
        <v>45369</v>
      </c>
      <c r="R74" s="603" t="s">
        <v>7634</v>
      </c>
      <c r="S74" s="486" t="s">
        <v>7635</v>
      </c>
      <c r="T74" s="486" t="s">
        <v>7636</v>
      </c>
      <c r="U74" s="485"/>
      <c r="V74" s="382">
        <f t="shared" si="22"/>
        <v>11</v>
      </c>
      <c r="W74" s="382"/>
      <c r="X74" s="282">
        <f t="shared" ref="X74:X75" ca="1" si="23">INT((TODAY()-M74)/365)</f>
        <v>39</v>
      </c>
      <c r="Y74" s="395"/>
      <c r="Z74" s="79"/>
      <c r="AA74" s="384"/>
      <c r="AB74" s="208">
        <f ca="1">INT((TODAY()-M74)/365)</f>
        <v>39</v>
      </c>
      <c r="AC74" s="384"/>
      <c r="AD74" s="384"/>
      <c r="AE74" s="384"/>
      <c r="AF74" s="384"/>
      <c r="AG74" s="384"/>
      <c r="AH74" s="384"/>
      <c r="AI74" s="384"/>
      <c r="AJ74" s="384"/>
      <c r="AK74" s="384"/>
      <c r="AL74" s="384"/>
      <c r="AM74" s="384"/>
    </row>
    <row r="75" spans="1:39" ht="18.75">
      <c r="A75" s="1051">
        <v>2</v>
      </c>
      <c r="B75" s="1882" t="s">
        <v>7637</v>
      </c>
      <c r="C75" s="274" t="s">
        <v>20</v>
      </c>
      <c r="D75" s="2091">
        <v>50205618459</v>
      </c>
      <c r="E75" s="18" t="s">
        <v>7638</v>
      </c>
      <c r="F75" s="2090" t="s">
        <v>759</v>
      </c>
      <c r="G75" s="337" t="s">
        <v>77</v>
      </c>
      <c r="H75" s="274" t="s">
        <v>266</v>
      </c>
      <c r="I75" s="307">
        <v>7797309134</v>
      </c>
      <c r="J75" s="307"/>
      <c r="K75" s="274" t="s">
        <v>464</v>
      </c>
      <c r="L75" s="303" t="s">
        <v>62</v>
      </c>
      <c r="M75" s="315">
        <v>32003</v>
      </c>
      <c r="N75" s="315">
        <v>53935</v>
      </c>
      <c r="O75" s="315">
        <v>46231</v>
      </c>
      <c r="P75" s="272">
        <v>45363</v>
      </c>
      <c r="Q75" s="272">
        <v>45307</v>
      </c>
      <c r="R75" s="318" t="s">
        <v>7639</v>
      </c>
      <c r="S75" s="318" t="s">
        <v>7640</v>
      </c>
      <c r="T75" s="318" t="s">
        <v>7641</v>
      </c>
      <c r="U75" s="285"/>
      <c r="V75" s="285">
        <f t="shared" si="22"/>
        <v>11</v>
      </c>
      <c r="W75" s="3"/>
      <c r="X75" s="282">
        <f t="shared" ca="1" si="23"/>
        <v>38</v>
      </c>
      <c r="Y75" s="395"/>
      <c r="Z75" s="79"/>
      <c r="AA75" s="383"/>
      <c r="AB75" s="282"/>
      <c r="AC75" s="383"/>
      <c r="AD75" s="383"/>
      <c r="AE75" s="383"/>
      <c r="AF75" s="383"/>
      <c r="AG75" s="383"/>
      <c r="AH75" s="383"/>
      <c r="AI75" s="384"/>
      <c r="AJ75" s="384"/>
      <c r="AK75" s="384"/>
      <c r="AL75" s="384"/>
      <c r="AM75" s="384"/>
    </row>
    <row r="76" spans="1:39">
      <c r="A76" s="1051">
        <v>3</v>
      </c>
      <c r="B76" s="1583" t="s">
        <v>4162</v>
      </c>
      <c r="C76" s="274" t="s">
        <v>20</v>
      </c>
      <c r="D76" s="2093">
        <v>50205618496</v>
      </c>
      <c r="E76" s="284" t="s">
        <v>7642</v>
      </c>
      <c r="F76" s="1700" t="s">
        <v>759</v>
      </c>
      <c r="G76" s="284" t="s">
        <v>77</v>
      </c>
      <c r="H76" s="274" t="s">
        <v>1567</v>
      </c>
      <c r="I76" s="275">
        <v>9749136385</v>
      </c>
      <c r="J76" s="601">
        <v>9153622661</v>
      </c>
      <c r="K76" s="274" t="s">
        <v>464</v>
      </c>
      <c r="L76" s="303" t="s">
        <v>52</v>
      </c>
      <c r="M76" s="272">
        <v>32597</v>
      </c>
      <c r="N76" s="272">
        <v>54513</v>
      </c>
      <c r="O76" s="272">
        <v>46218</v>
      </c>
      <c r="P76" s="272">
        <v>45363</v>
      </c>
      <c r="Q76" s="272">
        <v>45307</v>
      </c>
      <c r="R76" s="603" t="s">
        <v>4749</v>
      </c>
      <c r="S76" s="486" t="s">
        <v>7643</v>
      </c>
      <c r="T76" s="486" t="s">
        <v>7644</v>
      </c>
      <c r="U76" s="485"/>
      <c r="V76" s="382">
        <f t="shared" si="22"/>
        <v>11</v>
      </c>
      <c r="W76" s="382"/>
      <c r="X76" s="382"/>
      <c r="Y76" s="395"/>
      <c r="Z76" s="79"/>
      <c r="AA76" s="383"/>
      <c r="AB76" s="282"/>
      <c r="AC76" s="383"/>
      <c r="AD76" s="383"/>
      <c r="AE76" s="383"/>
      <c r="AF76" s="383"/>
      <c r="AG76" s="383"/>
      <c r="AH76" s="383"/>
      <c r="AI76" s="384"/>
      <c r="AJ76" s="384"/>
      <c r="AK76" s="384"/>
      <c r="AL76" s="384"/>
      <c r="AM76" s="384"/>
    </row>
    <row r="77" spans="1:39" ht="18.75">
      <c r="A77" s="1051">
        <v>4</v>
      </c>
      <c r="B77" s="1882" t="s">
        <v>7645</v>
      </c>
      <c r="C77" s="274" t="s">
        <v>20</v>
      </c>
      <c r="D77" s="2091">
        <v>50205618514</v>
      </c>
      <c r="E77" s="18" t="s">
        <v>7646</v>
      </c>
      <c r="F77" s="286" t="s">
        <v>759</v>
      </c>
      <c r="G77" s="337" t="s">
        <v>77</v>
      </c>
      <c r="H77" s="274" t="s">
        <v>1567</v>
      </c>
      <c r="I77" s="307">
        <v>9883291704</v>
      </c>
      <c r="J77" s="307">
        <v>9883291704</v>
      </c>
      <c r="K77" s="274" t="s">
        <v>464</v>
      </c>
      <c r="L77" s="303" t="s">
        <v>52</v>
      </c>
      <c r="M77" s="315">
        <v>30133</v>
      </c>
      <c r="N77" s="315">
        <v>52078</v>
      </c>
      <c r="O77" s="315">
        <v>46239</v>
      </c>
      <c r="P77" s="272">
        <v>45363</v>
      </c>
      <c r="Q77" s="272">
        <v>45307</v>
      </c>
      <c r="R77" s="318" t="s">
        <v>7647</v>
      </c>
      <c r="S77" s="318" t="s">
        <v>7648</v>
      </c>
      <c r="T77" s="318" t="s">
        <v>7649</v>
      </c>
      <c r="U77" s="285"/>
      <c r="V77" s="285">
        <f t="shared" si="22"/>
        <v>11</v>
      </c>
      <c r="W77" s="3"/>
      <c r="X77" s="282">
        <f t="shared" ref="X77:X81" ca="1" si="24">INT((TODAY()-M77)/365)</f>
        <v>43</v>
      </c>
      <c r="Y77" s="395"/>
      <c r="Z77" s="79"/>
      <c r="AA77" s="383"/>
      <c r="AB77" s="282"/>
      <c r="AC77" s="383"/>
      <c r="AD77" s="383"/>
      <c r="AE77" s="383"/>
      <c r="AF77" s="383"/>
      <c r="AG77" s="383"/>
      <c r="AH77" s="383"/>
      <c r="AI77" s="384"/>
      <c r="AJ77" s="384"/>
      <c r="AK77" s="384"/>
      <c r="AL77" s="384"/>
      <c r="AM77" s="384"/>
    </row>
    <row r="78" spans="1:39">
      <c r="A78" s="1051">
        <v>5</v>
      </c>
      <c r="B78" s="401" t="s">
        <v>7650</v>
      </c>
      <c r="C78" s="274" t="s">
        <v>20</v>
      </c>
      <c r="D78" s="306">
        <v>50205618629</v>
      </c>
      <c r="E78" s="18" t="s">
        <v>7651</v>
      </c>
      <c r="F78" s="286" t="s">
        <v>759</v>
      </c>
      <c r="G78" s="284" t="s">
        <v>76</v>
      </c>
      <c r="H78" s="274" t="s">
        <v>1567</v>
      </c>
      <c r="I78" s="391">
        <v>7063359358</v>
      </c>
      <c r="J78" s="391"/>
      <c r="K78" s="274" t="s">
        <v>464</v>
      </c>
      <c r="L78" s="274" t="s">
        <v>54</v>
      </c>
      <c r="M78" s="289">
        <v>30806</v>
      </c>
      <c r="N78" s="289">
        <v>52748</v>
      </c>
      <c r="O78" s="392">
        <v>46041</v>
      </c>
      <c r="P78" s="272">
        <v>45363</v>
      </c>
      <c r="Q78" s="272">
        <v>45307</v>
      </c>
      <c r="R78" s="394" t="s">
        <v>7652</v>
      </c>
      <c r="S78" s="394" t="s">
        <v>7653</v>
      </c>
      <c r="T78" s="394" t="s">
        <v>7654</v>
      </c>
      <c r="U78" s="393"/>
      <c r="V78" s="383">
        <f t="shared" ref="V78:V79" si="25">LEN(TEXT(D78,0))</f>
        <v>11</v>
      </c>
      <c r="W78" s="395"/>
      <c r="X78" s="282">
        <f t="shared" ca="1" si="24"/>
        <v>41</v>
      </c>
      <c r="Y78" s="395"/>
      <c r="Z78" s="79"/>
      <c r="AA78" s="383"/>
      <c r="AB78" s="282"/>
      <c r="AC78" s="383"/>
      <c r="AD78" s="383"/>
      <c r="AE78" s="383"/>
      <c r="AF78" s="383"/>
      <c r="AG78" s="383"/>
      <c r="AH78" s="383"/>
      <c r="AI78" s="384"/>
      <c r="AJ78" s="384"/>
      <c r="AK78" s="384"/>
      <c r="AL78" s="384"/>
      <c r="AM78" s="384"/>
    </row>
    <row r="79" spans="1:39" ht="15.75" customHeight="1">
      <c r="A79" s="1051">
        <v>7</v>
      </c>
      <c r="B79" s="401" t="s">
        <v>7655</v>
      </c>
      <c r="C79" s="274" t="s">
        <v>20</v>
      </c>
      <c r="D79" s="306">
        <v>50205618370</v>
      </c>
      <c r="E79" s="18" t="s">
        <v>7656</v>
      </c>
      <c r="F79" s="1690" t="s">
        <v>759</v>
      </c>
      <c r="G79" s="284" t="s">
        <v>77</v>
      </c>
      <c r="H79" s="303" t="s">
        <v>1567</v>
      </c>
      <c r="I79" s="391">
        <v>9382225744</v>
      </c>
      <c r="J79" s="391"/>
      <c r="K79" s="274" t="s">
        <v>464</v>
      </c>
      <c r="L79" s="274" t="s">
        <v>52</v>
      </c>
      <c r="M79" s="289">
        <v>30136</v>
      </c>
      <c r="N79" s="289">
        <v>52078</v>
      </c>
      <c r="O79" s="392">
        <v>46231</v>
      </c>
      <c r="P79" s="272">
        <v>45363</v>
      </c>
      <c r="Q79" s="272">
        <v>45307</v>
      </c>
      <c r="R79" s="394" t="s">
        <v>7657</v>
      </c>
      <c r="S79" s="394" t="s">
        <v>7658</v>
      </c>
      <c r="T79" s="394" t="s">
        <v>7659</v>
      </c>
      <c r="U79" s="393"/>
      <c r="V79" s="383">
        <f t="shared" si="25"/>
        <v>11</v>
      </c>
      <c r="W79" s="395"/>
      <c r="X79" s="282">
        <f t="shared" ca="1" si="24"/>
        <v>43</v>
      </c>
      <c r="Y79" s="3"/>
      <c r="Z79" s="79"/>
      <c r="AB79" s="311"/>
    </row>
    <row r="80" spans="1:39" ht="18.75">
      <c r="A80" s="1051">
        <v>8</v>
      </c>
      <c r="B80" s="1882" t="s">
        <v>7660</v>
      </c>
      <c r="C80" s="274" t="s">
        <v>20</v>
      </c>
      <c r="D80" s="2091">
        <v>50205618654</v>
      </c>
      <c r="E80" s="18" t="s">
        <v>7661</v>
      </c>
      <c r="F80" s="1690" t="s">
        <v>759</v>
      </c>
      <c r="G80" s="337" t="s">
        <v>77</v>
      </c>
      <c r="H80" s="303" t="s">
        <v>1567</v>
      </c>
      <c r="I80" s="307">
        <v>9547946561</v>
      </c>
      <c r="J80" s="275"/>
      <c r="K80" s="274" t="s">
        <v>464</v>
      </c>
      <c r="L80" s="274" t="s">
        <v>417</v>
      </c>
      <c r="M80" s="315">
        <v>32536</v>
      </c>
      <c r="N80" s="315">
        <v>54454</v>
      </c>
      <c r="O80" s="315">
        <v>46253</v>
      </c>
      <c r="P80" s="272">
        <v>45363</v>
      </c>
      <c r="Q80" s="272">
        <v>45307</v>
      </c>
      <c r="R80" s="318" t="s">
        <v>7662</v>
      </c>
      <c r="S80" s="318" t="s">
        <v>7663</v>
      </c>
      <c r="T80" s="318" t="s">
        <v>7664</v>
      </c>
      <c r="U80" s="285"/>
      <c r="V80" s="285">
        <f>LEN(D80)</f>
        <v>11</v>
      </c>
      <c r="W80" s="3"/>
      <c r="X80" s="282">
        <f t="shared" ca="1" si="24"/>
        <v>37</v>
      </c>
      <c r="Y80" s="395"/>
      <c r="Z80" s="79"/>
      <c r="AA80" s="383"/>
      <c r="AB80" s="282"/>
      <c r="AC80" s="383"/>
      <c r="AD80" s="383"/>
      <c r="AE80" s="383"/>
      <c r="AF80" s="383"/>
      <c r="AG80" s="383"/>
      <c r="AH80" s="383"/>
      <c r="AI80" s="384"/>
      <c r="AJ80" s="384"/>
      <c r="AK80" s="384"/>
      <c r="AL80" s="384"/>
      <c r="AM80" s="384"/>
    </row>
    <row r="81" spans="1:39" ht="15.75" customHeight="1">
      <c r="A81" s="1051">
        <v>9</v>
      </c>
      <c r="B81" s="401" t="s">
        <v>7665</v>
      </c>
      <c r="C81" s="274" t="s">
        <v>20</v>
      </c>
      <c r="D81" s="543">
        <v>50714507136</v>
      </c>
      <c r="E81" s="18" t="s">
        <v>7666</v>
      </c>
      <c r="F81" s="1700" t="s">
        <v>759</v>
      </c>
      <c r="G81" s="284" t="s">
        <v>76</v>
      </c>
      <c r="H81" s="303" t="s">
        <v>1567</v>
      </c>
      <c r="I81" s="391">
        <v>8647860245</v>
      </c>
      <c r="J81" s="275"/>
      <c r="K81" s="274" t="s">
        <v>464</v>
      </c>
      <c r="L81" s="274" t="s">
        <v>54</v>
      </c>
      <c r="M81" s="289">
        <v>31491</v>
      </c>
      <c r="N81" s="289">
        <v>53417</v>
      </c>
      <c r="O81" s="392">
        <v>45874</v>
      </c>
      <c r="P81" s="272">
        <v>45363</v>
      </c>
      <c r="Q81" s="272">
        <v>45337</v>
      </c>
      <c r="R81" s="394" t="s">
        <v>7667</v>
      </c>
      <c r="S81" s="394" t="s">
        <v>7668</v>
      </c>
      <c r="T81" s="393"/>
      <c r="U81" s="393"/>
      <c r="V81" s="383">
        <f>LEN(TEXT(D81,0))</f>
        <v>11</v>
      </c>
      <c r="W81" s="395"/>
      <c r="X81" s="282">
        <f t="shared" ca="1" si="24"/>
        <v>40</v>
      </c>
      <c r="Y81" s="3"/>
      <c r="Z81" s="79"/>
      <c r="AB81" s="311"/>
    </row>
    <row r="82" spans="1:39" ht="15.75" customHeight="1">
      <c r="A82" s="1051">
        <v>79</v>
      </c>
      <c r="B82" s="276" t="s">
        <v>7669</v>
      </c>
      <c r="C82" s="274" t="s">
        <v>20</v>
      </c>
      <c r="D82" s="2091">
        <v>50205618873</v>
      </c>
      <c r="E82" s="620" t="s">
        <v>7670</v>
      </c>
      <c r="F82" s="1690" t="s">
        <v>759</v>
      </c>
      <c r="G82" s="337" t="s">
        <v>77</v>
      </c>
      <c r="H82" s="274" t="s">
        <v>1567</v>
      </c>
      <c r="I82" s="307">
        <v>9932788247</v>
      </c>
      <c r="J82" s="307">
        <v>9932788247</v>
      </c>
      <c r="K82" s="274" t="s">
        <v>464</v>
      </c>
      <c r="L82" s="274" t="s">
        <v>58</v>
      </c>
      <c r="M82" s="315">
        <v>30774</v>
      </c>
      <c r="N82" s="315">
        <v>52717</v>
      </c>
      <c r="O82" s="315">
        <v>46244</v>
      </c>
      <c r="P82" s="279">
        <v>45531</v>
      </c>
      <c r="Q82" s="302">
        <v>45506</v>
      </c>
      <c r="R82" s="318" t="s">
        <v>7671</v>
      </c>
      <c r="S82" s="318" t="s">
        <v>7672</v>
      </c>
      <c r="T82" s="285"/>
      <c r="U82" s="285"/>
      <c r="V82" s="285"/>
      <c r="W82" s="3"/>
      <c r="X82" s="3"/>
      <c r="Y82" s="3"/>
      <c r="Z82" s="79"/>
      <c r="AB82" s="311">
        <f t="shared" ref="AB82:AB88" ca="1" si="26">INT((TODAY()-M82)/365)</f>
        <v>41</v>
      </c>
      <c r="AC82" s="311"/>
      <c r="AD82" s="311"/>
      <c r="AE82" s="311"/>
      <c r="AF82" s="311"/>
      <c r="AG82" s="311"/>
      <c r="AH82" s="311"/>
      <c r="AI82" s="311"/>
      <c r="AJ82" s="311"/>
      <c r="AK82" s="311"/>
      <c r="AL82" s="311"/>
      <c r="AM82" s="311"/>
    </row>
    <row r="83" spans="1:39" ht="15.75" customHeight="1">
      <c r="A83" s="1051">
        <v>94</v>
      </c>
      <c r="B83" s="293" t="s">
        <v>7673</v>
      </c>
      <c r="C83" s="274" t="s">
        <v>20</v>
      </c>
      <c r="D83" s="1284">
        <v>50200162309</v>
      </c>
      <c r="E83" s="620" t="s">
        <v>7674</v>
      </c>
      <c r="F83" s="1690" t="s">
        <v>759</v>
      </c>
      <c r="G83" s="274" t="s">
        <v>76</v>
      </c>
      <c r="H83" s="303" t="s">
        <v>1567</v>
      </c>
      <c r="I83" s="275">
        <v>9614666652</v>
      </c>
      <c r="J83" s="275">
        <v>9614666652</v>
      </c>
      <c r="K83" s="274" t="s">
        <v>464</v>
      </c>
      <c r="L83" s="274" t="s">
        <v>58</v>
      </c>
      <c r="M83" s="272">
        <v>31864</v>
      </c>
      <c r="N83" s="272">
        <v>53782</v>
      </c>
      <c r="O83" s="272">
        <v>45927</v>
      </c>
      <c r="P83" s="279">
        <v>45531</v>
      </c>
      <c r="Q83" s="302">
        <v>45506</v>
      </c>
      <c r="R83" s="603" t="s">
        <v>7675</v>
      </c>
      <c r="S83" s="486" t="s">
        <v>7676</v>
      </c>
      <c r="T83" s="485"/>
      <c r="U83" s="485"/>
      <c r="V83" s="285"/>
      <c r="W83" s="382"/>
      <c r="X83" s="382"/>
      <c r="Y83" s="3"/>
      <c r="Z83" s="79"/>
      <c r="AA83" s="382"/>
      <c r="AB83" s="311">
        <f t="shared" ca="1" si="26"/>
        <v>39</v>
      </c>
    </row>
    <row r="84" spans="1:39" ht="15.75" customHeight="1">
      <c r="A84" s="1051">
        <v>91</v>
      </c>
      <c r="B84" s="293" t="s">
        <v>7677</v>
      </c>
      <c r="C84" s="274" t="s">
        <v>20</v>
      </c>
      <c r="D84" s="1284">
        <v>50200156097</v>
      </c>
      <c r="E84" s="620" t="s">
        <v>7678</v>
      </c>
      <c r="F84" s="1690" t="s">
        <v>759</v>
      </c>
      <c r="G84" s="284" t="s">
        <v>77</v>
      </c>
      <c r="H84" s="303" t="s">
        <v>1567</v>
      </c>
      <c r="I84" s="275">
        <v>8170034427</v>
      </c>
      <c r="J84" s="275">
        <v>8170034427</v>
      </c>
      <c r="K84" s="274" t="s">
        <v>464</v>
      </c>
      <c r="L84" s="274" t="s">
        <v>56</v>
      </c>
      <c r="M84" s="272">
        <v>32569</v>
      </c>
      <c r="N84" s="272">
        <v>54513</v>
      </c>
      <c r="O84" s="272">
        <v>45899</v>
      </c>
      <c r="P84" s="279">
        <v>45531</v>
      </c>
      <c r="Q84" s="302">
        <v>45506</v>
      </c>
      <c r="R84" s="603" t="s">
        <v>7679</v>
      </c>
      <c r="S84" s="486" t="s">
        <v>7680</v>
      </c>
      <c r="T84" s="485"/>
      <c r="U84" s="485"/>
      <c r="V84" s="285"/>
      <c r="W84" s="3"/>
      <c r="X84" s="3"/>
      <c r="Y84" s="3"/>
      <c r="Z84" s="79"/>
      <c r="AA84" s="79"/>
      <c r="AB84" s="311">
        <f t="shared" ca="1" si="26"/>
        <v>37</v>
      </c>
    </row>
    <row r="85" spans="1:39" ht="15.75" customHeight="1">
      <c r="A85" s="1051">
        <v>92</v>
      </c>
      <c r="B85" s="293" t="s">
        <v>7681</v>
      </c>
      <c r="C85" s="274" t="s">
        <v>20</v>
      </c>
      <c r="D85" s="2093">
        <v>50200158422</v>
      </c>
      <c r="E85" s="620" t="s">
        <v>7682</v>
      </c>
      <c r="F85" s="1690" t="s">
        <v>759</v>
      </c>
      <c r="G85" s="284" t="s">
        <v>77</v>
      </c>
      <c r="H85" s="303" t="s">
        <v>1567</v>
      </c>
      <c r="I85" s="275">
        <v>9932647090</v>
      </c>
      <c r="J85" s="275"/>
      <c r="K85" s="274" t="s">
        <v>464</v>
      </c>
      <c r="L85" s="125" t="s">
        <v>54</v>
      </c>
      <c r="M85" s="272">
        <v>31421</v>
      </c>
      <c r="N85" s="272">
        <v>53358</v>
      </c>
      <c r="O85" s="272">
        <v>45916</v>
      </c>
      <c r="P85" s="279">
        <v>45531</v>
      </c>
      <c r="Q85" s="302">
        <v>45506</v>
      </c>
      <c r="R85" s="603" t="s">
        <v>7683</v>
      </c>
      <c r="S85" s="486" t="s">
        <v>7684</v>
      </c>
      <c r="T85" s="954"/>
      <c r="U85" s="485"/>
      <c r="V85" s="285"/>
      <c r="W85" s="382"/>
      <c r="X85" s="382"/>
      <c r="Y85" s="3"/>
      <c r="Z85" s="79"/>
      <c r="AA85" s="311"/>
      <c r="AB85" s="311">
        <f t="shared" ca="1" si="26"/>
        <v>40</v>
      </c>
    </row>
    <row r="86" spans="1:39" ht="14.25" customHeight="1">
      <c r="A86" s="1051">
        <v>93</v>
      </c>
      <c r="B86" s="293" t="s">
        <v>7685</v>
      </c>
      <c r="C86" s="274" t="s">
        <v>20</v>
      </c>
      <c r="D86" s="1284">
        <v>50200162360</v>
      </c>
      <c r="E86" s="620" t="s">
        <v>7686</v>
      </c>
      <c r="F86" s="1690" t="s">
        <v>759</v>
      </c>
      <c r="G86" s="274" t="s">
        <v>76</v>
      </c>
      <c r="H86" s="303" t="s">
        <v>1567</v>
      </c>
      <c r="I86" s="275">
        <v>8509083031</v>
      </c>
      <c r="J86" s="284">
        <v>8637891455</v>
      </c>
      <c r="K86" s="274" t="s">
        <v>464</v>
      </c>
      <c r="L86" s="18" t="s">
        <v>62</v>
      </c>
      <c r="M86" s="272">
        <v>30056</v>
      </c>
      <c r="N86" s="272">
        <v>51986</v>
      </c>
      <c r="O86" s="272">
        <v>45997</v>
      </c>
      <c r="P86" s="279">
        <v>45531</v>
      </c>
      <c r="Q86" s="302">
        <v>45506</v>
      </c>
      <c r="R86" s="603" t="s">
        <v>7687</v>
      </c>
      <c r="S86" s="486" t="s">
        <v>7688</v>
      </c>
      <c r="T86" s="485"/>
      <c r="U86" s="485"/>
      <c r="V86" s="285"/>
      <c r="W86" s="382"/>
      <c r="X86" s="382"/>
      <c r="Y86" s="3"/>
      <c r="Z86" s="79"/>
      <c r="AA86" s="311"/>
      <c r="AB86" s="311">
        <f t="shared" ca="1" si="26"/>
        <v>43</v>
      </c>
    </row>
    <row r="87" spans="1:39" ht="15.75" customHeight="1">
      <c r="A87" s="1051">
        <v>118</v>
      </c>
      <c r="B87" s="293" t="s">
        <v>7689</v>
      </c>
      <c r="C87" s="274" t="s">
        <v>20</v>
      </c>
      <c r="D87" s="1284">
        <v>50208407988</v>
      </c>
      <c r="E87" s="620" t="s">
        <v>7690</v>
      </c>
      <c r="F87" s="1700" t="s">
        <v>759</v>
      </c>
      <c r="G87" s="274" t="s">
        <v>76</v>
      </c>
      <c r="H87" s="284"/>
      <c r="I87" s="275">
        <v>6291774770</v>
      </c>
      <c r="J87" s="690"/>
      <c r="K87" s="274" t="s">
        <v>464</v>
      </c>
      <c r="L87" s="125" t="s">
        <v>57</v>
      </c>
      <c r="M87" s="272">
        <v>29523</v>
      </c>
      <c r="N87" s="272">
        <v>51440</v>
      </c>
      <c r="O87" s="272">
        <v>45539</v>
      </c>
      <c r="P87" s="278">
        <v>45539</v>
      </c>
      <c r="Q87" s="279">
        <v>45187</v>
      </c>
      <c r="R87" s="603" t="s">
        <v>7691</v>
      </c>
      <c r="S87" s="485"/>
      <c r="T87" s="486" t="s">
        <v>7692</v>
      </c>
      <c r="U87" s="485"/>
      <c r="V87" s="285"/>
      <c r="W87" s="382"/>
      <c r="X87" s="79"/>
      <c r="Y87" s="1586"/>
      <c r="Z87" s="79"/>
      <c r="AA87" s="382"/>
      <c r="AB87" s="208">
        <f t="shared" ca="1" si="26"/>
        <v>45</v>
      </c>
    </row>
    <row r="88" spans="1:39" ht="15.75" customHeight="1">
      <c r="A88" s="1051">
        <v>73</v>
      </c>
      <c r="B88" s="276" t="s">
        <v>7693</v>
      </c>
      <c r="C88" s="274" t="s">
        <v>20</v>
      </c>
      <c r="D88" s="2091">
        <v>50205618794</v>
      </c>
      <c r="E88" s="18" t="s">
        <v>7694</v>
      </c>
      <c r="F88" s="1690" t="s">
        <v>759</v>
      </c>
      <c r="G88" s="337" t="s">
        <v>77</v>
      </c>
      <c r="H88" s="303" t="s">
        <v>1567</v>
      </c>
      <c r="I88" s="307">
        <v>9647666802</v>
      </c>
      <c r="J88" s="307">
        <v>9647666802</v>
      </c>
      <c r="K88" s="274" t="s">
        <v>464</v>
      </c>
      <c r="L88" s="274" t="s">
        <v>58</v>
      </c>
      <c r="M88" s="315">
        <v>33212</v>
      </c>
      <c r="N88" s="315">
        <v>55153</v>
      </c>
      <c r="O88" s="315">
        <v>46236</v>
      </c>
      <c r="P88" s="272">
        <v>45363</v>
      </c>
      <c r="Q88" s="272">
        <v>45307</v>
      </c>
      <c r="R88" s="318" t="s">
        <v>7695</v>
      </c>
      <c r="S88" s="318" t="s">
        <v>7696</v>
      </c>
      <c r="T88" s="318" t="s">
        <v>7697</v>
      </c>
      <c r="U88" s="285"/>
      <c r="V88" s="285">
        <f>LEN(D88)</f>
        <v>11</v>
      </c>
      <c r="W88" s="3"/>
      <c r="X88" s="282">
        <f ca="1">INT((TODAY()-M88)/365)</f>
        <v>35</v>
      </c>
      <c r="Y88" s="3"/>
      <c r="Z88" s="79"/>
      <c r="AB88" s="311">
        <f t="shared" ca="1" si="26"/>
        <v>35</v>
      </c>
      <c r="AC88" s="311"/>
      <c r="AD88" s="311"/>
      <c r="AE88" s="311"/>
      <c r="AF88" s="311"/>
      <c r="AG88" s="311"/>
      <c r="AH88" s="311"/>
      <c r="AI88" s="311"/>
      <c r="AJ88" s="311"/>
      <c r="AK88" s="311"/>
      <c r="AL88" s="311"/>
      <c r="AM88" s="311"/>
    </row>
    <row r="89" spans="1:39" ht="15.75" customHeight="1">
      <c r="A89" s="1155">
        <v>5</v>
      </c>
      <c r="B89" s="276" t="s">
        <v>7698</v>
      </c>
      <c r="C89" s="303" t="s">
        <v>20</v>
      </c>
      <c r="D89" s="677">
        <v>50204090780</v>
      </c>
      <c r="E89" s="1123" t="s">
        <v>7699</v>
      </c>
      <c r="F89" s="1690" t="s">
        <v>759</v>
      </c>
      <c r="G89" s="870" t="s">
        <v>76</v>
      </c>
      <c r="H89" s="303" t="s">
        <v>266</v>
      </c>
      <c r="I89" s="307">
        <v>9002071342</v>
      </c>
      <c r="J89" s="703">
        <v>9830679373</v>
      </c>
      <c r="K89" s="274" t="s">
        <v>464</v>
      </c>
      <c r="L89" s="274" t="s">
        <v>52</v>
      </c>
      <c r="M89" s="315">
        <v>28248</v>
      </c>
      <c r="N89" s="315">
        <v>50191</v>
      </c>
      <c r="O89" s="315">
        <v>45418</v>
      </c>
      <c r="P89" s="315">
        <v>46136</v>
      </c>
      <c r="Q89" s="316">
        <v>45731</v>
      </c>
      <c r="R89" s="317"/>
      <c r="S89" s="285"/>
      <c r="T89" s="318" t="s">
        <v>7700</v>
      </c>
      <c r="U89" s="285"/>
      <c r="V89" s="285"/>
      <c r="W89" s="3"/>
      <c r="X89" s="18" t="s">
        <v>1660</v>
      </c>
      <c r="Y89" s="18">
        <v>2</v>
      </c>
      <c r="Z89" s="286" t="s">
        <v>85</v>
      </c>
      <c r="AB89" s="869" t="s">
        <v>7701</v>
      </c>
    </row>
    <row r="90" spans="1:39" ht="15.75" customHeight="1">
      <c r="A90" s="944">
        <v>27</v>
      </c>
      <c r="B90" s="426" t="s">
        <v>6445</v>
      </c>
      <c r="C90" s="18" t="s">
        <v>21</v>
      </c>
      <c r="D90" s="427" t="s">
        <v>7702</v>
      </c>
      <c r="E90" s="18" t="s">
        <v>7703</v>
      </c>
      <c r="F90" s="274" t="s">
        <v>759</v>
      </c>
      <c r="G90" s="18" t="s">
        <v>76</v>
      </c>
      <c r="H90" s="275"/>
      <c r="I90" s="432">
        <v>9433757495</v>
      </c>
      <c r="J90" s="433"/>
      <c r="K90" s="274" t="s">
        <v>464</v>
      </c>
      <c r="L90" s="274" t="s">
        <v>417</v>
      </c>
      <c r="M90" s="272">
        <v>32222</v>
      </c>
      <c r="N90" s="272">
        <v>54148</v>
      </c>
      <c r="O90" s="428">
        <v>45977</v>
      </c>
      <c r="P90" s="315">
        <v>45222</v>
      </c>
      <c r="Q90" s="418">
        <v>45113</v>
      </c>
      <c r="R90" s="281" t="s">
        <v>7704</v>
      </c>
      <c r="S90" s="281" t="s">
        <v>7705</v>
      </c>
      <c r="T90" s="79"/>
      <c r="U90" s="280"/>
      <c r="V90" s="79"/>
      <c r="W90" s="79"/>
      <c r="X90" s="208">
        <f ca="1">INT((TODAY()-M90)/365)</f>
        <v>38</v>
      </c>
      <c r="Y90" s="311"/>
      <c r="Z90" s="311"/>
      <c r="AA90" s="311"/>
      <c r="AB90" s="311"/>
      <c r="AC90" s="311"/>
      <c r="AD90" s="311"/>
      <c r="AE90" s="311"/>
      <c r="AF90" s="311"/>
      <c r="AG90" s="311"/>
      <c r="AH90" s="311"/>
      <c r="AI90" s="311"/>
      <c r="AJ90" s="311"/>
      <c r="AK90" s="311"/>
      <c r="AL90" s="311"/>
      <c r="AM90" s="311"/>
    </row>
    <row r="91" spans="1:39" ht="16.5" customHeight="1">
      <c r="A91" s="1006">
        <v>27</v>
      </c>
      <c r="B91" s="426" t="s">
        <v>7706</v>
      </c>
      <c r="C91" s="18" t="s">
        <v>21</v>
      </c>
      <c r="D91" s="427" t="s">
        <v>7707</v>
      </c>
      <c r="E91" s="681" t="s">
        <v>7708</v>
      </c>
      <c r="F91" s="674" t="s">
        <v>759</v>
      </c>
      <c r="G91" s="18" t="s">
        <v>76</v>
      </c>
      <c r="H91" s="275"/>
      <c r="I91" s="461">
        <v>9147918097</v>
      </c>
      <c r="J91" s="433"/>
      <c r="K91" s="274" t="s">
        <v>464</v>
      </c>
      <c r="L91" s="18" t="s">
        <v>299</v>
      </c>
      <c r="M91" s="418">
        <v>31778</v>
      </c>
      <c r="N91" s="418">
        <v>53692</v>
      </c>
      <c r="O91" s="428">
        <v>46138</v>
      </c>
      <c r="P91" s="272">
        <v>45566</v>
      </c>
      <c r="Q91" s="418">
        <v>45605</v>
      </c>
      <c r="R91" s="429" t="s">
        <v>7709</v>
      </c>
      <c r="S91" s="2107" t="s">
        <v>7710</v>
      </c>
      <c r="V91" s="430"/>
      <c r="W91" s="208"/>
      <c r="X91" s="90"/>
    </row>
    <row r="92" spans="1:39" ht="15.75" customHeight="1">
      <c r="A92" s="944">
        <v>32</v>
      </c>
      <c r="B92" s="422" t="s">
        <v>7711</v>
      </c>
      <c r="C92" s="18" t="s">
        <v>21</v>
      </c>
      <c r="D92" s="423" t="s">
        <v>7712</v>
      </c>
      <c r="E92" s="681" t="s">
        <v>7713</v>
      </c>
      <c r="F92" s="946" t="s">
        <v>759</v>
      </c>
      <c r="G92" s="337" t="s">
        <v>76</v>
      </c>
      <c r="H92" s="307"/>
      <c r="I92" s="303">
        <v>7980110215</v>
      </c>
      <c r="J92" s="303">
        <v>7980110215</v>
      </c>
      <c r="K92" s="274" t="s">
        <v>464</v>
      </c>
      <c r="L92" s="18" t="s">
        <v>62</v>
      </c>
      <c r="M92" s="440">
        <v>32253</v>
      </c>
      <c r="N92" s="315">
        <v>54178</v>
      </c>
      <c r="O92" s="315">
        <v>45958</v>
      </c>
      <c r="P92" s="272">
        <v>45791</v>
      </c>
      <c r="Q92" s="272">
        <v>45801</v>
      </c>
      <c r="R92" s="318" t="s">
        <v>7714</v>
      </c>
      <c r="S92" s="285"/>
      <c r="T92" s="317"/>
      <c r="U92" s="285"/>
      <c r="V92" s="285"/>
      <c r="W92" s="3"/>
      <c r="X92" s="3"/>
      <c r="Y92" s="3"/>
      <c r="Z92" s="79"/>
      <c r="AA92" s="79"/>
      <c r="AB92" s="311"/>
    </row>
    <row r="93" spans="1:39">
      <c r="A93" s="980">
        <v>1</v>
      </c>
      <c r="B93" s="1096" t="s">
        <v>7715</v>
      </c>
      <c r="C93" s="284" t="s">
        <v>22</v>
      </c>
      <c r="D93" s="2108">
        <v>33229815517</v>
      </c>
      <c r="E93" s="681" t="s">
        <v>7716</v>
      </c>
      <c r="F93" s="1700" t="s">
        <v>759</v>
      </c>
      <c r="G93" s="284" t="s">
        <v>76</v>
      </c>
      <c r="H93" s="1701"/>
      <c r="I93" s="284">
        <v>9804172760</v>
      </c>
      <c r="J93" s="284"/>
      <c r="K93" s="274" t="s">
        <v>464</v>
      </c>
      <c r="L93" s="18" t="s">
        <v>62</v>
      </c>
      <c r="M93" s="272">
        <v>33321</v>
      </c>
      <c r="N93" s="272">
        <v>55243</v>
      </c>
      <c r="O93" s="400">
        <v>45133</v>
      </c>
      <c r="P93" s="279">
        <v>45323</v>
      </c>
      <c r="Q93" s="302"/>
      <c r="R93" s="394" t="s">
        <v>7717</v>
      </c>
      <c r="S93" s="393"/>
      <c r="T93" s="403"/>
      <c r="U93" s="393"/>
      <c r="V93" s="383"/>
      <c r="W93" s="395"/>
      <c r="X93" s="79"/>
      <c r="Y93" s="395"/>
      <c r="Z93" s="79"/>
      <c r="AA93" s="383"/>
      <c r="AB93" s="282"/>
      <c r="AC93" s="383"/>
      <c r="AD93" s="383"/>
      <c r="AE93" s="383"/>
      <c r="AF93" s="383"/>
      <c r="AG93" s="383"/>
      <c r="AH93" s="383"/>
      <c r="AI93" s="384"/>
      <c r="AJ93" s="384"/>
      <c r="AK93" s="384"/>
      <c r="AL93" s="384"/>
      <c r="AM93" s="384"/>
    </row>
    <row r="94" spans="1:39" ht="15.75" customHeight="1">
      <c r="A94" s="980">
        <v>5</v>
      </c>
      <c r="B94" s="1096" t="s">
        <v>7718</v>
      </c>
      <c r="C94" s="284" t="s">
        <v>22</v>
      </c>
      <c r="D94" s="1307">
        <v>18229802732</v>
      </c>
      <c r="E94" s="527" t="s">
        <v>7719</v>
      </c>
      <c r="F94" s="1700" t="s">
        <v>759</v>
      </c>
      <c r="G94" s="284" t="s">
        <v>76</v>
      </c>
      <c r="H94" s="1701"/>
      <c r="I94" s="461">
        <v>9147918081</v>
      </c>
      <c r="J94" s="284"/>
      <c r="K94" s="274" t="s">
        <v>464</v>
      </c>
      <c r="L94" s="274" t="s">
        <v>54</v>
      </c>
      <c r="M94" s="272">
        <v>32249</v>
      </c>
      <c r="N94" s="272">
        <v>54178</v>
      </c>
      <c r="O94" s="400"/>
      <c r="P94" s="279"/>
      <c r="Q94" s="302"/>
      <c r="R94" s="403"/>
      <c r="S94" s="393"/>
      <c r="T94" s="403"/>
      <c r="U94" s="393"/>
      <c r="V94" s="383"/>
      <c r="W94" s="395"/>
      <c r="X94" s="79"/>
      <c r="Y94" s="382"/>
      <c r="Z94" s="382"/>
      <c r="AA94" s="311"/>
      <c r="AB94" s="311">
        <f t="shared" ref="AB94:AB96" ca="1" si="27">INT((TODAY()-M94)/365)</f>
        <v>37</v>
      </c>
    </row>
    <row r="95" spans="1:39" ht="15.75" customHeight="1">
      <c r="A95" s="980">
        <v>7</v>
      </c>
      <c r="B95" s="1096" t="s">
        <v>7720</v>
      </c>
      <c r="C95" s="284" t="s">
        <v>22</v>
      </c>
      <c r="D95" s="518">
        <v>3429802236</v>
      </c>
      <c r="E95" s="1120" t="s">
        <v>7721</v>
      </c>
      <c r="F95" s="1700" t="s">
        <v>759</v>
      </c>
      <c r="G95" s="284" t="s">
        <v>77</v>
      </c>
      <c r="H95" s="1701"/>
      <c r="I95" s="461">
        <v>9580945858</v>
      </c>
      <c r="J95" s="284"/>
      <c r="K95" s="274" t="s">
        <v>464</v>
      </c>
      <c r="L95" s="303" t="s">
        <v>58</v>
      </c>
      <c r="M95" s="272">
        <v>31932</v>
      </c>
      <c r="N95" s="272">
        <v>53873</v>
      </c>
      <c r="O95" s="400">
        <v>45171</v>
      </c>
      <c r="P95" s="279">
        <v>46019</v>
      </c>
      <c r="Q95" s="302">
        <v>45913</v>
      </c>
      <c r="R95" s="394" t="s">
        <v>7722</v>
      </c>
      <c r="S95" s="393"/>
      <c r="T95" s="403"/>
      <c r="U95" s="393"/>
      <c r="V95" s="383"/>
      <c r="W95" s="395"/>
      <c r="X95" s="79"/>
      <c r="Y95" s="382"/>
      <c r="Z95" s="382"/>
      <c r="AA95" s="382"/>
      <c r="AB95" s="311">
        <f t="shared" ca="1" si="27"/>
        <v>38</v>
      </c>
    </row>
    <row r="96" spans="1:39" ht="15.75" customHeight="1">
      <c r="A96" s="980">
        <v>9</v>
      </c>
      <c r="B96" s="1096" t="s">
        <v>7723</v>
      </c>
      <c r="C96" s="284" t="s">
        <v>22</v>
      </c>
      <c r="D96" s="1307">
        <v>18229803131</v>
      </c>
      <c r="E96" s="527" t="s">
        <v>7724</v>
      </c>
      <c r="F96" s="1700" t="s">
        <v>759</v>
      </c>
      <c r="G96" s="284" t="s">
        <v>76</v>
      </c>
      <c r="H96" s="1701"/>
      <c r="I96" s="1309">
        <v>9641341125</v>
      </c>
      <c r="J96" s="284"/>
      <c r="K96" s="274" t="s">
        <v>464</v>
      </c>
      <c r="L96" s="274" t="s">
        <v>52</v>
      </c>
      <c r="M96" s="2109">
        <v>32630</v>
      </c>
      <c r="N96" s="2109">
        <v>54574</v>
      </c>
      <c r="O96" s="400"/>
      <c r="P96" s="279"/>
      <c r="Q96" s="302"/>
      <c r="R96" s="394" t="s">
        <v>7725</v>
      </c>
      <c r="S96" s="393"/>
      <c r="T96" s="403"/>
      <c r="U96" s="393"/>
      <c r="V96" s="383"/>
      <c r="W96" s="395"/>
      <c r="X96" s="79"/>
      <c r="Y96" s="382"/>
      <c r="Z96" s="382"/>
      <c r="AA96" s="382"/>
      <c r="AB96" s="208">
        <f t="shared" ca="1" si="27"/>
        <v>36</v>
      </c>
      <c r="AC96" s="384"/>
      <c r="AD96" s="384"/>
      <c r="AE96" s="384"/>
      <c r="AF96" s="384"/>
      <c r="AG96" s="384"/>
      <c r="AH96" s="384"/>
      <c r="AI96" s="384"/>
      <c r="AJ96" s="384"/>
      <c r="AK96" s="384"/>
      <c r="AL96" s="384"/>
      <c r="AM96" s="384"/>
    </row>
    <row r="97" spans="1:39">
      <c r="A97" s="980">
        <v>10</v>
      </c>
      <c r="B97" s="1096" t="s">
        <v>7726</v>
      </c>
      <c r="C97" s="284" t="s">
        <v>22</v>
      </c>
      <c r="D97" s="1307">
        <v>3429801259</v>
      </c>
      <c r="E97" s="557" t="s">
        <v>7727</v>
      </c>
      <c r="F97" s="1700" t="s">
        <v>759</v>
      </c>
      <c r="G97" s="284" t="s">
        <v>77</v>
      </c>
      <c r="H97" s="1701"/>
      <c r="I97" s="461">
        <v>9147918086</v>
      </c>
      <c r="J97" s="284"/>
      <c r="K97" s="274" t="s">
        <v>464</v>
      </c>
      <c r="L97" s="274" t="s">
        <v>52</v>
      </c>
      <c r="M97" s="2110">
        <v>32908</v>
      </c>
      <c r="N97" s="2110">
        <v>54847</v>
      </c>
      <c r="O97" s="400"/>
      <c r="P97" s="279"/>
      <c r="Q97" s="302"/>
      <c r="R97" s="394" t="s">
        <v>7728</v>
      </c>
      <c r="S97" s="393"/>
      <c r="T97" s="403"/>
      <c r="U97" s="393"/>
      <c r="V97" s="383"/>
      <c r="W97" s="395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</row>
    <row r="98" spans="1:39" ht="15.75" customHeight="1">
      <c r="A98" s="980">
        <v>12</v>
      </c>
      <c r="B98" s="1096" t="s">
        <v>7729</v>
      </c>
      <c r="C98" s="284" t="s">
        <v>22</v>
      </c>
      <c r="D98" s="1307">
        <v>3429802782</v>
      </c>
      <c r="E98" s="557" t="s">
        <v>7730</v>
      </c>
      <c r="F98" s="1700" t="s">
        <v>759</v>
      </c>
      <c r="G98" s="284" t="s">
        <v>76</v>
      </c>
      <c r="H98" s="1701"/>
      <c r="I98" s="1309">
        <v>7865855700</v>
      </c>
      <c r="J98" s="284"/>
      <c r="K98" s="274" t="s">
        <v>464</v>
      </c>
      <c r="L98" s="274" t="s">
        <v>52</v>
      </c>
      <c r="M98" s="272">
        <v>34228</v>
      </c>
      <c r="N98" s="272">
        <v>56157</v>
      </c>
      <c r="O98" s="400"/>
      <c r="P98" s="279"/>
      <c r="Q98" s="302"/>
      <c r="R98" s="394" t="s">
        <v>7731</v>
      </c>
      <c r="S98" s="393"/>
      <c r="T98" s="403"/>
      <c r="U98" s="393"/>
      <c r="V98" s="383"/>
      <c r="W98" s="395"/>
      <c r="X98" s="79"/>
      <c r="Y98" s="3"/>
      <c r="Z98" s="79"/>
      <c r="AA98" s="79"/>
      <c r="AB98" s="311">
        <f ca="1">INT((TODAY()-M98)/365)</f>
        <v>32</v>
      </c>
      <c r="AC98" s="311"/>
      <c r="AD98" s="311"/>
      <c r="AE98" s="311"/>
      <c r="AF98" s="311"/>
      <c r="AG98" s="311"/>
      <c r="AH98" s="311"/>
      <c r="AI98" s="311"/>
      <c r="AJ98" s="311"/>
      <c r="AK98" s="311"/>
      <c r="AL98" s="311"/>
      <c r="AM98" s="311"/>
    </row>
    <row r="99" spans="1:39">
      <c r="A99" s="980">
        <v>105</v>
      </c>
      <c r="B99" s="301" t="s">
        <v>7732</v>
      </c>
      <c r="C99" s="284" t="s">
        <v>22</v>
      </c>
      <c r="D99" s="518">
        <v>3229803202</v>
      </c>
      <c r="E99" s="681" t="s">
        <v>7733</v>
      </c>
      <c r="F99" s="1700" t="s">
        <v>759</v>
      </c>
      <c r="G99" s="284" t="s">
        <v>76</v>
      </c>
      <c r="H99" s="1701"/>
      <c r="I99" s="461">
        <v>7980652920</v>
      </c>
      <c r="J99" s="284"/>
      <c r="K99" s="274" t="s">
        <v>464</v>
      </c>
      <c r="L99" s="274" t="s">
        <v>54</v>
      </c>
      <c r="M99" s="272">
        <v>33789</v>
      </c>
      <c r="N99" s="272">
        <v>55731</v>
      </c>
      <c r="O99" s="400"/>
      <c r="P99" s="279"/>
      <c r="Q99" s="418"/>
      <c r="R99" s="338"/>
      <c r="S99" s="393"/>
      <c r="T99" s="403"/>
      <c r="U99" s="393"/>
      <c r="V99" s="383"/>
      <c r="W99" s="395"/>
      <c r="X99" s="79"/>
      <c r="Y99" s="395"/>
      <c r="Z99" s="79"/>
      <c r="AA99" s="383"/>
      <c r="AB99" s="282"/>
      <c r="AC99" s="383"/>
      <c r="AD99" s="383"/>
      <c r="AE99" s="383"/>
      <c r="AF99" s="383"/>
      <c r="AG99" s="383"/>
      <c r="AH99" s="383"/>
      <c r="AI99" s="384"/>
      <c r="AJ99" s="384"/>
      <c r="AK99" s="384"/>
      <c r="AL99" s="384"/>
      <c r="AM99" s="384"/>
    </row>
    <row r="100" spans="1:39">
      <c r="A100" s="980">
        <v>111</v>
      </c>
      <c r="B100" s="301" t="s">
        <v>7734</v>
      </c>
      <c r="C100" s="284" t="s">
        <v>22</v>
      </c>
      <c r="D100" s="536">
        <v>18429806456</v>
      </c>
      <c r="E100" s="527" t="s">
        <v>7735</v>
      </c>
      <c r="F100" s="1700" t="s">
        <v>759</v>
      </c>
      <c r="G100" s="284" t="s">
        <v>76</v>
      </c>
      <c r="H100" s="1701"/>
      <c r="I100" s="536">
        <v>8016061804</v>
      </c>
      <c r="J100" s="79"/>
      <c r="K100" s="274" t="s">
        <v>464</v>
      </c>
      <c r="L100" s="274" t="s">
        <v>59</v>
      </c>
      <c r="M100" s="272">
        <v>32749</v>
      </c>
      <c r="N100" s="272">
        <v>54666</v>
      </c>
      <c r="O100" s="400"/>
      <c r="P100" s="279"/>
      <c r="Q100" s="418"/>
      <c r="R100" s="338"/>
      <c r="S100" s="393"/>
      <c r="T100" s="403"/>
      <c r="U100" s="393"/>
      <c r="V100" s="383"/>
      <c r="W100" s="395"/>
      <c r="X100" s="79"/>
      <c r="Y100" s="395"/>
      <c r="Z100" s="79"/>
      <c r="AA100" s="383"/>
      <c r="AB100" s="282"/>
      <c r="AC100" s="383"/>
      <c r="AD100" s="383"/>
      <c r="AE100" s="383"/>
      <c r="AF100" s="383"/>
      <c r="AG100" s="383"/>
      <c r="AH100" s="383"/>
      <c r="AI100" s="384"/>
      <c r="AJ100" s="384"/>
      <c r="AK100" s="384"/>
      <c r="AL100" s="384"/>
      <c r="AM100" s="384"/>
    </row>
    <row r="101" spans="1:39" ht="15.75" customHeight="1">
      <c r="A101" s="944">
        <v>79</v>
      </c>
      <c r="B101" s="2111" t="s">
        <v>7736</v>
      </c>
      <c r="C101" s="454" t="s">
        <v>22</v>
      </c>
      <c r="D101" s="2112">
        <v>3429801856</v>
      </c>
      <c r="E101" s="1174" t="s">
        <v>7737</v>
      </c>
      <c r="F101" s="2113" t="s">
        <v>759</v>
      </c>
      <c r="G101" s="1172" t="s">
        <v>77</v>
      </c>
      <c r="H101" s="2114"/>
      <c r="I101" s="1176">
        <v>9576396255</v>
      </c>
      <c r="J101" s="1176"/>
      <c r="K101" s="1172" t="s">
        <v>464</v>
      </c>
      <c r="L101" s="2115" t="s">
        <v>59</v>
      </c>
      <c r="M101" s="1228">
        <v>32843</v>
      </c>
      <c r="N101" s="1228">
        <v>54757</v>
      </c>
      <c r="O101" s="1254">
        <v>45185</v>
      </c>
      <c r="P101" s="1228">
        <v>45566</v>
      </c>
      <c r="Q101" s="1228">
        <v>45552</v>
      </c>
      <c r="R101" s="2116" t="s">
        <v>7738</v>
      </c>
      <c r="S101" s="2116" t="s">
        <v>7739</v>
      </c>
      <c r="T101" s="1257"/>
      <c r="U101" s="1257"/>
      <c r="V101" s="1179"/>
      <c r="W101" s="1178"/>
      <c r="X101" s="1178"/>
      <c r="Y101" s="1178"/>
      <c r="Z101" s="1178"/>
      <c r="AA101" s="1178"/>
      <c r="AB101" s="2117" t="s">
        <v>7740</v>
      </c>
      <c r="AC101" s="1185"/>
      <c r="AD101" s="1185"/>
      <c r="AE101" s="1185"/>
      <c r="AF101" s="1185"/>
      <c r="AG101" s="1185"/>
      <c r="AH101" s="1185"/>
      <c r="AI101" s="1185"/>
      <c r="AJ101" s="1185"/>
      <c r="AK101" s="1185"/>
    </row>
    <row r="102" spans="1:39" ht="18.75">
      <c r="A102" s="1566">
        <v>49</v>
      </c>
      <c r="B102" s="1072" t="s">
        <v>7741</v>
      </c>
      <c r="C102" s="303" t="s">
        <v>22</v>
      </c>
      <c r="D102" s="2091">
        <v>18229802727</v>
      </c>
      <c r="E102" s="337" t="s">
        <v>7742</v>
      </c>
      <c r="F102" s="286" t="s">
        <v>759</v>
      </c>
      <c r="G102" s="337" t="s">
        <v>77</v>
      </c>
      <c r="H102" s="274"/>
      <c r="I102" s="307"/>
      <c r="J102" s="307"/>
      <c r="K102" s="274" t="s">
        <v>464</v>
      </c>
      <c r="L102" s="274" t="s">
        <v>52</v>
      </c>
      <c r="M102" s="278">
        <v>33090</v>
      </c>
      <c r="N102" s="315">
        <v>55031</v>
      </c>
      <c r="O102" s="278"/>
      <c r="P102" s="279"/>
      <c r="Q102" s="272"/>
      <c r="R102" s="79"/>
      <c r="S102" s="285"/>
      <c r="T102" s="317"/>
      <c r="U102" s="317"/>
      <c r="V102" s="285"/>
      <c r="W102" s="3"/>
      <c r="X102" s="282">
        <f ca="1">INT((TODAY()-M102)/365)</f>
        <v>35</v>
      </c>
      <c r="Y102" s="79"/>
      <c r="Z102" s="79"/>
    </row>
    <row r="103" spans="1:39" ht="15" customHeight="1">
      <c r="A103" s="79"/>
      <c r="B103" s="1687" t="s">
        <v>7743</v>
      </c>
      <c r="C103" s="274" t="s">
        <v>22</v>
      </c>
      <c r="D103" s="1687">
        <v>3329804582</v>
      </c>
      <c r="E103" s="1687" t="s">
        <v>7744</v>
      </c>
      <c r="F103" s="286" t="s">
        <v>759</v>
      </c>
      <c r="G103" s="1689" t="s">
        <v>76</v>
      </c>
      <c r="H103" s="2118"/>
      <c r="I103" s="79"/>
      <c r="J103" s="79"/>
      <c r="K103" s="274" t="s">
        <v>464</v>
      </c>
      <c r="L103" s="18" t="s">
        <v>417</v>
      </c>
      <c r="M103" s="272">
        <v>32841</v>
      </c>
      <c r="N103" s="1980">
        <v>54757</v>
      </c>
      <c r="O103" s="79"/>
      <c r="P103" s="79"/>
      <c r="Q103" s="79"/>
      <c r="R103" s="638" t="s">
        <v>7745</v>
      </c>
      <c r="S103" s="79"/>
      <c r="T103" s="79"/>
      <c r="U103" s="79"/>
      <c r="V103" s="79"/>
      <c r="W103" s="79"/>
      <c r="X103" s="79"/>
      <c r="Y103" s="79"/>
      <c r="Z103" s="79"/>
    </row>
    <row r="104" spans="1:39" ht="18.75">
      <c r="A104" s="1051"/>
      <c r="B104" s="1687" t="s">
        <v>7746</v>
      </c>
      <c r="C104" s="274" t="s">
        <v>22</v>
      </c>
      <c r="D104" s="2119" t="s">
        <v>7747</v>
      </c>
      <c r="E104" s="1687" t="s">
        <v>7748</v>
      </c>
      <c r="F104" s="286" t="s">
        <v>759</v>
      </c>
      <c r="G104" s="1689" t="s">
        <v>76</v>
      </c>
      <c r="H104" s="303"/>
      <c r="I104" s="1643"/>
      <c r="J104" s="307"/>
      <c r="K104" s="274" t="s">
        <v>464</v>
      </c>
      <c r="L104" s="18" t="s">
        <v>417</v>
      </c>
      <c r="M104" s="272">
        <v>34734</v>
      </c>
      <c r="N104" s="315">
        <v>56673</v>
      </c>
      <c r="O104" s="315"/>
      <c r="P104" s="272"/>
      <c r="Q104" s="272"/>
      <c r="R104" s="318" t="s">
        <v>7749</v>
      </c>
      <c r="S104" s="317"/>
      <c r="T104" s="317"/>
      <c r="U104" s="285"/>
      <c r="V104" s="285"/>
      <c r="W104" s="3"/>
      <c r="X104" s="3"/>
      <c r="Y104" s="382"/>
      <c r="Z104" s="382"/>
      <c r="AA104" s="311"/>
      <c r="AB104" s="311"/>
      <c r="AC104" s="311"/>
      <c r="AD104" s="311"/>
      <c r="AE104" s="311"/>
      <c r="AF104" s="311"/>
      <c r="AG104" s="311"/>
      <c r="AH104" s="311"/>
      <c r="AI104" s="311"/>
      <c r="AJ104" s="311"/>
      <c r="AK104" s="311"/>
      <c r="AL104" s="311"/>
      <c r="AM104" s="311"/>
    </row>
    <row r="105" spans="1:39" ht="15.75" customHeight="1">
      <c r="A105" s="1566">
        <v>61</v>
      </c>
      <c r="B105" s="1687" t="s">
        <v>7750</v>
      </c>
      <c r="C105" s="18" t="s">
        <v>22</v>
      </c>
      <c r="D105" s="2120">
        <v>3329805593</v>
      </c>
      <c r="E105" s="1687" t="s">
        <v>7751</v>
      </c>
      <c r="F105" s="1690" t="s">
        <v>759</v>
      </c>
      <c r="G105" s="1689" t="s">
        <v>76</v>
      </c>
      <c r="H105" s="274"/>
      <c r="I105" s="275"/>
      <c r="J105" s="275"/>
      <c r="K105" s="274" t="s">
        <v>464</v>
      </c>
      <c r="L105" s="274" t="s">
        <v>62</v>
      </c>
      <c r="M105" s="272">
        <v>35485</v>
      </c>
      <c r="N105" s="272">
        <f t="shared" ref="N105:N116" si="28">EOMONTH(M105,(12*60))</f>
        <v>57404</v>
      </c>
      <c r="O105" s="272"/>
      <c r="P105" s="279"/>
      <c r="Q105" s="272"/>
      <c r="R105" s="638" t="s">
        <v>7752</v>
      </c>
      <c r="S105" s="952"/>
      <c r="T105" s="485"/>
      <c r="U105" s="952"/>
      <c r="V105" s="382"/>
      <c r="W105" s="382"/>
      <c r="X105" s="282">
        <f t="shared" ref="X105:X106" ca="1" si="29">INT((TODAY()-M105)/365)</f>
        <v>29</v>
      </c>
      <c r="Y105" s="79"/>
      <c r="Z105" s="79"/>
    </row>
    <row r="106" spans="1:39" ht="15.75" customHeight="1">
      <c r="A106" s="1566">
        <v>66</v>
      </c>
      <c r="B106" s="1687" t="s">
        <v>7753</v>
      </c>
      <c r="C106" s="18" t="s">
        <v>22</v>
      </c>
      <c r="D106" s="2120">
        <v>3329806272</v>
      </c>
      <c r="E106" s="1687" t="s">
        <v>7754</v>
      </c>
      <c r="F106" s="286" t="s">
        <v>759</v>
      </c>
      <c r="G106" s="1689" t="s">
        <v>76</v>
      </c>
      <c r="H106" s="274"/>
      <c r="I106" s="275"/>
      <c r="J106" s="1909"/>
      <c r="K106" s="274" t="s">
        <v>464</v>
      </c>
      <c r="L106" s="274" t="s">
        <v>52</v>
      </c>
      <c r="M106" s="272">
        <v>34421</v>
      </c>
      <c r="N106" s="272">
        <f t="shared" si="28"/>
        <v>56339</v>
      </c>
      <c r="O106" s="272"/>
      <c r="P106" s="279"/>
      <c r="Q106" s="302"/>
      <c r="R106" s="638" t="s">
        <v>7755</v>
      </c>
      <c r="S106" s="485"/>
      <c r="T106" s="485"/>
      <c r="U106" s="998"/>
      <c r="V106" s="382"/>
      <c r="W106" s="382"/>
      <c r="X106" s="282">
        <f t="shared" ca="1" si="29"/>
        <v>31</v>
      </c>
      <c r="Y106" s="79"/>
      <c r="Z106" s="79"/>
      <c r="AB106" s="311"/>
      <c r="AC106" s="311"/>
      <c r="AD106" s="311"/>
      <c r="AE106" s="311"/>
      <c r="AF106" s="311"/>
      <c r="AG106" s="311"/>
      <c r="AH106" s="311"/>
      <c r="AI106" s="311"/>
      <c r="AJ106" s="311"/>
      <c r="AK106" s="311"/>
      <c r="AL106" s="311"/>
      <c r="AM106" s="311"/>
    </row>
    <row r="107" spans="1:39" ht="15.75" customHeight="1">
      <c r="A107" s="1586"/>
      <c r="B107" s="954" t="s">
        <v>7756</v>
      </c>
      <c r="C107" s="1133" t="s">
        <v>22</v>
      </c>
      <c r="D107" s="833" t="s">
        <v>7757</v>
      </c>
      <c r="E107" s="557" t="s">
        <v>7758</v>
      </c>
      <c r="F107" s="2105" t="s">
        <v>759</v>
      </c>
      <c r="G107" s="1133" t="s">
        <v>77</v>
      </c>
      <c r="H107" s="2121"/>
      <c r="I107" s="1586"/>
      <c r="J107" s="1586"/>
      <c r="K107" s="274" t="s">
        <v>464</v>
      </c>
      <c r="L107" s="1133" t="s">
        <v>54</v>
      </c>
      <c r="M107" s="272">
        <v>35441</v>
      </c>
      <c r="N107" s="272">
        <f t="shared" si="28"/>
        <v>57376</v>
      </c>
      <c r="O107" s="602"/>
      <c r="P107" s="602"/>
      <c r="Q107" s="602"/>
      <c r="R107" s="2122" t="s">
        <v>7759</v>
      </c>
      <c r="S107" s="485"/>
      <c r="T107" s="485"/>
      <c r="U107" s="485"/>
      <c r="V107" s="382"/>
      <c r="W107" s="382"/>
      <c r="X107" s="1586"/>
      <c r="Y107" s="382"/>
      <c r="Z107" s="382"/>
      <c r="AA107" s="311"/>
      <c r="AB107" s="311"/>
      <c r="AC107" s="311"/>
      <c r="AD107" s="311"/>
      <c r="AE107" s="311"/>
      <c r="AF107" s="311"/>
      <c r="AG107" s="311"/>
      <c r="AH107" s="311"/>
      <c r="AI107" s="311"/>
      <c r="AJ107" s="311"/>
      <c r="AK107" s="311"/>
      <c r="AL107" s="311"/>
      <c r="AM107" s="311"/>
    </row>
    <row r="108" spans="1:39" ht="15.75" customHeight="1">
      <c r="A108" s="1566">
        <v>68</v>
      </c>
      <c r="B108" s="1684" t="s">
        <v>7760</v>
      </c>
      <c r="C108" s="1133" t="s">
        <v>22</v>
      </c>
      <c r="D108" s="2123">
        <v>50205627746</v>
      </c>
      <c r="E108" s="274"/>
      <c r="F108" s="286"/>
      <c r="G108" s="274" t="s">
        <v>77</v>
      </c>
      <c r="H108" s="274"/>
      <c r="I108" s="275"/>
      <c r="J108" s="275"/>
      <c r="K108" s="274" t="s">
        <v>464</v>
      </c>
      <c r="L108" s="2124" t="s">
        <v>7761</v>
      </c>
      <c r="M108" s="272">
        <v>31879</v>
      </c>
      <c r="N108" s="272">
        <f t="shared" si="28"/>
        <v>53812</v>
      </c>
      <c r="O108" s="272"/>
      <c r="P108" s="279"/>
      <c r="Q108" s="272"/>
      <c r="R108" s="638" t="s">
        <v>7762</v>
      </c>
      <c r="S108" s="485"/>
      <c r="T108" s="952"/>
      <c r="U108" s="952"/>
      <c r="V108" s="382"/>
      <c r="W108" s="382"/>
      <c r="X108" s="282">
        <f ca="1">INT((TODAY()-M108)/365)</f>
        <v>38</v>
      </c>
      <c r="Y108" s="79"/>
      <c r="Z108" s="79"/>
    </row>
    <row r="109" spans="1:39" ht="15.75" customHeight="1">
      <c r="A109" s="1586"/>
      <c r="B109" s="1684" t="s">
        <v>7763</v>
      </c>
      <c r="C109" s="2125" t="s">
        <v>22</v>
      </c>
      <c r="D109" s="2123">
        <v>3329806123</v>
      </c>
      <c r="E109" s="79"/>
      <c r="F109" s="1953"/>
      <c r="G109" s="1586"/>
      <c r="H109" s="1586"/>
      <c r="I109" s="1586"/>
      <c r="J109" s="1586"/>
      <c r="K109" s="274" t="s">
        <v>464</v>
      </c>
      <c r="L109" s="1686" t="s">
        <v>54</v>
      </c>
      <c r="M109" s="1692">
        <v>34783</v>
      </c>
      <c r="N109" s="315">
        <f t="shared" si="28"/>
        <v>56704</v>
      </c>
      <c r="O109" s="602"/>
      <c r="P109" s="602"/>
      <c r="Q109" s="602"/>
      <c r="R109" s="486" t="s">
        <v>7764</v>
      </c>
      <c r="S109" s="485"/>
      <c r="T109" s="485"/>
      <c r="U109" s="485"/>
      <c r="V109" s="382"/>
      <c r="W109" s="382"/>
      <c r="X109" s="1647"/>
      <c r="Y109" s="311"/>
      <c r="Z109" s="311"/>
      <c r="AA109" s="311"/>
      <c r="AB109" s="311"/>
      <c r="AC109" s="311"/>
      <c r="AD109" s="311"/>
      <c r="AE109" s="311"/>
      <c r="AF109" s="311"/>
      <c r="AG109" s="311"/>
      <c r="AH109" s="311"/>
      <c r="AI109" s="311"/>
      <c r="AJ109" s="311"/>
      <c r="AK109" s="311"/>
      <c r="AL109" s="311"/>
      <c r="AM109" s="311"/>
    </row>
    <row r="110" spans="1:39" ht="15" customHeight="1">
      <c r="A110" s="79"/>
      <c r="B110" s="1684" t="s">
        <v>7765</v>
      </c>
      <c r="C110" s="2124" t="s">
        <v>22</v>
      </c>
      <c r="D110" s="2123">
        <v>50205660282</v>
      </c>
      <c r="E110" s="79"/>
      <c r="F110" s="79"/>
      <c r="G110" s="79"/>
      <c r="H110" s="79"/>
      <c r="I110" s="79"/>
      <c r="J110" s="79"/>
      <c r="K110" s="274" t="s">
        <v>464</v>
      </c>
      <c r="L110" s="125" t="s">
        <v>54</v>
      </c>
      <c r="M110" s="1692">
        <v>31526</v>
      </c>
      <c r="N110" s="315">
        <f t="shared" si="28"/>
        <v>53447</v>
      </c>
      <c r="O110" s="79"/>
      <c r="P110" s="79"/>
      <c r="Q110" s="79"/>
      <c r="R110" s="638" t="s">
        <v>7766</v>
      </c>
      <c r="S110" s="79"/>
      <c r="T110" s="79"/>
      <c r="U110" s="79"/>
      <c r="V110" s="79"/>
      <c r="W110" s="79"/>
    </row>
    <row r="111" spans="1:39" ht="15.75" customHeight="1">
      <c r="A111" s="1586"/>
      <c r="B111" s="1684" t="s">
        <v>7767</v>
      </c>
      <c r="C111" s="2125" t="s">
        <v>22</v>
      </c>
      <c r="D111" s="2123">
        <v>9629800662</v>
      </c>
      <c r="E111" s="79"/>
      <c r="F111" s="18"/>
      <c r="G111" s="1586"/>
      <c r="H111" s="1586"/>
      <c r="I111" s="1586"/>
      <c r="J111" s="1586"/>
      <c r="K111" s="274" t="s">
        <v>464</v>
      </c>
      <c r="L111" s="1686" t="s">
        <v>61</v>
      </c>
      <c r="M111" s="1692">
        <v>34075</v>
      </c>
      <c r="N111" s="315">
        <f t="shared" si="28"/>
        <v>56004</v>
      </c>
      <c r="O111" s="602"/>
      <c r="P111" s="602"/>
      <c r="Q111" s="602"/>
      <c r="R111" s="486" t="s">
        <v>7768</v>
      </c>
      <c r="S111" s="485"/>
      <c r="T111" s="485"/>
      <c r="U111" s="485"/>
      <c r="V111" s="382"/>
      <c r="W111" s="382"/>
      <c r="X111" s="1647"/>
      <c r="Y111" s="311"/>
      <c r="Z111" s="311"/>
      <c r="AA111" s="311"/>
      <c r="AB111" s="311"/>
      <c r="AC111" s="311"/>
      <c r="AD111" s="311"/>
      <c r="AE111" s="311"/>
      <c r="AF111" s="311"/>
      <c r="AG111" s="311"/>
      <c r="AH111" s="311"/>
      <c r="AI111" s="311"/>
      <c r="AJ111" s="311"/>
      <c r="AK111" s="311"/>
      <c r="AL111" s="311"/>
      <c r="AM111" s="311"/>
    </row>
    <row r="112" spans="1:39" ht="15.75" customHeight="1">
      <c r="A112" s="1586"/>
      <c r="B112" s="1684" t="s">
        <v>7769</v>
      </c>
      <c r="C112" s="2125" t="s">
        <v>22</v>
      </c>
      <c r="D112" s="2123">
        <v>50205603663</v>
      </c>
      <c r="E112" s="79"/>
      <c r="F112" s="674"/>
      <c r="G112" s="1586"/>
      <c r="H112" s="1586"/>
      <c r="I112" s="1586"/>
      <c r="J112" s="1586"/>
      <c r="K112" s="274" t="s">
        <v>464</v>
      </c>
      <c r="L112" s="274" t="s">
        <v>56</v>
      </c>
      <c r="M112" s="1692">
        <v>33658</v>
      </c>
      <c r="N112" s="315">
        <f t="shared" si="28"/>
        <v>55578</v>
      </c>
      <c r="O112" s="602"/>
      <c r="P112" s="602"/>
      <c r="Q112" s="602"/>
      <c r="R112" s="486" t="s">
        <v>7770</v>
      </c>
      <c r="S112" s="485"/>
      <c r="T112" s="485"/>
      <c r="U112" s="485"/>
      <c r="V112" s="382"/>
      <c r="W112" s="382"/>
      <c r="X112" s="1647"/>
      <c r="Y112" s="311"/>
      <c r="Z112" s="311"/>
      <c r="AA112" s="311"/>
      <c r="AB112" s="311"/>
      <c r="AC112" s="311"/>
      <c r="AD112" s="311"/>
      <c r="AE112" s="311"/>
      <c r="AF112" s="311"/>
      <c r="AG112" s="311"/>
      <c r="AH112" s="311"/>
      <c r="AI112" s="311"/>
      <c r="AJ112" s="311"/>
      <c r="AK112" s="311"/>
      <c r="AL112" s="311"/>
      <c r="AM112" s="311"/>
    </row>
    <row r="113" spans="1:39" ht="15.75" customHeight="1">
      <c r="A113" s="1566">
        <v>73</v>
      </c>
      <c r="B113" s="1734" t="s">
        <v>7771</v>
      </c>
      <c r="C113" s="274" t="s">
        <v>22</v>
      </c>
      <c r="D113" s="1321">
        <v>33329810088</v>
      </c>
      <c r="E113" s="557" t="s">
        <v>7772</v>
      </c>
      <c r="F113" s="2105" t="s">
        <v>759</v>
      </c>
      <c r="G113" s="303" t="s">
        <v>76</v>
      </c>
      <c r="H113" s="274"/>
      <c r="I113" s="275"/>
      <c r="J113" s="275"/>
      <c r="K113" s="274" t="s">
        <v>464</v>
      </c>
      <c r="L113" s="274" t="s">
        <v>57</v>
      </c>
      <c r="M113" s="272">
        <v>34479</v>
      </c>
      <c r="N113" s="315">
        <f t="shared" si="28"/>
        <v>56400</v>
      </c>
      <c r="O113" s="272"/>
      <c r="P113" s="279"/>
      <c r="Q113" s="279"/>
      <c r="R113" s="638" t="s">
        <v>7773</v>
      </c>
      <c r="S113" s="485"/>
      <c r="T113" s="952"/>
      <c r="U113" s="952"/>
      <c r="V113" s="382"/>
      <c r="W113" s="382"/>
      <c r="X113" s="282">
        <f ca="1">INT((TODAY()-M113)/365)</f>
        <v>31</v>
      </c>
      <c r="Y113" s="79"/>
      <c r="Z113" s="79"/>
    </row>
    <row r="114" spans="1:39" ht="15.75" customHeight="1">
      <c r="A114" s="1586"/>
      <c r="B114" s="1687" t="s">
        <v>1961</v>
      </c>
      <c r="C114" s="18" t="s">
        <v>22</v>
      </c>
      <c r="D114" s="2119" t="s">
        <v>7774</v>
      </c>
      <c r="E114" s="1687" t="s">
        <v>7775</v>
      </c>
      <c r="F114" s="18" t="s">
        <v>759</v>
      </c>
      <c r="G114" s="1689" t="s">
        <v>76</v>
      </c>
      <c r="H114" s="1586"/>
      <c r="I114" s="1586"/>
      <c r="J114" s="1586"/>
      <c r="K114" s="274" t="s">
        <v>464</v>
      </c>
      <c r="L114" s="1133" t="s">
        <v>64</v>
      </c>
      <c r="M114" s="1692">
        <v>34166</v>
      </c>
      <c r="N114" s="315">
        <f t="shared" si="28"/>
        <v>56096</v>
      </c>
      <c r="O114" s="602"/>
      <c r="P114" s="602"/>
      <c r="Q114" s="602"/>
      <c r="R114" s="486" t="s">
        <v>7776</v>
      </c>
      <c r="S114" s="485"/>
      <c r="T114" s="485"/>
      <c r="U114" s="485"/>
      <c r="V114" s="382"/>
      <c r="W114" s="382"/>
      <c r="X114" s="1647"/>
      <c r="Y114" s="311"/>
      <c r="Z114" s="311"/>
      <c r="AA114" s="311"/>
      <c r="AB114" s="311"/>
      <c r="AC114" s="311"/>
      <c r="AD114" s="311"/>
      <c r="AE114" s="311"/>
      <c r="AF114" s="311"/>
      <c r="AG114" s="311"/>
      <c r="AH114" s="311"/>
      <c r="AI114" s="311"/>
      <c r="AJ114" s="311"/>
      <c r="AK114" s="311"/>
      <c r="AL114" s="311"/>
      <c r="AM114" s="311"/>
    </row>
    <row r="115" spans="1:39" ht="15.75" customHeight="1">
      <c r="A115" s="1586"/>
      <c r="B115" s="1687" t="s">
        <v>7777</v>
      </c>
      <c r="C115" s="18" t="s">
        <v>22</v>
      </c>
      <c r="D115" s="2119" t="s">
        <v>7778</v>
      </c>
      <c r="E115" s="1687" t="s">
        <v>7779</v>
      </c>
      <c r="F115" s="674" t="s">
        <v>759</v>
      </c>
      <c r="G115" s="1689" t="s">
        <v>77</v>
      </c>
      <c r="H115" s="1586"/>
      <c r="I115" s="1586"/>
      <c r="J115" s="1586"/>
      <c r="K115" s="274" t="s">
        <v>464</v>
      </c>
      <c r="L115" s="1133" t="s">
        <v>64</v>
      </c>
      <c r="M115" s="1692">
        <v>35135</v>
      </c>
      <c r="N115" s="315">
        <f t="shared" si="28"/>
        <v>57070</v>
      </c>
      <c r="O115" s="602"/>
      <c r="P115" s="602"/>
      <c r="Q115" s="602"/>
      <c r="R115" s="486" t="s">
        <v>7780</v>
      </c>
      <c r="S115" s="485"/>
      <c r="T115" s="485"/>
      <c r="U115" s="485"/>
      <c r="V115" s="382"/>
      <c r="W115" s="382"/>
      <c r="X115" s="1647"/>
      <c r="Y115" s="311"/>
      <c r="Z115" s="311"/>
      <c r="AA115" s="311"/>
      <c r="AB115" s="311"/>
      <c r="AC115" s="311"/>
      <c r="AD115" s="311"/>
      <c r="AE115" s="311"/>
      <c r="AF115" s="311"/>
      <c r="AG115" s="311"/>
      <c r="AH115" s="311"/>
      <c r="AI115" s="311"/>
      <c r="AJ115" s="311"/>
      <c r="AK115" s="311"/>
      <c r="AL115" s="311"/>
      <c r="AM115" s="311"/>
    </row>
    <row r="116" spans="1:39" ht="15.75" customHeight="1">
      <c r="A116" s="1566"/>
      <c r="B116" s="1734" t="s">
        <v>7781</v>
      </c>
      <c r="C116" s="274" t="s">
        <v>22</v>
      </c>
      <c r="D116" s="1284">
        <v>18429806221</v>
      </c>
      <c r="E116" s="478" t="s">
        <v>7782</v>
      </c>
      <c r="F116" s="674" t="s">
        <v>759</v>
      </c>
      <c r="G116" s="303"/>
      <c r="H116" s="274"/>
      <c r="I116" s="275"/>
      <c r="J116" s="284"/>
      <c r="K116" s="274" t="s">
        <v>464</v>
      </c>
      <c r="L116" s="274" t="s">
        <v>44</v>
      </c>
      <c r="M116" s="272">
        <v>34359</v>
      </c>
      <c r="N116" s="315">
        <f t="shared" si="28"/>
        <v>56280</v>
      </c>
      <c r="O116" s="272"/>
      <c r="P116" s="279"/>
      <c r="Q116" s="302"/>
      <c r="R116" s="79"/>
      <c r="S116" s="485"/>
      <c r="T116" s="485"/>
      <c r="U116" s="952"/>
      <c r="V116" s="382"/>
      <c r="W116" s="382"/>
      <c r="X116" s="282">
        <f t="shared" ref="X116:X120" ca="1" si="30">INT((TODAY()-M116)/365)</f>
        <v>32</v>
      </c>
      <c r="Y116" s="382"/>
      <c r="Z116" s="382"/>
      <c r="AA116" s="311"/>
      <c r="AB116" s="311"/>
      <c r="AC116" s="311"/>
      <c r="AD116" s="311"/>
      <c r="AE116" s="311"/>
      <c r="AF116" s="311"/>
      <c r="AG116" s="311"/>
      <c r="AH116" s="311"/>
      <c r="AI116" s="311"/>
      <c r="AJ116" s="311"/>
      <c r="AK116" s="311"/>
      <c r="AL116" s="311"/>
      <c r="AM116" s="311"/>
    </row>
    <row r="117" spans="1:39" ht="15.75" customHeight="1">
      <c r="A117" s="1566">
        <v>77</v>
      </c>
      <c r="B117" s="1583"/>
      <c r="C117" s="275"/>
      <c r="D117" s="1284"/>
      <c r="E117" s="303"/>
      <c r="F117" s="286"/>
      <c r="G117" s="303"/>
      <c r="H117" s="274"/>
      <c r="I117" s="275"/>
      <c r="J117" s="275"/>
      <c r="K117" s="275"/>
      <c r="L117" s="274"/>
      <c r="M117" s="272"/>
      <c r="N117" s="272"/>
      <c r="O117" s="272"/>
      <c r="P117" s="278"/>
      <c r="Q117" s="279"/>
      <c r="R117" s="79"/>
      <c r="S117" s="485"/>
      <c r="T117" s="952"/>
      <c r="U117" s="952"/>
      <c r="V117" s="382"/>
      <c r="W117" s="382"/>
      <c r="X117" s="282">
        <f t="shared" ca="1" si="30"/>
        <v>126</v>
      </c>
      <c r="Y117" s="382"/>
      <c r="Z117" s="382"/>
      <c r="AA117" s="311"/>
      <c r="AB117" s="311"/>
      <c r="AC117" s="311"/>
      <c r="AD117" s="311"/>
      <c r="AE117" s="311"/>
      <c r="AF117" s="311"/>
      <c r="AG117" s="311"/>
      <c r="AH117" s="311"/>
      <c r="AI117" s="311"/>
      <c r="AJ117" s="311"/>
      <c r="AK117" s="311"/>
      <c r="AL117" s="311"/>
      <c r="AM117" s="311"/>
    </row>
    <row r="118" spans="1:39" ht="15.75" customHeight="1">
      <c r="A118" s="1566">
        <v>78</v>
      </c>
      <c r="B118" s="1882"/>
      <c r="C118" s="307"/>
      <c r="D118" s="510"/>
      <c r="E118" s="674"/>
      <c r="F118" s="286"/>
      <c r="G118" s="337"/>
      <c r="H118" s="274"/>
      <c r="I118" s="307"/>
      <c r="J118" s="307"/>
      <c r="K118" s="275"/>
      <c r="L118" s="307"/>
      <c r="M118" s="278"/>
      <c r="N118" s="315"/>
      <c r="O118" s="278"/>
      <c r="P118" s="279"/>
      <c r="Q118" s="272"/>
      <c r="R118" s="79"/>
      <c r="S118" s="285"/>
      <c r="T118" s="317"/>
      <c r="U118" s="317"/>
      <c r="V118" s="285"/>
      <c r="W118" s="3"/>
      <c r="X118" s="282">
        <f t="shared" ca="1" si="30"/>
        <v>126</v>
      </c>
      <c r="Y118" s="382"/>
      <c r="Z118" s="382"/>
      <c r="AA118" s="311"/>
      <c r="AB118" s="311"/>
      <c r="AC118" s="311"/>
      <c r="AD118" s="311"/>
      <c r="AE118" s="311"/>
      <c r="AF118" s="311"/>
      <c r="AG118" s="311"/>
      <c r="AH118" s="311"/>
      <c r="AI118" s="311"/>
      <c r="AJ118" s="311"/>
      <c r="AK118" s="311"/>
      <c r="AL118" s="311"/>
      <c r="AM118" s="311"/>
    </row>
    <row r="119" spans="1:39" ht="15.75" customHeight="1">
      <c r="A119" s="1566">
        <v>79</v>
      </c>
      <c r="B119" s="1583"/>
      <c r="C119" s="275"/>
      <c r="D119" s="1284"/>
      <c r="E119" s="274"/>
      <c r="F119" s="2105"/>
      <c r="G119" s="274"/>
      <c r="H119" s="274"/>
      <c r="I119" s="275"/>
      <c r="J119" s="284"/>
      <c r="K119" s="275"/>
      <c r="L119" s="275"/>
      <c r="M119" s="272"/>
      <c r="N119" s="272"/>
      <c r="O119" s="272"/>
      <c r="P119" s="2126"/>
      <c r="Q119" s="302"/>
      <c r="R119" s="79"/>
      <c r="S119" s="485"/>
      <c r="T119" s="485"/>
      <c r="U119" s="952"/>
      <c r="V119" s="382"/>
      <c r="W119" s="382"/>
      <c r="X119" s="282">
        <f t="shared" ca="1" si="30"/>
        <v>126</v>
      </c>
      <c r="Y119" s="382"/>
      <c r="Z119" s="382"/>
      <c r="AA119" s="311"/>
      <c r="AB119" s="311"/>
      <c r="AC119" s="311"/>
      <c r="AD119" s="311"/>
      <c r="AE119" s="311"/>
      <c r="AF119" s="311"/>
      <c r="AG119" s="311"/>
      <c r="AH119" s="311"/>
      <c r="AI119" s="311"/>
      <c r="AJ119" s="311"/>
      <c r="AK119" s="311"/>
      <c r="AL119" s="311"/>
      <c r="AM119" s="311"/>
    </row>
    <row r="120" spans="1:39" ht="15.75" customHeight="1">
      <c r="A120" s="1566">
        <v>80</v>
      </c>
      <c r="B120" s="1583"/>
      <c r="C120" s="275"/>
      <c r="D120" s="1567"/>
      <c r="E120" s="303"/>
      <c r="F120" s="2105"/>
      <c r="G120" s="303"/>
      <c r="H120" s="274"/>
      <c r="I120" s="275"/>
      <c r="J120" s="275"/>
      <c r="K120" s="275"/>
      <c r="L120" s="274"/>
      <c r="M120" s="272"/>
      <c r="N120" s="272"/>
      <c r="O120" s="272"/>
      <c r="P120" s="278"/>
      <c r="Q120" s="279"/>
      <c r="R120" s="79"/>
      <c r="S120" s="485"/>
      <c r="T120" s="952"/>
      <c r="U120" s="952"/>
      <c r="V120" s="382"/>
      <c r="W120" s="382"/>
      <c r="X120" s="282">
        <f t="shared" ca="1" si="30"/>
        <v>126</v>
      </c>
      <c r="Y120" s="3"/>
      <c r="Z120" s="79"/>
      <c r="AB120" s="311">
        <f t="shared" ref="AB120:AB121" ca="1" si="31">INT((TODAY()-M120)/365)</f>
        <v>126</v>
      </c>
    </row>
    <row r="121" spans="1:39" ht="15.75" customHeight="1">
      <c r="A121" s="1566">
        <v>81</v>
      </c>
      <c r="B121" s="1882"/>
      <c r="C121" s="307"/>
      <c r="D121" s="2091"/>
      <c r="E121" s="303"/>
      <c r="F121" s="2090"/>
      <c r="G121" s="337"/>
      <c r="H121" s="303"/>
      <c r="I121" s="307"/>
      <c r="J121" s="307"/>
      <c r="K121" s="275"/>
      <c r="L121" s="303"/>
      <c r="M121" s="278"/>
      <c r="N121" s="315"/>
      <c r="O121" s="278"/>
      <c r="P121" s="279"/>
      <c r="Q121" s="272"/>
      <c r="R121" s="285"/>
      <c r="S121" s="285"/>
      <c r="T121" s="317"/>
      <c r="U121" s="317"/>
      <c r="V121" s="285"/>
      <c r="W121" s="3"/>
      <c r="X121" s="3"/>
      <c r="Y121" s="3"/>
      <c r="Z121" s="79"/>
      <c r="AB121" s="311">
        <f t="shared" ca="1" si="31"/>
        <v>126</v>
      </c>
    </row>
    <row r="122" spans="1:39" ht="15.75" customHeight="1">
      <c r="A122" s="1566">
        <v>82</v>
      </c>
      <c r="B122" s="1882"/>
      <c r="C122" s="307"/>
      <c r="D122" s="510"/>
      <c r="E122" s="303"/>
      <c r="F122" s="2090"/>
      <c r="G122" s="337"/>
      <c r="H122" s="303"/>
      <c r="I122" s="307"/>
      <c r="J122" s="307"/>
      <c r="K122" s="275"/>
      <c r="L122" s="303"/>
      <c r="M122" s="278"/>
      <c r="N122" s="315"/>
      <c r="O122" s="278"/>
      <c r="P122" s="302"/>
      <c r="Q122" s="302"/>
      <c r="R122" s="317"/>
      <c r="S122" s="285"/>
      <c r="T122" s="317"/>
      <c r="U122" s="317"/>
      <c r="V122" s="285"/>
      <c r="W122" s="3"/>
      <c r="X122" s="3"/>
      <c r="Y122" s="382"/>
      <c r="Z122" s="382"/>
      <c r="AA122" s="311"/>
      <c r="AB122" s="311"/>
      <c r="AC122" s="311"/>
      <c r="AD122" s="311"/>
      <c r="AE122" s="311"/>
      <c r="AF122" s="311"/>
      <c r="AG122" s="311"/>
      <c r="AH122" s="311"/>
      <c r="AI122" s="311"/>
      <c r="AJ122" s="311"/>
      <c r="AK122" s="311"/>
      <c r="AL122" s="311"/>
      <c r="AM122" s="311"/>
    </row>
    <row r="123" spans="1:39" ht="15.75" customHeight="1">
      <c r="A123" s="1566">
        <v>83</v>
      </c>
      <c r="B123" s="1583"/>
      <c r="C123" s="275"/>
      <c r="D123" s="1567"/>
      <c r="E123" s="303"/>
      <c r="F123" s="2105"/>
      <c r="G123" s="303"/>
      <c r="H123" s="274"/>
      <c r="I123" s="275"/>
      <c r="J123" s="284"/>
      <c r="K123" s="275"/>
      <c r="L123" s="275"/>
      <c r="M123" s="272"/>
      <c r="N123" s="272"/>
      <c r="O123" s="272"/>
      <c r="P123" s="278"/>
      <c r="Q123" s="272"/>
      <c r="R123" s="79"/>
      <c r="S123" s="485"/>
      <c r="T123" s="952"/>
      <c r="U123" s="952"/>
      <c r="V123" s="382"/>
      <c r="W123" s="382"/>
      <c r="X123" s="282">
        <f t="shared" ref="X123:X130" ca="1" si="32">INT((TODAY()-M123)/365)</f>
        <v>126</v>
      </c>
      <c r="Y123" s="382"/>
      <c r="Z123" s="382"/>
      <c r="AA123" s="31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1"/>
      <c r="AM123" s="311"/>
    </row>
    <row r="124" spans="1:39" ht="15.75" customHeight="1">
      <c r="A124" s="1566">
        <v>84</v>
      </c>
      <c r="B124" s="1583"/>
      <c r="C124" s="275"/>
      <c r="D124" s="1284"/>
      <c r="E124" s="274"/>
      <c r="F124" s="2105"/>
      <c r="G124" s="274"/>
      <c r="H124" s="274"/>
      <c r="I124" s="275"/>
      <c r="J124" s="275"/>
      <c r="K124" s="275"/>
      <c r="L124" s="275"/>
      <c r="M124" s="272"/>
      <c r="N124" s="272"/>
      <c r="O124" s="272"/>
      <c r="P124" s="279"/>
      <c r="Q124" s="302"/>
      <c r="R124" s="79"/>
      <c r="S124" s="485"/>
      <c r="T124" s="952"/>
      <c r="U124" s="952"/>
      <c r="V124" s="382"/>
      <c r="W124" s="382"/>
      <c r="X124" s="282">
        <f t="shared" ca="1" si="32"/>
        <v>126</v>
      </c>
      <c r="Y124" s="79"/>
      <c r="Z124" s="79"/>
    </row>
    <row r="125" spans="1:39" ht="15.75" customHeight="1">
      <c r="A125" s="1566">
        <v>85</v>
      </c>
      <c r="B125" s="1583"/>
      <c r="C125" s="275"/>
      <c r="D125" s="1284"/>
      <c r="E125" s="303"/>
      <c r="F125" s="2105"/>
      <c r="G125" s="303"/>
      <c r="H125" s="274"/>
      <c r="I125" s="275"/>
      <c r="J125" s="275"/>
      <c r="K125" s="275"/>
      <c r="L125" s="275"/>
      <c r="M125" s="272"/>
      <c r="N125" s="272"/>
      <c r="O125" s="272"/>
      <c r="P125" s="279"/>
      <c r="Q125" s="272"/>
      <c r="R125" s="79"/>
      <c r="S125" s="485"/>
      <c r="T125" s="952"/>
      <c r="U125" s="952"/>
      <c r="V125" s="382"/>
      <c r="W125" s="382"/>
      <c r="X125" s="282">
        <f t="shared" ca="1" si="32"/>
        <v>126</v>
      </c>
      <c r="Y125" s="79"/>
      <c r="Z125" s="79"/>
    </row>
    <row r="126" spans="1:39" ht="15.75" customHeight="1">
      <c r="A126" s="1566">
        <v>86</v>
      </c>
      <c r="B126" s="1734"/>
      <c r="C126" s="275"/>
      <c r="D126" s="1284"/>
      <c r="E126" s="274"/>
      <c r="F126" s="2105"/>
      <c r="G126" s="274"/>
      <c r="H126" s="274"/>
      <c r="I126" s="275"/>
      <c r="J126" s="275"/>
      <c r="K126" s="275"/>
      <c r="L126" s="275"/>
      <c r="M126" s="272"/>
      <c r="N126" s="272"/>
      <c r="O126" s="272"/>
      <c r="P126" s="279"/>
      <c r="Q126" s="302"/>
      <c r="R126" s="79"/>
      <c r="S126" s="485"/>
      <c r="T126" s="952"/>
      <c r="U126" s="952"/>
      <c r="V126" s="382"/>
      <c r="W126" s="382"/>
      <c r="X126" s="282">
        <f t="shared" ca="1" si="32"/>
        <v>126</v>
      </c>
      <c r="Y126" s="79"/>
      <c r="Z126" s="79"/>
    </row>
    <row r="127" spans="1:39" ht="15.75" customHeight="1">
      <c r="A127" s="1566">
        <v>87</v>
      </c>
      <c r="B127" s="1583"/>
      <c r="C127" s="275"/>
      <c r="D127" s="1284"/>
      <c r="E127" s="303"/>
      <c r="F127" s="2105"/>
      <c r="G127" s="303"/>
      <c r="H127" s="274"/>
      <c r="I127" s="275"/>
      <c r="J127" s="275"/>
      <c r="K127" s="275"/>
      <c r="L127" s="274"/>
      <c r="M127" s="272"/>
      <c r="N127" s="272"/>
      <c r="O127" s="272"/>
      <c r="P127" s="279"/>
      <c r="Q127" s="272"/>
      <c r="R127" s="79"/>
      <c r="S127" s="485"/>
      <c r="T127" s="952"/>
      <c r="U127" s="952"/>
      <c r="V127" s="382"/>
      <c r="W127" s="382"/>
      <c r="X127" s="282">
        <f t="shared" ca="1" si="32"/>
        <v>126</v>
      </c>
      <c r="Y127" s="382"/>
      <c r="Z127" s="382"/>
      <c r="AA127" s="382"/>
      <c r="AB127" s="311"/>
      <c r="AC127" s="311"/>
      <c r="AD127" s="311"/>
      <c r="AE127" s="311"/>
      <c r="AF127" s="311"/>
      <c r="AG127" s="311"/>
      <c r="AH127" s="311"/>
      <c r="AI127" s="311"/>
      <c r="AJ127" s="311"/>
      <c r="AK127" s="311"/>
      <c r="AL127" s="311"/>
      <c r="AM127" s="311"/>
    </row>
    <row r="128" spans="1:39" ht="15.75" customHeight="1">
      <c r="A128" s="1566">
        <v>88</v>
      </c>
      <c r="B128" s="1583"/>
      <c r="C128" s="275"/>
      <c r="D128" s="1284"/>
      <c r="E128" s="303"/>
      <c r="F128" s="2105"/>
      <c r="G128" s="303"/>
      <c r="H128" s="274"/>
      <c r="I128" s="275"/>
      <c r="J128" s="275"/>
      <c r="K128" s="275"/>
      <c r="L128" s="275"/>
      <c r="M128" s="272"/>
      <c r="N128" s="272"/>
      <c r="O128" s="272"/>
      <c r="P128" s="279"/>
      <c r="Q128" s="272"/>
      <c r="R128" s="79"/>
      <c r="S128" s="485"/>
      <c r="T128" s="952"/>
      <c r="U128" s="952"/>
      <c r="V128" s="382"/>
      <c r="W128" s="382"/>
      <c r="X128" s="282">
        <f t="shared" ca="1" si="32"/>
        <v>126</v>
      </c>
      <c r="Y128" s="382"/>
      <c r="Z128" s="382"/>
      <c r="AA128" s="311"/>
      <c r="AB128" s="311"/>
      <c r="AC128" s="311"/>
      <c r="AD128" s="311"/>
      <c r="AE128" s="311"/>
      <c r="AF128" s="311"/>
      <c r="AG128" s="311"/>
      <c r="AH128" s="311"/>
      <c r="AI128" s="311"/>
      <c r="AJ128" s="311"/>
      <c r="AK128" s="311"/>
      <c r="AL128" s="311"/>
      <c r="AM128" s="311"/>
    </row>
    <row r="129" spans="1:39" ht="15.75">
      <c r="A129" s="1566">
        <v>89</v>
      </c>
      <c r="B129" s="1583"/>
      <c r="C129" s="275"/>
      <c r="D129" s="1284"/>
      <c r="E129" s="274"/>
      <c r="F129" s="2105"/>
      <c r="G129" s="274"/>
      <c r="H129" s="274"/>
      <c r="I129" s="275"/>
      <c r="J129" s="275"/>
      <c r="K129" s="275"/>
      <c r="L129" s="274"/>
      <c r="M129" s="272"/>
      <c r="N129" s="272"/>
      <c r="O129" s="272"/>
      <c r="P129" s="272"/>
      <c r="Q129" s="272"/>
      <c r="R129" s="79"/>
      <c r="S129" s="79"/>
      <c r="T129" s="286"/>
      <c r="U129" s="286"/>
      <c r="V129" s="382"/>
      <c r="W129" s="382"/>
      <c r="X129" s="282">
        <f t="shared" ca="1" si="32"/>
        <v>126</v>
      </c>
      <c r="Y129" s="382"/>
      <c r="Z129" s="382"/>
      <c r="AA129" s="311"/>
      <c r="AB129" s="311"/>
      <c r="AC129" s="311"/>
      <c r="AD129" s="311"/>
      <c r="AE129" s="311"/>
      <c r="AF129" s="311"/>
      <c r="AG129" s="311"/>
      <c r="AH129" s="311"/>
      <c r="AI129" s="311"/>
      <c r="AJ129" s="311"/>
      <c r="AK129" s="311"/>
      <c r="AL129" s="311"/>
      <c r="AM129" s="311"/>
    </row>
    <row r="130" spans="1:39" ht="15.75">
      <c r="A130" s="1566">
        <v>90</v>
      </c>
      <c r="B130" s="1583"/>
      <c r="C130" s="275"/>
      <c r="D130" s="2093"/>
      <c r="E130" s="303"/>
      <c r="F130" s="2105"/>
      <c r="G130" s="303"/>
      <c r="H130" s="274"/>
      <c r="I130" s="275"/>
      <c r="J130" s="275"/>
      <c r="K130" s="275"/>
      <c r="L130" s="275"/>
      <c r="M130" s="272"/>
      <c r="N130" s="272"/>
      <c r="O130" s="272"/>
      <c r="P130" s="279"/>
      <c r="Q130" s="272"/>
      <c r="R130" s="79"/>
      <c r="S130" s="485"/>
      <c r="T130" s="952"/>
      <c r="U130" s="952"/>
      <c r="V130" s="382"/>
      <c r="W130" s="382"/>
      <c r="X130" s="282">
        <f t="shared" ca="1" si="32"/>
        <v>126</v>
      </c>
      <c r="Y130" s="3"/>
      <c r="Z130" s="79"/>
      <c r="AB130" s="311">
        <f ca="1">INT((TODAY()-M130)/365)</f>
        <v>126</v>
      </c>
    </row>
    <row r="131" spans="1:39" ht="15.75" customHeight="1">
      <c r="A131" s="1566">
        <v>91</v>
      </c>
      <c r="B131" s="1882"/>
      <c r="C131" s="307"/>
      <c r="D131" s="2091"/>
      <c r="E131" s="366"/>
      <c r="F131" s="2090"/>
      <c r="G131" s="337"/>
      <c r="H131" s="303"/>
      <c r="I131" s="307"/>
      <c r="J131" s="307"/>
      <c r="K131" s="275"/>
      <c r="L131" s="303"/>
      <c r="M131" s="278"/>
      <c r="N131" s="315"/>
      <c r="O131" s="278"/>
      <c r="P131" s="302"/>
      <c r="Q131" s="302"/>
      <c r="R131" s="285"/>
      <c r="S131" s="285"/>
      <c r="T131" s="317"/>
      <c r="U131" s="79"/>
      <c r="V131" s="285"/>
      <c r="W131" s="3"/>
      <c r="X131" s="3"/>
      <c r="Y131" s="79"/>
      <c r="Z131" s="79"/>
      <c r="AF131" s="311"/>
      <c r="AG131" s="311"/>
      <c r="AH131" s="311"/>
      <c r="AI131" s="311"/>
      <c r="AJ131" s="311"/>
      <c r="AK131" s="311"/>
      <c r="AL131" s="311"/>
      <c r="AM131" s="311"/>
    </row>
    <row r="132" spans="1:39" ht="15.75">
      <c r="A132" s="1566">
        <v>92</v>
      </c>
      <c r="B132" s="1583"/>
      <c r="C132" s="275"/>
      <c r="D132" s="1284"/>
      <c r="E132" s="303"/>
      <c r="F132" s="2105"/>
      <c r="G132" s="303"/>
      <c r="H132" s="274"/>
      <c r="I132" s="275"/>
      <c r="J132" s="275"/>
      <c r="K132" s="275"/>
      <c r="L132" s="274"/>
      <c r="M132" s="272"/>
      <c r="N132" s="272"/>
      <c r="O132" s="272"/>
      <c r="P132" s="278"/>
      <c r="Q132" s="279"/>
      <c r="R132" s="79"/>
      <c r="S132" s="485"/>
      <c r="T132" s="485"/>
      <c r="U132" s="952"/>
      <c r="V132" s="382"/>
      <c r="W132" s="382"/>
      <c r="X132" s="282">
        <f t="shared" ref="X132:X133" ca="1" si="33">INT((TODAY()-M132)/365)</f>
        <v>126</v>
      </c>
      <c r="Y132" s="79"/>
      <c r="Z132" s="79"/>
      <c r="AF132" s="311"/>
      <c r="AG132" s="311"/>
      <c r="AH132" s="311"/>
      <c r="AI132" s="311"/>
      <c r="AJ132" s="311"/>
      <c r="AK132" s="311"/>
      <c r="AL132" s="311"/>
      <c r="AM132" s="311"/>
    </row>
    <row r="133" spans="1:39" ht="15.75" customHeight="1">
      <c r="A133" s="1566">
        <v>93</v>
      </c>
      <c r="B133" s="1583"/>
      <c r="C133" s="275"/>
      <c r="D133" s="1284"/>
      <c r="E133" s="274"/>
      <c r="F133" s="2105"/>
      <c r="G133" s="274"/>
      <c r="H133" s="274"/>
      <c r="I133" s="275"/>
      <c r="J133" s="275"/>
      <c r="K133" s="275"/>
      <c r="L133" s="275"/>
      <c r="M133" s="272"/>
      <c r="N133" s="272"/>
      <c r="O133" s="272"/>
      <c r="P133" s="279"/>
      <c r="Q133" s="272"/>
      <c r="R133" s="79"/>
      <c r="S133" s="485"/>
      <c r="T133" s="952"/>
      <c r="U133" s="952"/>
      <c r="V133" s="382"/>
      <c r="W133" s="382"/>
      <c r="X133" s="282">
        <f t="shared" ca="1" si="33"/>
        <v>126</v>
      </c>
      <c r="Y133" s="79"/>
      <c r="Z133" s="79"/>
      <c r="AF133" s="311"/>
      <c r="AG133" s="311"/>
      <c r="AH133" s="311"/>
      <c r="AI133" s="311"/>
      <c r="AJ133" s="311"/>
      <c r="AK133" s="311"/>
      <c r="AL133" s="311"/>
      <c r="AM133" s="311"/>
    </row>
    <row r="134" spans="1:39" ht="15.75" customHeight="1">
      <c r="A134" s="1566">
        <v>94</v>
      </c>
      <c r="B134" s="1072"/>
      <c r="C134" s="307"/>
      <c r="D134" s="2091"/>
      <c r="E134" s="366"/>
      <c r="F134" s="2090"/>
      <c r="G134" s="337"/>
      <c r="H134" s="303"/>
      <c r="I134" s="307"/>
      <c r="J134" s="307"/>
      <c r="K134" s="275"/>
      <c r="L134" s="307"/>
      <c r="M134" s="278"/>
      <c r="N134" s="315"/>
      <c r="O134" s="278"/>
      <c r="P134" s="302"/>
      <c r="Q134" s="272"/>
      <c r="R134" s="317"/>
      <c r="S134" s="285"/>
      <c r="T134" s="317"/>
      <c r="U134" s="317"/>
      <c r="V134" s="285"/>
      <c r="W134" s="3"/>
      <c r="X134" s="3"/>
      <c r="Y134" s="3"/>
      <c r="Z134" s="79"/>
      <c r="AA134" s="79"/>
      <c r="AB134" s="311">
        <f t="shared" ref="AB134:AB136" ca="1" si="34">INT((TODAY()-M134)/365)</f>
        <v>126</v>
      </c>
    </row>
    <row r="135" spans="1:39" ht="15.75" customHeight="1">
      <c r="A135" s="1566">
        <v>95</v>
      </c>
      <c r="B135" s="1072"/>
      <c r="C135" s="307"/>
      <c r="D135" s="2091"/>
      <c r="E135" s="303"/>
      <c r="F135" s="2090"/>
      <c r="G135" s="337"/>
      <c r="H135" s="303"/>
      <c r="I135" s="307"/>
      <c r="J135" s="307"/>
      <c r="K135" s="275"/>
      <c r="L135" s="274"/>
      <c r="M135" s="278"/>
      <c r="N135" s="315"/>
      <c r="O135" s="278"/>
      <c r="P135" s="302"/>
      <c r="Q135" s="302"/>
      <c r="R135" s="285"/>
      <c r="S135" s="317"/>
      <c r="T135" s="317"/>
      <c r="U135" s="317"/>
      <c r="V135" s="285"/>
      <c r="W135" s="3"/>
      <c r="X135" s="3"/>
      <c r="Y135" s="3"/>
      <c r="Z135" s="79"/>
      <c r="AB135" s="311">
        <f t="shared" ca="1" si="34"/>
        <v>126</v>
      </c>
      <c r="AC135" s="311"/>
      <c r="AD135" s="311"/>
      <c r="AE135" s="311"/>
      <c r="AF135" s="311"/>
      <c r="AG135" s="311"/>
      <c r="AH135" s="311"/>
      <c r="AI135" s="311"/>
      <c r="AJ135" s="311"/>
      <c r="AK135" s="311"/>
      <c r="AL135" s="311"/>
      <c r="AM135" s="311"/>
    </row>
    <row r="136" spans="1:39" ht="15.75" customHeight="1">
      <c r="A136" s="1566">
        <v>96</v>
      </c>
      <c r="B136" s="1882"/>
      <c r="C136" s="307"/>
      <c r="D136" s="510"/>
      <c r="E136" s="366"/>
      <c r="F136" s="2090"/>
      <c r="G136" s="337"/>
      <c r="H136" s="303"/>
      <c r="I136" s="307"/>
      <c r="J136" s="303"/>
      <c r="K136" s="275"/>
      <c r="L136" s="303"/>
      <c r="M136" s="278"/>
      <c r="N136" s="278"/>
      <c r="O136" s="278"/>
      <c r="P136" s="279"/>
      <c r="Q136" s="302"/>
      <c r="R136" s="285"/>
      <c r="S136" s="285"/>
      <c r="T136" s="285"/>
      <c r="U136" s="317"/>
      <c r="V136" s="285"/>
      <c r="W136" s="3"/>
      <c r="X136" s="3"/>
      <c r="Y136" s="3"/>
      <c r="Z136" s="79"/>
      <c r="AB136" s="311">
        <f t="shared" ca="1" si="34"/>
        <v>126</v>
      </c>
    </row>
    <row r="137" spans="1:39" ht="15.75" customHeight="1">
      <c r="A137" s="2104">
        <v>1</v>
      </c>
      <c r="B137" s="1583"/>
      <c r="C137" s="275"/>
      <c r="D137" s="1567"/>
      <c r="E137" s="303"/>
      <c r="F137" s="286"/>
      <c r="G137" s="303"/>
      <c r="H137" s="2098"/>
      <c r="I137" s="275"/>
      <c r="J137" s="284"/>
      <c r="K137" s="275"/>
      <c r="L137" s="275"/>
      <c r="M137" s="272"/>
      <c r="N137" s="272"/>
      <c r="O137" s="272"/>
      <c r="P137" s="279"/>
      <c r="Q137" s="302"/>
      <c r="R137" s="79"/>
      <c r="S137" s="998"/>
      <c r="T137" s="952"/>
      <c r="U137" s="485"/>
      <c r="V137" s="382"/>
      <c r="W137" s="382"/>
      <c r="X137" s="282">
        <f t="shared" ref="X137:X138" ca="1" si="35">INT((TODAY()-M137)/365)</f>
        <v>126</v>
      </c>
      <c r="Y137" s="382"/>
      <c r="Z137" s="382"/>
      <c r="AA137" s="311"/>
      <c r="AB137" s="311"/>
      <c r="AC137" s="311"/>
      <c r="AD137" s="311"/>
      <c r="AE137" s="311"/>
      <c r="AF137" s="311"/>
      <c r="AG137" s="311"/>
      <c r="AH137" s="311"/>
      <c r="AI137" s="311"/>
      <c r="AJ137" s="311"/>
      <c r="AK137" s="311"/>
      <c r="AL137" s="311"/>
      <c r="AM137" s="311"/>
    </row>
    <row r="138" spans="1:39" ht="15.75" customHeight="1">
      <c r="A138" s="2104">
        <v>2</v>
      </c>
      <c r="B138" s="1583"/>
      <c r="C138" s="275"/>
      <c r="D138" s="1567"/>
      <c r="E138" s="274"/>
      <c r="F138" s="286"/>
      <c r="G138" s="274"/>
      <c r="H138" s="2098"/>
      <c r="I138" s="275"/>
      <c r="J138" s="284"/>
      <c r="K138" s="275"/>
      <c r="L138" s="303"/>
      <c r="M138" s="272"/>
      <c r="N138" s="272"/>
      <c r="O138" s="272"/>
      <c r="P138" s="279"/>
      <c r="Q138" s="302"/>
      <c r="R138" s="998"/>
      <c r="S138" s="952"/>
      <c r="T138" s="952"/>
      <c r="U138" s="485"/>
      <c r="V138" s="382"/>
      <c r="W138" s="382"/>
      <c r="X138" s="282">
        <f t="shared" ca="1" si="35"/>
        <v>126</v>
      </c>
      <c r="Y138" s="382"/>
      <c r="Z138" s="382"/>
      <c r="AA138" s="311"/>
      <c r="AB138" s="311"/>
      <c r="AC138" s="311"/>
      <c r="AD138" s="311"/>
      <c r="AE138" s="311"/>
      <c r="AF138" s="311"/>
      <c r="AG138" s="311"/>
      <c r="AH138" s="311"/>
      <c r="AI138" s="311"/>
      <c r="AJ138" s="311"/>
      <c r="AK138" s="311"/>
      <c r="AL138" s="311"/>
      <c r="AM138" s="311"/>
    </row>
    <row r="139" spans="1:39" ht="15.75" customHeight="1">
      <c r="A139" s="2104">
        <v>4</v>
      </c>
      <c r="B139" s="1583"/>
      <c r="C139" s="274"/>
      <c r="D139" s="1284"/>
      <c r="E139" s="620"/>
      <c r="F139" s="1700"/>
      <c r="G139" s="284"/>
      <c r="H139" s="1701"/>
      <c r="I139" s="275"/>
      <c r="J139" s="284"/>
      <c r="K139" s="275"/>
      <c r="L139" s="275"/>
      <c r="M139" s="272"/>
      <c r="N139" s="272"/>
      <c r="O139" s="272"/>
      <c r="P139" s="279"/>
      <c r="Q139" s="302"/>
      <c r="R139" s="952"/>
      <c r="S139" s="952"/>
      <c r="T139" s="485"/>
      <c r="U139" s="485"/>
      <c r="V139" s="285"/>
      <c r="W139" s="382"/>
      <c r="X139" s="79"/>
      <c r="Y139" s="1586"/>
      <c r="Z139" s="79"/>
      <c r="AA139" s="311"/>
      <c r="AB139" s="208">
        <f t="shared" ref="AB139:AB144" ca="1" si="36">INT((TODAY()-M139)/365)</f>
        <v>126</v>
      </c>
    </row>
    <row r="140" spans="1:39" ht="15.75" customHeight="1">
      <c r="A140" s="2104">
        <v>5</v>
      </c>
      <c r="B140" s="401"/>
      <c r="C140" s="284"/>
      <c r="D140" s="543"/>
      <c r="E140" s="620"/>
      <c r="F140" s="1700"/>
      <c r="G140" s="284"/>
      <c r="H140" s="1701"/>
      <c r="I140" s="391"/>
      <c r="J140" s="391"/>
      <c r="K140" s="275"/>
      <c r="L140" s="274"/>
      <c r="M140" s="390"/>
      <c r="N140" s="289"/>
      <c r="O140" s="392"/>
      <c r="P140" s="279"/>
      <c r="Q140" s="302"/>
      <c r="R140" s="403"/>
      <c r="S140" s="403"/>
      <c r="T140" s="393"/>
      <c r="U140" s="393"/>
      <c r="V140" s="285"/>
      <c r="W140" s="395"/>
      <c r="X140" s="79"/>
      <c r="Y140" s="395"/>
      <c r="Z140" s="79"/>
      <c r="AA140" s="384"/>
      <c r="AB140" s="208">
        <f t="shared" ca="1" si="36"/>
        <v>126</v>
      </c>
    </row>
    <row r="141" spans="1:39" ht="15.75" customHeight="1">
      <c r="A141" s="2104">
        <v>6</v>
      </c>
      <c r="B141" s="1583"/>
      <c r="C141" s="274"/>
      <c r="D141" s="1284"/>
      <c r="E141" s="620"/>
      <c r="F141" s="1700"/>
      <c r="G141" s="284"/>
      <c r="H141" s="1701"/>
      <c r="I141" s="275"/>
      <c r="J141" s="275"/>
      <c r="K141" s="275"/>
      <c r="L141" s="275"/>
      <c r="M141" s="272"/>
      <c r="N141" s="272"/>
      <c r="O141" s="272"/>
      <c r="P141" s="279"/>
      <c r="Q141" s="302"/>
      <c r="R141" s="952"/>
      <c r="S141" s="952"/>
      <c r="T141" s="485"/>
      <c r="U141" s="485"/>
      <c r="V141" s="285"/>
      <c r="W141" s="382"/>
      <c r="X141" s="79"/>
      <c r="Y141" s="1586"/>
      <c r="Z141" s="79"/>
      <c r="AA141" s="311"/>
      <c r="AB141" s="208">
        <f t="shared" ca="1" si="36"/>
        <v>126</v>
      </c>
      <c r="AC141" s="384"/>
      <c r="AD141" s="384"/>
      <c r="AE141" s="384"/>
      <c r="AF141" s="384"/>
      <c r="AG141" s="384"/>
      <c r="AH141" s="384"/>
      <c r="AI141" s="384"/>
      <c r="AJ141" s="384"/>
      <c r="AK141" s="384"/>
      <c r="AL141" s="384"/>
      <c r="AM141" s="384"/>
    </row>
    <row r="142" spans="1:39" ht="14.25" customHeight="1">
      <c r="A142" s="2104">
        <v>7</v>
      </c>
      <c r="B142" s="1583"/>
      <c r="C142" s="274"/>
      <c r="D142" s="1284"/>
      <c r="E142" s="620"/>
      <c r="F142" s="1690"/>
      <c r="G142" s="274"/>
      <c r="H142" s="1584"/>
      <c r="I142" s="275"/>
      <c r="J142" s="284"/>
      <c r="K142" s="275"/>
      <c r="L142" s="275"/>
      <c r="M142" s="272"/>
      <c r="N142" s="272"/>
      <c r="O142" s="272"/>
      <c r="P142" s="279"/>
      <c r="Q142" s="302"/>
      <c r="R142" s="952"/>
      <c r="S142" s="952"/>
      <c r="T142" s="485"/>
      <c r="U142" s="485"/>
      <c r="V142" s="285"/>
      <c r="W142" s="382"/>
      <c r="X142" s="382"/>
      <c r="Y142" s="3"/>
      <c r="Z142" s="79"/>
      <c r="AA142" s="311"/>
      <c r="AB142" s="311">
        <f t="shared" ca="1" si="36"/>
        <v>126</v>
      </c>
    </row>
    <row r="143" spans="1:39" ht="15.75" customHeight="1">
      <c r="A143" s="2104">
        <v>8</v>
      </c>
      <c r="B143" s="1882"/>
      <c r="C143" s="303"/>
      <c r="D143" s="2091"/>
      <c r="E143" s="18"/>
      <c r="F143" s="1690"/>
      <c r="G143" s="337"/>
      <c r="H143" s="1584"/>
      <c r="I143" s="307"/>
      <c r="J143" s="307"/>
      <c r="K143" s="275"/>
      <c r="L143" s="303"/>
      <c r="M143" s="315"/>
      <c r="N143" s="315"/>
      <c r="O143" s="315"/>
      <c r="P143" s="272"/>
      <c r="Q143" s="272"/>
      <c r="R143" s="317"/>
      <c r="S143" s="317"/>
      <c r="T143" s="317"/>
      <c r="U143" s="285"/>
      <c r="V143" s="285"/>
      <c r="W143" s="3"/>
      <c r="X143" s="282">
        <f ca="1">INT((TODAY()-M143)/365)</f>
        <v>126</v>
      </c>
      <c r="Y143" s="3"/>
      <c r="Z143" s="79"/>
      <c r="AB143" s="311">
        <f t="shared" ca="1" si="36"/>
        <v>126</v>
      </c>
      <c r="AC143" s="311"/>
      <c r="AD143" s="311"/>
      <c r="AE143" s="311"/>
      <c r="AF143" s="311"/>
      <c r="AG143" s="311"/>
      <c r="AH143" s="311"/>
      <c r="AI143" s="311"/>
      <c r="AJ143" s="311"/>
      <c r="AK143" s="311"/>
      <c r="AL143" s="311"/>
      <c r="AM143" s="311"/>
    </row>
    <row r="144" spans="1:39" ht="15.75" customHeight="1">
      <c r="A144" s="2104">
        <v>11</v>
      </c>
      <c r="B144" s="401"/>
      <c r="C144" s="284"/>
      <c r="D144" s="543"/>
      <c r="E144" s="18"/>
      <c r="F144" s="1700"/>
      <c r="G144" s="284"/>
      <c r="H144" s="1701"/>
      <c r="I144" s="284"/>
      <c r="J144" s="284"/>
      <c r="K144" s="275"/>
      <c r="L144" s="274"/>
      <c r="M144" s="390"/>
      <c r="N144" s="289"/>
      <c r="O144" s="392"/>
      <c r="P144" s="279"/>
      <c r="Q144" s="302"/>
      <c r="R144" s="403"/>
      <c r="S144" s="403"/>
      <c r="T144" s="393"/>
      <c r="U144" s="393"/>
      <c r="V144" s="383"/>
      <c r="W144" s="395"/>
      <c r="X144" s="79"/>
      <c r="Y144" s="395"/>
      <c r="Z144" s="79"/>
      <c r="AA144" s="384"/>
      <c r="AB144" s="208">
        <f t="shared" ca="1" si="36"/>
        <v>126</v>
      </c>
    </row>
    <row r="145" spans="1:39" ht="15.75" customHeight="1">
      <c r="A145" s="2104">
        <v>12</v>
      </c>
      <c r="B145" s="1583"/>
      <c r="C145" s="275"/>
      <c r="D145" s="1567"/>
      <c r="E145" s="274"/>
      <c r="F145" s="286"/>
      <c r="G145" s="274"/>
      <c r="H145" s="2098"/>
      <c r="I145" s="275"/>
      <c r="J145" s="284"/>
      <c r="K145" s="275"/>
      <c r="L145" s="274"/>
      <c r="M145" s="272"/>
      <c r="N145" s="272"/>
      <c r="O145" s="272"/>
      <c r="P145" s="279"/>
      <c r="Q145" s="302"/>
      <c r="R145" s="79"/>
      <c r="S145" s="952"/>
      <c r="T145" s="485"/>
      <c r="U145" s="485"/>
      <c r="V145" s="382"/>
      <c r="W145" s="382"/>
      <c r="X145" s="282">
        <f t="shared" ref="X145:X147" ca="1" si="37">INT((TODAY()-M145)/365)</f>
        <v>126</v>
      </c>
      <c r="Y145" s="79"/>
      <c r="Z145" s="3"/>
      <c r="AA145" s="79"/>
    </row>
    <row r="146" spans="1:39" ht="15.75" customHeight="1">
      <c r="A146" s="2104">
        <v>13</v>
      </c>
      <c r="B146" s="1583"/>
      <c r="C146" s="275"/>
      <c r="D146" s="1567"/>
      <c r="E146" s="274"/>
      <c r="F146" s="286"/>
      <c r="G146" s="274"/>
      <c r="H146" s="2098"/>
      <c r="I146" s="275"/>
      <c r="J146" s="275"/>
      <c r="K146" s="275"/>
      <c r="L146" s="274"/>
      <c r="M146" s="272"/>
      <c r="N146" s="272"/>
      <c r="O146" s="272"/>
      <c r="P146" s="272"/>
      <c r="Q146" s="302"/>
      <c r="R146" s="79"/>
      <c r="S146" s="952"/>
      <c r="T146" s="485"/>
      <c r="U146" s="485"/>
      <c r="V146" s="382"/>
      <c r="W146" s="382"/>
      <c r="X146" s="282">
        <f t="shared" ca="1" si="37"/>
        <v>126</v>
      </c>
      <c r="Y146" s="395"/>
      <c r="Z146" s="79"/>
      <c r="AA146" s="384"/>
      <c r="AB146" s="384"/>
      <c r="AC146" s="384"/>
      <c r="AD146" s="384"/>
      <c r="AE146" s="384"/>
      <c r="AF146" s="384"/>
      <c r="AG146" s="384"/>
      <c r="AH146" s="384"/>
      <c r="AI146" s="384"/>
      <c r="AJ146" s="384"/>
      <c r="AK146" s="384"/>
      <c r="AL146" s="384"/>
      <c r="AM146" s="384"/>
    </row>
    <row r="147" spans="1:39" ht="15.75" customHeight="1">
      <c r="A147" s="2104">
        <v>15</v>
      </c>
      <c r="B147" s="1583"/>
      <c r="C147" s="275"/>
      <c r="D147" s="1284"/>
      <c r="E147" s="274"/>
      <c r="F147" s="286"/>
      <c r="G147" s="274"/>
      <c r="H147" s="2098"/>
      <c r="I147" s="275"/>
      <c r="J147" s="284"/>
      <c r="K147" s="275"/>
      <c r="L147" s="275"/>
      <c r="M147" s="272"/>
      <c r="N147" s="272"/>
      <c r="O147" s="272"/>
      <c r="P147" s="279"/>
      <c r="Q147" s="302"/>
      <c r="R147" s="286"/>
      <c r="S147" s="1852"/>
      <c r="T147" s="485"/>
      <c r="U147" s="485"/>
      <c r="V147" s="382"/>
      <c r="W147" s="382"/>
      <c r="X147" s="282">
        <f t="shared" ca="1" si="37"/>
        <v>126</v>
      </c>
      <c r="Y147" s="395"/>
      <c r="Z147" s="79"/>
      <c r="AA147" s="384"/>
    </row>
    <row r="148" spans="1:39" ht="15.75" customHeight="1">
      <c r="A148" s="2104">
        <v>17</v>
      </c>
      <c r="B148" s="1583"/>
      <c r="C148" s="274"/>
      <c r="D148" s="1567"/>
      <c r="E148" s="565"/>
      <c r="F148" s="1690"/>
      <c r="G148" s="284"/>
      <c r="H148" s="2098"/>
      <c r="I148" s="275"/>
      <c r="J148" s="275"/>
      <c r="K148" s="275"/>
      <c r="L148" s="274"/>
      <c r="M148" s="272"/>
      <c r="N148" s="272"/>
      <c r="O148" s="272"/>
      <c r="P148" s="272"/>
      <c r="Q148" s="272"/>
      <c r="R148" s="952"/>
      <c r="S148" s="952"/>
      <c r="T148" s="952"/>
      <c r="U148" s="485"/>
      <c r="V148" s="382"/>
      <c r="W148" s="382"/>
      <c r="X148" s="382"/>
      <c r="Y148" s="382"/>
      <c r="Z148" s="382"/>
      <c r="AA148" s="311"/>
      <c r="AB148" s="311">
        <f ca="1">INT((TODAY()-M148)/365)</f>
        <v>126</v>
      </c>
    </row>
    <row r="149" spans="1:39" ht="15.75" customHeight="1">
      <c r="A149" s="2104">
        <v>19</v>
      </c>
      <c r="B149" s="1583"/>
      <c r="C149" s="275"/>
      <c r="D149" s="1284"/>
      <c r="E149" s="303"/>
      <c r="F149" s="286"/>
      <c r="G149" s="303"/>
      <c r="H149" s="2098"/>
      <c r="I149" s="275"/>
      <c r="J149" s="275"/>
      <c r="K149" s="275"/>
      <c r="L149" s="275"/>
      <c r="M149" s="272"/>
      <c r="N149" s="272"/>
      <c r="O149" s="272"/>
      <c r="P149" s="279"/>
      <c r="Q149" s="302"/>
      <c r="R149" s="79"/>
      <c r="S149" s="952"/>
      <c r="T149" s="952"/>
      <c r="U149" s="485"/>
      <c r="V149" s="382"/>
      <c r="W149" s="382"/>
      <c r="X149" s="282">
        <f t="shared" ref="X149:X150" ca="1" si="38">INT((TODAY()-M149)/365)</f>
        <v>126</v>
      </c>
      <c r="Y149" s="3"/>
      <c r="Z149" s="79"/>
    </row>
    <row r="150" spans="1:39" ht="15.75" customHeight="1">
      <c r="A150" s="2104">
        <v>20</v>
      </c>
      <c r="B150" s="1096"/>
      <c r="C150" s="284"/>
      <c r="D150" s="306"/>
      <c r="E150" s="582"/>
      <c r="F150" s="1700"/>
      <c r="G150" s="284"/>
      <c r="H150" s="1701"/>
      <c r="I150" s="391"/>
      <c r="J150" s="391"/>
      <c r="K150" s="275"/>
      <c r="L150" s="274"/>
      <c r="M150" s="390"/>
      <c r="N150" s="390"/>
      <c r="O150" s="392"/>
      <c r="P150" s="272"/>
      <c r="Q150" s="272"/>
      <c r="R150" s="403"/>
      <c r="S150" s="403"/>
      <c r="T150" s="403"/>
      <c r="U150" s="393"/>
      <c r="V150" s="383"/>
      <c r="W150" s="395"/>
      <c r="X150" s="282">
        <f t="shared" ca="1" si="38"/>
        <v>126</v>
      </c>
      <c r="Y150" s="395"/>
      <c r="Z150" s="79"/>
      <c r="AA150" s="384"/>
      <c r="AB150" s="208">
        <f t="shared" ref="AB150:AB151" ca="1" si="39">INT((TODAY()-M150)/365)</f>
        <v>126</v>
      </c>
      <c r="AC150" s="384"/>
      <c r="AD150" s="384"/>
      <c r="AE150" s="384"/>
      <c r="AF150" s="384"/>
      <c r="AG150" s="384"/>
      <c r="AH150" s="384"/>
      <c r="AI150" s="384"/>
      <c r="AJ150" s="384"/>
      <c r="AK150" s="384"/>
      <c r="AL150" s="384"/>
      <c r="AM150" s="384"/>
    </row>
    <row r="151" spans="1:39" ht="15.75" customHeight="1">
      <c r="A151" s="2104">
        <v>22</v>
      </c>
      <c r="B151" s="1882"/>
      <c r="C151" s="303"/>
      <c r="D151" s="2091"/>
      <c r="E151" s="620"/>
      <c r="F151" s="1690"/>
      <c r="G151" s="337"/>
      <c r="H151" s="1584"/>
      <c r="I151" s="307"/>
      <c r="J151" s="307"/>
      <c r="K151" s="275"/>
      <c r="L151" s="274"/>
      <c r="M151" s="315"/>
      <c r="N151" s="315"/>
      <c r="O151" s="315"/>
      <c r="P151" s="279"/>
      <c r="Q151" s="302"/>
      <c r="R151" s="317"/>
      <c r="S151" s="317"/>
      <c r="T151" s="285"/>
      <c r="U151" s="285"/>
      <c r="V151" s="285"/>
      <c r="W151" s="3"/>
      <c r="X151" s="3"/>
      <c r="Y151" s="3"/>
      <c r="Z151" s="79"/>
      <c r="AB151" s="311">
        <f t="shared" ca="1" si="39"/>
        <v>126</v>
      </c>
      <c r="AC151" s="311"/>
      <c r="AD151" s="311"/>
      <c r="AE151" s="311"/>
      <c r="AF151" s="311"/>
      <c r="AG151" s="311"/>
      <c r="AH151" s="311"/>
      <c r="AI151" s="311"/>
      <c r="AJ151" s="311"/>
      <c r="AK151" s="311"/>
      <c r="AL151" s="311"/>
      <c r="AM151" s="311"/>
    </row>
    <row r="152" spans="1:39" ht="15.75" customHeight="1">
      <c r="A152" s="2104">
        <v>24</v>
      </c>
      <c r="B152" s="1583"/>
      <c r="C152" s="275"/>
      <c r="D152" s="1284"/>
      <c r="E152" s="274"/>
      <c r="F152" s="286"/>
      <c r="G152" s="274"/>
      <c r="H152" s="2098"/>
      <c r="I152" s="275"/>
      <c r="J152" s="284"/>
      <c r="K152" s="275"/>
      <c r="L152" s="274"/>
      <c r="M152" s="272"/>
      <c r="N152" s="272"/>
      <c r="O152" s="272"/>
      <c r="P152" s="272"/>
      <c r="Q152" s="302"/>
      <c r="R152" s="952"/>
      <c r="S152" s="952"/>
      <c r="T152" s="485"/>
      <c r="U152" s="485"/>
      <c r="V152" s="382"/>
      <c r="W152" s="382"/>
      <c r="X152" s="282">
        <f t="shared" ref="X152:X156" ca="1" si="40">INT((TODAY()-M152)/365)</f>
        <v>126</v>
      </c>
      <c r="Y152" s="395"/>
      <c r="Z152" s="79"/>
      <c r="AA152" s="384"/>
    </row>
    <row r="153" spans="1:39" ht="15.75" customHeight="1">
      <c r="A153" s="2104">
        <v>25</v>
      </c>
      <c r="B153" s="1583"/>
      <c r="C153" s="275"/>
      <c r="D153" s="1567"/>
      <c r="E153" s="274"/>
      <c r="F153" s="286"/>
      <c r="G153" s="274"/>
      <c r="H153" s="2098"/>
      <c r="I153" s="275"/>
      <c r="J153" s="274"/>
      <c r="K153" s="275"/>
      <c r="L153" s="303"/>
      <c r="M153" s="272"/>
      <c r="N153" s="272"/>
      <c r="O153" s="272"/>
      <c r="P153" s="315"/>
      <c r="Q153" s="302"/>
      <c r="R153" s="998"/>
      <c r="S153" s="952"/>
      <c r="T153" s="485"/>
      <c r="U153" s="485"/>
      <c r="V153" s="382"/>
      <c r="W153" s="382"/>
      <c r="X153" s="282">
        <f t="shared" ca="1" si="40"/>
        <v>126</v>
      </c>
      <c r="Y153" s="382"/>
      <c r="Z153" s="382"/>
      <c r="AA153" s="311"/>
      <c r="AB153" s="311"/>
      <c r="AC153" s="311"/>
      <c r="AD153" s="311"/>
      <c r="AE153" s="311"/>
      <c r="AF153" s="311"/>
      <c r="AG153" s="311"/>
      <c r="AH153" s="311"/>
      <c r="AI153" s="311"/>
      <c r="AJ153" s="311"/>
      <c r="AK153" s="311"/>
      <c r="AL153" s="311"/>
      <c r="AM153" s="311"/>
    </row>
    <row r="154" spans="1:39" ht="15.75" customHeight="1">
      <c r="A154" s="2104">
        <v>26</v>
      </c>
      <c r="B154" s="1583"/>
      <c r="C154" s="275"/>
      <c r="D154" s="1284"/>
      <c r="E154" s="274"/>
      <c r="F154" s="286"/>
      <c r="G154" s="274"/>
      <c r="H154" s="2098"/>
      <c r="I154" s="275"/>
      <c r="J154" s="275"/>
      <c r="K154" s="275"/>
      <c r="L154" s="275"/>
      <c r="M154" s="272"/>
      <c r="N154" s="272"/>
      <c r="O154" s="272"/>
      <c r="P154" s="279"/>
      <c r="Q154" s="302"/>
      <c r="R154" s="79"/>
      <c r="S154" s="952"/>
      <c r="T154" s="485"/>
      <c r="U154" s="485"/>
      <c r="V154" s="382"/>
      <c r="W154" s="382"/>
      <c r="X154" s="282">
        <f t="shared" ca="1" si="40"/>
        <v>126</v>
      </c>
      <c r="Y154" s="382"/>
      <c r="Z154" s="382"/>
      <c r="AA154" s="311"/>
      <c r="AB154" s="311"/>
      <c r="AC154" s="311"/>
      <c r="AD154" s="311"/>
      <c r="AE154" s="311"/>
      <c r="AF154" s="311"/>
      <c r="AG154" s="311"/>
      <c r="AH154" s="311"/>
      <c r="AI154" s="311"/>
      <c r="AJ154" s="311"/>
      <c r="AK154" s="311"/>
      <c r="AL154" s="311"/>
      <c r="AM154" s="311"/>
    </row>
    <row r="155" spans="1:39" ht="15.75" customHeight="1">
      <c r="A155" s="2104">
        <v>28</v>
      </c>
      <c r="B155" s="1583"/>
      <c r="C155" s="275"/>
      <c r="D155" s="2093"/>
      <c r="E155" s="274"/>
      <c r="F155" s="286"/>
      <c r="G155" s="274"/>
      <c r="H155" s="2098"/>
      <c r="I155" s="275"/>
      <c r="J155" s="601"/>
      <c r="K155" s="275"/>
      <c r="L155" s="275"/>
      <c r="M155" s="272"/>
      <c r="N155" s="272"/>
      <c r="O155" s="272"/>
      <c r="P155" s="279"/>
      <c r="Q155" s="302"/>
      <c r="R155" s="952"/>
      <c r="S155" s="952"/>
      <c r="T155" s="952"/>
      <c r="U155" s="485"/>
      <c r="V155" s="382"/>
      <c r="W155" s="382"/>
      <c r="X155" s="282">
        <f t="shared" ca="1" si="40"/>
        <v>126</v>
      </c>
      <c r="Y155" s="382"/>
      <c r="Z155" s="382"/>
      <c r="AA155" s="311"/>
      <c r="AB155" s="311"/>
      <c r="AC155" s="311"/>
      <c r="AD155" s="311"/>
      <c r="AE155" s="311"/>
      <c r="AF155" s="311"/>
      <c r="AG155" s="311"/>
      <c r="AH155" s="311"/>
      <c r="AI155" s="311"/>
      <c r="AJ155" s="311"/>
      <c r="AK155" s="311"/>
      <c r="AL155" s="311"/>
      <c r="AM155" s="311"/>
    </row>
    <row r="156" spans="1:39" ht="15.75" customHeight="1">
      <c r="A156" s="2104">
        <v>30</v>
      </c>
      <c r="B156" s="1583"/>
      <c r="C156" s="275"/>
      <c r="D156" s="1284"/>
      <c r="E156" s="1843"/>
      <c r="F156" s="286"/>
      <c r="G156" s="303"/>
      <c r="H156" s="2098"/>
      <c r="I156" s="275"/>
      <c r="J156" s="275"/>
      <c r="K156" s="275"/>
      <c r="L156" s="275"/>
      <c r="M156" s="272"/>
      <c r="N156" s="272"/>
      <c r="O156" s="272"/>
      <c r="P156" s="315"/>
      <c r="Q156" s="302"/>
      <c r="R156" s="1852"/>
      <c r="S156" s="952"/>
      <c r="T156" s="952"/>
      <c r="U156" s="485"/>
      <c r="V156" s="382"/>
      <c r="W156" s="382"/>
      <c r="X156" s="282">
        <f t="shared" ca="1" si="40"/>
        <v>126</v>
      </c>
      <c r="Y156" s="382"/>
      <c r="Z156" s="382"/>
      <c r="AA156" s="311"/>
      <c r="AB156" s="311"/>
      <c r="AC156" s="311"/>
      <c r="AD156" s="311"/>
      <c r="AE156" s="311"/>
      <c r="AF156" s="311"/>
      <c r="AG156" s="311"/>
      <c r="AH156" s="311"/>
      <c r="AI156" s="311"/>
      <c r="AJ156" s="311"/>
      <c r="AK156" s="311"/>
      <c r="AL156" s="311"/>
      <c r="AM156" s="311"/>
    </row>
    <row r="157" spans="1:39" ht="15.75" customHeight="1">
      <c r="A157" s="2104">
        <v>32</v>
      </c>
      <c r="B157" s="1583"/>
      <c r="C157" s="274"/>
      <c r="D157" s="2093"/>
      <c r="E157" s="620"/>
      <c r="F157" s="1690"/>
      <c r="G157" s="284"/>
      <c r="H157" s="1584"/>
      <c r="I157" s="275"/>
      <c r="J157" s="275"/>
      <c r="K157" s="275"/>
      <c r="L157" s="439"/>
      <c r="M157" s="272"/>
      <c r="N157" s="272"/>
      <c r="O157" s="272"/>
      <c r="P157" s="279"/>
      <c r="Q157" s="302"/>
      <c r="R157" s="952"/>
      <c r="S157" s="952"/>
      <c r="T157" s="954"/>
      <c r="U157" s="485"/>
      <c r="V157" s="285"/>
      <c r="W157" s="382"/>
      <c r="X157" s="382"/>
      <c r="Y157" s="3"/>
      <c r="Z157" s="79"/>
      <c r="AA157" s="311"/>
      <c r="AB157" s="311">
        <f ca="1">INT((TODAY()-M157)/365)</f>
        <v>126</v>
      </c>
    </row>
    <row r="158" spans="1:39" ht="15.75" customHeight="1">
      <c r="A158" s="2104">
        <v>33</v>
      </c>
      <c r="B158" s="1583"/>
      <c r="C158" s="275"/>
      <c r="D158" s="1567"/>
      <c r="E158" s="1221"/>
      <c r="F158" s="286"/>
      <c r="G158" s="303"/>
      <c r="H158" s="2098"/>
      <c r="I158" s="275"/>
      <c r="J158" s="275"/>
      <c r="K158" s="275"/>
      <c r="L158" s="274"/>
      <c r="M158" s="272"/>
      <c r="N158" s="272"/>
      <c r="O158" s="272"/>
      <c r="P158" s="278"/>
      <c r="Q158" s="302"/>
      <c r="R158" s="998"/>
      <c r="S158" s="952"/>
      <c r="T158" s="485"/>
      <c r="U158" s="485"/>
      <c r="V158" s="382"/>
      <c r="W158" s="382"/>
      <c r="X158" s="282">
        <f ca="1">INT((TODAY()-M158)/365)</f>
        <v>126</v>
      </c>
      <c r="Y158" s="382"/>
      <c r="Z158" s="382"/>
      <c r="AA158" s="382"/>
      <c r="AB158" s="382"/>
      <c r="AC158" s="311"/>
      <c r="AD158" s="311"/>
      <c r="AE158" s="311"/>
      <c r="AF158" s="311"/>
      <c r="AG158" s="311"/>
      <c r="AH158" s="311"/>
      <c r="AI158" s="311"/>
      <c r="AJ158" s="311"/>
      <c r="AK158" s="311"/>
      <c r="AL158" s="311"/>
      <c r="AM158" s="311"/>
    </row>
    <row r="159" spans="1:39" ht="15.75" customHeight="1">
      <c r="A159" s="2104">
        <v>35</v>
      </c>
      <c r="B159" s="1583"/>
      <c r="C159" s="274"/>
      <c r="D159" s="1284"/>
      <c r="E159" s="620"/>
      <c r="F159" s="1690"/>
      <c r="G159" s="274"/>
      <c r="H159" s="1584"/>
      <c r="I159" s="275"/>
      <c r="J159" s="275"/>
      <c r="K159" s="275"/>
      <c r="L159" s="274"/>
      <c r="M159" s="272"/>
      <c r="N159" s="272"/>
      <c r="O159" s="272"/>
      <c r="P159" s="279"/>
      <c r="Q159" s="302"/>
      <c r="R159" s="952"/>
      <c r="S159" s="952"/>
      <c r="T159" s="485"/>
      <c r="U159" s="485"/>
      <c r="V159" s="285"/>
      <c r="W159" s="382"/>
      <c r="X159" s="382"/>
      <c r="Y159" s="3"/>
      <c r="Z159" s="79"/>
      <c r="AA159" s="382"/>
      <c r="AB159" s="311">
        <f t="shared" ref="AB159:AB162" ca="1" si="41">INT((TODAY()-M159)/365)</f>
        <v>126</v>
      </c>
    </row>
    <row r="160" spans="1:39" ht="15.75" customHeight="1">
      <c r="A160" s="2104">
        <v>36</v>
      </c>
      <c r="B160" s="1583"/>
      <c r="C160" s="274"/>
      <c r="D160" s="1284"/>
      <c r="E160" s="620"/>
      <c r="F160" s="1690"/>
      <c r="G160" s="284"/>
      <c r="H160" s="1584"/>
      <c r="I160" s="275"/>
      <c r="J160" s="275"/>
      <c r="K160" s="275"/>
      <c r="L160" s="274"/>
      <c r="M160" s="272"/>
      <c r="N160" s="272"/>
      <c r="O160" s="272"/>
      <c r="P160" s="279"/>
      <c r="Q160" s="302"/>
      <c r="R160" s="952"/>
      <c r="S160" s="952"/>
      <c r="T160" s="485"/>
      <c r="U160" s="485"/>
      <c r="V160" s="285"/>
      <c r="W160" s="3"/>
      <c r="X160" s="3"/>
      <c r="Y160" s="3"/>
      <c r="Z160" s="79"/>
      <c r="AA160" s="79"/>
      <c r="AB160" s="311">
        <f t="shared" ca="1" si="41"/>
        <v>126</v>
      </c>
    </row>
    <row r="161" spans="1:39" ht="15.75" customHeight="1">
      <c r="A161" s="2104">
        <v>37</v>
      </c>
      <c r="B161" s="1583"/>
      <c r="C161" s="274"/>
      <c r="D161" s="1284"/>
      <c r="E161" s="303"/>
      <c r="F161" s="1690"/>
      <c r="G161" s="274"/>
      <c r="H161" s="2098"/>
      <c r="I161" s="275"/>
      <c r="J161" s="391"/>
      <c r="K161" s="275"/>
      <c r="L161" s="275"/>
      <c r="M161" s="272"/>
      <c r="N161" s="272"/>
      <c r="O161" s="272"/>
      <c r="P161" s="279"/>
      <c r="Q161" s="302"/>
      <c r="R161" s="952"/>
      <c r="S161" s="485"/>
      <c r="T161" s="485"/>
      <c r="U161" s="485"/>
      <c r="V161" s="285"/>
      <c r="W161" s="382"/>
      <c r="X161" s="382"/>
      <c r="Y161" s="382"/>
      <c r="Z161" s="382"/>
      <c r="AA161" s="382"/>
      <c r="AB161" s="311">
        <f t="shared" ca="1" si="41"/>
        <v>126</v>
      </c>
      <c r="AC161" s="384"/>
      <c r="AD161" s="384"/>
      <c r="AE161" s="384"/>
      <c r="AF161" s="384"/>
      <c r="AG161" s="384"/>
      <c r="AH161" s="384"/>
      <c r="AI161" s="384"/>
      <c r="AJ161" s="384"/>
      <c r="AK161" s="384"/>
      <c r="AL161" s="384"/>
      <c r="AM161" s="384"/>
    </row>
    <row r="162" spans="1:39" ht="15.75" customHeight="1">
      <c r="A162" s="2104">
        <v>38</v>
      </c>
      <c r="B162" s="1583"/>
      <c r="C162" s="274"/>
      <c r="D162" s="1284"/>
      <c r="E162" s="620"/>
      <c r="F162" s="1700"/>
      <c r="G162" s="274"/>
      <c r="H162" s="1701"/>
      <c r="I162" s="275"/>
      <c r="J162" s="690"/>
      <c r="K162" s="276"/>
      <c r="L162" s="274"/>
      <c r="M162" s="272"/>
      <c r="N162" s="272"/>
      <c r="O162" s="272"/>
      <c r="P162" s="278"/>
      <c r="Q162" s="279"/>
      <c r="R162" s="952"/>
      <c r="S162" s="485"/>
      <c r="T162" s="485"/>
      <c r="U162" s="485"/>
      <c r="V162" s="285"/>
      <c r="W162" s="382"/>
      <c r="X162" s="79"/>
      <c r="Y162" s="1586"/>
      <c r="Z162" s="79"/>
      <c r="AA162" s="382"/>
      <c r="AB162" s="208">
        <f t="shared" ca="1" si="41"/>
        <v>126</v>
      </c>
    </row>
    <row r="163" spans="1:39" ht="15.75" customHeight="1">
      <c r="A163" s="886">
        <v>1</v>
      </c>
      <c r="B163" s="1882"/>
      <c r="C163" s="274"/>
      <c r="D163" s="2091"/>
      <c r="E163" s="875"/>
      <c r="F163" s="286"/>
      <c r="G163" s="875"/>
      <c r="H163" s="274"/>
      <c r="I163" s="307"/>
      <c r="J163" s="703"/>
      <c r="K163" s="275"/>
      <c r="L163" s="303"/>
      <c r="M163" s="278"/>
      <c r="N163" s="315"/>
      <c r="O163" s="278"/>
      <c r="P163" s="300"/>
      <c r="Q163" s="302"/>
      <c r="R163" s="285"/>
      <c r="S163" s="285"/>
      <c r="T163" s="317"/>
      <c r="U163" s="285"/>
      <c r="V163" s="285"/>
      <c r="W163" s="3"/>
      <c r="X163" s="282">
        <f t="shared" ref="X163:X170" ca="1" si="42">INT((TODAY()-M163)/365)</f>
        <v>126</v>
      </c>
      <c r="Y163" s="382"/>
      <c r="Z163" s="382"/>
      <c r="AA163" s="382"/>
      <c r="AB163" s="311"/>
      <c r="AC163" s="311"/>
      <c r="AD163" s="311"/>
      <c r="AE163" s="311"/>
      <c r="AF163" s="311"/>
      <c r="AG163" s="311"/>
      <c r="AH163" s="311"/>
      <c r="AI163" s="311"/>
      <c r="AJ163" s="311"/>
      <c r="AK163" s="311"/>
      <c r="AL163" s="311"/>
      <c r="AM163" s="311"/>
    </row>
    <row r="164" spans="1:39" ht="15.75" customHeight="1">
      <c r="A164" s="886">
        <v>2</v>
      </c>
      <c r="B164" s="1882"/>
      <c r="C164" s="303"/>
      <c r="D164" s="2127"/>
      <c r="E164" s="1828"/>
      <c r="F164" s="286"/>
      <c r="G164" s="875"/>
      <c r="H164" s="284"/>
      <c r="I164" s="307"/>
      <c r="J164" s="307"/>
      <c r="K164" s="275"/>
      <c r="L164" s="307"/>
      <c r="M164" s="278"/>
      <c r="N164" s="315"/>
      <c r="O164" s="278"/>
      <c r="P164" s="278"/>
      <c r="Q164" s="302"/>
      <c r="R164" s="317"/>
      <c r="S164" s="285"/>
      <c r="T164" s="317"/>
      <c r="U164" s="285"/>
      <c r="V164" s="285"/>
      <c r="W164" s="3"/>
      <c r="X164" s="282">
        <f t="shared" ca="1" si="42"/>
        <v>126</v>
      </c>
      <c r="Y164" s="382"/>
      <c r="Z164" s="382"/>
      <c r="AA164" s="382"/>
      <c r="AB164" s="311"/>
      <c r="AC164" s="311"/>
      <c r="AD164" s="311"/>
      <c r="AE164" s="311"/>
      <c r="AF164" s="311"/>
      <c r="AG164" s="311"/>
      <c r="AH164" s="311"/>
      <c r="AI164" s="311"/>
      <c r="AJ164" s="311"/>
      <c r="AK164" s="311"/>
      <c r="AL164" s="311"/>
      <c r="AM164" s="311"/>
    </row>
    <row r="165" spans="1:39" ht="15.75" customHeight="1">
      <c r="A165" s="886">
        <v>3</v>
      </c>
      <c r="B165" s="1583"/>
      <c r="C165" s="303"/>
      <c r="D165" s="1567"/>
      <c r="E165" s="303"/>
      <c r="F165" s="1700"/>
      <c r="G165" s="303"/>
      <c r="H165" s="274"/>
      <c r="I165" s="275"/>
      <c r="J165" s="275"/>
      <c r="K165" s="275"/>
      <c r="L165" s="274"/>
      <c r="M165" s="272"/>
      <c r="N165" s="272"/>
      <c r="O165" s="279"/>
      <c r="P165" s="278"/>
      <c r="Q165" s="279"/>
      <c r="R165" s="998"/>
      <c r="S165" s="952"/>
      <c r="T165" s="952"/>
      <c r="U165" s="485"/>
      <c r="V165" s="485"/>
      <c r="W165" s="382"/>
      <c r="X165" s="282">
        <f t="shared" ca="1" si="42"/>
        <v>126</v>
      </c>
      <c r="Y165" s="382"/>
      <c r="Z165" s="382"/>
      <c r="AA165" s="311"/>
      <c r="AB165" s="311"/>
      <c r="AC165" s="311"/>
      <c r="AD165" s="311"/>
      <c r="AE165" s="311"/>
      <c r="AF165" s="311"/>
      <c r="AG165" s="311"/>
      <c r="AH165" s="311"/>
      <c r="AI165" s="311"/>
      <c r="AJ165" s="311"/>
      <c r="AK165" s="311"/>
      <c r="AL165" s="311"/>
      <c r="AM165" s="311"/>
    </row>
    <row r="166" spans="1:39" ht="15.75" customHeight="1">
      <c r="A166" s="886">
        <v>4</v>
      </c>
      <c r="B166" s="1583"/>
      <c r="C166" s="274"/>
      <c r="D166" s="1567"/>
      <c r="E166" s="491"/>
      <c r="F166" s="286"/>
      <c r="G166" s="274"/>
      <c r="H166" s="274"/>
      <c r="I166" s="275"/>
      <c r="J166" s="275"/>
      <c r="K166" s="275"/>
      <c r="L166" s="274"/>
      <c r="M166" s="272"/>
      <c r="N166" s="272"/>
      <c r="O166" s="272"/>
      <c r="P166" s="279"/>
      <c r="Q166" s="272"/>
      <c r="R166" s="952"/>
      <c r="S166" s="485"/>
      <c r="T166" s="952"/>
      <c r="U166" s="485"/>
      <c r="V166" s="382"/>
      <c r="W166" s="382"/>
      <c r="X166" s="282">
        <f t="shared" ca="1" si="42"/>
        <v>126</v>
      </c>
      <c r="Y166" s="382"/>
      <c r="Z166" s="382"/>
      <c r="AA166" s="382"/>
      <c r="AB166" s="311"/>
      <c r="AC166" s="311"/>
      <c r="AD166" s="311"/>
      <c r="AE166" s="311"/>
      <c r="AF166" s="311"/>
      <c r="AG166" s="311"/>
      <c r="AH166" s="311"/>
      <c r="AI166" s="311"/>
      <c r="AJ166" s="311"/>
      <c r="AK166" s="311"/>
      <c r="AL166" s="311"/>
      <c r="AM166" s="311"/>
    </row>
    <row r="167" spans="1:39" ht="15.75" customHeight="1">
      <c r="A167" s="886">
        <v>5</v>
      </c>
      <c r="B167" s="1583"/>
      <c r="C167" s="274"/>
      <c r="D167" s="1284"/>
      <c r="E167" s="274"/>
      <c r="F167" s="286"/>
      <c r="G167" s="274"/>
      <c r="H167" s="274"/>
      <c r="I167" s="275"/>
      <c r="J167" s="274"/>
      <c r="K167" s="275"/>
      <c r="L167" s="274"/>
      <c r="M167" s="272"/>
      <c r="N167" s="272"/>
      <c r="O167" s="272"/>
      <c r="P167" s="272"/>
      <c r="Q167" s="302"/>
      <c r="R167" s="2128"/>
      <c r="S167" s="952"/>
      <c r="T167" s="952"/>
      <c r="U167" s="485"/>
      <c r="V167" s="382"/>
      <c r="W167" s="954"/>
      <c r="X167" s="282">
        <f t="shared" ca="1" si="42"/>
        <v>126</v>
      </c>
      <c r="Y167" s="382"/>
      <c r="Z167" s="382"/>
      <c r="AA167" s="311"/>
      <c r="AB167" s="311"/>
      <c r="AC167" s="311"/>
      <c r="AD167" s="311"/>
      <c r="AE167" s="311"/>
      <c r="AF167" s="311"/>
      <c r="AG167" s="311"/>
      <c r="AH167" s="311"/>
      <c r="AI167" s="311"/>
      <c r="AJ167" s="311"/>
      <c r="AK167" s="311"/>
      <c r="AL167" s="311"/>
      <c r="AM167" s="311"/>
    </row>
    <row r="168" spans="1:39" ht="15.75" customHeight="1">
      <c r="A168" s="886">
        <v>6</v>
      </c>
      <c r="B168" s="1583"/>
      <c r="C168" s="274"/>
      <c r="D168" s="1284"/>
      <c r="E168" s="303"/>
      <c r="F168" s="1700"/>
      <c r="G168" s="303"/>
      <c r="H168" s="274"/>
      <c r="I168" s="275"/>
      <c r="J168" s="284"/>
      <c r="K168" s="275"/>
      <c r="L168" s="303"/>
      <c r="M168" s="272"/>
      <c r="N168" s="272"/>
      <c r="O168" s="272"/>
      <c r="P168" s="279"/>
      <c r="Q168" s="302"/>
      <c r="R168" s="338"/>
      <c r="S168" s="338"/>
      <c r="T168" s="1852"/>
      <c r="U168" s="485"/>
      <c r="V168" s="485"/>
      <c r="W168" s="382"/>
      <c r="X168" s="282">
        <f t="shared" ca="1" si="42"/>
        <v>126</v>
      </c>
      <c r="Y168" s="382"/>
      <c r="Z168" s="382"/>
      <c r="AA168" s="311"/>
      <c r="AB168" s="311"/>
      <c r="AC168" s="311"/>
      <c r="AD168" s="311"/>
      <c r="AE168" s="311"/>
      <c r="AF168" s="311"/>
      <c r="AG168" s="311"/>
      <c r="AH168" s="311"/>
      <c r="AI168" s="311"/>
      <c r="AJ168" s="311"/>
      <c r="AK168" s="311"/>
      <c r="AL168" s="311"/>
      <c r="AM168" s="311"/>
    </row>
    <row r="169" spans="1:39" ht="15.75" customHeight="1">
      <c r="A169" s="886">
        <v>7</v>
      </c>
      <c r="B169" s="1583"/>
      <c r="C169" s="303"/>
      <c r="D169" s="543"/>
      <c r="E169" s="274"/>
      <c r="F169" s="1700"/>
      <c r="G169" s="274"/>
      <c r="H169" s="274"/>
      <c r="I169" s="275"/>
      <c r="J169" s="275"/>
      <c r="K169" s="275"/>
      <c r="L169" s="275"/>
      <c r="M169" s="272"/>
      <c r="N169" s="272"/>
      <c r="O169" s="272"/>
      <c r="P169" s="278"/>
      <c r="Q169" s="419"/>
      <c r="R169" s="485"/>
      <c r="S169" s="952"/>
      <c r="T169" s="952"/>
      <c r="U169" s="485"/>
      <c r="V169" s="485"/>
      <c r="W169" s="382"/>
      <c r="X169" s="282">
        <f t="shared" ca="1" si="42"/>
        <v>126</v>
      </c>
      <c r="Y169" s="382"/>
      <c r="Z169" s="382"/>
      <c r="AA169" s="311"/>
      <c r="AB169" s="311"/>
      <c r="AC169" s="311"/>
      <c r="AD169" s="311"/>
      <c r="AE169" s="311"/>
      <c r="AF169" s="311"/>
      <c r="AG169" s="311"/>
      <c r="AH169" s="311"/>
      <c r="AI169" s="311"/>
      <c r="AJ169" s="311"/>
      <c r="AK169" s="311"/>
      <c r="AL169" s="311"/>
      <c r="AM169" s="311"/>
    </row>
    <row r="170" spans="1:39" ht="15.75" customHeight="1">
      <c r="A170" s="886">
        <v>8</v>
      </c>
      <c r="B170" s="1583"/>
      <c r="C170" s="303"/>
      <c r="D170" s="1567"/>
      <c r="E170" s="274"/>
      <c r="F170" s="1700"/>
      <c r="G170" s="274"/>
      <c r="H170" s="274"/>
      <c r="I170" s="275"/>
      <c r="J170" s="275"/>
      <c r="K170" s="275"/>
      <c r="L170" s="274"/>
      <c r="M170" s="272"/>
      <c r="N170" s="272"/>
      <c r="O170" s="279"/>
      <c r="P170" s="278"/>
      <c r="Q170" s="419"/>
      <c r="R170" s="280"/>
      <c r="S170" s="952"/>
      <c r="T170" s="952"/>
      <c r="U170" s="485"/>
      <c r="V170" s="485"/>
      <c r="W170" s="382"/>
      <c r="X170" s="282">
        <f t="shared" ca="1" si="42"/>
        <v>126</v>
      </c>
      <c r="Y170" s="382"/>
      <c r="Z170" s="382"/>
      <c r="AA170" s="311"/>
      <c r="AB170" s="311"/>
      <c r="AC170" s="311"/>
      <c r="AD170" s="311"/>
      <c r="AE170" s="311"/>
      <c r="AF170" s="311"/>
      <c r="AG170" s="311"/>
      <c r="AH170" s="311"/>
      <c r="AI170" s="311"/>
      <c r="AJ170" s="311"/>
      <c r="AK170" s="311"/>
      <c r="AL170" s="311"/>
      <c r="AM170" s="311"/>
    </row>
    <row r="171" spans="1:39" ht="15.75" customHeight="1">
      <c r="A171" s="886">
        <v>9</v>
      </c>
      <c r="B171" s="1583"/>
      <c r="C171" s="303"/>
      <c r="D171" s="1567"/>
      <c r="E171" s="491"/>
      <c r="F171" s="1700"/>
      <c r="G171" s="274"/>
      <c r="H171" s="274"/>
      <c r="I171" s="275"/>
      <c r="J171" s="275"/>
      <c r="K171" s="275"/>
      <c r="L171" s="274"/>
      <c r="M171" s="272"/>
      <c r="N171" s="272"/>
      <c r="O171" s="279"/>
      <c r="P171" s="278"/>
      <c r="Q171" s="302"/>
      <c r="R171" s="998"/>
      <c r="S171" s="485"/>
      <c r="T171" s="952"/>
      <c r="U171" s="485"/>
      <c r="V171" s="485"/>
      <c r="W171" s="282"/>
      <c r="X171" s="382"/>
      <c r="Y171" s="382"/>
      <c r="Z171" s="382"/>
      <c r="AA171" s="311"/>
      <c r="AB171" s="311"/>
      <c r="AC171" s="311"/>
      <c r="AD171" s="311"/>
      <c r="AE171" s="311"/>
      <c r="AF171" s="311"/>
      <c r="AG171" s="311"/>
      <c r="AH171" s="311"/>
      <c r="AI171" s="311"/>
      <c r="AJ171" s="311"/>
      <c r="AK171" s="311"/>
      <c r="AL171" s="311"/>
      <c r="AM171" s="311"/>
    </row>
    <row r="172" spans="1:39" ht="15.75" customHeight="1">
      <c r="A172" s="886">
        <v>10</v>
      </c>
      <c r="B172" s="1583"/>
      <c r="C172" s="274"/>
      <c r="D172" s="1567"/>
      <c r="E172" s="274"/>
      <c r="F172" s="1700"/>
      <c r="G172" s="274"/>
      <c r="H172" s="274"/>
      <c r="I172" s="275"/>
      <c r="J172" s="284"/>
      <c r="K172" s="275"/>
      <c r="L172" s="275"/>
      <c r="M172" s="272"/>
      <c r="N172" s="272"/>
      <c r="O172" s="272"/>
      <c r="P172" s="278"/>
      <c r="Q172" s="302"/>
      <c r="R172" s="1134"/>
      <c r="S172" s="485"/>
      <c r="T172" s="952"/>
      <c r="U172" s="485"/>
      <c r="V172" s="485"/>
      <c r="W172" s="382"/>
      <c r="X172" s="282">
        <f t="shared" ref="X172:X173" ca="1" si="43">INT((TODAY()-M172)/365)</f>
        <v>126</v>
      </c>
      <c r="Y172" s="382"/>
      <c r="Z172" s="382"/>
      <c r="AA172" s="311"/>
      <c r="AB172" s="311"/>
      <c r="AC172" s="311"/>
      <c r="AD172" s="311"/>
      <c r="AE172" s="311"/>
      <c r="AF172" s="311"/>
      <c r="AG172" s="311"/>
      <c r="AH172" s="311"/>
      <c r="AI172" s="311"/>
      <c r="AJ172" s="311"/>
      <c r="AK172" s="311"/>
      <c r="AL172" s="311"/>
      <c r="AM172" s="311"/>
    </row>
    <row r="173" spans="1:39" ht="15.75" customHeight="1">
      <c r="A173" s="886">
        <v>11</v>
      </c>
      <c r="B173" s="1583"/>
      <c r="C173" s="303"/>
      <c r="D173" s="1567"/>
      <c r="E173" s="303"/>
      <c r="F173" s="1700"/>
      <c r="G173" s="303"/>
      <c r="H173" s="274"/>
      <c r="I173" s="275"/>
      <c r="J173" s="284"/>
      <c r="K173" s="275"/>
      <c r="L173" s="274"/>
      <c r="M173" s="272"/>
      <c r="N173" s="272"/>
      <c r="O173" s="272"/>
      <c r="P173" s="278"/>
      <c r="Q173" s="419"/>
      <c r="R173" s="952"/>
      <c r="S173" s="485"/>
      <c r="T173" s="952"/>
      <c r="U173" s="485"/>
      <c r="V173" s="485"/>
      <c r="W173" s="382"/>
      <c r="X173" s="282">
        <f t="shared" ca="1" si="43"/>
        <v>126</v>
      </c>
      <c r="Y173" s="382"/>
      <c r="Z173" s="382"/>
      <c r="AA173" s="382"/>
      <c r="AB173" s="311"/>
      <c r="AC173" s="311"/>
      <c r="AD173" s="311"/>
      <c r="AE173" s="311"/>
      <c r="AF173" s="311"/>
      <c r="AG173" s="311"/>
      <c r="AH173" s="311"/>
      <c r="AI173" s="311"/>
      <c r="AJ173" s="311"/>
      <c r="AK173" s="311"/>
      <c r="AL173" s="311"/>
      <c r="AM173" s="311"/>
    </row>
    <row r="174" spans="1:39" ht="15.75" customHeight="1">
      <c r="A174" s="886">
        <v>12</v>
      </c>
      <c r="B174" s="1583"/>
      <c r="C174" s="274"/>
      <c r="D174" s="1284"/>
      <c r="E174" s="491"/>
      <c r="F174" s="286"/>
      <c r="G174" s="303"/>
      <c r="H174" s="284"/>
      <c r="I174" s="275"/>
      <c r="J174" s="284"/>
      <c r="K174" s="275"/>
      <c r="L174" s="274"/>
      <c r="M174" s="272"/>
      <c r="N174" s="272"/>
      <c r="O174" s="272"/>
      <c r="P174" s="279"/>
      <c r="Q174" s="316"/>
      <c r="R174" s="1134"/>
      <c r="S174" s="485"/>
      <c r="T174" s="952"/>
      <c r="U174" s="485"/>
      <c r="V174" s="382"/>
      <c r="W174" s="282"/>
      <c r="X174" s="382"/>
      <c r="Y174" s="382"/>
      <c r="Z174" s="382"/>
      <c r="AA174" s="382"/>
      <c r="AB174" s="311"/>
      <c r="AC174" s="311"/>
      <c r="AD174" s="311"/>
      <c r="AE174" s="311"/>
      <c r="AF174" s="311"/>
      <c r="AG174" s="311"/>
      <c r="AH174" s="311"/>
      <c r="AI174" s="311"/>
      <c r="AJ174" s="311"/>
      <c r="AK174" s="311"/>
      <c r="AL174" s="311"/>
      <c r="AM174" s="311"/>
    </row>
    <row r="175" spans="1:39" ht="15.75" customHeight="1">
      <c r="A175" s="886">
        <v>13</v>
      </c>
      <c r="B175" s="401"/>
      <c r="C175" s="274"/>
      <c r="D175" s="306"/>
      <c r="E175" s="565"/>
      <c r="F175" s="286"/>
      <c r="G175" s="284"/>
      <c r="H175" s="284"/>
      <c r="I175" s="284"/>
      <c r="J175" s="284"/>
      <c r="K175" s="275"/>
      <c r="L175" s="274"/>
      <c r="M175" s="289"/>
      <c r="N175" s="390"/>
      <c r="O175" s="400"/>
      <c r="P175" s="279"/>
      <c r="Q175" s="419"/>
      <c r="R175" s="403"/>
      <c r="S175" s="393"/>
      <c r="T175" s="403"/>
      <c r="U175" s="393"/>
      <c r="V175" s="383"/>
      <c r="W175" s="282"/>
      <c r="X175" s="382"/>
      <c r="Y175" s="382"/>
      <c r="Z175" s="382"/>
      <c r="AA175" s="382"/>
      <c r="AB175" s="311"/>
      <c r="AC175" s="311"/>
      <c r="AD175" s="311"/>
      <c r="AE175" s="311"/>
      <c r="AF175" s="311"/>
      <c r="AG175" s="311"/>
      <c r="AH175" s="311"/>
      <c r="AI175" s="311"/>
      <c r="AJ175" s="311"/>
      <c r="AK175" s="311"/>
      <c r="AL175" s="311"/>
      <c r="AM175" s="311"/>
    </row>
    <row r="176" spans="1:39" ht="15.75" customHeight="1">
      <c r="A176" s="886">
        <v>14</v>
      </c>
      <c r="B176" s="1583"/>
      <c r="C176" s="274"/>
      <c r="D176" s="1284"/>
      <c r="E176" s="274"/>
      <c r="F176" s="286"/>
      <c r="G176" s="274"/>
      <c r="H176" s="274"/>
      <c r="I176" s="275"/>
      <c r="J176" s="275"/>
      <c r="K176" s="275"/>
      <c r="L176" s="303"/>
      <c r="M176" s="272"/>
      <c r="N176" s="272"/>
      <c r="O176" s="272"/>
      <c r="P176" s="279"/>
      <c r="Q176" s="302"/>
      <c r="R176" s="79"/>
      <c r="S176" s="952"/>
      <c r="T176" s="952"/>
      <c r="U176" s="485"/>
      <c r="V176" s="382"/>
      <c r="W176" s="382"/>
      <c r="X176" s="282">
        <f t="shared" ref="X176:X182" ca="1" si="44">INT((TODAY()-M176)/365)</f>
        <v>126</v>
      </c>
      <c r="Y176" s="382"/>
      <c r="Z176" s="382"/>
      <c r="AA176" s="382"/>
      <c r="AB176" s="311"/>
      <c r="AC176" s="311"/>
      <c r="AD176" s="311"/>
      <c r="AE176" s="311"/>
      <c r="AF176" s="311"/>
      <c r="AG176" s="311"/>
      <c r="AH176" s="311"/>
      <c r="AI176" s="311"/>
      <c r="AJ176" s="311"/>
      <c r="AK176" s="311"/>
      <c r="AL176" s="311"/>
      <c r="AM176" s="311"/>
    </row>
    <row r="177" spans="1:39" ht="15.75" customHeight="1">
      <c r="A177" s="886">
        <v>15</v>
      </c>
      <c r="B177" s="1882"/>
      <c r="C177" s="303"/>
      <c r="D177" s="2091"/>
      <c r="E177" s="970"/>
      <c r="F177" s="2129"/>
      <c r="G177" s="875"/>
      <c r="H177" s="274"/>
      <c r="I177" s="307"/>
      <c r="J177" s="703"/>
      <c r="K177" s="275"/>
      <c r="L177" s="307"/>
      <c r="M177" s="278"/>
      <c r="N177" s="315"/>
      <c r="O177" s="278"/>
      <c r="P177" s="279"/>
      <c r="Q177" s="302"/>
      <c r="R177" s="317"/>
      <c r="S177" s="338"/>
      <c r="T177" s="317"/>
      <c r="U177" s="280"/>
      <c r="V177" s="285"/>
      <c r="W177" s="3"/>
      <c r="X177" s="282">
        <f t="shared" ca="1" si="44"/>
        <v>126</v>
      </c>
      <c r="Y177" s="3"/>
      <c r="Z177" s="79"/>
    </row>
    <row r="178" spans="1:39" ht="15.75" customHeight="1">
      <c r="A178" s="886">
        <v>16</v>
      </c>
      <c r="B178" s="1583"/>
      <c r="C178" s="303"/>
      <c r="D178" s="1567"/>
      <c r="E178" s="274"/>
      <c r="F178" s="1700"/>
      <c r="G178" s="274"/>
      <c r="H178" s="274"/>
      <c r="I178" s="275"/>
      <c r="J178" s="284"/>
      <c r="K178" s="275"/>
      <c r="L178" s="275"/>
      <c r="M178" s="272"/>
      <c r="N178" s="272"/>
      <c r="O178" s="272"/>
      <c r="P178" s="278"/>
      <c r="Q178" s="302"/>
      <c r="R178" s="952"/>
      <c r="S178" s="952"/>
      <c r="T178" s="952"/>
      <c r="U178" s="485"/>
      <c r="V178" s="485"/>
      <c r="W178" s="382"/>
      <c r="X178" s="282">
        <f t="shared" ca="1" si="44"/>
        <v>126</v>
      </c>
      <c r="Y178" s="382"/>
      <c r="Z178" s="382"/>
      <c r="AA178" s="382"/>
      <c r="AB178" s="311"/>
      <c r="AC178" s="311"/>
      <c r="AD178" s="311"/>
      <c r="AE178" s="311"/>
      <c r="AF178" s="311"/>
      <c r="AG178" s="311"/>
      <c r="AH178" s="311"/>
      <c r="AI178" s="311"/>
      <c r="AJ178" s="311"/>
      <c r="AK178" s="311"/>
      <c r="AL178" s="311"/>
      <c r="AM178" s="311"/>
    </row>
    <row r="179" spans="1:39" ht="15.75" customHeight="1">
      <c r="A179" s="886">
        <v>17</v>
      </c>
      <c r="B179" s="1583"/>
      <c r="C179" s="274"/>
      <c r="D179" s="1284"/>
      <c r="E179" s="303"/>
      <c r="F179" s="286"/>
      <c r="G179" s="303"/>
      <c r="H179" s="274"/>
      <c r="I179" s="275"/>
      <c r="J179" s="284"/>
      <c r="K179" s="275"/>
      <c r="L179" s="274"/>
      <c r="M179" s="272"/>
      <c r="N179" s="272"/>
      <c r="O179" s="272"/>
      <c r="P179" s="279"/>
      <c r="Q179" s="279"/>
      <c r="R179" s="952"/>
      <c r="S179" s="952"/>
      <c r="T179" s="952"/>
      <c r="U179" s="485"/>
      <c r="V179" s="382"/>
      <c r="W179" s="382"/>
      <c r="X179" s="282">
        <f t="shared" ca="1" si="44"/>
        <v>126</v>
      </c>
      <c r="Y179" s="382"/>
      <c r="Z179" s="382"/>
      <c r="AA179" s="382"/>
      <c r="AB179" s="311"/>
      <c r="AC179" s="311"/>
      <c r="AD179" s="311"/>
      <c r="AE179" s="311"/>
      <c r="AF179" s="311"/>
      <c r="AG179" s="311"/>
      <c r="AH179" s="311"/>
      <c r="AI179" s="311"/>
      <c r="AJ179" s="311"/>
      <c r="AK179" s="311"/>
      <c r="AL179" s="311"/>
      <c r="AM179" s="311"/>
    </row>
    <row r="180" spans="1:39" ht="15.75" customHeight="1">
      <c r="A180" s="886">
        <v>18</v>
      </c>
      <c r="B180" s="1734"/>
      <c r="C180" s="274"/>
      <c r="D180" s="1567"/>
      <c r="E180" s="274"/>
      <c r="F180" s="286"/>
      <c r="G180" s="274"/>
      <c r="H180" s="274"/>
      <c r="I180" s="275"/>
      <c r="J180" s="284"/>
      <c r="K180" s="275"/>
      <c r="L180" s="274"/>
      <c r="M180" s="272"/>
      <c r="N180" s="272"/>
      <c r="O180" s="272"/>
      <c r="P180" s="279"/>
      <c r="Q180" s="279"/>
      <c r="R180" s="998"/>
      <c r="S180" s="952"/>
      <c r="T180" s="952"/>
      <c r="U180" s="485"/>
      <c r="V180" s="382"/>
      <c r="W180" s="382"/>
      <c r="X180" s="282">
        <f t="shared" ca="1" si="44"/>
        <v>126</v>
      </c>
      <c r="Y180" s="382"/>
      <c r="Z180" s="382"/>
      <c r="AA180" s="382"/>
      <c r="AB180" s="311"/>
      <c r="AC180" s="311"/>
      <c r="AD180" s="311"/>
      <c r="AE180" s="311"/>
      <c r="AF180" s="311"/>
      <c r="AG180" s="311"/>
      <c r="AH180" s="311"/>
      <c r="AI180" s="311"/>
      <c r="AJ180" s="311"/>
      <c r="AK180" s="311"/>
      <c r="AL180" s="311"/>
      <c r="AM180" s="311"/>
    </row>
    <row r="181" spans="1:39" ht="15.75" customHeight="1">
      <c r="A181" s="886">
        <v>19</v>
      </c>
      <c r="B181" s="1583"/>
      <c r="C181" s="274"/>
      <c r="D181" s="1284"/>
      <c r="E181" s="274"/>
      <c r="F181" s="286"/>
      <c r="G181" s="274"/>
      <c r="H181" s="274"/>
      <c r="I181" s="275"/>
      <c r="J181" s="284"/>
      <c r="K181" s="275"/>
      <c r="L181" s="274"/>
      <c r="M181" s="272"/>
      <c r="N181" s="272"/>
      <c r="O181" s="272"/>
      <c r="P181" s="279"/>
      <c r="Q181" s="302"/>
      <c r="R181" s="1134"/>
      <c r="S181" s="952"/>
      <c r="T181" s="952"/>
      <c r="U181" s="485"/>
      <c r="V181" s="382"/>
      <c r="W181" s="382"/>
      <c r="X181" s="282">
        <f t="shared" ca="1" si="44"/>
        <v>126</v>
      </c>
      <c r="Y181" s="382"/>
      <c r="Z181" s="382"/>
      <c r="AA181" s="382"/>
      <c r="AB181" s="311"/>
      <c r="AC181" s="311"/>
      <c r="AD181" s="311"/>
      <c r="AE181" s="311"/>
      <c r="AF181" s="311"/>
      <c r="AG181" s="311"/>
      <c r="AH181" s="311"/>
      <c r="AI181" s="311"/>
      <c r="AJ181" s="311"/>
      <c r="AK181" s="311"/>
      <c r="AL181" s="311"/>
      <c r="AM181" s="311"/>
    </row>
    <row r="182" spans="1:39" ht="15.75" customHeight="1">
      <c r="A182" s="886">
        <v>22</v>
      </c>
      <c r="B182" s="1583"/>
      <c r="C182" s="274"/>
      <c r="D182" s="1567"/>
      <c r="E182" s="491"/>
      <c r="F182" s="286"/>
      <c r="G182" s="274"/>
      <c r="H182" s="274"/>
      <c r="I182" s="275"/>
      <c r="J182" s="284"/>
      <c r="K182" s="275"/>
      <c r="L182" s="274"/>
      <c r="M182" s="272"/>
      <c r="N182" s="272"/>
      <c r="O182" s="272"/>
      <c r="P182" s="279"/>
      <c r="Q182" s="272"/>
      <c r="R182" s="79"/>
      <c r="S182" s="952"/>
      <c r="T182" s="952"/>
      <c r="U182" s="79"/>
      <c r="V182" s="382"/>
      <c r="W182" s="382"/>
      <c r="X182" s="282">
        <f t="shared" ca="1" si="44"/>
        <v>126</v>
      </c>
      <c r="Y182" s="297"/>
      <c r="Z182" s="297"/>
      <c r="AA182" s="297"/>
      <c r="AB182" s="298"/>
      <c r="AC182" s="298"/>
      <c r="AD182" s="298"/>
      <c r="AE182" s="298"/>
      <c r="AF182" s="298"/>
      <c r="AG182" s="311"/>
      <c r="AH182" s="311"/>
      <c r="AI182" s="311"/>
      <c r="AJ182" s="311"/>
      <c r="AK182" s="311"/>
      <c r="AL182" s="311"/>
      <c r="AM182" s="311"/>
    </row>
    <row r="183" spans="1:39" ht="15.75" customHeight="1">
      <c r="A183" s="886">
        <v>23</v>
      </c>
      <c r="B183" s="1882"/>
      <c r="C183" s="274"/>
      <c r="D183" s="2091"/>
      <c r="E183" s="1564"/>
      <c r="F183" s="2130"/>
      <c r="G183" s="875"/>
      <c r="H183" s="284"/>
      <c r="I183" s="307"/>
      <c r="J183" s="307"/>
      <c r="K183" s="275"/>
      <c r="L183" s="303"/>
      <c r="M183" s="315"/>
      <c r="N183" s="315"/>
      <c r="O183" s="278"/>
      <c r="P183" s="279"/>
      <c r="Q183" s="316"/>
      <c r="R183" s="285"/>
      <c r="S183" s="317"/>
      <c r="T183" s="317"/>
      <c r="U183" s="285"/>
      <c r="V183" s="285"/>
      <c r="W183" s="282"/>
      <c r="X183" s="3"/>
      <c r="Y183" s="3"/>
      <c r="Z183" s="79"/>
      <c r="AA183" s="79"/>
    </row>
    <row r="184" spans="1:39" ht="15.75" customHeight="1">
      <c r="A184" s="886">
        <v>24</v>
      </c>
      <c r="B184" s="1583"/>
      <c r="C184" s="303"/>
      <c r="D184" s="1567"/>
      <c r="E184" s="303"/>
      <c r="F184" s="1700"/>
      <c r="G184" s="303"/>
      <c r="H184" s="274"/>
      <c r="I184" s="275"/>
      <c r="J184" s="275"/>
      <c r="K184" s="275"/>
      <c r="L184" s="274"/>
      <c r="M184" s="272"/>
      <c r="N184" s="272"/>
      <c r="O184" s="272"/>
      <c r="P184" s="278"/>
      <c r="Q184" s="419"/>
      <c r="R184" s="998"/>
      <c r="S184" s="952"/>
      <c r="T184" s="952"/>
      <c r="U184" s="280"/>
      <c r="V184" s="485"/>
      <c r="W184" s="382"/>
      <c r="X184" s="282">
        <f t="shared" ref="X184:X187" ca="1" si="45">INT((TODAY()-M184)/365)</f>
        <v>126</v>
      </c>
      <c r="Y184" s="382"/>
      <c r="Z184" s="382"/>
      <c r="AA184" s="382"/>
      <c r="AB184" s="311"/>
      <c r="AC184" s="311"/>
      <c r="AD184" s="311"/>
      <c r="AE184" s="311"/>
      <c r="AF184" s="311"/>
      <c r="AG184" s="311"/>
      <c r="AH184" s="311"/>
      <c r="AI184" s="311"/>
      <c r="AJ184" s="311"/>
      <c r="AK184" s="311"/>
      <c r="AL184" s="311"/>
      <c r="AM184" s="311"/>
    </row>
    <row r="185" spans="1:39" ht="15.75" customHeight="1">
      <c r="A185" s="886">
        <v>26</v>
      </c>
      <c r="B185" s="1583"/>
      <c r="C185" s="274"/>
      <c r="D185" s="1284"/>
      <c r="E185" s="303"/>
      <c r="F185" s="286"/>
      <c r="G185" s="303"/>
      <c r="H185" s="274"/>
      <c r="I185" s="275"/>
      <c r="J185" s="275"/>
      <c r="K185" s="275"/>
      <c r="L185" s="274"/>
      <c r="M185" s="272"/>
      <c r="N185" s="272"/>
      <c r="O185" s="272"/>
      <c r="P185" s="279"/>
      <c r="Q185" s="302"/>
      <c r="R185" s="998"/>
      <c r="S185" s="485"/>
      <c r="T185" s="952"/>
      <c r="U185" s="79"/>
      <c r="V185" s="382"/>
      <c r="W185" s="382"/>
      <c r="X185" s="282">
        <f t="shared" ca="1" si="45"/>
        <v>126</v>
      </c>
      <c r="Y185" s="382"/>
      <c r="Z185" s="382"/>
      <c r="AA185" s="382"/>
      <c r="AB185" s="311"/>
      <c r="AC185" s="311"/>
      <c r="AD185" s="311"/>
      <c r="AE185" s="311"/>
      <c r="AF185" s="311"/>
      <c r="AG185" s="311"/>
      <c r="AH185" s="311"/>
      <c r="AI185" s="311"/>
      <c r="AJ185" s="311"/>
      <c r="AK185" s="311"/>
      <c r="AL185" s="311"/>
      <c r="AM185" s="311"/>
    </row>
    <row r="186" spans="1:39" ht="15.75" customHeight="1">
      <c r="A186" s="886">
        <v>27</v>
      </c>
      <c r="B186" s="1583"/>
      <c r="C186" s="274"/>
      <c r="D186" s="1284"/>
      <c r="E186" s="303"/>
      <c r="F186" s="286"/>
      <c r="G186" s="303"/>
      <c r="H186" s="274"/>
      <c r="I186" s="275"/>
      <c r="J186" s="284"/>
      <c r="K186" s="275"/>
      <c r="L186" s="275"/>
      <c r="M186" s="272"/>
      <c r="N186" s="272"/>
      <c r="O186" s="272"/>
      <c r="P186" s="279"/>
      <c r="Q186" s="302"/>
      <c r="R186" s="998"/>
      <c r="S186" s="485"/>
      <c r="T186" s="952"/>
      <c r="U186" s="79"/>
      <c r="V186" s="382"/>
      <c r="W186" s="382"/>
      <c r="X186" s="282">
        <f t="shared" ca="1" si="45"/>
        <v>126</v>
      </c>
      <c r="Y186" s="382"/>
      <c r="Z186" s="382"/>
      <c r="AA186" s="382"/>
      <c r="AB186" s="311"/>
      <c r="AC186" s="311"/>
      <c r="AD186" s="311"/>
      <c r="AE186" s="311"/>
      <c r="AF186" s="311"/>
      <c r="AG186" s="311"/>
      <c r="AH186" s="311"/>
      <c r="AI186" s="311"/>
      <c r="AJ186" s="311"/>
      <c r="AK186" s="311"/>
      <c r="AL186" s="311"/>
      <c r="AM186" s="311"/>
    </row>
    <row r="187" spans="1:39" ht="15.75" customHeight="1">
      <c r="A187" s="886">
        <v>28</v>
      </c>
      <c r="B187" s="1583"/>
      <c r="C187" s="303"/>
      <c r="D187" s="2131"/>
      <c r="E187" s="274"/>
      <c r="F187" s="1700"/>
      <c r="G187" s="274"/>
      <c r="H187" s="274"/>
      <c r="I187" s="275"/>
      <c r="J187" s="275"/>
      <c r="K187" s="275"/>
      <c r="L187" s="275"/>
      <c r="M187" s="272"/>
      <c r="N187" s="272"/>
      <c r="O187" s="279"/>
      <c r="P187" s="278"/>
      <c r="Q187" s="419"/>
      <c r="R187" s="280"/>
      <c r="S187" s="952"/>
      <c r="T187" s="952"/>
      <c r="U187" s="485"/>
      <c r="V187" s="485"/>
      <c r="W187" s="382"/>
      <c r="X187" s="282">
        <f t="shared" ca="1" si="45"/>
        <v>126</v>
      </c>
      <c r="Y187" s="382"/>
      <c r="Z187" s="382"/>
      <c r="AA187" s="382"/>
      <c r="AB187" s="311"/>
      <c r="AC187" s="311"/>
      <c r="AD187" s="311"/>
      <c r="AE187" s="311"/>
      <c r="AF187" s="311"/>
      <c r="AG187" s="311"/>
      <c r="AH187" s="311"/>
      <c r="AI187" s="311"/>
      <c r="AJ187" s="311"/>
      <c r="AK187" s="311"/>
      <c r="AL187" s="311"/>
      <c r="AM187" s="311"/>
    </row>
    <row r="188" spans="1:39" ht="15.75" customHeight="1">
      <c r="A188" s="886">
        <v>29</v>
      </c>
      <c r="B188" s="1583"/>
      <c r="C188" s="274"/>
      <c r="D188" s="543"/>
      <c r="E188" s="491"/>
      <c r="F188" s="2129"/>
      <c r="G188" s="274"/>
      <c r="H188" s="284"/>
      <c r="I188" s="275"/>
      <c r="J188" s="274"/>
      <c r="K188" s="275"/>
      <c r="L188" s="274"/>
      <c r="M188" s="272"/>
      <c r="N188" s="272"/>
      <c r="O188" s="272"/>
      <c r="P188" s="279"/>
      <c r="Q188" s="316"/>
      <c r="R188" s="952"/>
      <c r="S188" s="485"/>
      <c r="T188" s="952"/>
      <c r="U188" s="485"/>
      <c r="V188" s="485"/>
      <c r="W188" s="282"/>
      <c r="X188" s="382"/>
      <c r="Y188" s="382"/>
      <c r="Z188" s="382"/>
      <c r="AA188" s="311"/>
      <c r="AB188" s="311"/>
      <c r="AC188" s="311"/>
      <c r="AD188" s="311"/>
      <c r="AE188" s="311"/>
      <c r="AF188" s="311"/>
      <c r="AG188" s="311"/>
      <c r="AH188" s="311"/>
      <c r="AI188" s="311"/>
      <c r="AJ188" s="311"/>
      <c r="AK188" s="311"/>
      <c r="AL188" s="311"/>
      <c r="AM188" s="311"/>
    </row>
    <row r="189" spans="1:39" ht="15.75" customHeight="1">
      <c r="A189" s="886">
        <v>30</v>
      </c>
      <c r="B189" s="1583"/>
      <c r="C189" s="274"/>
      <c r="D189" s="1284"/>
      <c r="E189" s="274"/>
      <c r="F189" s="1700"/>
      <c r="G189" s="274"/>
      <c r="H189" s="274"/>
      <c r="I189" s="275"/>
      <c r="J189" s="275"/>
      <c r="K189" s="275"/>
      <c r="L189" s="275"/>
      <c r="M189" s="272"/>
      <c r="N189" s="272"/>
      <c r="O189" s="272"/>
      <c r="P189" s="279"/>
      <c r="Q189" s="302"/>
      <c r="R189" s="1134"/>
      <c r="S189" s="485"/>
      <c r="T189" s="952"/>
      <c r="U189" s="485"/>
      <c r="V189" s="485"/>
      <c r="W189" s="382"/>
      <c r="X189" s="282">
        <f t="shared" ref="X189:X192" ca="1" si="46">INT((TODAY()-M189)/365)</f>
        <v>126</v>
      </c>
      <c r="Y189" s="382"/>
      <c r="Z189" s="382"/>
      <c r="AA189" s="311"/>
      <c r="AB189" s="311"/>
      <c r="AC189" s="311"/>
      <c r="AD189" s="311"/>
      <c r="AE189" s="311"/>
      <c r="AF189" s="311"/>
      <c r="AG189" s="311"/>
      <c r="AH189" s="311"/>
      <c r="AI189" s="311"/>
      <c r="AJ189" s="311"/>
      <c r="AK189" s="311"/>
      <c r="AL189" s="311"/>
      <c r="AM189" s="311"/>
    </row>
    <row r="190" spans="1:39" ht="15.75" customHeight="1">
      <c r="A190" s="886">
        <v>31</v>
      </c>
      <c r="B190" s="1583"/>
      <c r="C190" s="274"/>
      <c r="D190" s="1567"/>
      <c r="E190" s="303"/>
      <c r="F190" s="286"/>
      <c r="G190" s="303"/>
      <c r="H190" s="274"/>
      <c r="I190" s="275"/>
      <c r="J190" s="284"/>
      <c r="K190" s="275"/>
      <c r="L190" s="275"/>
      <c r="M190" s="272"/>
      <c r="N190" s="272"/>
      <c r="O190" s="272"/>
      <c r="P190" s="279"/>
      <c r="Q190" s="302"/>
      <c r="R190" s="952"/>
      <c r="S190" s="952"/>
      <c r="T190" s="952"/>
      <c r="U190" s="485"/>
      <c r="V190" s="382"/>
      <c r="W190" s="382"/>
      <c r="X190" s="282">
        <f t="shared" ca="1" si="46"/>
        <v>126</v>
      </c>
      <c r="Y190" s="382"/>
      <c r="Z190" s="382"/>
      <c r="AA190" s="311"/>
      <c r="AB190" s="311"/>
      <c r="AC190" s="311"/>
      <c r="AD190" s="311"/>
      <c r="AE190" s="311"/>
      <c r="AF190" s="311"/>
      <c r="AG190" s="311"/>
      <c r="AH190" s="311"/>
      <c r="AI190" s="311"/>
      <c r="AJ190" s="311"/>
      <c r="AK190" s="311"/>
      <c r="AL190" s="311"/>
      <c r="AM190" s="311"/>
    </row>
    <row r="191" spans="1:39" ht="15.75" customHeight="1">
      <c r="A191" s="886">
        <v>32</v>
      </c>
      <c r="B191" s="1583"/>
      <c r="C191" s="274"/>
      <c r="D191" s="1567"/>
      <c r="E191" s="491"/>
      <c r="F191" s="286"/>
      <c r="G191" s="303"/>
      <c r="H191" s="274"/>
      <c r="I191" s="275"/>
      <c r="J191" s="284"/>
      <c r="K191" s="275"/>
      <c r="L191" s="303"/>
      <c r="M191" s="272"/>
      <c r="N191" s="272"/>
      <c r="O191" s="272"/>
      <c r="P191" s="300"/>
      <c r="Q191" s="272"/>
      <c r="R191" s="952"/>
      <c r="S191" s="485"/>
      <c r="T191" s="1160"/>
      <c r="U191" s="485"/>
      <c r="V191" s="382"/>
      <c r="W191" s="382"/>
      <c r="X191" s="282">
        <f t="shared" ca="1" si="46"/>
        <v>126</v>
      </c>
      <c r="Y191" s="395"/>
      <c r="Z191" s="79"/>
      <c r="AA191" s="384"/>
      <c r="AB191" s="384"/>
      <c r="AC191" s="384"/>
      <c r="AD191" s="384"/>
      <c r="AE191" s="384"/>
      <c r="AF191" s="384"/>
      <c r="AG191" s="384"/>
      <c r="AH191" s="384"/>
      <c r="AI191" s="384"/>
      <c r="AJ191" s="384"/>
      <c r="AK191" s="384"/>
      <c r="AL191" s="384"/>
      <c r="AM191" s="384"/>
    </row>
    <row r="192" spans="1:39" ht="15.75" customHeight="1">
      <c r="A192" s="886">
        <v>33</v>
      </c>
      <c r="B192" s="1583"/>
      <c r="C192" s="303"/>
      <c r="D192" s="2131"/>
      <c r="E192" s="303"/>
      <c r="F192" s="2132"/>
      <c r="G192" s="303"/>
      <c r="H192" s="274"/>
      <c r="I192" s="275"/>
      <c r="J192" s="284"/>
      <c r="K192" s="275"/>
      <c r="L192" s="275"/>
      <c r="M192" s="272"/>
      <c r="N192" s="272"/>
      <c r="O192" s="272"/>
      <c r="P192" s="278"/>
      <c r="Q192" s="302"/>
      <c r="R192" s="1134"/>
      <c r="S192" s="952"/>
      <c r="T192" s="952"/>
      <c r="U192" s="485"/>
      <c r="V192" s="485"/>
      <c r="W192" s="382"/>
      <c r="X192" s="282">
        <f t="shared" ca="1" si="46"/>
        <v>126</v>
      </c>
      <c r="Y192" s="382"/>
      <c r="Z192" s="382"/>
      <c r="AA192" s="311"/>
      <c r="AB192" s="311"/>
      <c r="AC192" s="311"/>
      <c r="AD192" s="311"/>
      <c r="AE192" s="311"/>
      <c r="AF192" s="311"/>
      <c r="AG192" s="311"/>
      <c r="AH192" s="311"/>
      <c r="AI192" s="311"/>
      <c r="AJ192" s="311"/>
      <c r="AK192" s="311"/>
      <c r="AL192" s="311"/>
      <c r="AM192" s="311"/>
    </row>
    <row r="193" spans="1:39" ht="15.75" customHeight="1">
      <c r="A193" s="886">
        <v>34</v>
      </c>
      <c r="B193" s="1583"/>
      <c r="C193" s="274"/>
      <c r="D193" s="1284"/>
      <c r="E193" s="491"/>
      <c r="F193" s="286"/>
      <c r="G193" s="303"/>
      <c r="H193" s="284"/>
      <c r="I193" s="275"/>
      <c r="J193" s="284"/>
      <c r="K193" s="275"/>
      <c r="L193" s="274"/>
      <c r="M193" s="272"/>
      <c r="N193" s="272"/>
      <c r="O193" s="272"/>
      <c r="P193" s="279"/>
      <c r="Q193" s="279"/>
      <c r="R193" s="1134"/>
      <c r="S193" s="952"/>
      <c r="T193" s="952"/>
      <c r="U193" s="485"/>
      <c r="V193" s="382"/>
      <c r="W193" s="282"/>
      <c r="X193" s="79"/>
      <c r="Y193" s="395"/>
      <c r="Z193" s="79"/>
      <c r="AA193" s="384"/>
      <c r="AB193" s="384"/>
      <c r="AC193" s="384"/>
      <c r="AD193" s="384"/>
      <c r="AE193" s="384"/>
      <c r="AF193" s="384"/>
      <c r="AG193" s="384"/>
      <c r="AH193" s="384"/>
      <c r="AI193" s="384"/>
      <c r="AJ193" s="384"/>
      <c r="AK193" s="384"/>
      <c r="AL193" s="384"/>
      <c r="AM193" s="384"/>
    </row>
    <row r="194" spans="1:39" ht="15.75" customHeight="1">
      <c r="A194" s="886">
        <v>35</v>
      </c>
      <c r="B194" s="401"/>
      <c r="C194" s="274"/>
      <c r="D194" s="306"/>
      <c r="E194" s="681"/>
      <c r="F194" s="1700"/>
      <c r="G194" s="284"/>
      <c r="H194" s="284"/>
      <c r="I194" s="391"/>
      <c r="J194" s="391"/>
      <c r="K194" s="275"/>
      <c r="L194" s="274"/>
      <c r="M194" s="289"/>
      <c r="N194" s="390"/>
      <c r="O194" s="400"/>
      <c r="P194" s="272"/>
      <c r="Q194" s="272"/>
      <c r="R194" s="393"/>
      <c r="S194" s="403"/>
      <c r="T194" s="403"/>
      <c r="U194" s="393"/>
      <c r="V194" s="383"/>
      <c r="W194" s="395"/>
      <c r="X194" s="79"/>
      <c r="Y194" s="395"/>
      <c r="Z194" s="79"/>
      <c r="AA194" s="384"/>
      <c r="AB194" s="208">
        <f ca="1">INT((TODAY()-M194)/365)</f>
        <v>126</v>
      </c>
      <c r="AC194" s="384"/>
      <c r="AE194" s="384"/>
      <c r="AF194" s="384"/>
    </row>
    <row r="195" spans="1:39" ht="15.75" customHeight="1">
      <c r="A195" s="886">
        <v>37</v>
      </c>
      <c r="B195" s="1583"/>
      <c r="C195" s="274"/>
      <c r="D195" s="1284"/>
      <c r="E195" s="491"/>
      <c r="F195" s="286"/>
      <c r="G195" s="303"/>
      <c r="H195" s="274"/>
      <c r="I195" s="275"/>
      <c r="J195" s="275"/>
      <c r="K195" s="275"/>
      <c r="L195" s="274"/>
      <c r="M195" s="272"/>
      <c r="N195" s="272"/>
      <c r="O195" s="272"/>
      <c r="P195" s="279"/>
      <c r="Q195" s="302"/>
      <c r="R195" s="1134"/>
      <c r="S195" s="952"/>
      <c r="T195" s="952"/>
      <c r="U195" s="485"/>
      <c r="V195" s="382"/>
      <c r="W195" s="382"/>
      <c r="X195" s="282">
        <f t="shared" ref="X195:X196" ca="1" si="47">INT((TODAY()-M195)/365)</f>
        <v>126</v>
      </c>
      <c r="Y195" s="3"/>
      <c r="Z195" s="79"/>
    </row>
    <row r="196" spans="1:39" ht="15.75" customHeight="1">
      <c r="A196" s="886">
        <v>38</v>
      </c>
      <c r="B196" s="1583"/>
      <c r="C196" s="274"/>
      <c r="D196" s="1567"/>
      <c r="E196" s="303"/>
      <c r="F196" s="286"/>
      <c r="G196" s="303"/>
      <c r="H196" s="274"/>
      <c r="I196" s="275"/>
      <c r="J196" s="284"/>
      <c r="K196" s="275"/>
      <c r="L196" s="274"/>
      <c r="M196" s="272"/>
      <c r="N196" s="272"/>
      <c r="O196" s="272"/>
      <c r="P196" s="279"/>
      <c r="Q196" s="279"/>
      <c r="R196" s="1134"/>
      <c r="S196" s="952"/>
      <c r="T196" s="952"/>
      <c r="U196" s="485"/>
      <c r="V196" s="382"/>
      <c r="W196" s="382"/>
      <c r="X196" s="282">
        <f t="shared" ca="1" si="47"/>
        <v>126</v>
      </c>
      <c r="Y196" s="382"/>
      <c r="Z196" s="382"/>
      <c r="AA196" s="311"/>
      <c r="AB196" s="311"/>
      <c r="AC196" s="311"/>
      <c r="AD196" s="311"/>
      <c r="AE196" s="311"/>
      <c r="AF196" s="311"/>
      <c r="AG196" s="311"/>
      <c r="AH196" s="311"/>
      <c r="AI196" s="311"/>
      <c r="AJ196" s="311"/>
      <c r="AK196" s="311"/>
      <c r="AL196" s="311"/>
      <c r="AM196" s="311"/>
    </row>
    <row r="197" spans="1:39" ht="15.75" customHeight="1">
      <c r="A197" s="886">
        <v>39</v>
      </c>
      <c r="B197" s="1583"/>
      <c r="C197" s="303"/>
      <c r="D197" s="1567"/>
      <c r="E197" s="491"/>
      <c r="F197" s="2132"/>
      <c r="G197" s="274"/>
      <c r="H197" s="274"/>
      <c r="I197" s="275"/>
      <c r="J197" s="284"/>
      <c r="K197" s="275"/>
      <c r="L197" s="275"/>
      <c r="M197" s="272"/>
      <c r="N197" s="272"/>
      <c r="O197" s="279"/>
      <c r="P197" s="278"/>
      <c r="Q197" s="419"/>
      <c r="R197" s="1134"/>
      <c r="S197" s="485"/>
      <c r="T197" s="952"/>
      <c r="U197" s="485"/>
      <c r="V197" s="485"/>
      <c r="W197" s="282"/>
      <c r="X197" s="382"/>
      <c r="Y197" s="382"/>
      <c r="Z197" s="382"/>
      <c r="AA197" s="311"/>
      <c r="AB197" s="311"/>
      <c r="AC197" s="311"/>
      <c r="AD197" s="311"/>
      <c r="AE197" s="311"/>
      <c r="AF197" s="311"/>
      <c r="AG197" s="311"/>
      <c r="AH197" s="311"/>
      <c r="AI197" s="311"/>
      <c r="AJ197" s="311"/>
      <c r="AK197" s="311"/>
      <c r="AL197" s="311"/>
      <c r="AM197" s="311"/>
    </row>
    <row r="198" spans="1:39" ht="15.75" customHeight="1">
      <c r="A198" s="886">
        <v>40</v>
      </c>
      <c r="B198" s="1583"/>
      <c r="C198" s="274"/>
      <c r="D198" s="1567"/>
      <c r="E198" s="565"/>
      <c r="F198" s="286"/>
      <c r="G198" s="284"/>
      <c r="H198" s="274"/>
      <c r="I198" s="284"/>
      <c r="J198" s="284"/>
      <c r="K198" s="275"/>
      <c r="L198" s="439"/>
      <c r="M198" s="272"/>
      <c r="N198" s="272"/>
      <c r="O198" s="272"/>
      <c r="P198" s="272"/>
      <c r="Q198" s="419"/>
      <c r="R198" s="998"/>
      <c r="S198" s="1160"/>
      <c r="T198" s="952"/>
      <c r="U198" s="485"/>
      <c r="V198" s="382"/>
      <c r="W198" s="382"/>
      <c r="X198" s="282">
        <f t="shared" ref="X198:X200" ca="1" si="48">INT((TODAY()-M198)/365)</f>
        <v>126</v>
      </c>
      <c r="Y198" s="3"/>
      <c r="Z198" s="79"/>
    </row>
    <row r="199" spans="1:39" ht="15.75" customHeight="1">
      <c r="A199" s="886">
        <v>41</v>
      </c>
      <c r="B199" s="1583"/>
      <c r="C199" s="274"/>
      <c r="D199" s="1567"/>
      <c r="E199" s="491"/>
      <c r="F199" s="286"/>
      <c r="G199" s="274"/>
      <c r="H199" s="274"/>
      <c r="I199" s="275"/>
      <c r="J199" s="275"/>
      <c r="K199" s="275"/>
      <c r="L199" s="275"/>
      <c r="M199" s="272"/>
      <c r="N199" s="272"/>
      <c r="O199" s="272"/>
      <c r="P199" s="300"/>
      <c r="Q199" s="272"/>
      <c r="R199" s="998"/>
      <c r="S199" s="485"/>
      <c r="T199" s="952"/>
      <c r="U199" s="485"/>
      <c r="V199" s="382"/>
      <c r="W199" s="382"/>
      <c r="X199" s="282">
        <f t="shared" ca="1" si="48"/>
        <v>126</v>
      </c>
      <c r="Y199" s="3"/>
      <c r="Z199" s="79"/>
    </row>
    <row r="200" spans="1:39" ht="15.75" customHeight="1">
      <c r="A200" s="886">
        <v>42</v>
      </c>
      <c r="B200" s="1583"/>
      <c r="C200" s="274"/>
      <c r="D200" s="1284"/>
      <c r="E200" s="303"/>
      <c r="F200" s="286"/>
      <c r="G200" s="303"/>
      <c r="H200" s="274"/>
      <c r="I200" s="275"/>
      <c r="J200" s="284"/>
      <c r="K200" s="275"/>
      <c r="L200" s="275"/>
      <c r="M200" s="272"/>
      <c r="N200" s="272"/>
      <c r="O200" s="272"/>
      <c r="P200" s="315"/>
      <c r="Q200" s="272"/>
      <c r="R200" s="1134"/>
      <c r="S200" s="485"/>
      <c r="T200" s="952"/>
      <c r="U200" s="485"/>
      <c r="V200" s="382"/>
      <c r="W200" s="382"/>
      <c r="X200" s="282">
        <f t="shared" ca="1" si="48"/>
        <v>126</v>
      </c>
      <c r="Y200" s="382"/>
      <c r="Z200" s="382"/>
      <c r="AA200" s="311"/>
      <c r="AB200" s="311"/>
      <c r="AC200" s="311"/>
      <c r="AD200" s="311"/>
      <c r="AE200" s="311"/>
      <c r="AF200" s="311"/>
      <c r="AG200" s="311"/>
      <c r="AH200" s="311"/>
      <c r="AI200" s="311"/>
      <c r="AJ200" s="311"/>
      <c r="AK200" s="311"/>
      <c r="AL200" s="311"/>
      <c r="AM200" s="311"/>
    </row>
    <row r="201" spans="1:39" ht="15.75" customHeight="1">
      <c r="A201" s="886">
        <v>44</v>
      </c>
      <c r="B201" s="1583"/>
      <c r="C201" s="274"/>
      <c r="D201" s="1284"/>
      <c r="E201" s="491"/>
      <c r="F201" s="286"/>
      <c r="G201" s="274"/>
      <c r="H201" s="284"/>
      <c r="I201" s="275"/>
      <c r="J201" s="275"/>
      <c r="K201" s="275"/>
      <c r="L201" s="274"/>
      <c r="M201" s="272"/>
      <c r="N201" s="272"/>
      <c r="O201" s="272"/>
      <c r="P201" s="279"/>
      <c r="Q201" s="316"/>
      <c r="R201" s="952"/>
      <c r="S201" s="952"/>
      <c r="T201" s="952"/>
      <c r="U201" s="485"/>
      <c r="V201" s="382"/>
      <c r="W201" s="282"/>
      <c r="X201" s="3"/>
      <c r="Y201" s="3"/>
      <c r="Z201" s="79"/>
    </row>
    <row r="202" spans="1:39" ht="15.75" customHeight="1">
      <c r="A202" s="886">
        <v>45</v>
      </c>
      <c r="B202" s="1583"/>
      <c r="C202" s="303"/>
      <c r="D202" s="1284"/>
      <c r="E202" s="491"/>
      <c r="F202" s="286"/>
      <c r="G202" s="274"/>
      <c r="H202" s="284"/>
      <c r="I202" s="275"/>
      <c r="J202" s="275"/>
      <c r="K202" s="275"/>
      <c r="L202" s="274"/>
      <c r="M202" s="272"/>
      <c r="N202" s="272"/>
      <c r="O202" s="272"/>
      <c r="P202" s="279"/>
      <c r="Q202" s="316"/>
      <c r="R202" s="1134"/>
      <c r="S202" s="485"/>
      <c r="T202" s="952"/>
      <c r="U202" s="485"/>
      <c r="V202" s="382"/>
      <c r="W202" s="382"/>
      <c r="X202" s="282">
        <f ca="1">INT((TODAY()-M202)/365)</f>
        <v>126</v>
      </c>
      <c r="Y202" s="79"/>
      <c r="Z202" s="79"/>
    </row>
    <row r="203" spans="1:39" ht="15.75" customHeight="1">
      <c r="A203" s="886">
        <v>46</v>
      </c>
      <c r="B203" s="1583"/>
      <c r="C203" s="303"/>
      <c r="D203" s="1567"/>
      <c r="E203" s="491"/>
      <c r="F203" s="2132"/>
      <c r="G203" s="274"/>
      <c r="H203" s="274"/>
      <c r="I203" s="275"/>
      <c r="J203" s="275"/>
      <c r="K203" s="275"/>
      <c r="L203" s="274"/>
      <c r="M203" s="272"/>
      <c r="N203" s="272"/>
      <c r="O203" s="272"/>
      <c r="P203" s="278"/>
      <c r="Q203" s="419"/>
      <c r="R203" s="1134"/>
      <c r="S203" s="485"/>
      <c r="T203" s="952"/>
      <c r="U203" s="485"/>
      <c r="V203" s="485"/>
      <c r="W203" s="282"/>
      <c r="X203" s="382"/>
      <c r="Y203" s="382"/>
      <c r="Z203" s="382"/>
      <c r="AA203" s="311"/>
      <c r="AB203" s="311"/>
      <c r="AC203" s="311"/>
      <c r="AD203" s="311"/>
      <c r="AE203" s="311"/>
      <c r="AF203" s="311"/>
      <c r="AG203" s="311"/>
      <c r="AH203" s="311"/>
      <c r="AI203" s="311"/>
      <c r="AJ203" s="311"/>
      <c r="AK203" s="311"/>
      <c r="AL203" s="311"/>
      <c r="AM203" s="311"/>
    </row>
    <row r="204" spans="1:39" ht="15.75" customHeight="1">
      <c r="A204" s="886">
        <v>47</v>
      </c>
      <c r="B204" s="1882"/>
      <c r="C204" s="303"/>
      <c r="D204" s="2091"/>
      <c r="E204" s="1828"/>
      <c r="F204" s="2132"/>
      <c r="G204" s="875"/>
      <c r="H204" s="274"/>
      <c r="I204" s="307"/>
      <c r="J204" s="703"/>
      <c r="K204" s="275"/>
      <c r="L204" s="303"/>
      <c r="M204" s="315"/>
      <c r="N204" s="315"/>
      <c r="O204" s="315"/>
      <c r="P204" s="278"/>
      <c r="Q204" s="419"/>
      <c r="R204" s="285"/>
      <c r="S204" s="317"/>
      <c r="T204" s="317"/>
      <c r="U204" s="285"/>
      <c r="V204" s="285"/>
      <c r="W204" s="282"/>
      <c r="X204" s="3"/>
      <c r="Y204" s="3"/>
      <c r="Z204" s="79"/>
    </row>
    <row r="205" spans="1:39" ht="15.75" customHeight="1">
      <c r="A205" s="886">
        <v>49</v>
      </c>
      <c r="B205" s="1583"/>
      <c r="C205" s="303"/>
      <c r="D205" s="1567"/>
      <c r="E205" s="303"/>
      <c r="F205" s="2132"/>
      <c r="G205" s="303"/>
      <c r="H205" s="274"/>
      <c r="I205" s="275"/>
      <c r="J205" s="284"/>
      <c r="K205" s="275"/>
      <c r="L205" s="303"/>
      <c r="M205" s="272"/>
      <c r="N205" s="272"/>
      <c r="O205" s="272"/>
      <c r="P205" s="278"/>
      <c r="Q205" s="302"/>
      <c r="R205" s="280"/>
      <c r="S205" s="952"/>
      <c r="T205" s="952"/>
      <c r="U205" s="485"/>
      <c r="V205" s="485"/>
      <c r="W205" s="382"/>
      <c r="X205" s="282">
        <f t="shared" ref="X205:X207" ca="1" si="49">INT((TODAY()-M205)/365)</f>
        <v>126</v>
      </c>
      <c r="Y205" s="382"/>
      <c r="Z205" s="382"/>
      <c r="AA205" s="311"/>
      <c r="AB205" s="311"/>
      <c r="AC205" s="311"/>
      <c r="AD205" s="311"/>
      <c r="AE205" s="311"/>
      <c r="AF205" s="311"/>
      <c r="AG205" s="311"/>
      <c r="AH205" s="311"/>
      <c r="AI205" s="311"/>
      <c r="AJ205" s="311"/>
      <c r="AK205" s="311"/>
      <c r="AL205" s="311"/>
      <c r="AM205" s="311"/>
    </row>
    <row r="206" spans="1:39" ht="15.75" customHeight="1">
      <c r="A206" s="886">
        <v>50</v>
      </c>
      <c r="B206" s="1734"/>
      <c r="C206" s="274"/>
      <c r="D206" s="1567"/>
      <c r="E206" s="274"/>
      <c r="F206" s="286"/>
      <c r="G206" s="274"/>
      <c r="H206" s="274"/>
      <c r="I206" s="275"/>
      <c r="J206" s="284"/>
      <c r="K206" s="275"/>
      <c r="L206" s="274"/>
      <c r="M206" s="272"/>
      <c r="N206" s="272"/>
      <c r="O206" s="272"/>
      <c r="P206" s="272"/>
      <c r="Q206" s="302"/>
      <c r="R206" s="998"/>
      <c r="S206" s="485"/>
      <c r="T206" s="79"/>
      <c r="U206" s="485"/>
      <c r="V206" s="382"/>
      <c r="W206" s="382"/>
      <c r="X206" s="282">
        <f t="shared" ca="1" si="49"/>
        <v>126</v>
      </c>
      <c r="Y206" s="382"/>
      <c r="Z206" s="382"/>
      <c r="AA206" s="311"/>
      <c r="AB206" s="311"/>
      <c r="AC206" s="311"/>
      <c r="AD206" s="311"/>
      <c r="AE206" s="311"/>
      <c r="AF206" s="311"/>
      <c r="AG206" s="311"/>
      <c r="AH206" s="311"/>
      <c r="AI206" s="311"/>
      <c r="AJ206" s="311"/>
      <c r="AK206" s="311"/>
      <c r="AL206" s="311"/>
      <c r="AM206" s="311"/>
    </row>
    <row r="207" spans="1:39" ht="15.75" customHeight="1">
      <c r="A207" s="886">
        <v>51</v>
      </c>
      <c r="B207" s="1882"/>
      <c r="C207" s="303"/>
      <c r="D207" s="2091"/>
      <c r="E207" s="875"/>
      <c r="F207" s="2132"/>
      <c r="G207" s="875"/>
      <c r="H207" s="274"/>
      <c r="I207" s="307"/>
      <c r="J207" s="703"/>
      <c r="K207" s="275"/>
      <c r="L207" s="274"/>
      <c r="M207" s="278"/>
      <c r="N207" s="315"/>
      <c r="O207" s="315"/>
      <c r="P207" s="278"/>
      <c r="Q207" s="915"/>
      <c r="R207" s="280"/>
      <c r="S207" s="338"/>
      <c r="T207" s="317"/>
      <c r="U207" s="317"/>
      <c r="V207" s="285"/>
      <c r="W207" s="3"/>
      <c r="X207" s="282">
        <f t="shared" ca="1" si="49"/>
        <v>126</v>
      </c>
      <c r="Y207" s="79"/>
      <c r="Z207" s="79"/>
    </row>
    <row r="208" spans="1:39" ht="15.75" customHeight="1">
      <c r="A208" s="886">
        <v>52</v>
      </c>
      <c r="B208" s="1583"/>
      <c r="C208" s="303"/>
      <c r="D208" s="1567"/>
      <c r="E208" s="491"/>
      <c r="F208" s="286"/>
      <c r="G208" s="303"/>
      <c r="H208" s="274"/>
      <c r="I208" s="275"/>
      <c r="J208" s="275"/>
      <c r="K208" s="275"/>
      <c r="L208" s="274"/>
      <c r="M208" s="272"/>
      <c r="N208" s="272"/>
      <c r="O208" s="272"/>
      <c r="P208" s="278"/>
      <c r="Q208" s="419"/>
      <c r="R208" s="280"/>
      <c r="S208" s="952"/>
      <c r="T208" s="952"/>
      <c r="U208" s="485"/>
      <c r="V208" s="485"/>
      <c r="W208" s="282"/>
      <c r="X208" s="382"/>
      <c r="Y208" s="382"/>
      <c r="Z208" s="382"/>
      <c r="AA208" s="311"/>
      <c r="AB208" s="311"/>
      <c r="AC208" s="311"/>
      <c r="AD208" s="311"/>
      <c r="AE208" s="311"/>
      <c r="AF208" s="311"/>
      <c r="AG208" s="311"/>
      <c r="AH208" s="311"/>
      <c r="AI208" s="311"/>
      <c r="AJ208" s="311"/>
      <c r="AK208" s="311"/>
      <c r="AL208" s="311"/>
      <c r="AM208" s="311"/>
    </row>
    <row r="209" spans="1:39" ht="15.75" customHeight="1">
      <c r="A209" s="886">
        <v>53</v>
      </c>
      <c r="B209" s="1583"/>
      <c r="C209" s="1876"/>
      <c r="D209" s="2133"/>
      <c r="E209" s="303"/>
      <c r="F209" s="286"/>
      <c r="G209" s="303"/>
      <c r="H209" s="274"/>
      <c r="I209" s="1923"/>
      <c r="J209" s="601"/>
      <c r="K209" s="275"/>
      <c r="L209" s="303"/>
      <c r="M209" s="272"/>
      <c r="N209" s="272"/>
      <c r="O209" s="272"/>
      <c r="P209" s="279"/>
      <c r="Q209" s="302"/>
      <c r="R209" s="998"/>
      <c r="S209" s="1160"/>
      <c r="T209" s="317"/>
      <c r="U209" s="280"/>
      <c r="V209" s="485"/>
      <c r="W209" s="382"/>
      <c r="X209" s="282">
        <f t="shared" ref="X209:X210" ca="1" si="50">INT((TODAY()-M209)/365)</f>
        <v>126</v>
      </c>
      <c r="Y209" s="382"/>
      <c r="Z209" s="382"/>
      <c r="AA209" s="311"/>
      <c r="AB209" s="311"/>
      <c r="AC209" s="311"/>
      <c r="AD209" s="311"/>
      <c r="AE209" s="311"/>
      <c r="AF209" s="311"/>
      <c r="AG209" s="311"/>
      <c r="AH209" s="311"/>
      <c r="AI209" s="311"/>
      <c r="AJ209" s="311"/>
      <c r="AK209" s="311"/>
      <c r="AL209" s="311"/>
      <c r="AM209" s="311"/>
    </row>
    <row r="210" spans="1:39" ht="15.75" customHeight="1">
      <c r="A210" s="886">
        <v>55</v>
      </c>
      <c r="B210" s="1096"/>
      <c r="C210" s="284"/>
      <c r="D210" s="543"/>
      <c r="E210" s="303"/>
      <c r="F210" s="286"/>
      <c r="G210" s="303"/>
      <c r="H210" s="274"/>
      <c r="I210" s="391"/>
      <c r="J210" s="275"/>
      <c r="K210" s="275"/>
      <c r="L210" s="274"/>
      <c r="M210" s="390"/>
      <c r="N210" s="390"/>
      <c r="O210" s="400"/>
      <c r="P210" s="272"/>
      <c r="Q210" s="272"/>
      <c r="R210" s="393"/>
      <c r="S210" s="403"/>
      <c r="T210" s="403"/>
      <c r="U210" s="393"/>
      <c r="V210" s="383"/>
      <c r="W210" s="395"/>
      <c r="X210" s="282">
        <f t="shared" ca="1" si="50"/>
        <v>126</v>
      </c>
      <c r="Y210" s="382"/>
      <c r="Z210" s="382"/>
      <c r="AA210" s="311"/>
      <c r="AB210" s="311"/>
      <c r="AC210" s="311"/>
      <c r="AD210" s="311"/>
      <c r="AE210" s="311"/>
      <c r="AF210" s="311"/>
      <c r="AG210" s="311"/>
      <c r="AH210" s="311"/>
      <c r="AI210" s="311"/>
      <c r="AJ210" s="311"/>
      <c r="AK210" s="311"/>
      <c r="AL210" s="311"/>
      <c r="AM210" s="311"/>
    </row>
    <row r="211" spans="1:39" ht="15.75" customHeight="1">
      <c r="A211" s="886">
        <v>57</v>
      </c>
      <c r="B211" s="1583"/>
      <c r="C211" s="274"/>
      <c r="D211" s="1567"/>
      <c r="E211" s="491"/>
      <c r="F211" s="286"/>
      <c r="G211" s="274"/>
      <c r="H211" s="284"/>
      <c r="I211" s="275"/>
      <c r="J211" s="275"/>
      <c r="K211" s="275"/>
      <c r="L211" s="274"/>
      <c r="M211" s="272"/>
      <c r="N211" s="272"/>
      <c r="O211" s="272"/>
      <c r="P211" s="279"/>
      <c r="Q211" s="279"/>
      <c r="R211" s="1134"/>
      <c r="S211" s="952"/>
      <c r="T211" s="952"/>
      <c r="U211" s="485"/>
      <c r="V211" s="382"/>
      <c r="W211" s="282"/>
      <c r="X211" s="382"/>
      <c r="Y211" s="382"/>
      <c r="Z211" s="382"/>
      <c r="AA211" s="311"/>
      <c r="AB211" s="311"/>
      <c r="AC211" s="311"/>
      <c r="AD211" s="311"/>
      <c r="AE211" s="311"/>
      <c r="AF211" s="311"/>
      <c r="AG211" s="311"/>
      <c r="AH211" s="311"/>
      <c r="AI211" s="311"/>
      <c r="AJ211" s="311"/>
      <c r="AK211" s="311"/>
      <c r="AL211" s="311"/>
      <c r="AM211" s="311"/>
    </row>
    <row r="212" spans="1:39" ht="15.75" customHeight="1">
      <c r="A212" s="886">
        <v>59</v>
      </c>
      <c r="B212" s="1583"/>
      <c r="C212" s="274"/>
      <c r="D212" s="1284"/>
      <c r="E212" s="303"/>
      <c r="F212" s="286"/>
      <c r="G212" s="303"/>
      <c r="H212" s="274"/>
      <c r="I212" s="275"/>
      <c r="J212" s="284"/>
      <c r="K212" s="275"/>
      <c r="L212" s="275"/>
      <c r="M212" s="272"/>
      <c r="N212" s="272"/>
      <c r="O212" s="272"/>
      <c r="P212" s="279"/>
      <c r="Q212" s="279"/>
      <c r="R212" s="952"/>
      <c r="S212" s="338"/>
      <c r="T212" s="952"/>
      <c r="U212" s="79"/>
      <c r="V212" s="382"/>
      <c r="W212" s="382"/>
      <c r="X212" s="282">
        <f t="shared" ref="X212:X221" ca="1" si="51">INT((TODAY()-M212)/365)</f>
        <v>126</v>
      </c>
      <c r="Y212" s="382"/>
      <c r="Z212" s="382"/>
      <c r="AA212" s="311"/>
      <c r="AB212" s="311"/>
      <c r="AC212" s="311"/>
      <c r="AD212" s="311"/>
      <c r="AE212" s="311"/>
      <c r="AF212" s="311"/>
      <c r="AG212" s="311"/>
      <c r="AH212" s="311"/>
      <c r="AI212" s="311"/>
      <c r="AJ212" s="311"/>
      <c r="AK212" s="311"/>
      <c r="AL212" s="311"/>
      <c r="AM212" s="311"/>
    </row>
    <row r="213" spans="1:39" ht="15.75" customHeight="1">
      <c r="A213" s="886">
        <v>60</v>
      </c>
      <c r="B213" s="1583"/>
      <c r="C213" s="274"/>
      <c r="D213" s="2101"/>
      <c r="E213" s="491"/>
      <c r="F213" s="286"/>
      <c r="G213" s="303"/>
      <c r="H213" s="274"/>
      <c r="I213" s="275"/>
      <c r="J213" s="275"/>
      <c r="K213" s="275"/>
      <c r="L213" s="274"/>
      <c r="M213" s="272"/>
      <c r="N213" s="272"/>
      <c r="O213" s="272"/>
      <c r="P213" s="272"/>
      <c r="Q213" s="302"/>
      <c r="R213" s="998"/>
      <c r="S213" s="485"/>
      <c r="T213" s="952"/>
      <c r="U213" s="79"/>
      <c r="V213" s="382"/>
      <c r="W213" s="382"/>
      <c r="X213" s="282">
        <f t="shared" ca="1" si="51"/>
        <v>126</v>
      </c>
      <c r="Y213" s="382"/>
      <c r="Z213" s="382"/>
      <c r="AA213" s="311"/>
      <c r="AB213" s="311"/>
      <c r="AC213" s="311"/>
      <c r="AD213" s="311"/>
      <c r="AE213" s="311"/>
      <c r="AF213" s="311"/>
      <c r="AG213" s="311"/>
      <c r="AH213" s="311"/>
      <c r="AI213" s="311"/>
      <c r="AJ213" s="311"/>
      <c r="AK213" s="311"/>
      <c r="AL213" s="311"/>
      <c r="AM213" s="311"/>
    </row>
    <row r="214" spans="1:39" ht="15.75" customHeight="1">
      <c r="A214" s="886">
        <v>61</v>
      </c>
      <c r="B214" s="1734"/>
      <c r="C214" s="274"/>
      <c r="D214" s="306"/>
      <c r="E214" s="274"/>
      <c r="F214" s="286"/>
      <c r="G214" s="274"/>
      <c r="H214" s="274"/>
      <c r="I214" s="275"/>
      <c r="J214" s="275"/>
      <c r="K214" s="275"/>
      <c r="L214" s="274"/>
      <c r="M214" s="289"/>
      <c r="N214" s="289"/>
      <c r="O214" s="272"/>
      <c r="P214" s="272"/>
      <c r="Q214" s="302"/>
      <c r="R214" s="294"/>
      <c r="S214" s="295"/>
      <c r="T214" s="888"/>
      <c r="U214" s="295"/>
      <c r="V214" s="297"/>
      <c r="W214" s="297"/>
      <c r="X214" s="282">
        <f t="shared" ca="1" si="51"/>
        <v>126</v>
      </c>
      <c r="Y214" s="382"/>
      <c r="Z214" s="382"/>
      <c r="AA214" s="311"/>
      <c r="AB214" s="311"/>
      <c r="AC214" s="311"/>
      <c r="AD214" s="311"/>
      <c r="AE214" s="311"/>
      <c r="AF214" s="311"/>
      <c r="AG214" s="311"/>
      <c r="AH214" s="311"/>
      <c r="AI214" s="311"/>
      <c r="AJ214" s="311"/>
      <c r="AK214" s="311"/>
      <c r="AL214" s="311"/>
      <c r="AM214" s="311"/>
    </row>
    <row r="215" spans="1:39" ht="15.75" customHeight="1">
      <c r="A215" s="886">
        <v>62</v>
      </c>
      <c r="B215" s="401"/>
      <c r="C215" s="274"/>
      <c r="D215" s="306"/>
      <c r="E215" s="674"/>
      <c r="F215" s="286"/>
      <c r="G215" s="303"/>
      <c r="H215" s="303"/>
      <c r="I215" s="391"/>
      <c r="J215" s="391"/>
      <c r="K215" s="275"/>
      <c r="L215" s="274"/>
      <c r="M215" s="289"/>
      <c r="N215" s="390"/>
      <c r="O215" s="400"/>
      <c r="P215" s="272"/>
      <c r="Q215" s="302"/>
      <c r="R215" s="403"/>
      <c r="S215" s="393"/>
      <c r="T215" s="403"/>
      <c r="U215" s="393"/>
      <c r="V215" s="383"/>
      <c r="W215" s="395"/>
      <c r="X215" s="282">
        <f t="shared" ca="1" si="51"/>
        <v>126</v>
      </c>
      <c r="Y215" s="3"/>
      <c r="Z215" s="79"/>
    </row>
    <row r="216" spans="1:39" ht="15.75" customHeight="1">
      <c r="A216" s="886">
        <v>63</v>
      </c>
      <c r="B216" s="1583"/>
      <c r="C216" s="274"/>
      <c r="D216" s="1567"/>
      <c r="E216" s="303"/>
      <c r="F216" s="286"/>
      <c r="G216" s="303"/>
      <c r="H216" s="274"/>
      <c r="I216" s="275"/>
      <c r="J216" s="284"/>
      <c r="K216" s="275"/>
      <c r="L216" s="274"/>
      <c r="M216" s="272"/>
      <c r="N216" s="272"/>
      <c r="O216" s="272"/>
      <c r="P216" s="272"/>
      <c r="Q216" s="302"/>
      <c r="R216" s="998"/>
      <c r="S216" s="485"/>
      <c r="T216" s="952"/>
      <c r="U216" s="485"/>
      <c r="V216" s="382"/>
      <c r="W216" s="382"/>
      <c r="X216" s="282">
        <f t="shared" ca="1" si="51"/>
        <v>126</v>
      </c>
      <c r="Y216" s="395"/>
      <c r="Z216" s="79"/>
      <c r="AA216" s="384"/>
      <c r="AB216" s="384"/>
      <c r="AC216" s="384"/>
      <c r="AD216" s="384"/>
      <c r="AE216" s="384"/>
      <c r="AF216" s="384"/>
      <c r="AG216" s="384"/>
      <c r="AH216" s="384"/>
      <c r="AI216" s="384"/>
      <c r="AJ216" s="384"/>
      <c r="AK216" s="384"/>
      <c r="AL216" s="384"/>
      <c r="AM216" s="384"/>
    </row>
    <row r="217" spans="1:39" ht="15.75" customHeight="1">
      <c r="A217" s="886">
        <v>64</v>
      </c>
      <c r="B217" s="365"/>
      <c r="C217" s="274"/>
      <c r="D217" s="2134"/>
      <c r="E217" s="18"/>
      <c r="F217" s="286"/>
      <c r="G217" s="366"/>
      <c r="H217" s="274"/>
      <c r="I217" s="369"/>
      <c r="J217" s="381"/>
      <c r="K217" s="275"/>
      <c r="L217" s="369"/>
      <c r="M217" s="368"/>
      <c r="N217" s="368"/>
      <c r="O217" s="371"/>
      <c r="P217" s="368"/>
      <c r="Q217" s="380"/>
      <c r="R217" s="372"/>
      <c r="S217" s="335"/>
      <c r="T217" s="372"/>
      <c r="U217" s="334"/>
      <c r="V217" s="375"/>
      <c r="W217" s="334"/>
      <c r="X217" s="282">
        <f t="shared" ca="1" si="51"/>
        <v>126</v>
      </c>
      <c r="Y217" s="382"/>
      <c r="Z217" s="382"/>
      <c r="AA217" s="311"/>
      <c r="AB217" s="311"/>
      <c r="AC217" s="311"/>
      <c r="AD217" s="311"/>
      <c r="AE217" s="311"/>
      <c r="AF217" s="311"/>
      <c r="AG217" s="311"/>
      <c r="AH217" s="311"/>
      <c r="AI217" s="311"/>
      <c r="AJ217" s="311"/>
      <c r="AK217" s="311"/>
      <c r="AL217" s="311"/>
      <c r="AM217" s="311"/>
    </row>
    <row r="218" spans="1:39" ht="15.75" customHeight="1">
      <c r="A218" s="886">
        <v>65</v>
      </c>
      <c r="B218" s="1882"/>
      <c r="C218" s="274"/>
      <c r="D218" s="510"/>
      <c r="E218" s="674"/>
      <c r="F218" s="286"/>
      <c r="G218" s="337"/>
      <c r="H218" s="274"/>
      <c r="I218" s="307"/>
      <c r="J218" s="703"/>
      <c r="K218" s="275"/>
      <c r="L218" s="307"/>
      <c r="M218" s="315"/>
      <c r="N218" s="315"/>
      <c r="O218" s="315"/>
      <c r="P218" s="315"/>
      <c r="Q218" s="302"/>
      <c r="R218" s="338"/>
      <c r="S218" s="317"/>
      <c r="T218" s="317"/>
      <c r="U218" s="285"/>
      <c r="V218" s="285"/>
      <c r="W218" s="3"/>
      <c r="X218" s="282">
        <f t="shared" ca="1" si="51"/>
        <v>126</v>
      </c>
      <c r="Y218" s="3"/>
      <c r="Z218" s="79"/>
    </row>
    <row r="219" spans="1:39" ht="15.75" customHeight="1">
      <c r="A219" s="886">
        <v>66</v>
      </c>
      <c r="B219" s="1882"/>
      <c r="C219" s="274"/>
      <c r="D219" s="2091"/>
      <c r="E219" s="18"/>
      <c r="F219" s="286"/>
      <c r="G219" s="337"/>
      <c r="H219" s="274"/>
      <c r="I219" s="307"/>
      <c r="J219" s="703"/>
      <c r="K219" s="275"/>
      <c r="L219" s="307"/>
      <c r="M219" s="315"/>
      <c r="N219" s="315"/>
      <c r="O219" s="315"/>
      <c r="P219" s="315"/>
      <c r="Q219" s="302"/>
      <c r="R219" s="317"/>
      <c r="S219" s="317"/>
      <c r="T219" s="317"/>
      <c r="U219" s="285"/>
      <c r="V219" s="285"/>
      <c r="W219" s="3"/>
      <c r="X219" s="282">
        <f t="shared" ca="1" si="51"/>
        <v>126</v>
      </c>
      <c r="Y219" s="382"/>
      <c r="Z219" s="382"/>
      <c r="AA219" s="311"/>
      <c r="AB219" s="311"/>
      <c r="AC219" s="311"/>
      <c r="AD219" s="311"/>
      <c r="AE219" s="311"/>
      <c r="AF219" s="311"/>
      <c r="AG219" s="311"/>
      <c r="AH219" s="311"/>
      <c r="AI219" s="311"/>
      <c r="AJ219" s="311"/>
      <c r="AK219" s="311"/>
      <c r="AL219" s="311"/>
      <c r="AM219" s="311"/>
    </row>
    <row r="220" spans="1:39" ht="15.75" customHeight="1">
      <c r="A220" s="886">
        <v>67</v>
      </c>
      <c r="B220" s="1882"/>
      <c r="C220" s="274"/>
      <c r="D220" s="2091"/>
      <c r="E220" s="674"/>
      <c r="F220" s="286"/>
      <c r="G220" s="337"/>
      <c r="H220" s="274"/>
      <c r="I220" s="307"/>
      <c r="J220" s="703"/>
      <c r="K220" s="275"/>
      <c r="L220" s="274"/>
      <c r="M220" s="315"/>
      <c r="N220" s="315"/>
      <c r="O220" s="315"/>
      <c r="P220" s="315"/>
      <c r="Q220" s="302"/>
      <c r="R220" s="317"/>
      <c r="S220" s="317"/>
      <c r="T220" s="317"/>
      <c r="U220" s="317"/>
      <c r="V220" s="285"/>
      <c r="W220" s="3"/>
      <c r="X220" s="282">
        <f t="shared" ca="1" si="51"/>
        <v>126</v>
      </c>
      <c r="Y220" s="382"/>
      <c r="Z220" s="382"/>
      <c r="AA220" s="311"/>
      <c r="AB220" s="311"/>
      <c r="AC220" s="311"/>
      <c r="AD220" s="311"/>
      <c r="AE220" s="311"/>
      <c r="AF220" s="311"/>
      <c r="AG220" s="311"/>
      <c r="AH220" s="311"/>
      <c r="AI220" s="311"/>
      <c r="AJ220" s="311"/>
      <c r="AK220" s="311"/>
      <c r="AL220" s="311"/>
      <c r="AM220" s="311"/>
    </row>
    <row r="221" spans="1:39" ht="15.75" customHeight="1">
      <c r="A221" s="886">
        <v>68</v>
      </c>
      <c r="B221" s="1882"/>
      <c r="C221" s="274"/>
      <c r="D221" s="2091"/>
      <c r="E221" s="674"/>
      <c r="F221" s="286"/>
      <c r="G221" s="337"/>
      <c r="H221" s="274"/>
      <c r="I221" s="307"/>
      <c r="J221" s="307"/>
      <c r="K221" s="275"/>
      <c r="L221" s="274"/>
      <c r="M221" s="315"/>
      <c r="N221" s="315"/>
      <c r="O221" s="315"/>
      <c r="P221" s="315"/>
      <c r="Q221" s="302"/>
      <c r="R221" s="317"/>
      <c r="S221" s="317"/>
      <c r="T221" s="317"/>
      <c r="U221" s="285"/>
      <c r="V221" s="285"/>
      <c r="W221" s="3"/>
      <c r="X221" s="282">
        <f t="shared" ca="1" si="51"/>
        <v>126</v>
      </c>
      <c r="Y221" s="382"/>
      <c r="Z221" s="382"/>
      <c r="AA221" s="382"/>
      <c r="AB221" s="382"/>
      <c r="AC221" s="382"/>
      <c r="AD221" s="382"/>
      <c r="AE221" s="382"/>
      <c r="AF221" s="382"/>
      <c r="AG221" s="382"/>
      <c r="AH221" s="382"/>
      <c r="AI221" s="311"/>
      <c r="AJ221" s="311"/>
      <c r="AK221" s="311"/>
      <c r="AL221" s="311"/>
      <c r="AM221" s="311"/>
    </row>
    <row r="222" spans="1:39" ht="15.75" customHeight="1">
      <c r="A222" s="886">
        <v>69</v>
      </c>
      <c r="B222" s="1583"/>
      <c r="C222" s="274"/>
      <c r="D222" s="306"/>
      <c r="E222" s="491"/>
      <c r="F222" s="1700"/>
      <c r="G222" s="303"/>
      <c r="H222" s="274"/>
      <c r="I222" s="275"/>
      <c r="J222" s="275"/>
      <c r="K222" s="18"/>
      <c r="L222" s="275"/>
      <c r="M222" s="272"/>
      <c r="N222" s="272"/>
      <c r="O222" s="272"/>
      <c r="P222" s="279"/>
      <c r="Q222" s="302"/>
      <c r="R222" s="485"/>
      <c r="S222" s="485"/>
      <c r="T222" s="952"/>
      <c r="U222" s="485"/>
      <c r="V222" s="485"/>
      <c r="W222" s="282"/>
      <c r="X222" s="382"/>
      <c r="Y222" s="382"/>
      <c r="Z222" s="382"/>
      <c r="AA222" s="311"/>
      <c r="AB222" s="311"/>
      <c r="AC222" s="311"/>
      <c r="AD222" s="311"/>
    </row>
    <row r="223" spans="1:39" ht="15.75" customHeight="1">
      <c r="A223" s="944">
        <v>1</v>
      </c>
      <c r="B223" s="1072"/>
      <c r="C223" s="303"/>
      <c r="D223" s="510"/>
      <c r="E223" s="681"/>
      <c r="F223" s="1690"/>
      <c r="G223" s="337"/>
      <c r="H223" s="1584"/>
      <c r="I223" s="307"/>
      <c r="J223" s="307"/>
      <c r="K223" s="275"/>
      <c r="L223" s="274"/>
      <c r="M223" s="315"/>
      <c r="N223" s="315"/>
      <c r="O223" s="315"/>
      <c r="P223" s="272"/>
      <c r="Q223" s="272"/>
      <c r="R223" s="317"/>
      <c r="S223" s="285"/>
      <c r="T223" s="317"/>
      <c r="U223" s="285"/>
      <c r="V223" s="285"/>
      <c r="W223" s="3"/>
      <c r="X223" s="3"/>
      <c r="Y223" s="3"/>
      <c r="Z223" s="79"/>
      <c r="AB223" s="311"/>
    </row>
    <row r="224" spans="1:39" ht="15.75" customHeight="1">
      <c r="A224" s="944">
        <v>2</v>
      </c>
      <c r="B224" s="2135"/>
      <c r="C224" s="18"/>
      <c r="D224" s="972"/>
      <c r="E224" s="18"/>
      <c r="F224" s="1700"/>
      <c r="G224" s="18"/>
      <c r="H224" s="2098"/>
      <c r="I224" s="432"/>
      <c r="J224" s="433"/>
      <c r="K224" s="275"/>
      <c r="L224" s="18"/>
      <c r="M224" s="418"/>
      <c r="N224" s="418"/>
      <c r="O224" s="320"/>
      <c r="P224" s="272"/>
      <c r="Q224" s="272"/>
      <c r="R224" s="338"/>
      <c r="S224" s="280"/>
      <c r="T224" s="280"/>
      <c r="U224" s="280"/>
      <c r="V224" s="79"/>
      <c r="W224" s="79"/>
      <c r="X224" s="282">
        <f ca="1">INT((TODAY()-M224)/365)</f>
        <v>126</v>
      </c>
      <c r="Y224" s="382"/>
      <c r="Z224" s="382"/>
      <c r="AA224" s="311"/>
      <c r="AB224" s="311"/>
      <c r="AC224" s="311"/>
      <c r="AD224" s="311"/>
      <c r="AE224" s="311"/>
      <c r="AF224" s="311"/>
      <c r="AG224" s="311"/>
      <c r="AH224" s="311"/>
      <c r="AI224" s="311"/>
      <c r="AJ224" s="311"/>
      <c r="AK224" s="311"/>
      <c r="AL224" s="311"/>
      <c r="AM224" s="311"/>
    </row>
    <row r="225" spans="1:39" ht="15.75" customHeight="1">
      <c r="A225" s="944">
        <v>3</v>
      </c>
      <c r="B225" s="2135"/>
      <c r="C225" s="18"/>
      <c r="D225" s="972"/>
      <c r="E225" s="18"/>
      <c r="F225" s="2105"/>
      <c r="G225" s="18"/>
      <c r="H225" s="2098"/>
      <c r="I225" s="3"/>
      <c r="J225" s="433"/>
      <c r="K225" s="275"/>
      <c r="L225" s="274"/>
      <c r="M225" s="418"/>
      <c r="N225" s="418"/>
      <c r="O225" s="428"/>
      <c r="P225" s="418"/>
      <c r="Q225" s="418"/>
      <c r="R225" s="338"/>
      <c r="S225" s="280"/>
      <c r="T225" s="79"/>
      <c r="U225" s="280"/>
      <c r="V225" s="280"/>
      <c r="W225" s="282"/>
      <c r="X225" s="79"/>
      <c r="Y225" s="79"/>
      <c r="Z225" s="79"/>
    </row>
    <row r="226" spans="1:39" ht="15.75" customHeight="1">
      <c r="A226" s="944">
        <v>4</v>
      </c>
      <c r="B226" s="2135"/>
      <c r="C226" s="18"/>
      <c r="D226" s="2136"/>
      <c r="E226" s="18"/>
      <c r="F226" s="286"/>
      <c r="G226" s="18"/>
      <c r="H226" s="2098"/>
      <c r="I226" s="3"/>
      <c r="J226" s="433"/>
      <c r="K226" s="275"/>
      <c r="L226" s="274"/>
      <c r="M226" s="418"/>
      <c r="N226" s="418"/>
      <c r="O226" s="428"/>
      <c r="P226" s="272"/>
      <c r="Q226" s="418"/>
      <c r="R226" s="338"/>
      <c r="S226" s="280"/>
      <c r="T226" s="280"/>
      <c r="U226" s="280"/>
      <c r="V226" s="280"/>
      <c r="W226" s="79"/>
      <c r="X226" s="282">
        <f ca="1">INT((TODAY()-M226)/365)</f>
        <v>126</v>
      </c>
      <c r="Y226" s="79"/>
      <c r="Z226" s="79"/>
    </row>
    <row r="227" spans="1:39" ht="15.75" customHeight="1">
      <c r="A227" s="944">
        <v>5</v>
      </c>
      <c r="B227" s="2135"/>
      <c r="C227" s="18"/>
      <c r="D227" s="972"/>
      <c r="E227" s="681"/>
      <c r="F227" s="2105"/>
      <c r="G227" s="18"/>
      <c r="H227" s="2098"/>
      <c r="I227" s="3"/>
      <c r="J227" s="433"/>
      <c r="K227" s="275"/>
      <c r="L227" s="18"/>
      <c r="M227" s="418"/>
      <c r="N227" s="418"/>
      <c r="O227" s="428"/>
      <c r="P227" s="272"/>
      <c r="Q227" s="418"/>
      <c r="R227" s="338"/>
      <c r="S227" s="280"/>
      <c r="T227" s="280"/>
      <c r="U227" s="280"/>
      <c r="V227" s="280"/>
      <c r="W227" s="282"/>
      <c r="X227" s="79"/>
      <c r="Y227" s="79"/>
      <c r="Z227" s="79"/>
    </row>
    <row r="228" spans="1:39" ht="15.75" customHeight="1">
      <c r="A228" s="944">
        <v>6</v>
      </c>
      <c r="B228" s="401"/>
      <c r="C228" s="275"/>
      <c r="D228" s="416"/>
      <c r="E228" s="274"/>
      <c r="F228" s="1700"/>
      <c r="G228" s="274"/>
      <c r="H228" s="2098"/>
      <c r="I228" s="275"/>
      <c r="J228" s="275"/>
      <c r="K228" s="275"/>
      <c r="L228" s="274"/>
      <c r="M228" s="272"/>
      <c r="N228" s="272"/>
      <c r="O228" s="320"/>
      <c r="P228" s="272"/>
      <c r="Q228" s="419"/>
      <c r="R228" s="338"/>
      <c r="S228" s="280"/>
      <c r="T228" s="79"/>
      <c r="U228" s="79"/>
      <c r="V228" s="435"/>
      <c r="W228" s="435"/>
      <c r="X228" s="435"/>
      <c r="Y228" s="382"/>
      <c r="Z228" s="382"/>
      <c r="AA228" s="311"/>
      <c r="AB228" s="311"/>
      <c r="AC228" s="311"/>
      <c r="AD228" s="311"/>
      <c r="AE228" s="311"/>
      <c r="AF228" s="311"/>
      <c r="AG228" s="311"/>
      <c r="AH228" s="311"/>
      <c r="AI228" s="311"/>
      <c r="AJ228" s="311"/>
      <c r="AK228" s="311"/>
      <c r="AL228" s="311"/>
      <c r="AM228" s="311"/>
    </row>
    <row r="229" spans="1:39" ht="15.75" customHeight="1">
      <c r="A229" s="944">
        <v>7</v>
      </c>
      <c r="B229" s="1694"/>
      <c r="C229" s="18"/>
      <c r="D229" s="2137"/>
      <c r="E229" s="681"/>
      <c r="F229" s="1690"/>
      <c r="G229" s="337"/>
      <c r="H229" s="1584"/>
      <c r="I229" s="303"/>
      <c r="J229" s="303"/>
      <c r="K229" s="275"/>
      <c r="L229" s="303"/>
      <c r="M229" s="315"/>
      <c r="N229" s="315"/>
      <c r="O229" s="315"/>
      <c r="P229" s="272"/>
      <c r="Q229" s="272"/>
      <c r="R229" s="317"/>
      <c r="S229" s="285"/>
      <c r="T229" s="317"/>
      <c r="U229" s="285"/>
      <c r="V229" s="285"/>
      <c r="W229" s="3"/>
      <c r="X229" s="3"/>
      <c r="Y229" s="3"/>
      <c r="Z229" s="79"/>
      <c r="AB229" s="311"/>
    </row>
    <row r="230" spans="1:39" ht="15.75" customHeight="1">
      <c r="A230" s="944">
        <v>8</v>
      </c>
      <c r="B230" s="2135"/>
      <c r="C230" s="18"/>
      <c r="D230" s="972"/>
      <c r="E230" s="18"/>
      <c r="F230" s="1700"/>
      <c r="G230" s="18"/>
      <c r="H230" s="2098"/>
      <c r="I230" s="432"/>
      <c r="J230" s="433"/>
      <c r="K230" s="275"/>
      <c r="L230" s="18"/>
      <c r="M230" s="272"/>
      <c r="N230" s="272"/>
      <c r="O230" s="428"/>
      <c r="P230" s="315"/>
      <c r="Q230" s="418"/>
      <c r="R230" s="2138"/>
      <c r="S230" s="280"/>
      <c r="T230" s="79"/>
      <c r="U230" s="79"/>
      <c r="V230" s="435"/>
      <c r="W230" s="435"/>
      <c r="X230" s="435"/>
      <c r="Y230" s="382"/>
      <c r="Z230" s="382"/>
      <c r="AA230" s="311"/>
      <c r="AB230" s="311"/>
      <c r="AC230" s="311"/>
      <c r="AD230" s="311"/>
      <c r="AE230" s="311"/>
      <c r="AF230" s="311"/>
      <c r="AG230" s="311"/>
      <c r="AH230" s="311"/>
      <c r="AI230" s="311"/>
      <c r="AJ230" s="311"/>
      <c r="AK230" s="311"/>
      <c r="AL230" s="311"/>
      <c r="AM230" s="311"/>
    </row>
    <row r="231" spans="1:39" ht="15.75" customHeight="1">
      <c r="A231" s="944">
        <v>9</v>
      </c>
      <c r="B231" s="401"/>
      <c r="C231" s="275"/>
      <c r="D231" s="416"/>
      <c r="E231" s="274"/>
      <c r="F231" s="1700"/>
      <c r="G231" s="274"/>
      <c r="H231" s="2098"/>
      <c r="I231" s="275"/>
      <c r="J231" s="284"/>
      <c r="K231" s="275"/>
      <c r="L231" s="275"/>
      <c r="M231" s="532"/>
      <c r="N231" s="272"/>
      <c r="O231" s="440"/>
      <c r="P231" s="272"/>
      <c r="Q231" s="419"/>
      <c r="R231" s="2139"/>
      <c r="S231" s="280"/>
      <c r="T231" s="79"/>
      <c r="U231" s="79"/>
      <c r="V231" s="435"/>
      <c r="W231" s="435"/>
      <c r="X231" s="435"/>
      <c r="Y231" s="382"/>
      <c r="Z231" s="382"/>
      <c r="AA231" s="311"/>
      <c r="AB231" s="311"/>
      <c r="AC231" s="311"/>
      <c r="AD231" s="311"/>
      <c r="AE231" s="311"/>
      <c r="AF231" s="311"/>
      <c r="AG231" s="311"/>
      <c r="AH231" s="311"/>
      <c r="AI231" s="311"/>
      <c r="AJ231" s="311"/>
      <c r="AK231" s="311"/>
      <c r="AL231" s="311"/>
      <c r="AM231" s="311"/>
    </row>
    <row r="232" spans="1:39" ht="15.75" customHeight="1">
      <c r="A232" s="944">
        <v>10</v>
      </c>
      <c r="B232" s="1694"/>
      <c r="C232" s="18"/>
      <c r="D232" s="2137"/>
      <c r="E232" s="681"/>
      <c r="F232" s="1690"/>
      <c r="G232" s="337"/>
      <c r="H232" s="1584"/>
      <c r="I232" s="303"/>
      <c r="J232" s="303"/>
      <c r="K232" s="275"/>
      <c r="L232" s="303"/>
      <c r="M232" s="315"/>
      <c r="N232" s="315"/>
      <c r="O232" s="315"/>
      <c r="P232" s="272"/>
      <c r="Q232" s="272"/>
      <c r="R232" s="317"/>
      <c r="S232" s="285"/>
      <c r="T232" s="317"/>
      <c r="U232" s="285"/>
      <c r="V232" s="285"/>
      <c r="W232" s="3"/>
      <c r="X232" s="3"/>
      <c r="Y232" s="3"/>
      <c r="Z232" s="79"/>
      <c r="AB232" s="311"/>
    </row>
    <row r="233" spans="1:39" ht="15.75" customHeight="1">
      <c r="A233" s="944">
        <v>11</v>
      </c>
      <c r="B233" s="2135"/>
      <c r="C233" s="18"/>
      <c r="D233" s="972"/>
      <c r="E233" s="18"/>
      <c r="F233" s="2105"/>
      <c r="G233" s="18"/>
      <c r="H233" s="2098"/>
      <c r="I233" s="3"/>
      <c r="J233" s="433"/>
      <c r="K233" s="275"/>
      <c r="L233" s="274"/>
      <c r="M233" s="418"/>
      <c r="N233" s="418"/>
      <c r="O233" s="428"/>
      <c r="P233" s="272"/>
      <c r="Q233" s="418"/>
      <c r="R233" s="338"/>
      <c r="S233" s="280"/>
      <c r="T233" s="280"/>
      <c r="U233" s="280"/>
      <c r="V233" s="280"/>
      <c r="W233" s="282"/>
      <c r="X233" s="79"/>
      <c r="Y233" s="79"/>
      <c r="Z233" s="79"/>
    </row>
    <row r="234" spans="1:39" ht="15.75" customHeight="1">
      <c r="A234" s="944">
        <v>12</v>
      </c>
      <c r="B234" s="2135"/>
      <c r="C234" s="18"/>
      <c r="D234" s="972"/>
      <c r="E234" s="18"/>
      <c r="F234" s="1700"/>
      <c r="G234" s="18"/>
      <c r="H234" s="2098"/>
      <c r="I234" s="432"/>
      <c r="J234" s="433"/>
      <c r="K234" s="275"/>
      <c r="L234" s="18"/>
      <c r="M234" s="272"/>
      <c r="N234" s="272"/>
      <c r="O234" s="428"/>
      <c r="P234" s="418"/>
      <c r="Q234" s="418"/>
      <c r="R234" s="338"/>
      <c r="S234" s="280"/>
      <c r="T234" s="79"/>
      <c r="U234" s="79"/>
      <c r="V234" s="435"/>
      <c r="W234" s="435"/>
      <c r="X234" s="435"/>
      <c r="Y234" s="382"/>
      <c r="Z234" s="382"/>
      <c r="AA234" s="311"/>
      <c r="AB234" s="311"/>
      <c r="AC234" s="311"/>
      <c r="AD234" s="311"/>
      <c r="AE234" s="311"/>
      <c r="AF234" s="311"/>
      <c r="AG234" s="311"/>
      <c r="AH234" s="311"/>
      <c r="AI234" s="311"/>
      <c r="AJ234" s="311"/>
      <c r="AK234" s="311"/>
      <c r="AL234" s="311"/>
      <c r="AM234" s="311"/>
    </row>
    <row r="235" spans="1:39" ht="15.75" customHeight="1">
      <c r="A235" s="944">
        <v>13</v>
      </c>
      <c r="B235" s="401"/>
      <c r="C235" s="275"/>
      <c r="D235" s="416"/>
      <c r="E235" s="274"/>
      <c r="F235" s="1700"/>
      <c r="G235" s="274"/>
      <c r="H235" s="2098"/>
      <c r="I235" s="275"/>
      <c r="J235" s="275"/>
      <c r="K235" s="275"/>
      <c r="L235" s="274"/>
      <c r="M235" s="272"/>
      <c r="N235" s="272"/>
      <c r="O235" s="320"/>
      <c r="P235" s="272"/>
      <c r="Q235" s="419"/>
      <c r="R235" s="338"/>
      <c r="S235" s="280"/>
      <c r="T235" s="79"/>
      <c r="U235" s="79"/>
      <c r="V235" s="79"/>
      <c r="W235" s="435"/>
      <c r="X235" s="435"/>
      <c r="Y235" s="79"/>
      <c r="Z235" s="79"/>
    </row>
    <row r="236" spans="1:39" ht="15.75" customHeight="1">
      <c r="A236" s="944">
        <v>14</v>
      </c>
      <c r="B236" s="2135"/>
      <c r="C236" s="18"/>
      <c r="D236" s="972"/>
      <c r="E236" s="18"/>
      <c r="F236" s="286"/>
      <c r="G236" s="18"/>
      <c r="H236" s="2098"/>
      <c r="I236" s="3"/>
      <c r="J236" s="433"/>
      <c r="K236" s="275"/>
      <c r="L236" s="274"/>
      <c r="M236" s="418"/>
      <c r="N236" s="418"/>
      <c r="O236" s="428"/>
      <c r="P236" s="418"/>
      <c r="Q236" s="418"/>
      <c r="R236" s="338"/>
      <c r="S236" s="280"/>
      <c r="T236" s="280"/>
      <c r="U236" s="280"/>
      <c r="V236" s="280"/>
      <c r="W236" s="79"/>
      <c r="X236" s="282">
        <f t="shared" ref="X236:X237" ca="1" si="52">INT((TODAY()-M236)/365)</f>
        <v>126</v>
      </c>
      <c r="Y236" s="79"/>
      <c r="Z236" s="79"/>
    </row>
    <row r="237" spans="1:39" ht="15.75" customHeight="1">
      <c r="A237" s="944">
        <v>15</v>
      </c>
      <c r="B237" s="2135"/>
      <c r="C237" s="18"/>
      <c r="D237" s="972"/>
      <c r="E237" s="18"/>
      <c r="F237" s="286"/>
      <c r="G237" s="18"/>
      <c r="H237" s="2098"/>
      <c r="I237" s="3"/>
      <c r="J237" s="433"/>
      <c r="K237" s="275"/>
      <c r="L237" s="18"/>
      <c r="M237" s="418"/>
      <c r="N237" s="418"/>
      <c r="O237" s="428"/>
      <c r="P237" s="418"/>
      <c r="Q237" s="418"/>
      <c r="R237" s="338"/>
      <c r="S237" s="280"/>
      <c r="T237" s="280"/>
      <c r="U237" s="280"/>
      <c r="V237" s="280"/>
      <c r="W237" s="79"/>
      <c r="X237" s="282">
        <f t="shared" ca="1" si="52"/>
        <v>126</v>
      </c>
      <c r="Y237" s="79"/>
      <c r="Z237" s="79"/>
    </row>
    <row r="238" spans="1:39" ht="15.75" customHeight="1">
      <c r="A238" s="944">
        <v>16</v>
      </c>
      <c r="B238" s="1072"/>
      <c r="C238" s="303"/>
      <c r="D238" s="510"/>
      <c r="E238" s="681"/>
      <c r="F238" s="1690"/>
      <c r="G238" s="337"/>
      <c r="H238" s="1584"/>
      <c r="I238" s="307"/>
      <c r="J238" s="307"/>
      <c r="K238" s="275"/>
      <c r="L238" s="303"/>
      <c r="M238" s="315"/>
      <c r="N238" s="315"/>
      <c r="O238" s="315"/>
      <c r="P238" s="272"/>
      <c r="Q238" s="272"/>
      <c r="R238" s="317"/>
      <c r="S238" s="285"/>
      <c r="T238" s="317"/>
      <c r="U238" s="285"/>
      <c r="V238" s="285"/>
      <c r="W238" s="3"/>
      <c r="X238" s="3"/>
      <c r="Y238" s="3"/>
      <c r="Z238" s="79"/>
      <c r="AB238" s="311"/>
    </row>
    <row r="239" spans="1:39" ht="15.75" customHeight="1">
      <c r="A239" s="944">
        <v>17</v>
      </c>
      <c r="B239" s="2135"/>
      <c r="C239" s="18"/>
      <c r="D239" s="972"/>
      <c r="E239" s="18"/>
      <c r="F239" s="2140"/>
      <c r="G239" s="18"/>
      <c r="H239" s="2098"/>
      <c r="I239" s="3"/>
      <c r="J239" s="433"/>
      <c r="K239" s="275"/>
      <c r="L239" s="303"/>
      <c r="M239" s="418"/>
      <c r="N239" s="418"/>
      <c r="O239" s="428"/>
      <c r="P239" s="418"/>
      <c r="Q239" s="418"/>
      <c r="R239" s="338"/>
      <c r="S239" s="280"/>
      <c r="T239" s="280"/>
      <c r="U239" s="280"/>
      <c r="V239" s="280"/>
      <c r="W239" s="79"/>
      <c r="X239" s="282">
        <f t="shared" ref="X239:X240" ca="1" si="53">INT((TODAY()-M239)/365)</f>
        <v>126</v>
      </c>
      <c r="Y239" s="79"/>
      <c r="Z239" s="79"/>
    </row>
    <row r="240" spans="1:39" ht="15.75" customHeight="1">
      <c r="A240" s="944">
        <v>18</v>
      </c>
      <c r="B240" s="2135"/>
      <c r="C240" s="18"/>
      <c r="D240" s="972"/>
      <c r="E240" s="18"/>
      <c r="F240" s="2140"/>
      <c r="G240" s="18"/>
      <c r="H240" s="2098"/>
      <c r="I240" s="3"/>
      <c r="J240" s="433"/>
      <c r="K240" s="275"/>
      <c r="L240" s="274"/>
      <c r="M240" s="418"/>
      <c r="N240" s="418"/>
      <c r="O240" s="428"/>
      <c r="P240" s="418"/>
      <c r="Q240" s="418"/>
      <c r="R240" s="338"/>
      <c r="S240" s="280"/>
      <c r="T240" s="280"/>
      <c r="U240" s="280"/>
      <c r="V240" s="280"/>
      <c r="W240" s="79"/>
      <c r="X240" s="282">
        <f t="shared" ca="1" si="53"/>
        <v>126</v>
      </c>
      <c r="Y240" s="79"/>
      <c r="Z240" s="79"/>
    </row>
    <row r="241" spans="1:39" ht="15.75" customHeight="1">
      <c r="A241" s="944">
        <v>19</v>
      </c>
      <c r="B241" s="2135"/>
      <c r="C241" s="18"/>
      <c r="D241" s="972"/>
      <c r="E241" s="18"/>
      <c r="F241" s="2105"/>
      <c r="G241" s="18"/>
      <c r="H241" s="2098"/>
      <c r="I241" s="3"/>
      <c r="J241" s="275"/>
      <c r="K241" s="275"/>
      <c r="L241" s="18"/>
      <c r="M241" s="418"/>
      <c r="N241" s="418"/>
      <c r="O241" s="428"/>
      <c r="P241" s="418"/>
      <c r="Q241" s="418"/>
      <c r="R241" s="338"/>
      <c r="S241" s="280"/>
      <c r="T241" s="79"/>
      <c r="U241" s="280"/>
      <c r="V241" s="280"/>
      <c r="W241" s="282"/>
      <c r="X241" s="79"/>
      <c r="Y241" s="79"/>
      <c r="Z241" s="79"/>
    </row>
    <row r="242" spans="1:39" ht="15.75" customHeight="1">
      <c r="A242" s="944">
        <v>20</v>
      </c>
      <c r="B242" s="1072"/>
      <c r="C242" s="303"/>
      <c r="D242" s="510"/>
      <c r="E242" s="681"/>
      <c r="F242" s="1690"/>
      <c r="G242" s="337"/>
      <c r="H242" s="1584"/>
      <c r="I242" s="307"/>
      <c r="J242" s="307"/>
      <c r="K242" s="275"/>
      <c r="L242" s="303"/>
      <c r="M242" s="315"/>
      <c r="N242" s="315"/>
      <c r="O242" s="315"/>
      <c r="P242" s="272"/>
      <c r="Q242" s="272"/>
      <c r="R242" s="317"/>
      <c r="S242" s="285"/>
      <c r="T242" s="317"/>
      <c r="U242" s="285"/>
      <c r="V242" s="285"/>
      <c r="W242" s="3"/>
      <c r="X242" s="3"/>
      <c r="Y242" s="3"/>
      <c r="Z242" s="79"/>
      <c r="AB242" s="311"/>
    </row>
    <row r="243" spans="1:39" ht="15.75" customHeight="1">
      <c r="A243" s="944">
        <v>21</v>
      </c>
      <c r="B243" s="1072"/>
      <c r="C243" s="303"/>
      <c r="D243" s="2136"/>
      <c r="E243" s="681"/>
      <c r="F243" s="1690"/>
      <c r="G243" s="337"/>
      <c r="H243" s="1584"/>
      <c r="I243" s="303"/>
      <c r="J243" s="303"/>
      <c r="K243" s="275"/>
      <c r="L243" s="274"/>
      <c r="M243" s="315"/>
      <c r="N243" s="315"/>
      <c r="O243" s="315"/>
      <c r="P243" s="272"/>
      <c r="Q243" s="272"/>
      <c r="R243" s="317"/>
      <c r="S243" s="285"/>
      <c r="T243" s="317"/>
      <c r="U243" s="285"/>
      <c r="V243" s="285"/>
      <c r="W243" s="3"/>
      <c r="X243" s="3"/>
      <c r="Y243" s="3"/>
      <c r="Z243" s="79"/>
      <c r="AB243" s="311"/>
    </row>
    <row r="244" spans="1:39" ht="15.75" customHeight="1">
      <c r="A244" s="944">
        <v>22</v>
      </c>
      <c r="B244" s="2135"/>
      <c r="C244" s="18"/>
      <c r="D244" s="1535"/>
      <c r="E244" s="18"/>
      <c r="F244" s="2140"/>
      <c r="G244" s="18"/>
      <c r="H244" s="2098"/>
      <c r="I244" s="3"/>
      <c r="J244" s="433"/>
      <c r="K244" s="275"/>
      <c r="L244" s="18"/>
      <c r="M244" s="418"/>
      <c r="N244" s="418"/>
      <c r="O244" s="428"/>
      <c r="P244" s="418"/>
      <c r="Q244" s="418"/>
      <c r="R244" s="338"/>
      <c r="S244" s="280"/>
      <c r="T244" s="280"/>
      <c r="U244" s="280"/>
      <c r="V244" s="280"/>
      <c r="W244" s="79"/>
      <c r="X244" s="282">
        <f ca="1">INT((TODAY()-M244)/365)</f>
        <v>126</v>
      </c>
      <c r="Y244" s="79"/>
      <c r="Z244" s="79"/>
    </row>
    <row r="245" spans="1:39" ht="15.75" customHeight="1">
      <c r="A245" s="944">
        <v>23</v>
      </c>
      <c r="B245" s="1072"/>
      <c r="C245" s="303"/>
      <c r="D245" s="510"/>
      <c r="E245" s="681"/>
      <c r="F245" s="1690"/>
      <c r="G245" s="337"/>
      <c r="H245" s="1584"/>
      <c r="I245" s="307"/>
      <c r="J245" s="307"/>
      <c r="K245" s="275"/>
      <c r="L245" s="303"/>
      <c r="M245" s="315"/>
      <c r="N245" s="315"/>
      <c r="O245" s="315"/>
      <c r="P245" s="272"/>
      <c r="Q245" s="272"/>
      <c r="R245" s="317"/>
      <c r="S245" s="285"/>
      <c r="T245" s="317"/>
      <c r="U245" s="285"/>
      <c r="V245" s="285"/>
      <c r="W245" s="3"/>
      <c r="X245" s="3"/>
      <c r="Y245" s="3"/>
      <c r="Z245" s="79"/>
      <c r="AB245" s="311"/>
    </row>
    <row r="246" spans="1:39" ht="15.75" customHeight="1">
      <c r="A246" s="944">
        <v>24</v>
      </c>
      <c r="B246" s="1072"/>
      <c r="C246" s="303"/>
      <c r="D246" s="510"/>
      <c r="E246" s="681"/>
      <c r="F246" s="1690"/>
      <c r="G246" s="337"/>
      <c r="H246" s="1584"/>
      <c r="I246" s="307"/>
      <c r="J246" s="307"/>
      <c r="K246" s="275"/>
      <c r="L246" s="303"/>
      <c r="M246" s="315"/>
      <c r="N246" s="315"/>
      <c r="O246" s="315"/>
      <c r="P246" s="272"/>
      <c r="Q246" s="272"/>
      <c r="R246" s="317"/>
      <c r="S246" s="285"/>
      <c r="T246" s="317"/>
      <c r="U246" s="285"/>
      <c r="V246" s="285"/>
      <c r="W246" s="3"/>
      <c r="X246" s="3"/>
      <c r="Y246" s="3"/>
      <c r="Z246" s="79"/>
      <c r="AB246" s="311"/>
    </row>
    <row r="247" spans="1:39" ht="15.75" customHeight="1">
      <c r="A247" s="944">
        <v>25</v>
      </c>
      <c r="B247" s="1096"/>
      <c r="C247" s="275"/>
      <c r="D247" s="495"/>
      <c r="E247" s="274"/>
      <c r="F247" s="1700"/>
      <c r="G247" s="274"/>
      <c r="H247" s="2098"/>
      <c r="I247" s="275"/>
      <c r="J247" s="284"/>
      <c r="K247" s="275"/>
      <c r="L247" s="274"/>
      <c r="M247" s="272"/>
      <c r="N247" s="272"/>
      <c r="O247" s="320"/>
      <c r="P247" s="272"/>
      <c r="Q247" s="419"/>
      <c r="R247" s="338"/>
      <c r="S247" s="280"/>
      <c r="T247" s="79"/>
      <c r="U247" s="280"/>
      <c r="V247" s="79"/>
      <c r="W247" s="79"/>
      <c r="X247" s="282">
        <f ca="1">INT((TODAY()-M247)/365)</f>
        <v>126</v>
      </c>
      <c r="Y247" s="382"/>
      <c r="Z247" s="382"/>
      <c r="AA247" s="311"/>
      <c r="AB247" s="311"/>
      <c r="AC247" s="311"/>
      <c r="AD247" s="311"/>
      <c r="AE247" s="311"/>
      <c r="AF247" s="311"/>
      <c r="AG247" s="311"/>
      <c r="AH247" s="311"/>
      <c r="AI247" s="311"/>
      <c r="AJ247" s="311"/>
      <c r="AK247" s="311"/>
      <c r="AL247" s="311"/>
      <c r="AM247" s="311"/>
    </row>
    <row r="248" spans="1:39" ht="15.75" customHeight="1">
      <c r="A248" s="944">
        <v>26</v>
      </c>
      <c r="B248" s="1072"/>
      <c r="C248" s="303"/>
      <c r="D248" s="510"/>
      <c r="E248" s="681"/>
      <c r="F248" s="1690"/>
      <c r="G248" s="337"/>
      <c r="H248" s="1584"/>
      <c r="I248" s="307"/>
      <c r="J248" s="307"/>
      <c r="K248" s="275"/>
      <c r="L248" s="303"/>
      <c r="M248" s="315"/>
      <c r="N248" s="315"/>
      <c r="O248" s="315"/>
      <c r="P248" s="272"/>
      <c r="Q248" s="272"/>
      <c r="R248" s="317"/>
      <c r="S248" s="285"/>
      <c r="T248" s="317"/>
      <c r="U248" s="285"/>
      <c r="V248" s="285"/>
      <c r="W248" s="3"/>
      <c r="X248" s="3"/>
      <c r="Y248" s="3"/>
      <c r="Z248" s="79"/>
      <c r="AB248" s="311"/>
    </row>
    <row r="249" spans="1:39" ht="15.75" customHeight="1">
      <c r="A249" s="944">
        <v>27</v>
      </c>
      <c r="B249" s="1072"/>
      <c r="C249" s="303"/>
      <c r="D249" s="2136"/>
      <c r="E249" s="681"/>
      <c r="F249" s="1690"/>
      <c r="G249" s="337"/>
      <c r="H249" s="1584"/>
      <c r="I249" s="303"/>
      <c r="J249" s="303"/>
      <c r="K249" s="275"/>
      <c r="L249" s="274"/>
      <c r="M249" s="315"/>
      <c r="N249" s="315"/>
      <c r="O249" s="315"/>
      <c r="P249" s="418"/>
      <c r="Q249" s="418"/>
      <c r="R249" s="317"/>
      <c r="S249" s="285"/>
      <c r="T249" s="317"/>
      <c r="U249" s="285"/>
      <c r="V249" s="285"/>
      <c r="W249" s="3"/>
      <c r="X249" s="3"/>
      <c r="Y249" s="3"/>
      <c r="Z249" s="79"/>
      <c r="AB249" s="311"/>
    </row>
    <row r="250" spans="1:39" ht="15.75" customHeight="1">
      <c r="A250" s="944">
        <v>28</v>
      </c>
      <c r="B250" s="1694"/>
      <c r="C250" s="18"/>
      <c r="D250" s="2137"/>
      <c r="E250" s="681"/>
      <c r="F250" s="1690"/>
      <c r="G250" s="337"/>
      <c r="H250" s="1584"/>
      <c r="I250" s="303"/>
      <c r="J250" s="303"/>
      <c r="K250" s="275"/>
      <c r="L250" s="303"/>
      <c r="M250" s="315"/>
      <c r="N250" s="315"/>
      <c r="O250" s="315"/>
      <c r="P250" s="272"/>
      <c r="Q250" s="272"/>
      <c r="R250" s="317"/>
      <c r="S250" s="285"/>
      <c r="T250" s="317"/>
      <c r="U250" s="285"/>
      <c r="V250" s="285"/>
      <c r="W250" s="3"/>
      <c r="X250" s="3"/>
      <c r="Y250" s="3"/>
      <c r="Z250" s="79"/>
      <c r="AB250" s="311"/>
    </row>
    <row r="251" spans="1:39" ht="15.75" customHeight="1">
      <c r="A251" s="944">
        <v>29</v>
      </c>
      <c r="B251" s="2135"/>
      <c r="C251" s="18"/>
      <c r="D251" s="972"/>
      <c r="E251" s="18"/>
      <c r="F251" s="2105"/>
      <c r="G251" s="18"/>
      <c r="H251" s="2098"/>
      <c r="I251" s="3"/>
      <c r="J251" s="433"/>
      <c r="K251" s="275"/>
      <c r="L251" s="303"/>
      <c r="M251" s="418"/>
      <c r="N251" s="418"/>
      <c r="O251" s="428"/>
      <c r="P251" s="272"/>
      <c r="Q251" s="418"/>
      <c r="R251" s="338"/>
      <c r="S251" s="280"/>
      <c r="T251" s="280"/>
      <c r="U251" s="280"/>
      <c r="V251" s="280"/>
      <c r="W251" s="282"/>
      <c r="X251" s="79"/>
      <c r="Y251" s="79"/>
      <c r="Z251" s="79"/>
    </row>
    <row r="252" spans="1:39" ht="15.75" customHeight="1">
      <c r="A252" s="944">
        <v>30</v>
      </c>
      <c r="B252" s="2135"/>
      <c r="C252" s="18"/>
      <c r="D252" s="972"/>
      <c r="E252" s="681"/>
      <c r="F252" s="2105"/>
      <c r="G252" s="18"/>
      <c r="H252" s="2098"/>
      <c r="I252" s="3"/>
      <c r="J252" s="433"/>
      <c r="K252" s="275"/>
      <c r="L252" s="274"/>
      <c r="M252" s="418"/>
      <c r="N252" s="418"/>
      <c r="O252" s="428"/>
      <c r="P252" s="418"/>
      <c r="Q252" s="418"/>
      <c r="R252" s="338"/>
      <c r="S252" s="280"/>
      <c r="T252" s="280"/>
      <c r="U252" s="280"/>
      <c r="V252" s="280"/>
      <c r="W252" s="282"/>
      <c r="X252" s="79"/>
      <c r="Y252" s="79"/>
      <c r="Z252" s="79"/>
    </row>
    <row r="253" spans="1:39" ht="15.75" customHeight="1">
      <c r="A253" s="944">
        <v>31</v>
      </c>
      <c r="B253" s="401"/>
      <c r="C253" s="275"/>
      <c r="D253" s="416"/>
      <c r="E253" s="274"/>
      <c r="F253" s="1700"/>
      <c r="G253" s="274"/>
      <c r="H253" s="2098"/>
      <c r="I253" s="275"/>
      <c r="J253" s="275"/>
      <c r="K253" s="275"/>
      <c r="L253" s="303"/>
      <c r="M253" s="272"/>
      <c r="N253" s="272"/>
      <c r="O253" s="320"/>
      <c r="P253" s="272"/>
      <c r="Q253" s="419"/>
      <c r="R253" s="338"/>
      <c r="S253" s="280"/>
      <c r="T253" s="79"/>
      <c r="U253" s="280"/>
      <c r="V253" s="79"/>
      <c r="W253" s="79"/>
      <c r="X253" s="282">
        <f ca="1">INT((TODAY()-M253)/365)</f>
        <v>126</v>
      </c>
      <c r="Y253" s="382"/>
      <c r="Z253" s="382"/>
      <c r="AA253" s="311"/>
      <c r="AB253" s="311"/>
      <c r="AC253" s="311"/>
      <c r="AD253" s="311"/>
      <c r="AE253" s="311"/>
      <c r="AF253" s="311"/>
      <c r="AG253" s="311"/>
      <c r="AH253" s="311"/>
      <c r="AI253" s="311"/>
      <c r="AJ253" s="311"/>
      <c r="AK253" s="311"/>
      <c r="AL253" s="311"/>
      <c r="AM253" s="311"/>
    </row>
    <row r="254" spans="1:39" ht="15.75" customHeight="1">
      <c r="A254" s="944">
        <v>32</v>
      </c>
      <c r="B254" s="1072"/>
      <c r="C254" s="303"/>
      <c r="D254" s="2137"/>
      <c r="E254" s="681"/>
      <c r="F254" s="1690"/>
      <c r="G254" s="337"/>
      <c r="H254" s="1584"/>
      <c r="I254" s="307"/>
      <c r="J254" s="307"/>
      <c r="K254" s="275"/>
      <c r="L254" s="274"/>
      <c r="M254" s="315"/>
      <c r="N254" s="315"/>
      <c r="O254" s="315"/>
      <c r="P254" s="272"/>
      <c r="Q254" s="272"/>
      <c r="R254" s="317"/>
      <c r="S254" s="285"/>
      <c r="T254" s="317"/>
      <c r="U254" s="285"/>
      <c r="V254" s="285"/>
      <c r="W254" s="3"/>
      <c r="X254" s="3"/>
      <c r="Y254" s="3"/>
      <c r="Z254" s="79"/>
      <c r="AB254" s="311"/>
    </row>
    <row r="255" spans="1:39" ht="15.75" customHeight="1">
      <c r="A255" s="944">
        <v>33</v>
      </c>
      <c r="B255" s="2135"/>
      <c r="C255" s="18"/>
      <c r="D255" s="972"/>
      <c r="E255" s="18"/>
      <c r="F255" s="1700"/>
      <c r="G255" s="18"/>
      <c r="H255" s="2098"/>
      <c r="I255" s="432"/>
      <c r="J255" s="433"/>
      <c r="K255" s="275"/>
      <c r="L255" s="274"/>
      <c r="M255" s="272"/>
      <c r="N255" s="272"/>
      <c r="O255" s="428"/>
      <c r="P255" s="315"/>
      <c r="Q255" s="418"/>
      <c r="R255" s="338"/>
      <c r="S255" s="280"/>
      <c r="T255" s="79"/>
      <c r="U255" s="280"/>
      <c r="V255" s="79"/>
      <c r="W255" s="79"/>
      <c r="X255" s="282">
        <f ca="1">INT((TODAY()-M255)/365)</f>
        <v>126</v>
      </c>
      <c r="Y255" s="382"/>
      <c r="Z255" s="382"/>
      <c r="AA255" s="311"/>
      <c r="AB255" s="311"/>
      <c r="AC255" s="311"/>
      <c r="AD255" s="311"/>
      <c r="AE255" s="311"/>
      <c r="AF255" s="311"/>
      <c r="AG255" s="311"/>
      <c r="AH255" s="311"/>
      <c r="AI255" s="311"/>
      <c r="AJ255" s="311"/>
      <c r="AK255" s="311"/>
      <c r="AL255" s="311"/>
      <c r="AM255" s="311"/>
    </row>
    <row r="256" spans="1:39" ht="15.75" customHeight="1">
      <c r="A256" s="944">
        <v>34</v>
      </c>
      <c r="B256" s="1694"/>
      <c r="C256" s="18"/>
      <c r="D256" s="2137"/>
      <c r="E256" s="681"/>
      <c r="F256" s="1690"/>
      <c r="G256" s="337"/>
      <c r="H256" s="1584"/>
      <c r="I256" s="303"/>
      <c r="J256" s="303"/>
      <c r="K256" s="275"/>
      <c r="L256" s="274"/>
      <c r="M256" s="315"/>
      <c r="N256" s="315"/>
      <c r="O256" s="315"/>
      <c r="P256" s="272"/>
      <c r="Q256" s="272"/>
      <c r="R256" s="317"/>
      <c r="S256" s="79"/>
      <c r="T256" s="79"/>
      <c r="U256" s="79"/>
      <c r="V256" s="285"/>
      <c r="W256" s="3"/>
      <c r="X256" s="3"/>
      <c r="Y256" s="3"/>
      <c r="Z256" s="79"/>
      <c r="AB256" s="311"/>
    </row>
    <row r="257" spans="1:39" ht="15.75" customHeight="1">
      <c r="A257" s="944">
        <v>35</v>
      </c>
      <c r="B257" s="401"/>
      <c r="C257" s="275"/>
      <c r="D257" s="416"/>
      <c r="E257" s="274"/>
      <c r="F257" s="2097"/>
      <c r="G257" s="274"/>
      <c r="H257" s="2098"/>
      <c r="I257" s="275"/>
      <c r="J257" s="275"/>
      <c r="K257" s="275"/>
      <c r="L257" s="274"/>
      <c r="M257" s="272"/>
      <c r="N257" s="272"/>
      <c r="O257" s="320"/>
      <c r="P257" s="272"/>
      <c r="Q257" s="419"/>
      <c r="R257" s="338"/>
      <c r="S257" s="79"/>
      <c r="T257" s="79"/>
      <c r="U257" s="79"/>
      <c r="V257" s="79"/>
      <c r="W257" s="79"/>
      <c r="X257" s="282">
        <f ca="1">INT((TODAY()-M257)/365)</f>
        <v>126</v>
      </c>
      <c r="Y257" s="382"/>
      <c r="Z257" s="382"/>
      <c r="AA257" s="311"/>
      <c r="AB257" s="311"/>
      <c r="AC257" s="311"/>
      <c r="AD257" s="311"/>
      <c r="AE257" s="311"/>
      <c r="AF257" s="311"/>
      <c r="AG257" s="311"/>
      <c r="AH257" s="311"/>
      <c r="AI257" s="311"/>
      <c r="AJ257" s="311"/>
      <c r="AK257" s="311"/>
      <c r="AL257" s="311"/>
      <c r="AM257" s="311"/>
    </row>
    <row r="258" spans="1:39" ht="15.75" customHeight="1">
      <c r="A258" s="944">
        <v>36</v>
      </c>
      <c r="B258" s="2135"/>
      <c r="C258" s="18"/>
      <c r="D258" s="972"/>
      <c r="E258" s="681"/>
      <c r="F258" s="2105"/>
      <c r="G258" s="18"/>
      <c r="H258" s="2098"/>
      <c r="I258" s="3"/>
      <c r="J258" s="433"/>
      <c r="K258" s="275"/>
      <c r="L258" s="274"/>
      <c r="M258" s="418"/>
      <c r="N258" s="418"/>
      <c r="O258" s="428"/>
      <c r="P258" s="272"/>
      <c r="Q258" s="418"/>
      <c r="R258" s="338"/>
      <c r="S258" s="79"/>
      <c r="T258" s="79"/>
      <c r="U258" s="79"/>
      <c r="V258" s="280"/>
      <c r="W258" s="282"/>
      <c r="X258" s="79"/>
      <c r="Y258" s="79"/>
      <c r="Z258" s="79"/>
    </row>
    <row r="259" spans="1:39" ht="15.75" customHeight="1">
      <c r="A259" s="944">
        <v>37</v>
      </c>
      <c r="B259" s="2135"/>
      <c r="C259" s="18"/>
      <c r="D259" s="972"/>
      <c r="E259" s="681"/>
      <c r="F259" s="2105"/>
      <c r="G259" s="18"/>
      <c r="H259" s="2098"/>
      <c r="I259" s="3"/>
      <c r="J259" s="433"/>
      <c r="K259" s="275"/>
      <c r="L259" s="303"/>
      <c r="M259" s="418"/>
      <c r="N259" s="418"/>
      <c r="O259" s="428"/>
      <c r="P259" s="272"/>
      <c r="Q259" s="418"/>
      <c r="R259" s="338"/>
      <c r="S259" s="79"/>
      <c r="T259" s="79"/>
      <c r="U259" s="79"/>
      <c r="V259" s="280"/>
      <c r="W259" s="282"/>
      <c r="X259" s="79"/>
      <c r="Y259" s="79"/>
      <c r="Z259" s="79"/>
    </row>
    <row r="260" spans="1:39" ht="15.75" customHeight="1">
      <c r="A260" s="944">
        <v>38</v>
      </c>
      <c r="B260" s="1694"/>
      <c r="C260" s="18"/>
      <c r="D260" s="2137"/>
      <c r="E260" s="681"/>
      <c r="F260" s="1690"/>
      <c r="G260" s="337"/>
      <c r="H260" s="1584"/>
      <c r="I260" s="303"/>
      <c r="J260" s="303"/>
      <c r="K260" s="275"/>
      <c r="L260" s="303"/>
      <c r="M260" s="315"/>
      <c r="N260" s="315"/>
      <c r="O260" s="315"/>
      <c r="P260" s="272"/>
      <c r="Q260" s="272"/>
      <c r="R260" s="317"/>
      <c r="S260" s="79"/>
      <c r="T260" s="79"/>
      <c r="U260" s="79"/>
      <c r="V260" s="285"/>
      <c r="W260" s="3"/>
      <c r="X260" s="3"/>
      <c r="Y260" s="3"/>
      <c r="Z260" s="79"/>
      <c r="AB260" s="311"/>
    </row>
    <row r="261" spans="1:39" ht="15.75" customHeight="1">
      <c r="A261" s="944">
        <v>39</v>
      </c>
      <c r="B261" s="2135"/>
      <c r="C261" s="18"/>
      <c r="D261" s="972"/>
      <c r="E261" s="18"/>
      <c r="F261" s="2105"/>
      <c r="G261" s="18"/>
      <c r="H261" s="2098"/>
      <c r="I261" s="3"/>
      <c r="J261" s="433"/>
      <c r="K261" s="275"/>
      <c r="L261" s="18"/>
      <c r="M261" s="418"/>
      <c r="N261" s="418"/>
      <c r="O261" s="428"/>
      <c r="P261" s="418"/>
      <c r="Q261" s="418"/>
      <c r="R261" s="338"/>
      <c r="S261" s="79"/>
      <c r="T261" s="79"/>
      <c r="U261" s="79"/>
      <c r="V261" s="280"/>
      <c r="W261" s="282"/>
      <c r="X261" s="79"/>
      <c r="Y261" s="79"/>
      <c r="Z261" s="79"/>
    </row>
    <row r="262" spans="1:39" ht="15.75" customHeight="1">
      <c r="A262" s="944">
        <v>40</v>
      </c>
      <c r="B262" s="1072"/>
      <c r="C262" s="303"/>
      <c r="D262" s="2136"/>
      <c r="E262" s="681"/>
      <c r="F262" s="1690"/>
      <c r="G262" s="337"/>
      <c r="H262" s="1584"/>
      <c r="I262" s="303"/>
      <c r="J262" s="303"/>
      <c r="K262" s="275"/>
      <c r="L262" s="274"/>
      <c r="M262" s="315"/>
      <c r="N262" s="315"/>
      <c r="O262" s="315"/>
      <c r="P262" s="272"/>
      <c r="Q262" s="272"/>
      <c r="R262" s="317"/>
      <c r="S262" s="285"/>
      <c r="T262" s="317"/>
      <c r="U262" s="285"/>
      <c r="V262" s="285"/>
      <c r="W262" s="3"/>
      <c r="X262" s="3"/>
      <c r="Y262" s="3"/>
      <c r="Z262" s="79"/>
      <c r="AB262" s="311"/>
    </row>
    <row r="263" spans="1:39" ht="15.75" customHeight="1">
      <c r="A263" s="944">
        <v>41</v>
      </c>
      <c r="B263" s="2135"/>
      <c r="C263" s="18"/>
      <c r="D263" s="2136"/>
      <c r="E263" s="18"/>
      <c r="F263" s="286"/>
      <c r="G263" s="18"/>
      <c r="H263" s="2098"/>
      <c r="I263" s="3"/>
      <c r="J263" s="433"/>
      <c r="K263" s="275"/>
      <c r="L263" s="18"/>
      <c r="M263" s="418"/>
      <c r="N263" s="418"/>
      <c r="O263" s="428"/>
      <c r="P263" s="418"/>
      <c r="Q263" s="418"/>
      <c r="R263" s="338"/>
      <c r="S263" s="280"/>
      <c r="T263" s="79"/>
      <c r="U263" s="280"/>
      <c r="V263" s="280"/>
      <c r="W263" s="79"/>
      <c r="X263" s="282">
        <f ca="1">INT((TODAY()-M263)/365)</f>
        <v>126</v>
      </c>
      <c r="Y263" s="79"/>
      <c r="Z263" s="79"/>
    </row>
    <row r="264" spans="1:39" ht="15.75" customHeight="1">
      <c r="A264" s="944">
        <v>42</v>
      </c>
      <c r="B264" s="1072"/>
      <c r="C264" s="303"/>
      <c r="D264" s="510"/>
      <c r="E264" s="681"/>
      <c r="F264" s="1690"/>
      <c r="G264" s="337"/>
      <c r="H264" s="1584"/>
      <c r="I264" s="307"/>
      <c r="J264" s="307"/>
      <c r="K264" s="275"/>
      <c r="L264" s="303"/>
      <c r="M264" s="315"/>
      <c r="N264" s="315"/>
      <c r="O264" s="315"/>
      <c r="P264" s="272"/>
      <c r="Q264" s="272"/>
      <c r="R264" s="317"/>
      <c r="S264" s="280"/>
      <c r="T264" s="280"/>
      <c r="U264" s="280"/>
      <c r="V264" s="285"/>
      <c r="W264" s="3"/>
      <c r="X264" s="3"/>
      <c r="Y264" s="3"/>
      <c r="Z264" s="79"/>
      <c r="AB264" s="311"/>
    </row>
    <row r="265" spans="1:39" ht="15.75" customHeight="1">
      <c r="A265" s="944">
        <v>43</v>
      </c>
      <c r="B265" s="2135"/>
      <c r="C265" s="18"/>
      <c r="D265" s="972"/>
      <c r="E265" s="18"/>
      <c r="F265" s="2105"/>
      <c r="G265" s="18"/>
      <c r="H265" s="2098"/>
      <c r="I265" s="3"/>
      <c r="J265" s="433"/>
      <c r="K265" s="275"/>
      <c r="L265" s="18"/>
      <c r="M265" s="418"/>
      <c r="N265" s="418"/>
      <c r="O265" s="428"/>
      <c r="P265" s="418"/>
      <c r="Q265" s="418"/>
      <c r="R265" s="338"/>
      <c r="S265" s="280"/>
      <c r="T265" s="280"/>
      <c r="U265" s="280"/>
      <c r="V265" s="280"/>
      <c r="W265" s="282"/>
      <c r="X265" s="79"/>
      <c r="Y265" s="79"/>
      <c r="Z265" s="79"/>
    </row>
    <row r="266" spans="1:39" ht="15.75" customHeight="1">
      <c r="A266" s="944">
        <v>44</v>
      </c>
      <c r="B266" s="401"/>
      <c r="C266" s="275"/>
      <c r="D266" s="416"/>
      <c r="E266" s="274"/>
      <c r="F266" s="2097"/>
      <c r="G266" s="274"/>
      <c r="H266" s="2098"/>
      <c r="I266" s="275"/>
      <c r="J266" s="275"/>
      <c r="K266" s="275"/>
      <c r="L266" s="275"/>
      <c r="M266" s="272"/>
      <c r="N266" s="272"/>
      <c r="O266" s="320"/>
      <c r="P266" s="272"/>
      <c r="Q266" s="419"/>
      <c r="R266" s="338"/>
      <c r="S266" s="285"/>
      <c r="T266" s="317"/>
      <c r="U266" s="285"/>
      <c r="V266" s="79"/>
      <c r="W266" s="79"/>
      <c r="X266" s="282">
        <f t="shared" ref="X266:X267" ca="1" si="54">INT((TODAY()-M266)/365)</f>
        <v>126</v>
      </c>
      <c r="Y266" s="382"/>
      <c r="Z266" s="382"/>
      <c r="AA266" s="311"/>
      <c r="AB266" s="311"/>
      <c r="AC266" s="311"/>
      <c r="AD266" s="311"/>
      <c r="AE266" s="311"/>
      <c r="AF266" s="311"/>
      <c r="AG266" s="311"/>
      <c r="AH266" s="311"/>
      <c r="AI266" s="311"/>
      <c r="AJ266" s="311"/>
      <c r="AK266" s="311"/>
      <c r="AL266" s="311"/>
      <c r="AM266" s="311"/>
    </row>
    <row r="267" spans="1:39" ht="15.75" customHeight="1">
      <c r="A267" s="944">
        <v>45</v>
      </c>
      <c r="B267" s="401"/>
      <c r="C267" s="275"/>
      <c r="D267" s="416"/>
      <c r="E267" s="274"/>
      <c r="F267" s="2097"/>
      <c r="G267" s="274"/>
      <c r="H267" s="2098"/>
      <c r="I267" s="275"/>
      <c r="J267" s="275"/>
      <c r="K267" s="275"/>
      <c r="L267" s="274"/>
      <c r="M267" s="272"/>
      <c r="N267" s="272"/>
      <c r="O267" s="320"/>
      <c r="P267" s="272"/>
      <c r="Q267" s="419"/>
      <c r="R267" s="338"/>
      <c r="S267" s="280"/>
      <c r="T267" s="280"/>
      <c r="U267" s="280"/>
      <c r="V267" s="79"/>
      <c r="W267" s="79"/>
      <c r="X267" s="282">
        <f t="shared" ca="1" si="54"/>
        <v>126</v>
      </c>
      <c r="Y267" s="382"/>
      <c r="Z267" s="382"/>
      <c r="AA267" s="311"/>
      <c r="AB267" s="311"/>
      <c r="AC267" s="311"/>
      <c r="AD267" s="311"/>
      <c r="AE267" s="311"/>
      <c r="AF267" s="311"/>
      <c r="AG267" s="311"/>
      <c r="AH267" s="311"/>
      <c r="AI267" s="311"/>
      <c r="AJ267" s="311"/>
      <c r="AK267" s="311"/>
      <c r="AL267" s="311"/>
      <c r="AM267" s="311"/>
    </row>
    <row r="268" spans="1:39" ht="15.75" customHeight="1">
      <c r="A268" s="944">
        <v>46</v>
      </c>
      <c r="B268" s="2135"/>
      <c r="C268" s="18"/>
      <c r="D268" s="972"/>
      <c r="E268" s="681"/>
      <c r="F268" s="2105"/>
      <c r="G268" s="18"/>
      <c r="H268" s="2098"/>
      <c r="I268" s="3"/>
      <c r="J268" s="433"/>
      <c r="K268" s="275"/>
      <c r="L268" s="439"/>
      <c r="M268" s="418"/>
      <c r="N268" s="418"/>
      <c r="O268" s="428"/>
      <c r="P268" s="418"/>
      <c r="Q268" s="418"/>
      <c r="R268" s="338"/>
      <c r="S268" s="285"/>
      <c r="T268" s="317"/>
      <c r="U268" s="285"/>
      <c r="V268" s="280"/>
      <c r="W268" s="282"/>
      <c r="X268" s="79"/>
      <c r="Y268" s="79"/>
      <c r="Z268" s="79"/>
    </row>
    <row r="269" spans="1:39" ht="15.75" customHeight="1">
      <c r="A269" s="944">
        <v>47</v>
      </c>
      <c r="B269" s="1072"/>
      <c r="C269" s="303"/>
      <c r="D269" s="510"/>
      <c r="E269" s="681"/>
      <c r="F269" s="1690"/>
      <c r="G269" s="337"/>
      <c r="H269" s="1584"/>
      <c r="I269" s="307"/>
      <c r="J269" s="307"/>
      <c r="K269" s="275"/>
      <c r="L269" s="303"/>
      <c r="M269" s="315"/>
      <c r="N269" s="315"/>
      <c r="O269" s="315"/>
      <c r="P269" s="272"/>
      <c r="Q269" s="272"/>
      <c r="R269" s="317"/>
      <c r="S269" s="280"/>
      <c r="T269" s="280"/>
      <c r="U269" s="280"/>
      <c r="V269" s="285"/>
      <c r="W269" s="3"/>
      <c r="X269" s="3"/>
      <c r="Y269" s="3"/>
      <c r="Z269" s="79"/>
      <c r="AB269" s="311"/>
    </row>
    <row r="270" spans="1:39" ht="15.75" customHeight="1">
      <c r="A270" s="944">
        <v>48</v>
      </c>
      <c r="B270" s="1072"/>
      <c r="C270" s="303"/>
      <c r="D270" s="2136"/>
      <c r="E270" s="681"/>
      <c r="F270" s="1690"/>
      <c r="G270" s="337"/>
      <c r="H270" s="1584"/>
      <c r="I270" s="303"/>
      <c r="J270" s="303"/>
      <c r="K270" s="275"/>
      <c r="L270" s="274"/>
      <c r="M270" s="315"/>
      <c r="N270" s="315"/>
      <c r="O270" s="315"/>
      <c r="P270" s="418"/>
      <c r="Q270" s="418"/>
      <c r="R270" s="317"/>
      <c r="S270" s="285"/>
      <c r="T270" s="317"/>
      <c r="U270" s="285"/>
      <c r="V270" s="285"/>
      <c r="W270" s="3"/>
      <c r="X270" s="3"/>
      <c r="Y270" s="3"/>
      <c r="Z270" s="79"/>
      <c r="AB270" s="311"/>
    </row>
    <row r="271" spans="1:39" ht="15.75" customHeight="1">
      <c r="A271" s="944">
        <v>49</v>
      </c>
      <c r="B271" s="1694"/>
      <c r="C271" s="18"/>
      <c r="D271" s="2137"/>
      <c r="E271" s="681"/>
      <c r="F271" s="1690"/>
      <c r="G271" s="337"/>
      <c r="H271" s="1584"/>
      <c r="I271" s="303"/>
      <c r="J271" s="303"/>
      <c r="K271" s="275"/>
      <c r="L271" s="303"/>
      <c r="M271" s="315"/>
      <c r="N271" s="315"/>
      <c r="O271" s="315"/>
      <c r="P271" s="272"/>
      <c r="Q271" s="272"/>
      <c r="R271" s="317"/>
      <c r="S271" s="285"/>
      <c r="T271" s="317"/>
      <c r="U271" s="285"/>
      <c r="V271" s="285"/>
      <c r="W271" s="3"/>
      <c r="X271" s="3"/>
      <c r="Y271" s="3"/>
      <c r="Z271" s="79"/>
      <c r="AB271" s="311"/>
    </row>
    <row r="272" spans="1:39" ht="15.75" customHeight="1">
      <c r="A272" s="944">
        <v>51</v>
      </c>
      <c r="B272" s="2135"/>
      <c r="C272" s="18"/>
      <c r="D272" s="972"/>
      <c r="E272" s="18"/>
      <c r="F272" s="2097"/>
      <c r="G272" s="18"/>
      <c r="H272" s="2098"/>
      <c r="I272" s="3"/>
      <c r="J272" s="433"/>
      <c r="K272" s="275"/>
      <c r="L272" s="303"/>
      <c r="M272" s="418"/>
      <c r="N272" s="418"/>
      <c r="O272" s="428"/>
      <c r="P272" s="418"/>
      <c r="Q272" s="418"/>
      <c r="R272" s="338"/>
      <c r="S272" s="280"/>
      <c r="T272" s="280"/>
      <c r="U272" s="280"/>
      <c r="V272" s="79"/>
      <c r="W272" s="79"/>
      <c r="X272" s="282">
        <f ca="1">INT((TODAY()-M272)/365)</f>
        <v>126</v>
      </c>
      <c r="Y272" s="382"/>
      <c r="Z272" s="382"/>
      <c r="AA272" s="311"/>
      <c r="AB272" s="311"/>
      <c r="AC272" s="311"/>
      <c r="AD272" s="311"/>
      <c r="AE272" s="311"/>
      <c r="AF272" s="311"/>
      <c r="AG272" s="311"/>
      <c r="AH272" s="311"/>
      <c r="AI272" s="311"/>
      <c r="AJ272" s="311"/>
      <c r="AK272" s="311"/>
      <c r="AL272" s="311"/>
      <c r="AM272" s="311"/>
    </row>
    <row r="273" spans="1:39" ht="15.75" customHeight="1">
      <c r="A273" s="944">
        <v>52</v>
      </c>
      <c r="B273" s="1072"/>
      <c r="C273" s="303"/>
      <c r="D273" s="2136"/>
      <c r="E273" s="681"/>
      <c r="F273" s="1690"/>
      <c r="G273" s="337"/>
      <c r="H273" s="1584"/>
      <c r="I273" s="303"/>
      <c r="J273" s="303"/>
      <c r="K273" s="275"/>
      <c r="L273" s="274"/>
      <c r="M273" s="315"/>
      <c r="N273" s="315"/>
      <c r="O273" s="315"/>
      <c r="P273" s="272"/>
      <c r="Q273" s="272"/>
      <c r="R273" s="317"/>
      <c r="S273" s="285"/>
      <c r="T273" s="317"/>
      <c r="U273" s="285"/>
      <c r="V273" s="285"/>
      <c r="W273" s="3"/>
      <c r="X273" s="3"/>
      <c r="Y273" s="3"/>
      <c r="Z273" s="79"/>
      <c r="AB273" s="311"/>
    </row>
    <row r="274" spans="1:39" ht="15.75" customHeight="1">
      <c r="A274" s="944">
        <v>53</v>
      </c>
      <c r="B274" s="401"/>
      <c r="C274" s="275"/>
      <c r="D274" s="416"/>
      <c r="E274" s="274"/>
      <c r="F274" s="286"/>
      <c r="G274" s="274"/>
      <c r="H274" s="2098"/>
      <c r="I274" s="275"/>
      <c r="J274" s="284"/>
      <c r="K274" s="275"/>
      <c r="L274" s="274"/>
      <c r="M274" s="272"/>
      <c r="N274" s="272"/>
      <c r="O274" s="320"/>
      <c r="P274" s="272"/>
      <c r="Q274" s="419"/>
      <c r="R274" s="338"/>
      <c r="S274" s="280"/>
      <c r="T274" s="280"/>
      <c r="U274" s="280"/>
      <c r="V274" s="79"/>
      <c r="W274" s="79"/>
      <c r="X274" s="282">
        <f ca="1">INT((TODAY()-M274)/365)</f>
        <v>126</v>
      </c>
      <c r="Y274" s="382"/>
      <c r="Z274" s="382"/>
      <c r="AA274" s="382"/>
      <c r="AB274" s="311"/>
      <c r="AC274" s="311"/>
      <c r="AD274" s="311"/>
      <c r="AE274" s="311"/>
      <c r="AF274" s="311"/>
      <c r="AG274" s="311"/>
      <c r="AH274" s="311"/>
      <c r="AI274" s="311"/>
      <c r="AJ274" s="311"/>
      <c r="AK274" s="311"/>
      <c r="AL274" s="311"/>
      <c r="AM274" s="311"/>
    </row>
    <row r="275" spans="1:39" ht="15.75" customHeight="1">
      <c r="A275" s="944">
        <v>54</v>
      </c>
      <c r="B275" s="2135"/>
      <c r="C275" s="18"/>
      <c r="D275" s="972"/>
      <c r="E275" s="681"/>
      <c r="F275" s="2105"/>
      <c r="G275" s="18"/>
      <c r="H275" s="2098"/>
      <c r="I275" s="3"/>
      <c r="J275" s="433"/>
      <c r="K275" s="275"/>
      <c r="L275" s="18"/>
      <c r="M275" s="440"/>
      <c r="N275" s="440"/>
      <c r="O275" s="440"/>
      <c r="P275" s="418"/>
      <c r="Q275" s="418"/>
      <c r="R275" s="338"/>
      <c r="S275" s="280"/>
      <c r="T275" s="280"/>
      <c r="U275" s="280"/>
      <c r="V275" s="280"/>
      <c r="W275" s="282"/>
      <c r="X275" s="79"/>
      <c r="Y275" s="79"/>
      <c r="Z275" s="79"/>
      <c r="AA275" s="79"/>
    </row>
    <row r="276" spans="1:39" ht="15.75" customHeight="1">
      <c r="A276" s="944">
        <v>55</v>
      </c>
      <c r="B276" s="2135"/>
      <c r="C276" s="18"/>
      <c r="D276" s="972"/>
      <c r="E276" s="18"/>
      <c r="F276" s="286"/>
      <c r="G276" s="18"/>
      <c r="H276" s="2098"/>
      <c r="I276" s="3"/>
      <c r="J276" s="433"/>
      <c r="K276" s="275"/>
      <c r="L276" s="18"/>
      <c r="M276" s="418"/>
      <c r="N276" s="418"/>
      <c r="O276" s="428"/>
      <c r="P276" s="418"/>
      <c r="Q276" s="418"/>
      <c r="R276" s="338"/>
      <c r="S276" s="280"/>
      <c r="T276" s="280"/>
      <c r="U276" s="280"/>
      <c r="V276" s="280"/>
      <c r="W276" s="79"/>
      <c r="X276" s="282">
        <f t="shared" ref="X276:X281" ca="1" si="55">INT((TODAY()-M276)/365)</f>
        <v>126</v>
      </c>
      <c r="Y276" s="79"/>
      <c r="Z276" s="79"/>
    </row>
    <row r="277" spans="1:39" ht="15.75" customHeight="1">
      <c r="A277" s="944">
        <v>56</v>
      </c>
      <c r="B277" s="2135"/>
      <c r="C277" s="18"/>
      <c r="D277" s="972"/>
      <c r="E277" s="18"/>
      <c r="F277" s="2105"/>
      <c r="G277" s="18"/>
      <c r="H277" s="2098"/>
      <c r="I277" s="3"/>
      <c r="J277" s="433"/>
      <c r="K277" s="275"/>
      <c r="L277" s="18"/>
      <c r="M277" s="418"/>
      <c r="N277" s="418"/>
      <c r="O277" s="428"/>
      <c r="P277" s="418"/>
      <c r="Q277" s="418"/>
      <c r="R277" s="338"/>
      <c r="S277" s="280"/>
      <c r="T277" s="280"/>
      <c r="U277" s="280"/>
      <c r="V277" s="280"/>
      <c r="W277" s="79"/>
      <c r="X277" s="282">
        <f t="shared" ca="1" si="55"/>
        <v>126</v>
      </c>
      <c r="Y277" s="79"/>
      <c r="Z277" s="79"/>
      <c r="AA277" s="79"/>
    </row>
    <row r="278" spans="1:39">
      <c r="A278" s="944">
        <v>57</v>
      </c>
      <c r="B278" s="401"/>
      <c r="C278" s="275"/>
      <c r="D278" s="416"/>
      <c r="E278" s="274"/>
      <c r="F278" s="286"/>
      <c r="G278" s="274"/>
      <c r="H278" s="2098"/>
      <c r="I278" s="275"/>
      <c r="J278" s="275"/>
      <c r="K278" s="275"/>
      <c r="L278" s="274"/>
      <c r="M278" s="272"/>
      <c r="N278" s="272"/>
      <c r="O278" s="320"/>
      <c r="P278" s="272"/>
      <c r="Q278" s="419"/>
      <c r="R278" s="338"/>
      <c r="S278" s="280"/>
      <c r="T278" s="280"/>
      <c r="U278" s="280"/>
      <c r="V278" s="79"/>
      <c r="W278" s="79"/>
      <c r="X278" s="282">
        <f t="shared" ca="1" si="55"/>
        <v>126</v>
      </c>
      <c r="Y278" s="382"/>
      <c r="Z278" s="382"/>
      <c r="AA278" s="382"/>
      <c r="AB278" s="311"/>
      <c r="AC278" s="311"/>
      <c r="AD278" s="382"/>
      <c r="AE278" s="382"/>
      <c r="AF278" s="382"/>
      <c r="AG278" s="382"/>
      <c r="AH278" s="382"/>
      <c r="AI278" s="311"/>
      <c r="AJ278" s="311"/>
      <c r="AK278" s="311"/>
      <c r="AL278" s="311"/>
      <c r="AM278" s="311"/>
    </row>
    <row r="279" spans="1:39" ht="15.75" customHeight="1">
      <c r="A279" s="944">
        <v>58</v>
      </c>
      <c r="B279" s="401"/>
      <c r="C279" s="275"/>
      <c r="D279" s="416"/>
      <c r="E279" s="274"/>
      <c r="F279" s="286"/>
      <c r="G279" s="274"/>
      <c r="H279" s="2098"/>
      <c r="I279" s="275"/>
      <c r="J279" s="275"/>
      <c r="K279" s="275"/>
      <c r="L279" s="274"/>
      <c r="M279" s="272"/>
      <c r="N279" s="272"/>
      <c r="O279" s="320"/>
      <c r="P279" s="272"/>
      <c r="Q279" s="419"/>
      <c r="R279" s="338"/>
      <c r="S279" s="280"/>
      <c r="T279" s="280"/>
      <c r="U279" s="280"/>
      <c r="V279" s="79"/>
      <c r="W279" s="79"/>
      <c r="X279" s="282">
        <f t="shared" ca="1" si="55"/>
        <v>126</v>
      </c>
      <c r="Y279" s="382"/>
      <c r="Z279" s="382"/>
      <c r="AA279" s="382"/>
      <c r="AB279" s="311"/>
      <c r="AC279" s="311"/>
      <c r="AD279" s="311"/>
      <c r="AE279" s="311"/>
      <c r="AF279" s="311"/>
      <c r="AG279" s="311"/>
      <c r="AH279" s="311"/>
      <c r="AI279" s="311"/>
      <c r="AJ279" s="311"/>
      <c r="AK279" s="311"/>
      <c r="AL279" s="311"/>
      <c r="AM279" s="311"/>
    </row>
    <row r="280" spans="1:39" ht="15.75" customHeight="1">
      <c r="A280" s="944">
        <v>59</v>
      </c>
      <c r="B280" s="2135"/>
      <c r="C280" s="18"/>
      <c r="D280" s="2136"/>
      <c r="E280" s="18"/>
      <c r="F280" s="2105"/>
      <c r="G280" s="18"/>
      <c r="H280" s="2098"/>
      <c r="I280" s="3"/>
      <c r="J280" s="433"/>
      <c r="K280" s="275"/>
      <c r="L280" s="18"/>
      <c r="M280" s="418"/>
      <c r="N280" s="418"/>
      <c r="O280" s="428"/>
      <c r="P280" s="418"/>
      <c r="Q280" s="418"/>
      <c r="R280" s="338"/>
      <c r="S280" s="280"/>
      <c r="T280" s="280"/>
      <c r="U280" s="280"/>
      <c r="V280" s="280"/>
      <c r="W280" s="79"/>
      <c r="X280" s="282">
        <f t="shared" ca="1" si="55"/>
        <v>126</v>
      </c>
      <c r="Y280" s="79"/>
      <c r="Z280" s="79"/>
      <c r="AA280" s="79"/>
    </row>
    <row r="281" spans="1:39">
      <c r="A281" s="944">
        <v>60</v>
      </c>
      <c r="B281" s="1583"/>
      <c r="C281" s="275"/>
      <c r="D281" s="2100"/>
      <c r="E281" s="274"/>
      <c r="F281" s="286"/>
      <c r="G281" s="274"/>
      <c r="H281" s="2098"/>
      <c r="I281" s="275"/>
      <c r="J281" s="275"/>
      <c r="K281" s="275"/>
      <c r="L281" s="274"/>
      <c r="M281" s="272"/>
      <c r="N281" s="272"/>
      <c r="O281" s="272"/>
      <c r="P281" s="279"/>
      <c r="Q281" s="279"/>
      <c r="R281" s="952"/>
      <c r="S281" s="485"/>
      <c r="T281" s="280"/>
      <c r="U281" s="485"/>
      <c r="V281" s="382"/>
      <c r="W281" s="382"/>
      <c r="X281" s="282">
        <f t="shared" ca="1" si="55"/>
        <v>126</v>
      </c>
      <c r="Y281" s="382"/>
      <c r="Z281" s="382"/>
      <c r="AA281" s="311"/>
      <c r="AB281" s="311"/>
      <c r="AC281" s="311"/>
      <c r="AD281" s="311"/>
      <c r="AE281" s="311"/>
      <c r="AF281" s="311"/>
      <c r="AG281" s="311"/>
      <c r="AH281" s="311"/>
      <c r="AI281" s="311"/>
      <c r="AJ281" s="311"/>
      <c r="AK281" s="311"/>
      <c r="AL281" s="311"/>
      <c r="AM281" s="311"/>
    </row>
    <row r="282" spans="1:39" ht="18.75">
      <c r="A282" s="944">
        <v>61</v>
      </c>
      <c r="B282" s="1072"/>
      <c r="C282" s="303"/>
      <c r="D282" s="2136"/>
      <c r="E282" s="681"/>
      <c r="F282" s="1690"/>
      <c r="G282" s="337"/>
      <c r="H282" s="1584"/>
      <c r="I282" s="303"/>
      <c r="J282" s="303"/>
      <c r="K282" s="275"/>
      <c r="L282" s="274"/>
      <c r="M282" s="315"/>
      <c r="N282" s="315"/>
      <c r="O282" s="315"/>
      <c r="P282" s="272"/>
      <c r="Q282" s="272"/>
      <c r="R282" s="317"/>
      <c r="S282" s="285"/>
      <c r="T282" s="317"/>
      <c r="U282" s="285"/>
      <c r="V282" s="285"/>
      <c r="W282" s="3"/>
      <c r="X282" s="3"/>
      <c r="Y282" s="3"/>
      <c r="Z282" s="79"/>
      <c r="AA282" s="79"/>
      <c r="AB282" s="311"/>
    </row>
    <row r="283" spans="1:39">
      <c r="A283" s="944">
        <v>62</v>
      </c>
      <c r="B283" s="2135"/>
      <c r="C283" s="18"/>
      <c r="D283" s="972"/>
      <c r="E283" s="18"/>
      <c r="F283" s="286"/>
      <c r="G283" s="18"/>
      <c r="H283" s="2098"/>
      <c r="I283" s="432"/>
      <c r="J283" s="433"/>
      <c r="K283" s="275"/>
      <c r="L283" s="18"/>
      <c r="M283" s="418"/>
      <c r="N283" s="418"/>
      <c r="O283" s="320"/>
      <c r="P283" s="272"/>
      <c r="Q283" s="272"/>
      <c r="R283" s="338"/>
      <c r="S283" s="280"/>
      <c r="T283" s="280"/>
      <c r="U283" s="280"/>
      <c r="V283" s="79"/>
      <c r="W283" s="79"/>
      <c r="X283" s="282">
        <f ca="1">INT((TODAY()-M283)/365)</f>
        <v>126</v>
      </c>
      <c r="Y283" s="382"/>
      <c r="Z283" s="382"/>
      <c r="AA283" s="382"/>
      <c r="AB283" s="311"/>
      <c r="AC283" s="311"/>
      <c r="AD283" s="311"/>
      <c r="AE283" s="311"/>
      <c r="AF283" s="311"/>
      <c r="AG283" s="311"/>
      <c r="AH283" s="311"/>
      <c r="AI283" s="311"/>
      <c r="AJ283" s="311"/>
      <c r="AK283" s="311"/>
      <c r="AL283" s="311"/>
      <c r="AM283" s="311"/>
    </row>
    <row r="284" spans="1:39" ht="15.75" customHeight="1">
      <c r="A284" s="944">
        <v>63</v>
      </c>
      <c r="B284" s="2135"/>
      <c r="C284" s="18"/>
      <c r="D284" s="972"/>
      <c r="E284" s="681"/>
      <c r="F284" s="2105"/>
      <c r="G284" s="18"/>
      <c r="H284" s="2098"/>
      <c r="I284" s="3"/>
      <c r="J284" s="433"/>
      <c r="K284" s="275"/>
      <c r="L284" s="303"/>
      <c r="M284" s="418"/>
      <c r="N284" s="418"/>
      <c r="O284" s="428"/>
      <c r="P284" s="418"/>
      <c r="Q284" s="418"/>
      <c r="R284" s="338"/>
      <c r="S284" s="280"/>
      <c r="T284" s="280"/>
      <c r="U284" s="280"/>
      <c r="V284" s="280"/>
      <c r="W284" s="282"/>
      <c r="X284" s="79"/>
      <c r="Y284" s="79"/>
      <c r="Z284" s="79"/>
      <c r="AA284" s="79"/>
    </row>
    <row r="285" spans="1:39">
      <c r="A285" s="944">
        <v>64</v>
      </c>
      <c r="B285" s="2135"/>
      <c r="C285" s="18"/>
      <c r="D285" s="972"/>
      <c r="E285" s="18"/>
      <c r="F285" s="286"/>
      <c r="G285" s="18"/>
      <c r="H285" s="2098"/>
      <c r="I285" s="432"/>
      <c r="J285" s="433"/>
      <c r="K285" s="275"/>
      <c r="L285" s="18"/>
      <c r="M285" s="272"/>
      <c r="N285" s="272"/>
      <c r="O285" s="428"/>
      <c r="P285" s="315"/>
      <c r="Q285" s="418"/>
      <c r="R285" s="338"/>
      <c r="S285" s="280"/>
      <c r="T285" s="280"/>
      <c r="U285" s="280"/>
      <c r="V285" s="79"/>
      <c r="W285" s="79"/>
      <c r="X285" s="282">
        <f ca="1">INT((TODAY()-M285)/365)</f>
        <v>126</v>
      </c>
      <c r="Y285" s="382"/>
      <c r="Z285" s="382"/>
      <c r="AA285" s="382"/>
      <c r="AB285" s="382"/>
      <c r="AC285" s="382"/>
      <c r="AD285" s="382"/>
      <c r="AE285" s="382"/>
      <c r="AF285" s="311"/>
      <c r="AG285" s="311"/>
      <c r="AH285" s="311"/>
      <c r="AI285" s="311"/>
      <c r="AJ285" s="311"/>
      <c r="AK285" s="311"/>
      <c r="AL285" s="311"/>
      <c r="AM285" s="311"/>
    </row>
    <row r="286" spans="1:39" ht="15.75" customHeight="1">
      <c r="A286" s="944">
        <v>65</v>
      </c>
      <c r="B286" s="1072"/>
      <c r="C286" s="303"/>
      <c r="D286" s="2136"/>
      <c r="E286" s="681"/>
      <c r="F286" s="1690"/>
      <c r="G286" s="337"/>
      <c r="H286" s="1584"/>
      <c r="I286" s="303"/>
      <c r="J286" s="303"/>
      <c r="K286" s="275"/>
      <c r="L286" s="274"/>
      <c r="M286" s="315"/>
      <c r="N286" s="315"/>
      <c r="O286" s="315"/>
      <c r="P286" s="272"/>
      <c r="Q286" s="272"/>
      <c r="R286" s="317"/>
      <c r="S286" s="285"/>
      <c r="T286" s="317"/>
      <c r="U286" s="285"/>
      <c r="V286" s="285"/>
      <c r="W286" s="3"/>
      <c r="X286" s="3"/>
      <c r="Y286" s="3"/>
      <c r="Z286" s="79"/>
      <c r="AA286" s="79"/>
      <c r="AB286" s="311"/>
    </row>
    <row r="287" spans="1:39" ht="15.75" customHeight="1">
      <c r="A287" s="944">
        <v>66</v>
      </c>
      <c r="B287" s="2135"/>
      <c r="C287" s="18"/>
      <c r="D287" s="972"/>
      <c r="E287" s="18"/>
      <c r="F287" s="2105"/>
      <c r="G287" s="18"/>
      <c r="H287" s="2098"/>
      <c r="I287" s="3"/>
      <c r="J287" s="1848"/>
      <c r="K287" s="275"/>
      <c r="L287" s="274"/>
      <c r="M287" s="418"/>
      <c r="N287" s="418"/>
      <c r="O287" s="428"/>
      <c r="P287" s="418"/>
      <c r="Q287" s="418"/>
      <c r="R287" s="338"/>
      <c r="S287" s="280"/>
      <c r="T287" s="280"/>
      <c r="U287" s="280"/>
      <c r="V287" s="280"/>
      <c r="W287" s="79"/>
      <c r="X287" s="282">
        <f ca="1">INT((TODAY()-M287)/365)</f>
        <v>126</v>
      </c>
      <c r="Y287" s="79"/>
      <c r="Z287" s="79"/>
    </row>
    <row r="288" spans="1:39" ht="15.75" customHeight="1">
      <c r="A288" s="944">
        <v>67</v>
      </c>
      <c r="B288" s="2135"/>
      <c r="C288" s="18"/>
      <c r="D288" s="972"/>
      <c r="E288" s="681"/>
      <c r="F288" s="2105"/>
      <c r="G288" s="18"/>
      <c r="H288" s="2098"/>
      <c r="I288" s="432"/>
      <c r="J288" s="433"/>
      <c r="K288" s="275"/>
      <c r="L288" s="18"/>
      <c r="M288" s="418"/>
      <c r="N288" s="418"/>
      <c r="O288" s="320"/>
      <c r="P288" s="272"/>
      <c r="Q288" s="272"/>
      <c r="R288" s="338"/>
      <c r="S288" s="280"/>
      <c r="T288" s="280"/>
      <c r="U288" s="280"/>
      <c r="V288" s="280"/>
      <c r="W288" s="282"/>
      <c r="X288" s="79"/>
      <c r="Y288" s="79"/>
      <c r="Z288" s="79"/>
    </row>
    <row r="289" spans="1:28" ht="15.75" customHeight="1">
      <c r="A289" s="944">
        <v>68</v>
      </c>
      <c r="B289" s="2135"/>
      <c r="C289" s="18"/>
      <c r="D289" s="972"/>
      <c r="E289" s="18"/>
      <c r="F289" s="2105"/>
      <c r="G289" s="18"/>
      <c r="H289" s="2098"/>
      <c r="I289" s="3"/>
      <c r="J289" s="433"/>
      <c r="K289" s="275"/>
      <c r="L289" s="274"/>
      <c r="M289" s="418"/>
      <c r="N289" s="418"/>
      <c r="O289" s="428"/>
      <c r="P289" s="418"/>
      <c r="Q289" s="418"/>
      <c r="R289" s="338"/>
      <c r="S289" s="280"/>
      <c r="T289" s="79"/>
      <c r="U289" s="280"/>
      <c r="V289" s="280"/>
      <c r="W289" s="282"/>
      <c r="X289" s="79"/>
      <c r="Y289" s="79"/>
      <c r="Z289" s="79"/>
      <c r="AA289" s="79"/>
    </row>
    <row r="290" spans="1:28" ht="15.75" customHeight="1">
      <c r="A290" s="944">
        <v>69</v>
      </c>
      <c r="B290" s="1072"/>
      <c r="C290" s="303"/>
      <c r="D290" s="2136"/>
      <c r="E290" s="681"/>
      <c r="F290" s="1690"/>
      <c r="G290" s="337"/>
      <c r="H290" s="1584"/>
      <c r="I290" s="303"/>
      <c r="J290" s="303"/>
      <c r="K290" s="275"/>
      <c r="L290" s="274"/>
      <c r="M290" s="315"/>
      <c r="N290" s="315"/>
      <c r="O290" s="315"/>
      <c r="P290" s="272"/>
      <c r="Q290" s="272"/>
      <c r="R290" s="317"/>
      <c r="S290" s="285"/>
      <c r="T290" s="317"/>
      <c r="U290" s="285"/>
      <c r="V290" s="285"/>
      <c r="W290" s="3"/>
      <c r="X290" s="3"/>
      <c r="Y290" s="3"/>
      <c r="Z290" s="79"/>
      <c r="AA290" s="79"/>
      <c r="AB290" s="311"/>
    </row>
    <row r="291" spans="1:28" ht="15.75" customHeight="1">
      <c r="A291" s="944">
        <v>70</v>
      </c>
      <c r="B291" s="1072"/>
      <c r="C291" s="303"/>
      <c r="D291" s="2136"/>
      <c r="E291" s="681"/>
      <c r="F291" s="1690"/>
      <c r="G291" s="337"/>
      <c r="H291" s="1584"/>
      <c r="I291" s="303"/>
      <c r="J291" s="303"/>
      <c r="K291" s="275"/>
      <c r="L291" s="274"/>
      <c r="M291" s="315"/>
      <c r="N291" s="315"/>
      <c r="O291" s="315"/>
      <c r="P291" s="272"/>
      <c r="Q291" s="272"/>
      <c r="R291" s="317"/>
      <c r="S291" s="285"/>
      <c r="T291" s="317"/>
      <c r="U291" s="285"/>
      <c r="V291" s="285"/>
      <c r="W291" s="3"/>
      <c r="X291" s="3"/>
      <c r="Y291" s="3"/>
      <c r="Z291" s="79"/>
      <c r="AB291" s="311"/>
    </row>
    <row r="292" spans="1:28" ht="15.75" customHeight="1">
      <c r="A292" s="944">
        <v>71</v>
      </c>
      <c r="B292" s="1072"/>
      <c r="C292" s="303"/>
      <c r="D292" s="2136"/>
      <c r="E292" s="681"/>
      <c r="F292" s="1690"/>
      <c r="G292" s="337"/>
      <c r="H292" s="1584"/>
      <c r="I292" s="18"/>
      <c r="J292" s="620"/>
      <c r="K292" s="275"/>
      <c r="L292" s="274"/>
      <c r="M292" s="315"/>
      <c r="N292" s="315"/>
      <c r="O292" s="315"/>
      <c r="P292" s="272"/>
      <c r="Q292" s="272"/>
      <c r="R292" s="317"/>
      <c r="S292" s="285"/>
      <c r="T292" s="317"/>
      <c r="U292" s="285"/>
      <c r="V292" s="285"/>
      <c r="W292" s="3"/>
      <c r="X292" s="3"/>
      <c r="Y292" s="3"/>
      <c r="Z292" s="79"/>
      <c r="AB292" s="311"/>
    </row>
    <row r="293" spans="1:28" ht="15.75" customHeight="1">
      <c r="A293" s="944">
        <v>72</v>
      </c>
      <c r="B293" s="1072"/>
      <c r="C293" s="303"/>
      <c r="D293" s="2136"/>
      <c r="E293" s="681"/>
      <c r="F293" s="1690"/>
      <c r="G293" s="337"/>
      <c r="H293" s="1584"/>
      <c r="I293" s="303"/>
      <c r="J293" s="303"/>
      <c r="K293" s="275"/>
      <c r="L293" s="274"/>
      <c r="M293" s="315"/>
      <c r="N293" s="315"/>
      <c r="O293" s="315"/>
      <c r="P293" s="272"/>
      <c r="Q293" s="272"/>
      <c r="R293" s="317"/>
      <c r="S293" s="285"/>
      <c r="T293" s="317"/>
      <c r="U293" s="285"/>
      <c r="V293" s="285"/>
      <c r="W293" s="3"/>
      <c r="X293" s="3"/>
      <c r="Y293" s="3"/>
      <c r="Z293" s="79"/>
      <c r="AB293" s="311"/>
    </row>
    <row r="294" spans="1:28" ht="15.75" customHeight="1">
      <c r="A294" s="944">
        <v>73</v>
      </c>
      <c r="B294" s="1072"/>
      <c r="C294" s="303"/>
      <c r="D294" s="510"/>
      <c r="E294" s="681"/>
      <c r="F294" s="1690"/>
      <c r="G294" s="337"/>
      <c r="H294" s="1584"/>
      <c r="I294" s="303"/>
      <c r="J294" s="303"/>
      <c r="K294" s="275"/>
      <c r="L294" s="274"/>
      <c r="M294" s="315"/>
      <c r="N294" s="315"/>
      <c r="O294" s="315"/>
      <c r="P294" s="272"/>
      <c r="Q294" s="272"/>
      <c r="R294" s="317"/>
      <c r="S294" s="285"/>
      <c r="T294" s="317"/>
      <c r="U294" s="285"/>
      <c r="V294" s="285"/>
      <c r="W294" s="3"/>
      <c r="X294" s="3"/>
      <c r="Y294" s="3"/>
      <c r="Z294" s="79"/>
      <c r="AB294" s="311"/>
    </row>
    <row r="295" spans="1:28">
      <c r="D295" s="184"/>
      <c r="H295" s="90"/>
    </row>
    <row r="296" spans="1:28">
      <c r="D296" s="184"/>
      <c r="H296" s="90"/>
    </row>
    <row r="297" spans="1:28">
      <c r="D297" s="184"/>
      <c r="H297" s="90"/>
    </row>
    <row r="298" spans="1:28">
      <c r="B298" s="6"/>
      <c r="D298" s="184"/>
      <c r="F298" s="79"/>
      <c r="H298" s="90"/>
      <c r="I298" s="90"/>
    </row>
    <row r="299" spans="1:28">
      <c r="B299" s="6"/>
      <c r="D299" s="184"/>
      <c r="F299" s="79"/>
      <c r="H299" s="90"/>
      <c r="I299" s="90"/>
    </row>
    <row r="300" spans="1:28">
      <c r="B300" s="6"/>
      <c r="D300" s="184"/>
      <c r="F300" s="79"/>
      <c r="H300" s="90"/>
      <c r="I300" s="90"/>
    </row>
    <row r="301" spans="1:28">
      <c r="B301" s="6"/>
      <c r="D301" s="184"/>
      <c r="F301" s="79"/>
      <c r="H301" s="90"/>
      <c r="I301" s="90"/>
    </row>
    <row r="302" spans="1:28">
      <c r="B302" s="6"/>
      <c r="D302" s="184"/>
      <c r="F302" s="79"/>
      <c r="H302" s="90"/>
      <c r="I302" s="90"/>
    </row>
    <row r="303" spans="1:28">
      <c r="B303" s="6"/>
      <c r="D303" s="184"/>
      <c r="F303" s="79"/>
      <c r="H303" s="90"/>
      <c r="I303" s="90"/>
    </row>
    <row r="304" spans="1:28">
      <c r="B304" s="6"/>
      <c r="D304" s="184"/>
      <c r="F304" s="79"/>
      <c r="H304" s="90"/>
      <c r="I304" s="90"/>
    </row>
    <row r="305" spans="2:9">
      <c r="B305" s="6"/>
      <c r="D305" s="184"/>
      <c r="F305" s="79"/>
      <c r="H305" s="90"/>
      <c r="I305" s="90"/>
    </row>
    <row r="306" spans="2:9">
      <c r="B306" s="6"/>
      <c r="D306" s="184"/>
      <c r="F306" s="79"/>
      <c r="H306" s="90"/>
      <c r="I306" s="90"/>
    </row>
    <row r="307" spans="2:9">
      <c r="B307" s="6"/>
      <c r="D307" s="184"/>
      <c r="F307" s="79"/>
      <c r="H307" s="90"/>
      <c r="I307" s="90"/>
    </row>
    <row r="308" spans="2:9">
      <c r="B308" s="6"/>
      <c r="D308" s="184"/>
      <c r="F308" s="79"/>
      <c r="H308" s="90"/>
      <c r="I308" s="90"/>
    </row>
    <row r="309" spans="2:9">
      <c r="B309" s="6"/>
      <c r="D309" s="184"/>
      <c r="F309" s="79"/>
      <c r="H309" s="90"/>
      <c r="I309" s="90"/>
    </row>
    <row r="310" spans="2:9">
      <c r="B310" s="6"/>
      <c r="D310" s="184"/>
      <c r="F310" s="79"/>
      <c r="H310" s="90"/>
      <c r="I310" s="90"/>
    </row>
    <row r="311" spans="2:9">
      <c r="B311" s="6"/>
      <c r="D311" s="184"/>
      <c r="F311" s="79"/>
      <c r="H311" s="90"/>
      <c r="I311" s="90"/>
    </row>
    <row r="312" spans="2:9">
      <c r="B312" s="6"/>
      <c r="D312" s="184"/>
      <c r="F312" s="79"/>
      <c r="H312" s="90"/>
      <c r="I312" s="90"/>
    </row>
    <row r="313" spans="2:9">
      <c r="B313" s="6"/>
      <c r="D313" s="184"/>
      <c r="F313" s="79"/>
      <c r="H313" s="90"/>
      <c r="I313" s="90"/>
    </row>
    <row r="314" spans="2:9">
      <c r="B314" s="6"/>
      <c r="D314" s="184"/>
      <c r="F314" s="79"/>
      <c r="H314" s="90"/>
      <c r="I314" s="90"/>
    </row>
    <row r="315" spans="2:9">
      <c r="B315" s="6"/>
      <c r="D315" s="184"/>
      <c r="F315" s="79"/>
      <c r="H315" s="90"/>
      <c r="I315" s="90"/>
    </row>
    <row r="316" spans="2:9">
      <c r="B316" s="6"/>
      <c r="D316" s="184"/>
      <c r="F316" s="79"/>
      <c r="H316" s="90"/>
      <c r="I316" s="90"/>
    </row>
    <row r="317" spans="2:9">
      <c r="B317" s="6"/>
      <c r="D317" s="184"/>
      <c r="F317" s="79"/>
      <c r="H317" s="90"/>
      <c r="I317" s="90"/>
    </row>
    <row r="318" spans="2:9">
      <c r="B318" s="6"/>
      <c r="D318" s="184"/>
      <c r="F318" s="79"/>
      <c r="H318" s="90"/>
      <c r="I318" s="90"/>
    </row>
    <row r="319" spans="2:9">
      <c r="B319" s="6"/>
      <c r="D319" s="184"/>
      <c r="F319" s="79"/>
      <c r="H319" s="90"/>
      <c r="I319" s="90"/>
    </row>
    <row r="320" spans="2:9">
      <c r="B320" s="6"/>
      <c r="D320" s="184"/>
      <c r="F320" s="79"/>
      <c r="H320" s="90"/>
      <c r="I320" s="90"/>
    </row>
    <row r="321" spans="2:9">
      <c r="B321" s="6"/>
      <c r="D321" s="184"/>
      <c r="F321" s="79"/>
      <c r="H321" s="90"/>
      <c r="I321" s="90"/>
    </row>
    <row r="322" spans="2:9">
      <c r="B322" s="6"/>
      <c r="D322" s="184"/>
      <c r="F322" s="79"/>
      <c r="H322" s="90"/>
      <c r="I322" s="90"/>
    </row>
    <row r="323" spans="2:9">
      <c r="B323" s="6"/>
      <c r="D323" s="184"/>
      <c r="F323" s="79"/>
      <c r="H323" s="90"/>
      <c r="I323" s="90"/>
    </row>
    <row r="324" spans="2:9">
      <c r="B324" s="6"/>
      <c r="D324" s="184"/>
      <c r="F324" s="79"/>
      <c r="H324" s="90"/>
      <c r="I324" s="90"/>
    </row>
    <row r="325" spans="2:9">
      <c r="B325" s="6"/>
      <c r="D325" s="184"/>
      <c r="F325" s="79"/>
      <c r="H325" s="90"/>
      <c r="I325" s="90"/>
    </row>
    <row r="326" spans="2:9">
      <c r="B326" s="6"/>
      <c r="D326" s="184"/>
      <c r="F326" s="79"/>
      <c r="H326" s="90"/>
      <c r="I326" s="90"/>
    </row>
    <row r="327" spans="2:9">
      <c r="B327" s="6"/>
      <c r="D327" s="184"/>
      <c r="F327" s="79"/>
      <c r="H327" s="90"/>
      <c r="I327" s="90"/>
    </row>
    <row r="328" spans="2:9">
      <c r="B328" s="6"/>
      <c r="D328" s="184"/>
      <c r="F328" s="79"/>
      <c r="H328" s="90"/>
      <c r="I328" s="90"/>
    </row>
    <row r="329" spans="2:9">
      <c r="B329" s="6"/>
      <c r="D329" s="184"/>
      <c r="F329" s="79"/>
      <c r="H329" s="90"/>
      <c r="I329" s="90"/>
    </row>
    <row r="330" spans="2:9">
      <c r="B330" s="6"/>
      <c r="D330" s="184"/>
      <c r="F330" s="79"/>
      <c r="H330" s="90"/>
      <c r="I330" s="90"/>
    </row>
    <row r="331" spans="2:9">
      <c r="B331" s="6"/>
      <c r="D331" s="184"/>
      <c r="F331" s="79"/>
      <c r="H331" s="90"/>
      <c r="I331" s="90"/>
    </row>
    <row r="332" spans="2:9">
      <c r="B332" s="6"/>
      <c r="D332" s="184"/>
      <c r="F332" s="79"/>
      <c r="H332" s="90"/>
      <c r="I332" s="90"/>
    </row>
    <row r="333" spans="2:9">
      <c r="B333" s="6"/>
      <c r="D333" s="184"/>
      <c r="F333" s="79"/>
      <c r="H333" s="90"/>
      <c r="I333" s="90"/>
    </row>
    <row r="334" spans="2:9">
      <c r="B334" s="6"/>
      <c r="D334" s="184"/>
      <c r="F334" s="79"/>
      <c r="H334" s="90"/>
      <c r="I334" s="90"/>
    </row>
    <row r="335" spans="2:9">
      <c r="B335" s="6"/>
      <c r="D335" s="184"/>
      <c r="F335" s="79"/>
      <c r="H335" s="90"/>
      <c r="I335" s="90"/>
    </row>
    <row r="336" spans="2:9">
      <c r="B336" s="6"/>
      <c r="D336" s="184"/>
      <c r="F336" s="79"/>
      <c r="H336" s="90"/>
      <c r="I336" s="90"/>
    </row>
    <row r="337" spans="2:9">
      <c r="B337" s="6"/>
      <c r="D337" s="184"/>
      <c r="F337" s="79"/>
      <c r="H337" s="90"/>
      <c r="I337" s="90"/>
    </row>
    <row r="338" spans="2:9">
      <c r="B338" s="6"/>
      <c r="D338" s="184"/>
      <c r="F338" s="79"/>
      <c r="H338" s="90"/>
      <c r="I338" s="90"/>
    </row>
    <row r="339" spans="2:9">
      <c r="B339" s="6"/>
      <c r="D339" s="184"/>
      <c r="F339" s="79"/>
      <c r="H339" s="90"/>
      <c r="I339" s="90"/>
    </row>
    <row r="340" spans="2:9">
      <c r="B340" s="6"/>
      <c r="D340" s="184"/>
      <c r="F340" s="79"/>
      <c r="H340" s="90"/>
      <c r="I340" s="90"/>
    </row>
    <row r="341" spans="2:9">
      <c r="B341" s="6"/>
      <c r="D341" s="184"/>
      <c r="F341" s="79"/>
      <c r="H341" s="90"/>
      <c r="I341" s="90"/>
    </row>
    <row r="342" spans="2:9">
      <c r="B342" s="6"/>
      <c r="D342" s="184"/>
      <c r="F342" s="79"/>
      <c r="H342" s="90"/>
      <c r="I342" s="90"/>
    </row>
    <row r="343" spans="2:9">
      <c r="B343" s="6"/>
      <c r="D343" s="184"/>
      <c r="F343" s="79"/>
      <c r="H343" s="90"/>
      <c r="I343" s="90"/>
    </row>
    <row r="344" spans="2:9">
      <c r="B344" s="6"/>
      <c r="D344" s="184"/>
      <c r="F344" s="79"/>
      <c r="H344" s="90"/>
      <c r="I344" s="90"/>
    </row>
    <row r="345" spans="2:9">
      <c r="B345" s="6"/>
      <c r="D345" s="184"/>
      <c r="F345" s="79"/>
      <c r="H345" s="90"/>
      <c r="I345" s="90"/>
    </row>
    <row r="346" spans="2:9">
      <c r="B346" s="6"/>
      <c r="D346" s="184"/>
      <c r="F346" s="79"/>
      <c r="H346" s="90"/>
      <c r="I346" s="90"/>
    </row>
    <row r="347" spans="2:9">
      <c r="B347" s="6"/>
      <c r="D347" s="184"/>
      <c r="F347" s="79"/>
      <c r="H347" s="90"/>
      <c r="I347" s="90"/>
    </row>
    <row r="348" spans="2:9">
      <c r="B348" s="6"/>
      <c r="D348" s="184"/>
      <c r="F348" s="79"/>
      <c r="H348" s="90"/>
      <c r="I348" s="90"/>
    </row>
    <row r="349" spans="2:9">
      <c r="B349" s="6"/>
      <c r="D349" s="184"/>
      <c r="F349" s="79"/>
      <c r="H349" s="90"/>
      <c r="I349" s="90"/>
    </row>
    <row r="350" spans="2:9">
      <c r="B350" s="6"/>
      <c r="D350" s="184"/>
      <c r="F350" s="79"/>
      <c r="H350" s="90"/>
      <c r="I350" s="90"/>
    </row>
    <row r="351" spans="2:9">
      <c r="B351" s="6"/>
      <c r="D351" s="184"/>
      <c r="F351" s="79"/>
      <c r="H351" s="90"/>
      <c r="I351" s="90"/>
    </row>
    <row r="352" spans="2:9">
      <c r="B352" s="6"/>
      <c r="D352" s="184"/>
      <c r="F352" s="79"/>
      <c r="H352" s="90"/>
      <c r="I352" s="90"/>
    </row>
    <row r="353" spans="2:9">
      <c r="B353" s="6"/>
      <c r="D353" s="184"/>
      <c r="F353" s="79"/>
      <c r="H353" s="90"/>
      <c r="I353" s="90"/>
    </row>
    <row r="354" spans="2:9">
      <c r="B354" s="6"/>
      <c r="D354" s="184"/>
      <c r="F354" s="79"/>
      <c r="H354" s="90"/>
      <c r="I354" s="90"/>
    </row>
    <row r="355" spans="2:9">
      <c r="B355" s="6"/>
      <c r="D355" s="184"/>
      <c r="F355" s="79"/>
      <c r="H355" s="90"/>
      <c r="I355" s="90"/>
    </row>
    <row r="356" spans="2:9">
      <c r="B356" s="6"/>
      <c r="D356" s="184"/>
      <c r="F356" s="79"/>
      <c r="H356" s="90"/>
      <c r="I356" s="90"/>
    </row>
    <row r="357" spans="2:9">
      <c r="B357" s="6"/>
      <c r="D357" s="184"/>
      <c r="F357" s="79"/>
      <c r="H357" s="90"/>
      <c r="I357" s="90"/>
    </row>
    <row r="358" spans="2:9">
      <c r="B358" s="6"/>
      <c r="D358" s="184"/>
      <c r="F358" s="79"/>
      <c r="H358" s="90"/>
      <c r="I358" s="90"/>
    </row>
    <row r="359" spans="2:9">
      <c r="B359" s="6"/>
      <c r="D359" s="184"/>
      <c r="F359" s="79"/>
      <c r="H359" s="90"/>
      <c r="I359" s="90"/>
    </row>
    <row r="360" spans="2:9">
      <c r="B360" s="6"/>
      <c r="D360" s="184"/>
      <c r="F360" s="79"/>
      <c r="H360" s="90"/>
      <c r="I360" s="90"/>
    </row>
    <row r="361" spans="2:9">
      <c r="B361" s="6"/>
      <c r="D361" s="184"/>
      <c r="F361" s="79"/>
      <c r="H361" s="90"/>
      <c r="I361" s="90"/>
    </row>
    <row r="362" spans="2:9">
      <c r="B362" s="6"/>
      <c r="D362" s="184"/>
      <c r="F362" s="79"/>
      <c r="H362" s="90"/>
      <c r="I362" s="90"/>
    </row>
    <row r="363" spans="2:9">
      <c r="B363" s="6"/>
      <c r="D363" s="184"/>
      <c r="F363" s="79"/>
      <c r="H363" s="90"/>
      <c r="I363" s="90"/>
    </row>
    <row r="364" spans="2:9">
      <c r="B364" s="6"/>
      <c r="D364" s="184"/>
      <c r="F364" s="79"/>
      <c r="H364" s="90"/>
      <c r="I364" s="90"/>
    </row>
    <row r="365" spans="2:9">
      <c r="B365" s="6"/>
      <c r="D365" s="184"/>
      <c r="F365" s="79"/>
      <c r="H365" s="90"/>
      <c r="I365" s="90"/>
    </row>
    <row r="366" spans="2:9">
      <c r="B366" s="6"/>
      <c r="D366" s="184"/>
      <c r="F366" s="79"/>
      <c r="H366" s="90"/>
      <c r="I366" s="90"/>
    </row>
    <row r="367" spans="2:9">
      <c r="B367" s="6"/>
      <c r="D367" s="184"/>
      <c r="F367" s="79"/>
      <c r="H367" s="90"/>
      <c r="I367" s="90"/>
    </row>
    <row r="368" spans="2:9">
      <c r="B368" s="6"/>
      <c r="D368" s="184"/>
      <c r="F368" s="79"/>
      <c r="H368" s="90"/>
      <c r="I368" s="90"/>
    </row>
    <row r="369" spans="2:9">
      <c r="B369" s="6"/>
      <c r="D369" s="184"/>
      <c r="F369" s="79"/>
      <c r="H369" s="90"/>
      <c r="I369" s="90"/>
    </row>
    <row r="370" spans="2:9">
      <c r="B370" s="6"/>
      <c r="D370" s="184"/>
      <c r="F370" s="79"/>
      <c r="H370" s="90"/>
      <c r="I370" s="90"/>
    </row>
    <row r="371" spans="2:9">
      <c r="B371" s="6"/>
      <c r="D371" s="184"/>
      <c r="F371" s="79"/>
      <c r="H371" s="90"/>
      <c r="I371" s="90"/>
    </row>
    <row r="372" spans="2:9">
      <c r="B372" s="6"/>
      <c r="D372" s="184"/>
      <c r="F372" s="79"/>
      <c r="H372" s="90"/>
      <c r="I372" s="90"/>
    </row>
    <row r="373" spans="2:9">
      <c r="B373" s="6"/>
      <c r="D373" s="184"/>
      <c r="F373" s="79"/>
      <c r="H373" s="90"/>
      <c r="I373" s="90"/>
    </row>
    <row r="374" spans="2:9">
      <c r="B374" s="6"/>
      <c r="D374" s="184"/>
      <c r="F374" s="79"/>
      <c r="H374" s="90"/>
      <c r="I374" s="90"/>
    </row>
    <row r="375" spans="2:9">
      <c r="B375" s="6"/>
      <c r="D375" s="184"/>
      <c r="F375" s="79"/>
      <c r="H375" s="90"/>
      <c r="I375" s="90"/>
    </row>
    <row r="376" spans="2:9">
      <c r="B376" s="6"/>
      <c r="D376" s="184"/>
      <c r="F376" s="79"/>
      <c r="H376" s="90"/>
      <c r="I376" s="90"/>
    </row>
    <row r="377" spans="2:9">
      <c r="B377" s="6"/>
      <c r="D377" s="184"/>
      <c r="F377" s="79"/>
      <c r="H377" s="90"/>
      <c r="I377" s="90"/>
    </row>
    <row r="378" spans="2:9">
      <c r="B378" s="6"/>
      <c r="D378" s="184"/>
      <c r="F378" s="79"/>
      <c r="H378" s="90"/>
      <c r="I378" s="90"/>
    </row>
    <row r="379" spans="2:9">
      <c r="B379" s="6"/>
      <c r="D379" s="184"/>
      <c r="F379" s="79"/>
      <c r="H379" s="90"/>
      <c r="I379" s="90"/>
    </row>
    <row r="380" spans="2:9">
      <c r="B380" s="6"/>
      <c r="D380" s="184"/>
      <c r="F380" s="79"/>
      <c r="H380" s="90"/>
      <c r="I380" s="90"/>
    </row>
    <row r="381" spans="2:9">
      <c r="B381" s="6"/>
      <c r="D381" s="184"/>
      <c r="F381" s="79"/>
      <c r="H381" s="90"/>
      <c r="I381" s="90"/>
    </row>
    <row r="382" spans="2:9">
      <c r="B382" s="6"/>
      <c r="D382" s="184"/>
      <c r="F382" s="79"/>
      <c r="H382" s="90"/>
      <c r="I382" s="90"/>
    </row>
    <row r="383" spans="2:9">
      <c r="B383" s="6"/>
      <c r="D383" s="184"/>
      <c r="F383" s="79"/>
      <c r="H383" s="90"/>
      <c r="I383" s="90"/>
    </row>
    <row r="384" spans="2:9">
      <c r="B384" s="6"/>
      <c r="D384" s="184"/>
      <c r="F384" s="79"/>
      <c r="H384" s="90"/>
      <c r="I384" s="90"/>
    </row>
    <row r="385" spans="2:9">
      <c r="B385" s="6"/>
      <c r="D385" s="184"/>
      <c r="F385" s="79"/>
      <c r="H385" s="90"/>
      <c r="I385" s="90"/>
    </row>
    <row r="386" spans="2:9">
      <c r="B386" s="6"/>
      <c r="D386" s="184"/>
      <c r="F386" s="79"/>
      <c r="H386" s="90"/>
      <c r="I386" s="90"/>
    </row>
    <row r="387" spans="2:9">
      <c r="B387" s="6"/>
      <c r="D387" s="184"/>
      <c r="F387" s="79"/>
      <c r="H387" s="90"/>
      <c r="I387" s="90"/>
    </row>
    <row r="388" spans="2:9">
      <c r="B388" s="6"/>
      <c r="D388" s="184"/>
      <c r="F388" s="79"/>
      <c r="H388" s="90"/>
      <c r="I388" s="90"/>
    </row>
    <row r="389" spans="2:9">
      <c r="B389" s="6"/>
      <c r="D389" s="184"/>
      <c r="F389" s="79"/>
      <c r="H389" s="90"/>
      <c r="I389" s="90"/>
    </row>
    <row r="390" spans="2:9">
      <c r="B390" s="6"/>
      <c r="D390" s="184"/>
      <c r="F390" s="79"/>
      <c r="H390" s="90"/>
      <c r="I390" s="90"/>
    </row>
    <row r="391" spans="2:9">
      <c r="B391" s="6"/>
      <c r="D391" s="184"/>
      <c r="F391" s="79"/>
      <c r="H391" s="90"/>
      <c r="I391" s="90"/>
    </row>
    <row r="392" spans="2:9">
      <c r="B392" s="6"/>
      <c r="D392" s="184"/>
      <c r="F392" s="79"/>
      <c r="H392" s="90"/>
      <c r="I392" s="90"/>
    </row>
    <row r="393" spans="2:9">
      <c r="B393" s="6"/>
      <c r="D393" s="184"/>
      <c r="F393" s="79"/>
      <c r="H393" s="90"/>
      <c r="I393" s="90"/>
    </row>
    <row r="394" spans="2:9">
      <c r="B394" s="6"/>
      <c r="D394" s="184"/>
      <c r="F394" s="79"/>
      <c r="H394" s="90"/>
      <c r="I394" s="90"/>
    </row>
    <row r="395" spans="2:9">
      <c r="B395" s="6"/>
      <c r="D395" s="184"/>
      <c r="F395" s="79"/>
      <c r="H395" s="90"/>
      <c r="I395" s="90"/>
    </row>
    <row r="396" spans="2:9">
      <c r="B396" s="6"/>
      <c r="D396" s="184"/>
      <c r="F396" s="79"/>
      <c r="H396" s="90"/>
      <c r="I396" s="90"/>
    </row>
    <row r="397" spans="2:9">
      <c r="B397" s="6"/>
      <c r="D397" s="184"/>
      <c r="F397" s="79"/>
      <c r="H397" s="90"/>
      <c r="I397" s="90"/>
    </row>
    <row r="398" spans="2:9">
      <c r="B398" s="6"/>
      <c r="D398" s="184"/>
      <c r="F398" s="79"/>
      <c r="H398" s="90"/>
      <c r="I398" s="90"/>
    </row>
    <row r="399" spans="2:9">
      <c r="B399" s="6"/>
      <c r="D399" s="184"/>
      <c r="F399" s="79"/>
      <c r="H399" s="90"/>
      <c r="I399" s="90"/>
    </row>
    <row r="400" spans="2:9">
      <c r="B400" s="6"/>
      <c r="D400" s="184"/>
      <c r="F400" s="79"/>
      <c r="H400" s="90"/>
      <c r="I400" s="90"/>
    </row>
    <row r="401" spans="2:9">
      <c r="B401" s="6"/>
      <c r="D401" s="184"/>
      <c r="F401" s="79"/>
      <c r="H401" s="90"/>
      <c r="I401" s="90"/>
    </row>
    <row r="402" spans="2:9">
      <c r="B402" s="6"/>
      <c r="D402" s="184"/>
      <c r="F402" s="79"/>
      <c r="H402" s="90"/>
      <c r="I402" s="90"/>
    </row>
    <row r="403" spans="2:9">
      <c r="B403" s="6"/>
      <c r="D403" s="184"/>
      <c r="F403" s="79"/>
      <c r="H403" s="90"/>
      <c r="I403" s="90"/>
    </row>
    <row r="404" spans="2:9">
      <c r="B404" s="6"/>
      <c r="D404" s="184"/>
      <c r="F404" s="79"/>
      <c r="H404" s="90"/>
      <c r="I404" s="90"/>
    </row>
    <row r="405" spans="2:9">
      <c r="B405" s="6"/>
      <c r="D405" s="184"/>
      <c r="F405" s="79"/>
      <c r="H405" s="90"/>
      <c r="I405" s="90"/>
    </row>
    <row r="406" spans="2:9">
      <c r="B406" s="6"/>
      <c r="D406" s="184"/>
      <c r="F406" s="79"/>
      <c r="H406" s="90"/>
      <c r="I406" s="90"/>
    </row>
    <row r="407" spans="2:9">
      <c r="B407" s="6"/>
      <c r="D407" s="184"/>
      <c r="F407" s="79"/>
      <c r="H407" s="90"/>
      <c r="I407" s="90"/>
    </row>
    <row r="408" spans="2:9">
      <c r="B408" s="6"/>
      <c r="D408" s="184"/>
      <c r="F408" s="79"/>
      <c r="H408" s="90"/>
      <c r="I408" s="90"/>
    </row>
    <row r="409" spans="2:9">
      <c r="B409" s="6"/>
      <c r="D409" s="184"/>
      <c r="F409" s="79"/>
      <c r="H409" s="90"/>
      <c r="I409" s="90"/>
    </row>
    <row r="410" spans="2:9">
      <c r="B410" s="6"/>
      <c r="D410" s="184"/>
      <c r="F410" s="79"/>
      <c r="H410" s="90"/>
      <c r="I410" s="90"/>
    </row>
    <row r="411" spans="2:9">
      <c r="B411" s="6"/>
      <c r="D411" s="184"/>
      <c r="F411" s="79"/>
      <c r="H411" s="90"/>
      <c r="I411" s="90"/>
    </row>
    <row r="412" spans="2:9">
      <c r="B412" s="6"/>
      <c r="D412" s="184"/>
      <c r="F412" s="79"/>
      <c r="H412" s="90"/>
      <c r="I412" s="90"/>
    </row>
    <row r="413" spans="2:9">
      <c r="B413" s="6"/>
      <c r="D413" s="184"/>
      <c r="F413" s="79"/>
      <c r="H413" s="90"/>
      <c r="I413" s="90"/>
    </row>
    <row r="414" spans="2:9">
      <c r="B414" s="6"/>
      <c r="D414" s="184"/>
      <c r="F414" s="79"/>
      <c r="H414" s="90"/>
      <c r="I414" s="90"/>
    </row>
    <row r="415" spans="2:9">
      <c r="B415" s="6"/>
      <c r="D415" s="184"/>
      <c r="F415" s="79"/>
      <c r="H415" s="90"/>
      <c r="I415" s="90"/>
    </row>
    <row r="416" spans="2:9">
      <c r="B416" s="6"/>
      <c r="D416" s="184"/>
      <c r="F416" s="79"/>
      <c r="H416" s="90"/>
      <c r="I416" s="90"/>
    </row>
    <row r="417" spans="2:9">
      <c r="B417" s="6"/>
      <c r="D417" s="184"/>
      <c r="F417" s="79"/>
      <c r="H417" s="90"/>
      <c r="I417" s="90"/>
    </row>
    <row r="418" spans="2:9">
      <c r="B418" s="6"/>
      <c r="D418" s="184"/>
      <c r="F418" s="79"/>
      <c r="H418" s="90"/>
      <c r="I418" s="90"/>
    </row>
    <row r="419" spans="2:9">
      <c r="B419" s="6"/>
      <c r="D419" s="184"/>
      <c r="F419" s="79"/>
      <c r="H419" s="90"/>
      <c r="I419" s="90"/>
    </row>
    <row r="420" spans="2:9">
      <c r="B420" s="6"/>
      <c r="D420" s="184"/>
      <c r="F420" s="79"/>
      <c r="H420" s="90"/>
      <c r="I420" s="90"/>
    </row>
    <row r="421" spans="2:9">
      <c r="B421" s="6"/>
      <c r="D421" s="184"/>
      <c r="F421" s="79"/>
      <c r="H421" s="90"/>
      <c r="I421" s="90"/>
    </row>
    <row r="422" spans="2:9">
      <c r="B422" s="6"/>
      <c r="D422" s="184"/>
      <c r="F422" s="79"/>
      <c r="H422" s="90"/>
      <c r="I422" s="90"/>
    </row>
    <row r="423" spans="2:9">
      <c r="B423" s="6"/>
      <c r="D423" s="184"/>
      <c r="F423" s="79"/>
      <c r="H423" s="90"/>
      <c r="I423" s="90"/>
    </row>
    <row r="424" spans="2:9">
      <c r="B424" s="6"/>
      <c r="D424" s="184"/>
      <c r="F424" s="79"/>
      <c r="H424" s="90"/>
      <c r="I424" s="90"/>
    </row>
    <row r="425" spans="2:9">
      <c r="B425" s="6"/>
      <c r="D425" s="184"/>
      <c r="F425" s="79"/>
      <c r="H425" s="90"/>
      <c r="I425" s="90"/>
    </row>
    <row r="426" spans="2:9">
      <c r="B426" s="6"/>
      <c r="D426" s="184"/>
      <c r="F426" s="79"/>
      <c r="H426" s="90"/>
      <c r="I426" s="90"/>
    </row>
    <row r="427" spans="2:9">
      <c r="B427" s="6"/>
      <c r="D427" s="184"/>
      <c r="F427" s="79"/>
      <c r="H427" s="90"/>
      <c r="I427" s="90"/>
    </row>
    <row r="428" spans="2:9">
      <c r="B428" s="6"/>
      <c r="D428" s="184"/>
      <c r="F428" s="79"/>
      <c r="H428" s="90"/>
      <c r="I428" s="90"/>
    </row>
    <row r="429" spans="2:9">
      <c r="B429" s="6"/>
      <c r="D429" s="184"/>
      <c r="F429" s="79"/>
      <c r="H429" s="90"/>
      <c r="I429" s="90"/>
    </row>
    <row r="430" spans="2:9">
      <c r="B430" s="6"/>
      <c r="D430" s="184"/>
      <c r="F430" s="79"/>
      <c r="H430" s="90"/>
      <c r="I430" s="90"/>
    </row>
    <row r="431" spans="2:9">
      <c r="B431" s="6"/>
      <c r="D431" s="184"/>
      <c r="F431" s="79"/>
      <c r="H431" s="90"/>
      <c r="I431" s="90"/>
    </row>
    <row r="432" spans="2:9">
      <c r="B432" s="6"/>
      <c r="D432" s="184"/>
      <c r="F432" s="79"/>
      <c r="H432" s="90"/>
      <c r="I432" s="90"/>
    </row>
    <row r="433" spans="2:9">
      <c r="B433" s="6"/>
      <c r="D433" s="184"/>
      <c r="F433" s="79"/>
      <c r="H433" s="90"/>
      <c r="I433" s="90"/>
    </row>
    <row r="434" spans="2:9">
      <c r="B434" s="6"/>
      <c r="D434" s="184"/>
      <c r="F434" s="79"/>
      <c r="H434" s="90"/>
      <c r="I434" s="90"/>
    </row>
    <row r="435" spans="2:9">
      <c r="B435" s="6"/>
      <c r="D435" s="184"/>
      <c r="F435" s="79"/>
      <c r="H435" s="90"/>
      <c r="I435" s="90"/>
    </row>
    <row r="436" spans="2:9">
      <c r="B436" s="6"/>
      <c r="D436" s="184"/>
      <c r="F436" s="79"/>
      <c r="H436" s="90"/>
      <c r="I436" s="90"/>
    </row>
    <row r="437" spans="2:9">
      <c r="B437" s="6"/>
      <c r="D437" s="184"/>
      <c r="F437" s="79"/>
      <c r="H437" s="90"/>
      <c r="I437" s="90"/>
    </row>
    <row r="438" spans="2:9">
      <c r="B438" s="6"/>
      <c r="D438" s="184"/>
      <c r="F438" s="79"/>
      <c r="H438" s="90"/>
      <c r="I438" s="90"/>
    </row>
    <row r="439" spans="2:9">
      <c r="B439" s="6"/>
      <c r="D439" s="184"/>
      <c r="F439" s="79"/>
      <c r="H439" s="90"/>
      <c r="I439" s="90"/>
    </row>
    <row r="440" spans="2:9">
      <c r="B440" s="6"/>
      <c r="D440" s="184"/>
      <c r="F440" s="79"/>
      <c r="H440" s="90"/>
      <c r="I440" s="90"/>
    </row>
    <row r="441" spans="2:9">
      <c r="B441" s="6"/>
      <c r="D441" s="184"/>
      <c r="F441" s="79"/>
      <c r="H441" s="90"/>
      <c r="I441" s="90"/>
    </row>
    <row r="442" spans="2:9">
      <c r="B442" s="6"/>
      <c r="D442" s="184"/>
      <c r="F442" s="79"/>
      <c r="H442" s="90"/>
      <c r="I442" s="90"/>
    </row>
    <row r="443" spans="2:9">
      <c r="B443" s="6"/>
      <c r="D443" s="184"/>
      <c r="F443" s="79"/>
      <c r="H443" s="90"/>
      <c r="I443" s="90"/>
    </row>
    <row r="444" spans="2:9">
      <c r="B444" s="6"/>
      <c r="D444" s="184"/>
      <c r="F444" s="79"/>
      <c r="H444" s="90"/>
      <c r="I444" s="90"/>
    </row>
    <row r="445" spans="2:9">
      <c r="B445" s="6"/>
      <c r="D445" s="184"/>
      <c r="F445" s="79"/>
      <c r="H445" s="90"/>
      <c r="I445" s="90"/>
    </row>
    <row r="446" spans="2:9">
      <c r="B446" s="6"/>
      <c r="D446" s="184"/>
      <c r="F446" s="79"/>
      <c r="H446" s="90"/>
      <c r="I446" s="90"/>
    </row>
    <row r="447" spans="2:9">
      <c r="B447" s="6"/>
      <c r="D447" s="184"/>
      <c r="F447" s="79"/>
      <c r="H447" s="90"/>
      <c r="I447" s="90"/>
    </row>
    <row r="448" spans="2:9">
      <c r="B448" s="6"/>
      <c r="D448" s="184"/>
      <c r="F448" s="79"/>
      <c r="H448" s="90"/>
      <c r="I448" s="90"/>
    </row>
    <row r="449" spans="2:9">
      <c r="B449" s="6"/>
      <c r="D449" s="184"/>
      <c r="F449" s="79"/>
      <c r="H449" s="90"/>
      <c r="I449" s="90"/>
    </row>
    <row r="450" spans="2:9">
      <c r="B450" s="6"/>
      <c r="D450" s="184"/>
      <c r="F450" s="79"/>
      <c r="H450" s="90"/>
      <c r="I450" s="90"/>
    </row>
    <row r="451" spans="2:9">
      <c r="B451" s="6"/>
      <c r="D451" s="184"/>
      <c r="F451" s="79"/>
      <c r="H451" s="90"/>
      <c r="I451" s="90"/>
    </row>
    <row r="452" spans="2:9">
      <c r="B452" s="6"/>
      <c r="D452" s="184"/>
      <c r="F452" s="79"/>
      <c r="H452" s="90"/>
      <c r="I452" s="90"/>
    </row>
    <row r="453" spans="2:9">
      <c r="B453" s="6"/>
      <c r="D453" s="184"/>
      <c r="F453" s="79"/>
      <c r="H453" s="90"/>
      <c r="I453" s="90"/>
    </row>
    <row r="454" spans="2:9">
      <c r="B454" s="6"/>
      <c r="D454" s="184"/>
      <c r="F454" s="79"/>
      <c r="H454" s="90"/>
      <c r="I454" s="90"/>
    </row>
    <row r="455" spans="2:9">
      <c r="B455" s="6"/>
      <c r="D455" s="184"/>
      <c r="F455" s="79"/>
      <c r="H455" s="90"/>
      <c r="I455" s="90"/>
    </row>
    <row r="456" spans="2:9">
      <c r="B456" s="6"/>
      <c r="D456" s="184"/>
      <c r="F456" s="79"/>
      <c r="H456" s="90"/>
      <c r="I456" s="90"/>
    </row>
    <row r="457" spans="2:9">
      <c r="B457" s="6"/>
      <c r="D457" s="184"/>
      <c r="F457" s="79"/>
      <c r="H457" s="90"/>
      <c r="I457" s="90"/>
    </row>
    <row r="458" spans="2:9">
      <c r="B458" s="6"/>
      <c r="D458" s="184"/>
      <c r="F458" s="79"/>
      <c r="H458" s="90"/>
      <c r="I458" s="90"/>
    </row>
    <row r="459" spans="2:9">
      <c r="B459" s="6"/>
      <c r="D459" s="184"/>
      <c r="F459" s="79"/>
      <c r="H459" s="90"/>
      <c r="I459" s="90"/>
    </row>
    <row r="460" spans="2:9">
      <c r="B460" s="6"/>
      <c r="D460" s="184"/>
      <c r="F460" s="79"/>
      <c r="H460" s="90"/>
      <c r="I460" s="90"/>
    </row>
    <row r="461" spans="2:9">
      <c r="B461" s="6"/>
      <c r="D461" s="184"/>
      <c r="F461" s="79"/>
      <c r="H461" s="90"/>
      <c r="I461" s="90"/>
    </row>
    <row r="462" spans="2:9">
      <c r="B462" s="6"/>
      <c r="D462" s="184"/>
      <c r="F462" s="79"/>
      <c r="H462" s="90"/>
      <c r="I462" s="90"/>
    </row>
    <row r="463" spans="2:9">
      <c r="B463" s="6"/>
      <c r="D463" s="184"/>
      <c r="F463" s="79"/>
      <c r="H463" s="90"/>
      <c r="I463" s="90"/>
    </row>
    <row r="464" spans="2:9">
      <c r="B464" s="6"/>
      <c r="D464" s="184"/>
      <c r="F464" s="79"/>
      <c r="H464" s="90"/>
      <c r="I464" s="90"/>
    </row>
    <row r="465" spans="2:9">
      <c r="B465" s="6"/>
      <c r="D465" s="184"/>
      <c r="F465" s="79"/>
      <c r="H465" s="90"/>
      <c r="I465" s="90"/>
    </row>
    <row r="466" spans="2:9">
      <c r="B466" s="6"/>
      <c r="D466" s="184"/>
      <c r="F466" s="79"/>
      <c r="H466" s="90"/>
      <c r="I466" s="90"/>
    </row>
    <row r="467" spans="2:9">
      <c r="B467" s="6"/>
      <c r="D467" s="184"/>
      <c r="F467" s="79"/>
      <c r="H467" s="90"/>
      <c r="I467" s="90"/>
    </row>
    <row r="468" spans="2:9">
      <c r="B468" s="6"/>
      <c r="D468" s="184"/>
      <c r="F468" s="79"/>
      <c r="H468" s="90"/>
      <c r="I468" s="90"/>
    </row>
    <row r="469" spans="2:9">
      <c r="B469" s="6"/>
      <c r="D469" s="184"/>
      <c r="F469" s="79"/>
      <c r="H469" s="90"/>
      <c r="I469" s="90"/>
    </row>
    <row r="470" spans="2:9">
      <c r="B470" s="6"/>
      <c r="D470" s="184"/>
      <c r="F470" s="79"/>
      <c r="H470" s="90"/>
      <c r="I470" s="90"/>
    </row>
    <row r="471" spans="2:9">
      <c r="B471" s="6"/>
      <c r="D471" s="184"/>
      <c r="F471" s="79"/>
      <c r="H471" s="90"/>
      <c r="I471" s="90"/>
    </row>
    <row r="472" spans="2:9">
      <c r="B472" s="6"/>
      <c r="D472" s="184"/>
      <c r="F472" s="79"/>
      <c r="H472" s="90"/>
      <c r="I472" s="90"/>
    </row>
    <row r="473" spans="2:9">
      <c r="B473" s="6"/>
      <c r="D473" s="184"/>
      <c r="F473" s="79"/>
      <c r="H473" s="90"/>
      <c r="I473" s="90"/>
    </row>
    <row r="474" spans="2:9">
      <c r="B474" s="6"/>
      <c r="D474" s="184"/>
      <c r="F474" s="79"/>
      <c r="H474" s="90"/>
      <c r="I474" s="90"/>
    </row>
    <row r="475" spans="2:9">
      <c r="B475" s="6"/>
      <c r="D475" s="184"/>
      <c r="F475" s="79"/>
      <c r="H475" s="90"/>
      <c r="I475" s="90"/>
    </row>
    <row r="476" spans="2:9">
      <c r="B476" s="6"/>
      <c r="D476" s="184"/>
      <c r="F476" s="79"/>
      <c r="H476" s="90"/>
      <c r="I476" s="90"/>
    </row>
    <row r="477" spans="2:9">
      <c r="B477" s="6"/>
      <c r="D477" s="184"/>
      <c r="F477" s="79"/>
      <c r="H477" s="90"/>
      <c r="I477" s="90"/>
    </row>
    <row r="478" spans="2:9">
      <c r="B478" s="6"/>
      <c r="D478" s="184"/>
      <c r="F478" s="79"/>
      <c r="H478" s="90"/>
      <c r="I478" s="90"/>
    </row>
    <row r="479" spans="2:9">
      <c r="B479" s="6"/>
      <c r="D479" s="184"/>
      <c r="F479" s="79"/>
      <c r="H479" s="90"/>
      <c r="I479" s="90"/>
    </row>
    <row r="480" spans="2:9">
      <c r="B480" s="6"/>
      <c r="D480" s="184"/>
      <c r="F480" s="79"/>
      <c r="H480" s="90"/>
      <c r="I480" s="90"/>
    </row>
    <row r="481" spans="2:9">
      <c r="B481" s="6"/>
      <c r="D481" s="184"/>
      <c r="F481" s="79"/>
      <c r="H481" s="90"/>
      <c r="I481" s="90"/>
    </row>
    <row r="482" spans="2:9">
      <c r="B482" s="6"/>
      <c r="D482" s="184"/>
      <c r="F482" s="79"/>
      <c r="H482" s="90"/>
      <c r="I482" s="90"/>
    </row>
    <row r="483" spans="2:9">
      <c r="B483" s="6"/>
      <c r="D483" s="184"/>
      <c r="F483" s="79"/>
      <c r="H483" s="90"/>
      <c r="I483" s="90"/>
    </row>
    <row r="484" spans="2:9">
      <c r="B484" s="6"/>
      <c r="D484" s="184"/>
      <c r="F484" s="79"/>
      <c r="H484" s="90"/>
      <c r="I484" s="90"/>
    </row>
    <row r="485" spans="2:9">
      <c r="B485" s="6"/>
      <c r="D485" s="184"/>
      <c r="F485" s="79"/>
      <c r="H485" s="90"/>
      <c r="I485" s="90"/>
    </row>
    <row r="486" spans="2:9">
      <c r="B486" s="6"/>
      <c r="D486" s="184"/>
      <c r="F486" s="79"/>
      <c r="H486" s="90"/>
      <c r="I486" s="90"/>
    </row>
    <row r="487" spans="2:9">
      <c r="B487" s="6"/>
      <c r="D487" s="184"/>
      <c r="F487" s="79"/>
      <c r="H487" s="90"/>
      <c r="I487" s="90"/>
    </row>
    <row r="488" spans="2:9">
      <c r="B488" s="6"/>
      <c r="D488" s="184"/>
      <c r="F488" s="79"/>
      <c r="H488" s="90"/>
      <c r="I488" s="90"/>
    </row>
    <row r="489" spans="2:9">
      <c r="B489" s="6"/>
      <c r="D489" s="184"/>
      <c r="F489" s="79"/>
      <c r="H489" s="90"/>
      <c r="I489" s="90"/>
    </row>
    <row r="490" spans="2:9">
      <c r="B490" s="6"/>
      <c r="D490" s="184"/>
      <c r="F490" s="79"/>
      <c r="H490" s="90"/>
      <c r="I490" s="90"/>
    </row>
    <row r="491" spans="2:9">
      <c r="B491" s="6"/>
      <c r="D491" s="184"/>
      <c r="F491" s="79"/>
      <c r="H491" s="90"/>
      <c r="I491" s="90"/>
    </row>
    <row r="492" spans="2:9">
      <c r="B492" s="6"/>
      <c r="D492" s="184"/>
      <c r="F492" s="79"/>
      <c r="H492" s="90"/>
      <c r="I492" s="90"/>
    </row>
    <row r="493" spans="2:9">
      <c r="B493" s="6"/>
      <c r="D493" s="184"/>
      <c r="F493" s="79"/>
      <c r="H493" s="90"/>
      <c r="I493" s="90"/>
    </row>
    <row r="494" spans="2:9">
      <c r="B494" s="6"/>
      <c r="D494" s="184"/>
      <c r="F494" s="79"/>
      <c r="H494" s="90"/>
      <c r="I494" s="90"/>
    </row>
    <row r="495" spans="2:9">
      <c r="B495" s="6"/>
      <c r="D495" s="184"/>
      <c r="F495" s="79"/>
      <c r="H495" s="90"/>
      <c r="I495" s="90"/>
    </row>
    <row r="496" spans="2:9">
      <c r="B496" s="6"/>
      <c r="D496" s="184"/>
      <c r="F496" s="79"/>
      <c r="H496" s="90"/>
      <c r="I496" s="90"/>
    </row>
    <row r="497" spans="2:9">
      <c r="B497" s="6"/>
      <c r="D497" s="184"/>
      <c r="F497" s="79"/>
      <c r="H497" s="90"/>
      <c r="I497" s="90"/>
    </row>
    <row r="498" spans="2:9">
      <c r="B498" s="6"/>
      <c r="D498" s="184"/>
      <c r="F498" s="79"/>
      <c r="H498" s="90"/>
      <c r="I498" s="90"/>
    </row>
    <row r="499" spans="2:9">
      <c r="B499" s="6"/>
      <c r="D499" s="184"/>
      <c r="F499" s="79"/>
      <c r="H499" s="90"/>
      <c r="I499" s="90"/>
    </row>
    <row r="500" spans="2:9">
      <c r="B500" s="6"/>
      <c r="D500" s="184"/>
      <c r="F500" s="79"/>
      <c r="H500" s="90"/>
      <c r="I500" s="90"/>
    </row>
    <row r="501" spans="2:9">
      <c r="B501" s="6"/>
      <c r="D501" s="184"/>
      <c r="F501" s="79"/>
      <c r="H501" s="90"/>
      <c r="I501" s="90"/>
    </row>
    <row r="502" spans="2:9">
      <c r="B502" s="6"/>
      <c r="D502" s="184"/>
      <c r="F502" s="79"/>
      <c r="H502" s="90"/>
      <c r="I502" s="90"/>
    </row>
    <row r="503" spans="2:9">
      <c r="B503" s="6"/>
      <c r="D503" s="184"/>
      <c r="F503" s="79"/>
      <c r="H503" s="90"/>
      <c r="I503" s="90"/>
    </row>
    <row r="504" spans="2:9">
      <c r="B504" s="6"/>
      <c r="D504" s="184"/>
      <c r="F504" s="79"/>
      <c r="H504" s="90"/>
      <c r="I504" s="90"/>
    </row>
    <row r="505" spans="2:9">
      <c r="B505" s="6"/>
      <c r="D505" s="184"/>
      <c r="F505" s="79"/>
      <c r="H505" s="90"/>
      <c r="I505" s="90"/>
    </row>
    <row r="506" spans="2:9">
      <c r="B506" s="6"/>
      <c r="D506" s="184"/>
      <c r="F506" s="79"/>
      <c r="H506" s="90"/>
      <c r="I506" s="90"/>
    </row>
    <row r="507" spans="2:9">
      <c r="B507" s="6"/>
      <c r="D507" s="184"/>
      <c r="F507" s="79"/>
      <c r="H507" s="90"/>
      <c r="I507" s="90"/>
    </row>
    <row r="508" spans="2:9">
      <c r="B508" s="6"/>
      <c r="D508" s="184"/>
      <c r="F508" s="79"/>
      <c r="H508" s="90"/>
      <c r="I508" s="90"/>
    </row>
    <row r="509" spans="2:9">
      <c r="B509" s="6"/>
      <c r="D509" s="184"/>
      <c r="F509" s="79"/>
      <c r="H509" s="90"/>
      <c r="I509" s="90"/>
    </row>
    <row r="510" spans="2:9">
      <c r="B510" s="6"/>
      <c r="D510" s="184"/>
      <c r="F510" s="79"/>
      <c r="H510" s="90"/>
      <c r="I510" s="90"/>
    </row>
    <row r="511" spans="2:9">
      <c r="B511" s="6"/>
      <c r="D511" s="184"/>
      <c r="F511" s="79"/>
      <c r="H511" s="90"/>
      <c r="I511" s="90"/>
    </row>
    <row r="512" spans="2:9">
      <c r="B512" s="6"/>
      <c r="D512" s="184"/>
      <c r="F512" s="79"/>
      <c r="H512" s="90"/>
      <c r="I512" s="90"/>
    </row>
    <row r="513" spans="2:9">
      <c r="B513" s="6"/>
      <c r="D513" s="184"/>
      <c r="F513" s="79"/>
      <c r="H513" s="90"/>
      <c r="I513" s="90"/>
    </row>
    <row r="514" spans="2:9">
      <c r="B514" s="6"/>
      <c r="D514" s="184"/>
      <c r="F514" s="79"/>
      <c r="H514" s="90"/>
      <c r="I514" s="90"/>
    </row>
    <row r="515" spans="2:9">
      <c r="B515" s="6"/>
      <c r="D515" s="184"/>
      <c r="F515" s="79"/>
      <c r="H515" s="90"/>
      <c r="I515" s="90"/>
    </row>
    <row r="516" spans="2:9">
      <c r="B516" s="6"/>
      <c r="D516" s="184"/>
      <c r="F516" s="79"/>
      <c r="H516" s="90"/>
      <c r="I516" s="90"/>
    </row>
    <row r="517" spans="2:9">
      <c r="B517" s="6"/>
      <c r="D517" s="184"/>
      <c r="F517" s="79"/>
      <c r="H517" s="90"/>
      <c r="I517" s="90"/>
    </row>
    <row r="518" spans="2:9">
      <c r="B518" s="6"/>
      <c r="D518" s="184"/>
      <c r="F518" s="79"/>
      <c r="H518" s="90"/>
      <c r="I518" s="90"/>
    </row>
    <row r="519" spans="2:9">
      <c r="B519" s="6"/>
      <c r="D519" s="184"/>
      <c r="F519" s="79"/>
      <c r="H519" s="90"/>
      <c r="I519" s="90"/>
    </row>
    <row r="520" spans="2:9">
      <c r="B520" s="6"/>
      <c r="D520" s="184"/>
      <c r="F520" s="79"/>
      <c r="H520" s="90"/>
      <c r="I520" s="90"/>
    </row>
    <row r="521" spans="2:9">
      <c r="B521" s="6"/>
      <c r="D521" s="184"/>
      <c r="F521" s="79"/>
      <c r="H521" s="90"/>
      <c r="I521" s="90"/>
    </row>
    <row r="522" spans="2:9">
      <c r="B522" s="6"/>
      <c r="D522" s="184"/>
      <c r="F522" s="79"/>
      <c r="H522" s="90"/>
      <c r="I522" s="90"/>
    </row>
    <row r="523" spans="2:9">
      <c r="B523" s="6"/>
      <c r="D523" s="184"/>
      <c r="F523" s="79"/>
      <c r="H523" s="90"/>
      <c r="I523" s="90"/>
    </row>
    <row r="524" spans="2:9">
      <c r="B524" s="6"/>
      <c r="D524" s="184"/>
      <c r="F524" s="79"/>
      <c r="H524" s="90"/>
      <c r="I524" s="90"/>
    </row>
    <row r="525" spans="2:9">
      <c r="B525" s="6"/>
      <c r="D525" s="184"/>
      <c r="F525" s="79"/>
      <c r="H525" s="90"/>
      <c r="I525" s="90"/>
    </row>
    <row r="526" spans="2:9">
      <c r="B526" s="6"/>
      <c r="D526" s="184"/>
      <c r="F526" s="79"/>
      <c r="H526" s="90"/>
      <c r="I526" s="90"/>
    </row>
    <row r="527" spans="2:9">
      <c r="B527" s="6"/>
      <c r="D527" s="184"/>
      <c r="F527" s="79"/>
      <c r="H527" s="90"/>
      <c r="I527" s="90"/>
    </row>
    <row r="528" spans="2:9">
      <c r="B528" s="6"/>
      <c r="D528" s="184"/>
      <c r="F528" s="79"/>
      <c r="H528" s="90"/>
      <c r="I528" s="90"/>
    </row>
    <row r="529" spans="2:9">
      <c r="B529" s="6"/>
      <c r="D529" s="184"/>
      <c r="F529" s="79"/>
      <c r="H529" s="90"/>
      <c r="I529" s="90"/>
    </row>
    <row r="530" spans="2:9">
      <c r="B530" s="6"/>
      <c r="D530" s="184"/>
      <c r="F530" s="79"/>
      <c r="H530" s="90"/>
      <c r="I530" s="90"/>
    </row>
    <row r="531" spans="2:9">
      <c r="B531" s="6"/>
      <c r="D531" s="184"/>
      <c r="F531" s="79"/>
      <c r="H531" s="90"/>
      <c r="I531" s="90"/>
    </row>
    <row r="532" spans="2:9">
      <c r="B532" s="6"/>
      <c r="D532" s="184"/>
      <c r="F532" s="79"/>
      <c r="H532" s="90"/>
      <c r="I532" s="90"/>
    </row>
    <row r="533" spans="2:9">
      <c r="B533" s="6"/>
      <c r="D533" s="184"/>
      <c r="F533" s="79"/>
      <c r="H533" s="90"/>
      <c r="I533" s="90"/>
    </row>
    <row r="534" spans="2:9">
      <c r="B534" s="6"/>
      <c r="D534" s="184"/>
      <c r="F534" s="79"/>
      <c r="H534" s="90"/>
      <c r="I534" s="90"/>
    </row>
    <row r="535" spans="2:9">
      <c r="B535" s="6"/>
      <c r="D535" s="184"/>
      <c r="F535" s="79"/>
      <c r="H535" s="90"/>
      <c r="I535" s="90"/>
    </row>
    <row r="536" spans="2:9">
      <c r="B536" s="6"/>
      <c r="D536" s="184"/>
      <c r="F536" s="79"/>
      <c r="H536" s="90"/>
      <c r="I536" s="90"/>
    </row>
    <row r="537" spans="2:9">
      <c r="B537" s="6"/>
      <c r="D537" s="184"/>
      <c r="F537" s="79"/>
      <c r="H537" s="90"/>
      <c r="I537" s="90"/>
    </row>
    <row r="538" spans="2:9">
      <c r="B538" s="6"/>
      <c r="D538" s="184"/>
      <c r="F538" s="79"/>
      <c r="H538" s="90"/>
      <c r="I538" s="90"/>
    </row>
    <row r="539" spans="2:9">
      <c r="B539" s="6"/>
      <c r="D539" s="184"/>
      <c r="F539" s="79"/>
      <c r="H539" s="90"/>
      <c r="I539" s="90"/>
    </row>
    <row r="540" spans="2:9">
      <c r="B540" s="6"/>
      <c r="D540" s="184"/>
      <c r="F540" s="79"/>
      <c r="H540" s="90"/>
      <c r="I540" s="90"/>
    </row>
    <row r="541" spans="2:9">
      <c r="B541" s="6"/>
      <c r="D541" s="184"/>
      <c r="F541" s="79"/>
      <c r="H541" s="90"/>
      <c r="I541" s="90"/>
    </row>
    <row r="542" spans="2:9">
      <c r="B542" s="6"/>
      <c r="D542" s="184"/>
      <c r="F542" s="79"/>
      <c r="H542" s="90"/>
      <c r="I542" s="90"/>
    </row>
    <row r="543" spans="2:9">
      <c r="B543" s="6"/>
      <c r="D543" s="184"/>
      <c r="F543" s="79"/>
      <c r="H543" s="90"/>
      <c r="I543" s="90"/>
    </row>
    <row r="544" spans="2:9">
      <c r="B544" s="6"/>
      <c r="D544" s="184"/>
      <c r="F544" s="79"/>
      <c r="H544" s="90"/>
      <c r="I544" s="90"/>
    </row>
    <row r="545" spans="2:9">
      <c r="B545" s="6"/>
      <c r="D545" s="184"/>
      <c r="F545" s="79"/>
      <c r="H545" s="90"/>
      <c r="I545" s="90"/>
    </row>
    <row r="546" spans="2:9">
      <c r="B546" s="6"/>
      <c r="D546" s="184"/>
      <c r="F546" s="79"/>
      <c r="H546" s="90"/>
      <c r="I546" s="90"/>
    </row>
    <row r="547" spans="2:9">
      <c r="B547" s="6"/>
      <c r="D547" s="184"/>
      <c r="F547" s="79"/>
      <c r="H547" s="90"/>
      <c r="I547" s="90"/>
    </row>
    <row r="548" spans="2:9">
      <c r="B548" s="6"/>
      <c r="D548" s="184"/>
      <c r="F548" s="79"/>
      <c r="H548" s="90"/>
      <c r="I548" s="90"/>
    </row>
    <row r="549" spans="2:9">
      <c r="B549" s="6"/>
      <c r="D549" s="184"/>
      <c r="F549" s="79"/>
      <c r="H549" s="90"/>
      <c r="I549" s="90"/>
    </row>
    <row r="550" spans="2:9">
      <c r="B550" s="6"/>
      <c r="D550" s="184"/>
      <c r="F550" s="79"/>
      <c r="H550" s="90"/>
      <c r="I550" s="90"/>
    </row>
    <row r="551" spans="2:9">
      <c r="B551" s="6"/>
      <c r="D551" s="184"/>
      <c r="F551" s="79"/>
      <c r="H551" s="90"/>
      <c r="I551" s="90"/>
    </row>
    <row r="552" spans="2:9">
      <c r="B552" s="6"/>
      <c r="D552" s="184"/>
      <c r="F552" s="79"/>
      <c r="H552" s="90"/>
      <c r="I552" s="90"/>
    </row>
    <row r="553" spans="2:9">
      <c r="B553" s="6"/>
      <c r="D553" s="184"/>
      <c r="F553" s="79"/>
      <c r="H553" s="90"/>
      <c r="I553" s="90"/>
    </row>
    <row r="554" spans="2:9">
      <c r="B554" s="6"/>
      <c r="D554" s="184"/>
      <c r="F554" s="79"/>
      <c r="H554" s="90"/>
      <c r="I554" s="90"/>
    </row>
    <row r="555" spans="2:9">
      <c r="B555" s="6"/>
      <c r="D555" s="184"/>
      <c r="F555" s="79"/>
      <c r="H555" s="90"/>
      <c r="I555" s="90"/>
    </row>
    <row r="556" spans="2:9">
      <c r="B556" s="6"/>
      <c r="D556" s="184"/>
      <c r="F556" s="79"/>
      <c r="H556" s="90"/>
      <c r="I556" s="90"/>
    </row>
    <row r="557" spans="2:9">
      <c r="B557" s="6"/>
      <c r="D557" s="184"/>
      <c r="F557" s="79"/>
      <c r="H557" s="90"/>
      <c r="I557" s="90"/>
    </row>
    <row r="558" spans="2:9">
      <c r="B558" s="6"/>
      <c r="D558" s="184"/>
      <c r="F558" s="79"/>
      <c r="H558" s="90"/>
      <c r="I558" s="90"/>
    </row>
    <row r="559" spans="2:9">
      <c r="B559" s="6"/>
      <c r="D559" s="184"/>
      <c r="F559" s="79"/>
      <c r="H559" s="90"/>
      <c r="I559" s="90"/>
    </row>
    <row r="560" spans="2:9">
      <c r="B560" s="6"/>
      <c r="D560" s="184"/>
      <c r="F560" s="79"/>
      <c r="H560" s="90"/>
      <c r="I560" s="90"/>
    </row>
    <row r="561" spans="2:9">
      <c r="B561" s="6"/>
      <c r="D561" s="184"/>
      <c r="F561" s="79"/>
      <c r="H561" s="90"/>
      <c r="I561" s="90"/>
    </row>
    <row r="562" spans="2:9">
      <c r="B562" s="6"/>
      <c r="D562" s="184"/>
      <c r="F562" s="79"/>
      <c r="H562" s="90"/>
      <c r="I562" s="90"/>
    </row>
    <row r="563" spans="2:9">
      <c r="B563" s="6"/>
      <c r="D563" s="184"/>
      <c r="F563" s="79"/>
      <c r="H563" s="90"/>
      <c r="I563" s="90"/>
    </row>
    <row r="564" spans="2:9">
      <c r="B564" s="6"/>
      <c r="D564" s="184"/>
      <c r="F564" s="79"/>
      <c r="H564" s="90"/>
      <c r="I564" s="90"/>
    </row>
    <row r="565" spans="2:9">
      <c r="B565" s="6"/>
      <c r="D565" s="184"/>
      <c r="F565" s="79"/>
      <c r="H565" s="90"/>
      <c r="I565" s="90"/>
    </row>
    <row r="566" spans="2:9">
      <c r="B566" s="6"/>
      <c r="D566" s="184"/>
      <c r="F566" s="79"/>
      <c r="H566" s="90"/>
      <c r="I566" s="90"/>
    </row>
    <row r="567" spans="2:9">
      <c r="B567" s="6"/>
      <c r="D567" s="184"/>
      <c r="F567" s="79"/>
      <c r="H567" s="90"/>
      <c r="I567" s="90"/>
    </row>
    <row r="568" spans="2:9">
      <c r="B568" s="6"/>
      <c r="D568" s="184"/>
      <c r="F568" s="79"/>
      <c r="H568" s="90"/>
      <c r="I568" s="90"/>
    </row>
    <row r="569" spans="2:9">
      <c r="B569" s="6"/>
      <c r="D569" s="184"/>
      <c r="F569" s="79"/>
      <c r="H569" s="90"/>
      <c r="I569" s="90"/>
    </row>
    <row r="570" spans="2:9">
      <c r="B570" s="6"/>
      <c r="D570" s="184"/>
      <c r="F570" s="79"/>
      <c r="H570" s="90"/>
      <c r="I570" s="90"/>
    </row>
    <row r="571" spans="2:9">
      <c r="B571" s="6"/>
      <c r="D571" s="184"/>
      <c r="F571" s="79"/>
      <c r="H571" s="90"/>
      <c r="I571" s="90"/>
    </row>
    <row r="572" spans="2:9">
      <c r="B572" s="6"/>
      <c r="D572" s="184"/>
      <c r="F572" s="79"/>
      <c r="H572" s="90"/>
      <c r="I572" s="90"/>
    </row>
    <row r="573" spans="2:9">
      <c r="B573" s="6"/>
      <c r="D573" s="184"/>
      <c r="F573" s="79"/>
      <c r="H573" s="90"/>
      <c r="I573" s="90"/>
    </row>
    <row r="574" spans="2:9">
      <c r="B574" s="6"/>
      <c r="D574" s="184"/>
      <c r="F574" s="79"/>
      <c r="H574" s="90"/>
      <c r="I574" s="90"/>
    </row>
    <row r="575" spans="2:9">
      <c r="B575" s="6"/>
      <c r="D575" s="184"/>
      <c r="F575" s="79"/>
      <c r="H575" s="90"/>
      <c r="I575" s="90"/>
    </row>
    <row r="576" spans="2:9">
      <c r="B576" s="6"/>
      <c r="D576" s="184"/>
      <c r="F576" s="79"/>
      <c r="H576" s="90"/>
      <c r="I576" s="90"/>
    </row>
    <row r="577" spans="2:9">
      <c r="B577" s="6"/>
      <c r="D577" s="184"/>
      <c r="F577" s="79"/>
      <c r="H577" s="90"/>
      <c r="I577" s="90"/>
    </row>
    <row r="578" spans="2:9">
      <c r="B578" s="6"/>
      <c r="D578" s="184"/>
      <c r="F578" s="79"/>
      <c r="H578" s="90"/>
      <c r="I578" s="90"/>
    </row>
    <row r="579" spans="2:9">
      <c r="B579" s="6"/>
      <c r="D579" s="184"/>
      <c r="F579" s="79"/>
      <c r="H579" s="90"/>
      <c r="I579" s="90"/>
    </row>
    <row r="580" spans="2:9">
      <c r="B580" s="6"/>
      <c r="D580" s="184"/>
      <c r="F580" s="79"/>
      <c r="H580" s="90"/>
      <c r="I580" s="90"/>
    </row>
    <row r="581" spans="2:9">
      <c r="B581" s="6"/>
      <c r="D581" s="184"/>
      <c r="F581" s="79"/>
      <c r="H581" s="90"/>
      <c r="I581" s="90"/>
    </row>
    <row r="582" spans="2:9">
      <c r="B582" s="6"/>
      <c r="D582" s="184"/>
      <c r="F582" s="79"/>
      <c r="H582" s="90"/>
      <c r="I582" s="90"/>
    </row>
    <row r="583" spans="2:9">
      <c r="B583" s="6"/>
      <c r="D583" s="184"/>
      <c r="F583" s="79"/>
      <c r="H583" s="90"/>
      <c r="I583" s="90"/>
    </row>
    <row r="584" spans="2:9">
      <c r="B584" s="6"/>
      <c r="D584" s="184"/>
      <c r="F584" s="79"/>
      <c r="H584" s="90"/>
      <c r="I584" s="90"/>
    </row>
    <row r="585" spans="2:9">
      <c r="B585" s="6"/>
      <c r="D585" s="184"/>
      <c r="F585" s="79"/>
      <c r="H585" s="90"/>
      <c r="I585" s="90"/>
    </row>
    <row r="586" spans="2:9">
      <c r="B586" s="6"/>
      <c r="D586" s="184"/>
      <c r="F586" s="79"/>
      <c r="H586" s="90"/>
      <c r="I586" s="90"/>
    </row>
    <row r="587" spans="2:9">
      <c r="B587" s="6"/>
      <c r="D587" s="184"/>
      <c r="F587" s="79"/>
      <c r="H587" s="90"/>
      <c r="I587" s="90"/>
    </row>
    <row r="588" spans="2:9">
      <c r="B588" s="6"/>
      <c r="D588" s="184"/>
      <c r="F588" s="79"/>
      <c r="H588" s="90"/>
      <c r="I588" s="90"/>
    </row>
    <row r="589" spans="2:9">
      <c r="B589" s="6"/>
      <c r="D589" s="184"/>
      <c r="F589" s="79"/>
      <c r="H589" s="90"/>
      <c r="I589" s="90"/>
    </row>
    <row r="590" spans="2:9">
      <c r="B590" s="6"/>
      <c r="D590" s="184"/>
      <c r="F590" s="79"/>
      <c r="H590" s="90"/>
      <c r="I590" s="90"/>
    </row>
    <row r="591" spans="2:9">
      <c r="B591" s="6"/>
      <c r="D591" s="184"/>
      <c r="F591" s="79"/>
      <c r="H591" s="90"/>
      <c r="I591" s="90"/>
    </row>
    <row r="592" spans="2:9">
      <c r="B592" s="6"/>
      <c r="D592" s="184"/>
      <c r="F592" s="79"/>
      <c r="H592" s="90"/>
      <c r="I592" s="90"/>
    </row>
    <row r="593" spans="2:9">
      <c r="B593" s="6"/>
      <c r="D593" s="184"/>
      <c r="F593" s="79"/>
      <c r="H593" s="90"/>
      <c r="I593" s="90"/>
    </row>
    <row r="594" spans="2:9">
      <c r="B594" s="6"/>
      <c r="D594" s="184"/>
      <c r="F594" s="79"/>
      <c r="H594" s="90"/>
      <c r="I594" s="90"/>
    </row>
    <row r="595" spans="2:9">
      <c r="B595" s="6"/>
      <c r="D595" s="184"/>
      <c r="F595" s="79"/>
      <c r="H595" s="90"/>
      <c r="I595" s="90"/>
    </row>
    <row r="596" spans="2:9">
      <c r="B596" s="6"/>
      <c r="D596" s="184"/>
      <c r="F596" s="79"/>
      <c r="H596" s="90"/>
      <c r="I596" s="90"/>
    </row>
    <row r="597" spans="2:9">
      <c r="B597" s="6"/>
      <c r="D597" s="184"/>
      <c r="F597" s="79"/>
      <c r="H597" s="90"/>
      <c r="I597" s="90"/>
    </row>
    <row r="598" spans="2:9">
      <c r="B598" s="6"/>
      <c r="D598" s="184"/>
      <c r="F598" s="79"/>
      <c r="H598" s="90"/>
      <c r="I598" s="90"/>
    </row>
    <row r="599" spans="2:9">
      <c r="B599" s="6"/>
      <c r="D599" s="184"/>
      <c r="F599" s="79"/>
      <c r="H599" s="90"/>
      <c r="I599" s="90"/>
    </row>
    <row r="600" spans="2:9">
      <c r="B600" s="6"/>
      <c r="D600" s="184"/>
      <c r="F600" s="79"/>
      <c r="H600" s="90"/>
      <c r="I600" s="90"/>
    </row>
    <row r="601" spans="2:9">
      <c r="B601" s="6"/>
      <c r="D601" s="184"/>
      <c r="F601" s="79"/>
      <c r="H601" s="90"/>
      <c r="I601" s="90"/>
    </row>
    <row r="602" spans="2:9">
      <c r="B602" s="6"/>
      <c r="D602" s="184"/>
      <c r="F602" s="79"/>
      <c r="H602" s="90"/>
      <c r="I602" s="90"/>
    </row>
    <row r="603" spans="2:9">
      <c r="B603" s="6"/>
      <c r="D603" s="184"/>
      <c r="F603" s="79"/>
      <c r="H603" s="90"/>
      <c r="I603" s="90"/>
    </row>
    <row r="604" spans="2:9">
      <c r="B604" s="6"/>
      <c r="D604" s="184"/>
      <c r="F604" s="79"/>
      <c r="H604" s="90"/>
      <c r="I604" s="90"/>
    </row>
    <row r="605" spans="2:9">
      <c r="B605" s="6"/>
      <c r="D605" s="184"/>
      <c r="F605" s="79"/>
      <c r="H605" s="90"/>
      <c r="I605" s="90"/>
    </row>
    <row r="606" spans="2:9">
      <c r="B606" s="6"/>
      <c r="D606" s="184"/>
      <c r="F606" s="79"/>
      <c r="H606" s="90"/>
      <c r="I606" s="90"/>
    </row>
    <row r="607" spans="2:9">
      <c r="B607" s="6"/>
      <c r="D607" s="184"/>
      <c r="F607" s="79"/>
      <c r="H607" s="90"/>
      <c r="I607" s="90"/>
    </row>
    <row r="608" spans="2:9">
      <c r="B608" s="6"/>
      <c r="D608" s="184"/>
      <c r="F608" s="79"/>
      <c r="H608" s="90"/>
      <c r="I608" s="90"/>
    </row>
    <row r="609" spans="2:9">
      <c r="B609" s="6"/>
      <c r="D609" s="184"/>
      <c r="F609" s="79"/>
      <c r="H609" s="90"/>
      <c r="I609" s="90"/>
    </row>
    <row r="610" spans="2:9">
      <c r="B610" s="6"/>
      <c r="D610" s="184"/>
      <c r="F610" s="79"/>
      <c r="H610" s="90"/>
      <c r="I610" s="90"/>
    </row>
    <row r="611" spans="2:9">
      <c r="B611" s="6"/>
      <c r="D611" s="184"/>
      <c r="F611" s="79"/>
      <c r="H611" s="90"/>
      <c r="I611" s="90"/>
    </row>
    <row r="612" spans="2:9">
      <c r="B612" s="6"/>
      <c r="D612" s="184"/>
      <c r="F612" s="79"/>
      <c r="H612" s="90"/>
      <c r="I612" s="90"/>
    </row>
    <row r="613" spans="2:9">
      <c r="B613" s="6"/>
      <c r="D613" s="184"/>
      <c r="F613" s="79"/>
      <c r="H613" s="90"/>
      <c r="I613" s="90"/>
    </row>
    <row r="614" spans="2:9">
      <c r="B614" s="6"/>
      <c r="D614" s="184"/>
      <c r="F614" s="79"/>
      <c r="H614" s="90"/>
      <c r="I614" s="90"/>
    </row>
    <row r="615" spans="2:9">
      <c r="B615" s="6"/>
      <c r="D615" s="184"/>
      <c r="F615" s="79"/>
      <c r="H615" s="90"/>
      <c r="I615" s="90"/>
    </row>
    <row r="616" spans="2:9">
      <c r="B616" s="6"/>
      <c r="D616" s="184"/>
      <c r="F616" s="79"/>
      <c r="H616" s="90"/>
      <c r="I616" s="90"/>
    </row>
    <row r="617" spans="2:9">
      <c r="B617" s="6"/>
      <c r="D617" s="184"/>
      <c r="F617" s="79"/>
      <c r="H617" s="90"/>
      <c r="I617" s="90"/>
    </row>
    <row r="618" spans="2:9">
      <c r="B618" s="6"/>
      <c r="D618" s="184"/>
      <c r="F618" s="79"/>
      <c r="H618" s="90"/>
      <c r="I618" s="90"/>
    </row>
    <row r="619" spans="2:9">
      <c r="B619" s="6"/>
      <c r="D619" s="184"/>
      <c r="F619" s="79"/>
      <c r="H619" s="90"/>
      <c r="I619" s="90"/>
    </row>
    <row r="620" spans="2:9">
      <c r="B620" s="6"/>
      <c r="D620" s="184"/>
      <c r="F620" s="79"/>
      <c r="H620" s="90"/>
      <c r="I620" s="90"/>
    </row>
    <row r="621" spans="2:9">
      <c r="B621" s="6"/>
      <c r="D621" s="184"/>
      <c r="F621" s="79"/>
      <c r="H621" s="90"/>
      <c r="I621" s="90"/>
    </row>
    <row r="622" spans="2:9">
      <c r="B622" s="6"/>
      <c r="D622" s="184"/>
      <c r="F622" s="79"/>
      <c r="H622" s="90"/>
      <c r="I622" s="90"/>
    </row>
    <row r="623" spans="2:9">
      <c r="B623" s="6"/>
      <c r="D623" s="184"/>
      <c r="F623" s="79"/>
      <c r="H623" s="90"/>
      <c r="I623" s="90"/>
    </row>
    <row r="624" spans="2:9">
      <c r="B624" s="6"/>
      <c r="D624" s="184"/>
      <c r="F624" s="79"/>
      <c r="H624" s="90"/>
      <c r="I624" s="90"/>
    </row>
    <row r="625" spans="2:9">
      <c r="B625" s="6"/>
      <c r="D625" s="184"/>
      <c r="F625" s="79"/>
      <c r="H625" s="90"/>
      <c r="I625" s="90"/>
    </row>
    <row r="626" spans="2:9">
      <c r="B626" s="6"/>
      <c r="D626" s="184"/>
      <c r="F626" s="79"/>
      <c r="H626" s="90"/>
      <c r="I626" s="90"/>
    </row>
    <row r="627" spans="2:9">
      <c r="B627" s="6"/>
      <c r="D627" s="184"/>
      <c r="F627" s="79"/>
      <c r="H627" s="90"/>
      <c r="I627" s="90"/>
    </row>
    <row r="628" spans="2:9">
      <c r="B628" s="6"/>
      <c r="D628" s="184"/>
      <c r="F628" s="79"/>
      <c r="H628" s="90"/>
      <c r="I628" s="90"/>
    </row>
    <row r="629" spans="2:9">
      <c r="B629" s="6"/>
      <c r="D629" s="184"/>
      <c r="F629" s="79"/>
      <c r="H629" s="90"/>
      <c r="I629" s="90"/>
    </row>
    <row r="630" spans="2:9">
      <c r="B630" s="6"/>
      <c r="D630" s="184"/>
      <c r="F630" s="79"/>
      <c r="H630" s="90"/>
      <c r="I630" s="90"/>
    </row>
    <row r="631" spans="2:9">
      <c r="B631" s="6"/>
      <c r="D631" s="184"/>
      <c r="F631" s="79"/>
      <c r="H631" s="90"/>
      <c r="I631" s="90"/>
    </row>
    <row r="632" spans="2:9">
      <c r="B632" s="6"/>
      <c r="D632" s="184"/>
      <c r="F632" s="79"/>
      <c r="H632" s="90"/>
      <c r="I632" s="90"/>
    </row>
    <row r="633" spans="2:9">
      <c r="B633" s="6"/>
      <c r="D633" s="184"/>
      <c r="F633" s="79"/>
      <c r="H633" s="90"/>
      <c r="I633" s="90"/>
    </row>
    <row r="634" spans="2:9">
      <c r="B634" s="6"/>
      <c r="D634" s="184"/>
      <c r="F634" s="79"/>
      <c r="H634" s="90"/>
      <c r="I634" s="90"/>
    </row>
    <row r="635" spans="2:9">
      <c r="B635" s="6"/>
      <c r="D635" s="184"/>
      <c r="F635" s="79"/>
      <c r="H635" s="90"/>
      <c r="I635" s="90"/>
    </row>
    <row r="636" spans="2:9">
      <c r="B636" s="6"/>
      <c r="D636" s="184"/>
      <c r="F636" s="79"/>
      <c r="H636" s="90"/>
      <c r="I636" s="90"/>
    </row>
    <row r="637" spans="2:9">
      <c r="B637" s="6"/>
      <c r="D637" s="184"/>
      <c r="F637" s="79"/>
      <c r="H637" s="90"/>
      <c r="I637" s="90"/>
    </row>
    <row r="638" spans="2:9">
      <c r="B638" s="6"/>
      <c r="D638" s="184"/>
      <c r="F638" s="79"/>
      <c r="H638" s="90"/>
      <c r="I638" s="90"/>
    </row>
    <row r="639" spans="2:9">
      <c r="B639" s="6"/>
      <c r="D639" s="184"/>
      <c r="F639" s="79"/>
      <c r="H639" s="90"/>
      <c r="I639" s="90"/>
    </row>
    <row r="640" spans="2:9">
      <c r="B640" s="6"/>
      <c r="D640" s="184"/>
      <c r="F640" s="79"/>
      <c r="H640" s="90"/>
      <c r="I640" s="90"/>
    </row>
    <row r="641" spans="2:9">
      <c r="B641" s="6"/>
      <c r="D641" s="184"/>
      <c r="F641" s="79"/>
      <c r="H641" s="90"/>
      <c r="I641" s="90"/>
    </row>
    <row r="642" spans="2:9">
      <c r="B642" s="6"/>
      <c r="D642" s="184"/>
      <c r="F642" s="79"/>
      <c r="H642" s="90"/>
      <c r="I642" s="90"/>
    </row>
    <row r="643" spans="2:9">
      <c r="B643" s="6"/>
      <c r="D643" s="184"/>
      <c r="F643" s="79"/>
      <c r="H643" s="90"/>
      <c r="I643" s="90"/>
    </row>
    <row r="644" spans="2:9">
      <c r="B644" s="6"/>
      <c r="D644" s="184"/>
      <c r="F644" s="79"/>
      <c r="H644" s="90"/>
      <c r="I644" s="90"/>
    </row>
    <row r="645" spans="2:9">
      <c r="B645" s="6"/>
      <c r="D645" s="184"/>
      <c r="F645" s="79"/>
      <c r="H645" s="90"/>
      <c r="I645" s="90"/>
    </row>
    <row r="646" spans="2:9">
      <c r="B646" s="6"/>
      <c r="D646" s="184"/>
      <c r="F646" s="79"/>
      <c r="H646" s="90"/>
      <c r="I646" s="90"/>
    </row>
    <row r="647" spans="2:9">
      <c r="B647" s="6"/>
      <c r="D647" s="184"/>
      <c r="F647" s="79"/>
      <c r="H647" s="90"/>
      <c r="I647" s="90"/>
    </row>
    <row r="648" spans="2:9">
      <c r="B648" s="6"/>
      <c r="D648" s="184"/>
      <c r="F648" s="79"/>
      <c r="H648" s="90"/>
      <c r="I648" s="90"/>
    </row>
    <row r="649" spans="2:9">
      <c r="B649" s="6"/>
      <c r="D649" s="184"/>
      <c r="F649" s="79"/>
      <c r="H649" s="90"/>
      <c r="I649" s="90"/>
    </row>
    <row r="650" spans="2:9">
      <c r="B650" s="6"/>
      <c r="D650" s="184"/>
      <c r="F650" s="79"/>
      <c r="H650" s="90"/>
      <c r="I650" s="90"/>
    </row>
    <row r="651" spans="2:9">
      <c r="B651" s="6"/>
      <c r="D651" s="184"/>
      <c r="F651" s="79"/>
      <c r="H651" s="90"/>
      <c r="I651" s="90"/>
    </row>
    <row r="652" spans="2:9">
      <c r="B652" s="6"/>
      <c r="D652" s="184"/>
      <c r="F652" s="79"/>
      <c r="H652" s="90"/>
      <c r="I652" s="90"/>
    </row>
    <row r="653" spans="2:9">
      <c r="B653" s="6"/>
      <c r="D653" s="184"/>
      <c r="F653" s="79"/>
      <c r="H653" s="90"/>
      <c r="I653" s="90"/>
    </row>
    <row r="654" spans="2:9">
      <c r="B654" s="6"/>
      <c r="D654" s="184"/>
      <c r="F654" s="79"/>
      <c r="H654" s="90"/>
      <c r="I654" s="90"/>
    </row>
    <row r="655" spans="2:9">
      <c r="B655" s="6"/>
      <c r="D655" s="184"/>
      <c r="F655" s="79"/>
      <c r="H655" s="90"/>
      <c r="I655" s="90"/>
    </row>
    <row r="656" spans="2:9">
      <c r="B656" s="6"/>
      <c r="D656" s="184"/>
      <c r="F656" s="79"/>
      <c r="H656" s="90"/>
      <c r="I656" s="90"/>
    </row>
    <row r="657" spans="2:9">
      <c r="B657" s="6"/>
      <c r="D657" s="184"/>
      <c r="F657" s="79"/>
      <c r="H657" s="90"/>
      <c r="I657" s="90"/>
    </row>
    <row r="658" spans="2:9">
      <c r="B658" s="6"/>
      <c r="D658" s="184"/>
      <c r="F658" s="79"/>
      <c r="H658" s="90"/>
      <c r="I658" s="90"/>
    </row>
    <row r="659" spans="2:9">
      <c r="B659" s="6"/>
      <c r="D659" s="184"/>
      <c r="F659" s="79"/>
      <c r="H659" s="90"/>
      <c r="I659" s="90"/>
    </row>
    <row r="660" spans="2:9">
      <c r="B660" s="6"/>
      <c r="D660" s="184"/>
      <c r="F660" s="79"/>
      <c r="H660" s="90"/>
      <c r="I660" s="90"/>
    </row>
    <row r="661" spans="2:9">
      <c r="B661" s="6"/>
      <c r="D661" s="184"/>
      <c r="F661" s="79"/>
      <c r="H661" s="90"/>
      <c r="I661" s="90"/>
    </row>
    <row r="662" spans="2:9">
      <c r="B662" s="6"/>
      <c r="D662" s="184"/>
      <c r="F662" s="79"/>
      <c r="H662" s="90"/>
      <c r="I662" s="90"/>
    </row>
    <row r="663" spans="2:9">
      <c r="B663" s="6"/>
      <c r="D663" s="184"/>
      <c r="F663" s="79"/>
      <c r="H663" s="90"/>
      <c r="I663" s="90"/>
    </row>
    <row r="664" spans="2:9">
      <c r="B664" s="6"/>
      <c r="D664" s="184"/>
      <c r="F664" s="79"/>
      <c r="H664" s="90"/>
      <c r="I664" s="90"/>
    </row>
    <row r="665" spans="2:9">
      <c r="B665" s="6"/>
      <c r="D665" s="184"/>
      <c r="F665" s="79"/>
      <c r="H665" s="90"/>
      <c r="I665" s="90"/>
    </row>
    <row r="666" spans="2:9">
      <c r="B666" s="6"/>
      <c r="D666" s="184"/>
      <c r="F666" s="79"/>
      <c r="H666" s="90"/>
      <c r="I666" s="90"/>
    </row>
    <row r="667" spans="2:9">
      <c r="B667" s="6"/>
      <c r="D667" s="184"/>
      <c r="F667" s="79"/>
      <c r="H667" s="90"/>
      <c r="I667" s="90"/>
    </row>
    <row r="668" spans="2:9">
      <c r="B668" s="6"/>
      <c r="D668" s="184"/>
      <c r="F668" s="79"/>
      <c r="H668" s="90"/>
      <c r="I668" s="90"/>
    </row>
    <row r="669" spans="2:9">
      <c r="B669" s="6"/>
      <c r="D669" s="184"/>
      <c r="F669" s="79"/>
      <c r="H669" s="90"/>
      <c r="I669" s="90"/>
    </row>
    <row r="670" spans="2:9">
      <c r="B670" s="6"/>
      <c r="D670" s="184"/>
      <c r="F670" s="79"/>
      <c r="H670" s="90"/>
      <c r="I670" s="90"/>
    </row>
    <row r="671" spans="2:9">
      <c r="B671" s="6"/>
      <c r="D671" s="184"/>
      <c r="F671" s="79"/>
      <c r="H671" s="90"/>
      <c r="I671" s="90"/>
    </row>
    <row r="672" spans="2:9">
      <c r="B672" s="6"/>
      <c r="D672" s="184"/>
      <c r="F672" s="79"/>
      <c r="H672" s="90"/>
      <c r="I672" s="90"/>
    </row>
    <row r="673" spans="2:9">
      <c r="B673" s="6"/>
      <c r="D673" s="184"/>
      <c r="F673" s="79"/>
      <c r="H673" s="90"/>
      <c r="I673" s="90"/>
    </row>
    <row r="674" spans="2:9">
      <c r="B674" s="6"/>
      <c r="D674" s="184"/>
      <c r="F674" s="79"/>
      <c r="H674" s="90"/>
      <c r="I674" s="90"/>
    </row>
    <row r="675" spans="2:9">
      <c r="B675" s="6"/>
      <c r="D675" s="184"/>
      <c r="F675" s="79"/>
      <c r="H675" s="90"/>
      <c r="I675" s="90"/>
    </row>
    <row r="676" spans="2:9">
      <c r="B676" s="6"/>
      <c r="D676" s="184"/>
      <c r="F676" s="79"/>
      <c r="H676" s="90"/>
      <c r="I676" s="90"/>
    </row>
    <row r="677" spans="2:9">
      <c r="B677" s="6"/>
      <c r="D677" s="184"/>
      <c r="F677" s="79"/>
      <c r="H677" s="90"/>
      <c r="I677" s="90"/>
    </row>
    <row r="678" spans="2:9">
      <c r="B678" s="6"/>
      <c r="D678" s="184"/>
      <c r="F678" s="79"/>
      <c r="H678" s="90"/>
      <c r="I678" s="90"/>
    </row>
    <row r="679" spans="2:9">
      <c r="B679" s="6"/>
      <c r="D679" s="184"/>
      <c r="F679" s="79"/>
      <c r="H679" s="90"/>
      <c r="I679" s="90"/>
    </row>
    <row r="680" spans="2:9">
      <c r="B680" s="6"/>
      <c r="D680" s="184"/>
      <c r="F680" s="79"/>
      <c r="H680" s="90"/>
      <c r="I680" s="90"/>
    </row>
    <row r="681" spans="2:9">
      <c r="B681" s="6"/>
      <c r="D681" s="184"/>
      <c r="F681" s="79"/>
      <c r="H681" s="90"/>
      <c r="I681" s="90"/>
    </row>
    <row r="682" spans="2:9">
      <c r="B682" s="6"/>
      <c r="D682" s="184"/>
      <c r="F682" s="79"/>
      <c r="H682" s="90"/>
      <c r="I682" s="90"/>
    </row>
    <row r="683" spans="2:9">
      <c r="B683" s="6"/>
      <c r="D683" s="184"/>
      <c r="F683" s="79"/>
      <c r="H683" s="90"/>
      <c r="I683" s="90"/>
    </row>
    <row r="684" spans="2:9">
      <c r="B684" s="6"/>
      <c r="D684" s="184"/>
      <c r="F684" s="79"/>
      <c r="H684" s="90"/>
      <c r="I684" s="90"/>
    </row>
    <row r="685" spans="2:9">
      <c r="B685" s="6"/>
      <c r="D685" s="184"/>
      <c r="F685" s="79"/>
      <c r="H685" s="90"/>
      <c r="I685" s="90"/>
    </row>
    <row r="686" spans="2:9">
      <c r="B686" s="6"/>
      <c r="D686" s="184"/>
      <c r="F686" s="79"/>
      <c r="H686" s="90"/>
      <c r="I686" s="90"/>
    </row>
    <row r="687" spans="2:9">
      <c r="B687" s="6"/>
      <c r="D687" s="184"/>
      <c r="F687" s="79"/>
      <c r="H687" s="90"/>
      <c r="I687" s="90"/>
    </row>
    <row r="688" spans="2:9">
      <c r="B688" s="6"/>
      <c r="D688" s="184"/>
      <c r="F688" s="79"/>
      <c r="H688" s="90"/>
      <c r="I688" s="90"/>
    </row>
    <row r="689" spans="2:9">
      <c r="B689" s="6"/>
      <c r="D689" s="184"/>
      <c r="F689" s="79"/>
      <c r="H689" s="90"/>
      <c r="I689" s="90"/>
    </row>
    <row r="690" spans="2:9">
      <c r="B690" s="6"/>
      <c r="D690" s="184"/>
      <c r="F690" s="79"/>
      <c r="H690" s="90"/>
      <c r="I690" s="90"/>
    </row>
    <row r="691" spans="2:9">
      <c r="B691" s="6"/>
      <c r="D691" s="184"/>
      <c r="F691" s="79"/>
      <c r="H691" s="90"/>
      <c r="I691" s="90"/>
    </row>
    <row r="692" spans="2:9">
      <c r="B692" s="6"/>
      <c r="D692" s="184"/>
      <c r="F692" s="79"/>
      <c r="H692" s="90"/>
      <c r="I692" s="90"/>
    </row>
    <row r="693" spans="2:9">
      <c r="B693" s="6"/>
      <c r="D693" s="184"/>
      <c r="F693" s="79"/>
      <c r="H693" s="90"/>
      <c r="I693" s="90"/>
    </row>
    <row r="694" spans="2:9">
      <c r="B694" s="6"/>
      <c r="D694" s="184"/>
      <c r="F694" s="79"/>
      <c r="H694" s="90"/>
      <c r="I694" s="90"/>
    </row>
    <row r="695" spans="2:9">
      <c r="B695" s="6"/>
      <c r="D695" s="184"/>
      <c r="F695" s="79"/>
      <c r="H695" s="90"/>
      <c r="I695" s="90"/>
    </row>
    <row r="696" spans="2:9">
      <c r="B696" s="6"/>
      <c r="D696" s="184"/>
      <c r="F696" s="79"/>
      <c r="H696" s="90"/>
      <c r="I696" s="90"/>
    </row>
    <row r="697" spans="2:9">
      <c r="B697" s="6"/>
      <c r="D697" s="184"/>
      <c r="F697" s="79"/>
      <c r="H697" s="90"/>
      <c r="I697" s="90"/>
    </row>
    <row r="698" spans="2:9">
      <c r="B698" s="6"/>
      <c r="D698" s="184"/>
      <c r="F698" s="79"/>
      <c r="H698" s="90"/>
      <c r="I698" s="90"/>
    </row>
    <row r="699" spans="2:9">
      <c r="B699" s="6"/>
      <c r="D699" s="184"/>
      <c r="F699" s="79"/>
      <c r="H699" s="90"/>
      <c r="I699" s="90"/>
    </row>
    <row r="700" spans="2:9">
      <c r="B700" s="6"/>
      <c r="D700" s="184"/>
      <c r="F700" s="79"/>
      <c r="H700" s="90"/>
      <c r="I700" s="90"/>
    </row>
    <row r="701" spans="2:9">
      <c r="B701" s="6"/>
      <c r="D701" s="184"/>
      <c r="F701" s="79"/>
      <c r="H701" s="90"/>
      <c r="I701" s="90"/>
    </row>
    <row r="702" spans="2:9">
      <c r="B702" s="6"/>
      <c r="D702" s="184"/>
      <c r="F702" s="79"/>
      <c r="H702" s="90"/>
      <c r="I702" s="90"/>
    </row>
    <row r="703" spans="2:9">
      <c r="B703" s="6"/>
      <c r="D703" s="184"/>
      <c r="F703" s="79"/>
      <c r="H703" s="90"/>
      <c r="I703" s="90"/>
    </row>
    <row r="704" spans="2:9">
      <c r="B704" s="6"/>
      <c r="D704" s="184"/>
      <c r="F704" s="79"/>
      <c r="H704" s="90"/>
      <c r="I704" s="90"/>
    </row>
    <row r="705" spans="2:9">
      <c r="B705" s="6"/>
      <c r="D705" s="184"/>
      <c r="F705" s="79"/>
      <c r="H705" s="90"/>
      <c r="I705" s="90"/>
    </row>
    <row r="706" spans="2:9">
      <c r="B706" s="6"/>
      <c r="D706" s="184"/>
      <c r="F706" s="79"/>
      <c r="H706" s="90"/>
      <c r="I706" s="90"/>
    </row>
    <row r="707" spans="2:9">
      <c r="B707" s="6"/>
      <c r="D707" s="184"/>
      <c r="F707" s="79"/>
      <c r="H707" s="90"/>
      <c r="I707" s="90"/>
    </row>
    <row r="708" spans="2:9">
      <c r="B708" s="6"/>
      <c r="D708" s="184"/>
      <c r="F708" s="79"/>
      <c r="H708" s="90"/>
      <c r="I708" s="90"/>
    </row>
    <row r="709" spans="2:9">
      <c r="B709" s="6"/>
      <c r="D709" s="184"/>
      <c r="F709" s="79"/>
      <c r="H709" s="90"/>
      <c r="I709" s="90"/>
    </row>
    <row r="710" spans="2:9">
      <c r="B710" s="6"/>
      <c r="D710" s="184"/>
      <c r="F710" s="79"/>
      <c r="H710" s="90"/>
      <c r="I710" s="90"/>
    </row>
    <row r="711" spans="2:9">
      <c r="B711" s="6"/>
      <c r="D711" s="184"/>
      <c r="F711" s="79"/>
      <c r="H711" s="90"/>
      <c r="I711" s="90"/>
    </row>
    <row r="712" spans="2:9">
      <c r="B712" s="6"/>
      <c r="D712" s="184"/>
      <c r="F712" s="79"/>
      <c r="H712" s="90"/>
      <c r="I712" s="90"/>
    </row>
    <row r="713" spans="2:9">
      <c r="B713" s="6"/>
      <c r="D713" s="184"/>
      <c r="F713" s="79"/>
      <c r="H713" s="90"/>
      <c r="I713" s="90"/>
    </row>
    <row r="714" spans="2:9">
      <c r="B714" s="6"/>
      <c r="D714" s="184"/>
      <c r="F714" s="79"/>
      <c r="H714" s="90"/>
      <c r="I714" s="90"/>
    </row>
    <row r="715" spans="2:9">
      <c r="B715" s="6"/>
      <c r="D715" s="184"/>
      <c r="F715" s="79"/>
      <c r="H715" s="90"/>
      <c r="I715" s="90"/>
    </row>
    <row r="716" spans="2:9">
      <c r="B716" s="6"/>
      <c r="D716" s="184"/>
      <c r="F716" s="79"/>
      <c r="H716" s="90"/>
      <c r="I716" s="90"/>
    </row>
    <row r="717" spans="2:9">
      <c r="B717" s="6"/>
      <c r="D717" s="184"/>
      <c r="F717" s="79"/>
      <c r="H717" s="90"/>
      <c r="I717" s="90"/>
    </row>
    <row r="718" spans="2:9">
      <c r="B718" s="6"/>
      <c r="D718" s="184"/>
      <c r="F718" s="79"/>
      <c r="H718" s="90"/>
      <c r="I718" s="90"/>
    </row>
    <row r="719" spans="2:9">
      <c r="B719" s="6"/>
      <c r="D719" s="184"/>
      <c r="F719" s="79"/>
      <c r="H719" s="90"/>
      <c r="I719" s="90"/>
    </row>
    <row r="720" spans="2:9">
      <c r="B720" s="6"/>
      <c r="D720" s="184"/>
      <c r="F720" s="79"/>
      <c r="H720" s="90"/>
      <c r="I720" s="90"/>
    </row>
    <row r="721" spans="2:9">
      <c r="B721" s="6"/>
      <c r="D721" s="184"/>
      <c r="F721" s="79"/>
      <c r="H721" s="90"/>
      <c r="I721" s="90"/>
    </row>
    <row r="722" spans="2:9">
      <c r="B722" s="6"/>
      <c r="D722" s="184"/>
      <c r="F722" s="79"/>
      <c r="H722" s="90"/>
      <c r="I722" s="90"/>
    </row>
    <row r="723" spans="2:9">
      <c r="B723" s="6"/>
      <c r="D723" s="184"/>
      <c r="F723" s="79"/>
      <c r="H723" s="90"/>
      <c r="I723" s="90"/>
    </row>
    <row r="724" spans="2:9">
      <c r="B724" s="6"/>
      <c r="D724" s="184"/>
      <c r="F724" s="79"/>
      <c r="H724" s="90"/>
      <c r="I724" s="90"/>
    </row>
    <row r="725" spans="2:9">
      <c r="B725" s="6"/>
      <c r="D725" s="184"/>
      <c r="F725" s="79"/>
      <c r="H725" s="90"/>
      <c r="I725" s="90"/>
    </row>
    <row r="726" spans="2:9">
      <c r="B726" s="6"/>
      <c r="D726" s="184"/>
      <c r="F726" s="79"/>
      <c r="H726" s="90"/>
      <c r="I726" s="90"/>
    </row>
    <row r="727" spans="2:9">
      <c r="B727" s="6"/>
      <c r="D727" s="184"/>
      <c r="F727" s="79"/>
      <c r="H727" s="90"/>
      <c r="I727" s="90"/>
    </row>
    <row r="728" spans="2:9">
      <c r="B728" s="6"/>
      <c r="D728" s="184"/>
      <c r="F728" s="79"/>
      <c r="H728" s="90"/>
      <c r="I728" s="90"/>
    </row>
    <row r="729" spans="2:9">
      <c r="B729" s="6"/>
      <c r="D729" s="184"/>
      <c r="F729" s="79"/>
      <c r="H729" s="90"/>
      <c r="I729" s="90"/>
    </row>
    <row r="730" spans="2:9">
      <c r="B730" s="6"/>
      <c r="D730" s="184"/>
      <c r="F730" s="79"/>
      <c r="H730" s="90"/>
      <c r="I730" s="90"/>
    </row>
    <row r="731" spans="2:9">
      <c r="B731" s="6"/>
      <c r="D731" s="184"/>
      <c r="F731" s="79"/>
      <c r="H731" s="90"/>
      <c r="I731" s="90"/>
    </row>
    <row r="732" spans="2:9">
      <c r="B732" s="6"/>
      <c r="D732" s="184"/>
      <c r="F732" s="79"/>
      <c r="H732" s="90"/>
      <c r="I732" s="90"/>
    </row>
    <row r="733" spans="2:9">
      <c r="B733" s="6"/>
      <c r="D733" s="184"/>
      <c r="F733" s="79"/>
      <c r="H733" s="90"/>
      <c r="I733" s="90"/>
    </row>
    <row r="734" spans="2:9">
      <c r="B734" s="6"/>
      <c r="D734" s="184"/>
      <c r="F734" s="79"/>
      <c r="H734" s="90"/>
      <c r="I734" s="90"/>
    </row>
    <row r="735" spans="2:9">
      <c r="B735" s="6"/>
      <c r="D735" s="184"/>
      <c r="F735" s="79"/>
      <c r="H735" s="90"/>
      <c r="I735" s="90"/>
    </row>
    <row r="736" spans="2:9">
      <c r="B736" s="6"/>
      <c r="D736" s="184"/>
      <c r="F736" s="79"/>
      <c r="H736" s="90"/>
      <c r="I736" s="90"/>
    </row>
    <row r="737" spans="2:9">
      <c r="B737" s="6"/>
      <c r="D737" s="184"/>
      <c r="F737" s="79"/>
      <c r="H737" s="90"/>
      <c r="I737" s="90"/>
    </row>
    <row r="738" spans="2:9">
      <c r="B738" s="6"/>
      <c r="D738" s="184"/>
      <c r="F738" s="79"/>
      <c r="H738" s="90"/>
      <c r="I738" s="90"/>
    </row>
    <row r="739" spans="2:9">
      <c r="B739" s="6"/>
      <c r="D739" s="184"/>
      <c r="F739" s="79"/>
      <c r="H739" s="90"/>
      <c r="I739" s="90"/>
    </row>
    <row r="740" spans="2:9">
      <c r="B740" s="6"/>
      <c r="D740" s="184"/>
      <c r="F740" s="79"/>
      <c r="H740" s="90"/>
      <c r="I740" s="90"/>
    </row>
    <row r="741" spans="2:9">
      <c r="B741" s="6"/>
      <c r="D741" s="184"/>
      <c r="F741" s="79"/>
      <c r="H741" s="90"/>
      <c r="I741" s="90"/>
    </row>
    <row r="742" spans="2:9">
      <c r="B742" s="6"/>
      <c r="D742" s="184"/>
      <c r="F742" s="79"/>
      <c r="H742" s="90"/>
      <c r="I742" s="90"/>
    </row>
    <row r="743" spans="2:9">
      <c r="B743" s="6"/>
      <c r="D743" s="184"/>
      <c r="F743" s="79"/>
      <c r="H743" s="90"/>
      <c r="I743" s="90"/>
    </row>
    <row r="744" spans="2:9">
      <c r="B744" s="6"/>
      <c r="D744" s="184"/>
      <c r="F744" s="79"/>
      <c r="H744" s="90"/>
      <c r="I744" s="90"/>
    </row>
    <row r="745" spans="2:9">
      <c r="B745" s="6"/>
      <c r="D745" s="184"/>
      <c r="F745" s="79"/>
      <c r="H745" s="90"/>
      <c r="I745" s="90"/>
    </row>
    <row r="746" spans="2:9">
      <c r="B746" s="6"/>
      <c r="D746" s="184"/>
      <c r="F746" s="79"/>
      <c r="H746" s="90"/>
      <c r="I746" s="90"/>
    </row>
    <row r="747" spans="2:9">
      <c r="B747" s="6"/>
      <c r="D747" s="184"/>
      <c r="F747" s="79"/>
      <c r="H747" s="90"/>
      <c r="I747" s="90"/>
    </row>
    <row r="748" spans="2:9">
      <c r="B748" s="6"/>
      <c r="D748" s="184"/>
      <c r="F748" s="79"/>
      <c r="H748" s="90"/>
      <c r="I748" s="90"/>
    </row>
    <row r="749" spans="2:9">
      <c r="B749" s="6"/>
      <c r="D749" s="184"/>
      <c r="F749" s="79"/>
      <c r="H749" s="90"/>
      <c r="I749" s="90"/>
    </row>
    <row r="750" spans="2:9">
      <c r="B750" s="6"/>
      <c r="D750" s="184"/>
      <c r="F750" s="79"/>
      <c r="H750" s="90"/>
      <c r="I750" s="90"/>
    </row>
    <row r="751" spans="2:9">
      <c r="B751" s="6"/>
      <c r="D751" s="184"/>
      <c r="F751" s="79"/>
      <c r="H751" s="90"/>
      <c r="I751" s="90"/>
    </row>
    <row r="752" spans="2:9">
      <c r="B752" s="6"/>
      <c r="D752" s="184"/>
      <c r="F752" s="79"/>
      <c r="H752" s="90"/>
      <c r="I752" s="90"/>
    </row>
    <row r="753" spans="2:9">
      <c r="B753" s="6"/>
      <c r="D753" s="184"/>
      <c r="F753" s="79"/>
      <c r="H753" s="90"/>
      <c r="I753" s="90"/>
    </row>
    <row r="754" spans="2:9">
      <c r="B754" s="6"/>
      <c r="D754" s="184"/>
      <c r="F754" s="79"/>
      <c r="H754" s="90"/>
      <c r="I754" s="90"/>
    </row>
    <row r="755" spans="2:9">
      <c r="B755" s="6"/>
      <c r="D755" s="184"/>
      <c r="F755" s="79"/>
      <c r="H755" s="90"/>
      <c r="I755" s="90"/>
    </row>
    <row r="756" spans="2:9">
      <c r="B756" s="6"/>
      <c r="D756" s="184"/>
      <c r="F756" s="79"/>
      <c r="H756" s="90"/>
      <c r="I756" s="90"/>
    </row>
    <row r="757" spans="2:9">
      <c r="B757" s="6"/>
      <c r="D757" s="184"/>
      <c r="F757" s="79"/>
      <c r="H757" s="90"/>
      <c r="I757" s="90"/>
    </row>
    <row r="758" spans="2:9">
      <c r="B758" s="6"/>
      <c r="D758" s="184"/>
      <c r="F758" s="79"/>
      <c r="H758" s="90"/>
      <c r="I758" s="90"/>
    </row>
    <row r="759" spans="2:9">
      <c r="B759" s="6"/>
      <c r="D759" s="184"/>
      <c r="F759" s="79"/>
      <c r="H759" s="90"/>
      <c r="I759" s="90"/>
    </row>
    <row r="760" spans="2:9">
      <c r="B760" s="6"/>
      <c r="D760" s="184"/>
      <c r="F760" s="79"/>
      <c r="H760" s="90"/>
      <c r="I760" s="90"/>
    </row>
    <row r="761" spans="2:9">
      <c r="B761" s="6"/>
      <c r="D761" s="184"/>
      <c r="F761" s="79"/>
      <c r="H761" s="90"/>
      <c r="I761" s="90"/>
    </row>
    <row r="762" spans="2:9">
      <c r="B762" s="6"/>
      <c r="D762" s="184"/>
      <c r="F762" s="79"/>
      <c r="H762" s="90"/>
      <c r="I762" s="90"/>
    </row>
    <row r="763" spans="2:9">
      <c r="B763" s="6"/>
      <c r="D763" s="184"/>
      <c r="F763" s="79"/>
      <c r="H763" s="90"/>
      <c r="I763" s="90"/>
    </row>
    <row r="764" spans="2:9">
      <c r="B764" s="6"/>
      <c r="D764" s="184"/>
      <c r="F764" s="79"/>
      <c r="H764" s="90"/>
      <c r="I764" s="90"/>
    </row>
    <row r="765" spans="2:9">
      <c r="B765" s="6"/>
      <c r="D765" s="184"/>
      <c r="F765" s="79"/>
      <c r="H765" s="90"/>
      <c r="I765" s="90"/>
    </row>
    <row r="766" spans="2:9">
      <c r="B766" s="6"/>
      <c r="D766" s="184"/>
      <c r="F766" s="79"/>
      <c r="H766" s="90"/>
      <c r="I766" s="90"/>
    </row>
    <row r="767" spans="2:9">
      <c r="B767" s="6"/>
      <c r="D767" s="184"/>
      <c r="F767" s="79"/>
      <c r="H767" s="90"/>
      <c r="I767" s="90"/>
    </row>
    <row r="768" spans="2:9">
      <c r="B768" s="6"/>
      <c r="D768" s="184"/>
      <c r="F768" s="79"/>
      <c r="H768" s="90"/>
      <c r="I768" s="90"/>
    </row>
    <row r="769" spans="2:9">
      <c r="B769" s="6"/>
      <c r="D769" s="184"/>
      <c r="F769" s="79"/>
      <c r="H769" s="90"/>
      <c r="I769" s="90"/>
    </row>
    <row r="770" spans="2:9">
      <c r="B770" s="6"/>
      <c r="D770" s="184"/>
      <c r="F770" s="79"/>
      <c r="H770" s="90"/>
      <c r="I770" s="90"/>
    </row>
    <row r="771" spans="2:9">
      <c r="B771" s="6"/>
      <c r="D771" s="184"/>
      <c r="F771" s="79"/>
      <c r="H771" s="90"/>
      <c r="I771" s="90"/>
    </row>
    <row r="772" spans="2:9">
      <c r="B772" s="6"/>
      <c r="D772" s="184"/>
      <c r="F772" s="79"/>
      <c r="H772" s="90"/>
      <c r="I772" s="90"/>
    </row>
    <row r="773" spans="2:9">
      <c r="B773" s="6"/>
      <c r="D773" s="184"/>
      <c r="F773" s="79"/>
      <c r="H773" s="90"/>
      <c r="I773" s="90"/>
    </row>
    <row r="774" spans="2:9">
      <c r="B774" s="6"/>
      <c r="D774" s="184"/>
      <c r="F774" s="79"/>
      <c r="H774" s="90"/>
      <c r="I774" s="90"/>
    </row>
    <row r="775" spans="2:9">
      <c r="B775" s="6"/>
      <c r="D775" s="184"/>
      <c r="F775" s="79"/>
      <c r="H775" s="90"/>
      <c r="I775" s="90"/>
    </row>
    <row r="776" spans="2:9">
      <c r="B776" s="6"/>
      <c r="D776" s="184"/>
      <c r="F776" s="79"/>
      <c r="H776" s="90"/>
      <c r="I776" s="90"/>
    </row>
    <row r="777" spans="2:9">
      <c r="B777" s="6"/>
      <c r="D777" s="184"/>
      <c r="F777" s="79"/>
      <c r="H777" s="90"/>
      <c r="I777" s="90"/>
    </row>
    <row r="778" spans="2:9">
      <c r="B778" s="6"/>
      <c r="D778" s="184"/>
      <c r="F778" s="79"/>
      <c r="H778" s="90"/>
      <c r="I778" s="90"/>
    </row>
    <row r="779" spans="2:9">
      <c r="B779" s="6"/>
      <c r="D779" s="184"/>
      <c r="F779" s="79"/>
      <c r="H779" s="90"/>
      <c r="I779" s="90"/>
    </row>
    <row r="780" spans="2:9">
      <c r="B780" s="6"/>
      <c r="D780" s="184"/>
      <c r="F780" s="79"/>
      <c r="H780" s="90"/>
      <c r="I780" s="90"/>
    </row>
    <row r="781" spans="2:9">
      <c r="B781" s="6"/>
      <c r="D781" s="184"/>
      <c r="F781" s="79"/>
      <c r="H781" s="90"/>
      <c r="I781" s="90"/>
    </row>
    <row r="782" spans="2:9">
      <c r="B782" s="6"/>
      <c r="D782" s="184"/>
      <c r="F782" s="79"/>
      <c r="H782" s="90"/>
      <c r="I782" s="90"/>
    </row>
    <row r="783" spans="2:9">
      <c r="B783" s="6"/>
      <c r="D783" s="184"/>
      <c r="F783" s="79"/>
      <c r="H783" s="90"/>
      <c r="I783" s="90"/>
    </row>
    <row r="784" spans="2:9">
      <c r="B784" s="6"/>
      <c r="D784" s="184"/>
      <c r="F784" s="79"/>
      <c r="H784" s="90"/>
      <c r="I784" s="90"/>
    </row>
    <row r="785" spans="2:9">
      <c r="B785" s="6"/>
      <c r="D785" s="184"/>
      <c r="F785" s="79"/>
      <c r="H785" s="90"/>
      <c r="I785" s="90"/>
    </row>
    <row r="786" spans="2:9">
      <c r="B786" s="6"/>
      <c r="D786" s="184"/>
      <c r="F786" s="79"/>
      <c r="H786" s="90"/>
      <c r="I786" s="90"/>
    </row>
    <row r="787" spans="2:9">
      <c r="B787" s="6"/>
      <c r="D787" s="184"/>
      <c r="F787" s="79"/>
      <c r="H787" s="90"/>
      <c r="I787" s="90"/>
    </row>
    <row r="788" spans="2:9">
      <c r="B788" s="6"/>
      <c r="D788" s="184"/>
      <c r="F788" s="79"/>
      <c r="H788" s="90"/>
      <c r="I788" s="90"/>
    </row>
    <row r="789" spans="2:9">
      <c r="B789" s="6"/>
      <c r="D789" s="184"/>
      <c r="F789" s="79"/>
      <c r="H789" s="90"/>
      <c r="I789" s="90"/>
    </row>
    <row r="790" spans="2:9">
      <c r="B790" s="6"/>
      <c r="D790" s="184"/>
      <c r="F790" s="79"/>
      <c r="H790" s="90"/>
      <c r="I790" s="90"/>
    </row>
    <row r="791" spans="2:9">
      <c r="B791" s="6"/>
      <c r="D791" s="184"/>
      <c r="F791" s="79"/>
      <c r="H791" s="90"/>
      <c r="I791" s="90"/>
    </row>
    <row r="792" spans="2:9">
      <c r="B792" s="6"/>
      <c r="D792" s="184"/>
      <c r="F792" s="79"/>
      <c r="H792" s="90"/>
      <c r="I792" s="90"/>
    </row>
    <row r="793" spans="2:9">
      <c r="B793" s="6"/>
      <c r="D793" s="184"/>
      <c r="F793" s="79"/>
      <c r="H793" s="90"/>
      <c r="I793" s="90"/>
    </row>
    <row r="794" spans="2:9">
      <c r="B794" s="6"/>
      <c r="D794" s="184"/>
      <c r="F794" s="79"/>
      <c r="H794" s="90"/>
      <c r="I794" s="90"/>
    </row>
    <row r="795" spans="2:9">
      <c r="B795" s="6"/>
      <c r="D795" s="184"/>
      <c r="F795" s="79"/>
      <c r="H795" s="90"/>
      <c r="I795" s="90"/>
    </row>
    <row r="796" spans="2:9">
      <c r="B796" s="6"/>
      <c r="D796" s="184"/>
      <c r="F796" s="79"/>
      <c r="H796" s="90"/>
      <c r="I796" s="90"/>
    </row>
    <row r="797" spans="2:9">
      <c r="B797" s="6"/>
      <c r="D797" s="184"/>
      <c r="F797" s="79"/>
      <c r="H797" s="90"/>
      <c r="I797" s="90"/>
    </row>
    <row r="798" spans="2:9">
      <c r="B798" s="6"/>
      <c r="D798" s="184"/>
      <c r="F798" s="79"/>
      <c r="H798" s="90"/>
      <c r="I798" s="90"/>
    </row>
    <row r="799" spans="2:9">
      <c r="B799" s="6"/>
      <c r="D799" s="184"/>
      <c r="F799" s="79"/>
      <c r="H799" s="90"/>
      <c r="I799" s="90"/>
    </row>
    <row r="800" spans="2:9">
      <c r="B800" s="6"/>
      <c r="D800" s="184"/>
      <c r="F800" s="79"/>
      <c r="H800" s="90"/>
      <c r="I800" s="90"/>
    </row>
    <row r="801" spans="2:9">
      <c r="B801" s="6"/>
      <c r="D801" s="184"/>
      <c r="F801" s="79"/>
      <c r="H801" s="90"/>
      <c r="I801" s="90"/>
    </row>
    <row r="802" spans="2:9">
      <c r="B802" s="6"/>
      <c r="D802" s="184"/>
      <c r="F802" s="79"/>
      <c r="H802" s="90"/>
      <c r="I802" s="90"/>
    </row>
    <row r="803" spans="2:9">
      <c r="B803" s="6"/>
      <c r="D803" s="184"/>
      <c r="F803" s="79"/>
      <c r="H803" s="90"/>
      <c r="I803" s="90"/>
    </row>
    <row r="804" spans="2:9">
      <c r="B804" s="6"/>
      <c r="D804" s="184"/>
      <c r="F804" s="79"/>
      <c r="H804" s="90"/>
      <c r="I804" s="90"/>
    </row>
    <row r="805" spans="2:9">
      <c r="B805" s="6"/>
      <c r="D805" s="184"/>
      <c r="F805" s="79"/>
      <c r="H805" s="90"/>
      <c r="I805" s="90"/>
    </row>
    <row r="806" spans="2:9">
      <c r="B806" s="6"/>
      <c r="D806" s="184"/>
      <c r="F806" s="79"/>
      <c r="H806" s="90"/>
      <c r="I806" s="90"/>
    </row>
    <row r="807" spans="2:9">
      <c r="B807" s="6"/>
      <c r="D807" s="184"/>
      <c r="F807" s="79"/>
      <c r="H807" s="90"/>
      <c r="I807" s="90"/>
    </row>
    <row r="808" spans="2:9">
      <c r="B808" s="6"/>
      <c r="D808" s="184"/>
      <c r="F808" s="79"/>
      <c r="H808" s="90"/>
      <c r="I808" s="90"/>
    </row>
    <row r="809" spans="2:9">
      <c r="B809" s="6"/>
      <c r="D809" s="184"/>
      <c r="F809" s="79"/>
      <c r="H809" s="90"/>
      <c r="I809" s="90"/>
    </row>
    <row r="810" spans="2:9">
      <c r="B810" s="6"/>
      <c r="D810" s="184"/>
      <c r="F810" s="79"/>
      <c r="H810" s="90"/>
      <c r="I810" s="90"/>
    </row>
    <row r="811" spans="2:9">
      <c r="B811" s="6"/>
      <c r="D811" s="184"/>
      <c r="F811" s="79"/>
      <c r="H811" s="90"/>
      <c r="I811" s="90"/>
    </row>
    <row r="812" spans="2:9">
      <c r="B812" s="6"/>
      <c r="D812" s="184"/>
      <c r="F812" s="79"/>
      <c r="H812" s="90"/>
      <c r="I812" s="90"/>
    </row>
    <row r="813" spans="2:9">
      <c r="B813" s="6"/>
      <c r="D813" s="184"/>
      <c r="F813" s="79"/>
      <c r="H813" s="90"/>
      <c r="I813" s="90"/>
    </row>
    <row r="814" spans="2:9">
      <c r="B814" s="6"/>
      <c r="D814" s="184"/>
      <c r="F814" s="79"/>
      <c r="H814" s="90"/>
      <c r="I814" s="90"/>
    </row>
    <row r="815" spans="2:9">
      <c r="B815" s="6"/>
      <c r="D815" s="184"/>
      <c r="F815" s="79"/>
      <c r="H815" s="90"/>
      <c r="I815" s="90"/>
    </row>
    <row r="816" spans="2:9">
      <c r="B816" s="6"/>
      <c r="D816" s="184"/>
      <c r="F816" s="79"/>
      <c r="H816" s="90"/>
      <c r="I816" s="90"/>
    </row>
    <row r="817" spans="2:9">
      <c r="B817" s="6"/>
      <c r="D817" s="184"/>
      <c r="F817" s="79"/>
      <c r="H817" s="90"/>
      <c r="I817" s="90"/>
    </row>
    <row r="818" spans="2:9">
      <c r="B818" s="6"/>
      <c r="D818" s="184"/>
      <c r="F818" s="79"/>
      <c r="H818" s="90"/>
      <c r="I818" s="90"/>
    </row>
    <row r="819" spans="2:9">
      <c r="B819" s="6"/>
      <c r="D819" s="184"/>
      <c r="F819" s="79"/>
      <c r="H819" s="90"/>
      <c r="I819" s="90"/>
    </row>
    <row r="820" spans="2:9">
      <c r="B820" s="6"/>
      <c r="D820" s="184"/>
      <c r="F820" s="79"/>
      <c r="H820" s="90"/>
      <c r="I820" s="90"/>
    </row>
    <row r="821" spans="2:9">
      <c r="B821" s="6"/>
      <c r="D821" s="184"/>
      <c r="F821" s="79"/>
      <c r="H821" s="90"/>
      <c r="I821" s="90"/>
    </row>
    <row r="822" spans="2:9">
      <c r="B822" s="6"/>
      <c r="D822" s="184"/>
      <c r="F822" s="79"/>
      <c r="H822" s="90"/>
      <c r="I822" s="90"/>
    </row>
    <row r="823" spans="2:9">
      <c r="B823" s="6"/>
      <c r="D823" s="184"/>
      <c r="F823" s="79"/>
      <c r="H823" s="90"/>
      <c r="I823" s="90"/>
    </row>
    <row r="824" spans="2:9">
      <c r="B824" s="6"/>
      <c r="D824" s="184"/>
      <c r="F824" s="79"/>
      <c r="H824" s="90"/>
      <c r="I824" s="90"/>
    </row>
    <row r="825" spans="2:9">
      <c r="B825" s="6"/>
      <c r="D825" s="184"/>
      <c r="F825" s="79"/>
      <c r="H825" s="90"/>
      <c r="I825" s="90"/>
    </row>
    <row r="826" spans="2:9">
      <c r="B826" s="6"/>
      <c r="D826" s="184"/>
      <c r="F826" s="79"/>
      <c r="H826" s="90"/>
      <c r="I826" s="90"/>
    </row>
    <row r="827" spans="2:9">
      <c r="B827" s="6"/>
      <c r="D827" s="184"/>
      <c r="F827" s="79"/>
      <c r="H827" s="90"/>
      <c r="I827" s="90"/>
    </row>
    <row r="828" spans="2:9">
      <c r="B828" s="6"/>
      <c r="D828" s="184"/>
      <c r="F828" s="79"/>
      <c r="H828" s="90"/>
      <c r="I828" s="90"/>
    </row>
    <row r="829" spans="2:9">
      <c r="B829" s="6"/>
      <c r="D829" s="184"/>
      <c r="F829" s="79"/>
      <c r="H829" s="90"/>
      <c r="I829" s="90"/>
    </row>
    <row r="830" spans="2:9">
      <c r="B830" s="6"/>
      <c r="D830" s="184"/>
      <c r="F830" s="79"/>
      <c r="H830" s="90"/>
      <c r="I830" s="90"/>
    </row>
    <row r="831" spans="2:9">
      <c r="B831" s="6"/>
      <c r="D831" s="184"/>
      <c r="F831" s="79"/>
      <c r="H831" s="90"/>
      <c r="I831" s="90"/>
    </row>
    <row r="832" spans="2:9">
      <c r="B832" s="6"/>
      <c r="D832" s="184"/>
      <c r="F832" s="79"/>
      <c r="H832" s="90"/>
      <c r="I832" s="90"/>
    </row>
    <row r="833" spans="2:9">
      <c r="B833" s="6"/>
      <c r="D833" s="184"/>
      <c r="F833" s="79"/>
      <c r="H833" s="90"/>
      <c r="I833" s="90"/>
    </row>
    <row r="834" spans="2:9">
      <c r="B834" s="6"/>
      <c r="D834" s="184"/>
      <c r="F834" s="79"/>
      <c r="H834" s="90"/>
      <c r="I834" s="90"/>
    </row>
    <row r="835" spans="2:9">
      <c r="B835" s="6"/>
      <c r="D835" s="184"/>
      <c r="F835" s="79"/>
      <c r="H835" s="90"/>
      <c r="I835" s="90"/>
    </row>
    <row r="836" spans="2:9">
      <c r="B836" s="6"/>
      <c r="D836" s="184"/>
      <c r="F836" s="79"/>
      <c r="H836" s="90"/>
      <c r="I836" s="90"/>
    </row>
    <row r="837" spans="2:9">
      <c r="B837" s="6"/>
      <c r="D837" s="184"/>
      <c r="F837" s="79"/>
      <c r="H837" s="90"/>
      <c r="I837" s="90"/>
    </row>
    <row r="838" spans="2:9">
      <c r="B838" s="6"/>
      <c r="D838" s="184"/>
      <c r="F838" s="79"/>
      <c r="H838" s="90"/>
      <c r="I838" s="90"/>
    </row>
    <row r="839" spans="2:9">
      <c r="B839" s="6"/>
      <c r="D839" s="184"/>
      <c r="F839" s="79"/>
      <c r="H839" s="90"/>
      <c r="I839" s="90"/>
    </row>
    <row r="840" spans="2:9">
      <c r="B840" s="6"/>
      <c r="D840" s="184"/>
      <c r="F840" s="79"/>
      <c r="H840" s="90"/>
      <c r="I840" s="90"/>
    </row>
    <row r="841" spans="2:9">
      <c r="B841" s="6"/>
      <c r="D841" s="184"/>
      <c r="F841" s="79"/>
      <c r="H841" s="90"/>
      <c r="I841" s="90"/>
    </row>
    <row r="842" spans="2:9">
      <c r="B842" s="6"/>
      <c r="D842" s="184"/>
      <c r="F842" s="79"/>
      <c r="H842" s="90"/>
      <c r="I842" s="90"/>
    </row>
    <row r="843" spans="2:9">
      <c r="B843" s="6"/>
      <c r="D843" s="184"/>
      <c r="F843" s="79"/>
      <c r="H843" s="90"/>
      <c r="I843" s="90"/>
    </row>
    <row r="844" spans="2:9">
      <c r="B844" s="6"/>
      <c r="D844" s="184"/>
      <c r="F844" s="79"/>
      <c r="H844" s="90"/>
      <c r="I844" s="90"/>
    </row>
    <row r="845" spans="2:9">
      <c r="B845" s="6"/>
      <c r="D845" s="184"/>
      <c r="F845" s="79"/>
      <c r="H845" s="90"/>
      <c r="I845" s="90"/>
    </row>
    <row r="846" spans="2:9">
      <c r="B846" s="6"/>
      <c r="D846" s="184"/>
      <c r="F846" s="79"/>
      <c r="H846" s="90"/>
      <c r="I846" s="90"/>
    </row>
    <row r="847" spans="2:9">
      <c r="B847" s="6"/>
      <c r="D847" s="184"/>
      <c r="F847" s="79"/>
      <c r="H847" s="90"/>
      <c r="I847" s="90"/>
    </row>
    <row r="848" spans="2:9">
      <c r="B848" s="6"/>
      <c r="D848" s="184"/>
      <c r="F848" s="79"/>
      <c r="H848" s="90"/>
      <c r="I848" s="90"/>
    </row>
    <row r="849" spans="2:9">
      <c r="B849" s="6"/>
      <c r="D849" s="184"/>
      <c r="F849" s="79"/>
      <c r="H849" s="90"/>
      <c r="I849" s="90"/>
    </row>
    <row r="850" spans="2:9">
      <c r="B850" s="6"/>
      <c r="D850" s="184"/>
      <c r="F850" s="79"/>
      <c r="H850" s="90"/>
      <c r="I850" s="90"/>
    </row>
    <row r="851" spans="2:9">
      <c r="B851" s="6"/>
      <c r="D851" s="184"/>
      <c r="F851" s="79"/>
      <c r="H851" s="90"/>
      <c r="I851" s="90"/>
    </row>
    <row r="852" spans="2:9">
      <c r="B852" s="6"/>
      <c r="D852" s="184"/>
      <c r="F852" s="79"/>
      <c r="H852" s="90"/>
      <c r="I852" s="90"/>
    </row>
    <row r="853" spans="2:9">
      <c r="B853" s="6"/>
      <c r="D853" s="184"/>
      <c r="F853" s="79"/>
      <c r="H853" s="90"/>
      <c r="I853" s="90"/>
    </row>
    <row r="854" spans="2:9">
      <c r="B854" s="6"/>
      <c r="D854" s="184"/>
      <c r="F854" s="79"/>
      <c r="H854" s="90"/>
      <c r="I854" s="90"/>
    </row>
    <row r="855" spans="2:9">
      <c r="B855" s="6"/>
      <c r="D855" s="184"/>
      <c r="F855" s="79"/>
      <c r="H855" s="90"/>
      <c r="I855" s="90"/>
    </row>
    <row r="856" spans="2:9">
      <c r="B856" s="6"/>
      <c r="D856" s="184"/>
      <c r="F856" s="79"/>
      <c r="H856" s="90"/>
      <c r="I856" s="90"/>
    </row>
    <row r="857" spans="2:9">
      <c r="B857" s="6"/>
      <c r="D857" s="184"/>
      <c r="F857" s="79"/>
      <c r="H857" s="90"/>
      <c r="I857" s="90"/>
    </row>
    <row r="858" spans="2:9">
      <c r="B858" s="6"/>
      <c r="D858" s="184"/>
      <c r="F858" s="79"/>
      <c r="H858" s="90"/>
      <c r="I858" s="90"/>
    </row>
    <row r="859" spans="2:9">
      <c r="B859" s="6"/>
      <c r="D859" s="184"/>
      <c r="F859" s="79"/>
      <c r="H859" s="90"/>
      <c r="I859" s="90"/>
    </row>
    <row r="860" spans="2:9">
      <c r="B860" s="6"/>
      <c r="D860" s="184"/>
      <c r="F860" s="79"/>
      <c r="H860" s="90"/>
      <c r="I860" s="90"/>
    </row>
    <row r="861" spans="2:9">
      <c r="B861" s="6"/>
      <c r="D861" s="184"/>
      <c r="F861" s="79"/>
      <c r="H861" s="90"/>
      <c r="I861" s="90"/>
    </row>
    <row r="862" spans="2:9">
      <c r="B862" s="6"/>
      <c r="D862" s="184"/>
      <c r="F862" s="79"/>
      <c r="H862" s="90"/>
      <c r="I862" s="90"/>
    </row>
    <row r="863" spans="2:9">
      <c r="B863" s="6"/>
      <c r="D863" s="184"/>
      <c r="F863" s="79"/>
      <c r="H863" s="90"/>
      <c r="I863" s="90"/>
    </row>
    <row r="864" spans="2:9">
      <c r="B864" s="6"/>
      <c r="D864" s="184"/>
      <c r="F864" s="79"/>
      <c r="H864" s="90"/>
      <c r="I864" s="90"/>
    </row>
    <row r="865" spans="2:9">
      <c r="B865" s="6"/>
      <c r="D865" s="184"/>
      <c r="F865" s="79"/>
      <c r="H865" s="90"/>
      <c r="I865" s="90"/>
    </row>
    <row r="866" spans="2:9">
      <c r="B866" s="6"/>
      <c r="D866" s="184"/>
      <c r="F866" s="79"/>
      <c r="H866" s="90"/>
      <c r="I866" s="90"/>
    </row>
    <row r="867" spans="2:9">
      <c r="B867" s="6"/>
      <c r="D867" s="184"/>
      <c r="F867" s="79"/>
      <c r="H867" s="90"/>
      <c r="I867" s="90"/>
    </row>
    <row r="868" spans="2:9">
      <c r="B868" s="6"/>
      <c r="D868" s="184"/>
      <c r="F868" s="79"/>
      <c r="H868" s="90"/>
      <c r="I868" s="90"/>
    </row>
    <row r="869" spans="2:9">
      <c r="B869" s="6"/>
      <c r="D869" s="184"/>
      <c r="F869" s="79"/>
      <c r="H869" s="90"/>
      <c r="I869" s="90"/>
    </row>
    <row r="870" spans="2:9">
      <c r="B870" s="6"/>
      <c r="D870" s="184"/>
      <c r="F870" s="79"/>
      <c r="H870" s="90"/>
      <c r="I870" s="90"/>
    </row>
    <row r="871" spans="2:9">
      <c r="B871" s="6"/>
      <c r="D871" s="184"/>
      <c r="F871" s="79"/>
      <c r="H871" s="90"/>
      <c r="I871" s="90"/>
    </row>
    <row r="872" spans="2:9">
      <c r="B872" s="6"/>
      <c r="D872" s="184"/>
      <c r="F872" s="79"/>
      <c r="H872" s="90"/>
      <c r="I872" s="90"/>
    </row>
    <row r="873" spans="2:9">
      <c r="B873" s="6"/>
      <c r="D873" s="184"/>
      <c r="F873" s="79"/>
      <c r="H873" s="90"/>
      <c r="I873" s="90"/>
    </row>
    <row r="874" spans="2:9">
      <c r="B874" s="6"/>
      <c r="D874" s="184"/>
      <c r="F874" s="79"/>
      <c r="H874" s="90"/>
      <c r="I874" s="90"/>
    </row>
    <row r="875" spans="2:9">
      <c r="B875" s="6"/>
      <c r="D875" s="184"/>
      <c r="F875" s="79"/>
      <c r="H875" s="90"/>
      <c r="I875" s="90"/>
    </row>
    <row r="876" spans="2:9">
      <c r="B876" s="6"/>
      <c r="D876" s="184"/>
      <c r="F876" s="79"/>
      <c r="H876" s="90"/>
      <c r="I876" s="90"/>
    </row>
    <row r="877" spans="2:9">
      <c r="B877" s="6"/>
      <c r="D877" s="184"/>
      <c r="F877" s="79"/>
      <c r="H877" s="90"/>
      <c r="I877" s="90"/>
    </row>
    <row r="878" spans="2:9">
      <c r="B878" s="6"/>
      <c r="D878" s="184"/>
      <c r="F878" s="79"/>
      <c r="H878" s="90"/>
      <c r="I878" s="90"/>
    </row>
    <row r="879" spans="2:9">
      <c r="B879" s="6"/>
      <c r="D879" s="184"/>
      <c r="F879" s="79"/>
      <c r="H879" s="90"/>
      <c r="I879" s="90"/>
    </row>
    <row r="880" spans="2:9">
      <c r="B880" s="6"/>
      <c r="D880" s="184"/>
      <c r="F880" s="79"/>
      <c r="H880" s="90"/>
      <c r="I880" s="90"/>
    </row>
    <row r="881" spans="2:9">
      <c r="B881" s="6"/>
      <c r="D881" s="184"/>
      <c r="F881" s="79"/>
      <c r="H881" s="90"/>
      <c r="I881" s="90"/>
    </row>
    <row r="882" spans="2:9">
      <c r="B882" s="6"/>
      <c r="D882" s="184"/>
      <c r="F882" s="79"/>
      <c r="H882" s="90"/>
      <c r="I882" s="90"/>
    </row>
    <row r="883" spans="2:9">
      <c r="B883" s="6"/>
      <c r="D883" s="184"/>
      <c r="F883" s="79"/>
      <c r="H883" s="90"/>
      <c r="I883" s="90"/>
    </row>
    <row r="884" spans="2:9">
      <c r="B884" s="6"/>
      <c r="D884" s="184"/>
      <c r="F884" s="79"/>
      <c r="H884" s="90"/>
      <c r="I884" s="90"/>
    </row>
    <row r="885" spans="2:9">
      <c r="B885" s="6"/>
      <c r="D885" s="184"/>
      <c r="F885" s="79"/>
      <c r="H885" s="90"/>
      <c r="I885" s="90"/>
    </row>
    <row r="886" spans="2:9">
      <c r="B886" s="6"/>
      <c r="D886" s="184"/>
      <c r="F886" s="79"/>
      <c r="H886" s="90"/>
      <c r="I886" s="90"/>
    </row>
    <row r="887" spans="2:9">
      <c r="B887" s="6"/>
      <c r="D887" s="184"/>
      <c r="F887" s="79"/>
      <c r="H887" s="90"/>
      <c r="I887" s="90"/>
    </row>
    <row r="888" spans="2:9">
      <c r="B888" s="6"/>
      <c r="D888" s="184"/>
      <c r="F888" s="79"/>
      <c r="H888" s="90"/>
      <c r="I888" s="90"/>
    </row>
    <row r="889" spans="2:9">
      <c r="B889" s="6"/>
      <c r="D889" s="184"/>
      <c r="F889" s="79"/>
      <c r="H889" s="90"/>
      <c r="I889" s="90"/>
    </row>
    <row r="890" spans="2:9">
      <c r="B890" s="6"/>
      <c r="D890" s="184"/>
      <c r="F890" s="79"/>
      <c r="H890" s="90"/>
      <c r="I890" s="90"/>
    </row>
    <row r="891" spans="2:9">
      <c r="B891" s="6"/>
      <c r="D891" s="184"/>
      <c r="F891" s="79"/>
      <c r="H891" s="90"/>
      <c r="I891" s="90"/>
    </row>
    <row r="892" spans="2:9">
      <c r="B892" s="6"/>
      <c r="D892" s="184"/>
      <c r="F892" s="79"/>
      <c r="H892" s="90"/>
      <c r="I892" s="90"/>
    </row>
    <row r="893" spans="2:9">
      <c r="B893" s="6"/>
      <c r="D893" s="184"/>
      <c r="F893" s="79"/>
      <c r="H893" s="90"/>
      <c r="I893" s="90"/>
    </row>
    <row r="894" spans="2:9">
      <c r="B894" s="6"/>
      <c r="D894" s="184"/>
      <c r="F894" s="79"/>
      <c r="H894" s="90"/>
      <c r="I894" s="90"/>
    </row>
    <row r="895" spans="2:9">
      <c r="B895" s="6"/>
      <c r="D895" s="184"/>
      <c r="F895" s="79"/>
      <c r="H895" s="90"/>
      <c r="I895" s="90"/>
    </row>
    <row r="896" spans="2:9">
      <c r="B896" s="6"/>
      <c r="D896" s="184"/>
      <c r="F896" s="79"/>
      <c r="H896" s="90"/>
      <c r="I896" s="90"/>
    </row>
    <row r="897" spans="2:9">
      <c r="B897" s="6"/>
      <c r="D897" s="184"/>
      <c r="F897" s="79"/>
      <c r="H897" s="90"/>
      <c r="I897" s="90"/>
    </row>
    <row r="898" spans="2:9">
      <c r="B898" s="6"/>
      <c r="D898" s="184"/>
      <c r="F898" s="79"/>
      <c r="H898" s="90"/>
      <c r="I898" s="90"/>
    </row>
    <row r="899" spans="2:9">
      <c r="B899" s="6"/>
      <c r="D899" s="184"/>
      <c r="F899" s="79"/>
      <c r="H899" s="90"/>
      <c r="I899" s="90"/>
    </row>
    <row r="900" spans="2:9">
      <c r="B900" s="6"/>
      <c r="D900" s="184"/>
      <c r="F900" s="79"/>
      <c r="H900" s="90"/>
      <c r="I900" s="90"/>
    </row>
    <row r="901" spans="2:9">
      <c r="B901" s="6"/>
      <c r="D901" s="184"/>
      <c r="F901" s="79"/>
      <c r="H901" s="90"/>
      <c r="I901" s="90"/>
    </row>
    <row r="902" spans="2:9">
      <c r="B902" s="6"/>
      <c r="D902" s="184"/>
      <c r="F902" s="79"/>
      <c r="H902" s="90"/>
      <c r="I902" s="90"/>
    </row>
    <row r="903" spans="2:9">
      <c r="B903" s="6"/>
      <c r="D903" s="184"/>
      <c r="F903" s="79"/>
      <c r="H903" s="90"/>
      <c r="I903" s="90"/>
    </row>
    <row r="904" spans="2:9">
      <c r="B904" s="6"/>
      <c r="D904" s="184"/>
      <c r="F904" s="79"/>
      <c r="H904" s="90"/>
      <c r="I904" s="90"/>
    </row>
    <row r="905" spans="2:9">
      <c r="B905" s="6"/>
      <c r="D905" s="184"/>
      <c r="F905" s="79"/>
      <c r="H905" s="90"/>
      <c r="I905" s="90"/>
    </row>
    <row r="906" spans="2:9">
      <c r="B906" s="6"/>
      <c r="D906" s="184"/>
      <c r="F906" s="79"/>
      <c r="H906" s="90"/>
      <c r="I906" s="90"/>
    </row>
    <row r="907" spans="2:9">
      <c r="B907" s="6"/>
      <c r="D907" s="184"/>
      <c r="F907" s="79"/>
      <c r="H907" s="90"/>
      <c r="I907" s="90"/>
    </row>
    <row r="908" spans="2:9">
      <c r="B908" s="6"/>
      <c r="D908" s="184"/>
      <c r="F908" s="79"/>
      <c r="H908" s="90"/>
      <c r="I908" s="90"/>
    </row>
    <row r="909" spans="2:9">
      <c r="B909" s="6"/>
      <c r="D909" s="184"/>
      <c r="F909" s="79"/>
      <c r="H909" s="90"/>
      <c r="I909" s="90"/>
    </row>
    <row r="910" spans="2:9">
      <c r="B910" s="6"/>
      <c r="D910" s="184"/>
      <c r="F910" s="79"/>
      <c r="H910" s="90"/>
      <c r="I910" s="90"/>
    </row>
    <row r="911" spans="2:9">
      <c r="B911" s="6"/>
      <c r="D911" s="184"/>
      <c r="F911" s="79"/>
      <c r="H911" s="90"/>
      <c r="I911" s="90"/>
    </row>
    <row r="912" spans="2:9">
      <c r="B912" s="6"/>
      <c r="D912" s="184"/>
      <c r="F912" s="79"/>
      <c r="H912" s="90"/>
      <c r="I912" s="90"/>
    </row>
    <row r="913" spans="2:9">
      <c r="B913" s="6"/>
      <c r="D913" s="184"/>
      <c r="F913" s="79"/>
      <c r="H913" s="90"/>
      <c r="I913" s="90"/>
    </row>
    <row r="914" spans="2:9">
      <c r="B914" s="6"/>
      <c r="D914" s="184"/>
      <c r="F914" s="79"/>
      <c r="H914" s="90"/>
      <c r="I914" s="90"/>
    </row>
    <row r="915" spans="2:9">
      <c r="B915" s="6"/>
      <c r="D915" s="184"/>
      <c r="F915" s="79"/>
      <c r="H915" s="90"/>
      <c r="I915" s="90"/>
    </row>
    <row r="916" spans="2:9">
      <c r="B916" s="6"/>
      <c r="D916" s="184"/>
      <c r="F916" s="79"/>
      <c r="H916" s="90"/>
      <c r="I916" s="90"/>
    </row>
    <row r="917" spans="2:9">
      <c r="B917" s="6"/>
      <c r="D917" s="184"/>
      <c r="F917" s="79"/>
      <c r="H917" s="90"/>
      <c r="I917" s="90"/>
    </row>
    <row r="918" spans="2:9">
      <c r="B918" s="6"/>
      <c r="D918" s="184"/>
      <c r="F918" s="79"/>
      <c r="H918" s="90"/>
      <c r="I918" s="90"/>
    </row>
    <row r="919" spans="2:9">
      <c r="B919" s="6"/>
      <c r="D919" s="184"/>
      <c r="F919" s="79"/>
      <c r="H919" s="90"/>
      <c r="I919" s="90"/>
    </row>
    <row r="920" spans="2:9">
      <c r="B920" s="6"/>
      <c r="D920" s="184"/>
      <c r="F920" s="79"/>
      <c r="H920" s="90"/>
      <c r="I920" s="90"/>
    </row>
    <row r="921" spans="2:9">
      <c r="B921" s="6"/>
      <c r="D921" s="184"/>
      <c r="F921" s="79"/>
      <c r="H921" s="90"/>
      <c r="I921" s="90"/>
    </row>
    <row r="922" spans="2:9">
      <c r="B922" s="6"/>
      <c r="D922" s="184"/>
      <c r="F922" s="79"/>
      <c r="H922" s="90"/>
      <c r="I922" s="90"/>
    </row>
    <row r="923" spans="2:9">
      <c r="B923" s="6"/>
      <c r="D923" s="184"/>
      <c r="F923" s="79"/>
      <c r="H923" s="90"/>
      <c r="I923" s="90"/>
    </row>
    <row r="924" spans="2:9">
      <c r="B924" s="6"/>
      <c r="D924" s="184"/>
      <c r="F924" s="79"/>
      <c r="H924" s="90"/>
      <c r="I924" s="90"/>
    </row>
    <row r="925" spans="2:9">
      <c r="B925" s="6"/>
      <c r="D925" s="184"/>
      <c r="F925" s="79"/>
      <c r="H925" s="90"/>
      <c r="I925" s="90"/>
    </row>
    <row r="926" spans="2:9">
      <c r="B926" s="6"/>
      <c r="D926" s="184"/>
      <c r="F926" s="79"/>
      <c r="H926" s="90"/>
      <c r="I926" s="90"/>
    </row>
    <row r="927" spans="2:9">
      <c r="B927" s="6"/>
      <c r="D927" s="184"/>
      <c r="F927" s="79"/>
      <c r="H927" s="90"/>
      <c r="I927" s="90"/>
    </row>
    <row r="928" spans="2:9">
      <c r="B928" s="6"/>
      <c r="D928" s="184"/>
      <c r="F928" s="79"/>
      <c r="H928" s="90"/>
      <c r="I928" s="90"/>
    </row>
    <row r="929" spans="2:9">
      <c r="B929" s="6"/>
      <c r="D929" s="184"/>
      <c r="F929" s="79"/>
      <c r="H929" s="90"/>
      <c r="I929" s="90"/>
    </row>
    <row r="930" spans="2:9">
      <c r="B930" s="6"/>
      <c r="D930" s="184"/>
      <c r="F930" s="79"/>
      <c r="H930" s="90"/>
      <c r="I930" s="90"/>
    </row>
    <row r="931" spans="2:9">
      <c r="B931" s="6"/>
      <c r="D931" s="184"/>
      <c r="F931" s="79"/>
      <c r="H931" s="90"/>
      <c r="I931" s="90"/>
    </row>
    <row r="932" spans="2:9">
      <c r="B932" s="6"/>
      <c r="D932" s="184"/>
      <c r="F932" s="79"/>
      <c r="H932" s="90"/>
      <c r="I932" s="90"/>
    </row>
    <row r="933" spans="2:9">
      <c r="B933" s="6"/>
      <c r="D933" s="184"/>
      <c r="F933" s="79"/>
      <c r="H933" s="90"/>
      <c r="I933" s="90"/>
    </row>
    <row r="934" spans="2:9">
      <c r="B934" s="6"/>
      <c r="D934" s="184"/>
      <c r="F934" s="79"/>
      <c r="H934" s="90"/>
      <c r="I934" s="90"/>
    </row>
    <row r="935" spans="2:9">
      <c r="B935" s="6"/>
      <c r="D935" s="184"/>
      <c r="F935" s="79"/>
      <c r="H935" s="90"/>
      <c r="I935" s="90"/>
    </row>
    <row r="936" spans="2:9">
      <c r="B936" s="6"/>
      <c r="D936" s="184"/>
      <c r="F936" s="79"/>
      <c r="H936" s="90"/>
      <c r="I936" s="90"/>
    </row>
    <row r="937" spans="2:9">
      <c r="B937" s="6"/>
      <c r="D937" s="184"/>
      <c r="F937" s="79"/>
      <c r="H937" s="90"/>
      <c r="I937" s="90"/>
    </row>
    <row r="938" spans="2:9">
      <c r="B938" s="6"/>
      <c r="D938" s="184"/>
      <c r="F938" s="79"/>
      <c r="H938" s="90"/>
      <c r="I938" s="90"/>
    </row>
    <row r="939" spans="2:9">
      <c r="B939" s="6"/>
      <c r="D939" s="184"/>
      <c r="F939" s="79"/>
      <c r="H939" s="90"/>
      <c r="I939" s="90"/>
    </row>
    <row r="940" spans="2:9">
      <c r="B940" s="6"/>
      <c r="D940" s="184"/>
      <c r="F940" s="79"/>
      <c r="H940" s="90"/>
      <c r="I940" s="90"/>
    </row>
    <row r="941" spans="2:9">
      <c r="B941" s="6"/>
      <c r="D941" s="184"/>
      <c r="F941" s="79"/>
      <c r="H941" s="90"/>
      <c r="I941" s="90"/>
    </row>
    <row r="942" spans="2:9">
      <c r="B942" s="6"/>
      <c r="D942" s="184"/>
      <c r="F942" s="79"/>
      <c r="H942" s="90"/>
      <c r="I942" s="90"/>
    </row>
    <row r="943" spans="2:9">
      <c r="B943" s="6"/>
      <c r="D943" s="184"/>
      <c r="F943" s="79"/>
      <c r="H943" s="90"/>
      <c r="I943" s="90"/>
    </row>
    <row r="944" spans="2:9">
      <c r="B944" s="6"/>
      <c r="D944" s="184"/>
      <c r="F944" s="79"/>
      <c r="H944" s="90"/>
      <c r="I944" s="90"/>
    </row>
    <row r="945" spans="2:9">
      <c r="B945" s="6"/>
      <c r="D945" s="184"/>
      <c r="F945" s="79"/>
      <c r="H945" s="90"/>
      <c r="I945" s="90"/>
    </row>
    <row r="946" spans="2:9">
      <c r="B946" s="6"/>
      <c r="D946" s="184"/>
      <c r="F946" s="79"/>
      <c r="H946" s="90"/>
      <c r="I946" s="90"/>
    </row>
    <row r="947" spans="2:9">
      <c r="B947" s="6"/>
      <c r="D947" s="184"/>
      <c r="F947" s="79"/>
      <c r="H947" s="90"/>
      <c r="I947" s="90"/>
    </row>
    <row r="948" spans="2:9">
      <c r="B948" s="6"/>
      <c r="D948" s="184"/>
      <c r="F948" s="79"/>
      <c r="H948" s="90"/>
      <c r="I948" s="90"/>
    </row>
    <row r="949" spans="2:9">
      <c r="B949" s="6"/>
      <c r="D949" s="184"/>
      <c r="F949" s="79"/>
      <c r="H949" s="90"/>
      <c r="I949" s="90"/>
    </row>
    <row r="950" spans="2:9">
      <c r="B950" s="6"/>
      <c r="D950" s="184"/>
      <c r="F950" s="79"/>
      <c r="H950" s="90"/>
      <c r="I950" s="90"/>
    </row>
    <row r="951" spans="2:9">
      <c r="B951" s="6"/>
      <c r="D951" s="184"/>
      <c r="F951" s="79"/>
      <c r="H951" s="90"/>
      <c r="I951" s="90"/>
    </row>
    <row r="952" spans="2:9">
      <c r="B952" s="6"/>
      <c r="D952" s="184"/>
      <c r="F952" s="79"/>
      <c r="H952" s="90"/>
      <c r="I952" s="90"/>
    </row>
    <row r="953" spans="2:9">
      <c r="B953" s="6"/>
      <c r="D953" s="184"/>
      <c r="F953" s="79"/>
      <c r="H953" s="90"/>
      <c r="I953" s="90"/>
    </row>
    <row r="954" spans="2:9">
      <c r="B954" s="6"/>
      <c r="D954" s="184"/>
      <c r="F954" s="79"/>
      <c r="H954" s="90"/>
      <c r="I954" s="90"/>
    </row>
    <row r="955" spans="2:9">
      <c r="B955" s="6"/>
      <c r="D955" s="184"/>
      <c r="F955" s="79"/>
      <c r="H955" s="90"/>
      <c r="I955" s="90"/>
    </row>
    <row r="956" spans="2:9">
      <c r="B956" s="6"/>
      <c r="D956" s="184"/>
      <c r="F956" s="79"/>
      <c r="H956" s="90"/>
      <c r="I956" s="90"/>
    </row>
    <row r="957" spans="2:9">
      <c r="B957" s="6"/>
      <c r="D957" s="184"/>
      <c r="F957" s="79"/>
      <c r="H957" s="90"/>
      <c r="I957" s="90"/>
    </row>
    <row r="958" spans="2:9">
      <c r="B958" s="6"/>
      <c r="D958" s="184"/>
      <c r="F958" s="79"/>
      <c r="H958" s="90"/>
      <c r="I958" s="90"/>
    </row>
    <row r="959" spans="2:9">
      <c r="B959" s="6"/>
      <c r="D959" s="184"/>
      <c r="F959" s="79"/>
      <c r="H959" s="90"/>
      <c r="I959" s="90"/>
    </row>
    <row r="960" spans="2:9">
      <c r="B960" s="6"/>
      <c r="D960" s="184"/>
      <c r="F960" s="79"/>
      <c r="H960" s="90"/>
      <c r="I960" s="90"/>
    </row>
    <row r="961" spans="2:9">
      <c r="B961" s="6"/>
      <c r="D961" s="184"/>
      <c r="F961" s="79"/>
      <c r="H961" s="90"/>
      <c r="I961" s="90"/>
    </row>
    <row r="962" spans="2:9">
      <c r="B962" s="6"/>
      <c r="D962" s="184"/>
      <c r="F962" s="79"/>
      <c r="H962" s="90"/>
      <c r="I962" s="90"/>
    </row>
    <row r="963" spans="2:9">
      <c r="B963" s="6"/>
      <c r="D963" s="184"/>
      <c r="F963" s="79"/>
      <c r="H963" s="90"/>
      <c r="I963" s="90"/>
    </row>
    <row r="964" spans="2:9">
      <c r="B964" s="6"/>
      <c r="D964" s="184"/>
      <c r="F964" s="79"/>
      <c r="H964" s="90"/>
      <c r="I964" s="90"/>
    </row>
    <row r="965" spans="2:9">
      <c r="B965" s="6"/>
      <c r="D965" s="184"/>
      <c r="F965" s="79"/>
      <c r="H965" s="90"/>
      <c r="I965" s="90"/>
    </row>
    <row r="966" spans="2:9">
      <c r="B966" s="6"/>
      <c r="D966" s="184"/>
      <c r="F966" s="79"/>
      <c r="H966" s="90"/>
      <c r="I966" s="90"/>
    </row>
    <row r="967" spans="2:9">
      <c r="B967" s="6"/>
      <c r="D967" s="184"/>
      <c r="F967" s="79"/>
      <c r="H967" s="90"/>
      <c r="I967" s="90"/>
    </row>
    <row r="968" spans="2:9">
      <c r="B968" s="6"/>
      <c r="D968" s="184"/>
      <c r="F968" s="79"/>
      <c r="H968" s="90"/>
      <c r="I968" s="90"/>
    </row>
    <row r="969" spans="2:9">
      <c r="B969" s="6"/>
      <c r="D969" s="184"/>
      <c r="F969" s="79"/>
      <c r="H969" s="90"/>
      <c r="I969" s="90"/>
    </row>
    <row r="970" spans="2:9">
      <c r="B970" s="6"/>
      <c r="D970" s="184"/>
      <c r="F970" s="79"/>
      <c r="H970" s="90"/>
      <c r="I970" s="90"/>
    </row>
    <row r="971" spans="2:9">
      <c r="B971" s="6"/>
      <c r="D971" s="184"/>
      <c r="F971" s="79"/>
      <c r="H971" s="90"/>
      <c r="I971" s="90"/>
    </row>
    <row r="972" spans="2:9">
      <c r="B972" s="6"/>
      <c r="D972" s="184"/>
      <c r="F972" s="79"/>
      <c r="H972" s="90"/>
      <c r="I972" s="90"/>
    </row>
    <row r="973" spans="2:9">
      <c r="B973" s="6"/>
      <c r="D973" s="184"/>
      <c r="F973" s="79"/>
      <c r="H973" s="90"/>
      <c r="I973" s="90"/>
    </row>
    <row r="974" spans="2:9">
      <c r="B974" s="6"/>
      <c r="D974" s="184"/>
      <c r="F974" s="79"/>
      <c r="H974" s="90"/>
      <c r="I974" s="90"/>
    </row>
    <row r="975" spans="2:9">
      <c r="B975" s="6"/>
      <c r="D975" s="184"/>
      <c r="F975" s="79"/>
      <c r="H975" s="90"/>
      <c r="I975" s="90"/>
    </row>
    <row r="976" spans="2:9">
      <c r="B976" s="6"/>
      <c r="D976" s="184"/>
      <c r="F976" s="79"/>
      <c r="H976" s="90"/>
      <c r="I976" s="90"/>
    </row>
    <row r="977" spans="2:9">
      <c r="B977" s="6"/>
      <c r="D977" s="184"/>
      <c r="F977" s="79"/>
      <c r="H977" s="90"/>
      <c r="I977" s="90"/>
    </row>
    <row r="978" spans="2:9">
      <c r="B978" s="6"/>
      <c r="D978" s="184"/>
      <c r="F978" s="79"/>
      <c r="H978" s="90"/>
      <c r="I978" s="90"/>
    </row>
    <row r="979" spans="2:9">
      <c r="B979" s="6"/>
      <c r="D979" s="184"/>
      <c r="F979" s="79"/>
      <c r="H979" s="90"/>
      <c r="I979" s="90"/>
    </row>
    <row r="980" spans="2:9">
      <c r="B980" s="6"/>
      <c r="D980" s="184"/>
      <c r="F980" s="79"/>
      <c r="H980" s="90"/>
      <c r="I980" s="90"/>
    </row>
    <row r="981" spans="2:9">
      <c r="B981" s="6"/>
      <c r="D981" s="184"/>
      <c r="F981" s="79"/>
      <c r="H981" s="90"/>
      <c r="I981" s="90"/>
    </row>
    <row r="982" spans="2:9">
      <c r="B982" s="6"/>
      <c r="D982" s="184"/>
      <c r="F982" s="79"/>
      <c r="H982" s="90"/>
      <c r="I982" s="90"/>
    </row>
    <row r="983" spans="2:9">
      <c r="B983" s="6"/>
      <c r="D983" s="184"/>
      <c r="F983" s="79"/>
      <c r="H983" s="90"/>
      <c r="I983" s="90"/>
    </row>
    <row r="984" spans="2:9">
      <c r="B984" s="6"/>
      <c r="D984" s="184"/>
      <c r="F984" s="79"/>
      <c r="H984" s="90"/>
      <c r="I984" s="90"/>
    </row>
    <row r="985" spans="2:9">
      <c r="B985" s="6"/>
      <c r="D985" s="184"/>
      <c r="F985" s="79"/>
      <c r="H985" s="90"/>
      <c r="I985" s="90"/>
    </row>
    <row r="986" spans="2:9">
      <c r="B986" s="6"/>
      <c r="D986" s="184"/>
      <c r="F986" s="79"/>
      <c r="H986" s="90"/>
      <c r="I986" s="90"/>
    </row>
    <row r="987" spans="2:9">
      <c r="B987" s="6"/>
      <c r="D987" s="184"/>
      <c r="F987" s="79"/>
      <c r="H987" s="90"/>
      <c r="I987" s="90"/>
    </row>
    <row r="988" spans="2:9">
      <c r="B988" s="6"/>
      <c r="D988" s="184"/>
      <c r="F988" s="79"/>
      <c r="H988" s="90"/>
      <c r="I988" s="90"/>
    </row>
    <row r="989" spans="2:9">
      <c r="B989" s="6"/>
      <c r="D989" s="184"/>
      <c r="F989" s="79"/>
      <c r="H989" s="90"/>
      <c r="I989" s="90"/>
    </row>
    <row r="990" spans="2:9">
      <c r="B990" s="6"/>
      <c r="D990" s="184"/>
      <c r="F990" s="79"/>
      <c r="H990" s="90"/>
      <c r="I990" s="90"/>
    </row>
    <row r="991" spans="2:9">
      <c r="B991" s="6"/>
      <c r="D991" s="184"/>
      <c r="F991" s="79"/>
      <c r="H991" s="90"/>
      <c r="I991" s="90"/>
    </row>
    <row r="992" spans="2:9">
      <c r="B992" s="6"/>
      <c r="D992" s="184"/>
      <c r="F992" s="79"/>
      <c r="H992" s="90"/>
      <c r="I992" s="90"/>
    </row>
    <row r="993" spans="2:9">
      <c r="B993" s="6"/>
      <c r="D993" s="184"/>
      <c r="F993" s="79"/>
      <c r="H993" s="90"/>
      <c r="I993" s="90"/>
    </row>
    <row r="994" spans="2:9">
      <c r="B994" s="6"/>
      <c r="D994" s="184"/>
      <c r="F994" s="79"/>
      <c r="H994" s="90"/>
      <c r="I994" s="90"/>
    </row>
    <row r="995" spans="2:9">
      <c r="B995" s="6"/>
      <c r="D995" s="184"/>
      <c r="F995" s="79"/>
      <c r="H995" s="90"/>
      <c r="I995" s="90"/>
    </row>
    <row r="996" spans="2:9">
      <c r="B996" s="6"/>
      <c r="D996" s="184"/>
      <c r="F996" s="79"/>
      <c r="H996" s="90"/>
      <c r="I996" s="90"/>
    </row>
    <row r="997" spans="2:9">
      <c r="B997" s="6"/>
      <c r="D997" s="184"/>
      <c r="F997" s="79"/>
      <c r="H997" s="90"/>
      <c r="I997" s="90"/>
    </row>
    <row r="998" spans="2:9">
      <c r="B998" s="6"/>
      <c r="D998" s="184"/>
      <c r="F998" s="79"/>
      <c r="H998" s="90"/>
      <c r="I998" s="90"/>
    </row>
    <row r="999" spans="2:9">
      <c r="B999" s="6"/>
      <c r="D999" s="184"/>
      <c r="F999" s="79"/>
      <c r="H999" s="90"/>
      <c r="I999" s="90"/>
    </row>
    <row r="1000" spans="2:9">
      <c r="B1000" s="6"/>
      <c r="D1000" s="184"/>
      <c r="F1000" s="79"/>
      <c r="H1000" s="90"/>
      <c r="I1000" s="90"/>
    </row>
    <row r="1001" spans="2:9">
      <c r="B1001" s="6"/>
      <c r="D1001" s="184"/>
      <c r="F1001" s="79"/>
      <c r="H1001" s="90"/>
      <c r="I1001" s="90"/>
    </row>
    <row r="1002" spans="2:9">
      <c r="B1002" s="6"/>
      <c r="D1002" s="184"/>
      <c r="F1002" s="79"/>
      <c r="H1002" s="90"/>
      <c r="I1002" s="90"/>
    </row>
    <row r="1003" spans="2:9">
      <c r="B1003" s="6"/>
      <c r="D1003" s="184"/>
      <c r="F1003" s="79"/>
      <c r="H1003" s="90"/>
      <c r="I1003" s="90"/>
    </row>
    <row r="1004" spans="2:9">
      <c r="B1004" s="6"/>
      <c r="D1004" s="184"/>
      <c r="F1004" s="79"/>
      <c r="H1004" s="90"/>
      <c r="I1004" s="90"/>
    </row>
    <row r="1005" spans="2:9">
      <c r="B1005" s="6"/>
      <c r="D1005" s="184"/>
      <c r="F1005" s="79"/>
      <c r="H1005" s="90"/>
      <c r="I1005" s="90"/>
    </row>
    <row r="1006" spans="2:9">
      <c r="B1006" s="6"/>
      <c r="D1006" s="184"/>
      <c r="F1006" s="79"/>
      <c r="H1006" s="90"/>
      <c r="I1006" s="90"/>
    </row>
    <row r="1007" spans="2:9">
      <c r="B1007" s="6"/>
      <c r="D1007" s="184"/>
      <c r="F1007" s="79"/>
      <c r="H1007" s="90"/>
      <c r="I1007" s="90"/>
    </row>
    <row r="1008" spans="2:9">
      <c r="B1008" s="6"/>
      <c r="D1008" s="184"/>
      <c r="F1008" s="79"/>
      <c r="H1008" s="90"/>
      <c r="I1008" s="90"/>
    </row>
    <row r="1009" spans="2:9">
      <c r="B1009" s="6"/>
      <c r="D1009" s="184"/>
      <c r="F1009" s="79"/>
      <c r="H1009" s="90"/>
      <c r="I1009" s="90"/>
    </row>
    <row r="1010" spans="2:9">
      <c r="B1010" s="6"/>
      <c r="D1010" s="184"/>
      <c r="F1010" s="79"/>
      <c r="H1010" s="90"/>
      <c r="I1010" s="90"/>
    </row>
    <row r="1011" spans="2:9">
      <c r="B1011" s="6"/>
      <c r="D1011" s="184"/>
      <c r="F1011" s="79"/>
      <c r="H1011" s="90"/>
      <c r="I1011" s="90"/>
    </row>
    <row r="1012" spans="2:9">
      <c r="B1012" s="6"/>
      <c r="D1012" s="184"/>
      <c r="F1012" s="79"/>
      <c r="H1012" s="90"/>
      <c r="I1012" s="90"/>
    </row>
    <row r="1013" spans="2:9">
      <c r="B1013" s="6"/>
      <c r="D1013" s="184"/>
      <c r="F1013" s="79"/>
      <c r="H1013" s="90"/>
      <c r="I1013" s="90"/>
    </row>
    <row r="1014" spans="2:9">
      <c r="B1014" s="6"/>
      <c r="D1014" s="184"/>
      <c r="F1014" s="79"/>
      <c r="H1014" s="90"/>
      <c r="I1014" s="90"/>
    </row>
    <row r="1015" spans="2:9">
      <c r="B1015" s="6"/>
      <c r="D1015" s="184"/>
      <c r="F1015" s="79"/>
      <c r="H1015" s="90"/>
      <c r="I1015" s="90"/>
    </row>
    <row r="1016" spans="2:9">
      <c r="B1016" s="6"/>
      <c r="D1016" s="184"/>
      <c r="F1016" s="79"/>
      <c r="H1016" s="90"/>
      <c r="I1016" s="90"/>
    </row>
    <row r="1017" spans="2:9">
      <c r="B1017" s="6"/>
      <c r="D1017" s="184"/>
      <c r="F1017" s="79"/>
      <c r="H1017" s="90"/>
      <c r="I1017" s="90"/>
    </row>
    <row r="1018" spans="2:9">
      <c r="B1018" s="6"/>
      <c r="D1018" s="184"/>
      <c r="F1018" s="79"/>
      <c r="H1018" s="90"/>
      <c r="I1018" s="90"/>
    </row>
    <row r="1019" spans="2:9">
      <c r="B1019" s="6"/>
      <c r="D1019" s="184"/>
      <c r="F1019" s="79"/>
      <c r="H1019" s="90"/>
      <c r="I1019" s="90"/>
    </row>
    <row r="1020" spans="2:9">
      <c r="B1020" s="6"/>
      <c r="D1020" s="184"/>
      <c r="F1020" s="79"/>
      <c r="H1020" s="90"/>
      <c r="I1020" s="90"/>
    </row>
    <row r="1021" spans="2:9">
      <c r="B1021" s="6"/>
      <c r="D1021" s="184"/>
      <c r="F1021" s="79"/>
      <c r="H1021" s="90"/>
      <c r="I1021" s="90"/>
    </row>
    <row r="1022" spans="2:9">
      <c r="B1022" s="6"/>
      <c r="D1022" s="184"/>
      <c r="F1022" s="79"/>
      <c r="H1022" s="90"/>
      <c r="I1022" s="90"/>
    </row>
    <row r="1023" spans="2:9">
      <c r="B1023" s="6"/>
      <c r="D1023" s="184"/>
      <c r="F1023" s="79"/>
      <c r="H1023" s="90"/>
      <c r="I1023" s="90"/>
    </row>
    <row r="1024" spans="2:9">
      <c r="B1024" s="6"/>
      <c r="D1024" s="184"/>
      <c r="F1024" s="79"/>
      <c r="H1024" s="90"/>
      <c r="I1024" s="90"/>
    </row>
    <row r="1025" spans="2:9">
      <c r="B1025" s="6"/>
      <c r="D1025" s="184"/>
      <c r="F1025" s="79"/>
      <c r="H1025" s="90"/>
      <c r="I1025" s="90"/>
    </row>
    <row r="1026" spans="2:9">
      <c r="B1026" s="6"/>
      <c r="D1026" s="184"/>
      <c r="F1026" s="79"/>
      <c r="H1026" s="90"/>
      <c r="I1026" s="90"/>
    </row>
    <row r="1027" spans="2:9">
      <c r="B1027" s="6"/>
      <c r="D1027" s="184"/>
      <c r="F1027" s="79"/>
      <c r="H1027" s="90"/>
      <c r="I1027" s="90"/>
    </row>
    <row r="1028" spans="2:9">
      <c r="B1028" s="6"/>
      <c r="D1028" s="184"/>
      <c r="F1028" s="79"/>
      <c r="H1028" s="90"/>
      <c r="I1028" s="90"/>
    </row>
    <row r="1029" spans="2:9">
      <c r="B1029" s="6"/>
      <c r="D1029" s="184"/>
      <c r="F1029" s="79"/>
      <c r="H1029" s="90"/>
      <c r="I1029" s="90"/>
    </row>
    <row r="1030" spans="2:9">
      <c r="B1030" s="6"/>
      <c r="D1030" s="184"/>
      <c r="F1030" s="79"/>
      <c r="H1030" s="90"/>
      <c r="I1030" s="90"/>
    </row>
    <row r="1031" spans="2:9">
      <c r="B1031" s="6"/>
      <c r="D1031" s="184"/>
      <c r="F1031" s="79"/>
      <c r="H1031" s="90"/>
      <c r="I1031" s="90"/>
    </row>
    <row r="1032" spans="2:9">
      <c r="B1032" s="6"/>
      <c r="D1032" s="184"/>
      <c r="F1032" s="79"/>
      <c r="H1032" s="90"/>
      <c r="I1032" s="90"/>
    </row>
    <row r="1033" spans="2:9">
      <c r="B1033" s="6"/>
      <c r="D1033" s="184"/>
      <c r="F1033" s="79"/>
      <c r="H1033" s="90"/>
      <c r="I1033" s="90"/>
    </row>
    <row r="1034" spans="2:9">
      <c r="B1034" s="6"/>
      <c r="D1034" s="184"/>
      <c r="F1034" s="79"/>
      <c r="H1034" s="90"/>
      <c r="I1034" s="90"/>
    </row>
    <row r="1035" spans="2:9">
      <c r="B1035" s="6"/>
      <c r="D1035" s="184"/>
      <c r="F1035" s="79"/>
      <c r="H1035" s="90"/>
      <c r="I1035" s="90"/>
    </row>
    <row r="1036" spans="2:9">
      <c r="B1036" s="6"/>
      <c r="D1036" s="184"/>
      <c r="F1036" s="79"/>
      <c r="H1036" s="90"/>
      <c r="I1036" s="90"/>
    </row>
    <row r="1037" spans="2:9">
      <c r="B1037" s="6"/>
      <c r="D1037" s="184"/>
      <c r="F1037" s="79"/>
      <c r="H1037" s="90"/>
      <c r="I1037" s="90"/>
    </row>
    <row r="1038" spans="2:9">
      <c r="B1038" s="6"/>
      <c r="D1038" s="184"/>
      <c r="F1038" s="79"/>
      <c r="H1038" s="90"/>
      <c r="I1038" s="90"/>
    </row>
    <row r="1039" spans="2:9">
      <c r="B1039" s="6"/>
      <c r="D1039" s="184"/>
      <c r="F1039" s="79"/>
      <c r="H1039" s="90"/>
      <c r="I1039" s="90"/>
    </row>
  </sheetData>
  <conditionalFormatting sqref="F92">
    <cfRule type="containsText" dxfId="790" priority="1" operator="containsText" text="F">
      <formula>NOT(ISERROR(SEARCH(("F"),(F92))))</formula>
    </cfRule>
  </conditionalFormatting>
  <conditionalFormatting sqref="O92">
    <cfRule type="expression" dxfId="789" priority="2">
      <formula>AND(ISNUMBER(O92),TRUNC(O92)&lt;TODAY())</formula>
    </cfRule>
  </conditionalFormatting>
  <conditionalFormatting sqref="P92">
    <cfRule type="expression" dxfId="788" priority="3">
      <formula>AND(ISNUMBER(P92),TRUNC(P92)&lt;TODAY())</formula>
    </cfRule>
  </conditionalFormatting>
  <conditionalFormatting sqref="Q92">
    <cfRule type="expression" dxfId="787" priority="4">
      <formula>AND(ISNUMBER(Q92),TRUNC(Q92)&lt;TODAY())</formula>
    </cfRule>
  </conditionalFormatting>
  <conditionalFormatting sqref="O114:Q115">
    <cfRule type="expression" dxfId="786" priority="5">
      <formula>AND(ISNUMBER(O114),TRUNC(O114)&lt;TODAY())</formula>
    </cfRule>
  </conditionalFormatting>
  <conditionalFormatting sqref="F114:F116">
    <cfRule type="containsText" dxfId="785" priority="6" operator="containsText" text="F">
      <formula>NOT(ISERROR(SEARCH(("F"),(F114))))</formula>
    </cfRule>
  </conditionalFormatting>
  <conditionalFormatting sqref="F91">
    <cfRule type="containsText" dxfId="784" priority="7" operator="containsText" text="F">
      <formula>NOT(ISERROR(SEARCH(("F"),(F91))))</formula>
    </cfRule>
  </conditionalFormatting>
  <conditionalFormatting sqref="O91:Q91">
    <cfRule type="expression" dxfId="783" priority="8">
      <formula>AND(ISNUMBER(O91),TRUNC(O91)&lt;TODAY())</formula>
    </cfRule>
  </conditionalFormatting>
  <conditionalFormatting sqref="F90">
    <cfRule type="containsText" dxfId="782" priority="9" operator="containsText" text="F">
      <formula>NOT(ISERROR(SEARCH(("F"),(F90))))</formula>
    </cfRule>
  </conditionalFormatting>
  <conditionalFormatting sqref="O90:Q90">
    <cfRule type="expression" dxfId="781" priority="10">
      <formula>AND(ISNUMBER(O90),TRUNC(O90)&lt;TODAY())</formula>
    </cfRule>
  </conditionalFormatting>
  <conditionalFormatting sqref="F47">
    <cfRule type="containsText" dxfId="780" priority="11" operator="containsText" text="F">
      <formula>NOT(ISERROR(SEARCH(("F"),(F47))))</formula>
    </cfRule>
  </conditionalFormatting>
  <conditionalFormatting sqref="O47:Q47">
    <cfRule type="expression" dxfId="779" priority="12">
      <formula>AND(ISNUMBER(O47),TRUNC(O47)&lt;TODAY())</formula>
    </cfRule>
  </conditionalFormatting>
  <conditionalFormatting sqref="F111:F112">
    <cfRule type="containsText" dxfId="778" priority="13" operator="containsText" text="F">
      <formula>NOT(ISERROR(SEARCH(("F"),(F111))))</formula>
    </cfRule>
  </conditionalFormatting>
  <conditionalFormatting sqref="O111:Q112">
    <cfRule type="expression" dxfId="777" priority="14">
      <formula>AND(ISNUMBER(O111),TRUNC(O111)&lt;TODAY())</formula>
    </cfRule>
  </conditionalFormatting>
  <conditionalFormatting sqref="O109:Q109">
    <cfRule type="expression" dxfId="776" priority="15">
      <formula>AND(ISNUMBER(O109),TRUNC(O109)&lt;TODAY())</formula>
    </cfRule>
  </conditionalFormatting>
  <conditionalFormatting sqref="F109">
    <cfRule type="containsText" dxfId="775" priority="16" operator="containsText" text="F">
      <formula>NOT(ISERROR(SEARCH(("F"),(F109))))</formula>
    </cfRule>
  </conditionalFormatting>
  <conditionalFormatting sqref="F73">
    <cfRule type="containsText" dxfId="774" priority="17" operator="containsText" text="F">
      <formula>NOT(ISERROR(SEARCH(("F"),(F73))))</formula>
    </cfRule>
  </conditionalFormatting>
  <conditionalFormatting sqref="Q73">
    <cfRule type="expression" dxfId="773" priority="18">
      <formula>AND(ISNUMBER(Q73),TRUNC(Q73)&lt;TODAY())</formula>
    </cfRule>
  </conditionalFormatting>
  <conditionalFormatting sqref="P73">
    <cfRule type="expression" dxfId="772" priority="19">
      <formula>AND(ISNUMBER(P73),TRUNC(P73)&lt;TODAY())</formula>
    </cfRule>
  </conditionalFormatting>
  <conditionalFormatting sqref="O73">
    <cfRule type="expression" dxfId="771" priority="20">
      <formula>AND(ISNUMBER(O73),TRUNC(O73)&lt;TODAY())</formula>
    </cfRule>
  </conditionalFormatting>
  <conditionalFormatting sqref="F107 F113">
    <cfRule type="containsText" dxfId="770" priority="21" operator="containsText" text="F">
      <formula>NOT(ISERROR(SEARCH(("F"),(F107))))</formula>
    </cfRule>
  </conditionalFormatting>
  <conditionalFormatting sqref="O107:Q107">
    <cfRule type="expression" dxfId="769" priority="22">
      <formula>AND(ISNUMBER(O107),TRUNC(O107)&lt;TODAY())</formula>
    </cfRule>
  </conditionalFormatting>
  <conditionalFormatting sqref="F105">
    <cfRule type="containsText" dxfId="768" priority="23" operator="containsText" text="F">
      <formula>NOT(ISERROR(SEARCH(("F"),(F105))))</formula>
    </cfRule>
  </conditionalFormatting>
  <conditionalFormatting sqref="O89:Q89">
    <cfRule type="expression" dxfId="767" priority="24">
      <formula>AND(ISNUMBER(O89),TRUNC(O89)&lt;TODAY())</formula>
    </cfRule>
  </conditionalFormatting>
  <conditionalFormatting sqref="F89">
    <cfRule type="containsText" dxfId="766" priority="25" operator="containsText" text="F">
      <formula>NOT(ISERROR(SEARCH(("F"),(F89))))</formula>
    </cfRule>
  </conditionalFormatting>
  <conditionalFormatting sqref="O46:Q46">
    <cfRule type="expression" dxfId="765" priority="26">
      <formula>AND(ISNUMBER(O46),TRUNC(O46)&lt;TODAY())</formula>
    </cfRule>
  </conditionalFormatting>
  <conditionalFormatting sqref="F46">
    <cfRule type="containsText" dxfId="764" priority="27" operator="containsText" text="F">
      <formula>NOT(ISERROR(SEARCH(("F"),(F46))))</formula>
    </cfRule>
  </conditionalFormatting>
  <conditionalFormatting sqref="O72:Q72">
    <cfRule type="expression" dxfId="763" priority="28">
      <formula>AND(ISNUMBER(O72),TRUNC(O72)&lt;TODAY())</formula>
    </cfRule>
  </conditionalFormatting>
  <conditionalFormatting sqref="F72">
    <cfRule type="containsText" dxfId="762" priority="29" operator="containsText" text="F">
      <formula>NOT(ISERROR(SEARCH(("F"),(F72))))</formula>
    </cfRule>
  </conditionalFormatting>
  <conditionalFormatting sqref="P71">
    <cfRule type="expression" dxfId="761" priority="30">
      <formula>AND(ISNUMBER(P71),TRUNC(P71)&lt;TODAY())</formula>
    </cfRule>
  </conditionalFormatting>
  <conditionalFormatting sqref="Q71">
    <cfRule type="expression" dxfId="760" priority="31">
      <formula>AND(ISNUMBER(Q71),TRUNC(Q71)&lt;TODAY())</formula>
    </cfRule>
  </conditionalFormatting>
  <conditionalFormatting sqref="O71">
    <cfRule type="expression" dxfId="759" priority="32">
      <formula>AND(ISNUMBER(O71),TRUNC(O71)&lt;TODAY())</formula>
    </cfRule>
  </conditionalFormatting>
  <conditionalFormatting sqref="F71">
    <cfRule type="containsText" dxfId="758" priority="33" operator="containsText" text="F">
      <formula>NOT(ISERROR(SEARCH(("F"),(F71))))</formula>
    </cfRule>
  </conditionalFormatting>
  <conditionalFormatting sqref="O45:Q45">
    <cfRule type="expression" dxfId="757" priority="34">
      <formula>AND(ISNUMBER(O45),TRUNC(O45)&lt;TODAY())</formula>
    </cfRule>
  </conditionalFormatting>
  <conditionalFormatting sqref="P45">
    <cfRule type="expression" dxfId="756" priority="35">
      <formula>AND(ISNUMBER(P45),TRUNC(P45)&lt;TODAY())</formula>
    </cfRule>
  </conditionalFormatting>
  <conditionalFormatting sqref="F45">
    <cfRule type="containsText" dxfId="755" priority="36" operator="containsText" text="F">
      <formula>NOT(ISERROR(SEARCH(("F"),(F45))))</formula>
    </cfRule>
  </conditionalFormatting>
  <conditionalFormatting sqref="F101">
    <cfRule type="containsText" dxfId="754" priority="37" operator="containsText" text="F">
      <formula>NOT(ISERROR(SEARCH(("F"),(F101))))</formula>
    </cfRule>
  </conditionalFormatting>
  <conditionalFormatting sqref="O101">
    <cfRule type="expression" dxfId="753" priority="38">
      <formula>AND(ISNUMBER(O101),TRUNC(O101)&lt;TODAY())</formula>
    </cfRule>
  </conditionalFormatting>
  <conditionalFormatting sqref="P101">
    <cfRule type="expression" dxfId="752" priority="39">
      <formula>AND(ISNUMBER(P101),TRUNC(P101)&lt;TODAY())</formula>
    </cfRule>
  </conditionalFormatting>
  <conditionalFormatting sqref="P101">
    <cfRule type="expression" dxfId="751" priority="40">
      <formula>AND(ISNUMBER(P101),TRUNC(P101)&lt;TODAY())</formula>
    </cfRule>
  </conditionalFormatting>
  <conditionalFormatting sqref="Q101">
    <cfRule type="expression" dxfId="750" priority="41">
      <formula>AND(ISNUMBER(Q101),TRUNC(Q101)&lt;TODAY())</formula>
    </cfRule>
  </conditionalFormatting>
  <conditionalFormatting sqref="V101">
    <cfRule type="notContainsBlanks" dxfId="749" priority="42">
      <formula>LEN(TRIM(V101))&gt;0</formula>
    </cfRule>
  </conditionalFormatting>
  <conditionalFormatting sqref="F44">
    <cfRule type="containsText" dxfId="748" priority="43" operator="containsText" text="F">
      <formula>NOT(ISERROR(SEARCH(("F"),(F44))))</formula>
    </cfRule>
  </conditionalFormatting>
  <conditionalFormatting sqref="O44:Q44">
    <cfRule type="expression" dxfId="747" priority="44">
      <formula>AND(ISNUMBER(O44),TRUNC(O44)&lt;TODAY())</formula>
    </cfRule>
  </conditionalFormatting>
  <conditionalFormatting sqref="F43">
    <cfRule type="containsText" dxfId="746" priority="45" operator="containsText" text="F">
      <formula>NOT(ISERROR(SEARCH(("F"),(F43))))</formula>
    </cfRule>
  </conditionalFormatting>
  <conditionalFormatting sqref="O43">
    <cfRule type="expression" dxfId="745" priority="46">
      <formula>AND(ISNUMBER(O43),TRUNC(O43)&lt;TODAY())</formula>
    </cfRule>
  </conditionalFormatting>
  <conditionalFormatting sqref="P43">
    <cfRule type="expression" dxfId="744" priority="47">
      <formula>AND(ISNUMBER(P43),TRUNC(P43)&lt;TODAY())</formula>
    </cfRule>
  </conditionalFormatting>
  <conditionalFormatting sqref="Q43">
    <cfRule type="expression" dxfId="743" priority="48">
      <formula>AND(ISNUMBER(Q43),TRUNC(Q43)&lt;TODAY())</formula>
    </cfRule>
  </conditionalFormatting>
  <conditionalFormatting sqref="F64">
    <cfRule type="containsText" dxfId="742" priority="49" operator="containsText" text="F">
      <formula>NOT(ISERROR(SEARCH(("F"),(F64))))</formula>
    </cfRule>
  </conditionalFormatting>
  <conditionalFormatting sqref="O64">
    <cfRule type="expression" dxfId="741" priority="50">
      <formula>AND(ISNUMBER(O64),TRUNC(O64)&lt;TODAY())</formula>
    </cfRule>
  </conditionalFormatting>
  <conditionalFormatting sqref="Q64">
    <cfRule type="expression" dxfId="740" priority="51">
      <formula>AND(ISNUMBER(Q64),TRUNC(Q64)&lt;TODAY())</formula>
    </cfRule>
  </conditionalFormatting>
  <conditionalFormatting sqref="P64">
    <cfRule type="expression" dxfId="739" priority="52">
      <formula>AND(ISNUMBER(P64),TRUNC(P64)&lt;TODAY())</formula>
    </cfRule>
  </conditionalFormatting>
  <conditionalFormatting sqref="Q63">
    <cfRule type="expression" dxfId="738" priority="53">
      <formula>AND(ISNUMBER(Q63),TRUNC(Q63)&lt;TODAY())</formula>
    </cfRule>
  </conditionalFormatting>
  <conditionalFormatting sqref="P63">
    <cfRule type="expression" dxfId="737" priority="54">
      <formula>AND(ISNUMBER(P63),TRUNC(P63)&lt;TODAY())</formula>
    </cfRule>
  </conditionalFormatting>
  <conditionalFormatting sqref="O63">
    <cfRule type="expression" dxfId="736" priority="55">
      <formula>AND(ISNUMBER(O63),TRUNC(O63)&lt;TODAY())</formula>
    </cfRule>
  </conditionalFormatting>
  <conditionalFormatting sqref="F63">
    <cfRule type="containsText" dxfId="735" priority="56" operator="containsText" text="F">
      <formula>NOT(ISERROR(SEARCH(("F"),(F63))))</formula>
    </cfRule>
  </conditionalFormatting>
  <conditionalFormatting sqref="F42">
    <cfRule type="containsText" dxfId="734" priority="57" operator="containsText" text="F">
      <formula>NOT(ISERROR(SEARCH(("F"),(F42))))</formula>
    </cfRule>
  </conditionalFormatting>
  <conditionalFormatting sqref="Q42">
    <cfRule type="expression" dxfId="733" priority="58">
      <formula>AND(ISNUMBER(Q42),TRUNC(Q42)&lt;TODAY())</formula>
    </cfRule>
  </conditionalFormatting>
  <conditionalFormatting sqref="O42:Q42">
    <cfRule type="expression" dxfId="732" priority="59">
      <formula>AND(ISNUMBER(O42),TRUNC(O42)&lt;TODAY())</formula>
    </cfRule>
  </conditionalFormatting>
  <conditionalFormatting sqref="F41">
    <cfRule type="containsText" dxfId="731" priority="60" operator="containsText" text="F">
      <formula>NOT(ISERROR(SEARCH(("F"),(F41))))</formula>
    </cfRule>
  </conditionalFormatting>
  <conditionalFormatting sqref="V41">
    <cfRule type="notContainsBlanks" dxfId="730" priority="61">
      <formula>LEN(TRIM(V41))&gt;0</formula>
    </cfRule>
  </conditionalFormatting>
  <conditionalFormatting sqref="O41">
    <cfRule type="expression" dxfId="729" priority="62">
      <formula>AND(ISNUMBER(O41),TRUNC(O41)&lt;TODAY())</formula>
    </cfRule>
  </conditionalFormatting>
  <conditionalFormatting sqref="P41">
    <cfRule type="expression" dxfId="728" priority="63">
      <formula>AND(ISNUMBER(P41),TRUNC(P41)&lt;TODAY())</formula>
    </cfRule>
  </conditionalFormatting>
  <conditionalFormatting sqref="P41:Q41">
    <cfRule type="expression" dxfId="727" priority="64">
      <formula>AND(ISNUMBER(P41),TRUNC(P41)&lt;TODAY())</formula>
    </cfRule>
  </conditionalFormatting>
  <conditionalFormatting sqref="F40">
    <cfRule type="containsText" dxfId="726" priority="65" operator="containsText" text="F">
      <formula>NOT(ISERROR(SEARCH(("F"),(F40))))</formula>
    </cfRule>
  </conditionalFormatting>
  <conditionalFormatting sqref="P40">
    <cfRule type="expression" dxfId="725" priority="66">
      <formula>P40&lt;44165</formula>
    </cfRule>
  </conditionalFormatting>
  <conditionalFormatting sqref="Q40">
    <cfRule type="expression" dxfId="724" priority="67">
      <formula>AND(ISNUMBER(Q40),TRUNC(Q40)&lt;TODAY())</formula>
    </cfRule>
  </conditionalFormatting>
  <conditionalFormatting sqref="O40">
    <cfRule type="expression" dxfId="723" priority="68">
      <formula>AND(ISNUMBER(O40),TRUNC(O40)&lt;TODAY())</formula>
    </cfRule>
  </conditionalFormatting>
  <conditionalFormatting sqref="F39">
    <cfRule type="containsText" dxfId="722" priority="69" operator="containsText" text="F">
      <formula>NOT(ISERROR(SEARCH(("F"),(F39))))</formula>
    </cfRule>
  </conditionalFormatting>
  <conditionalFormatting sqref="O39:Q39">
    <cfRule type="expression" dxfId="721" priority="70">
      <formula>AND(ISNUMBER(O39),TRUNC(O39)&lt;TODAY())</formula>
    </cfRule>
  </conditionalFormatting>
  <conditionalFormatting sqref="F38">
    <cfRule type="containsText" dxfId="720" priority="71" operator="containsText" text="F">
      <formula>NOT(ISERROR(SEARCH(("F"),(F38))))</formula>
    </cfRule>
  </conditionalFormatting>
  <conditionalFormatting sqref="O38:Q38">
    <cfRule type="expression" dxfId="719" priority="72">
      <formula>AND(ISNUMBER(O38),TRUNC(O38)&lt;TODAY())</formula>
    </cfRule>
  </conditionalFormatting>
  <conditionalFormatting sqref="Q37">
    <cfRule type="expression" dxfId="718" priority="73">
      <formula>AND(ISNUMBER(Q37),TRUNC(Q37)&lt;TODAY())</formula>
    </cfRule>
  </conditionalFormatting>
  <conditionalFormatting sqref="O37:Q37">
    <cfRule type="expression" dxfId="717" priority="74">
      <formula>AND(ISNUMBER(O37),TRUNC(O37)&lt;TODAY())</formula>
    </cfRule>
  </conditionalFormatting>
  <conditionalFormatting sqref="F37">
    <cfRule type="containsText" dxfId="716" priority="75" operator="containsText" text="F">
      <formula>NOT(ISERROR(SEARCH(("F"),(F37))))</formula>
    </cfRule>
  </conditionalFormatting>
  <conditionalFormatting sqref="O36:Q36">
    <cfRule type="expression" dxfId="715" priority="76">
      <formula>AND(ISNUMBER(O36),TRUNC(O36)&lt;TODAY())</formula>
    </cfRule>
  </conditionalFormatting>
  <conditionalFormatting sqref="O35:Q35">
    <cfRule type="expression" dxfId="714" priority="77">
      <formula>AND(ISNUMBER(O35),TRUNC(O35)&lt;TODAY())</formula>
    </cfRule>
  </conditionalFormatting>
  <conditionalFormatting sqref="O34:Q34">
    <cfRule type="expression" dxfId="713" priority="78">
      <formula>AND(ISNUMBER(O34),TRUNC(O34)&lt;TODAY())</formula>
    </cfRule>
  </conditionalFormatting>
  <conditionalFormatting sqref="F34">
    <cfRule type="containsText" dxfId="712" priority="79" operator="containsText" text="F">
      <formula>NOT(ISERROR(SEARCH(("F"),(F34))))</formula>
    </cfRule>
  </conditionalFormatting>
  <conditionalFormatting sqref="O33">
    <cfRule type="expression" dxfId="711" priority="80">
      <formula>AND(ISNUMBER(O33),TRUNC(O33)&lt;TODAY())</formula>
    </cfRule>
  </conditionalFormatting>
  <conditionalFormatting sqref="F33">
    <cfRule type="containsText" dxfId="710" priority="81" operator="containsText" text="F">
      <formula>NOT(ISERROR(SEARCH(("F"),(F33))))</formula>
    </cfRule>
  </conditionalFormatting>
  <conditionalFormatting sqref="P33">
    <cfRule type="expression" dxfId="709" priority="82">
      <formula>AND(ISNUMBER(P33),TRUNC(P33)&lt;TODAY())</formula>
    </cfRule>
  </conditionalFormatting>
  <conditionalFormatting sqref="P33">
    <cfRule type="expression" dxfId="708" priority="83">
      <formula>AND(ISNUMBER(P33),TRUNC(P33)&lt;TODAY())</formula>
    </cfRule>
  </conditionalFormatting>
  <conditionalFormatting sqref="V33">
    <cfRule type="notContainsBlanks" dxfId="707" priority="84">
      <formula>LEN(TRIM(V33))&gt;0</formula>
    </cfRule>
  </conditionalFormatting>
  <conditionalFormatting sqref="F32">
    <cfRule type="containsText" dxfId="706" priority="85" operator="containsText" text="F">
      <formula>NOT(ISERROR(SEARCH(("F"),(F32))))</formula>
    </cfRule>
  </conditionalFormatting>
  <conditionalFormatting sqref="O32:Q32">
    <cfRule type="expression" dxfId="705" priority="86">
      <formula>AND(ISNUMBER(O32),TRUNC(O32)&lt;TODAY())</formula>
    </cfRule>
  </conditionalFormatting>
  <conditionalFormatting sqref="F31">
    <cfRule type="containsText" dxfId="704" priority="87" operator="containsText" text="F">
      <formula>NOT(ISERROR(SEARCH(("F"),(F31))))</formula>
    </cfRule>
  </conditionalFormatting>
  <conditionalFormatting sqref="O31:Q31">
    <cfRule type="expression" dxfId="703" priority="88">
      <formula>AND(ISNUMBER(O31),TRUNC(O31)&lt;TODAY())</formula>
    </cfRule>
  </conditionalFormatting>
  <conditionalFormatting sqref="O100:Q100">
    <cfRule type="expression" dxfId="702" priority="89">
      <formula>AND(ISNUMBER(O100),TRUNC(O100)&lt;TODAY())</formula>
    </cfRule>
  </conditionalFormatting>
  <conditionalFormatting sqref="F100">
    <cfRule type="containsText" dxfId="701" priority="90" operator="containsText" text="F">
      <formula>NOT(ISERROR(SEARCH(("F"),(F100))))</formula>
    </cfRule>
  </conditionalFormatting>
  <conditionalFormatting sqref="F99">
    <cfRule type="containsText" dxfId="700" priority="91" operator="containsText" text="F">
      <formula>NOT(ISERROR(SEARCH(("F"),(F99))))</formula>
    </cfRule>
  </conditionalFormatting>
  <conditionalFormatting sqref="O99:Q99">
    <cfRule type="expression" dxfId="699" priority="92">
      <formula>AND(ISNUMBER(O99),TRUNC(O99)&lt;TODAY())</formula>
    </cfRule>
  </conditionalFormatting>
  <conditionalFormatting sqref="F88">
    <cfRule type="containsText" dxfId="698" priority="93" operator="containsText" text="F">
      <formula>NOT(ISERROR(SEARCH(("F"),(F88))))</formula>
    </cfRule>
  </conditionalFormatting>
  <conditionalFormatting sqref="O88:Q88">
    <cfRule type="expression" dxfId="697" priority="94">
      <formula>AND(ISNUMBER(O88),TRUNC(O88)&lt;TODAY())</formula>
    </cfRule>
  </conditionalFormatting>
  <conditionalFormatting sqref="V87">
    <cfRule type="notContainsBlanks" dxfId="696" priority="95">
      <formula>LEN(TRIM(V87))&gt;0</formula>
    </cfRule>
  </conditionalFormatting>
  <conditionalFormatting sqref="F87">
    <cfRule type="containsText" dxfId="695" priority="96" operator="containsText" text="F">
      <formula>NOT(ISERROR(SEARCH(("F"),(F87))))</formula>
    </cfRule>
  </conditionalFormatting>
  <conditionalFormatting sqref="O87">
    <cfRule type="expression" dxfId="694" priority="97">
      <formula>AND(ISNUMBER(O87),TRUNC(O87)&lt;TODAY())</formula>
    </cfRule>
  </conditionalFormatting>
  <conditionalFormatting sqref="Q87">
    <cfRule type="expression" dxfId="693" priority="98">
      <formula>AND(ISNUMBER(Q87),TRUNC(Q87)&lt;TODAY())</formula>
    </cfRule>
  </conditionalFormatting>
  <conditionalFormatting sqref="P87">
    <cfRule type="expression" dxfId="692" priority="99">
      <formula>AND(ISNUMBER(P87),TRUNC(P87)&lt;TODAY())</formula>
    </cfRule>
  </conditionalFormatting>
  <conditionalFormatting sqref="O86:Q86">
    <cfRule type="expression" dxfId="691" priority="100">
      <formula>AND(ISNUMBER(O86),TRUNC(O86)&lt;TODAY())</formula>
    </cfRule>
  </conditionalFormatting>
  <conditionalFormatting sqref="F86">
    <cfRule type="containsText" dxfId="690" priority="101" operator="containsText" text="F">
      <formula>NOT(ISERROR(SEARCH(("F"),(F86))))</formula>
    </cfRule>
  </conditionalFormatting>
  <conditionalFormatting sqref="F85">
    <cfRule type="containsText" dxfId="689" priority="102" operator="containsText" text="F">
      <formula>NOT(ISERROR(SEARCH(("F"),(F85))))</formula>
    </cfRule>
  </conditionalFormatting>
  <conditionalFormatting sqref="O85:Q85">
    <cfRule type="expression" dxfId="688" priority="103">
      <formula>AND(ISNUMBER(O85),TRUNC(O85)&lt;TODAY())</formula>
    </cfRule>
  </conditionalFormatting>
  <conditionalFormatting sqref="V84">
    <cfRule type="notContainsBlanks" dxfId="687" priority="104">
      <formula>LEN(TRIM(V84))&gt;0</formula>
    </cfRule>
  </conditionalFormatting>
  <conditionalFormatting sqref="F84">
    <cfRule type="containsText" dxfId="686" priority="105" operator="containsText" text="F">
      <formula>NOT(ISERROR(SEARCH(("F"),(F84))))</formula>
    </cfRule>
  </conditionalFormatting>
  <conditionalFormatting sqref="Q84">
    <cfRule type="expression" dxfId="685" priority="106">
      <formula>AND(ISNUMBER(Q84),TRUNC(Q84)&lt;TODAY())</formula>
    </cfRule>
  </conditionalFormatting>
  <conditionalFormatting sqref="P84">
    <cfRule type="expression" dxfId="684" priority="107">
      <formula>AND(ISNUMBER(P84),TRUNC(P84)&lt;TODAY())</formula>
    </cfRule>
  </conditionalFormatting>
  <conditionalFormatting sqref="O84">
    <cfRule type="expression" dxfId="683" priority="108">
      <formula>AND(ISNUMBER(O84),TRUNC(O84)&lt;TODAY())</formula>
    </cfRule>
  </conditionalFormatting>
  <conditionalFormatting sqref="P83">
    <cfRule type="expression" dxfId="682" priority="109">
      <formula>AND(ISNUMBER(P83),TRUNC(P83)&lt;TODAY())</formula>
    </cfRule>
  </conditionalFormatting>
  <conditionalFormatting sqref="Q83">
    <cfRule type="expression" dxfId="681" priority="110">
      <formula>AND(ISNUMBER(Q83),TRUNC(Q83)&lt;TODAY())</formula>
    </cfRule>
  </conditionalFormatting>
  <conditionalFormatting sqref="Q83">
    <cfRule type="expression" dxfId="680" priority="111">
      <formula>AND(ISNUMBER(Q83),TRUNC(Q83)&lt;TODAY())</formula>
    </cfRule>
  </conditionalFormatting>
  <conditionalFormatting sqref="O83">
    <cfRule type="expression" dxfId="679" priority="112">
      <formula>AND(ISNUMBER(O83),TRUNC(O83)&lt;TODAY())</formula>
    </cfRule>
  </conditionalFormatting>
  <conditionalFormatting sqref="F83">
    <cfRule type="containsText" dxfId="678" priority="113" operator="containsText" text="F">
      <formula>NOT(ISERROR(SEARCH(("F"),(F83))))</formula>
    </cfRule>
  </conditionalFormatting>
  <conditionalFormatting sqref="V83">
    <cfRule type="notContainsBlanks" dxfId="677" priority="114">
      <formula>LEN(TRIM(V83))&gt;0</formula>
    </cfRule>
  </conditionalFormatting>
  <conditionalFormatting sqref="O82:Q82">
    <cfRule type="expression" dxfId="676" priority="115">
      <formula>AND(ISNUMBER(O82),TRUNC(O82)&lt;TODAY())</formula>
    </cfRule>
  </conditionalFormatting>
  <conditionalFormatting sqref="F82">
    <cfRule type="containsText" dxfId="675" priority="116" operator="containsText" text="F">
      <formula>NOT(ISERROR(SEARCH(("F"),(F82))))</formula>
    </cfRule>
  </conditionalFormatting>
  <conditionalFormatting sqref="O30:Q30">
    <cfRule type="expression" dxfId="674" priority="117">
      <formula>AND(ISNUMBER(O30),TRUNC(O30)&lt;TODAY())</formula>
    </cfRule>
  </conditionalFormatting>
  <conditionalFormatting sqref="F29">
    <cfRule type="containsText" dxfId="673" priority="118" operator="containsText" text="F">
      <formula>NOT(ISERROR(SEARCH(("F"),(F29))))</formula>
    </cfRule>
  </conditionalFormatting>
  <conditionalFormatting sqref="Q29">
    <cfRule type="expression" dxfId="672" priority="119">
      <formula>AND(ISNUMBER(Q29),TRUNC(Q29)&lt;TODAY())</formula>
    </cfRule>
  </conditionalFormatting>
  <conditionalFormatting sqref="P29">
    <cfRule type="expression" dxfId="671" priority="120">
      <formula>AND(ISNUMBER(P29),TRUNC(P29)&lt;TODAY())</formula>
    </cfRule>
  </conditionalFormatting>
  <conditionalFormatting sqref="P29">
    <cfRule type="expression" dxfId="670" priority="121">
      <formula>AND(ISNUMBER(P29),TRUNC(P29)&lt;TODAY())</formula>
    </cfRule>
  </conditionalFormatting>
  <conditionalFormatting sqref="O29:P29">
    <cfRule type="expression" dxfId="669" priority="122">
      <formula>AND(ISNUMBER(O29),TRUNC(O29)&lt;TODAY())</formula>
    </cfRule>
  </conditionalFormatting>
  <conditionalFormatting sqref="F28">
    <cfRule type="containsText" dxfId="668" priority="123" operator="containsText" text="F">
      <formula>NOT(ISERROR(SEARCH(("F"),(F28))))</formula>
    </cfRule>
  </conditionalFormatting>
  <conditionalFormatting sqref="O28:Q28">
    <cfRule type="expression" dxfId="667" priority="124">
      <formula>AND(ISNUMBER(O28),TRUNC(O28)&lt;TODAY())</formula>
    </cfRule>
  </conditionalFormatting>
  <conditionalFormatting sqref="F62">
    <cfRule type="containsText" dxfId="666" priority="125" operator="containsText" text="F">
      <formula>NOT(ISERROR(SEARCH(("F"),(F62))))</formula>
    </cfRule>
  </conditionalFormatting>
  <conditionalFormatting sqref="O62:Q62">
    <cfRule type="expression" dxfId="665" priority="126">
      <formula>AND(ISNUMBER(O62),TRUNC(O62)&lt;TODAY())</formula>
    </cfRule>
  </conditionalFormatting>
  <conditionalFormatting sqref="F27">
    <cfRule type="containsText" dxfId="664" priority="127" operator="containsText" text="F">
      <formula>NOT(ISERROR(SEARCH(("F"),(F27))))</formula>
    </cfRule>
  </conditionalFormatting>
  <conditionalFormatting sqref="O27:Q27">
    <cfRule type="expression" dxfId="663" priority="128">
      <formula>AND(ISNUMBER(O27),TRUNC(O27)&lt;TODAY())</formula>
    </cfRule>
  </conditionalFormatting>
  <conditionalFormatting sqref="F26">
    <cfRule type="containsText" dxfId="662" priority="129" operator="containsText" text="F">
      <formula>NOT(ISERROR(SEARCH(("F"),(F26))))</formula>
    </cfRule>
  </conditionalFormatting>
  <conditionalFormatting sqref="O26:Q26">
    <cfRule type="expression" dxfId="661" priority="130">
      <formula>AND(ISNUMBER(O26),TRUNC(O26)&lt;TODAY())</formula>
    </cfRule>
  </conditionalFormatting>
  <conditionalFormatting sqref="F25">
    <cfRule type="containsText" dxfId="660" priority="131" operator="containsText" text="F">
      <formula>NOT(ISERROR(SEARCH(("F"),(F25))))</formula>
    </cfRule>
  </conditionalFormatting>
  <conditionalFormatting sqref="O25:Q25">
    <cfRule type="expression" dxfId="659" priority="132">
      <formula>AND(ISNUMBER(O25),TRUNC(O25)&lt;TODAY())</formula>
    </cfRule>
  </conditionalFormatting>
  <conditionalFormatting sqref="O24:Q24">
    <cfRule type="expression" dxfId="658" priority="133">
      <formula>AND(ISNUMBER(O24),TRUNC(O24)&lt;TODAY())</formula>
    </cfRule>
  </conditionalFormatting>
  <conditionalFormatting sqref="P23">
    <cfRule type="expression" dxfId="657" priority="134">
      <formula>AND(ISNUMBER(P23),TRUNC(P23)&lt;TODAY())</formula>
    </cfRule>
  </conditionalFormatting>
  <conditionalFormatting sqref="O23:Q23">
    <cfRule type="expression" dxfId="656" priority="135">
      <formula>AND(ISNUMBER(O23),TRUNC(O23)&lt;TODAY())</formula>
    </cfRule>
  </conditionalFormatting>
  <conditionalFormatting sqref="O22:Q22">
    <cfRule type="expression" dxfId="655" priority="136">
      <formula>AND(ISNUMBER(O22),TRUNC(O22)&lt;TODAY())</formula>
    </cfRule>
  </conditionalFormatting>
  <conditionalFormatting sqref="P22">
    <cfRule type="expression" dxfId="654" priority="137">
      <formula>AND(ISNUMBER(P22),TRUNC(P22)&lt;TODAY())</formula>
    </cfRule>
  </conditionalFormatting>
  <conditionalFormatting sqref="V21">
    <cfRule type="notContainsBlanks" dxfId="653" priority="138">
      <formula>LEN(TRIM(V21))&gt;0</formula>
    </cfRule>
  </conditionalFormatting>
  <conditionalFormatting sqref="F21">
    <cfRule type="containsText" dxfId="652" priority="139" operator="containsText" text="F">
      <formula>NOT(ISERROR(SEARCH(("F"),(F21))))</formula>
    </cfRule>
  </conditionalFormatting>
  <conditionalFormatting sqref="P21:Q21">
    <cfRule type="expression" dxfId="651" priority="140">
      <formula>AND(ISNUMBER(P21),TRUNC(P21)&lt;TODAY())</formula>
    </cfRule>
  </conditionalFormatting>
  <conditionalFormatting sqref="Q21">
    <cfRule type="expression" dxfId="650" priority="141">
      <formula>AND(ISNUMBER(Q21),TRUNC(Q21)&lt;TODAY())</formula>
    </cfRule>
  </conditionalFormatting>
  <conditionalFormatting sqref="O21">
    <cfRule type="expression" dxfId="649" priority="142">
      <formula>AND(ISNUMBER(O21),TRUNC(O21)&lt;TODAY())</formula>
    </cfRule>
  </conditionalFormatting>
  <conditionalFormatting sqref="F61">
    <cfRule type="containsText" dxfId="648" priority="143" operator="containsText" text="F">
      <formula>NOT(ISERROR(SEARCH(("F"),(F61))))</formula>
    </cfRule>
  </conditionalFormatting>
  <conditionalFormatting sqref="O61">
    <cfRule type="expression" dxfId="647" priority="144">
      <formula>AND(ISNUMBER(O61),TRUNC(O61)&lt;TODAY())</formula>
    </cfRule>
  </conditionalFormatting>
  <conditionalFormatting sqref="Q61">
    <cfRule type="expression" dxfId="646" priority="145">
      <formula>AND(ISNUMBER(Q61),TRUNC(Q61)&lt;TODAY())</formula>
    </cfRule>
  </conditionalFormatting>
  <conditionalFormatting sqref="P61">
    <cfRule type="expression" dxfId="645" priority="146">
      <formula>AND(ISNUMBER(P61),TRUNC(P61)&lt;TODAY())</formula>
    </cfRule>
  </conditionalFormatting>
  <conditionalFormatting sqref="F60">
    <cfRule type="containsText" dxfId="644" priority="147" operator="containsText" text="F">
      <formula>NOT(ISERROR(SEARCH(("F"),(F60))))</formula>
    </cfRule>
  </conditionalFormatting>
  <conditionalFormatting sqref="Q60">
    <cfRule type="expression" dxfId="643" priority="148">
      <formula>AND(ISNUMBER(Q60),TRUNC(Q60)&lt;TODAY())</formula>
    </cfRule>
  </conditionalFormatting>
  <conditionalFormatting sqref="P60">
    <cfRule type="expression" dxfId="642" priority="149">
      <formula>AND(ISNUMBER(P60),TRUNC(P60)&lt;TODAY())</formula>
    </cfRule>
  </conditionalFormatting>
  <conditionalFormatting sqref="O60">
    <cfRule type="expression" dxfId="641" priority="150">
      <formula>AND(ISNUMBER(O60),TRUNC(O60)&lt;TODAY())</formula>
    </cfRule>
  </conditionalFormatting>
  <conditionalFormatting sqref="Q59">
    <cfRule type="expression" dxfId="640" priority="151">
      <formula>AND(ISNUMBER(Q59),TRUNC(Q59)&lt;TODAY())</formula>
    </cfRule>
  </conditionalFormatting>
  <conditionalFormatting sqref="P59">
    <cfRule type="expression" dxfId="639" priority="152">
      <formula>AND(ISNUMBER(P59),TRUNC(P59)&lt;TODAY())</formula>
    </cfRule>
  </conditionalFormatting>
  <conditionalFormatting sqref="F59">
    <cfRule type="containsText" dxfId="638" priority="153" operator="containsText" text="F">
      <formula>NOT(ISERROR(SEARCH(("F"),(F59))))</formula>
    </cfRule>
  </conditionalFormatting>
  <conditionalFormatting sqref="F58">
    <cfRule type="containsText" dxfId="637" priority="154" operator="containsText" text="F">
      <formula>NOT(ISERROR(SEARCH(("F"),(F58))))</formula>
    </cfRule>
  </conditionalFormatting>
  <conditionalFormatting sqref="O58:Q58">
    <cfRule type="expression" dxfId="636" priority="155">
      <formula>AND(ISNUMBER(O58),TRUNC(O58)&lt;TODAY())</formula>
    </cfRule>
  </conditionalFormatting>
  <conditionalFormatting sqref="O57:Q57">
    <cfRule type="expression" dxfId="635" priority="156">
      <formula>AND(ISNUMBER(O57),TRUNC(O57)&lt;TODAY())</formula>
    </cfRule>
  </conditionalFormatting>
  <conditionalFormatting sqref="F57">
    <cfRule type="containsText" dxfId="634" priority="157" operator="containsText" text="F">
      <formula>NOT(ISERROR(SEARCH(("F"),(F57))))</formula>
    </cfRule>
  </conditionalFormatting>
  <conditionalFormatting sqref="F56">
    <cfRule type="containsText" dxfId="633" priority="158" operator="containsText" text="F">
      <formula>NOT(ISERROR(SEARCH(("F"),(F56))))</formula>
    </cfRule>
  </conditionalFormatting>
  <conditionalFormatting sqref="P55">
    <cfRule type="expression" dxfId="632" priority="159">
      <formula>AND(ISNUMBER(P55),TRUNC(P55)&lt;TODAY())</formula>
    </cfRule>
  </conditionalFormatting>
  <conditionalFormatting sqref="Q55">
    <cfRule type="expression" dxfId="631" priority="160">
      <formula>AND(ISNUMBER(Q55),TRUNC(Q55)&lt;TODAY())</formula>
    </cfRule>
  </conditionalFormatting>
  <conditionalFormatting sqref="O55">
    <cfRule type="expression" dxfId="630" priority="161">
      <formula>AND(ISNUMBER(O55),TRUNC(O55)&lt;TODAY())</formula>
    </cfRule>
  </conditionalFormatting>
  <conditionalFormatting sqref="F55">
    <cfRule type="containsText" dxfId="629" priority="162" operator="containsText" text="F">
      <formula>NOT(ISERROR(SEARCH(("F"),(F55))))</formula>
    </cfRule>
  </conditionalFormatting>
  <conditionalFormatting sqref="O70:Q70">
    <cfRule type="expression" dxfId="628" priority="163">
      <formula>AND(ISNUMBER(O70),TRUNC(O70)&lt;TODAY())</formula>
    </cfRule>
  </conditionalFormatting>
  <conditionalFormatting sqref="F70">
    <cfRule type="containsText" dxfId="627" priority="164" operator="containsText" text="F">
      <formula>NOT(ISERROR(SEARCH(("F"),(F70))))</formula>
    </cfRule>
  </conditionalFormatting>
  <conditionalFormatting sqref="O69">
    <cfRule type="expression" dxfId="626" priority="165">
      <formula>AND(ISNUMBER(O69),TRUNC(O69)&lt;TODAY())</formula>
    </cfRule>
  </conditionalFormatting>
  <conditionalFormatting sqref="P69">
    <cfRule type="expression" dxfId="625" priority="166">
      <formula>AND(ISNUMBER(P69),TRUNC(P69)&lt;TODAY())</formula>
    </cfRule>
  </conditionalFormatting>
  <conditionalFormatting sqref="Q69">
    <cfRule type="expression" dxfId="624" priority="167">
      <formula>AND(ISNUMBER(Q69),TRUNC(Q69)&lt;TODAY())</formula>
    </cfRule>
  </conditionalFormatting>
  <conditionalFormatting sqref="F69">
    <cfRule type="containsText" dxfId="623" priority="168" operator="containsText" text="F">
      <formula>NOT(ISERROR(SEARCH(("F"),(F69))))</formula>
    </cfRule>
  </conditionalFormatting>
  <conditionalFormatting sqref="P68">
    <cfRule type="expression" dxfId="622" priority="169">
      <formula>AND(ISNUMBER(P68),TRUNC(P68)&lt;TODAY())</formula>
    </cfRule>
  </conditionalFormatting>
  <conditionalFormatting sqref="P68">
    <cfRule type="expression" dxfId="621" priority="170">
      <formula>AND(ISNUMBER(P68),TRUNC(P68)&lt;TODAY())</formula>
    </cfRule>
  </conditionalFormatting>
  <conditionalFormatting sqref="P68:Q68">
    <cfRule type="expression" dxfId="620" priority="171">
      <formula>AND(ISNUMBER(P68),TRUNC(P68)&lt;TODAY())</formula>
    </cfRule>
  </conditionalFormatting>
  <conditionalFormatting sqref="Q68">
    <cfRule type="expression" dxfId="619" priority="172">
      <formula>AND(ISNUMBER(Q68),TRUNC(Q68)&lt;TODAY())</formula>
    </cfRule>
  </conditionalFormatting>
  <conditionalFormatting sqref="V68">
    <cfRule type="notContainsBlanks" dxfId="618" priority="173">
      <formula>LEN(TRIM(V68))&gt;0</formula>
    </cfRule>
  </conditionalFormatting>
  <conditionalFormatting sqref="O68">
    <cfRule type="expression" dxfId="617" priority="174">
      <formula>AND(ISNUMBER(O68),TRUNC(O68)&lt;TODAY())</formula>
    </cfRule>
  </conditionalFormatting>
  <conditionalFormatting sqref="F68">
    <cfRule type="containsText" dxfId="616" priority="175" operator="containsText" text="F">
      <formula>NOT(ISERROR(SEARCH(("F"),(F68))))</formula>
    </cfRule>
  </conditionalFormatting>
  <conditionalFormatting sqref="Q67">
    <cfRule type="expression" dxfId="615" priority="176">
      <formula>AND(ISNUMBER(Q67),TRUNC(Q67)&lt;TODAY())</formula>
    </cfRule>
  </conditionalFormatting>
  <conditionalFormatting sqref="P67">
    <cfRule type="expression" dxfId="614" priority="177">
      <formula>AND(ISNUMBER(P67),TRUNC(P67)&lt;TODAY())</formula>
    </cfRule>
  </conditionalFormatting>
  <conditionalFormatting sqref="P67">
    <cfRule type="expression" dxfId="613" priority="178">
      <formula>AND(ISNUMBER(P67),TRUNC(P67)&lt;TODAY())</formula>
    </cfRule>
  </conditionalFormatting>
  <conditionalFormatting sqref="O67">
    <cfRule type="expression" dxfId="612" priority="179">
      <formula>AND(ISNUMBER(O67),TRUNC(O67)&lt;TODAY())</formula>
    </cfRule>
  </conditionalFormatting>
  <conditionalFormatting sqref="F67">
    <cfRule type="containsText" dxfId="611" priority="180" operator="containsText" text="F">
      <formula>NOT(ISERROR(SEARCH(("F"),(F67))))</formula>
    </cfRule>
  </conditionalFormatting>
  <conditionalFormatting sqref="V66">
    <cfRule type="notContainsBlanks" dxfId="610" priority="181">
      <formula>LEN(TRIM(V66))&gt;0</formula>
    </cfRule>
  </conditionalFormatting>
  <conditionalFormatting sqref="O66:Q66">
    <cfRule type="expression" dxfId="609" priority="182">
      <formula>AND(ISNUMBER(O66),TRUNC(O66)&lt;TODAY())</formula>
    </cfRule>
  </conditionalFormatting>
  <conditionalFormatting sqref="F66">
    <cfRule type="containsText" dxfId="608" priority="183" operator="containsText" text="F">
      <formula>NOT(ISERROR(SEARCH(("F"),(F66))))</formula>
    </cfRule>
  </conditionalFormatting>
  <conditionalFormatting sqref="F65">
    <cfRule type="containsText" dxfId="607" priority="184" operator="containsText" text="F">
      <formula>NOT(ISERROR(SEARCH(("F"),(F65))))</formula>
    </cfRule>
  </conditionalFormatting>
  <conditionalFormatting sqref="O65:Q65">
    <cfRule type="expression" dxfId="606" priority="185">
      <formula>AND(ISNUMBER(O65),TRUNC(O65)&lt;TODAY())</formula>
    </cfRule>
  </conditionalFormatting>
  <conditionalFormatting sqref="Q20">
    <cfRule type="expression" dxfId="605" priority="186">
      <formula>AND(ISNUMBER(Q20),TRUNC(Q20)&lt;TODAY())</formula>
    </cfRule>
  </conditionalFormatting>
  <conditionalFormatting sqref="O20">
    <cfRule type="expression" dxfId="604" priority="187">
      <formula>AND(ISNUMBER(O20),TRUNC(O20)&lt;TODAY())</formula>
    </cfRule>
  </conditionalFormatting>
  <conditionalFormatting sqref="F20">
    <cfRule type="containsText" dxfId="603" priority="188" operator="containsText" text="F">
      <formula>NOT(ISERROR(SEARCH(("F"),(F20))))</formula>
    </cfRule>
  </conditionalFormatting>
  <conditionalFormatting sqref="P20">
    <cfRule type="expression" dxfId="602" priority="189">
      <formula>AND(ISNUMBER(P20),TRUNC(P20)&lt;TODAY())</formula>
    </cfRule>
  </conditionalFormatting>
  <conditionalFormatting sqref="O19:Q19">
    <cfRule type="expression" dxfId="601" priority="190">
      <formula>AND(ISNUMBER(O19),TRUNC(O19)&lt;TODAY())</formula>
    </cfRule>
  </conditionalFormatting>
  <conditionalFormatting sqref="F52">
    <cfRule type="containsText" dxfId="600" priority="191" operator="containsText" text="F">
      <formula>NOT(ISERROR(SEARCH(("F"),(F52))))</formula>
    </cfRule>
  </conditionalFormatting>
  <conditionalFormatting sqref="Q52">
    <cfRule type="expression" dxfId="599" priority="192">
      <formula>AND(ISNUMBER(Q52),TRUNC(Q52)&lt;TODAY())</formula>
    </cfRule>
  </conditionalFormatting>
  <conditionalFormatting sqref="Q52">
    <cfRule type="expression" dxfId="598" priority="193">
      <formula>AND(ISNUMBER(Q52),TRUNC(Q52)&lt;TODAY())</formula>
    </cfRule>
  </conditionalFormatting>
  <conditionalFormatting sqref="O52">
    <cfRule type="expression" dxfId="597" priority="194">
      <formula>AND(ISNUMBER(O52),TRUNC(O52)&lt;TODAY())</formula>
    </cfRule>
  </conditionalFormatting>
  <conditionalFormatting sqref="P52">
    <cfRule type="expression" dxfId="596" priority="195">
      <formula>AND(ISNUMBER(P52),TRUNC(P52)&lt;TODAY())</formula>
    </cfRule>
  </conditionalFormatting>
  <conditionalFormatting sqref="P98">
    <cfRule type="expression" dxfId="595" priority="196">
      <formula>AND(ISNUMBER(P98),TRUNC(P98)&lt;TODAY())</formula>
    </cfRule>
  </conditionalFormatting>
  <conditionalFormatting sqref="Q98">
    <cfRule type="expression" dxfId="594" priority="197">
      <formula>AND(ISNUMBER(Q98),TRUNC(Q98)&lt;TODAY())</formula>
    </cfRule>
  </conditionalFormatting>
  <conditionalFormatting sqref="F98">
    <cfRule type="containsText" dxfId="593" priority="198" operator="containsText" text="F">
      <formula>NOT(ISERROR(SEARCH(("F"),(F98))))</formula>
    </cfRule>
  </conditionalFormatting>
  <conditionalFormatting sqref="O98">
    <cfRule type="expression" dxfId="592" priority="199">
      <formula>AND(ISNUMBER(O98),TRUNC(O98)&lt;TODAY())</formula>
    </cfRule>
  </conditionalFormatting>
  <conditionalFormatting sqref="F97">
    <cfRule type="containsText" dxfId="591" priority="200" operator="containsText" text="F">
      <formula>NOT(ISERROR(SEARCH(("F"),(F97))))</formula>
    </cfRule>
  </conditionalFormatting>
  <conditionalFormatting sqref="O97">
    <cfRule type="expression" dxfId="590" priority="201">
      <formula>AND(ISNUMBER(O97),TRUNC(O97)&lt;TODAY())</formula>
    </cfRule>
  </conditionalFormatting>
  <conditionalFormatting sqref="P97">
    <cfRule type="expression" dxfId="589" priority="202">
      <formula>AND(ISNUMBER(P97),TRUNC(P97)&lt;TODAY())</formula>
    </cfRule>
  </conditionalFormatting>
  <conditionalFormatting sqref="O51">
    <cfRule type="expression" dxfId="588" priority="203">
      <formula>AND(ISNUMBER(O51),TRUNC(O51)&lt;TODAY())</formula>
    </cfRule>
  </conditionalFormatting>
  <conditionalFormatting sqref="F51">
    <cfRule type="containsText" dxfId="587" priority="204" operator="containsText" text="F">
      <formula>NOT(ISERROR(SEARCH(("F"),(F51))))</formula>
    </cfRule>
  </conditionalFormatting>
  <conditionalFormatting sqref="P51">
    <cfRule type="expression" dxfId="586" priority="205">
      <formula>AND(ISNUMBER(P51),TRUNC(P51)&lt;TODAY())</formula>
    </cfRule>
  </conditionalFormatting>
  <conditionalFormatting sqref="Q51">
    <cfRule type="expression" dxfId="585" priority="206">
      <formula>AND(ISNUMBER(Q51),TRUNC(Q51)&lt;TODAY())</formula>
    </cfRule>
  </conditionalFormatting>
  <conditionalFormatting sqref="O50:Q50">
    <cfRule type="expression" dxfId="584" priority="207">
      <formula>AND(ISNUMBER(O50),TRUNC(O50)&lt;TODAY())</formula>
    </cfRule>
  </conditionalFormatting>
  <conditionalFormatting sqref="F50">
    <cfRule type="containsText" dxfId="583" priority="208" operator="containsText" text="F">
      <formula>NOT(ISERROR(SEARCH(("F"),(F50))))</formula>
    </cfRule>
  </conditionalFormatting>
  <conditionalFormatting sqref="F49">
    <cfRule type="containsText" dxfId="582" priority="209" operator="containsText" text="F">
      <formula>NOT(ISERROR(SEARCH(("F"),(F49))))</formula>
    </cfRule>
  </conditionalFormatting>
  <conditionalFormatting sqref="O49">
    <cfRule type="expression" dxfId="581" priority="210">
      <formula>AND(ISNUMBER(O49),TRUNC(O49)&lt;TODAY())</formula>
    </cfRule>
  </conditionalFormatting>
  <conditionalFormatting sqref="P49">
    <cfRule type="expression" dxfId="580" priority="211">
      <formula>AND(ISNUMBER(P49),TRUNC(P49)&lt;TODAY())</formula>
    </cfRule>
  </conditionalFormatting>
  <conditionalFormatting sqref="Q49">
    <cfRule type="expression" dxfId="579" priority="212">
      <formula>AND(ISNUMBER(Q49),TRUNC(Q49)&lt;TODAY())</formula>
    </cfRule>
  </conditionalFormatting>
  <conditionalFormatting sqref="F16">
    <cfRule type="containsText" dxfId="578" priority="213" operator="containsText" text="F">
      <formula>NOT(ISERROR(SEARCH(("F"),(F16))))</formula>
    </cfRule>
  </conditionalFormatting>
  <conditionalFormatting sqref="O16:Q16">
    <cfRule type="expression" dxfId="577" priority="214">
      <formula>AND(ISNUMBER(O16),TRUNC(O16)&lt;TODAY())</formula>
    </cfRule>
  </conditionalFormatting>
  <conditionalFormatting sqref="P96:Q96">
    <cfRule type="expression" dxfId="576" priority="215">
      <formula>AND(ISNUMBER(P96),TRUNC(P96)&lt;TODAY())</formula>
    </cfRule>
  </conditionalFormatting>
  <conditionalFormatting sqref="P96">
    <cfRule type="expression" dxfId="575" priority="216">
      <formula>AND(ISNUMBER(P96),TRUNC(P96)&lt;TODAY())</formula>
    </cfRule>
  </conditionalFormatting>
  <conditionalFormatting sqref="Q96">
    <cfRule type="expression" dxfId="574" priority="217">
      <formula>AND(ISNUMBER(Q96),TRUNC(Q96)&lt;TODAY())</formula>
    </cfRule>
  </conditionalFormatting>
  <conditionalFormatting sqref="O96">
    <cfRule type="expression" dxfId="573" priority="218">
      <formula>AND(ISNUMBER(O96),TRUNC(O96)&lt;TODAY())</formula>
    </cfRule>
  </conditionalFormatting>
  <conditionalFormatting sqref="F96">
    <cfRule type="containsText" dxfId="572" priority="219" operator="containsText" text="F">
      <formula>NOT(ISERROR(SEARCH(("F"),(F96))))</formula>
    </cfRule>
  </conditionalFormatting>
  <conditionalFormatting sqref="F95">
    <cfRule type="containsText" dxfId="571" priority="220" operator="containsText" text="F">
      <formula>NOT(ISERROR(SEARCH(("F"),(F95))))</formula>
    </cfRule>
  </conditionalFormatting>
  <conditionalFormatting sqref="O95">
    <cfRule type="expression" dxfId="570" priority="221">
      <formula>AND(ISNUMBER(O95),TRUNC(O95)&lt;TODAY())</formula>
    </cfRule>
  </conditionalFormatting>
  <conditionalFormatting sqref="Q95">
    <cfRule type="expression" dxfId="569" priority="222">
      <formula>AND(ISNUMBER(Q95),TRUNC(Q95)&lt;TODAY())</formula>
    </cfRule>
  </conditionalFormatting>
  <conditionalFormatting sqref="P95">
    <cfRule type="expression" dxfId="568" priority="223">
      <formula>AND(ISNUMBER(P95),TRUNC(P95)&lt;TODAY())</formula>
    </cfRule>
  </conditionalFormatting>
  <conditionalFormatting sqref="F94">
    <cfRule type="containsText" dxfId="567" priority="224" operator="containsText" text="F">
      <formula>NOT(ISERROR(SEARCH(("F"),(F94))))</formula>
    </cfRule>
  </conditionalFormatting>
  <conditionalFormatting sqref="V94">
    <cfRule type="notContainsBlanks" dxfId="566" priority="225">
      <formula>LEN(TRIM(V94))&gt;0</formula>
    </cfRule>
  </conditionalFormatting>
  <conditionalFormatting sqref="P94">
    <cfRule type="expression" dxfId="565" priority="226">
      <formula>P94&lt;44043</formula>
    </cfRule>
  </conditionalFormatting>
  <conditionalFormatting sqref="P94">
    <cfRule type="expression" dxfId="564" priority="227">
      <formula>AND(ISNUMBER(P94),TRUNC(P94)&lt;TODAY())</formula>
    </cfRule>
  </conditionalFormatting>
  <conditionalFormatting sqref="O94">
    <cfRule type="expression" dxfId="563" priority="228">
      <formula>AND(ISNUMBER(O94),TRUNC(O94)&lt;TODAY())</formula>
    </cfRule>
  </conditionalFormatting>
  <conditionalFormatting sqref="Q94">
    <cfRule type="expression" dxfId="562" priority="229">
      <formula>AND(ISNUMBER(Q94),TRUNC(Q94)&lt;TODAY())</formula>
    </cfRule>
  </conditionalFormatting>
  <conditionalFormatting sqref="P94:Q94">
    <cfRule type="expression" dxfId="561" priority="230">
      <formula>AND(ISNUMBER(P94),TRUNC(P94)&lt;TODAY())</formula>
    </cfRule>
  </conditionalFormatting>
  <conditionalFormatting sqref="O93:Q93">
    <cfRule type="expression" dxfId="560" priority="231">
      <formula>AND(ISNUMBER(O93),TRUNC(O93)&lt;TODAY())</formula>
    </cfRule>
  </conditionalFormatting>
  <conditionalFormatting sqref="F93">
    <cfRule type="containsText" dxfId="559" priority="232" operator="containsText" text="F">
      <formula>NOT(ISERROR(SEARCH(("F"),(F93))))</formula>
    </cfRule>
  </conditionalFormatting>
  <conditionalFormatting sqref="P81">
    <cfRule type="expression" dxfId="558" priority="233">
      <formula>P81&lt;44043</formula>
    </cfRule>
  </conditionalFormatting>
  <conditionalFormatting sqref="P81">
    <cfRule type="expression" dxfId="557" priority="234">
      <formula>AND(ISNUMBER(P81),TRUNC(P81)&lt;TODAY())</formula>
    </cfRule>
  </conditionalFormatting>
  <conditionalFormatting sqref="Q81">
    <cfRule type="expression" dxfId="556" priority="235">
      <formula>AND(ISNUMBER(Q81),TRUNC(Q81)&lt;TODAY())</formula>
    </cfRule>
  </conditionalFormatting>
  <conditionalFormatting sqref="O81">
    <cfRule type="expression" dxfId="555" priority="236">
      <formula>AND(ISNUMBER(O81),TRUNC(O81)&lt;TODAY())</formula>
    </cfRule>
  </conditionalFormatting>
  <conditionalFormatting sqref="F81">
    <cfRule type="containsText" dxfId="554" priority="237" operator="containsText" text="F">
      <formula>NOT(ISERROR(SEARCH(("F"),(F81))))</formula>
    </cfRule>
  </conditionalFormatting>
  <conditionalFormatting sqref="O80:Q80">
    <cfRule type="expression" dxfId="553" priority="238">
      <formula>AND(ISNUMBER(O80),TRUNC(O80)&lt;TODAY())</formula>
    </cfRule>
  </conditionalFormatting>
  <conditionalFormatting sqref="F80">
    <cfRule type="containsText" dxfId="552" priority="239" operator="containsText" text="F">
      <formula>NOT(ISERROR(SEARCH(("F"),(F80))))</formula>
    </cfRule>
  </conditionalFormatting>
  <conditionalFormatting sqref="O74:Q74">
    <cfRule type="expression" dxfId="551" priority="240">
      <formula>AND(ISNUMBER(O74),TRUNC(O74)&lt;TODAY())</formula>
    </cfRule>
  </conditionalFormatting>
  <conditionalFormatting sqref="F74">
    <cfRule type="containsText" dxfId="550" priority="241" operator="containsText" text="F">
      <formula>NOT(ISERROR(SEARCH(("F"),(F74))))</formula>
    </cfRule>
  </conditionalFormatting>
  <conditionalFormatting sqref="F54">
    <cfRule type="containsText" dxfId="549" priority="242" operator="containsText" text="F">
      <formula>NOT(ISERROR(SEARCH(("F"),(F54))))</formula>
    </cfRule>
  </conditionalFormatting>
  <conditionalFormatting sqref="O54:Q54">
    <cfRule type="expression" dxfId="548" priority="243">
      <formula>AND(ISNUMBER(O54),TRUNC(O54)&lt;TODAY())</formula>
    </cfRule>
  </conditionalFormatting>
  <conditionalFormatting sqref="F53">
    <cfRule type="containsText" dxfId="547" priority="244" operator="containsText" text="F">
      <formula>NOT(ISERROR(SEARCH(("F"),(F53))))</formula>
    </cfRule>
  </conditionalFormatting>
  <conditionalFormatting sqref="O53:Q53">
    <cfRule type="expression" dxfId="546" priority="245">
      <formula>AND(ISNUMBER(O53),TRUNC(O53)&lt;TODAY())</formula>
    </cfRule>
  </conditionalFormatting>
  <conditionalFormatting sqref="P15">
    <cfRule type="expression" dxfId="545" priority="246">
      <formula>AND(ISNUMBER(P15),TRUNC(P15)&lt;TODAY())</formula>
    </cfRule>
  </conditionalFormatting>
  <conditionalFormatting sqref="O15:Q15">
    <cfRule type="expression" dxfId="544" priority="247">
      <formula>AND(ISNUMBER(O15),TRUNC(O15)&lt;TODAY())</formula>
    </cfRule>
  </conditionalFormatting>
  <conditionalFormatting sqref="O14">
    <cfRule type="expression" dxfId="543" priority="248">
      <formula>AND(ISNUMBER(O14),TRUNC(O14)&lt;TODAY())</formula>
    </cfRule>
  </conditionalFormatting>
  <conditionalFormatting sqref="P14">
    <cfRule type="expression" dxfId="542" priority="249">
      <formula>AND(ISNUMBER(P14),TRUNC(P14)&lt;TODAY())</formula>
    </cfRule>
  </conditionalFormatting>
  <conditionalFormatting sqref="Q14">
    <cfRule type="expression" dxfId="541" priority="250">
      <formula>AND(ISNUMBER(Q14),TRUNC(Q14)&lt;TODAY())</formula>
    </cfRule>
  </conditionalFormatting>
  <conditionalFormatting sqref="F14">
    <cfRule type="containsText" dxfId="540" priority="251" operator="containsText" text="F">
      <formula>NOT(ISERROR(SEARCH(("F"),(F14))))</formula>
    </cfRule>
  </conditionalFormatting>
  <conditionalFormatting sqref="O13:Q13">
    <cfRule type="expression" dxfId="539" priority="252">
      <formula>AND(ISNUMBER(O13),TRUNC(O13)&lt;TODAY())</formula>
    </cfRule>
  </conditionalFormatting>
  <conditionalFormatting sqref="O12:Q12">
    <cfRule type="expression" dxfId="538" priority="253">
      <formula>AND(ISNUMBER(O12),TRUNC(O12)&lt;TODAY())</formula>
    </cfRule>
  </conditionalFormatting>
  <conditionalFormatting sqref="F12">
    <cfRule type="containsText" dxfId="537" priority="254" operator="containsText" text="F">
      <formula>NOT(ISERROR(SEARCH(("F"),(F12))))</formula>
    </cfRule>
  </conditionalFormatting>
  <conditionalFormatting sqref="O79:Q79">
    <cfRule type="expression" dxfId="536" priority="255">
      <formula>AND(ISNUMBER(O79),TRUNC(O79)&lt;TODAY())</formula>
    </cfRule>
  </conditionalFormatting>
  <conditionalFormatting sqref="F79">
    <cfRule type="containsText" dxfId="535" priority="256" operator="containsText" text="F">
      <formula>NOT(ISERROR(SEARCH(("F"),(F79))))</formula>
    </cfRule>
  </conditionalFormatting>
  <conditionalFormatting sqref="F78">
    <cfRule type="containsText" dxfId="534" priority="257" operator="containsText" text="F">
      <formula>NOT(ISERROR(SEARCH(("F"),(F78))))</formula>
    </cfRule>
  </conditionalFormatting>
  <conditionalFormatting sqref="O78:Q78">
    <cfRule type="expression" dxfId="533" priority="258">
      <formula>AND(ISNUMBER(O78),TRUNC(O78)&lt;TODAY())</formula>
    </cfRule>
  </conditionalFormatting>
  <conditionalFormatting sqref="F77">
    <cfRule type="containsText" dxfId="532" priority="259" operator="containsText" text="F">
      <formula>NOT(ISERROR(SEARCH(("F"),(F77))))</formula>
    </cfRule>
  </conditionalFormatting>
  <conditionalFormatting sqref="O77:Q77">
    <cfRule type="expression" dxfId="531" priority="260">
      <formula>AND(ISNUMBER(O77),TRUNC(O77)&lt;TODAY())</formula>
    </cfRule>
  </conditionalFormatting>
  <conditionalFormatting sqref="F76">
    <cfRule type="containsText" dxfId="530" priority="261" operator="containsText" text="F">
      <formula>NOT(ISERROR(SEARCH(("F"),(F76))))</formula>
    </cfRule>
  </conditionalFormatting>
  <conditionalFormatting sqref="O76:Q76">
    <cfRule type="expression" dxfId="529" priority="262">
      <formula>AND(ISNUMBER(O76),TRUNC(O76)&lt;TODAY())</formula>
    </cfRule>
  </conditionalFormatting>
  <conditionalFormatting sqref="F75">
    <cfRule type="containsText" dxfId="528" priority="263" operator="containsText" text="F">
      <formula>NOT(ISERROR(SEARCH(("F"),(F75))))</formula>
    </cfRule>
  </conditionalFormatting>
  <conditionalFormatting sqref="O75:Q75">
    <cfRule type="expression" dxfId="527" priority="264">
      <formula>AND(ISNUMBER(O75),TRUNC(O75)&lt;TODAY())</formula>
    </cfRule>
  </conditionalFormatting>
  <conditionalFormatting sqref="F48">
    <cfRule type="containsText" dxfId="526" priority="265" operator="containsText" text="F">
      <formula>NOT(ISERROR(SEARCH(("F"),(F48))))</formula>
    </cfRule>
  </conditionalFormatting>
  <conditionalFormatting sqref="P48">
    <cfRule type="expression" dxfId="525" priority="266">
      <formula>AND(ISNUMBER(P48),TRUNC(P48)&lt;TODAY())</formula>
    </cfRule>
  </conditionalFormatting>
  <conditionalFormatting sqref="O48:Q48">
    <cfRule type="expression" dxfId="524" priority="267">
      <formula>AND(ISNUMBER(O48),TRUNC(O48)&lt;TODAY())</formula>
    </cfRule>
  </conditionalFormatting>
  <conditionalFormatting sqref="F18">
    <cfRule type="containsText" dxfId="523" priority="268" operator="containsText" text="F">
      <formula>NOT(ISERROR(SEARCH(("F"),(F18))))</formula>
    </cfRule>
  </conditionalFormatting>
  <conditionalFormatting sqref="O18:Q18">
    <cfRule type="expression" dxfId="522" priority="269">
      <formula>AND(ISNUMBER(O18),TRUNC(O18)&lt;TODAY())</formula>
    </cfRule>
  </conditionalFormatting>
  <conditionalFormatting sqref="O17:Q17">
    <cfRule type="expression" dxfId="521" priority="270">
      <formula>AND(ISNUMBER(O17),TRUNC(O17)&lt;TODAY())</formula>
    </cfRule>
  </conditionalFormatting>
  <conditionalFormatting sqref="F17">
    <cfRule type="containsText" dxfId="520" priority="271" operator="containsText" text="F">
      <formula>NOT(ISERROR(SEARCH(("F"),(F17))))</formula>
    </cfRule>
  </conditionalFormatting>
  <conditionalFormatting sqref="F11">
    <cfRule type="containsText" dxfId="519" priority="272" operator="containsText" text="F">
      <formula>NOT(ISERROR(SEARCH(("F"),(F11))))</formula>
    </cfRule>
  </conditionalFormatting>
  <conditionalFormatting sqref="Q11">
    <cfRule type="expression" dxfId="518" priority="273">
      <formula>AND(ISNUMBER(Q11),TRUNC(Q11)&lt;TODAY())</formula>
    </cfRule>
  </conditionalFormatting>
  <conditionalFormatting sqref="P11">
    <cfRule type="expression" dxfId="517" priority="274">
      <formula>AND(ISNUMBER(P11),TRUNC(P11)&lt;TODAY())</formula>
    </cfRule>
  </conditionalFormatting>
  <conditionalFormatting sqref="O11">
    <cfRule type="expression" dxfId="516" priority="275">
      <formula>AND(ISNUMBER(O11),TRUNC(O11)&lt;TODAY())</formula>
    </cfRule>
  </conditionalFormatting>
  <conditionalFormatting sqref="O10">
    <cfRule type="expression" dxfId="515" priority="276">
      <formula>AND(ISNUMBER(O10),TRUNC(O10)&lt;TODAY())</formula>
    </cfRule>
  </conditionalFormatting>
  <conditionalFormatting sqref="P10">
    <cfRule type="expression" dxfId="514" priority="277">
      <formula>AND(ISNUMBER(P10),TRUNC(P10)&lt;TODAY())</formula>
    </cfRule>
  </conditionalFormatting>
  <conditionalFormatting sqref="Q10">
    <cfRule type="expression" dxfId="513" priority="278">
      <formula>AND(ISNUMBER(Q10),TRUNC(Q10)&lt;TODAY())</formula>
    </cfRule>
  </conditionalFormatting>
  <conditionalFormatting sqref="F10">
    <cfRule type="containsText" dxfId="512" priority="279" operator="containsText" text="F">
      <formula>NOT(ISERROR(SEARCH(("F"),(F10))))</formula>
    </cfRule>
  </conditionalFormatting>
  <conditionalFormatting sqref="O9:Q9">
    <cfRule type="expression" dxfId="511" priority="280">
      <formula>AND(ISNUMBER(O9),TRUNC(O9)&lt;TODAY())</formula>
    </cfRule>
  </conditionalFormatting>
  <conditionalFormatting sqref="F9">
    <cfRule type="containsText" dxfId="510" priority="281" operator="containsText" text="F">
      <formula>NOT(ISERROR(SEARCH(("F"),(F9))))</formula>
    </cfRule>
  </conditionalFormatting>
  <conditionalFormatting sqref="F8">
    <cfRule type="containsText" dxfId="509" priority="282" operator="containsText" text="F">
      <formula>NOT(ISERROR(SEARCH(("F"),(F8))))</formula>
    </cfRule>
  </conditionalFormatting>
  <conditionalFormatting sqref="Q8">
    <cfRule type="expression" dxfId="508" priority="283">
      <formula>AND(ISNUMBER(Q8),TRUNC(Q8)&lt;TODAY())</formula>
    </cfRule>
  </conditionalFormatting>
  <conditionalFormatting sqref="P8">
    <cfRule type="expression" dxfId="507" priority="284">
      <formula>AND(ISNUMBER(P8),TRUNC(P8)&lt;TODAY())</formula>
    </cfRule>
  </conditionalFormatting>
  <conditionalFormatting sqref="O8">
    <cfRule type="expression" dxfId="506" priority="285">
      <formula>AND(ISNUMBER(O8),TRUNC(O8)&lt;TODAY())</formula>
    </cfRule>
  </conditionalFormatting>
  <conditionalFormatting sqref="O7:Q7">
    <cfRule type="expression" dxfId="505" priority="286">
      <formula>AND(ISNUMBER(O7),TRUNC(O7)&lt;TODAY())</formula>
    </cfRule>
  </conditionalFormatting>
  <conditionalFormatting sqref="F7">
    <cfRule type="containsText" dxfId="504" priority="287" operator="containsText" text="F">
      <formula>NOT(ISERROR(SEARCH(("F"),(F7))))</formula>
    </cfRule>
  </conditionalFormatting>
  <conditionalFormatting sqref="O6:Q6">
    <cfRule type="expression" dxfId="503" priority="288">
      <formula>AND(ISNUMBER(O6),TRUNC(O6)&lt;TODAY())</formula>
    </cfRule>
  </conditionalFormatting>
  <conditionalFormatting sqref="F6">
    <cfRule type="containsText" dxfId="502" priority="289" operator="containsText" text="F">
      <formula>NOT(ISERROR(SEARCH(("F"),(F6))))</formula>
    </cfRule>
  </conditionalFormatting>
  <conditionalFormatting sqref="F5">
    <cfRule type="containsText" dxfId="501" priority="290" operator="containsText" text="F">
      <formula>NOT(ISERROR(SEARCH(("F"),(F5))))</formula>
    </cfRule>
  </conditionalFormatting>
  <conditionalFormatting sqref="O5:Q5">
    <cfRule type="expression" dxfId="500" priority="291">
      <formula>AND(ISNUMBER(O5),TRUNC(O5)&lt;TODAY())</formula>
    </cfRule>
  </conditionalFormatting>
  <conditionalFormatting sqref="F4">
    <cfRule type="containsText" dxfId="499" priority="292" operator="containsText" text="F">
      <formula>NOT(ISERROR(SEARCH(("F"),(F4))))</formula>
    </cfRule>
  </conditionalFormatting>
  <conditionalFormatting sqref="O4:Q4">
    <cfRule type="expression" dxfId="498" priority="293">
      <formula>AND(ISNUMBER(O4),TRUNC(O4)&lt;TODAY())</formula>
    </cfRule>
  </conditionalFormatting>
  <conditionalFormatting sqref="F3">
    <cfRule type="containsText" dxfId="497" priority="294" operator="containsText" text="F">
      <formula>NOT(ISERROR(SEARCH(("F"),(F3))))</formula>
    </cfRule>
  </conditionalFormatting>
  <conditionalFormatting sqref="O3:Q3">
    <cfRule type="expression" dxfId="496" priority="295">
      <formula>AND(ISNUMBER(O3),TRUNC(O3)&lt;TODAY())</formula>
    </cfRule>
  </conditionalFormatting>
  <conditionalFormatting sqref="O2:Q2">
    <cfRule type="expression" dxfId="495" priority="296">
      <formula>AND(ISNUMBER(O2),TRUNC(O2)&lt;TODAY())</formula>
    </cfRule>
  </conditionalFormatting>
  <conditionalFormatting sqref="F2">
    <cfRule type="containsText" dxfId="494" priority="297" operator="containsText" text="F">
      <formula>NOT(ISERROR(SEARCH(("F"),(F2))))</formula>
    </cfRule>
  </conditionalFormatting>
  <conditionalFormatting sqref="F162">
    <cfRule type="containsText" dxfId="493" priority="298" operator="containsText" text="F">
      <formula>NOT(ISERROR(SEARCH(("F"),(F162))))</formula>
    </cfRule>
  </conditionalFormatting>
  <conditionalFormatting sqref="P162">
    <cfRule type="expression" dxfId="492" priority="299">
      <formula>AND(ISNUMBER(P162),TRUNC(P162)&lt;TODAY())</formula>
    </cfRule>
  </conditionalFormatting>
  <conditionalFormatting sqref="O162">
    <cfRule type="expression" dxfId="491" priority="300">
      <formula>AND(ISNUMBER(O162),TRUNC(O162)&lt;TODAY())</formula>
    </cfRule>
  </conditionalFormatting>
  <conditionalFormatting sqref="Q162">
    <cfRule type="expression" dxfId="490" priority="301">
      <formula>AND(ISNUMBER(Q162),TRUNC(Q162)&lt;TODAY())</formula>
    </cfRule>
  </conditionalFormatting>
  <conditionalFormatting sqref="V162">
    <cfRule type="notContainsBlanks" dxfId="489" priority="302">
      <formula>LEN(TRIM(V162))&gt;0</formula>
    </cfRule>
  </conditionalFormatting>
  <conditionalFormatting sqref="P161">
    <cfRule type="expression" dxfId="488" priority="303">
      <formula>AND(ISNUMBER(P161),TRUNC(P161)&lt;TODAY())</formula>
    </cfRule>
  </conditionalFormatting>
  <conditionalFormatting sqref="V161">
    <cfRule type="notContainsBlanks" dxfId="487" priority="304">
      <formula>LEN(TRIM(V161))&gt;0</formula>
    </cfRule>
  </conditionalFormatting>
  <conditionalFormatting sqref="O161 Q234">
    <cfRule type="expression" dxfId="486" priority="305">
      <formula>AND(ISNUMBER(O161),TRUNC(O161)&lt;TODAY())</formula>
    </cfRule>
  </conditionalFormatting>
  <conditionalFormatting sqref="F161">
    <cfRule type="containsText" dxfId="485" priority="306" operator="containsText" text="F">
      <formula>NOT(ISERROR(SEARCH(("F"),(F161))))</formula>
    </cfRule>
  </conditionalFormatting>
  <conditionalFormatting sqref="O160">
    <cfRule type="expression" dxfId="484" priority="307">
      <formula>AND(ISNUMBER(O160),TRUNC(O160)&lt;TODAY())</formula>
    </cfRule>
  </conditionalFormatting>
  <conditionalFormatting sqref="P160">
    <cfRule type="expression" dxfId="483" priority="308">
      <formula>AND(ISNUMBER(P160),TRUNC(P160)&lt;TODAY())</formula>
    </cfRule>
  </conditionalFormatting>
  <conditionalFormatting sqref="V160">
    <cfRule type="notContainsBlanks" dxfId="482" priority="309">
      <formula>LEN(TRIM(V160))&gt;0</formula>
    </cfRule>
  </conditionalFormatting>
  <conditionalFormatting sqref="Q160">
    <cfRule type="expression" dxfId="481" priority="310">
      <formula>AND(ISNUMBER(Q160),TRUNC(Q160)&lt;TODAY())</formula>
    </cfRule>
  </conditionalFormatting>
  <conditionalFormatting sqref="F160">
    <cfRule type="containsText" dxfId="480" priority="311" operator="containsText" text="F">
      <formula>NOT(ISERROR(SEARCH(("F"),(F160))))</formula>
    </cfRule>
  </conditionalFormatting>
  <conditionalFormatting sqref="P159">
    <cfRule type="expression" dxfId="479" priority="312">
      <formula>AND(ISNUMBER(P159),TRUNC(P159)&lt;TODAY())</formula>
    </cfRule>
  </conditionalFormatting>
  <conditionalFormatting sqref="V159">
    <cfRule type="notContainsBlanks" dxfId="478" priority="313">
      <formula>LEN(TRIM(V159))&gt;0</formula>
    </cfRule>
  </conditionalFormatting>
  <conditionalFormatting sqref="Q159">
    <cfRule type="expression" dxfId="477" priority="314">
      <formula>AND(ISNUMBER(Q159),TRUNC(Q159)&lt;TODAY())</formula>
    </cfRule>
  </conditionalFormatting>
  <conditionalFormatting sqref="O159">
    <cfRule type="expression" dxfId="476" priority="315">
      <formula>AND(ISNUMBER(O159),TRUNC(O159)&lt;TODAY())</formula>
    </cfRule>
  </conditionalFormatting>
  <conditionalFormatting sqref="F159">
    <cfRule type="containsText" dxfId="475" priority="316" operator="containsText" text="F">
      <formula>NOT(ISERROR(SEARCH(("F"),(F159))))</formula>
    </cfRule>
  </conditionalFormatting>
  <conditionalFormatting sqref="Q159">
    <cfRule type="expression" dxfId="474" priority="317">
      <formula>AND(ISNUMBER(Q159),TRUNC(Q159)&lt;TODAY())</formula>
    </cfRule>
  </conditionalFormatting>
  <conditionalFormatting sqref="F222">
    <cfRule type="containsText" dxfId="473" priority="318" operator="containsText" text="F">
      <formula>NOT(ISERROR(SEARCH(("F"),(F222))))</formula>
    </cfRule>
  </conditionalFormatting>
  <conditionalFormatting sqref="O222:Q222">
    <cfRule type="expression" dxfId="472" priority="319">
      <formula>AND(ISNUMBER(O222),TRUNC(O222)&lt;TODAY())</formula>
    </cfRule>
  </conditionalFormatting>
  <conditionalFormatting sqref="O221:Q221">
    <cfRule type="expression" dxfId="471" priority="320">
      <formula>AND(ISNUMBER(O221),TRUNC(O221)&lt;TODAY())</formula>
    </cfRule>
  </conditionalFormatting>
  <conditionalFormatting sqref="F221">
    <cfRule type="containsText" dxfId="470" priority="321" operator="containsText" text="F">
      <formula>NOT(ISERROR(SEARCH(("F"),(F221))))</formula>
    </cfRule>
  </conditionalFormatting>
  <conditionalFormatting sqref="O220:Q220">
    <cfRule type="expression" dxfId="469" priority="322">
      <formula>AND(ISNUMBER(O220),TRUNC(O220)&lt;TODAY())</formula>
    </cfRule>
  </conditionalFormatting>
  <conditionalFormatting sqref="F220">
    <cfRule type="containsText" dxfId="468" priority="323" operator="containsText" text="F">
      <formula>NOT(ISERROR(SEARCH(("F"),(F220))))</formula>
    </cfRule>
  </conditionalFormatting>
  <conditionalFormatting sqref="O219:Q219">
    <cfRule type="expression" dxfId="467" priority="324">
      <formula>AND(ISNUMBER(O219),TRUNC(O219)&lt;TODAY())</formula>
    </cfRule>
  </conditionalFormatting>
  <conditionalFormatting sqref="F219">
    <cfRule type="containsText" dxfId="466" priority="325" operator="containsText" text="F">
      <formula>NOT(ISERROR(SEARCH(("F"),(F219))))</formula>
    </cfRule>
  </conditionalFormatting>
  <conditionalFormatting sqref="O218:Q218">
    <cfRule type="expression" dxfId="465" priority="326">
      <formula>AND(ISNUMBER(O218),TRUNC(O218)&lt;TODAY())</formula>
    </cfRule>
  </conditionalFormatting>
  <conditionalFormatting sqref="F218">
    <cfRule type="containsText" dxfId="464" priority="327" operator="containsText" text="F">
      <formula>NOT(ISERROR(SEARCH(("F"),(F218))))</formula>
    </cfRule>
  </conditionalFormatting>
  <conditionalFormatting sqref="O217:Q217">
    <cfRule type="expression" dxfId="463" priority="328">
      <formula>AND(ISNUMBER(O217),TRUNC(O217)&lt;TODAY())</formula>
    </cfRule>
  </conditionalFormatting>
  <conditionalFormatting sqref="F217">
    <cfRule type="containsText" dxfId="462" priority="329" operator="containsText" text="F">
      <formula>NOT(ISERROR(SEARCH(("F"),(F217))))</formula>
    </cfRule>
  </conditionalFormatting>
  <conditionalFormatting sqref="O216:Q216">
    <cfRule type="expression" dxfId="461" priority="330">
      <formula>AND(ISNUMBER(O216),TRUNC(O216)&lt;TODAY())</formula>
    </cfRule>
  </conditionalFormatting>
  <conditionalFormatting sqref="F216">
    <cfRule type="containsText" dxfId="460" priority="331" operator="containsText" text="F">
      <formula>NOT(ISERROR(SEARCH(("F"),(F216))))</formula>
    </cfRule>
  </conditionalFormatting>
  <conditionalFormatting sqref="O215:Q215">
    <cfRule type="expression" dxfId="459" priority="332">
      <formula>AND(ISNUMBER(O215),TRUNC(O215)&lt;TODAY())</formula>
    </cfRule>
  </conditionalFormatting>
  <conditionalFormatting sqref="F215">
    <cfRule type="containsText" dxfId="458" priority="333" operator="containsText" text="F">
      <formula>NOT(ISERROR(SEARCH(("F"),(F215))))</formula>
    </cfRule>
  </conditionalFormatting>
  <conditionalFormatting sqref="O214:Q214">
    <cfRule type="expression" dxfId="457" priority="334">
      <formula>AND(ISNUMBER(O214),TRUNC(O214)&lt;TODAY())</formula>
    </cfRule>
  </conditionalFormatting>
  <conditionalFormatting sqref="F214">
    <cfRule type="containsText" dxfId="456" priority="335" operator="containsText" text="F">
      <formula>NOT(ISERROR(SEARCH(("F"),(F214))))</formula>
    </cfRule>
  </conditionalFormatting>
  <conditionalFormatting sqref="O294:Q294">
    <cfRule type="expression" dxfId="455" priority="336">
      <formula>AND(ISNUMBER(O294),TRUNC(O294)&lt;TODAY())</formula>
    </cfRule>
  </conditionalFormatting>
  <conditionalFormatting sqref="F294">
    <cfRule type="containsText" dxfId="454" priority="337" operator="containsText" text="F">
      <formula>NOT(ISERROR(SEARCH(("F"),(F294))))</formula>
    </cfRule>
  </conditionalFormatting>
  <conditionalFormatting sqref="O293:Q293">
    <cfRule type="expression" dxfId="453" priority="338">
      <formula>AND(ISNUMBER(O293),TRUNC(O293)&lt;TODAY())</formula>
    </cfRule>
  </conditionalFormatting>
  <conditionalFormatting sqref="F293">
    <cfRule type="containsText" dxfId="452" priority="339" operator="containsText" text="F">
      <formula>NOT(ISERROR(SEARCH(("F"),(F293))))</formula>
    </cfRule>
  </conditionalFormatting>
  <conditionalFormatting sqref="O292:Q292">
    <cfRule type="expression" dxfId="451" priority="340">
      <formula>AND(ISNUMBER(O292),TRUNC(O292)&lt;TODAY())</formula>
    </cfRule>
  </conditionalFormatting>
  <conditionalFormatting sqref="F292">
    <cfRule type="containsText" dxfId="450" priority="341" operator="containsText" text="F">
      <formula>NOT(ISERROR(SEARCH(("F"),(F292))))</formula>
    </cfRule>
  </conditionalFormatting>
  <conditionalFormatting sqref="O291:Q291">
    <cfRule type="expression" dxfId="449" priority="342">
      <formula>AND(ISNUMBER(O291),TRUNC(O291)&lt;TODAY())</formula>
    </cfRule>
  </conditionalFormatting>
  <conditionalFormatting sqref="F291">
    <cfRule type="containsText" dxfId="448" priority="343" operator="containsText" text="F">
      <formula>NOT(ISERROR(SEARCH(("F"),(F291))))</formula>
    </cfRule>
  </conditionalFormatting>
  <conditionalFormatting sqref="Q188">
    <cfRule type="expression" dxfId="447" priority="344">
      <formula>AND(ISNUMBER(Q188),TRUNC(Q188)&lt;TODAY())</formula>
    </cfRule>
  </conditionalFormatting>
  <conditionalFormatting sqref="P188">
    <cfRule type="expression" dxfId="446" priority="345">
      <formula>AND(ISNUMBER(P188),TRUNC(P188)&lt;TODAY())</formula>
    </cfRule>
  </conditionalFormatting>
  <conditionalFormatting sqref="O188">
    <cfRule type="expression" dxfId="445" priority="346">
      <formula>AND(ISNUMBER(O188),TRUNC(O188)&lt;TODAY())</formula>
    </cfRule>
  </conditionalFormatting>
  <conditionalFormatting sqref="F188">
    <cfRule type="containsText" dxfId="444" priority="347" operator="containsText" text="F">
      <formula>NOT(ISERROR(SEARCH(("F"),(F188))))</formula>
    </cfRule>
  </conditionalFormatting>
  <conditionalFormatting sqref="V188">
    <cfRule type="notContainsBlanks" dxfId="443" priority="348">
      <formula>LEN(TRIM(V188))&gt;0</formula>
    </cfRule>
  </conditionalFormatting>
  <conditionalFormatting sqref="P187">
    <cfRule type="expression" dxfId="442" priority="349">
      <formula>AND(ISNUMBER(P187),TRUNC(P187)&lt;TODAY())</formula>
    </cfRule>
  </conditionalFormatting>
  <conditionalFormatting sqref="Q187">
    <cfRule type="expression" dxfId="441" priority="350">
      <formula>AND(ISNUMBER(Q187),TRUNC(Q187)&lt;TODAY())</formula>
    </cfRule>
  </conditionalFormatting>
  <conditionalFormatting sqref="O187">
    <cfRule type="expression" dxfId="440" priority="351">
      <formula>AND(ISNUMBER(O187),TRUNC(O187)&lt;TODAY())</formula>
    </cfRule>
  </conditionalFormatting>
  <conditionalFormatting sqref="P187">
    <cfRule type="expression" dxfId="439" priority="352">
      <formula>AND(ISNUMBER(P187),TRUNC(P187)&lt;TODAY())</formula>
    </cfRule>
  </conditionalFormatting>
  <conditionalFormatting sqref="F187">
    <cfRule type="containsText" dxfId="438" priority="353" operator="containsText" text="F">
      <formula>NOT(ISERROR(SEARCH(("F"),(F187))))</formula>
    </cfRule>
  </conditionalFormatting>
  <conditionalFormatting sqref="V187">
    <cfRule type="notContainsBlanks" dxfId="437" priority="354">
      <formula>LEN(TRIM(V187))&gt;0</formula>
    </cfRule>
  </conditionalFormatting>
  <conditionalFormatting sqref="Q186">
    <cfRule type="expression" dxfId="436" priority="355">
      <formula>AND(ISNUMBER(Q186),TRUNC(Q186)&lt;TODAY())</formula>
    </cfRule>
  </conditionalFormatting>
  <conditionalFormatting sqref="P186">
    <cfRule type="expression" dxfId="435" priority="356">
      <formula>AND(ISNUMBER(P186),TRUNC(P186)&lt;TODAY())</formula>
    </cfRule>
  </conditionalFormatting>
  <conditionalFormatting sqref="O186">
    <cfRule type="expression" dxfId="434" priority="357">
      <formula>AND(ISNUMBER(O186),TRUNC(O186)&lt;TODAY())</formula>
    </cfRule>
  </conditionalFormatting>
  <conditionalFormatting sqref="F186">
    <cfRule type="containsText" dxfId="433" priority="358" operator="containsText" text="F">
      <formula>NOT(ISERROR(SEARCH(("F"),(F186))))</formula>
    </cfRule>
  </conditionalFormatting>
  <conditionalFormatting sqref="V186">
    <cfRule type="notContainsBlanks" dxfId="432" priority="359">
      <formula>LEN(TRIM(V186))&gt;0</formula>
    </cfRule>
  </conditionalFormatting>
  <conditionalFormatting sqref="Q185">
    <cfRule type="expression" dxfId="431" priority="360">
      <formula>AND(ISNUMBER(Q185),TRUNC(Q185)&lt;TODAY())</formula>
    </cfRule>
  </conditionalFormatting>
  <conditionalFormatting sqref="P185">
    <cfRule type="expression" dxfId="430" priority="361">
      <formula>AND(ISNUMBER(P185),TRUNC(P185)&lt;TODAY())</formula>
    </cfRule>
  </conditionalFormatting>
  <conditionalFormatting sqref="O185">
    <cfRule type="expression" dxfId="429" priority="362">
      <formula>AND(ISNUMBER(O185),TRUNC(O185)&lt;TODAY())</formula>
    </cfRule>
  </conditionalFormatting>
  <conditionalFormatting sqref="F185">
    <cfRule type="containsText" dxfId="428" priority="363" operator="containsText" text="F">
      <formula>NOT(ISERROR(SEARCH(("F"),(F185))))</formula>
    </cfRule>
  </conditionalFormatting>
  <conditionalFormatting sqref="V185">
    <cfRule type="notContainsBlanks" dxfId="427" priority="364">
      <formula>LEN(TRIM(V185))&gt;0</formula>
    </cfRule>
  </conditionalFormatting>
  <conditionalFormatting sqref="P184">
    <cfRule type="expression" dxfId="426" priority="365">
      <formula>AND(ISNUMBER(P184),TRUNC(P184)&lt;TODAY())</formula>
    </cfRule>
  </conditionalFormatting>
  <conditionalFormatting sqref="O184">
    <cfRule type="expression" dxfId="425" priority="366">
      <formula>AND(ISNUMBER(O184),TRUNC(O184)&lt;TODAY())</formula>
    </cfRule>
  </conditionalFormatting>
  <conditionalFormatting sqref="F184">
    <cfRule type="containsText" dxfId="424" priority="367" operator="containsText" text="F">
      <formula>NOT(ISERROR(SEARCH(("F"),(F184))))</formula>
    </cfRule>
  </conditionalFormatting>
  <conditionalFormatting sqref="V184">
    <cfRule type="notContainsBlanks" dxfId="423" priority="368">
      <formula>LEN(TRIM(V184))&gt;0</formula>
    </cfRule>
  </conditionalFormatting>
  <conditionalFormatting sqref="P106">
    <cfRule type="expression" dxfId="422" priority="369">
      <formula>AND(ISNUMBER(P106),TRUNC(P106)&lt;TODAY())</formula>
    </cfRule>
  </conditionalFormatting>
  <conditionalFormatting sqref="Q106">
    <cfRule type="expression" dxfId="421" priority="370">
      <formula>AND(ISNUMBER(Q106),TRUNC(Q106)&lt;TODAY())</formula>
    </cfRule>
  </conditionalFormatting>
  <conditionalFormatting sqref="O106">
    <cfRule type="expression" dxfId="420" priority="371">
      <formula>AND(ISNUMBER(O106),TRUNC(O106)&lt;TODAY())</formula>
    </cfRule>
  </conditionalFormatting>
  <conditionalFormatting sqref="F106">
    <cfRule type="containsText" dxfId="419" priority="372" operator="containsText" text="F">
      <formula>NOT(ISERROR(SEARCH(("F"),(F106))))</formula>
    </cfRule>
  </conditionalFormatting>
  <conditionalFormatting sqref="P105">
    <cfRule type="expression" dxfId="418" priority="373">
      <formula>AND(ISNUMBER(P105),TRUNC(P105)&lt;TODAY())</formula>
    </cfRule>
  </conditionalFormatting>
  <conditionalFormatting sqref="Q105">
    <cfRule type="expression" dxfId="417" priority="374">
      <formula>AND(ISNUMBER(Q105),TRUNC(Q105)&lt;TODAY())</formula>
    </cfRule>
  </conditionalFormatting>
  <conditionalFormatting sqref="F105">
    <cfRule type="containsText" dxfId="416" priority="375" operator="containsText" text="F">
      <formula>NOT(ISERROR(SEARCH(("F"),(F105))))</formula>
    </cfRule>
  </conditionalFormatting>
  <conditionalFormatting sqref="O105">
    <cfRule type="expression" dxfId="415" priority="376">
      <formula>AND(ISNUMBER(O105),TRUNC(O105)&lt;TODAY())</formula>
    </cfRule>
  </conditionalFormatting>
  <conditionalFormatting sqref="P290">
    <cfRule type="expression" dxfId="414" priority="377">
      <formula>AND(ISNUMBER(P290),TRUNC(P290)&lt;TODAY())</formula>
    </cfRule>
  </conditionalFormatting>
  <conditionalFormatting sqref="F290">
    <cfRule type="containsText" dxfId="413" priority="378" operator="containsText" text="F">
      <formula>NOT(ISERROR(SEARCH(("F"),(F290))))</formula>
    </cfRule>
  </conditionalFormatting>
  <conditionalFormatting sqref="Q290">
    <cfRule type="expression" dxfId="412" priority="379">
      <formula>AND(ISNUMBER(Q290),TRUNC(Q290)&lt;TODAY())</formula>
    </cfRule>
  </conditionalFormatting>
  <conditionalFormatting sqref="O290">
    <cfRule type="expression" dxfId="411" priority="380">
      <formula>AND(ISNUMBER(O290),TRUNC(O290)&lt;TODAY())</formula>
    </cfRule>
  </conditionalFormatting>
  <conditionalFormatting sqref="F289">
    <cfRule type="containsText" dxfId="410" priority="381" operator="containsText" text="F">
      <formula>NOT(ISERROR(SEARCH(("F"),(F289))))</formula>
    </cfRule>
  </conditionalFormatting>
  <conditionalFormatting sqref="O289">
    <cfRule type="expression" dxfId="409" priority="382">
      <formula>AND(ISNUMBER(O289),TRUNC(O289)&lt;TODAY())</formula>
    </cfRule>
  </conditionalFormatting>
  <conditionalFormatting sqref="Q289">
    <cfRule type="expression" dxfId="408" priority="383">
      <formula>AND(ISNUMBER(Q289),TRUNC(Q289)&lt;TODAY())</formula>
    </cfRule>
  </conditionalFormatting>
  <conditionalFormatting sqref="P289">
    <cfRule type="expression" dxfId="407" priority="384">
      <formula>AND(ISNUMBER(P289),TRUNC(P289)&lt;TODAY())</formula>
    </cfRule>
  </conditionalFormatting>
  <conditionalFormatting sqref="Q183">
    <cfRule type="expression" dxfId="406" priority="385">
      <formula>AND(ISNUMBER(Q183),TRUNC(Q183)&lt;TODAY())</formula>
    </cfRule>
  </conditionalFormatting>
  <conditionalFormatting sqref="O183">
    <cfRule type="expression" dxfId="405" priority="386">
      <formula>AND(ISNUMBER(O183),TRUNC(O183)&lt;TODAY())</formula>
    </cfRule>
  </conditionalFormatting>
  <conditionalFormatting sqref="P183">
    <cfRule type="expression" dxfId="404" priority="387">
      <formula>AND(ISNUMBER(P183),TRUNC(P183)&lt;TODAY())</formula>
    </cfRule>
  </conditionalFormatting>
  <conditionalFormatting sqref="F183">
    <cfRule type="containsText" dxfId="403" priority="388" operator="containsText" text="F">
      <formula>NOT(ISERROR(SEARCH(("F"),(F183))))</formula>
    </cfRule>
  </conditionalFormatting>
  <conditionalFormatting sqref="F287:F288">
    <cfRule type="containsText" dxfId="402" priority="389" operator="containsText" text="F">
      <formula>NOT(ISERROR(SEARCH(("F"),(F287))))</formula>
    </cfRule>
  </conditionalFormatting>
  <conditionalFormatting sqref="F286">
    <cfRule type="containsText" dxfId="401" priority="390" operator="containsText" text="F">
      <formula>NOT(ISERROR(SEARCH(("F"),(F286))))</formula>
    </cfRule>
  </conditionalFormatting>
  <conditionalFormatting sqref="O286">
    <cfRule type="expression" dxfId="400" priority="391">
      <formula>AND(ISNUMBER(O286),TRUNC(O286)&lt;TODAY())</formula>
    </cfRule>
  </conditionalFormatting>
  <conditionalFormatting sqref="P286">
    <cfRule type="expression" dxfId="399" priority="392">
      <formula>AND(ISNUMBER(P286),TRUNC(P286)&lt;TODAY())</formula>
    </cfRule>
  </conditionalFormatting>
  <conditionalFormatting sqref="Q286">
    <cfRule type="expression" dxfId="398" priority="393">
      <formula>AND(ISNUMBER(Q286),TRUNC(Q286)&lt;TODAY())</formula>
    </cfRule>
  </conditionalFormatting>
  <conditionalFormatting sqref="Q286">
    <cfRule type="expression" dxfId="397" priority="394">
      <formula>AND(ISNUMBER(Q286),TRUNC(Q286)&lt;TODAY())</formula>
    </cfRule>
  </conditionalFormatting>
  <conditionalFormatting sqref="F285">
    <cfRule type="containsText" dxfId="396" priority="395" operator="containsText" text="F">
      <formula>NOT(ISERROR(SEARCH(("F"),(F285))))</formula>
    </cfRule>
  </conditionalFormatting>
  <conditionalFormatting sqref="O285">
    <cfRule type="expression" dxfId="395" priority="396">
      <formula>AND(ISNUMBER(O285),TRUNC(O285)&lt;TODAY())</formula>
    </cfRule>
  </conditionalFormatting>
  <conditionalFormatting sqref="Q285">
    <cfRule type="expression" dxfId="394" priority="397">
      <formula>AND(ISNUMBER(Q285),TRUNC(Q285)&lt;TODAY())</formula>
    </cfRule>
  </conditionalFormatting>
  <conditionalFormatting sqref="P285">
    <cfRule type="expression" dxfId="393" priority="398">
      <formula>AND(ISNUMBER(P285),TRUNC(P285)&lt;TODAY())</formula>
    </cfRule>
  </conditionalFormatting>
  <conditionalFormatting sqref="F284">
    <cfRule type="containsText" dxfId="392" priority="399" operator="containsText" text="F">
      <formula>NOT(ISERROR(SEARCH(("F"),(F284))))</formula>
    </cfRule>
  </conditionalFormatting>
  <conditionalFormatting sqref="O284">
    <cfRule type="expression" dxfId="391" priority="400">
      <formula>AND(ISNUMBER(O284),TRUNC(O284)&lt;TODAY())</formula>
    </cfRule>
  </conditionalFormatting>
  <conditionalFormatting sqref="P284">
    <cfRule type="expression" dxfId="390" priority="401">
      <formula>AND(ISNUMBER(P284),TRUNC(P284)&lt;TODAY())</formula>
    </cfRule>
  </conditionalFormatting>
  <conditionalFormatting sqref="Q284">
    <cfRule type="expression" dxfId="389" priority="402">
      <formula>AND(ISNUMBER(Q284),TRUNC(Q284)&lt;TODAY())</formula>
    </cfRule>
  </conditionalFormatting>
  <conditionalFormatting sqref="F283">
    <cfRule type="containsText" dxfId="388" priority="403" operator="containsText" text="F">
      <formula>NOT(ISERROR(SEARCH(("F"),(F283))))</formula>
    </cfRule>
  </conditionalFormatting>
  <conditionalFormatting sqref="O283">
    <cfRule type="expression" dxfId="387" priority="404">
      <formula>AND(ISNUMBER(O283),TRUNC(O283)&lt;TODAY())</formula>
    </cfRule>
  </conditionalFormatting>
  <conditionalFormatting sqref="P283">
    <cfRule type="expression" dxfId="386" priority="405">
      <formula>AND(ISNUMBER(P283),TRUNC(P283)&lt;TODAY())</formula>
    </cfRule>
  </conditionalFormatting>
  <conditionalFormatting sqref="P283:Q283">
    <cfRule type="expression" dxfId="385" priority="406">
      <formula>AND(ISNUMBER(P283),TRUNC(P283)&lt;TODAY())</formula>
    </cfRule>
  </conditionalFormatting>
  <conditionalFormatting sqref="O155:Q155">
    <cfRule type="expression" dxfId="384" priority="407">
      <formula>AND(ISNUMBER(O155),TRUNC(O155)&lt;TODAY())</formula>
    </cfRule>
  </conditionalFormatting>
  <conditionalFormatting sqref="F155">
    <cfRule type="containsText" dxfId="383" priority="408" operator="containsText" text="F">
      <formula>NOT(ISERROR(SEARCH(("F"),(F155))))</formula>
    </cfRule>
  </conditionalFormatting>
  <conditionalFormatting sqref="O154:Q154">
    <cfRule type="expression" dxfId="382" priority="409">
      <formula>AND(ISNUMBER(O154),TRUNC(O154)&lt;TODAY())</formula>
    </cfRule>
  </conditionalFormatting>
  <conditionalFormatting sqref="F154">
    <cfRule type="containsText" dxfId="381" priority="410" operator="containsText" text="F">
      <formula>NOT(ISERROR(SEARCH(("F"),(F154))))</formula>
    </cfRule>
  </conditionalFormatting>
  <conditionalFormatting sqref="O153:Q153">
    <cfRule type="expression" dxfId="380" priority="411">
      <formula>AND(ISNUMBER(O153),TRUNC(O153)&lt;TODAY())</formula>
    </cfRule>
  </conditionalFormatting>
  <conditionalFormatting sqref="F153">
    <cfRule type="containsText" dxfId="379" priority="412" operator="containsText" text="F">
      <formula>NOT(ISERROR(SEARCH(("F"),(F153))))</formula>
    </cfRule>
  </conditionalFormatting>
  <conditionalFormatting sqref="O152:Q152">
    <cfRule type="expression" dxfId="378" priority="413">
      <formula>AND(ISNUMBER(O152),TRUNC(O152)&lt;TODAY())</formula>
    </cfRule>
  </conditionalFormatting>
  <conditionalFormatting sqref="F152">
    <cfRule type="containsText" dxfId="377" priority="414" operator="containsText" text="F">
      <formula>NOT(ISERROR(SEARCH(("F"),(F152))))</formula>
    </cfRule>
  </conditionalFormatting>
  <conditionalFormatting sqref="O151:Q151">
    <cfRule type="expression" dxfId="376" priority="415">
      <formula>AND(ISNUMBER(O151),TRUNC(O151)&lt;TODAY())</formula>
    </cfRule>
  </conditionalFormatting>
  <conditionalFormatting sqref="F151">
    <cfRule type="containsText" dxfId="375" priority="416" operator="containsText" text="F">
      <formula>NOT(ISERROR(SEARCH(("F"),(F151))))</formula>
    </cfRule>
  </conditionalFormatting>
  <conditionalFormatting sqref="O150:Q150">
    <cfRule type="expression" dxfId="374" priority="417">
      <formula>AND(ISNUMBER(O150),TRUNC(O150)&lt;TODAY())</formula>
    </cfRule>
  </conditionalFormatting>
  <conditionalFormatting sqref="F150">
    <cfRule type="containsText" dxfId="373" priority="418" operator="containsText" text="F">
      <formula>NOT(ISERROR(SEARCH(("F"),(F150))))</formula>
    </cfRule>
  </conditionalFormatting>
  <conditionalFormatting sqref="F149">
    <cfRule type="containsText" dxfId="372" priority="419" operator="containsText" text="F">
      <formula>NOT(ISERROR(SEARCH(("F"),(F149))))</formula>
    </cfRule>
  </conditionalFormatting>
  <conditionalFormatting sqref="O149:Q149">
    <cfRule type="expression" dxfId="371" priority="420">
      <formula>AND(ISNUMBER(O149),TRUNC(O149)&lt;TODAY())</formula>
    </cfRule>
  </conditionalFormatting>
  <conditionalFormatting sqref="F148">
    <cfRule type="containsText" dxfId="370" priority="421" operator="containsText" text="F">
      <formula>NOT(ISERROR(SEARCH(("F"),(F148))))</formula>
    </cfRule>
  </conditionalFormatting>
  <conditionalFormatting sqref="O148:Q148">
    <cfRule type="expression" dxfId="369" priority="422">
      <formula>AND(ISNUMBER(O148),TRUNC(O148)&lt;TODAY())</formula>
    </cfRule>
  </conditionalFormatting>
  <conditionalFormatting sqref="Q148 P225 P241 P269">
    <cfRule type="expression" dxfId="368" priority="423">
      <formula>AND(ISNUMBER(Q148),TRUNC(Q148)&lt;TODAY())</formula>
    </cfRule>
  </conditionalFormatting>
  <conditionalFormatting sqref="F147">
    <cfRule type="containsText" dxfId="367" priority="424" operator="containsText" text="F">
      <formula>NOT(ISERROR(SEARCH(("F"),(F147))))</formula>
    </cfRule>
  </conditionalFormatting>
  <conditionalFormatting sqref="O147:Q147">
    <cfRule type="expression" dxfId="366" priority="425">
      <formula>AND(ISNUMBER(O147),TRUNC(O147)&lt;TODAY())</formula>
    </cfRule>
  </conditionalFormatting>
  <conditionalFormatting sqref="P282">
    <cfRule type="expression" dxfId="365" priority="426">
      <formula>AND(ISNUMBER(P282),TRUNC(P282)&lt;TODAY())</formula>
    </cfRule>
  </conditionalFormatting>
  <conditionalFormatting sqref="F282">
    <cfRule type="containsText" dxfId="364" priority="427" operator="containsText" text="F">
      <formula>NOT(ISERROR(SEARCH(("F"),(F282))))</formula>
    </cfRule>
  </conditionalFormatting>
  <conditionalFormatting sqref="O282">
    <cfRule type="expression" dxfId="363" priority="428">
      <formula>AND(ISNUMBER(O282),TRUNC(O282)&lt;TODAY())</formula>
    </cfRule>
  </conditionalFormatting>
  <conditionalFormatting sqref="Q282">
    <cfRule type="expression" dxfId="362" priority="429">
      <formula>AND(ISNUMBER(Q282),TRUNC(Q282)&lt;TODAY())</formula>
    </cfRule>
  </conditionalFormatting>
  <conditionalFormatting sqref="F281">
    <cfRule type="containsText" dxfId="361" priority="430" operator="containsText" text="F">
      <formula>NOT(ISERROR(SEARCH(("F"),(F281))))</formula>
    </cfRule>
  </conditionalFormatting>
  <conditionalFormatting sqref="P281">
    <cfRule type="expression" dxfId="360" priority="431">
      <formula>AND(ISNUMBER(P281),TRUNC(P281)&lt;TODAY())</formula>
    </cfRule>
  </conditionalFormatting>
  <conditionalFormatting sqref="P281">
    <cfRule type="expression" dxfId="359" priority="432">
      <formula>AND(ISNUMBER(P281),TRUNC(P281)&lt;TODAY())</formula>
    </cfRule>
  </conditionalFormatting>
  <conditionalFormatting sqref="O281">
    <cfRule type="expression" dxfId="358" priority="433">
      <formula>AND(ISNUMBER(O281),TRUNC(O281)&lt;TODAY())</formula>
    </cfRule>
  </conditionalFormatting>
  <conditionalFormatting sqref="Q281">
    <cfRule type="expression" dxfId="357" priority="434">
      <formula>AND(ISNUMBER(Q281),TRUNC(Q281)&lt;TODAY())</formula>
    </cfRule>
  </conditionalFormatting>
  <conditionalFormatting sqref="Q280">
    <cfRule type="expression" dxfId="356" priority="435">
      <formula>AND(ISNUMBER(Q280),TRUNC(Q280)&lt;TODAY())</formula>
    </cfRule>
  </conditionalFormatting>
  <conditionalFormatting sqref="P280">
    <cfRule type="expression" dxfId="355" priority="436">
      <formula>AND(ISNUMBER(P280),TRUNC(P280)&lt;TODAY())</formula>
    </cfRule>
  </conditionalFormatting>
  <conditionalFormatting sqref="P280">
    <cfRule type="expression" dxfId="354" priority="437">
      <formula>AND(ISNUMBER(P280),TRUNC(P280)&lt;TODAY())</formula>
    </cfRule>
  </conditionalFormatting>
  <conditionalFormatting sqref="P280">
    <cfRule type="expression" dxfId="353" priority="438">
      <formula>P280&lt;44165</formula>
    </cfRule>
  </conditionalFormatting>
  <conditionalFormatting sqref="O280">
    <cfRule type="expression" dxfId="352" priority="439">
      <formula>AND(ISNUMBER(O280),TRUNC(O280)&lt;TODAY())</formula>
    </cfRule>
  </conditionalFormatting>
  <conditionalFormatting sqref="F280">
    <cfRule type="containsText" dxfId="351" priority="440" operator="containsText" text="F">
      <formula>NOT(ISERROR(SEARCH(("F"),(F280))))</formula>
    </cfRule>
  </conditionalFormatting>
  <conditionalFormatting sqref="Q279">
    <cfRule type="expression" dxfId="350" priority="441">
      <formula>AND(ISNUMBER(Q279),TRUNC(Q279)&lt;TODAY())</formula>
    </cfRule>
  </conditionalFormatting>
  <conditionalFormatting sqref="Q279">
    <cfRule type="expression" dxfId="349" priority="442">
      <formula>AND(ISNUMBER(Q279),TRUNC(Q279)&lt;TODAY())</formula>
    </cfRule>
  </conditionalFormatting>
  <conditionalFormatting sqref="V279">
    <cfRule type="notContainsBlanks" dxfId="348" priority="443">
      <formula>LEN(TRIM(V279))&gt;0</formula>
    </cfRule>
  </conditionalFormatting>
  <conditionalFormatting sqref="O279">
    <cfRule type="expression" dxfId="347" priority="444">
      <formula>AND(ISNUMBER(O279),TRUNC(O279)&lt;TODAY())</formula>
    </cfRule>
  </conditionalFormatting>
  <conditionalFormatting sqref="F279">
    <cfRule type="containsText" dxfId="346" priority="445" operator="containsText" text="F">
      <formula>NOT(ISERROR(SEARCH(("F"),(F279))))</formula>
    </cfRule>
  </conditionalFormatting>
  <conditionalFormatting sqref="P279">
    <cfRule type="expression" dxfId="345" priority="446">
      <formula>AND(ISNUMBER(P279),TRUNC(P279)&lt;TODAY())</formula>
    </cfRule>
  </conditionalFormatting>
  <conditionalFormatting sqref="Q278">
    <cfRule type="expression" dxfId="344" priority="447">
      <formula>AND(ISNUMBER(Q278),TRUNC(Q278)&lt;TODAY())</formula>
    </cfRule>
  </conditionalFormatting>
  <conditionalFormatting sqref="O278">
    <cfRule type="expression" dxfId="343" priority="448">
      <formula>AND(ISNUMBER(O278),TRUNC(O278)&lt;TODAY())</formula>
    </cfRule>
  </conditionalFormatting>
  <conditionalFormatting sqref="P278">
    <cfRule type="expression" dxfId="342" priority="449">
      <formula>AND(ISNUMBER(P278),TRUNC(P278)&lt;TODAY())</formula>
    </cfRule>
  </conditionalFormatting>
  <conditionalFormatting sqref="F278">
    <cfRule type="containsText" dxfId="341" priority="450" operator="containsText" text="F">
      <formula>NOT(ISERROR(SEARCH(("F"),(F278))))</formula>
    </cfRule>
  </conditionalFormatting>
  <conditionalFormatting sqref="F277">
    <cfRule type="containsText" dxfId="340" priority="451" operator="containsText" text="F">
      <formula>NOT(ISERROR(SEARCH(("F"),(F277))))</formula>
    </cfRule>
  </conditionalFormatting>
  <conditionalFormatting sqref="O277">
    <cfRule type="expression" dxfId="339" priority="452">
      <formula>AND(ISNUMBER(O277),TRUNC(O277)&lt;TODAY())</formula>
    </cfRule>
  </conditionalFormatting>
  <conditionalFormatting sqref="P277">
    <cfRule type="expression" dxfId="338" priority="453">
      <formula>P277&lt;44165</formula>
    </cfRule>
  </conditionalFormatting>
  <conditionalFormatting sqref="P277">
    <cfRule type="expression" dxfId="337" priority="454">
      <formula>AND(ISNUMBER(P277),TRUNC(P277)&lt;TODAY())</formula>
    </cfRule>
  </conditionalFormatting>
  <conditionalFormatting sqref="P277">
    <cfRule type="expression" dxfId="336" priority="455">
      <formula>AND(ISNUMBER(P277),TRUNC(P277)&lt;TODAY())</formula>
    </cfRule>
  </conditionalFormatting>
  <conditionalFormatting sqref="Q277">
    <cfRule type="expression" dxfId="335" priority="456">
      <formula>AND(ISNUMBER(Q277),TRUNC(Q277)&lt;TODAY())</formula>
    </cfRule>
  </conditionalFormatting>
  <conditionalFormatting sqref="F105">
    <cfRule type="containsText" dxfId="334" priority="457" operator="containsText" text="F">
      <formula>NOT(ISERROR(SEARCH(("F"),(F105))))</formula>
    </cfRule>
  </conditionalFormatting>
  <conditionalFormatting sqref="P182">
    <cfRule type="expression" dxfId="333" priority="458">
      <formula>AND(ISNUMBER(P182),TRUNC(P182)&lt;TODAY())</formula>
    </cfRule>
  </conditionalFormatting>
  <conditionalFormatting sqref="O182">
    <cfRule type="expression" dxfId="332" priority="459">
      <formula>AND(ISNUMBER(O182),TRUNC(O182)&lt;TODAY())</formula>
    </cfRule>
  </conditionalFormatting>
  <conditionalFormatting sqref="F182">
    <cfRule type="containsText" dxfId="331" priority="460" operator="containsText" text="F">
      <formula>NOT(ISERROR(SEARCH(("F"),(F182))))</formula>
    </cfRule>
  </conditionalFormatting>
  <conditionalFormatting sqref="Q182">
    <cfRule type="expression" dxfId="330" priority="461">
      <formula>AND(ISNUMBER(Q182),TRUNC(Q182)&lt;TODAY())</formula>
    </cfRule>
  </conditionalFormatting>
  <conditionalFormatting sqref="O276:Q276">
    <cfRule type="expression" dxfId="329" priority="462">
      <formula>AND(ISNUMBER(O276),TRUNC(O276)&lt;TODAY())</formula>
    </cfRule>
  </conditionalFormatting>
  <conditionalFormatting sqref="O275">
    <cfRule type="expression" dxfId="328" priority="463">
      <formula>AND(ISNUMBER(O275),TRUNC(O275)&lt;TODAY())</formula>
    </cfRule>
  </conditionalFormatting>
  <conditionalFormatting sqref="Q275">
    <cfRule type="expression" dxfId="327" priority="464">
      <formula>AND(ISNUMBER(Q275),TRUNC(Q275)&lt;TODAY())</formula>
    </cfRule>
  </conditionalFormatting>
  <conditionalFormatting sqref="F275">
    <cfRule type="containsText" dxfId="326" priority="465" operator="containsText" text="F">
      <formula>NOT(ISERROR(SEARCH(("F"),(F275))))</formula>
    </cfRule>
  </conditionalFormatting>
  <conditionalFormatting sqref="P275">
    <cfRule type="expression" dxfId="325" priority="466">
      <formula>AND(ISNUMBER(P275),TRUNC(P275)&lt;TODAY())</formula>
    </cfRule>
  </conditionalFormatting>
  <conditionalFormatting sqref="Q209 Q249">
    <cfRule type="expression" dxfId="324" priority="467">
      <formula>AND(ISNUMBER(Q209),TRUNC(Q209)&lt;TODAY())</formula>
    </cfRule>
  </conditionalFormatting>
  <conditionalFormatting sqref="O146:Q146">
    <cfRule type="expression" dxfId="323" priority="468">
      <formula>AND(ISNUMBER(O146),TRUNC(O146)&lt;TODAY())</formula>
    </cfRule>
  </conditionalFormatting>
  <conditionalFormatting sqref="F146">
    <cfRule type="containsText" dxfId="322" priority="469" operator="containsText" text="F">
      <formula>NOT(ISERROR(SEARCH(("F"),(F146))))</formula>
    </cfRule>
  </conditionalFormatting>
  <conditionalFormatting sqref="O145:Q145">
    <cfRule type="expression" dxfId="321" priority="470">
      <formula>AND(ISNUMBER(O145),TRUNC(O145)&lt;TODAY())</formula>
    </cfRule>
  </conditionalFormatting>
  <conditionalFormatting sqref="F145">
    <cfRule type="containsText" dxfId="320" priority="471" operator="containsText" text="F">
      <formula>NOT(ISERROR(SEARCH(("F"),(F145))))</formula>
    </cfRule>
  </conditionalFormatting>
  <conditionalFormatting sqref="O144:Q144">
    <cfRule type="expression" dxfId="319" priority="472">
      <formula>AND(ISNUMBER(O144),TRUNC(O144)&lt;TODAY())</formula>
    </cfRule>
  </conditionalFormatting>
  <conditionalFormatting sqref="F144">
    <cfRule type="containsText" dxfId="318" priority="473" operator="containsText" text="F">
      <formula>NOT(ISERROR(SEARCH(("F"),(F144))))</formula>
    </cfRule>
  </conditionalFormatting>
  <conditionalFormatting sqref="O143:Q143">
    <cfRule type="expression" dxfId="317" priority="474">
      <formula>AND(ISNUMBER(O143),TRUNC(O143)&lt;TODAY())</formula>
    </cfRule>
  </conditionalFormatting>
  <conditionalFormatting sqref="F143">
    <cfRule type="containsText" dxfId="316" priority="475" operator="containsText" text="F">
      <formula>NOT(ISERROR(SEARCH(("F"),(F143))))</formula>
    </cfRule>
  </conditionalFormatting>
  <conditionalFormatting sqref="F142">
    <cfRule type="containsText" dxfId="315" priority="476" operator="containsText" text="F">
      <formula>NOT(ISERROR(SEARCH(("F"),(F142))))</formula>
    </cfRule>
  </conditionalFormatting>
  <conditionalFormatting sqref="O142:Q142">
    <cfRule type="expression" dxfId="314" priority="477">
      <formula>AND(ISNUMBER(O142),TRUNC(O142)&lt;TODAY())</formula>
    </cfRule>
  </conditionalFormatting>
  <conditionalFormatting sqref="F141">
    <cfRule type="containsText" dxfId="313" priority="478" operator="containsText" text="F">
      <formula>NOT(ISERROR(SEARCH(("F"),(F141))))</formula>
    </cfRule>
  </conditionalFormatting>
  <conditionalFormatting sqref="O141:Q141">
    <cfRule type="expression" dxfId="312" priority="479">
      <formula>AND(ISNUMBER(O141),TRUNC(O141)&lt;TODAY())</formula>
    </cfRule>
  </conditionalFormatting>
  <conditionalFormatting sqref="F140">
    <cfRule type="containsText" dxfId="311" priority="480" operator="containsText" text="F">
      <formula>NOT(ISERROR(SEARCH(("F"),(F140))))</formula>
    </cfRule>
  </conditionalFormatting>
  <conditionalFormatting sqref="O140:Q140">
    <cfRule type="expression" dxfId="310" priority="481">
      <formula>AND(ISNUMBER(O140),TRUNC(O140)&lt;TODAY())</formula>
    </cfRule>
  </conditionalFormatting>
  <conditionalFormatting sqref="O104:Q104">
    <cfRule type="expression" dxfId="309" priority="482">
      <formula>AND(ISNUMBER(O104),TRUNC(O104)&lt;TODAY())</formula>
    </cfRule>
  </conditionalFormatting>
  <conditionalFormatting sqref="F104">
    <cfRule type="containsText" dxfId="308" priority="483" operator="containsText" text="F">
      <formula>NOT(ISERROR(SEARCH(("F"),(F104))))</formula>
    </cfRule>
  </conditionalFormatting>
  <conditionalFormatting sqref="O103:Q103">
    <cfRule type="expression" dxfId="307" priority="484">
      <formula>AND(ISNUMBER(O103),TRUNC(O103)&lt;TODAY())</formula>
    </cfRule>
  </conditionalFormatting>
  <conditionalFormatting sqref="F103">
    <cfRule type="containsText" dxfId="306" priority="485" operator="containsText" text="F">
      <formula>NOT(ISERROR(SEARCH(("F"),(F103))))</formula>
    </cfRule>
  </conditionalFormatting>
  <conditionalFormatting sqref="F103:F104">
    <cfRule type="containsText" dxfId="305" priority="486" operator="containsText" text="F">
      <formula>NOT(ISERROR(SEARCH(("F"),(F103))))</formula>
    </cfRule>
  </conditionalFormatting>
  <conditionalFormatting sqref="F102">
    <cfRule type="containsText" dxfId="304" priority="487" operator="containsText" text="F">
      <formula>NOT(ISERROR(SEARCH(("F"),(F102))))</formula>
    </cfRule>
  </conditionalFormatting>
  <conditionalFormatting sqref="O102:Q102">
    <cfRule type="expression" dxfId="303" priority="488">
      <formula>AND(ISNUMBER(O102),TRUNC(O102)&lt;TODAY())</formula>
    </cfRule>
  </conditionalFormatting>
  <conditionalFormatting sqref="P208">
    <cfRule type="expression" dxfId="302" priority="489">
      <formula>AND(ISNUMBER(P208),TRUNC(P208)&lt;TODAY())</formula>
    </cfRule>
  </conditionalFormatting>
  <conditionalFormatting sqref="O157:Q157">
    <cfRule type="expression" dxfId="301" priority="490">
      <formula>AND(ISNUMBER(O157),TRUNC(O157)&lt;TODAY())</formula>
    </cfRule>
  </conditionalFormatting>
  <conditionalFormatting sqref="F157">
    <cfRule type="containsText" dxfId="300" priority="491" operator="containsText" text="F">
      <formula>NOT(ISERROR(SEARCH(("F"),(F157))))</formula>
    </cfRule>
  </conditionalFormatting>
  <conditionalFormatting sqref="F274">
    <cfRule type="containsText" dxfId="299" priority="492" operator="containsText" text="F">
      <formula>NOT(ISERROR(SEARCH(("F"),(F274))))</formula>
    </cfRule>
  </conditionalFormatting>
  <conditionalFormatting sqref="F179">
    <cfRule type="containsText" dxfId="298" priority="493" operator="containsText" text="F">
      <formula>NOT(ISERROR(SEARCH(("F"),(F179))))</formula>
    </cfRule>
  </conditionalFormatting>
  <conditionalFormatting sqref="F178">
    <cfRule type="containsText" dxfId="297" priority="494" operator="containsText" text="F">
      <formula>NOT(ISERROR(SEARCH(("F"),(F178))))</formula>
    </cfRule>
  </conditionalFormatting>
  <conditionalFormatting sqref="F177">
    <cfRule type="containsText" dxfId="296" priority="495" operator="containsText" text="F">
      <formula>NOT(ISERROR(SEARCH(("F"),(F177))))</formula>
    </cfRule>
  </conditionalFormatting>
  <conditionalFormatting sqref="F176">
    <cfRule type="containsText" dxfId="295" priority="496" operator="containsText" text="F">
      <formula>NOT(ISERROR(SEARCH(("F"),(F176))))</formula>
    </cfRule>
  </conditionalFormatting>
  <conditionalFormatting sqref="F175">
    <cfRule type="containsText" dxfId="294" priority="497" operator="containsText" text="F">
      <formula>NOT(ISERROR(SEARCH(("F"),(F175))))</formula>
    </cfRule>
  </conditionalFormatting>
  <conditionalFormatting sqref="F174">
    <cfRule type="containsText" dxfId="293" priority="498" operator="containsText" text="F">
      <formula>NOT(ISERROR(SEARCH(("F"),(F174))))</formula>
    </cfRule>
  </conditionalFormatting>
  <conditionalFormatting sqref="F173">
    <cfRule type="containsText" dxfId="292" priority="499" operator="containsText" text="F">
      <formula>NOT(ISERROR(SEARCH(("F"),(F173))))</formula>
    </cfRule>
  </conditionalFormatting>
  <conditionalFormatting sqref="F181">
    <cfRule type="containsText" dxfId="291" priority="500" operator="containsText" text="F">
      <formula>NOT(ISERROR(SEARCH(("F"),(F181))))</formula>
    </cfRule>
  </conditionalFormatting>
  <conditionalFormatting sqref="F180">
    <cfRule type="containsText" dxfId="290" priority="501" operator="containsText" text="F">
      <formula>NOT(ISERROR(SEARCH(("F"),(F180))))</formula>
    </cfRule>
  </conditionalFormatting>
  <conditionalFormatting sqref="F139">
    <cfRule type="containsText" dxfId="289" priority="502" operator="containsText" text="F">
      <formula>NOT(ISERROR(SEARCH(("F"),(F139))))</formula>
    </cfRule>
  </conditionalFormatting>
  <conditionalFormatting sqref="F138">
    <cfRule type="containsText" dxfId="288" priority="503" operator="containsText" text="F">
      <formula>NOT(ISERROR(SEARCH(("F"),(F138))))</formula>
    </cfRule>
  </conditionalFormatting>
  <conditionalFormatting sqref="F137">
    <cfRule type="containsText" dxfId="287" priority="504" operator="containsText" text="F">
      <formula>NOT(ISERROR(SEARCH(("F"),(F137))))</formula>
    </cfRule>
  </conditionalFormatting>
  <conditionalFormatting sqref="F136">
    <cfRule type="containsText" dxfId="286" priority="505" operator="containsText" text="F">
      <formula>NOT(ISERROR(SEARCH(("F"),(F136))))</formula>
    </cfRule>
  </conditionalFormatting>
  <conditionalFormatting sqref="F135">
    <cfRule type="containsText" dxfId="285" priority="506" operator="containsText" text="F">
      <formula>NOT(ISERROR(SEARCH(("F"),(F135))))</formula>
    </cfRule>
  </conditionalFormatting>
  <conditionalFormatting sqref="F134">
    <cfRule type="containsText" dxfId="284" priority="507" operator="containsText" text="F">
      <formula>NOT(ISERROR(SEARCH(("F"),(F134))))</formula>
    </cfRule>
  </conditionalFormatting>
  <conditionalFormatting sqref="F133">
    <cfRule type="containsText" dxfId="283" priority="508" operator="containsText" text="F">
      <formula>NOT(ISERROR(SEARCH(("F"),(F133))))</formula>
    </cfRule>
  </conditionalFormatting>
  <conditionalFormatting sqref="F132">
    <cfRule type="containsText" dxfId="282" priority="509" operator="containsText" text="F">
      <formula>NOT(ISERROR(SEARCH(("F"),(F132))))</formula>
    </cfRule>
  </conditionalFormatting>
  <conditionalFormatting sqref="F131">
    <cfRule type="containsText" dxfId="281" priority="510" operator="containsText" text="F">
      <formula>NOT(ISERROR(SEARCH(("F"),(F131))))</formula>
    </cfRule>
  </conditionalFormatting>
  <conditionalFormatting sqref="F130">
    <cfRule type="containsText" dxfId="280" priority="511" operator="containsText" text="F">
      <formula>NOT(ISERROR(SEARCH(("F"),(F130))))</formula>
    </cfRule>
  </conditionalFormatting>
  <conditionalFormatting sqref="F129">
    <cfRule type="containsText" dxfId="279" priority="512" operator="containsText" text="F">
      <formula>NOT(ISERROR(SEARCH(("F"),(F129))))</formula>
    </cfRule>
  </conditionalFormatting>
  <conditionalFormatting sqref="F128">
    <cfRule type="containsText" dxfId="278" priority="513" operator="containsText" text="F">
      <formula>NOT(ISERROR(SEARCH(("F"),(F128))))</formula>
    </cfRule>
  </conditionalFormatting>
  <conditionalFormatting sqref="F127">
    <cfRule type="containsText" dxfId="277" priority="514" operator="containsText" text="F">
      <formula>NOT(ISERROR(SEARCH(("F"),(F127))))</formula>
    </cfRule>
  </conditionalFormatting>
  <conditionalFormatting sqref="F1 F108 F113 F116:F126 F156 F158 F163:F172 F189:F213 F223:F273">
    <cfRule type="containsText" dxfId="276" priority="515" operator="containsText" text="F">
      <formula>NOT(ISERROR(SEARCH(("F"),(F1))))</formula>
    </cfRule>
  </conditionalFormatting>
  <conditionalFormatting sqref="O1:Q1 O108:Q108 O113:Q113 O116:Q139 O156:Q156 O158:Q158 O163:Q181 O189:Q213 O223:Q274 O287:Q288">
    <cfRule type="expression" dxfId="275" priority="516">
      <formula>AND(ISNUMBER(O1),TRUNC(O1)&lt;TODAY())</formula>
    </cfRule>
  </conditionalFormatting>
  <dataValidations count="7">
    <dataValidation type="list" allowBlank="1" sqref="H47 H90:H92">
      <formula1>"A,B,C"</formula1>
    </dataValidation>
    <dataValidation type="custom" allowBlank="1" showDropDown="1" showInputMessage="1" showErrorMessage="1" prompt="Enter a valid date" sqref="M2:M4 Q2:Q4 M5:Q6 P7:Q7 Q8 P9:Q9 Q10 M7:M12 P11:Q12 M13:Q13 M14 Q14 M15:Q17 M18 Q18 M19:Q20 M21:O22 Q21:Q22 M23:Q23 M24:O26 Q24:Q26 M27:Q28 M29:O29 Q29 M30:Q30 M31:M32 P31:Q32 M33:Q33 M34 Q34 M35:Q35 M36:O36 Q36 M37:Q39 M40:O40 Q40 M41:Q43 M44:O45 Q44:Q45 M46:Q46 M47:O47 Q47 M48:Q48 M49:O51 Q49:Q51 M52:Q52 M53:O53 Q53 M54:Q59 N60 P60:Q60 M61:Q66 M67:O68 Q67:Q68 M69:Q71 M72:N72 P72:Q72 M73:Q74 M75 P75:Q75 M76:Q76 M77 P77:Q77 M78:Q79 M80 P80:Q80 M81:Q81 M82 P82:Q82 M83:Q86 M87:O87 Q87 P88:Q88 M88:M89 M90:O90 Q89:Q90 M91:Q91 P92:Q92 M93:Q101 M102 P102:Q102 P104:Q104 M105:Q108 M109 O109:Q109 M111:M116 O111:Q116 M117:O117 Q117 M118 P118:Q118 M119:Q119 M120:O120 Q120 P121:Q121 M121:M122 M123:O123 Q122:Q123 M124:Q130 M131 M132:O132 Q131:Q132 M133:Q133 Q134:Q135 M134:M136 P136:Q136 M137:Q142 M143 P143:Q143 M144:Q150 M151 P151:Q151 M152:Q157 M158:O158 Q158 M159:Q161 M162:O162 Q162 P163:Q163 M163:M164 M165:O165 Q164:Q165 M166:Q168 M169:O173 Q169:Q173 M174:Q176 M177 P177:Q177 M178:O178 Q178 M179:Q182 M183 P183:Q183 M184:O184 Q184 M185:Q186 M187:O187 Q187 M188:Q191 M192:O192 Q192 M193:Q196 M197:O197 Q197 M198:Q199 M200:O200 Q200 M201:Q202 M203:O203 M204 M205:O205 Q203:Q205 M206:Q206 M207 M208:O208 Q208 M209:Q217 M218:M221 Q218:Q221 M222:Q222 M223 P223:Q223 M224:Q228 M229 P229:Q229 M230:O230 Q230 N231 M232 P231:Q232 M233:Q237 M238 P238:Q238 M239:Q241 M242:M243 P242:Q243 M244:Q244 M245:M246 P245:Q246 M247:Q247 M248:M250 P248:Q250 M251:Q253 M254 P254:Q254 M255:O255 Q255 M256 P256:Q256 M257:Q259 M260 P260:Q260 M261:Q261 M262 P262:Q262 M263:Q263 M264 P264:Q264 M265:Q268 M269:M271 P269:Q271 M272:Q272 M273 P273:Q273 M274:Q274 P275:Q275 M276:Q281 M282 P282:Q282 M283:Q284 M285:O285 Q285 M286 P286:Q286 M287:Q289 M290:M294 P290:Q294">
      <formula1>OR(NOT(ISERROR(DATEVALUE(M2))), AND(ISNUMBER(M2), LEFT(CELL("format", M2))="D"))</formula1>
    </dataValidation>
    <dataValidation type="list" allowBlank="1" showInputMessage="1" showErrorMessage="1" prompt="Either M or F" sqref="F47 F90:F92 F109 F111:F112 F114:F116">
      <formula1>"M,F"</formula1>
    </dataValidation>
    <dataValidation type="list" allowBlank="1" sqref="G16 G20:G30 G33 G35:G45 G48:G74 G76 G78:G79 G81 G83:G87 G90:G91 G93:G101 G107:G109 G111:G112 G119 G124 G126 G129 G133 G138:G142 G144:G148 G150 G152:G155 G157 G159:G162 G166:G167 G170:G172 G175:G176 G178 G180:G182 G187 G189 G194 G197:G199 G201:G203 G206 G211 G217 G224:G228 G230:G231 G233:G237 G239:G241 G244 G247 G251:G253 G255 G257:G259 G261 G263 G265:G268 G272 G274:G281 G283:G285 G287:G289">
      <formula1>"UR,SC,ST"</formula1>
    </dataValidation>
    <dataValidation type="list" allowBlank="1" sqref="V48:V50 V52 V55:V57 V68 V82:V87 V89 V101 V104 V136 V139:V142 V151 V157 V159:V162">
      <formula1>"YES,NO,DW"</formula1>
    </dataValidation>
    <dataValidation type="list" allowBlank="1" showErrorMessage="1" sqref="G2:G15 G17:G19 G31:G32 G34 G46:G47 G75 G77 G80 G82 G88:G89 G92 G102 G113 G116:G118 G120:G123 G125 G127:G128 G130:G132 G134:G137 G143 G149 G151 G156 G158 G163:G165 G168:G169 G173:G174 G177 G179 G183:G186 G188 G190:G193 G195:G196 G200 G204:G205 G207:G210 G212:G216 G218:G223 G229 G232 G238 G242:G243 G245:G246 G248:G250 G254 G256 G260 G262 G264 G269:G271 G273 G282 G286 G290:G294">
      <formula1>"UR,SC,ST"</formula1>
    </dataValidation>
    <dataValidation type="custom" allowBlank="1" showDropDown="1" showErrorMessage="1" sqref="N2:P4 N7:O7 N8:P8 N9:O9 N10:P10 N11:O12 N14:P14 N18:P18 P21:P22 P24:P26 P29 N31:O32 N34:P34 P36 P40 P44:P45 P47 P49:P51 P53 P67:P68 N75:O75 N77:O77 N80:O80 N82:O82 P87 N88:O88 N89:P89 P90 N92:O92 N102:O102 N104:O104 N109:N116 P117 N118:O118 P120 N121:O121 N122:P122 P123 N131:P131 P132 N134:P135 N136:O136 N143:O143 N151:O151 P158 P162 N163:O163 N164:P164 P165 P169:P173 N177:O177 P178 N183:O183 P184 P187 P192 P197 P200 P203 N204:P204 P205 N207:P207 P208 N218:P221 N223:O223 N229:O229 P230 N232:O232 N238:O238 N242:O243 N245:O246 N248:O250 N254:O254 P255 N256:O256 N260:O260 N262:O262 N264:O264 N269:O271 N273:O273 N282:O282 P285 N286:O286 N290:O294">
      <formula1>OR(NOT(ISERROR(DATEVALUE(N2))), AND(ISNUMBER(N2), LEFT(CELL("format", N2))="D"))</formula1>
    </dataValidation>
  </dataValidations>
  <hyperlinks>
    <hyperlink ref="T2" r:id="rId1"/>
    <hyperlink ref="U2" r:id="rId2"/>
    <hyperlink ref="T3" r:id="rId3"/>
    <hyperlink ref="U3" r:id="rId4"/>
    <hyperlink ref="T4" r:id="rId5"/>
    <hyperlink ref="U4" r:id="rId6"/>
    <hyperlink ref="T5" r:id="rId7"/>
    <hyperlink ref="U5" r:id="rId8"/>
    <hyperlink ref="T6" r:id="rId9"/>
    <hyperlink ref="U6" r:id="rId10"/>
    <hyperlink ref="T7" r:id="rId11"/>
    <hyperlink ref="U7" r:id="rId12"/>
    <hyperlink ref="T8" r:id="rId13"/>
    <hyperlink ref="U8" r:id="rId14"/>
    <hyperlink ref="T9" r:id="rId15"/>
    <hyperlink ref="U9" r:id="rId16"/>
    <hyperlink ref="T10" r:id="rId17"/>
    <hyperlink ref="U10" r:id="rId18"/>
    <hyperlink ref="T11" r:id="rId19"/>
    <hyperlink ref="U11" r:id="rId20"/>
    <hyperlink ref="T12" r:id="rId21"/>
    <hyperlink ref="U12" r:id="rId22"/>
    <hyperlink ref="T13" r:id="rId23"/>
    <hyperlink ref="U13" r:id="rId24"/>
    <hyperlink ref="T14" r:id="rId25"/>
    <hyperlink ref="U14" r:id="rId26"/>
    <hyperlink ref="T15" r:id="rId27"/>
    <hyperlink ref="U15" r:id="rId28"/>
    <hyperlink ref="T16" r:id="rId29"/>
    <hyperlink ref="U16" r:id="rId30"/>
    <hyperlink ref="T17" r:id="rId31"/>
    <hyperlink ref="U17" r:id="rId32"/>
    <hyperlink ref="T18" r:id="rId33"/>
    <hyperlink ref="U18" r:id="rId34"/>
    <hyperlink ref="T19" r:id="rId35"/>
    <hyperlink ref="U19" r:id="rId36"/>
    <hyperlink ref="T20" r:id="rId37"/>
    <hyperlink ref="U20" r:id="rId38"/>
    <hyperlink ref="T21" r:id="rId39"/>
    <hyperlink ref="U21" r:id="rId40"/>
    <hyperlink ref="T22" r:id="rId41"/>
    <hyperlink ref="U22" r:id="rId42"/>
    <hyperlink ref="T23" r:id="rId43"/>
    <hyperlink ref="U23" r:id="rId44"/>
    <hyperlink ref="T24" r:id="rId45"/>
    <hyperlink ref="U24" r:id="rId46"/>
    <hyperlink ref="T25" r:id="rId47"/>
    <hyperlink ref="U25" r:id="rId48"/>
    <hyperlink ref="T26" r:id="rId49"/>
    <hyperlink ref="U26" r:id="rId50"/>
    <hyperlink ref="T27" r:id="rId51"/>
    <hyperlink ref="U27" r:id="rId52"/>
    <hyperlink ref="T28" r:id="rId53"/>
    <hyperlink ref="U28" r:id="rId54"/>
    <hyperlink ref="S29" r:id="rId55"/>
    <hyperlink ref="T29" r:id="rId56"/>
    <hyperlink ref="U29" r:id="rId57"/>
    <hyperlink ref="T30" r:id="rId58"/>
    <hyperlink ref="U30" r:id="rId59"/>
    <hyperlink ref="T31" r:id="rId60"/>
    <hyperlink ref="U31" r:id="rId61"/>
    <hyperlink ref="T32" r:id="rId62"/>
    <hyperlink ref="U32" r:id="rId63"/>
    <hyperlink ref="S33" r:id="rId64"/>
    <hyperlink ref="T33" r:id="rId65"/>
    <hyperlink ref="U33" r:id="rId66"/>
    <hyperlink ref="T34" r:id="rId67"/>
    <hyperlink ref="U34" r:id="rId68"/>
    <hyperlink ref="T35" r:id="rId69"/>
    <hyperlink ref="U35" r:id="rId70"/>
    <hyperlink ref="T36" r:id="rId71"/>
    <hyperlink ref="U36" r:id="rId72"/>
    <hyperlink ref="R37" r:id="rId73"/>
    <hyperlink ref="T37" r:id="rId74"/>
    <hyperlink ref="U37" r:id="rId75"/>
    <hyperlink ref="S38" r:id="rId76"/>
    <hyperlink ref="T38" r:id="rId77"/>
    <hyperlink ref="U38" r:id="rId78"/>
    <hyperlink ref="R39" r:id="rId79"/>
    <hyperlink ref="T39" r:id="rId80"/>
    <hyperlink ref="U39" r:id="rId81"/>
    <hyperlink ref="T40" r:id="rId82"/>
    <hyperlink ref="U40" r:id="rId83"/>
    <hyperlink ref="T41" r:id="rId84"/>
    <hyperlink ref="R42" r:id="rId85"/>
    <hyperlink ref="S42" r:id="rId86"/>
    <hyperlink ref="T42" r:id="rId87"/>
    <hyperlink ref="S43" r:id="rId88"/>
    <hyperlink ref="T43" r:id="rId89"/>
    <hyperlink ref="T44" r:id="rId90"/>
    <hyperlink ref="T45" r:id="rId91"/>
    <hyperlink ref="S46" r:id="rId92"/>
    <hyperlink ref="T46" r:id="rId93"/>
    <hyperlink ref="U46" r:id="rId94"/>
    <hyperlink ref="S47" r:id="rId95"/>
    <hyperlink ref="T47" r:id="rId96"/>
    <hyperlink ref="R48" r:id="rId97"/>
    <hyperlink ref="S48" r:id="rId98"/>
    <hyperlink ref="T48" r:id="rId99"/>
    <hyperlink ref="R49" r:id="rId100"/>
    <hyperlink ref="S49" r:id="rId101"/>
    <hyperlink ref="T49" r:id="rId102"/>
    <hyperlink ref="R50" r:id="rId103"/>
    <hyperlink ref="S50" r:id="rId104"/>
    <hyperlink ref="T50" r:id="rId105"/>
    <hyperlink ref="R51" r:id="rId106"/>
    <hyperlink ref="T51" r:id="rId107"/>
    <hyperlink ref="R52" r:id="rId108"/>
    <hyperlink ref="R53" r:id="rId109"/>
    <hyperlink ref="S53" r:id="rId110"/>
    <hyperlink ref="T53" r:id="rId111"/>
    <hyperlink ref="R54" r:id="rId112"/>
    <hyperlink ref="R55" r:id="rId113"/>
    <hyperlink ref="R56" r:id="rId114"/>
    <hyperlink ref="S56" r:id="rId115"/>
    <hyperlink ref="R57" r:id="rId116"/>
    <hyperlink ref="S57" r:id="rId117"/>
    <hyperlink ref="R58" r:id="rId118"/>
    <hyperlink ref="R59" r:id="rId119"/>
    <hyperlink ref="R60" r:id="rId120"/>
    <hyperlink ref="R61" r:id="rId121"/>
    <hyperlink ref="S62" r:id="rId122"/>
    <hyperlink ref="R63" r:id="rId123"/>
    <hyperlink ref="S63" r:id="rId124"/>
    <hyperlink ref="R64" r:id="rId125"/>
    <hyperlink ref="S64" r:id="rId126"/>
    <hyperlink ref="R65" r:id="rId127"/>
    <hyperlink ref="R66" r:id="rId128"/>
    <hyperlink ref="R67" r:id="rId129"/>
    <hyperlink ref="S67" r:id="rId130"/>
    <hyperlink ref="T67" r:id="rId131"/>
    <hyperlink ref="R68" r:id="rId132"/>
    <hyperlink ref="S68" r:id="rId133"/>
    <hyperlink ref="T68" r:id="rId134"/>
    <hyperlink ref="R69" r:id="rId135"/>
    <hyperlink ref="R70" r:id="rId136"/>
    <hyperlink ref="R71" r:id="rId137"/>
    <hyperlink ref="S71" r:id="rId138"/>
    <hyperlink ref="T71" r:id="rId139"/>
    <hyperlink ref="R72" r:id="rId140"/>
    <hyperlink ref="S72" r:id="rId141"/>
    <hyperlink ref="R73" r:id="rId142"/>
    <hyperlink ref="R74" r:id="rId143"/>
    <hyperlink ref="S74" r:id="rId144"/>
    <hyperlink ref="T74" r:id="rId145"/>
    <hyperlink ref="R75" r:id="rId146"/>
    <hyperlink ref="S75" r:id="rId147"/>
    <hyperlink ref="T75" r:id="rId148"/>
    <hyperlink ref="R76" r:id="rId149"/>
    <hyperlink ref="S76" r:id="rId150"/>
    <hyperlink ref="T76" r:id="rId151"/>
    <hyperlink ref="R77" r:id="rId152"/>
    <hyperlink ref="S77" r:id="rId153"/>
    <hyperlink ref="T77" r:id="rId154"/>
    <hyperlink ref="R78" r:id="rId155"/>
    <hyperlink ref="S78" r:id="rId156"/>
    <hyperlink ref="T78" r:id="rId157"/>
    <hyperlink ref="R79" r:id="rId158"/>
    <hyperlink ref="S79" r:id="rId159"/>
    <hyperlink ref="T79" r:id="rId160"/>
    <hyperlink ref="R80" r:id="rId161"/>
    <hyperlink ref="S80" r:id="rId162"/>
    <hyperlink ref="T80" r:id="rId163"/>
    <hyperlink ref="R81" r:id="rId164"/>
    <hyperlink ref="S81" r:id="rId165"/>
    <hyperlink ref="R82" r:id="rId166"/>
    <hyperlink ref="S82" r:id="rId167"/>
    <hyperlink ref="R83" r:id="rId168"/>
    <hyperlink ref="S83" r:id="rId169"/>
    <hyperlink ref="R84" r:id="rId170"/>
    <hyperlink ref="S84" r:id="rId171"/>
    <hyperlink ref="R85" r:id="rId172"/>
    <hyperlink ref="S85" r:id="rId173"/>
    <hyperlink ref="R86" r:id="rId174"/>
    <hyperlink ref="S86" r:id="rId175"/>
    <hyperlink ref="R87" r:id="rId176"/>
    <hyperlink ref="T87" r:id="rId177"/>
    <hyperlink ref="R88" r:id="rId178"/>
    <hyperlink ref="S88" r:id="rId179"/>
    <hyperlink ref="T88" r:id="rId180"/>
    <hyperlink ref="T89" r:id="rId181"/>
    <hyperlink ref="AB89" r:id="rId182"/>
    <hyperlink ref="R90" r:id="rId183"/>
    <hyperlink ref="S90" r:id="rId184"/>
    <hyperlink ref="R91" r:id="rId185"/>
    <hyperlink ref="S91" r:id="rId186"/>
    <hyperlink ref="R92" r:id="rId187"/>
    <hyperlink ref="R93" r:id="rId188"/>
    <hyperlink ref="R95" r:id="rId189"/>
    <hyperlink ref="R96" r:id="rId190"/>
    <hyperlink ref="R97" r:id="rId191"/>
    <hyperlink ref="R98" r:id="rId192"/>
    <hyperlink ref="R101" r:id="rId193"/>
    <hyperlink ref="S101" r:id="rId194"/>
    <hyperlink ref="AB101" r:id="rId195"/>
    <hyperlink ref="R103" r:id="rId196"/>
    <hyperlink ref="R104" r:id="rId197"/>
    <hyperlink ref="R105" r:id="rId198"/>
    <hyperlink ref="R106" r:id="rId199"/>
    <hyperlink ref="R107" r:id="rId200"/>
    <hyperlink ref="R108" r:id="rId201"/>
    <hyperlink ref="R109" r:id="rId202"/>
    <hyperlink ref="R110" r:id="rId203"/>
    <hyperlink ref="R111" r:id="rId204"/>
    <hyperlink ref="R112" r:id="rId205"/>
    <hyperlink ref="R113" r:id="rId206"/>
    <hyperlink ref="R114" r:id="rId207"/>
    <hyperlink ref="R115" r:id="rId208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M79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ColWidth="14.42578125" defaultRowHeight="15" customHeight="1"/>
  <cols>
    <col min="1" max="1" width="5.85546875" customWidth="1"/>
    <col min="2" max="2" width="29.140625" customWidth="1"/>
    <col min="3" max="3" width="13.5703125" customWidth="1"/>
    <col min="4" max="4" width="16.42578125" customWidth="1"/>
    <col min="5" max="5" width="11.140625" customWidth="1"/>
    <col min="6" max="6" width="10.5703125" customWidth="1"/>
    <col min="7" max="7" width="11.140625" customWidth="1"/>
    <col min="8" max="8" width="12.28515625" customWidth="1"/>
    <col min="9" max="9" width="19" customWidth="1"/>
    <col min="10" max="10" width="13.7109375" customWidth="1"/>
    <col min="11" max="11" width="18.85546875" customWidth="1"/>
    <col min="12" max="12" width="24.85546875" customWidth="1"/>
    <col min="13" max="13" width="15.5703125" customWidth="1"/>
    <col min="14" max="14" width="11.85546875" customWidth="1"/>
    <col min="15" max="15" width="13.7109375" customWidth="1"/>
    <col min="16" max="16" width="15" customWidth="1"/>
    <col min="17" max="17" width="18.28515625" customWidth="1"/>
    <col min="18" max="18" width="11.28515625" customWidth="1"/>
    <col min="19" max="20" width="8.7109375" customWidth="1"/>
    <col min="21" max="21" width="9.140625" customWidth="1"/>
    <col min="23" max="23" width="22.28515625" customWidth="1"/>
  </cols>
  <sheetData>
    <row r="1" spans="1:39" ht="15.75">
      <c r="A1" s="2141" t="s">
        <v>7783</v>
      </c>
      <c r="B1" s="2142" t="s">
        <v>430</v>
      </c>
      <c r="C1" s="1754" t="s">
        <v>675</v>
      </c>
      <c r="D1" s="2143" t="s">
        <v>432</v>
      </c>
      <c r="E1" s="1754" t="s">
        <v>433</v>
      </c>
      <c r="F1" s="467" t="s">
        <v>2759</v>
      </c>
      <c r="G1" s="1754" t="s">
        <v>15</v>
      </c>
      <c r="H1" s="1754" t="s">
        <v>2760</v>
      </c>
      <c r="I1" s="1902" t="s">
        <v>1005</v>
      </c>
      <c r="J1" s="1905" t="s">
        <v>1006</v>
      </c>
      <c r="K1" s="1905" t="s">
        <v>29</v>
      </c>
      <c r="L1" s="1902" t="s">
        <v>23</v>
      </c>
      <c r="M1" s="1906" t="s">
        <v>435</v>
      </c>
      <c r="N1" s="1906" t="s">
        <v>130</v>
      </c>
      <c r="O1" s="1906" t="s">
        <v>1007</v>
      </c>
      <c r="P1" s="1906" t="s">
        <v>1008</v>
      </c>
      <c r="Q1" s="1906" t="s">
        <v>1009</v>
      </c>
      <c r="R1" s="2144" t="s">
        <v>7345</v>
      </c>
      <c r="S1" s="2145" t="s">
        <v>7346</v>
      </c>
      <c r="T1" s="2145" t="s">
        <v>7347</v>
      </c>
      <c r="U1" s="2145" t="s">
        <v>7348</v>
      </c>
      <c r="V1" s="2142" t="s">
        <v>5629</v>
      </c>
      <c r="W1" s="2142" t="s">
        <v>4167</v>
      </c>
      <c r="X1" s="1520"/>
      <c r="Y1" s="1325"/>
      <c r="Z1" s="1325"/>
      <c r="AA1" s="1325"/>
      <c r="AB1" s="1325"/>
      <c r="AC1" s="1325"/>
      <c r="AD1" s="1325"/>
      <c r="AE1" s="1325"/>
      <c r="AF1" s="1325"/>
      <c r="AG1" s="1325"/>
      <c r="AH1" s="1325"/>
      <c r="AI1" s="1325"/>
      <c r="AJ1" s="1325"/>
      <c r="AK1" s="1325"/>
      <c r="AL1" s="1325"/>
      <c r="AM1" s="1325"/>
    </row>
    <row r="2" spans="1:39">
      <c r="A2" s="2146">
        <v>1</v>
      </c>
      <c r="B2" s="293" t="s">
        <v>7784</v>
      </c>
      <c r="C2" s="275" t="s">
        <v>31</v>
      </c>
      <c r="D2" s="304">
        <v>50209778056</v>
      </c>
      <c r="E2" s="303" t="s">
        <v>7785</v>
      </c>
      <c r="F2" s="18" t="s">
        <v>759</v>
      </c>
      <c r="G2" s="303" t="s">
        <v>76</v>
      </c>
      <c r="H2" s="274" t="s">
        <v>279</v>
      </c>
      <c r="I2" s="275">
        <v>9002079014</v>
      </c>
      <c r="J2" s="275">
        <v>9002079014</v>
      </c>
      <c r="K2" s="275" t="s">
        <v>290</v>
      </c>
      <c r="L2" s="18" t="s">
        <v>62</v>
      </c>
      <c r="M2" s="272">
        <v>28066</v>
      </c>
      <c r="N2" s="272">
        <v>50009</v>
      </c>
      <c r="O2" s="272">
        <v>45228</v>
      </c>
      <c r="P2" s="687">
        <v>46097</v>
      </c>
      <c r="Q2" s="272">
        <v>46020</v>
      </c>
      <c r="R2" s="79"/>
      <c r="S2" s="485"/>
      <c r="T2" s="377" t="s">
        <v>2644</v>
      </c>
      <c r="U2" s="377" t="s">
        <v>7786</v>
      </c>
      <c r="V2" s="382">
        <f t="shared" ref="V2:V53" si="0">LEN(D2)</f>
        <v>11</v>
      </c>
      <c r="W2" s="382"/>
      <c r="X2" s="1220">
        <f t="shared" ref="X2:X14" ca="1" si="1">INT((TODAY()-M2)/365)</f>
        <v>49</v>
      </c>
      <c r="Y2" s="311"/>
      <c r="Z2" s="311"/>
      <c r="AA2" s="311"/>
      <c r="AB2" s="311"/>
      <c r="AC2" s="311"/>
      <c r="AD2" s="311"/>
      <c r="AE2" s="311"/>
      <c r="AF2" s="311"/>
      <c r="AG2" s="311"/>
      <c r="AH2" s="311"/>
      <c r="AI2" s="311"/>
      <c r="AJ2" s="311"/>
      <c r="AK2" s="311"/>
      <c r="AL2" s="311"/>
      <c r="AM2" s="311"/>
    </row>
    <row r="3" spans="1:39">
      <c r="A3" s="1125">
        <v>2</v>
      </c>
      <c r="B3" s="293" t="s">
        <v>7787</v>
      </c>
      <c r="C3" s="275" t="s">
        <v>31</v>
      </c>
      <c r="D3" s="304">
        <v>50205419499</v>
      </c>
      <c r="E3" s="303" t="s">
        <v>7788</v>
      </c>
      <c r="F3" s="18" t="s">
        <v>759</v>
      </c>
      <c r="G3" s="303" t="s">
        <v>76</v>
      </c>
      <c r="H3" s="274" t="s">
        <v>279</v>
      </c>
      <c r="I3" s="275">
        <v>9002079017</v>
      </c>
      <c r="J3" s="275"/>
      <c r="K3" s="275" t="s">
        <v>290</v>
      </c>
      <c r="L3" s="274" t="s">
        <v>54</v>
      </c>
      <c r="M3" s="272">
        <v>26341</v>
      </c>
      <c r="N3" s="272">
        <v>48273</v>
      </c>
      <c r="O3" s="272">
        <v>45698</v>
      </c>
      <c r="P3" s="279">
        <v>46138</v>
      </c>
      <c r="Q3" s="272">
        <v>46021</v>
      </c>
      <c r="R3" s="79"/>
      <c r="S3" s="485"/>
      <c r="T3" s="377" t="s">
        <v>7789</v>
      </c>
      <c r="U3" s="377" t="s">
        <v>7790</v>
      </c>
      <c r="V3" s="382">
        <f t="shared" si="0"/>
        <v>11</v>
      </c>
      <c r="W3" s="382"/>
      <c r="X3" s="1220">
        <f t="shared" ca="1" si="1"/>
        <v>54</v>
      </c>
      <c r="Y3" s="311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  <c r="AM3" s="311"/>
    </row>
    <row r="4" spans="1:39" ht="15.75" customHeight="1">
      <c r="A4" s="2147">
        <v>5</v>
      </c>
      <c r="B4" s="293" t="s">
        <v>7791</v>
      </c>
      <c r="C4" s="275" t="s">
        <v>31</v>
      </c>
      <c r="D4" s="2148">
        <v>50205561656</v>
      </c>
      <c r="E4" s="274" t="s">
        <v>7792</v>
      </c>
      <c r="F4" s="18" t="s">
        <v>759</v>
      </c>
      <c r="G4" s="274" t="s">
        <v>77</v>
      </c>
      <c r="H4" s="274" t="s">
        <v>279</v>
      </c>
      <c r="I4" s="275">
        <v>8420320007</v>
      </c>
      <c r="J4" s="275"/>
      <c r="K4" s="275" t="s">
        <v>290</v>
      </c>
      <c r="L4" s="274" t="s">
        <v>44</v>
      </c>
      <c r="M4" s="289">
        <v>31120</v>
      </c>
      <c r="N4" s="289">
        <v>53052</v>
      </c>
      <c r="O4" s="272">
        <v>46055</v>
      </c>
      <c r="P4" s="315">
        <v>45222</v>
      </c>
      <c r="Q4" s="272">
        <v>45731</v>
      </c>
      <c r="R4" s="1134"/>
      <c r="S4" s="485"/>
      <c r="T4" s="486" t="s">
        <v>7793</v>
      </c>
      <c r="U4" s="486" t="s">
        <v>7794</v>
      </c>
      <c r="V4" s="382">
        <f t="shared" si="0"/>
        <v>11</v>
      </c>
      <c r="W4" s="382"/>
      <c r="X4" s="48">
        <f t="shared" ca="1" si="1"/>
        <v>41</v>
      </c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</row>
    <row r="5" spans="1:39">
      <c r="A5" s="2146">
        <v>6</v>
      </c>
      <c r="B5" s="293" t="s">
        <v>7795</v>
      </c>
      <c r="C5" s="275" t="s">
        <v>31</v>
      </c>
      <c r="D5" s="489">
        <v>50205407102</v>
      </c>
      <c r="E5" s="303" t="s">
        <v>7796</v>
      </c>
      <c r="F5" s="18" t="s">
        <v>759</v>
      </c>
      <c r="G5" s="303" t="s">
        <v>76</v>
      </c>
      <c r="H5" s="274" t="s">
        <v>279</v>
      </c>
      <c r="I5" s="275">
        <v>9002071808</v>
      </c>
      <c r="J5" s="275">
        <v>9002071808</v>
      </c>
      <c r="K5" s="275" t="s">
        <v>290</v>
      </c>
      <c r="L5" s="274" t="s">
        <v>52</v>
      </c>
      <c r="M5" s="602">
        <v>25897</v>
      </c>
      <c r="N5" s="602">
        <v>47817</v>
      </c>
      <c r="O5" s="418">
        <v>45771</v>
      </c>
      <c r="P5" s="278">
        <v>45608</v>
      </c>
      <c r="Q5" s="272">
        <v>45537</v>
      </c>
      <c r="R5" s="79"/>
      <c r="S5" s="79"/>
      <c r="T5" s="310" t="s">
        <v>7797</v>
      </c>
      <c r="U5" s="486" t="s">
        <v>7797</v>
      </c>
      <c r="V5" s="382">
        <f t="shared" si="0"/>
        <v>11</v>
      </c>
      <c r="W5" s="382"/>
      <c r="X5" s="48">
        <f t="shared" ca="1" si="1"/>
        <v>55</v>
      </c>
      <c r="Y5" s="382"/>
      <c r="Z5" s="382"/>
      <c r="AA5" s="382"/>
      <c r="AB5" s="382"/>
      <c r="AC5" s="382"/>
      <c r="AD5" s="382"/>
      <c r="AE5" s="382"/>
      <c r="AF5" s="382"/>
      <c r="AG5" s="382"/>
      <c r="AH5" s="382"/>
      <c r="AI5" s="311"/>
      <c r="AJ5" s="311"/>
      <c r="AK5" s="311"/>
      <c r="AL5" s="311"/>
      <c r="AM5" s="311"/>
    </row>
    <row r="6" spans="1:39" ht="15.75" customHeight="1">
      <c r="A6" s="1125">
        <v>8</v>
      </c>
      <c r="B6" s="293" t="s">
        <v>7798</v>
      </c>
      <c r="C6" s="275" t="s">
        <v>31</v>
      </c>
      <c r="D6" s="304">
        <v>50207003468</v>
      </c>
      <c r="E6" s="303" t="s">
        <v>7799</v>
      </c>
      <c r="F6" s="18" t="s">
        <v>759</v>
      </c>
      <c r="G6" s="303" t="s">
        <v>76</v>
      </c>
      <c r="H6" s="274" t="s">
        <v>266</v>
      </c>
      <c r="I6" s="275">
        <v>9002071181</v>
      </c>
      <c r="J6" s="275"/>
      <c r="K6" s="275" t="s">
        <v>290</v>
      </c>
      <c r="L6" s="274" t="s">
        <v>43</v>
      </c>
      <c r="M6" s="289">
        <v>28138</v>
      </c>
      <c r="N6" s="289">
        <v>50071</v>
      </c>
      <c r="O6" s="272">
        <v>45617</v>
      </c>
      <c r="P6" s="687">
        <v>45212</v>
      </c>
      <c r="Q6" s="302">
        <v>45168</v>
      </c>
      <c r="R6" s="1134"/>
      <c r="S6" s="485"/>
      <c r="T6" s="485"/>
      <c r="U6" s="377" t="s">
        <v>7800</v>
      </c>
      <c r="V6" s="382">
        <f t="shared" si="0"/>
        <v>11</v>
      </c>
      <c r="W6" s="382"/>
      <c r="X6" s="1220">
        <f t="shared" ca="1" si="1"/>
        <v>49</v>
      </c>
      <c r="Y6" s="311"/>
      <c r="Z6" s="311"/>
      <c r="AA6" s="311"/>
      <c r="AB6" s="311"/>
      <c r="AC6" s="311"/>
      <c r="AD6" s="311"/>
      <c r="AE6" s="311"/>
      <c r="AF6" s="311"/>
      <c r="AG6" s="311"/>
      <c r="AH6" s="311"/>
      <c r="AI6" s="311"/>
      <c r="AJ6" s="311"/>
      <c r="AK6" s="311"/>
      <c r="AL6" s="311"/>
      <c r="AM6" s="311"/>
    </row>
    <row r="7" spans="1:39">
      <c r="A7" s="1125">
        <v>9</v>
      </c>
      <c r="B7" s="293" t="s">
        <v>7801</v>
      </c>
      <c r="C7" s="275" t="s">
        <v>31</v>
      </c>
      <c r="D7" s="304">
        <v>50261131027</v>
      </c>
      <c r="E7" s="274" t="s">
        <v>1299</v>
      </c>
      <c r="F7" s="18" t="s">
        <v>759</v>
      </c>
      <c r="G7" s="274" t="s">
        <v>77</v>
      </c>
      <c r="H7" s="274" t="s">
        <v>279</v>
      </c>
      <c r="I7" s="275">
        <v>9002079038</v>
      </c>
      <c r="J7" s="284">
        <v>9002079038</v>
      </c>
      <c r="K7" s="275" t="s">
        <v>290</v>
      </c>
      <c r="L7" s="274" t="s">
        <v>54</v>
      </c>
      <c r="M7" s="289">
        <v>25935</v>
      </c>
      <c r="N7" s="289">
        <v>47879</v>
      </c>
      <c r="O7" s="272">
        <v>45301</v>
      </c>
      <c r="P7" s="279">
        <v>45274</v>
      </c>
      <c r="Q7" s="272">
        <v>45258</v>
      </c>
      <c r="R7" s="1134"/>
      <c r="S7" s="485"/>
      <c r="T7" s="310" t="s">
        <v>7802</v>
      </c>
      <c r="U7" s="486" t="s">
        <v>7803</v>
      </c>
      <c r="V7" s="382">
        <f t="shared" si="0"/>
        <v>11</v>
      </c>
      <c r="W7" s="382"/>
      <c r="X7" s="48">
        <f t="shared" ca="1" si="1"/>
        <v>55</v>
      </c>
      <c r="Y7" s="79"/>
      <c r="Z7" s="79"/>
      <c r="AA7" s="79"/>
      <c r="AB7" s="79"/>
      <c r="AC7" s="79"/>
      <c r="AD7" s="79"/>
      <c r="AE7" s="79"/>
      <c r="AF7" s="79"/>
      <c r="AG7" s="79"/>
      <c r="AH7" s="79"/>
    </row>
    <row r="8" spans="1:39" ht="15.75" customHeight="1">
      <c r="A8" s="1125">
        <v>13</v>
      </c>
      <c r="B8" s="293" t="s">
        <v>7804</v>
      </c>
      <c r="C8" s="275" t="s">
        <v>31</v>
      </c>
      <c r="D8" s="489">
        <v>50205407242</v>
      </c>
      <c r="E8" s="274" t="s">
        <v>7805</v>
      </c>
      <c r="F8" s="18" t="s">
        <v>759</v>
      </c>
      <c r="G8" s="274" t="s">
        <v>77</v>
      </c>
      <c r="H8" s="274" t="s">
        <v>279</v>
      </c>
      <c r="I8" s="275">
        <v>9002071816</v>
      </c>
      <c r="J8" s="275">
        <v>9002071816</v>
      </c>
      <c r="K8" s="275" t="s">
        <v>290</v>
      </c>
      <c r="L8" s="274" t="s">
        <v>52</v>
      </c>
      <c r="M8" s="2149">
        <v>26963</v>
      </c>
      <c r="N8" s="2149">
        <v>48883</v>
      </c>
      <c r="O8" s="272">
        <v>45583</v>
      </c>
      <c r="P8" s="279">
        <v>46138</v>
      </c>
      <c r="Q8" s="272">
        <v>46117</v>
      </c>
      <c r="R8" s="1134"/>
      <c r="S8" s="485"/>
      <c r="T8" s="310" t="s">
        <v>7806</v>
      </c>
      <c r="U8" s="310" t="s">
        <v>7806</v>
      </c>
      <c r="V8" s="382">
        <f t="shared" si="0"/>
        <v>11</v>
      </c>
      <c r="W8" s="382"/>
      <c r="X8" s="1220">
        <f t="shared" ca="1" si="1"/>
        <v>52</v>
      </c>
      <c r="Y8" s="311"/>
      <c r="Z8" s="311"/>
      <c r="AA8" s="311"/>
      <c r="AB8" s="311"/>
      <c r="AC8" s="311"/>
      <c r="AD8" s="311"/>
      <c r="AE8" s="311"/>
      <c r="AF8" s="311"/>
      <c r="AG8" s="311"/>
      <c r="AH8" s="311"/>
      <c r="AI8" s="311"/>
      <c r="AJ8" s="311"/>
      <c r="AK8" s="311"/>
      <c r="AL8" s="311"/>
      <c r="AM8" s="311"/>
    </row>
    <row r="9" spans="1:39" ht="15.75" customHeight="1">
      <c r="A9" s="1125">
        <v>15</v>
      </c>
      <c r="B9" s="293" t="s">
        <v>7807</v>
      </c>
      <c r="C9" s="275" t="s">
        <v>31</v>
      </c>
      <c r="D9" s="304">
        <v>50212125222</v>
      </c>
      <c r="E9" s="274" t="s">
        <v>7808</v>
      </c>
      <c r="F9" s="137" t="s">
        <v>759</v>
      </c>
      <c r="G9" s="274" t="s">
        <v>77</v>
      </c>
      <c r="H9" s="274" t="s">
        <v>279</v>
      </c>
      <c r="I9" s="275">
        <v>8420320059</v>
      </c>
      <c r="J9" s="307"/>
      <c r="K9" s="275" t="s">
        <v>290</v>
      </c>
      <c r="L9" s="274" t="s">
        <v>54</v>
      </c>
      <c r="M9" s="289">
        <v>25569</v>
      </c>
      <c r="N9" s="272">
        <v>47483</v>
      </c>
      <c r="O9" s="272">
        <v>45645</v>
      </c>
      <c r="P9" s="279">
        <v>45501</v>
      </c>
      <c r="Q9" s="302">
        <v>45481</v>
      </c>
      <c r="R9" s="1134"/>
      <c r="S9" s="485"/>
      <c r="T9" s="377" t="s">
        <v>7809</v>
      </c>
      <c r="U9" s="310" t="s">
        <v>7810</v>
      </c>
      <c r="V9" s="382">
        <f t="shared" si="0"/>
        <v>11</v>
      </c>
      <c r="W9" s="382"/>
      <c r="X9" s="1220">
        <f t="shared" ca="1" si="1"/>
        <v>56</v>
      </c>
      <c r="Y9" s="384"/>
      <c r="Z9" s="384"/>
      <c r="AA9" s="384"/>
      <c r="AB9" s="384"/>
      <c r="AC9" s="384"/>
      <c r="AD9" s="384"/>
      <c r="AE9" s="384"/>
      <c r="AF9" s="384"/>
      <c r="AG9" s="384"/>
      <c r="AH9" s="384"/>
      <c r="AI9" s="384"/>
      <c r="AJ9" s="384"/>
      <c r="AK9" s="384"/>
      <c r="AL9" s="384"/>
      <c r="AM9" s="384"/>
    </row>
    <row r="10" spans="1:39" ht="15.75" customHeight="1">
      <c r="A10" s="1125">
        <v>16</v>
      </c>
      <c r="B10" s="293" t="s">
        <v>7811</v>
      </c>
      <c r="C10" s="275" t="s">
        <v>31</v>
      </c>
      <c r="D10" s="489">
        <v>50200035830</v>
      </c>
      <c r="E10" s="303" t="s">
        <v>7812</v>
      </c>
      <c r="F10" s="18" t="s">
        <v>759</v>
      </c>
      <c r="G10" s="303" t="s">
        <v>76</v>
      </c>
      <c r="H10" s="274" t="s">
        <v>279</v>
      </c>
      <c r="I10" s="275">
        <v>9002071071</v>
      </c>
      <c r="J10" s="284">
        <v>9002071071</v>
      </c>
      <c r="K10" s="275" t="s">
        <v>290</v>
      </c>
      <c r="L10" s="274" t="s">
        <v>64</v>
      </c>
      <c r="M10" s="272">
        <v>29524</v>
      </c>
      <c r="N10" s="272">
        <v>51439</v>
      </c>
      <c r="O10" s="272">
        <v>45960</v>
      </c>
      <c r="P10" s="279">
        <v>45487</v>
      </c>
      <c r="Q10" s="272">
        <v>45509</v>
      </c>
      <c r="R10" s="79"/>
      <c r="S10" s="485"/>
      <c r="T10" s="485"/>
      <c r="U10" s="377" t="s">
        <v>7813</v>
      </c>
      <c r="V10" s="382">
        <f t="shared" si="0"/>
        <v>11</v>
      </c>
      <c r="W10" s="382"/>
      <c r="X10" s="1220">
        <f t="shared" ca="1" si="1"/>
        <v>45</v>
      </c>
      <c r="Y10" s="311"/>
      <c r="Z10" s="311"/>
      <c r="AA10" s="311"/>
      <c r="AB10" s="311"/>
      <c r="AC10" s="311"/>
      <c r="AD10" s="311"/>
      <c r="AE10" s="311"/>
      <c r="AF10" s="311"/>
      <c r="AG10" s="311"/>
      <c r="AH10" s="311"/>
      <c r="AI10" s="311"/>
      <c r="AJ10" s="311"/>
      <c r="AK10" s="311"/>
      <c r="AL10" s="311"/>
      <c r="AM10" s="311"/>
    </row>
    <row r="11" spans="1:39" ht="15.75" customHeight="1">
      <c r="A11" s="1125">
        <v>18</v>
      </c>
      <c r="B11" s="293" t="s">
        <v>7814</v>
      </c>
      <c r="C11" s="275" t="s">
        <v>31</v>
      </c>
      <c r="D11" s="489">
        <v>50212133700</v>
      </c>
      <c r="E11" s="274" t="s">
        <v>7815</v>
      </c>
      <c r="F11" s="18" t="s">
        <v>759</v>
      </c>
      <c r="G11" s="274" t="s">
        <v>77</v>
      </c>
      <c r="H11" s="274" t="s">
        <v>266</v>
      </c>
      <c r="I11" s="275">
        <v>8420320080</v>
      </c>
      <c r="J11" s="284">
        <v>8420320080</v>
      </c>
      <c r="K11" s="275" t="s">
        <v>290</v>
      </c>
      <c r="L11" s="18" t="s">
        <v>62</v>
      </c>
      <c r="M11" s="272">
        <v>25723</v>
      </c>
      <c r="N11" s="272">
        <v>47664</v>
      </c>
      <c r="O11" s="272">
        <v>45145</v>
      </c>
      <c r="P11" s="279">
        <v>46055</v>
      </c>
      <c r="Q11" s="272">
        <v>46077</v>
      </c>
      <c r="R11" s="79"/>
      <c r="S11" s="485"/>
      <c r="T11" s="310" t="s">
        <v>7816</v>
      </c>
      <c r="U11" s="377" t="s">
        <v>7816</v>
      </c>
      <c r="V11" s="382">
        <f t="shared" si="0"/>
        <v>11</v>
      </c>
      <c r="W11" s="382"/>
      <c r="X11" s="1220">
        <f t="shared" ca="1" si="1"/>
        <v>55</v>
      </c>
      <c r="Y11" s="311"/>
      <c r="Z11" s="311"/>
      <c r="AA11" s="311"/>
      <c r="AB11" s="311"/>
      <c r="AC11" s="311"/>
      <c r="AD11" s="311"/>
      <c r="AE11" s="311"/>
      <c r="AF11" s="311"/>
      <c r="AG11" s="311"/>
      <c r="AH11" s="311"/>
      <c r="AI11" s="311"/>
      <c r="AJ11" s="311"/>
      <c r="AK11" s="311"/>
      <c r="AL11" s="311"/>
      <c r="AM11" s="311"/>
    </row>
    <row r="12" spans="1:39" ht="15.75" customHeight="1">
      <c r="A12" s="1125">
        <v>19</v>
      </c>
      <c r="B12" s="293" t="s">
        <v>7817</v>
      </c>
      <c r="C12" s="275" t="s">
        <v>31</v>
      </c>
      <c r="D12" s="304">
        <v>50209606830</v>
      </c>
      <c r="E12" s="303" t="s">
        <v>7818</v>
      </c>
      <c r="F12" s="18" t="s">
        <v>759</v>
      </c>
      <c r="G12" s="303" t="s">
        <v>76</v>
      </c>
      <c r="H12" s="274" t="s">
        <v>279</v>
      </c>
      <c r="I12" s="275">
        <v>9002079056</v>
      </c>
      <c r="J12" s="284">
        <v>9002079056</v>
      </c>
      <c r="K12" s="275" t="s">
        <v>290</v>
      </c>
      <c r="L12" s="274" t="s">
        <v>52</v>
      </c>
      <c r="M12" s="272">
        <v>25143</v>
      </c>
      <c r="N12" s="272">
        <v>47057</v>
      </c>
      <c r="O12" s="272">
        <v>45231</v>
      </c>
      <c r="P12" s="279">
        <v>45501</v>
      </c>
      <c r="Q12" s="302">
        <v>45481</v>
      </c>
      <c r="R12" s="79"/>
      <c r="S12" s="485"/>
      <c r="T12" s="310" t="s">
        <v>7819</v>
      </c>
      <c r="U12" s="310" t="s">
        <v>7820</v>
      </c>
      <c r="V12" s="382">
        <f t="shared" si="0"/>
        <v>11</v>
      </c>
      <c r="W12" s="382"/>
      <c r="X12" s="1220">
        <f t="shared" ca="1" si="1"/>
        <v>57</v>
      </c>
      <c r="Y12" s="90"/>
      <c r="AB12" s="311">
        <f ca="1">INT((TODAY()-M12)/365)</f>
        <v>57</v>
      </c>
    </row>
    <row r="13" spans="1:39">
      <c r="A13" s="1125">
        <v>21</v>
      </c>
      <c r="B13" s="293" t="s">
        <v>7821</v>
      </c>
      <c r="C13" s="275" t="s">
        <v>31</v>
      </c>
      <c r="D13" s="304">
        <v>50205419268</v>
      </c>
      <c r="E13" s="303" t="s">
        <v>7822</v>
      </c>
      <c r="F13" s="18" t="s">
        <v>759</v>
      </c>
      <c r="G13" s="303" t="s">
        <v>76</v>
      </c>
      <c r="H13" s="274" t="s">
        <v>279</v>
      </c>
      <c r="I13" s="275">
        <v>9002079061</v>
      </c>
      <c r="J13" s="284">
        <v>9002079061</v>
      </c>
      <c r="K13" s="275" t="s">
        <v>290</v>
      </c>
      <c r="L13" s="18" t="s">
        <v>62</v>
      </c>
      <c r="M13" s="272">
        <v>27993</v>
      </c>
      <c r="N13" s="272">
        <v>49918</v>
      </c>
      <c r="O13" s="272">
        <v>45189</v>
      </c>
      <c r="P13" s="279">
        <v>45527</v>
      </c>
      <c r="Q13" s="272">
        <v>45537</v>
      </c>
      <c r="R13" s="79"/>
      <c r="S13" s="485"/>
      <c r="T13" s="310" t="s">
        <v>7823</v>
      </c>
      <c r="U13" s="603" t="s">
        <v>7824</v>
      </c>
      <c r="V13" s="382">
        <f t="shared" si="0"/>
        <v>11</v>
      </c>
      <c r="W13" s="382"/>
      <c r="X13" s="1220">
        <f t="shared" ca="1" si="1"/>
        <v>49</v>
      </c>
      <c r="Y13" s="382"/>
      <c r="Z13" s="382"/>
      <c r="AA13" s="382"/>
      <c r="AB13" s="382"/>
      <c r="AC13" s="382"/>
      <c r="AD13" s="382"/>
      <c r="AE13" s="382"/>
      <c r="AF13" s="382"/>
      <c r="AG13" s="382"/>
      <c r="AH13" s="382"/>
      <c r="AI13" s="311"/>
      <c r="AJ13" s="311"/>
      <c r="AK13" s="311"/>
      <c r="AL13" s="311"/>
      <c r="AM13" s="311"/>
    </row>
    <row r="14" spans="1:39">
      <c r="A14" s="1125">
        <v>24</v>
      </c>
      <c r="B14" s="293" t="s">
        <v>7825</v>
      </c>
      <c r="C14" s="275" t="s">
        <v>31</v>
      </c>
      <c r="D14" s="304">
        <v>50207347169</v>
      </c>
      <c r="E14" s="303" t="s">
        <v>7826</v>
      </c>
      <c r="F14" s="18" t="s">
        <v>759</v>
      </c>
      <c r="G14" s="303" t="s">
        <v>76</v>
      </c>
      <c r="H14" s="274" t="s">
        <v>279</v>
      </c>
      <c r="I14" s="275">
        <v>9002071830</v>
      </c>
      <c r="J14" s="650">
        <v>9002071830</v>
      </c>
      <c r="K14" s="275" t="s">
        <v>290</v>
      </c>
      <c r="L14" s="274" t="s">
        <v>52</v>
      </c>
      <c r="M14" s="272">
        <v>24473</v>
      </c>
      <c r="N14" s="272">
        <v>46387</v>
      </c>
      <c r="O14" s="272">
        <v>45128</v>
      </c>
      <c r="P14" s="278">
        <v>45662</v>
      </c>
      <c r="Q14" s="272">
        <v>45563</v>
      </c>
      <c r="R14" s="79"/>
      <c r="S14" s="485"/>
      <c r="T14" s="858" t="s">
        <v>7827</v>
      </c>
      <c r="U14" s="955" t="s">
        <v>7827</v>
      </c>
      <c r="V14" s="382">
        <f t="shared" si="0"/>
        <v>11</v>
      </c>
      <c r="W14" s="382"/>
      <c r="X14" s="1220">
        <f t="shared" ca="1" si="1"/>
        <v>59</v>
      </c>
      <c r="Y14" s="3"/>
      <c r="Z14" s="79"/>
      <c r="AA14" s="79"/>
      <c r="AB14" s="382">
        <f ca="1">INT((TODAY()-M14)/365)</f>
        <v>59</v>
      </c>
      <c r="AC14" s="79"/>
      <c r="AD14" s="79"/>
      <c r="AE14" s="79"/>
      <c r="AF14" s="79"/>
      <c r="AG14" s="79"/>
      <c r="AH14" s="79"/>
    </row>
    <row r="15" spans="1:39" ht="18.75">
      <c r="A15" s="1125">
        <v>25</v>
      </c>
      <c r="B15" s="276" t="s">
        <v>7828</v>
      </c>
      <c r="C15" s="307" t="s">
        <v>31</v>
      </c>
      <c r="D15" s="677">
        <v>50212123808</v>
      </c>
      <c r="E15" s="674" t="s">
        <v>7829</v>
      </c>
      <c r="F15" s="685" t="s">
        <v>759</v>
      </c>
      <c r="G15" s="337" t="s">
        <v>77</v>
      </c>
      <c r="H15" s="303" t="s">
        <v>266</v>
      </c>
      <c r="I15" s="307">
        <v>8420320078</v>
      </c>
      <c r="J15" s="307">
        <v>8420320078</v>
      </c>
      <c r="K15" s="275" t="s">
        <v>290</v>
      </c>
      <c r="L15" s="398" t="s">
        <v>56</v>
      </c>
      <c r="M15" s="278">
        <v>25924</v>
      </c>
      <c r="N15" s="315">
        <v>47848</v>
      </c>
      <c r="O15" s="278">
        <v>45740</v>
      </c>
      <c r="P15" s="279">
        <v>45274</v>
      </c>
      <c r="Q15" s="302">
        <v>45481</v>
      </c>
      <c r="R15" s="285"/>
      <c r="S15" s="317"/>
      <c r="T15" s="339" t="s">
        <v>7830</v>
      </c>
      <c r="U15" s="318" t="s">
        <v>7831</v>
      </c>
      <c r="V15" s="285">
        <f t="shared" si="0"/>
        <v>11</v>
      </c>
      <c r="W15" s="3"/>
      <c r="X15" s="90"/>
      <c r="Y15" s="382"/>
      <c r="Z15" s="382"/>
      <c r="AA15" s="382"/>
      <c r="AB15" s="382"/>
      <c r="AC15" s="382"/>
      <c r="AD15" s="382"/>
      <c r="AE15" s="382"/>
      <c r="AF15" s="382"/>
      <c r="AG15" s="382"/>
      <c r="AH15" s="382"/>
      <c r="AI15" s="311"/>
      <c r="AJ15" s="311"/>
      <c r="AK15" s="311"/>
      <c r="AL15" s="311"/>
      <c r="AM15" s="311"/>
    </row>
    <row r="16" spans="1:39" ht="18.75">
      <c r="A16" s="1125">
        <v>26</v>
      </c>
      <c r="B16" s="276" t="s">
        <v>7832</v>
      </c>
      <c r="C16" s="307" t="s">
        <v>31</v>
      </c>
      <c r="D16" s="675">
        <v>50205564001</v>
      </c>
      <c r="E16" s="303" t="s">
        <v>7833</v>
      </c>
      <c r="F16" s="685" t="s">
        <v>759</v>
      </c>
      <c r="G16" s="337" t="s">
        <v>77</v>
      </c>
      <c r="H16" s="303" t="s">
        <v>279</v>
      </c>
      <c r="I16" s="307">
        <v>8420320020</v>
      </c>
      <c r="J16" s="307">
        <v>8420320020</v>
      </c>
      <c r="K16" s="275" t="s">
        <v>290</v>
      </c>
      <c r="L16" s="274" t="s">
        <v>44</v>
      </c>
      <c r="M16" s="278">
        <v>30922</v>
      </c>
      <c r="N16" s="315">
        <v>49187</v>
      </c>
      <c r="O16" s="278">
        <v>46138</v>
      </c>
      <c r="P16" s="278">
        <v>45115</v>
      </c>
      <c r="Q16" s="272">
        <v>45145</v>
      </c>
      <c r="R16" s="338"/>
      <c r="S16" s="285"/>
      <c r="T16" s="285"/>
      <c r="U16" s="318" t="s">
        <v>7834</v>
      </c>
      <c r="V16" s="285">
        <f t="shared" si="0"/>
        <v>11</v>
      </c>
      <c r="W16" s="90"/>
      <c r="X16" s="90"/>
      <c r="Y16" s="311"/>
      <c r="Z16" s="311"/>
      <c r="AA16" s="311"/>
      <c r="AB16" s="311"/>
      <c r="AC16" s="311"/>
      <c r="AD16" s="311"/>
      <c r="AE16" s="311"/>
      <c r="AF16" s="311"/>
      <c r="AG16" s="311"/>
      <c r="AH16" s="311"/>
      <c r="AI16" s="311"/>
      <c r="AJ16" s="311"/>
      <c r="AK16" s="311"/>
      <c r="AL16" s="311"/>
      <c r="AM16" s="311"/>
    </row>
    <row r="17" spans="1:39" ht="15.75">
      <c r="A17" s="1125">
        <v>29</v>
      </c>
      <c r="B17" s="293" t="s">
        <v>7835</v>
      </c>
      <c r="C17" s="275" t="s">
        <v>31</v>
      </c>
      <c r="D17" s="304">
        <v>50200035786</v>
      </c>
      <c r="E17" s="303" t="s">
        <v>7836</v>
      </c>
      <c r="F17" s="18" t="s">
        <v>759</v>
      </c>
      <c r="G17" s="303" t="s">
        <v>76</v>
      </c>
      <c r="H17" s="274" t="s">
        <v>279</v>
      </c>
      <c r="I17" s="275">
        <v>9002071385</v>
      </c>
      <c r="J17" s="275"/>
      <c r="K17" s="275" t="s">
        <v>290</v>
      </c>
      <c r="L17" s="398" t="s">
        <v>56</v>
      </c>
      <c r="M17" s="272">
        <v>29132</v>
      </c>
      <c r="N17" s="272">
        <v>51074</v>
      </c>
      <c r="O17" s="272">
        <v>45569</v>
      </c>
      <c r="P17" s="279">
        <v>45212</v>
      </c>
      <c r="Q17" s="302">
        <v>45177</v>
      </c>
      <c r="R17" s="79"/>
      <c r="S17" s="485"/>
      <c r="T17" s="310" t="s">
        <v>7837</v>
      </c>
      <c r="U17" s="603" t="s">
        <v>7838</v>
      </c>
      <c r="V17" s="382">
        <f t="shared" si="0"/>
        <v>11</v>
      </c>
      <c r="W17" s="382"/>
      <c r="X17" s="1220">
        <f t="shared" ref="X17:X38" ca="1" si="2">INT((TODAY()-M17)/365)</f>
        <v>46</v>
      </c>
      <c r="Y17" s="382"/>
      <c r="Z17" s="382"/>
      <c r="AA17" s="382"/>
      <c r="AB17" s="382"/>
      <c r="AC17" s="382"/>
      <c r="AD17" s="382"/>
      <c r="AE17" s="382"/>
      <c r="AF17" s="382"/>
      <c r="AG17" s="382"/>
      <c r="AH17" s="382"/>
      <c r="AI17" s="311"/>
      <c r="AJ17" s="311"/>
      <c r="AK17" s="311"/>
      <c r="AL17" s="311"/>
      <c r="AM17" s="311"/>
    </row>
    <row r="18" spans="1:39">
      <c r="A18" s="1125">
        <v>31</v>
      </c>
      <c r="B18" s="351" t="s">
        <v>7839</v>
      </c>
      <c r="C18" s="275" t="s">
        <v>31</v>
      </c>
      <c r="D18" s="304">
        <v>50207351409</v>
      </c>
      <c r="E18" s="303" t="s">
        <v>7840</v>
      </c>
      <c r="F18" s="18" t="s">
        <v>759</v>
      </c>
      <c r="G18" s="303" t="s">
        <v>76</v>
      </c>
      <c r="H18" s="274" t="s">
        <v>279</v>
      </c>
      <c r="I18" s="275">
        <v>9002079015</v>
      </c>
      <c r="J18" s="275">
        <v>9002079015</v>
      </c>
      <c r="K18" s="275" t="s">
        <v>290</v>
      </c>
      <c r="L18" s="303" t="s">
        <v>52</v>
      </c>
      <c r="M18" s="272">
        <v>26959</v>
      </c>
      <c r="N18" s="272">
        <v>48883</v>
      </c>
      <c r="O18" s="272">
        <v>45593</v>
      </c>
      <c r="P18" s="302">
        <v>45695</v>
      </c>
      <c r="Q18" s="302">
        <v>45705</v>
      </c>
      <c r="R18" s="79"/>
      <c r="S18" s="485"/>
      <c r="T18" s="603" t="s">
        <v>7841</v>
      </c>
      <c r="U18" s="603" t="s">
        <v>7841</v>
      </c>
      <c r="V18" s="382">
        <f t="shared" si="0"/>
        <v>11</v>
      </c>
      <c r="W18" s="311"/>
      <c r="X18" s="1220">
        <f t="shared" ca="1" si="2"/>
        <v>52</v>
      </c>
      <c r="Y18" s="311"/>
      <c r="Z18" s="311"/>
      <c r="AA18" s="311"/>
      <c r="AB18" s="311"/>
      <c r="AC18" s="311"/>
      <c r="AD18" s="311"/>
      <c r="AE18" s="311"/>
      <c r="AF18" s="311"/>
      <c r="AG18" s="311"/>
      <c r="AH18" s="311"/>
      <c r="AI18" s="311"/>
      <c r="AJ18" s="311"/>
      <c r="AK18" s="311"/>
      <c r="AL18" s="311"/>
      <c r="AM18" s="311"/>
    </row>
    <row r="19" spans="1:39">
      <c r="A19" s="1125">
        <v>34</v>
      </c>
      <c r="B19" s="293" t="s">
        <v>7842</v>
      </c>
      <c r="C19" s="275" t="s">
        <v>31</v>
      </c>
      <c r="D19" s="304">
        <v>50205424290</v>
      </c>
      <c r="E19" s="303" t="s">
        <v>7843</v>
      </c>
      <c r="F19" s="18" t="s">
        <v>759</v>
      </c>
      <c r="G19" s="303" t="s">
        <v>76</v>
      </c>
      <c r="H19" s="274" t="s">
        <v>279</v>
      </c>
      <c r="I19" s="275">
        <v>9002079074</v>
      </c>
      <c r="J19" s="275"/>
      <c r="K19" s="275" t="s">
        <v>290</v>
      </c>
      <c r="L19" s="656" t="s">
        <v>417</v>
      </c>
      <c r="M19" s="272">
        <v>26232</v>
      </c>
      <c r="N19" s="272">
        <v>48152</v>
      </c>
      <c r="O19" s="272">
        <v>45834</v>
      </c>
      <c r="P19" s="279">
        <v>45212</v>
      </c>
      <c r="Q19" s="272">
        <v>45145</v>
      </c>
      <c r="R19" s="79"/>
      <c r="S19" s="485"/>
      <c r="T19" s="486" t="s">
        <v>7844</v>
      </c>
      <c r="U19" s="603" t="s">
        <v>7845</v>
      </c>
      <c r="V19" s="382">
        <f t="shared" si="0"/>
        <v>11</v>
      </c>
      <c r="W19" s="311"/>
      <c r="X19" s="48">
        <f t="shared" ca="1" si="2"/>
        <v>54</v>
      </c>
      <c r="Y19" s="382"/>
      <c r="Z19" s="382"/>
      <c r="AA19" s="382"/>
      <c r="AB19" s="382"/>
      <c r="AC19" s="382"/>
      <c r="AD19" s="382"/>
      <c r="AE19" s="382"/>
      <c r="AF19" s="382"/>
      <c r="AG19" s="382"/>
      <c r="AH19" s="382"/>
      <c r="AI19" s="311"/>
      <c r="AJ19" s="311"/>
      <c r="AK19" s="311"/>
      <c r="AL19" s="311"/>
      <c r="AM19" s="311"/>
    </row>
    <row r="20" spans="1:39">
      <c r="A20" s="1125">
        <v>36</v>
      </c>
      <c r="B20" s="293" t="s">
        <v>7846</v>
      </c>
      <c r="C20" s="275" t="s">
        <v>31</v>
      </c>
      <c r="D20" s="304">
        <v>50205830989</v>
      </c>
      <c r="E20" s="303" t="s">
        <v>7847</v>
      </c>
      <c r="F20" s="18" t="s">
        <v>759</v>
      </c>
      <c r="G20" s="303" t="s">
        <v>76</v>
      </c>
      <c r="H20" s="274" t="s">
        <v>279</v>
      </c>
      <c r="I20" s="275">
        <v>9002071845</v>
      </c>
      <c r="J20" s="275"/>
      <c r="K20" s="275" t="s">
        <v>290</v>
      </c>
      <c r="L20" s="274" t="s">
        <v>417</v>
      </c>
      <c r="M20" s="272">
        <v>25119</v>
      </c>
      <c r="N20" s="272">
        <v>47057</v>
      </c>
      <c r="O20" s="272">
        <v>45116</v>
      </c>
      <c r="P20" s="279">
        <v>45552</v>
      </c>
      <c r="Q20" s="272">
        <v>45563</v>
      </c>
      <c r="R20" s="79"/>
      <c r="S20" s="485"/>
      <c r="T20" s="603" t="s">
        <v>7848</v>
      </c>
      <c r="U20" s="603" t="s">
        <v>7848</v>
      </c>
      <c r="V20" s="382">
        <f t="shared" si="0"/>
        <v>11</v>
      </c>
      <c r="W20" s="311"/>
      <c r="X20" s="48">
        <f t="shared" ca="1" si="2"/>
        <v>57</v>
      </c>
      <c r="Y20" s="79"/>
      <c r="Z20" s="79"/>
      <c r="AA20" s="79"/>
      <c r="AB20" s="79"/>
      <c r="AC20" s="79"/>
      <c r="AD20" s="79"/>
      <c r="AE20" s="79"/>
      <c r="AF20" s="79"/>
      <c r="AG20" s="79"/>
      <c r="AH20" s="79"/>
    </row>
    <row r="21" spans="1:39">
      <c r="A21" s="1125">
        <v>37</v>
      </c>
      <c r="B21" s="293" t="s">
        <v>7849</v>
      </c>
      <c r="C21" s="275" t="s">
        <v>31</v>
      </c>
      <c r="D21" s="304">
        <v>50205418355</v>
      </c>
      <c r="E21" s="274" t="s">
        <v>7850</v>
      </c>
      <c r="F21" s="18" t="s">
        <v>759</v>
      </c>
      <c r="G21" s="274" t="s">
        <v>77</v>
      </c>
      <c r="H21" s="274" t="s">
        <v>279</v>
      </c>
      <c r="I21" s="275">
        <v>9002071847</v>
      </c>
      <c r="J21" s="275"/>
      <c r="K21" s="275" t="s">
        <v>290</v>
      </c>
      <c r="L21" s="274" t="s">
        <v>417</v>
      </c>
      <c r="M21" s="272">
        <v>25273</v>
      </c>
      <c r="N21" s="272">
        <v>47208</v>
      </c>
      <c r="O21" s="272">
        <v>45126</v>
      </c>
      <c r="P21" s="279">
        <v>45487</v>
      </c>
      <c r="Q21" s="302">
        <v>45397</v>
      </c>
      <c r="R21" s="79"/>
      <c r="S21" s="485"/>
      <c r="T21" s="603" t="s">
        <v>7851</v>
      </c>
      <c r="U21" s="603" t="s">
        <v>7852</v>
      </c>
      <c r="V21" s="382">
        <f t="shared" si="0"/>
        <v>11</v>
      </c>
      <c r="W21" s="311"/>
      <c r="X21" s="48">
        <f t="shared" ca="1" si="2"/>
        <v>57</v>
      </c>
      <c r="Y21" s="3"/>
      <c r="Z21" s="79"/>
      <c r="AA21" s="79"/>
      <c r="AB21" s="382">
        <f ca="1">INT((TODAY()-M21)/365)</f>
        <v>57</v>
      </c>
      <c r="AC21" s="79"/>
      <c r="AD21" s="79"/>
      <c r="AE21" s="79"/>
      <c r="AF21" s="79"/>
      <c r="AG21" s="79"/>
      <c r="AH21" s="79"/>
    </row>
    <row r="22" spans="1:39">
      <c r="A22" s="1125">
        <v>38</v>
      </c>
      <c r="B22" s="293" t="s">
        <v>7853</v>
      </c>
      <c r="C22" s="275" t="s">
        <v>31</v>
      </c>
      <c r="D22" s="304">
        <v>50205384540</v>
      </c>
      <c r="E22" s="303" t="s">
        <v>7854</v>
      </c>
      <c r="F22" s="18" t="s">
        <v>759</v>
      </c>
      <c r="G22" s="303" t="s">
        <v>76</v>
      </c>
      <c r="H22" s="274" t="s">
        <v>279</v>
      </c>
      <c r="I22" s="275">
        <v>9002071716</v>
      </c>
      <c r="J22" s="275"/>
      <c r="K22" s="275" t="s">
        <v>290</v>
      </c>
      <c r="L22" s="274" t="s">
        <v>64</v>
      </c>
      <c r="M22" s="272">
        <v>24859</v>
      </c>
      <c r="N22" s="272">
        <v>46783</v>
      </c>
      <c r="O22" s="272"/>
      <c r="P22" s="272">
        <v>45863</v>
      </c>
      <c r="Q22" s="272">
        <v>45843</v>
      </c>
      <c r="S22" s="485"/>
      <c r="T22" s="486" t="s">
        <v>7855</v>
      </c>
      <c r="U22" s="486" t="s">
        <v>7856</v>
      </c>
      <c r="V22" s="382">
        <f t="shared" si="0"/>
        <v>11</v>
      </c>
      <c r="W22" s="311"/>
      <c r="X22" s="48">
        <f t="shared" ca="1" si="2"/>
        <v>58</v>
      </c>
      <c r="Y22" s="382"/>
      <c r="Z22" s="382"/>
      <c r="AA22" s="382"/>
      <c r="AB22" s="382"/>
      <c r="AC22" s="382"/>
      <c r="AD22" s="382"/>
      <c r="AE22" s="382"/>
      <c r="AF22" s="382"/>
      <c r="AG22" s="382"/>
      <c r="AH22" s="382"/>
      <c r="AI22" s="311"/>
      <c r="AJ22" s="311"/>
      <c r="AK22" s="311"/>
      <c r="AL22" s="311"/>
      <c r="AM22" s="311"/>
    </row>
    <row r="23" spans="1:39">
      <c r="A23" s="1125">
        <v>39</v>
      </c>
      <c r="B23" s="293" t="s">
        <v>7857</v>
      </c>
      <c r="C23" s="275" t="s">
        <v>31</v>
      </c>
      <c r="D23" s="304" t="s">
        <v>7858</v>
      </c>
      <c r="E23" s="303" t="s">
        <v>7859</v>
      </c>
      <c r="F23" s="18" t="s">
        <v>759</v>
      </c>
      <c r="G23" s="303" t="s">
        <v>76</v>
      </c>
      <c r="H23" s="274" t="s">
        <v>279</v>
      </c>
      <c r="I23" s="275">
        <v>8420320062</v>
      </c>
      <c r="J23" s="275"/>
      <c r="K23" s="275" t="s">
        <v>290</v>
      </c>
      <c r="L23" s="18" t="s">
        <v>55</v>
      </c>
      <c r="M23" s="272">
        <v>27278</v>
      </c>
      <c r="N23" s="272">
        <v>49217</v>
      </c>
      <c r="O23" s="272">
        <v>45175</v>
      </c>
      <c r="P23" s="279">
        <v>45807</v>
      </c>
      <c r="Q23" s="272">
        <v>45815</v>
      </c>
      <c r="R23" s="79"/>
      <c r="S23" s="485"/>
      <c r="T23" s="486" t="s">
        <v>7860</v>
      </c>
      <c r="U23" s="486" t="s">
        <v>7860</v>
      </c>
      <c r="V23" s="382">
        <f t="shared" si="0"/>
        <v>11</v>
      </c>
      <c r="W23" s="311"/>
      <c r="X23" s="48">
        <f t="shared" ca="1" si="2"/>
        <v>51</v>
      </c>
      <c r="Y23" s="3"/>
      <c r="Z23" s="79"/>
      <c r="AA23" s="79"/>
      <c r="AB23" s="382">
        <f ca="1">INT((TODAY()-M23)/365)</f>
        <v>51</v>
      </c>
      <c r="AC23" s="79"/>
      <c r="AD23" s="79"/>
      <c r="AE23" s="79"/>
      <c r="AF23" s="79"/>
      <c r="AG23" s="79"/>
      <c r="AH23" s="79"/>
    </row>
    <row r="24" spans="1:39">
      <c r="A24" s="1125">
        <v>40</v>
      </c>
      <c r="B24" s="293" t="s">
        <v>7861</v>
      </c>
      <c r="C24" s="275" t="s">
        <v>31</v>
      </c>
      <c r="D24" s="489">
        <v>50205393942</v>
      </c>
      <c r="E24" s="303" t="s">
        <v>7862</v>
      </c>
      <c r="F24" s="137" t="s">
        <v>759</v>
      </c>
      <c r="G24" s="303" t="s">
        <v>76</v>
      </c>
      <c r="H24" s="274" t="s">
        <v>279</v>
      </c>
      <c r="I24" s="275">
        <v>8420320064</v>
      </c>
      <c r="J24" s="275">
        <v>8420320064</v>
      </c>
      <c r="K24" s="275" t="s">
        <v>290</v>
      </c>
      <c r="L24" s="18" t="s">
        <v>62</v>
      </c>
      <c r="M24" s="272">
        <v>25640</v>
      </c>
      <c r="N24" s="272">
        <v>47573</v>
      </c>
      <c r="O24" s="272">
        <v>45346</v>
      </c>
      <c r="P24" s="279">
        <v>45807</v>
      </c>
      <c r="Q24" s="272">
        <v>45815</v>
      </c>
      <c r="R24" s="79"/>
      <c r="S24" s="485"/>
      <c r="T24" s="486" t="s">
        <v>7863</v>
      </c>
      <c r="U24" s="486" t="s">
        <v>7864</v>
      </c>
      <c r="V24" s="382">
        <f t="shared" si="0"/>
        <v>11</v>
      </c>
      <c r="W24" s="311"/>
      <c r="X24" s="48">
        <f t="shared" ca="1" si="2"/>
        <v>56</v>
      </c>
      <c r="Y24" s="382"/>
      <c r="Z24" s="382"/>
      <c r="AA24" s="382"/>
      <c r="AB24" s="382"/>
      <c r="AC24" s="382"/>
      <c r="AD24" s="382"/>
      <c r="AE24" s="382"/>
      <c r="AF24" s="382"/>
      <c r="AG24" s="382"/>
      <c r="AH24" s="382"/>
      <c r="AI24" s="311"/>
      <c r="AJ24" s="311"/>
      <c r="AK24" s="311"/>
      <c r="AL24" s="311"/>
      <c r="AM24" s="311"/>
    </row>
    <row r="25" spans="1:39">
      <c r="A25" s="1125">
        <v>44</v>
      </c>
      <c r="B25" s="1097" t="s">
        <v>7865</v>
      </c>
      <c r="C25" s="275" t="s">
        <v>31</v>
      </c>
      <c r="D25" s="2150">
        <v>50205421081</v>
      </c>
      <c r="E25" s="303" t="s">
        <v>7866</v>
      </c>
      <c r="F25" s="18" t="s">
        <v>759</v>
      </c>
      <c r="G25" s="303" t="s">
        <v>76</v>
      </c>
      <c r="H25" s="274" t="s">
        <v>279</v>
      </c>
      <c r="I25" s="275">
        <v>9002079080</v>
      </c>
      <c r="J25" s="284">
        <v>7001469427</v>
      </c>
      <c r="K25" s="275" t="s">
        <v>290</v>
      </c>
      <c r="L25" s="274" t="s">
        <v>417</v>
      </c>
      <c r="M25" s="272">
        <v>27387</v>
      </c>
      <c r="N25" s="272">
        <v>49309</v>
      </c>
      <c r="O25" s="272">
        <v>45712</v>
      </c>
      <c r="P25" s="279">
        <v>45527</v>
      </c>
      <c r="Q25" s="272">
        <v>45537</v>
      </c>
      <c r="R25" s="79"/>
      <c r="S25" s="485"/>
      <c r="T25" s="486" t="s">
        <v>7867</v>
      </c>
      <c r="U25" s="486" t="s">
        <v>7867</v>
      </c>
      <c r="V25" s="382">
        <f t="shared" si="0"/>
        <v>11</v>
      </c>
      <c r="W25" s="311"/>
      <c r="X25" s="1220">
        <f t="shared" ca="1" si="2"/>
        <v>51</v>
      </c>
      <c r="Y25" s="311"/>
      <c r="AB25" s="311"/>
      <c r="AC25" s="311"/>
      <c r="AD25" s="311"/>
      <c r="AE25" s="311"/>
      <c r="AF25" s="311"/>
      <c r="AG25" s="311"/>
      <c r="AH25" s="311"/>
      <c r="AI25" s="311"/>
      <c r="AJ25" s="311"/>
      <c r="AK25" s="311"/>
      <c r="AL25" s="311"/>
      <c r="AM25" s="311"/>
    </row>
    <row r="26" spans="1:39">
      <c r="A26" s="1125">
        <v>45</v>
      </c>
      <c r="B26" s="1097" t="s">
        <v>7868</v>
      </c>
      <c r="C26" s="275" t="s">
        <v>31</v>
      </c>
      <c r="D26" s="2151">
        <v>50274866151</v>
      </c>
      <c r="E26" s="303" t="s">
        <v>7869</v>
      </c>
      <c r="F26" s="18" t="s">
        <v>759</v>
      </c>
      <c r="G26" s="303" t="s">
        <v>76</v>
      </c>
      <c r="H26" s="274" t="s">
        <v>279</v>
      </c>
      <c r="I26" s="275">
        <v>9002071197</v>
      </c>
      <c r="J26" s="275">
        <v>9002071197</v>
      </c>
      <c r="K26" s="275" t="s">
        <v>290</v>
      </c>
      <c r="L26" s="274" t="s">
        <v>52</v>
      </c>
      <c r="M26" s="272">
        <v>25639</v>
      </c>
      <c r="N26" s="272">
        <v>47573</v>
      </c>
      <c r="O26" s="272">
        <v>45192</v>
      </c>
      <c r="P26" s="278">
        <v>45115</v>
      </c>
      <c r="Q26" s="272">
        <v>45145</v>
      </c>
      <c r="R26" s="79"/>
      <c r="S26" s="485"/>
      <c r="T26" s="486" t="s">
        <v>7870</v>
      </c>
      <c r="U26" s="486" t="s">
        <v>7870</v>
      </c>
      <c r="V26" s="382">
        <f t="shared" si="0"/>
        <v>11</v>
      </c>
      <c r="W26" s="311"/>
      <c r="X26" s="1220">
        <f t="shared" ca="1" si="2"/>
        <v>56</v>
      </c>
    </row>
    <row r="27" spans="1:39">
      <c r="A27" s="1125">
        <v>46</v>
      </c>
      <c r="B27" s="399" t="s">
        <v>7871</v>
      </c>
      <c r="C27" s="275" t="s">
        <v>31</v>
      </c>
      <c r="D27" s="1098">
        <v>50209540593</v>
      </c>
      <c r="E27" s="274" t="s">
        <v>7872</v>
      </c>
      <c r="F27" s="18" t="s">
        <v>759</v>
      </c>
      <c r="G27" s="274" t="s">
        <v>77</v>
      </c>
      <c r="H27" s="274" t="s">
        <v>279</v>
      </c>
      <c r="I27" s="275">
        <v>9002079302</v>
      </c>
      <c r="J27" s="275"/>
      <c r="K27" s="275" t="s">
        <v>290</v>
      </c>
      <c r="L27" s="303" t="s">
        <v>52</v>
      </c>
      <c r="M27" s="272">
        <v>30043</v>
      </c>
      <c r="N27" s="272">
        <v>51986</v>
      </c>
      <c r="O27" s="272">
        <v>45497</v>
      </c>
      <c r="P27" s="279">
        <v>45720</v>
      </c>
      <c r="Q27" s="272">
        <v>45731</v>
      </c>
      <c r="R27" s="79"/>
      <c r="S27" s="485"/>
      <c r="T27" s="486" t="s">
        <v>7873</v>
      </c>
      <c r="U27" s="486" t="s">
        <v>7874</v>
      </c>
      <c r="V27" s="382">
        <f t="shared" si="0"/>
        <v>11</v>
      </c>
      <c r="W27" s="311"/>
      <c r="X27" s="1220">
        <f t="shared" ca="1" si="2"/>
        <v>43</v>
      </c>
      <c r="AB27" s="311"/>
      <c r="AC27" s="311"/>
      <c r="AD27" s="311"/>
      <c r="AE27" s="311"/>
      <c r="AF27" s="311"/>
      <c r="AG27" s="311"/>
      <c r="AH27" s="311"/>
      <c r="AI27" s="311"/>
      <c r="AJ27" s="311"/>
      <c r="AK27" s="311"/>
      <c r="AL27" s="311"/>
      <c r="AM27" s="311"/>
    </row>
    <row r="28" spans="1:39" ht="15.75">
      <c r="A28" s="1125">
        <v>47</v>
      </c>
      <c r="B28" s="1097" t="s">
        <v>7875</v>
      </c>
      <c r="C28" s="275" t="s">
        <v>31</v>
      </c>
      <c r="D28" s="1098">
        <v>50205559030</v>
      </c>
      <c r="E28" s="303" t="s">
        <v>7876</v>
      </c>
      <c r="F28" s="18" t="s">
        <v>759</v>
      </c>
      <c r="G28" s="303" t="s">
        <v>76</v>
      </c>
      <c r="H28" s="274" t="s">
        <v>266</v>
      </c>
      <c r="I28" s="275">
        <v>8420320067</v>
      </c>
      <c r="J28" s="275"/>
      <c r="K28" s="275" t="s">
        <v>290</v>
      </c>
      <c r="L28" s="398" t="s">
        <v>52</v>
      </c>
      <c r="M28" s="272">
        <v>30651</v>
      </c>
      <c r="N28" s="272">
        <v>52565</v>
      </c>
      <c r="O28" s="272">
        <v>46000</v>
      </c>
      <c r="P28" s="278">
        <v>45115</v>
      </c>
      <c r="Q28" s="272">
        <v>45145</v>
      </c>
      <c r="R28" s="79"/>
      <c r="S28" s="485"/>
      <c r="T28" s="486" t="s">
        <v>7877</v>
      </c>
      <c r="U28" s="486" t="s">
        <v>7877</v>
      </c>
      <c r="V28" s="382">
        <f t="shared" si="0"/>
        <v>11</v>
      </c>
      <c r="W28" s="311"/>
      <c r="X28" s="1220">
        <f t="shared" ca="1" si="2"/>
        <v>42</v>
      </c>
      <c r="AB28" s="311"/>
      <c r="AC28" s="311"/>
      <c r="AD28" s="311"/>
      <c r="AE28" s="311"/>
      <c r="AF28" s="311"/>
      <c r="AG28" s="311"/>
      <c r="AH28" s="311"/>
      <c r="AI28" s="311"/>
      <c r="AJ28" s="311"/>
      <c r="AK28" s="311"/>
      <c r="AL28" s="311"/>
      <c r="AM28" s="311"/>
    </row>
    <row r="29" spans="1:39">
      <c r="A29" s="1125">
        <v>48</v>
      </c>
      <c r="B29" s="1097" t="s">
        <v>7878</v>
      </c>
      <c r="C29" s="275" t="s">
        <v>31</v>
      </c>
      <c r="D29" s="1098">
        <v>50209380103</v>
      </c>
      <c r="E29" s="274" t="s">
        <v>7879</v>
      </c>
      <c r="F29" s="18" t="s">
        <v>759</v>
      </c>
      <c r="G29" s="274" t="s">
        <v>77</v>
      </c>
      <c r="H29" s="274" t="s">
        <v>279</v>
      </c>
      <c r="I29" s="275">
        <v>9002071203</v>
      </c>
      <c r="J29" s="284">
        <v>7003144279</v>
      </c>
      <c r="K29" s="275" t="s">
        <v>290</v>
      </c>
      <c r="L29" s="18" t="s">
        <v>55</v>
      </c>
      <c r="M29" s="272">
        <v>24506</v>
      </c>
      <c r="N29" s="272">
        <v>46446</v>
      </c>
      <c r="O29" s="272">
        <v>45325</v>
      </c>
      <c r="P29" s="279">
        <v>45501</v>
      </c>
      <c r="Q29" s="302">
        <v>45481</v>
      </c>
      <c r="R29" s="79"/>
      <c r="S29" s="485"/>
      <c r="T29" s="486" t="s">
        <v>7880</v>
      </c>
      <c r="U29" s="486" t="s">
        <v>7881</v>
      </c>
      <c r="V29" s="382">
        <f t="shared" si="0"/>
        <v>11</v>
      </c>
      <c r="W29" s="311"/>
      <c r="X29" s="1220">
        <f t="shared" ca="1" si="2"/>
        <v>59</v>
      </c>
      <c r="AB29" s="311"/>
      <c r="AC29" s="311"/>
      <c r="AD29" s="311"/>
      <c r="AE29" s="311"/>
      <c r="AF29" s="311"/>
      <c r="AG29" s="311"/>
      <c r="AH29" s="311"/>
      <c r="AI29" s="311"/>
      <c r="AJ29" s="311"/>
      <c r="AK29" s="311"/>
      <c r="AL29" s="311"/>
      <c r="AM29" s="311"/>
    </row>
    <row r="30" spans="1:39">
      <c r="A30" s="1125">
        <v>49</v>
      </c>
      <c r="B30" s="1097" t="s">
        <v>7882</v>
      </c>
      <c r="C30" s="275" t="s">
        <v>31</v>
      </c>
      <c r="D30" s="1098">
        <v>50204685179</v>
      </c>
      <c r="E30" s="303" t="s">
        <v>7883</v>
      </c>
      <c r="F30" s="18" t="s">
        <v>759</v>
      </c>
      <c r="G30" s="303" t="s">
        <v>76</v>
      </c>
      <c r="H30" s="274" t="s">
        <v>279</v>
      </c>
      <c r="I30" s="275">
        <v>8420320065</v>
      </c>
      <c r="J30" s="1848"/>
      <c r="K30" s="275" t="s">
        <v>290</v>
      </c>
      <c r="L30" s="274" t="s">
        <v>54</v>
      </c>
      <c r="M30" s="272">
        <v>26978</v>
      </c>
      <c r="N30" s="272">
        <v>48913</v>
      </c>
      <c r="O30" s="272">
        <v>45600</v>
      </c>
      <c r="P30" s="279">
        <v>45807</v>
      </c>
      <c r="Q30" s="272">
        <v>45815</v>
      </c>
      <c r="R30" s="79"/>
      <c r="S30" s="485"/>
      <c r="T30" s="486" t="s">
        <v>7884</v>
      </c>
      <c r="U30" s="486" t="s">
        <v>7885</v>
      </c>
      <c r="V30" s="382">
        <f t="shared" si="0"/>
        <v>11</v>
      </c>
      <c r="W30" s="311"/>
      <c r="X30" s="1220">
        <f t="shared" ca="1" si="2"/>
        <v>52</v>
      </c>
    </row>
    <row r="31" spans="1:39">
      <c r="A31" s="1125">
        <v>50</v>
      </c>
      <c r="B31" s="1097" t="s">
        <v>7886</v>
      </c>
      <c r="C31" s="275" t="s">
        <v>31</v>
      </c>
      <c r="D31" s="1098">
        <v>50204682336</v>
      </c>
      <c r="E31" s="303" t="s">
        <v>7887</v>
      </c>
      <c r="F31" s="18" t="s">
        <v>759</v>
      </c>
      <c r="G31" s="303" t="s">
        <v>76</v>
      </c>
      <c r="H31" s="274" t="s">
        <v>266</v>
      </c>
      <c r="I31" s="275">
        <v>9002079093</v>
      </c>
      <c r="J31" s="275">
        <v>9002079093</v>
      </c>
      <c r="K31" s="275" t="s">
        <v>290</v>
      </c>
      <c r="L31" s="274" t="s">
        <v>417</v>
      </c>
      <c r="M31" s="272">
        <v>24840</v>
      </c>
      <c r="N31" s="272">
        <v>46783</v>
      </c>
      <c r="O31" s="272">
        <v>45282</v>
      </c>
      <c r="P31" s="279">
        <v>45487</v>
      </c>
      <c r="Q31" s="272">
        <v>45509</v>
      </c>
      <c r="R31" s="79"/>
      <c r="S31" s="485"/>
      <c r="T31" s="603" t="s">
        <v>7888</v>
      </c>
      <c r="U31" s="603" t="s">
        <v>7888</v>
      </c>
      <c r="V31" s="382">
        <f t="shared" si="0"/>
        <v>11</v>
      </c>
      <c r="W31" s="311"/>
      <c r="X31" s="1220">
        <f t="shared" ca="1" si="2"/>
        <v>58</v>
      </c>
      <c r="AA31" s="311"/>
      <c r="AB31" s="311"/>
    </row>
    <row r="32" spans="1:39" ht="15.75" customHeight="1">
      <c r="A32" s="1125">
        <v>51</v>
      </c>
      <c r="B32" s="1097" t="s">
        <v>7889</v>
      </c>
      <c r="C32" s="275" t="s">
        <v>31</v>
      </c>
      <c r="D32" s="1098">
        <v>50205419360</v>
      </c>
      <c r="E32" s="303" t="s">
        <v>7890</v>
      </c>
      <c r="F32" s="18" t="s">
        <v>759</v>
      </c>
      <c r="G32" s="303" t="s">
        <v>76</v>
      </c>
      <c r="H32" s="274" t="s">
        <v>266</v>
      </c>
      <c r="I32" s="275">
        <v>9002079096</v>
      </c>
      <c r="J32" s="275"/>
      <c r="K32" s="275" t="s">
        <v>290</v>
      </c>
      <c r="L32" s="439" t="s">
        <v>417</v>
      </c>
      <c r="M32" s="272">
        <v>27432</v>
      </c>
      <c r="N32" s="272">
        <v>49368</v>
      </c>
      <c r="O32" s="272">
        <v>45521</v>
      </c>
      <c r="P32" s="279">
        <v>45487</v>
      </c>
      <c r="Q32" s="272">
        <v>45450</v>
      </c>
      <c r="R32" s="79"/>
      <c r="S32" s="485"/>
      <c r="T32" s="486" t="s">
        <v>7891</v>
      </c>
      <c r="U32" s="486" t="s">
        <v>7891</v>
      </c>
      <c r="V32" s="382">
        <f t="shared" si="0"/>
        <v>11</v>
      </c>
      <c r="W32" s="311"/>
      <c r="X32" s="1220">
        <f t="shared" ca="1" si="2"/>
        <v>51</v>
      </c>
      <c r="AC32" s="311"/>
      <c r="AD32" s="311"/>
      <c r="AE32" s="311"/>
      <c r="AF32" s="311"/>
      <c r="AG32" s="311"/>
      <c r="AH32" s="311"/>
      <c r="AI32" s="311"/>
      <c r="AJ32" s="311"/>
      <c r="AK32" s="311"/>
      <c r="AL32" s="311"/>
      <c r="AM32" s="311"/>
    </row>
    <row r="33" spans="1:39">
      <c r="A33" s="1125">
        <v>52</v>
      </c>
      <c r="B33" s="1097" t="s">
        <v>7892</v>
      </c>
      <c r="C33" s="275" t="s">
        <v>31</v>
      </c>
      <c r="D33" s="1098">
        <v>50205419130</v>
      </c>
      <c r="E33" s="274" t="s">
        <v>7893</v>
      </c>
      <c r="F33" s="18" t="s">
        <v>759</v>
      </c>
      <c r="G33" s="274" t="s">
        <v>77</v>
      </c>
      <c r="H33" s="274" t="s">
        <v>279</v>
      </c>
      <c r="I33" s="275">
        <v>9002071862</v>
      </c>
      <c r="J33" s="275">
        <v>9002071862</v>
      </c>
      <c r="K33" s="275" t="s">
        <v>290</v>
      </c>
      <c r="L33" s="274" t="s">
        <v>61</v>
      </c>
      <c r="M33" s="272">
        <v>26792</v>
      </c>
      <c r="N33" s="272">
        <v>48730</v>
      </c>
      <c r="O33" s="272">
        <v>45422</v>
      </c>
      <c r="P33" s="302">
        <v>45695</v>
      </c>
      <c r="Q33" s="300">
        <v>45591</v>
      </c>
      <c r="R33" s="79"/>
      <c r="S33" s="485"/>
      <c r="T33" s="486" t="s">
        <v>7894</v>
      </c>
      <c r="U33" s="486" t="s">
        <v>7895</v>
      </c>
      <c r="V33" s="382">
        <f t="shared" si="0"/>
        <v>11</v>
      </c>
      <c r="W33" s="311"/>
      <c r="X33" s="1220">
        <f t="shared" ca="1" si="2"/>
        <v>52</v>
      </c>
      <c r="AA33" s="311"/>
      <c r="AB33" s="311"/>
    </row>
    <row r="34" spans="1:39" ht="15.75" customHeight="1">
      <c r="A34" s="1125">
        <v>54</v>
      </c>
      <c r="B34" s="351" t="s">
        <v>7896</v>
      </c>
      <c r="C34" s="275" t="s">
        <v>31</v>
      </c>
      <c r="D34" s="489">
        <v>50205561681</v>
      </c>
      <c r="E34" s="345" t="s">
        <v>7897</v>
      </c>
      <c r="F34" s="137" t="s">
        <v>759</v>
      </c>
      <c r="G34" s="274" t="s">
        <v>77</v>
      </c>
      <c r="H34" s="274" t="s">
        <v>279</v>
      </c>
      <c r="I34" s="275">
        <v>8420320036</v>
      </c>
      <c r="J34" s="275">
        <v>8420320036</v>
      </c>
      <c r="K34" s="275" t="s">
        <v>290</v>
      </c>
      <c r="L34" s="303" t="s">
        <v>52</v>
      </c>
      <c r="M34" s="272">
        <v>29607</v>
      </c>
      <c r="N34" s="272">
        <v>51532</v>
      </c>
      <c r="O34" s="272">
        <v>46035</v>
      </c>
      <c r="P34" s="279">
        <v>45748</v>
      </c>
      <c r="Q34" s="272">
        <v>45756</v>
      </c>
      <c r="R34" s="79"/>
      <c r="S34" s="952" t="s">
        <v>86</v>
      </c>
      <c r="T34" s="485"/>
      <c r="U34" s="603" t="s">
        <v>7898</v>
      </c>
      <c r="V34" s="382">
        <f t="shared" si="0"/>
        <v>11</v>
      </c>
      <c r="W34" s="382"/>
      <c r="X34" s="48">
        <f t="shared" ca="1" si="2"/>
        <v>45</v>
      </c>
    </row>
    <row r="35" spans="1:39" ht="15.75" customHeight="1">
      <c r="A35" s="1125">
        <v>58</v>
      </c>
      <c r="B35" s="293" t="s">
        <v>7899</v>
      </c>
      <c r="C35" s="275" t="s">
        <v>31</v>
      </c>
      <c r="D35" s="304">
        <v>50209777600</v>
      </c>
      <c r="E35" s="303" t="s">
        <v>7900</v>
      </c>
      <c r="F35" s="137" t="s">
        <v>759</v>
      </c>
      <c r="G35" s="303" t="s">
        <v>76</v>
      </c>
      <c r="H35" s="274" t="s">
        <v>279</v>
      </c>
      <c r="I35" s="275">
        <v>9002079609</v>
      </c>
      <c r="J35" s="1909">
        <v>9002079609</v>
      </c>
      <c r="K35" s="275" t="s">
        <v>290</v>
      </c>
      <c r="L35" s="275" t="s">
        <v>43</v>
      </c>
      <c r="M35" s="272">
        <v>27041</v>
      </c>
      <c r="N35" s="272">
        <v>48975</v>
      </c>
      <c r="O35" s="272">
        <v>45319</v>
      </c>
      <c r="P35" s="279">
        <v>45720</v>
      </c>
      <c r="Q35" s="302">
        <v>45705</v>
      </c>
      <c r="S35" s="309"/>
      <c r="T35" s="309"/>
      <c r="U35" s="858" t="s">
        <v>7901</v>
      </c>
      <c r="V35" s="311">
        <f t="shared" si="0"/>
        <v>11</v>
      </c>
      <c r="W35" s="311"/>
      <c r="X35" s="1220">
        <f t="shared" ca="1" si="2"/>
        <v>52</v>
      </c>
      <c r="AB35" s="311"/>
      <c r="AC35" s="311"/>
      <c r="AD35" s="311"/>
      <c r="AE35" s="311"/>
      <c r="AF35" s="311"/>
      <c r="AG35" s="311"/>
      <c r="AH35" s="311"/>
      <c r="AI35" s="311"/>
      <c r="AJ35" s="311"/>
      <c r="AK35" s="311"/>
      <c r="AL35" s="311"/>
      <c r="AM35" s="311"/>
    </row>
    <row r="36" spans="1:39" ht="15.75" customHeight="1">
      <c r="A36" s="1125">
        <v>59</v>
      </c>
      <c r="B36" s="293" t="s">
        <v>7902</v>
      </c>
      <c r="C36" s="275" t="s">
        <v>31</v>
      </c>
      <c r="D36" s="304">
        <v>50205421111</v>
      </c>
      <c r="E36" s="274" t="s">
        <v>7903</v>
      </c>
      <c r="F36" s="137" t="s">
        <v>759</v>
      </c>
      <c r="G36" s="274" t="s">
        <v>77</v>
      </c>
      <c r="H36" s="274" t="s">
        <v>279</v>
      </c>
      <c r="I36" s="275">
        <v>9002079610</v>
      </c>
      <c r="J36" s="284">
        <v>9002079610</v>
      </c>
      <c r="K36" s="275" t="s">
        <v>290</v>
      </c>
      <c r="L36" s="398" t="s">
        <v>417</v>
      </c>
      <c r="M36" s="272">
        <v>27939</v>
      </c>
      <c r="N36" s="272">
        <v>49856</v>
      </c>
      <c r="O36" s="272">
        <v>45113</v>
      </c>
      <c r="P36" s="2126">
        <v>45330</v>
      </c>
      <c r="Q36" s="302">
        <v>45346</v>
      </c>
      <c r="R36" s="79"/>
      <c r="S36" s="485"/>
      <c r="T36" s="486" t="s">
        <v>7904</v>
      </c>
      <c r="U36" s="486" t="s">
        <v>7905</v>
      </c>
      <c r="V36" s="382">
        <f t="shared" si="0"/>
        <v>11</v>
      </c>
      <c r="W36" s="311"/>
      <c r="X36" s="1220">
        <f t="shared" ca="1" si="2"/>
        <v>49</v>
      </c>
      <c r="Y36" s="311"/>
      <c r="Z36" s="311"/>
      <c r="AA36" s="311"/>
      <c r="AB36" s="311"/>
      <c r="AC36" s="311"/>
      <c r="AD36" s="311"/>
      <c r="AE36" s="311"/>
      <c r="AF36" s="311"/>
      <c r="AG36" s="311"/>
      <c r="AH36" s="311"/>
      <c r="AI36" s="311"/>
      <c r="AJ36" s="311"/>
      <c r="AK36" s="311"/>
      <c r="AL36" s="311"/>
      <c r="AM36" s="311"/>
    </row>
    <row r="37" spans="1:39" ht="15.75" customHeight="1">
      <c r="A37" s="1125">
        <v>60</v>
      </c>
      <c r="B37" s="293" t="s">
        <v>7906</v>
      </c>
      <c r="C37" s="275" t="s">
        <v>31</v>
      </c>
      <c r="D37" s="304">
        <v>50200099752</v>
      </c>
      <c r="E37" s="274" t="s">
        <v>7907</v>
      </c>
      <c r="F37" s="18" t="s">
        <v>759</v>
      </c>
      <c r="G37" s="274" t="s">
        <v>77</v>
      </c>
      <c r="H37" s="274" t="s">
        <v>279</v>
      </c>
      <c r="I37" s="275">
        <v>9002079720</v>
      </c>
      <c r="J37" s="275">
        <v>9002079720</v>
      </c>
      <c r="K37" s="275" t="s">
        <v>290</v>
      </c>
      <c r="L37" s="274" t="s">
        <v>54</v>
      </c>
      <c r="M37" s="272">
        <v>30144</v>
      </c>
      <c r="N37" s="272">
        <v>52078</v>
      </c>
      <c r="O37" s="272">
        <v>46001</v>
      </c>
      <c r="P37" s="279">
        <v>45487</v>
      </c>
      <c r="Q37" s="272">
        <v>45509</v>
      </c>
      <c r="S37" s="309"/>
      <c r="T37" s="310" t="s">
        <v>7908</v>
      </c>
      <c r="U37" s="310" t="s">
        <v>7908</v>
      </c>
      <c r="V37" s="311">
        <f t="shared" si="0"/>
        <v>11</v>
      </c>
      <c r="W37" s="311"/>
      <c r="X37" s="1220">
        <f t="shared" ca="1" si="2"/>
        <v>43</v>
      </c>
    </row>
    <row r="38" spans="1:39" ht="15.75" customHeight="1">
      <c r="A38" s="1125">
        <v>61</v>
      </c>
      <c r="B38" s="351" t="s">
        <v>7909</v>
      </c>
      <c r="C38" s="275" t="s">
        <v>31</v>
      </c>
      <c r="D38" s="304">
        <v>50212133693</v>
      </c>
      <c r="E38" s="2152" t="s">
        <v>7910</v>
      </c>
      <c r="F38" s="18" t="s">
        <v>759</v>
      </c>
      <c r="G38" s="274" t="s">
        <v>77</v>
      </c>
      <c r="H38" s="274" t="s">
        <v>279</v>
      </c>
      <c r="I38" s="275">
        <v>8420320077</v>
      </c>
      <c r="J38" s="284">
        <v>8420320077</v>
      </c>
      <c r="K38" s="275" t="s">
        <v>290</v>
      </c>
      <c r="L38" s="303" t="s">
        <v>52</v>
      </c>
      <c r="M38" s="272">
        <v>27976</v>
      </c>
      <c r="N38" s="272">
        <v>49918</v>
      </c>
      <c r="O38" s="272">
        <v>45140</v>
      </c>
      <c r="P38" s="279">
        <v>46055</v>
      </c>
      <c r="Q38" s="272">
        <v>46046</v>
      </c>
      <c r="S38" s="309"/>
      <c r="T38" s="310" t="s">
        <v>7911</v>
      </c>
      <c r="U38" s="310" t="s">
        <v>7911</v>
      </c>
      <c r="V38" s="311">
        <f t="shared" si="0"/>
        <v>11</v>
      </c>
      <c r="W38" s="311"/>
      <c r="X38" s="1220">
        <f t="shared" ca="1" si="2"/>
        <v>49</v>
      </c>
      <c r="Y38" s="90"/>
      <c r="AB38" s="311">
        <f ca="1">INT((TODAY()-M38)/365)</f>
        <v>49</v>
      </c>
    </row>
    <row r="39" spans="1:39" ht="15.75" customHeight="1">
      <c r="A39" s="1125">
        <v>62</v>
      </c>
      <c r="B39" s="276" t="s">
        <v>7912</v>
      </c>
      <c r="C39" s="307" t="s">
        <v>31</v>
      </c>
      <c r="D39" s="677">
        <v>50205562788</v>
      </c>
      <c r="E39" s="303" t="s">
        <v>7913</v>
      </c>
      <c r="F39" s="685" t="s">
        <v>759</v>
      </c>
      <c r="G39" s="337" t="s">
        <v>76</v>
      </c>
      <c r="H39" s="303" t="s">
        <v>279</v>
      </c>
      <c r="I39" s="307">
        <v>8420320073</v>
      </c>
      <c r="J39" s="307"/>
      <c r="K39" s="275" t="s">
        <v>290</v>
      </c>
      <c r="L39" s="274" t="s">
        <v>54</v>
      </c>
      <c r="M39" s="921">
        <v>30599</v>
      </c>
      <c r="N39" s="315">
        <v>52535</v>
      </c>
      <c r="O39" s="278">
        <v>45972</v>
      </c>
      <c r="P39" s="678">
        <v>45115</v>
      </c>
      <c r="Q39" s="272">
        <v>45145</v>
      </c>
      <c r="R39" s="425"/>
      <c r="S39" s="425"/>
      <c r="T39" s="425"/>
      <c r="U39" s="339" t="s">
        <v>7914</v>
      </c>
      <c r="V39" s="425">
        <f t="shared" si="0"/>
        <v>11</v>
      </c>
      <c r="W39" s="90"/>
      <c r="X39" s="90"/>
    </row>
    <row r="40" spans="1:39" ht="15.75" customHeight="1">
      <c r="A40" s="1125">
        <v>63</v>
      </c>
      <c r="B40" s="293" t="s">
        <v>7915</v>
      </c>
      <c r="C40" s="275" t="s">
        <v>31</v>
      </c>
      <c r="D40" s="304">
        <v>50212124229</v>
      </c>
      <c r="E40" s="303" t="s">
        <v>7916</v>
      </c>
      <c r="F40" s="18" t="s">
        <v>759</v>
      </c>
      <c r="G40" s="303" t="s">
        <v>76</v>
      </c>
      <c r="H40" s="274" t="s">
        <v>279</v>
      </c>
      <c r="I40" s="275">
        <v>9002079618</v>
      </c>
      <c r="J40" s="275">
        <v>9002079618</v>
      </c>
      <c r="K40" s="275" t="s">
        <v>290</v>
      </c>
      <c r="L40" s="274" t="s">
        <v>56</v>
      </c>
      <c r="M40" s="272">
        <v>26891</v>
      </c>
      <c r="N40" s="272">
        <v>48822</v>
      </c>
      <c r="O40" s="272">
        <v>45521</v>
      </c>
      <c r="P40" s="687">
        <v>45501</v>
      </c>
      <c r="Q40" s="302">
        <v>45481</v>
      </c>
      <c r="S40" s="309"/>
      <c r="T40" s="310" t="s">
        <v>7917</v>
      </c>
      <c r="U40" s="310" t="s">
        <v>7917</v>
      </c>
      <c r="V40" s="311">
        <f t="shared" si="0"/>
        <v>11</v>
      </c>
      <c r="W40" s="311"/>
      <c r="X40" s="1220">
        <f t="shared" ref="X40:X53" ca="1" si="3">INT((TODAY()-M40)/365)</f>
        <v>52</v>
      </c>
      <c r="Y40" s="311"/>
      <c r="Z40" s="311"/>
      <c r="AA40" s="311"/>
      <c r="AB40" s="311"/>
      <c r="AC40" s="311"/>
      <c r="AD40" s="311"/>
      <c r="AE40" s="311"/>
      <c r="AF40" s="311"/>
      <c r="AG40" s="311"/>
      <c r="AH40" s="311"/>
      <c r="AI40" s="311"/>
      <c r="AJ40" s="311"/>
      <c r="AK40" s="311"/>
      <c r="AL40" s="311"/>
      <c r="AM40" s="311"/>
    </row>
    <row r="41" spans="1:39" ht="15.75" customHeight="1">
      <c r="A41" s="1125">
        <v>64</v>
      </c>
      <c r="B41" s="293" t="s">
        <v>7918</v>
      </c>
      <c r="C41" s="275" t="s">
        <v>31</v>
      </c>
      <c r="D41" s="304">
        <v>50212550097</v>
      </c>
      <c r="E41" s="303" t="s">
        <v>7919</v>
      </c>
      <c r="F41" s="18" t="s">
        <v>759</v>
      </c>
      <c r="G41" s="303" t="s">
        <v>76</v>
      </c>
      <c r="H41" s="274" t="s">
        <v>279</v>
      </c>
      <c r="I41" s="275">
        <v>9002079750</v>
      </c>
      <c r="J41" s="275">
        <v>9002079750</v>
      </c>
      <c r="K41" s="275" t="s">
        <v>290</v>
      </c>
      <c r="L41" s="274" t="s">
        <v>54</v>
      </c>
      <c r="M41" s="272">
        <v>25851</v>
      </c>
      <c r="N41" s="272">
        <v>47787</v>
      </c>
      <c r="O41" s="272">
        <v>45206</v>
      </c>
      <c r="P41" s="279">
        <v>45212</v>
      </c>
      <c r="Q41" s="279">
        <v>45108</v>
      </c>
      <c r="S41" s="309"/>
      <c r="T41" s="310" t="s">
        <v>7920</v>
      </c>
      <c r="U41" s="310" t="s">
        <v>7920</v>
      </c>
      <c r="V41" s="311">
        <f t="shared" si="0"/>
        <v>11</v>
      </c>
      <c r="W41" s="311"/>
      <c r="X41" s="1220">
        <f t="shared" ca="1" si="3"/>
        <v>55</v>
      </c>
    </row>
    <row r="42" spans="1:39" ht="15.75" customHeight="1">
      <c r="A42" s="1125">
        <v>65</v>
      </c>
      <c r="B42" s="293" t="s">
        <v>7921</v>
      </c>
      <c r="C42" s="275" t="s">
        <v>31</v>
      </c>
      <c r="D42" s="304">
        <v>50205559029</v>
      </c>
      <c r="E42" s="303" t="s">
        <v>7922</v>
      </c>
      <c r="F42" s="18" t="s">
        <v>759</v>
      </c>
      <c r="G42" s="303" t="s">
        <v>76</v>
      </c>
      <c r="H42" s="274" t="s">
        <v>279</v>
      </c>
      <c r="I42" s="275">
        <v>8420320075</v>
      </c>
      <c r="J42" s="284">
        <v>8420320075</v>
      </c>
      <c r="K42" s="275" t="s">
        <v>290</v>
      </c>
      <c r="L42" s="18" t="s">
        <v>62</v>
      </c>
      <c r="M42" s="272">
        <v>30778</v>
      </c>
      <c r="N42" s="272">
        <v>52717</v>
      </c>
      <c r="O42" s="272">
        <v>46000</v>
      </c>
      <c r="P42" s="678">
        <v>45115</v>
      </c>
      <c r="Q42" s="279">
        <v>46150</v>
      </c>
      <c r="S42" s="309"/>
      <c r="T42" s="309"/>
      <c r="U42" s="377" t="s">
        <v>7923</v>
      </c>
      <c r="V42" s="311">
        <f t="shared" si="0"/>
        <v>11</v>
      </c>
      <c r="W42" s="311"/>
      <c r="X42" s="1220">
        <f t="shared" ca="1" si="3"/>
        <v>41</v>
      </c>
      <c r="Y42" s="298"/>
      <c r="Z42" s="298"/>
      <c r="AA42" s="298"/>
      <c r="AB42" s="298"/>
      <c r="AC42" s="298"/>
      <c r="AD42" s="298"/>
      <c r="AE42" s="298"/>
      <c r="AF42" s="298"/>
      <c r="AG42" s="298"/>
      <c r="AH42" s="298"/>
      <c r="AI42" s="298"/>
      <c r="AJ42" s="298"/>
      <c r="AK42" s="298"/>
      <c r="AL42" s="298"/>
      <c r="AM42" s="298"/>
    </row>
    <row r="43" spans="1:39" ht="15.75" customHeight="1">
      <c r="A43" s="1125">
        <v>67</v>
      </c>
      <c r="B43" s="293" t="s">
        <v>7924</v>
      </c>
      <c r="C43" s="275" t="s">
        <v>31</v>
      </c>
      <c r="D43" s="304">
        <v>50205558750</v>
      </c>
      <c r="E43" s="303" t="s">
        <v>7925</v>
      </c>
      <c r="F43" s="18" t="s">
        <v>759</v>
      </c>
      <c r="G43" s="303" t="s">
        <v>76</v>
      </c>
      <c r="H43" s="274" t="s">
        <v>279</v>
      </c>
      <c r="I43" s="275">
        <v>8420320072</v>
      </c>
      <c r="J43" s="275">
        <v>8420320072</v>
      </c>
      <c r="K43" s="275" t="s">
        <v>290</v>
      </c>
      <c r="L43" s="274" t="s">
        <v>417</v>
      </c>
      <c r="M43" s="272">
        <v>31421</v>
      </c>
      <c r="N43" s="272">
        <v>53358</v>
      </c>
      <c r="O43" s="272">
        <v>45910</v>
      </c>
      <c r="P43" s="278">
        <v>45115</v>
      </c>
      <c r="Q43" s="279">
        <v>46151</v>
      </c>
      <c r="S43" s="309"/>
      <c r="T43" s="310" t="s">
        <v>7926</v>
      </c>
      <c r="U43" s="310" t="s">
        <v>7926</v>
      </c>
      <c r="V43" s="311">
        <f t="shared" si="0"/>
        <v>11</v>
      </c>
      <c r="W43" s="311"/>
      <c r="X43" s="1220">
        <f t="shared" ca="1" si="3"/>
        <v>40</v>
      </c>
      <c r="Y43" s="311"/>
      <c r="Z43" s="311"/>
      <c r="AA43" s="311"/>
      <c r="AB43" s="311"/>
      <c r="AC43" s="311"/>
      <c r="AD43" s="311"/>
      <c r="AE43" s="311"/>
      <c r="AF43" s="311"/>
      <c r="AG43" s="311"/>
      <c r="AH43" s="311"/>
      <c r="AI43" s="311"/>
      <c r="AJ43" s="311"/>
      <c r="AK43" s="311"/>
      <c r="AL43" s="311"/>
      <c r="AM43" s="311"/>
    </row>
    <row r="44" spans="1:39" ht="15.75" customHeight="1">
      <c r="A44" s="1125">
        <v>69</v>
      </c>
      <c r="B44" s="293" t="s">
        <v>7927</v>
      </c>
      <c r="C44" s="275" t="s">
        <v>31</v>
      </c>
      <c r="D44" s="304">
        <v>50205569102</v>
      </c>
      <c r="E44" s="274" t="s">
        <v>7928</v>
      </c>
      <c r="F44" s="674" t="s">
        <v>3258</v>
      </c>
      <c r="G44" s="274" t="s">
        <v>77</v>
      </c>
      <c r="H44" s="274" t="s">
        <v>279</v>
      </c>
      <c r="I44" s="275">
        <v>9002071754</v>
      </c>
      <c r="J44" s="284">
        <v>9002071754</v>
      </c>
      <c r="K44" s="275" t="s">
        <v>290</v>
      </c>
      <c r="L44" s="274" t="s">
        <v>52</v>
      </c>
      <c r="M44" s="272">
        <v>32021</v>
      </c>
      <c r="N44" s="272">
        <v>53935</v>
      </c>
      <c r="O44" s="272">
        <v>45420</v>
      </c>
      <c r="P44" s="2126">
        <v>45330</v>
      </c>
      <c r="Q44" s="302">
        <v>45316</v>
      </c>
      <c r="S44" s="309"/>
      <c r="T44" s="309"/>
      <c r="U44" s="377" t="s">
        <v>7929</v>
      </c>
      <c r="V44" s="311">
        <f t="shared" si="0"/>
        <v>11</v>
      </c>
      <c r="W44" s="311"/>
      <c r="X44" s="1220">
        <f t="shared" ca="1" si="3"/>
        <v>38</v>
      </c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</row>
    <row r="45" spans="1:39" ht="15.75" customHeight="1">
      <c r="A45" s="1125">
        <v>70</v>
      </c>
      <c r="B45" s="293" t="s">
        <v>7930</v>
      </c>
      <c r="C45" s="275" t="s">
        <v>31</v>
      </c>
      <c r="D45" s="489">
        <v>50205558992</v>
      </c>
      <c r="E45" s="303" t="s">
        <v>7931</v>
      </c>
      <c r="F45" s="674" t="s">
        <v>759</v>
      </c>
      <c r="G45" s="303" t="s">
        <v>76</v>
      </c>
      <c r="H45" s="274" t="s">
        <v>279</v>
      </c>
      <c r="I45" s="275">
        <v>8420320074</v>
      </c>
      <c r="J45" s="275">
        <v>8420320074</v>
      </c>
      <c r="K45" s="275" t="s">
        <v>290</v>
      </c>
      <c r="L45" s="274" t="s">
        <v>54</v>
      </c>
      <c r="M45" s="272">
        <v>28856</v>
      </c>
      <c r="N45" s="272">
        <v>50770</v>
      </c>
      <c r="O45" s="272">
        <v>45292</v>
      </c>
      <c r="P45" s="278">
        <v>45115</v>
      </c>
      <c r="Q45" s="279">
        <v>46178</v>
      </c>
      <c r="S45" s="309"/>
      <c r="T45" s="310" t="s">
        <v>7932</v>
      </c>
      <c r="U45" s="377" t="s">
        <v>7933</v>
      </c>
      <c r="V45" s="311">
        <f t="shared" si="0"/>
        <v>11</v>
      </c>
      <c r="W45" s="311"/>
      <c r="X45" s="1220">
        <f t="shared" ca="1" si="3"/>
        <v>47</v>
      </c>
      <c r="Y45" s="90"/>
      <c r="AB45" s="311">
        <f ca="1">INT((TODAY()-M45)/365)</f>
        <v>47</v>
      </c>
    </row>
    <row r="46" spans="1:39" ht="15.75" customHeight="1">
      <c r="A46" s="1125">
        <v>73</v>
      </c>
      <c r="B46" s="293" t="s">
        <v>7934</v>
      </c>
      <c r="C46" s="275" t="s">
        <v>31</v>
      </c>
      <c r="D46" s="489">
        <v>50205564335</v>
      </c>
      <c r="E46" s="303" t="s">
        <v>7935</v>
      </c>
      <c r="F46" s="674" t="s">
        <v>759</v>
      </c>
      <c r="G46" s="303" t="s">
        <v>76</v>
      </c>
      <c r="H46" s="274" t="s">
        <v>279</v>
      </c>
      <c r="I46" s="275">
        <v>8420320084</v>
      </c>
      <c r="J46" s="284">
        <v>8777497400</v>
      </c>
      <c r="K46" s="275" t="s">
        <v>290</v>
      </c>
      <c r="L46" s="125" t="s">
        <v>54</v>
      </c>
      <c r="M46" s="272">
        <v>29591</v>
      </c>
      <c r="N46" s="272">
        <v>51532</v>
      </c>
      <c r="O46" s="272">
        <v>46037</v>
      </c>
      <c r="P46" s="278">
        <v>45115</v>
      </c>
      <c r="Q46" s="272">
        <v>45145</v>
      </c>
      <c r="S46" s="309"/>
      <c r="T46" s="310" t="s">
        <v>7936</v>
      </c>
      <c r="U46" s="310" t="s">
        <v>7936</v>
      </c>
      <c r="V46" s="311">
        <f t="shared" si="0"/>
        <v>11</v>
      </c>
      <c r="W46" s="311"/>
      <c r="X46" s="1220">
        <f t="shared" ca="1" si="3"/>
        <v>45</v>
      </c>
      <c r="Y46" s="311"/>
      <c r="Z46" s="311"/>
      <c r="AA46" s="311"/>
      <c r="AB46" s="311"/>
      <c r="AC46" s="311"/>
      <c r="AD46" s="311"/>
      <c r="AE46" s="311"/>
      <c r="AF46" s="311"/>
      <c r="AG46" s="311"/>
      <c r="AH46" s="311"/>
      <c r="AI46" s="311"/>
      <c r="AJ46" s="311"/>
      <c r="AK46" s="311"/>
      <c r="AL46" s="311"/>
      <c r="AM46" s="311"/>
    </row>
    <row r="47" spans="1:39" ht="15.75" customHeight="1">
      <c r="A47" s="1125">
        <v>74</v>
      </c>
      <c r="B47" s="293" t="s">
        <v>7937</v>
      </c>
      <c r="C47" s="275" t="s">
        <v>31</v>
      </c>
      <c r="D47" s="304">
        <v>50209284436</v>
      </c>
      <c r="E47" s="274" t="s">
        <v>7938</v>
      </c>
      <c r="F47" s="674" t="s">
        <v>759</v>
      </c>
      <c r="G47" s="274" t="s">
        <v>77</v>
      </c>
      <c r="H47" s="274" t="s">
        <v>279</v>
      </c>
      <c r="I47" s="275">
        <v>9002071679</v>
      </c>
      <c r="J47" s="275"/>
      <c r="K47" s="275" t="s">
        <v>290</v>
      </c>
      <c r="L47" s="274" t="s">
        <v>56</v>
      </c>
      <c r="M47" s="272">
        <v>30663</v>
      </c>
      <c r="N47" s="272">
        <v>52596</v>
      </c>
      <c r="O47" s="272">
        <v>45482</v>
      </c>
      <c r="P47" s="279">
        <v>45212</v>
      </c>
      <c r="Q47" s="387">
        <v>45177</v>
      </c>
      <c r="S47" s="309"/>
      <c r="T47" s="310" t="s">
        <v>7939</v>
      </c>
      <c r="U47" s="310" t="s">
        <v>4504</v>
      </c>
      <c r="V47" s="311">
        <f t="shared" si="0"/>
        <v>11</v>
      </c>
      <c r="W47" s="311"/>
      <c r="X47" s="1220">
        <f t="shared" ca="1" si="3"/>
        <v>42</v>
      </c>
    </row>
    <row r="48" spans="1:39" ht="15.75" customHeight="1">
      <c r="A48" s="1125">
        <v>75</v>
      </c>
      <c r="B48" s="293" t="s">
        <v>7940</v>
      </c>
      <c r="C48" s="275" t="s">
        <v>31</v>
      </c>
      <c r="D48" s="304">
        <v>50225721800</v>
      </c>
      <c r="E48" s="303" t="s">
        <v>7941</v>
      </c>
      <c r="F48" s="674" t="s">
        <v>759</v>
      </c>
      <c r="G48" s="303" t="s">
        <v>76</v>
      </c>
      <c r="H48" s="274" t="s">
        <v>279</v>
      </c>
      <c r="I48" s="275">
        <v>9002079771</v>
      </c>
      <c r="J48" s="275"/>
      <c r="K48" s="275" t="s">
        <v>290</v>
      </c>
      <c r="L48" s="398" t="s">
        <v>417</v>
      </c>
      <c r="M48" s="272">
        <v>24757</v>
      </c>
      <c r="N48" s="272">
        <v>46691</v>
      </c>
      <c r="O48" s="272">
        <v>45272</v>
      </c>
      <c r="P48" s="687">
        <v>45487</v>
      </c>
      <c r="Q48" s="272">
        <v>45509</v>
      </c>
      <c r="S48" s="309"/>
      <c r="T48" s="310" t="s">
        <v>1464</v>
      </c>
      <c r="U48" s="310" t="s">
        <v>7942</v>
      </c>
      <c r="V48" s="311">
        <f t="shared" si="0"/>
        <v>11</v>
      </c>
      <c r="W48" s="311"/>
      <c r="X48" s="1220">
        <f t="shared" ca="1" si="3"/>
        <v>58</v>
      </c>
    </row>
    <row r="49" spans="1:39" ht="15.75" customHeight="1">
      <c r="A49" s="1125">
        <v>76</v>
      </c>
      <c r="B49" s="688" t="s">
        <v>7943</v>
      </c>
      <c r="C49" s="275" t="s">
        <v>31</v>
      </c>
      <c r="D49" s="304">
        <v>50207429253</v>
      </c>
      <c r="E49" s="274" t="s">
        <v>7944</v>
      </c>
      <c r="F49" s="674" t="s">
        <v>759</v>
      </c>
      <c r="G49" s="274" t="s">
        <v>77</v>
      </c>
      <c r="H49" s="274" t="s">
        <v>279</v>
      </c>
      <c r="I49" s="275">
        <v>9002079774</v>
      </c>
      <c r="J49" s="275"/>
      <c r="K49" s="275" t="s">
        <v>290</v>
      </c>
      <c r="L49" s="274" t="s">
        <v>52</v>
      </c>
      <c r="M49" s="272">
        <v>26922</v>
      </c>
      <c r="N49" s="272">
        <v>48852</v>
      </c>
      <c r="O49" s="272">
        <v>45547</v>
      </c>
      <c r="P49" s="687">
        <v>45501</v>
      </c>
      <c r="Q49" s="302">
        <v>45481</v>
      </c>
      <c r="S49" s="309"/>
      <c r="T49" s="310" t="s">
        <v>7945</v>
      </c>
      <c r="U49" s="310" t="s">
        <v>7946</v>
      </c>
      <c r="V49" s="311">
        <f t="shared" si="0"/>
        <v>11</v>
      </c>
      <c r="W49" s="311"/>
      <c r="X49" s="1220">
        <f t="shared" ca="1" si="3"/>
        <v>52</v>
      </c>
    </row>
    <row r="50" spans="1:39" ht="15.75" customHeight="1">
      <c r="A50" s="1125">
        <v>77</v>
      </c>
      <c r="B50" s="293" t="s">
        <v>7947</v>
      </c>
      <c r="C50" s="275" t="s">
        <v>31</v>
      </c>
      <c r="D50" s="983">
        <v>50204711695</v>
      </c>
      <c r="E50" s="421" t="s">
        <v>7948</v>
      </c>
      <c r="F50" s="674" t="s">
        <v>759</v>
      </c>
      <c r="G50" s="303" t="s">
        <v>76</v>
      </c>
      <c r="H50" s="274" t="s">
        <v>279</v>
      </c>
      <c r="I50" s="275">
        <v>9002079029</v>
      </c>
      <c r="J50" s="275">
        <v>9002079029</v>
      </c>
      <c r="K50" s="275" t="s">
        <v>290</v>
      </c>
      <c r="L50" s="274" t="s">
        <v>417</v>
      </c>
      <c r="M50" s="272">
        <v>26676</v>
      </c>
      <c r="N50" s="272">
        <v>48610</v>
      </c>
      <c r="O50" s="272">
        <v>45105</v>
      </c>
      <c r="P50" s="279">
        <v>46055</v>
      </c>
      <c r="Q50" s="272">
        <v>46046</v>
      </c>
      <c r="R50" s="79"/>
      <c r="S50" s="485"/>
      <c r="T50" s="486" t="s">
        <v>7949</v>
      </c>
      <c r="U50" s="486" t="s">
        <v>7949</v>
      </c>
      <c r="V50" s="382">
        <f t="shared" si="0"/>
        <v>11</v>
      </c>
      <c r="W50" s="382"/>
      <c r="X50" s="1220">
        <f t="shared" ca="1" si="3"/>
        <v>53</v>
      </c>
      <c r="Y50" s="382"/>
      <c r="Z50" s="382"/>
      <c r="AA50" s="382"/>
      <c r="AB50" s="311"/>
      <c r="AC50" s="311"/>
      <c r="AD50" s="311"/>
      <c r="AE50" s="311"/>
      <c r="AF50" s="311"/>
      <c r="AG50" s="311"/>
      <c r="AH50" s="311"/>
      <c r="AI50" s="311"/>
      <c r="AJ50" s="311"/>
      <c r="AK50" s="311"/>
      <c r="AL50" s="311"/>
      <c r="AM50" s="311"/>
    </row>
    <row r="51" spans="1:39" ht="15.75">
      <c r="A51" s="1125">
        <v>79</v>
      </c>
      <c r="B51" s="293" t="s">
        <v>7950</v>
      </c>
      <c r="C51" s="275" t="s">
        <v>31</v>
      </c>
      <c r="D51" s="304">
        <v>50212133541</v>
      </c>
      <c r="E51" s="274" t="s">
        <v>7951</v>
      </c>
      <c r="F51" s="674" t="s">
        <v>759</v>
      </c>
      <c r="G51" s="274" t="s">
        <v>77</v>
      </c>
      <c r="H51" s="274" t="s">
        <v>279</v>
      </c>
      <c r="I51" s="275">
        <v>9002071895</v>
      </c>
      <c r="J51" s="275"/>
      <c r="K51" s="275" t="s">
        <v>290</v>
      </c>
      <c r="L51" s="125" t="s">
        <v>54</v>
      </c>
      <c r="M51" s="272">
        <v>26986</v>
      </c>
      <c r="N51" s="272">
        <v>48913</v>
      </c>
      <c r="O51" s="272">
        <v>45168</v>
      </c>
      <c r="P51" s="272">
        <v>45863</v>
      </c>
      <c r="Q51" s="272">
        <v>45677</v>
      </c>
      <c r="R51" s="79"/>
      <c r="S51" s="79"/>
      <c r="T51" s="1363" t="s">
        <v>7952</v>
      </c>
      <c r="U51" s="1363" t="s">
        <v>7952</v>
      </c>
      <c r="V51" s="382">
        <f t="shared" si="0"/>
        <v>11</v>
      </c>
      <c r="W51" s="311"/>
      <c r="X51" s="1220">
        <f t="shared" ca="1" si="3"/>
        <v>52</v>
      </c>
      <c r="Y51" s="311"/>
      <c r="Z51" s="311"/>
      <c r="AA51" s="311"/>
      <c r="AB51" s="311"/>
      <c r="AC51" s="311"/>
      <c r="AD51" s="311"/>
      <c r="AE51" s="311"/>
      <c r="AF51" s="311"/>
      <c r="AG51" s="311"/>
      <c r="AH51" s="311"/>
      <c r="AI51" s="311"/>
      <c r="AJ51" s="311"/>
      <c r="AK51" s="311"/>
      <c r="AL51" s="311"/>
      <c r="AM51" s="311"/>
    </row>
    <row r="52" spans="1:39" ht="15.75">
      <c r="A52" s="1125">
        <v>82</v>
      </c>
      <c r="B52" s="293" t="s">
        <v>7953</v>
      </c>
      <c r="C52" s="275" t="s">
        <v>31</v>
      </c>
      <c r="D52" s="304">
        <v>50205559005</v>
      </c>
      <c r="E52" s="303" t="s">
        <v>7954</v>
      </c>
      <c r="F52" s="674" t="s">
        <v>759</v>
      </c>
      <c r="G52" s="303" t="s">
        <v>76</v>
      </c>
      <c r="H52" s="274" t="s">
        <v>279</v>
      </c>
      <c r="I52" s="275">
        <v>8420320066</v>
      </c>
      <c r="J52" s="275"/>
      <c r="K52" s="275" t="s">
        <v>290</v>
      </c>
      <c r="L52" s="274" t="s">
        <v>52</v>
      </c>
      <c r="M52" s="272">
        <v>29646</v>
      </c>
      <c r="N52" s="272">
        <v>51560</v>
      </c>
      <c r="O52" s="272">
        <v>46000</v>
      </c>
      <c r="P52" s="278">
        <v>45115</v>
      </c>
      <c r="Q52" s="279">
        <v>46178</v>
      </c>
      <c r="R52" s="79"/>
      <c r="S52" s="485"/>
      <c r="T52" s="485"/>
      <c r="U52" s="486" t="s">
        <v>7955</v>
      </c>
      <c r="V52" s="382">
        <f t="shared" si="0"/>
        <v>11</v>
      </c>
      <c r="W52" s="311"/>
      <c r="X52" s="1220">
        <f t="shared" ca="1" si="3"/>
        <v>45</v>
      </c>
      <c r="AF52" s="311"/>
      <c r="AG52" s="311"/>
      <c r="AH52" s="311"/>
      <c r="AI52" s="311"/>
      <c r="AJ52" s="311"/>
      <c r="AK52" s="311"/>
      <c r="AL52" s="311"/>
      <c r="AM52" s="311"/>
    </row>
    <row r="53" spans="1:39" ht="15.75" customHeight="1">
      <c r="A53" s="1125">
        <v>83</v>
      </c>
      <c r="B53" s="293" t="s">
        <v>7956</v>
      </c>
      <c r="C53" s="275" t="s">
        <v>31</v>
      </c>
      <c r="D53" s="304" t="s">
        <v>7957</v>
      </c>
      <c r="E53" s="274" t="s">
        <v>7958</v>
      </c>
      <c r="F53" s="674" t="s">
        <v>759</v>
      </c>
      <c r="G53" s="274" t="s">
        <v>77</v>
      </c>
      <c r="H53" s="274" t="s">
        <v>279</v>
      </c>
      <c r="I53" s="275">
        <v>9002071642</v>
      </c>
      <c r="J53" s="275"/>
      <c r="K53" s="275" t="s">
        <v>290</v>
      </c>
      <c r="L53" s="398" t="s">
        <v>417</v>
      </c>
      <c r="M53" s="272">
        <v>25555</v>
      </c>
      <c r="N53" s="272">
        <v>47483</v>
      </c>
      <c r="O53" s="272">
        <v>45177</v>
      </c>
      <c r="P53" s="279">
        <v>46096</v>
      </c>
      <c r="Q53" s="272">
        <v>46077</v>
      </c>
      <c r="R53" s="79"/>
      <c r="S53" s="485"/>
      <c r="T53" s="486" t="s">
        <v>7959</v>
      </c>
      <c r="U53" s="486" t="s">
        <v>7960</v>
      </c>
      <c r="V53" s="382">
        <f t="shared" si="0"/>
        <v>11</v>
      </c>
      <c r="W53" s="311"/>
      <c r="X53" s="1220">
        <f t="shared" ca="1" si="3"/>
        <v>56</v>
      </c>
      <c r="AF53" s="311"/>
      <c r="AG53" s="311"/>
      <c r="AH53" s="311"/>
      <c r="AI53" s="311"/>
      <c r="AJ53" s="311"/>
      <c r="AK53" s="311"/>
      <c r="AL53" s="311"/>
      <c r="AM53" s="311"/>
    </row>
    <row r="54" spans="1:39" ht="15.75" customHeight="1">
      <c r="A54" s="1125">
        <v>85</v>
      </c>
      <c r="B54" s="276" t="s">
        <v>7961</v>
      </c>
      <c r="C54" s="307" t="s">
        <v>31</v>
      </c>
      <c r="D54" s="675">
        <v>50299910470</v>
      </c>
      <c r="E54" s="366" t="s">
        <v>7962</v>
      </c>
      <c r="F54" s="685" t="s">
        <v>759</v>
      </c>
      <c r="G54" s="337" t="s">
        <v>76</v>
      </c>
      <c r="H54" s="303" t="s">
        <v>279</v>
      </c>
      <c r="I54" s="307">
        <v>8420320058</v>
      </c>
      <c r="J54" s="303"/>
      <c r="K54" s="275" t="s">
        <v>290</v>
      </c>
      <c r="L54" s="303" t="s">
        <v>664</v>
      </c>
      <c r="M54" s="278">
        <v>31190</v>
      </c>
      <c r="N54" s="278">
        <v>53113</v>
      </c>
      <c r="O54" s="278">
        <v>46295</v>
      </c>
      <c r="P54" s="279">
        <v>45212</v>
      </c>
      <c r="Q54" s="302">
        <v>45177</v>
      </c>
      <c r="R54" s="285"/>
      <c r="S54" s="285"/>
      <c r="T54" s="285"/>
      <c r="U54" s="318" t="s">
        <v>7963</v>
      </c>
      <c r="V54" s="285"/>
      <c r="W54" s="90"/>
      <c r="X54" s="90"/>
      <c r="Y54" s="90"/>
      <c r="AB54" s="311">
        <f ca="1">INT((TODAY()-M54)/365)</f>
        <v>40</v>
      </c>
    </row>
    <row r="55" spans="1:39" ht="15.75" customHeight="1">
      <c r="A55" s="1125">
        <v>86</v>
      </c>
      <c r="B55" s="1932" t="s">
        <v>7964</v>
      </c>
      <c r="C55" s="2153" t="s">
        <v>21</v>
      </c>
      <c r="D55" s="2154">
        <v>50204090986</v>
      </c>
      <c r="E55" s="1039" t="s">
        <v>7965</v>
      </c>
      <c r="F55" s="685" t="s">
        <v>759</v>
      </c>
      <c r="G55" s="1108" t="s">
        <v>76</v>
      </c>
      <c r="H55" s="2155"/>
      <c r="I55" s="2155">
        <v>9002071898</v>
      </c>
      <c r="J55" s="303"/>
      <c r="K55" s="275" t="s">
        <v>290</v>
      </c>
      <c r="L55" s="1041"/>
      <c r="M55" s="1043">
        <v>28559</v>
      </c>
      <c r="N55" s="1043">
        <v>50495</v>
      </c>
      <c r="O55" s="1043"/>
      <c r="P55" s="2156"/>
      <c r="Q55" s="2156"/>
      <c r="R55" s="2157"/>
      <c r="S55" s="2158"/>
      <c r="T55" s="2159" t="s">
        <v>7966</v>
      </c>
      <c r="U55" s="2160"/>
      <c r="V55" s="2161">
        <f t="shared" ref="V55:V57" si="4">LEN(D55)</f>
        <v>11</v>
      </c>
      <c r="W55" s="2161"/>
      <c r="X55" s="2162"/>
      <c r="Y55" s="2161"/>
      <c r="Z55" s="2161"/>
      <c r="AA55" s="2161"/>
      <c r="AB55" s="2161"/>
      <c r="AC55" s="2161"/>
      <c r="AD55" s="2161"/>
      <c r="AE55" s="2161"/>
      <c r="AF55" s="2161"/>
      <c r="AG55" s="2161"/>
      <c r="AH55" s="1049"/>
      <c r="AI55" s="1118"/>
      <c r="AJ55" s="1118"/>
      <c r="AK55" s="1118"/>
      <c r="AL55" s="1118"/>
      <c r="AM55" s="1118"/>
    </row>
    <row r="56" spans="1:39" ht="15.75" customHeight="1">
      <c r="A56" s="961">
        <v>34</v>
      </c>
      <c r="B56" s="293" t="s">
        <v>7967</v>
      </c>
      <c r="C56" s="275" t="s">
        <v>31</v>
      </c>
      <c r="D56" s="304">
        <v>50209822422</v>
      </c>
      <c r="E56" s="540" t="s">
        <v>7968</v>
      </c>
      <c r="F56" s="18" t="s">
        <v>759</v>
      </c>
      <c r="G56" s="303" t="s">
        <v>76</v>
      </c>
      <c r="H56" s="284" t="s">
        <v>266</v>
      </c>
      <c r="I56" s="274">
        <v>9002071095</v>
      </c>
      <c r="J56" s="284">
        <v>9831287527</v>
      </c>
      <c r="K56" s="275" t="s">
        <v>290</v>
      </c>
      <c r="L56" s="274" t="s">
        <v>56</v>
      </c>
      <c r="M56" s="272">
        <v>28865</v>
      </c>
      <c r="N56" s="272">
        <v>50801</v>
      </c>
      <c r="O56" s="272">
        <v>45256</v>
      </c>
      <c r="P56" s="279">
        <v>45751</v>
      </c>
      <c r="Q56" s="279">
        <v>45187</v>
      </c>
      <c r="R56" s="1134"/>
      <c r="S56" s="952" t="s">
        <v>1269</v>
      </c>
      <c r="T56" s="486" t="s">
        <v>7969</v>
      </c>
      <c r="U56" s="486" t="s">
        <v>7970</v>
      </c>
      <c r="V56" s="382">
        <f t="shared" si="4"/>
        <v>11</v>
      </c>
      <c r="W56" s="282">
        <f ca="1">INT((TODAY()-M56)/365)</f>
        <v>47</v>
      </c>
      <c r="X56" s="90"/>
      <c r="Y56" s="382"/>
      <c r="Z56" s="382"/>
      <c r="AA56" s="382"/>
      <c r="AB56" s="311"/>
      <c r="AC56" s="311"/>
      <c r="AD56" s="311"/>
      <c r="AE56" s="311"/>
      <c r="AF56" s="311"/>
      <c r="AG56" s="311"/>
      <c r="AH56" s="311"/>
      <c r="AI56" s="311"/>
      <c r="AJ56" s="311"/>
      <c r="AK56" s="311"/>
      <c r="AL56" s="311"/>
      <c r="AM56" s="311"/>
    </row>
    <row r="57" spans="1:39" ht="15.75" customHeight="1">
      <c r="A57" s="1125">
        <v>8</v>
      </c>
      <c r="B57" s="401" t="s">
        <v>7971</v>
      </c>
      <c r="C57" s="275" t="s">
        <v>31</v>
      </c>
      <c r="D57" s="1284">
        <v>50204711660</v>
      </c>
      <c r="E57" s="303" t="s">
        <v>7972</v>
      </c>
      <c r="F57" s="18" t="s">
        <v>759</v>
      </c>
      <c r="G57" s="303" t="s">
        <v>76</v>
      </c>
      <c r="H57" s="274" t="s">
        <v>279</v>
      </c>
      <c r="I57" s="275">
        <v>8420320081</v>
      </c>
      <c r="J57" s="275"/>
      <c r="K57" s="275" t="s">
        <v>290</v>
      </c>
      <c r="L57" s="274" t="s">
        <v>54</v>
      </c>
      <c r="M57" s="289">
        <v>25607</v>
      </c>
      <c r="N57" s="289">
        <v>47542</v>
      </c>
      <c r="O57" s="272">
        <v>45145</v>
      </c>
      <c r="P57" s="278">
        <v>45115</v>
      </c>
      <c r="Q57" s="272">
        <v>45145</v>
      </c>
      <c r="R57" s="1134"/>
      <c r="S57" s="485"/>
      <c r="T57" s="310" t="s">
        <v>7973</v>
      </c>
      <c r="U57" s="310" t="s">
        <v>7973</v>
      </c>
      <c r="V57" s="311">
        <f t="shared" si="4"/>
        <v>11</v>
      </c>
      <c r="W57" s="311"/>
      <c r="X57" s="208">
        <f ca="1">INT((TODAY()-M57)/365)</f>
        <v>56</v>
      </c>
    </row>
    <row r="58" spans="1:39" ht="15.75" customHeight="1">
      <c r="A58" s="944">
        <v>70</v>
      </c>
      <c r="B58" s="426" t="s">
        <v>7974</v>
      </c>
      <c r="C58" s="18" t="s">
        <v>21</v>
      </c>
      <c r="D58" s="2163" t="s">
        <v>7975</v>
      </c>
      <c r="E58" s="681" t="s">
        <v>7976</v>
      </c>
      <c r="F58" s="674" t="s">
        <v>759</v>
      </c>
      <c r="G58" s="18" t="s">
        <v>76</v>
      </c>
      <c r="H58" s="275"/>
      <c r="I58" s="475">
        <v>919147918117</v>
      </c>
      <c r="J58" s="433"/>
      <c r="K58" s="275" t="s">
        <v>290</v>
      </c>
      <c r="L58" s="18" t="s">
        <v>54</v>
      </c>
      <c r="M58" s="981">
        <v>32628</v>
      </c>
      <c r="N58" s="418">
        <v>54543</v>
      </c>
      <c r="O58" s="1614">
        <v>46147</v>
      </c>
      <c r="P58" s="272">
        <v>45566</v>
      </c>
      <c r="Q58" s="1683">
        <v>45605</v>
      </c>
      <c r="R58" s="429" t="s">
        <v>7977</v>
      </c>
      <c r="S58" s="280"/>
      <c r="T58" s="280"/>
      <c r="U58" s="280"/>
      <c r="V58" s="280"/>
      <c r="W58" s="282">
        <f ca="1">INT((TODAY()-M58)/365)</f>
        <v>36</v>
      </c>
      <c r="X58" s="79"/>
    </row>
    <row r="59" spans="1:39" ht="15.75" customHeight="1">
      <c r="A59" s="1190">
        <v>2</v>
      </c>
      <c r="B59" s="293" t="s">
        <v>7978</v>
      </c>
      <c r="C59" s="275" t="s">
        <v>21</v>
      </c>
      <c r="D59" s="489">
        <v>50205607735</v>
      </c>
      <c r="E59" s="274" t="s">
        <v>7979</v>
      </c>
      <c r="F59" s="18" t="s">
        <v>759</v>
      </c>
      <c r="G59" s="274" t="s">
        <v>77</v>
      </c>
      <c r="H59" s="275"/>
      <c r="I59" s="275">
        <v>9883116889</v>
      </c>
      <c r="J59" s="284">
        <v>9038674067</v>
      </c>
      <c r="K59" s="275" t="s">
        <v>290</v>
      </c>
      <c r="L59" s="274" t="s">
        <v>67</v>
      </c>
      <c r="M59" s="272">
        <v>33158</v>
      </c>
      <c r="N59" s="272">
        <v>55092</v>
      </c>
      <c r="O59" s="272">
        <v>45955</v>
      </c>
      <c r="P59" s="279">
        <v>45738</v>
      </c>
      <c r="Q59" s="302">
        <v>45160</v>
      </c>
      <c r="R59" s="955" t="s">
        <v>7980</v>
      </c>
      <c r="S59" s="486" t="s">
        <v>7981</v>
      </c>
      <c r="T59" s="952" t="s">
        <v>1269</v>
      </c>
      <c r="U59" s="485"/>
      <c r="V59" s="382">
        <f t="shared" ref="V59:V67" si="5">LEN(D59)</f>
        <v>11</v>
      </c>
      <c r="W59" s="311"/>
      <c r="X59" s="1220">
        <f t="shared" ref="X59:X69" ca="1" si="6">INT((TODAY()-M59)/365)</f>
        <v>35</v>
      </c>
      <c r="Y59" s="311"/>
      <c r="Z59" s="311"/>
      <c r="AA59" s="311"/>
      <c r="AB59" s="311"/>
      <c r="AC59" s="311"/>
      <c r="AD59" s="311"/>
      <c r="AE59" s="311"/>
      <c r="AF59" s="311"/>
      <c r="AG59" s="311"/>
      <c r="AH59" s="311"/>
      <c r="AI59" s="311"/>
      <c r="AJ59" s="311"/>
      <c r="AK59" s="311"/>
      <c r="AL59" s="311"/>
      <c r="AM59" s="311"/>
    </row>
    <row r="60" spans="1:39" ht="15.75" customHeight="1">
      <c r="A60" s="1190">
        <v>3</v>
      </c>
      <c r="B60" s="293" t="s">
        <v>7982</v>
      </c>
      <c r="C60" s="275" t="s">
        <v>21</v>
      </c>
      <c r="D60" s="999">
        <v>50205618447</v>
      </c>
      <c r="E60" s="345" t="s">
        <v>7983</v>
      </c>
      <c r="F60" s="18" t="s">
        <v>759</v>
      </c>
      <c r="G60" s="274" t="s">
        <v>78</v>
      </c>
      <c r="H60" s="275"/>
      <c r="I60" s="275">
        <v>6289485436</v>
      </c>
      <c r="J60" s="284">
        <v>6289485436</v>
      </c>
      <c r="K60" s="275" t="s">
        <v>290</v>
      </c>
      <c r="L60" s="274" t="s">
        <v>417</v>
      </c>
      <c r="M60" s="272">
        <v>30317</v>
      </c>
      <c r="N60" s="272">
        <v>52231</v>
      </c>
      <c r="O60" s="272">
        <v>46251</v>
      </c>
      <c r="P60" s="279">
        <v>45697</v>
      </c>
      <c r="Q60" s="302">
        <v>45160</v>
      </c>
      <c r="R60" s="79"/>
      <c r="S60" s="603" t="s">
        <v>7984</v>
      </c>
      <c r="T60" s="485"/>
      <c r="U60" s="485"/>
      <c r="V60" s="382">
        <f t="shared" si="5"/>
        <v>11</v>
      </c>
      <c r="W60" s="311"/>
      <c r="X60" s="48">
        <f t="shared" ca="1" si="6"/>
        <v>43</v>
      </c>
      <c r="Y60" s="79"/>
      <c r="Z60" s="3"/>
      <c r="AA60" s="79"/>
    </row>
    <row r="61" spans="1:39" ht="15.75" customHeight="1">
      <c r="A61" s="1190">
        <v>4</v>
      </c>
      <c r="B61" s="293" t="s">
        <v>7985</v>
      </c>
      <c r="C61" s="275" t="s">
        <v>21</v>
      </c>
      <c r="D61" s="489">
        <v>50205607176</v>
      </c>
      <c r="E61" s="274" t="s">
        <v>7986</v>
      </c>
      <c r="F61" s="137" t="s">
        <v>759</v>
      </c>
      <c r="G61" s="274" t="s">
        <v>77</v>
      </c>
      <c r="H61" s="275"/>
      <c r="I61" s="275">
        <v>9088250688</v>
      </c>
      <c r="J61" s="275"/>
      <c r="K61" s="275" t="s">
        <v>290</v>
      </c>
      <c r="L61" s="274" t="s">
        <v>56</v>
      </c>
      <c r="M61" s="272">
        <v>30321</v>
      </c>
      <c r="N61" s="272">
        <v>52262</v>
      </c>
      <c r="O61" s="272">
        <v>45892</v>
      </c>
      <c r="P61" s="424">
        <v>45541</v>
      </c>
      <c r="Q61" s="302">
        <v>45160</v>
      </c>
      <c r="S61" s="377" t="s">
        <v>7987</v>
      </c>
      <c r="T61" s="309"/>
      <c r="U61" s="309"/>
      <c r="V61" s="311">
        <f t="shared" si="5"/>
        <v>11</v>
      </c>
      <c r="W61" s="311"/>
      <c r="X61" s="1220">
        <f t="shared" ca="1" si="6"/>
        <v>43</v>
      </c>
      <c r="Y61" s="563"/>
      <c r="AA61" s="384"/>
      <c r="AB61" s="384"/>
      <c r="AC61" s="384"/>
      <c r="AD61" s="384"/>
      <c r="AE61" s="384"/>
      <c r="AF61" s="384"/>
      <c r="AG61" s="384"/>
      <c r="AH61" s="384"/>
      <c r="AI61" s="384"/>
      <c r="AJ61" s="384"/>
      <c r="AK61" s="384"/>
      <c r="AL61" s="384"/>
      <c r="AM61" s="384"/>
    </row>
    <row r="62" spans="1:39" ht="15.75" customHeight="1">
      <c r="A62" s="1190">
        <v>5</v>
      </c>
      <c r="B62" s="293" t="s">
        <v>7988</v>
      </c>
      <c r="C62" s="275" t="s">
        <v>21</v>
      </c>
      <c r="D62" s="304">
        <v>50204721949</v>
      </c>
      <c r="E62" s="274" t="s">
        <v>7989</v>
      </c>
      <c r="F62" s="18" t="s">
        <v>759</v>
      </c>
      <c r="G62" s="274" t="s">
        <v>77</v>
      </c>
      <c r="H62" s="275"/>
      <c r="I62" s="275">
        <v>7003213276</v>
      </c>
      <c r="J62" s="284">
        <v>9477035160</v>
      </c>
      <c r="K62" s="275" t="s">
        <v>290</v>
      </c>
      <c r="L62" s="274" t="s">
        <v>56</v>
      </c>
      <c r="M62" s="272">
        <v>27751</v>
      </c>
      <c r="N62" s="272">
        <v>49674</v>
      </c>
      <c r="O62" s="272">
        <v>45705</v>
      </c>
      <c r="P62" s="279">
        <v>45204</v>
      </c>
      <c r="Q62" s="302">
        <v>45160</v>
      </c>
      <c r="R62" s="1363" t="s">
        <v>7990</v>
      </c>
      <c r="S62" s="1852" t="s">
        <v>7991</v>
      </c>
      <c r="T62" s="309"/>
      <c r="U62" s="309"/>
      <c r="V62" s="311">
        <f t="shared" si="5"/>
        <v>11</v>
      </c>
      <c r="W62" s="311"/>
      <c r="X62" s="1220">
        <f t="shared" ca="1" si="6"/>
        <v>50</v>
      </c>
      <c r="Y62" s="563"/>
      <c r="AA62" s="384"/>
    </row>
    <row r="63" spans="1:39" ht="15.75" customHeight="1">
      <c r="A63" s="1190">
        <v>6</v>
      </c>
      <c r="B63" s="293" t="s">
        <v>7992</v>
      </c>
      <c r="C63" s="275" t="s">
        <v>21</v>
      </c>
      <c r="D63" s="304">
        <v>50205569242</v>
      </c>
      <c r="E63" s="303" t="s">
        <v>7993</v>
      </c>
      <c r="F63" s="18" t="s">
        <v>759</v>
      </c>
      <c r="G63" s="303" t="s">
        <v>76</v>
      </c>
      <c r="H63" s="275"/>
      <c r="I63" s="275">
        <v>9002071215</v>
      </c>
      <c r="J63" s="275"/>
      <c r="K63" s="275" t="s">
        <v>290</v>
      </c>
      <c r="L63" s="1913" t="s">
        <v>60</v>
      </c>
      <c r="M63" s="272">
        <v>32472</v>
      </c>
      <c r="N63" s="272">
        <v>54392</v>
      </c>
      <c r="O63" s="272">
        <v>45196</v>
      </c>
      <c r="P63" s="279">
        <v>45204</v>
      </c>
      <c r="Q63" s="302">
        <v>45160</v>
      </c>
      <c r="S63" s="377" t="s">
        <v>7994</v>
      </c>
      <c r="T63" s="862" t="s">
        <v>1269</v>
      </c>
      <c r="U63" s="309"/>
      <c r="V63" s="311">
        <f t="shared" si="5"/>
        <v>11</v>
      </c>
      <c r="W63" s="311"/>
      <c r="X63" s="1220">
        <f t="shared" ca="1" si="6"/>
        <v>37</v>
      </c>
      <c r="Y63" s="90"/>
    </row>
    <row r="64" spans="1:39" ht="15.75" customHeight="1">
      <c r="A64" s="1190">
        <v>7</v>
      </c>
      <c r="B64" s="1097" t="s">
        <v>7995</v>
      </c>
      <c r="C64" s="275" t="s">
        <v>21</v>
      </c>
      <c r="D64" s="1098">
        <v>50200116830</v>
      </c>
      <c r="E64" s="274" t="s">
        <v>7996</v>
      </c>
      <c r="F64" s="18" t="s">
        <v>759</v>
      </c>
      <c r="G64" s="274" t="s">
        <v>77</v>
      </c>
      <c r="H64" s="275"/>
      <c r="I64" s="275">
        <v>8927589351</v>
      </c>
      <c r="J64" s="284">
        <v>8927589351</v>
      </c>
      <c r="K64" s="275" t="s">
        <v>290</v>
      </c>
      <c r="L64" s="303" t="s">
        <v>52</v>
      </c>
      <c r="M64" s="272">
        <v>31414</v>
      </c>
      <c r="N64" s="272">
        <v>53358</v>
      </c>
      <c r="O64" s="272">
        <v>45210</v>
      </c>
      <c r="P64" s="272">
        <v>45541</v>
      </c>
      <c r="Q64" s="302">
        <v>45160</v>
      </c>
      <c r="R64" s="603" t="s">
        <v>7997</v>
      </c>
      <c r="S64" s="486" t="s">
        <v>7998</v>
      </c>
      <c r="T64" s="485"/>
      <c r="U64" s="485"/>
      <c r="V64" s="382">
        <f t="shared" si="5"/>
        <v>11</v>
      </c>
      <c r="W64" s="311"/>
      <c r="X64" s="1220">
        <f t="shared" ca="1" si="6"/>
        <v>40</v>
      </c>
      <c r="Y64" s="563"/>
      <c r="AA64" s="384"/>
    </row>
    <row r="65" spans="1:39" ht="15.75" customHeight="1">
      <c r="A65" s="1190">
        <v>8</v>
      </c>
      <c r="B65" s="1097" t="s">
        <v>7999</v>
      </c>
      <c r="C65" s="275" t="s">
        <v>21</v>
      </c>
      <c r="D65" s="2150">
        <v>50204119708</v>
      </c>
      <c r="E65" s="274" t="s">
        <v>8000</v>
      </c>
      <c r="F65" s="18" t="s">
        <v>759</v>
      </c>
      <c r="G65" s="274" t="s">
        <v>77</v>
      </c>
      <c r="H65" s="275"/>
      <c r="I65" s="275">
        <v>9002071035</v>
      </c>
      <c r="J65" s="274"/>
      <c r="K65" s="275" t="s">
        <v>290</v>
      </c>
      <c r="L65" s="303" t="s">
        <v>56</v>
      </c>
      <c r="M65" s="272">
        <v>29857</v>
      </c>
      <c r="N65" s="272">
        <v>51774</v>
      </c>
      <c r="O65" s="272">
        <v>45514</v>
      </c>
      <c r="P65" s="315">
        <v>45066</v>
      </c>
      <c r="Q65" s="302">
        <v>45160</v>
      </c>
      <c r="R65" s="998"/>
      <c r="S65" s="486" t="s">
        <v>8001</v>
      </c>
      <c r="T65" s="485"/>
      <c r="U65" s="485"/>
      <c r="V65" s="382">
        <f t="shared" si="5"/>
        <v>11</v>
      </c>
      <c r="W65" s="311"/>
      <c r="X65" s="1220">
        <f t="shared" ca="1" si="6"/>
        <v>44</v>
      </c>
      <c r="Y65" s="311"/>
      <c r="Z65" s="311"/>
      <c r="AA65" s="311"/>
      <c r="AB65" s="311"/>
      <c r="AC65" s="311"/>
      <c r="AD65" s="311"/>
      <c r="AE65" s="311"/>
      <c r="AF65" s="311"/>
      <c r="AG65" s="311"/>
      <c r="AH65" s="311"/>
      <c r="AI65" s="311"/>
      <c r="AJ65" s="311"/>
      <c r="AK65" s="311"/>
      <c r="AL65" s="311"/>
      <c r="AM65" s="311"/>
    </row>
    <row r="66" spans="1:39" ht="15.75" customHeight="1">
      <c r="A66" s="1190">
        <v>10</v>
      </c>
      <c r="B66" s="293" t="s">
        <v>8002</v>
      </c>
      <c r="C66" s="275" t="s">
        <v>21</v>
      </c>
      <c r="D66" s="2164">
        <v>50205618680</v>
      </c>
      <c r="E66" s="274" t="s">
        <v>8003</v>
      </c>
      <c r="F66" s="18" t="s">
        <v>759</v>
      </c>
      <c r="G66" s="274" t="s">
        <v>78</v>
      </c>
      <c r="H66" s="275"/>
      <c r="I66" s="275">
        <v>8240177021</v>
      </c>
      <c r="J66" s="601">
        <v>9681435653</v>
      </c>
      <c r="K66" s="275" t="s">
        <v>290</v>
      </c>
      <c r="L66" s="274" t="s">
        <v>50</v>
      </c>
      <c r="M66" s="272">
        <v>31138</v>
      </c>
      <c r="N66" s="272">
        <v>53052</v>
      </c>
      <c r="O66" s="272">
        <v>46253</v>
      </c>
      <c r="P66" s="279">
        <v>45738</v>
      </c>
      <c r="Q66" s="302">
        <v>45160</v>
      </c>
      <c r="R66" s="603" t="s">
        <v>8004</v>
      </c>
      <c r="S66" s="486" t="s">
        <v>8004</v>
      </c>
      <c r="T66" s="952"/>
      <c r="U66" s="485"/>
      <c r="V66" s="382">
        <f t="shared" si="5"/>
        <v>11</v>
      </c>
      <c r="W66" s="311"/>
      <c r="X66" s="1220">
        <f t="shared" ca="1" si="6"/>
        <v>40</v>
      </c>
      <c r="Y66" s="311"/>
      <c r="Z66" s="311"/>
      <c r="AA66" s="311"/>
      <c r="AB66" s="311"/>
      <c r="AC66" s="311"/>
      <c r="AD66" s="311"/>
      <c r="AE66" s="311"/>
      <c r="AF66" s="311"/>
      <c r="AG66" s="311"/>
      <c r="AH66" s="311"/>
      <c r="AI66" s="311"/>
      <c r="AJ66" s="311"/>
      <c r="AK66" s="311"/>
      <c r="AL66" s="311"/>
      <c r="AM66" s="311"/>
    </row>
    <row r="67" spans="1:39" ht="15.75" customHeight="1">
      <c r="A67" s="1190">
        <v>11</v>
      </c>
      <c r="B67" s="293" t="s">
        <v>8005</v>
      </c>
      <c r="C67" s="275" t="s">
        <v>21</v>
      </c>
      <c r="D67" s="304">
        <v>50205559042</v>
      </c>
      <c r="E67" s="1843" t="s">
        <v>8006</v>
      </c>
      <c r="F67" s="18" t="s">
        <v>759</v>
      </c>
      <c r="G67" s="303" t="s">
        <v>76</v>
      </c>
      <c r="H67" s="275"/>
      <c r="I67" s="275">
        <v>8420320070</v>
      </c>
      <c r="J67" s="275"/>
      <c r="K67" s="275" t="s">
        <v>290</v>
      </c>
      <c r="L67" s="18" t="s">
        <v>62</v>
      </c>
      <c r="M67" s="272">
        <v>30335</v>
      </c>
      <c r="N67" s="272">
        <v>52262</v>
      </c>
      <c r="O67" s="272">
        <v>46000</v>
      </c>
      <c r="P67" s="315">
        <v>46150</v>
      </c>
      <c r="Q67" s="302">
        <v>45160</v>
      </c>
      <c r="R67" s="2165"/>
      <c r="S67" s="310" t="s">
        <v>8007</v>
      </c>
      <c r="T67" s="862"/>
      <c r="U67" s="309"/>
      <c r="V67" s="311">
        <f t="shared" si="5"/>
        <v>11</v>
      </c>
      <c r="W67" s="311"/>
      <c r="X67" s="1220">
        <f t="shared" ca="1" si="6"/>
        <v>43</v>
      </c>
      <c r="Y67" s="311"/>
      <c r="Z67" s="311"/>
      <c r="AA67" s="311"/>
      <c r="AB67" s="311"/>
      <c r="AC67" s="311"/>
      <c r="AD67" s="311"/>
      <c r="AE67" s="311"/>
      <c r="AF67" s="311"/>
      <c r="AG67" s="311"/>
      <c r="AH67" s="311"/>
      <c r="AI67" s="311"/>
      <c r="AJ67" s="311"/>
      <c r="AK67" s="311"/>
      <c r="AL67" s="311"/>
      <c r="AM67" s="311"/>
    </row>
    <row r="68" spans="1:39" ht="15.75" customHeight="1">
      <c r="A68" s="944">
        <v>54</v>
      </c>
      <c r="B68" s="426" t="s">
        <v>8008</v>
      </c>
      <c r="C68" s="307" t="s">
        <v>21</v>
      </c>
      <c r="D68" s="972">
        <v>50205680335</v>
      </c>
      <c r="E68" s="18" t="s">
        <v>8009</v>
      </c>
      <c r="F68" s="286" t="s">
        <v>759</v>
      </c>
      <c r="G68" s="18" t="s">
        <v>76</v>
      </c>
      <c r="H68" s="2098"/>
      <c r="I68" s="432">
        <v>8436698144</v>
      </c>
      <c r="J68" s="433"/>
      <c r="K68" s="275" t="s">
        <v>290</v>
      </c>
      <c r="L68" s="18" t="s">
        <v>417</v>
      </c>
      <c r="M68" s="418">
        <v>32601</v>
      </c>
      <c r="N68" s="418">
        <v>54543</v>
      </c>
      <c r="O68" s="320">
        <v>46561</v>
      </c>
      <c r="P68" s="272">
        <v>46178</v>
      </c>
      <c r="Q68" s="272">
        <v>46004</v>
      </c>
      <c r="R68" s="281" t="s">
        <v>8010</v>
      </c>
      <c r="S68" s="281" t="s">
        <v>8011</v>
      </c>
      <c r="T68" s="280"/>
      <c r="U68" s="280"/>
      <c r="V68" s="79"/>
      <c r="W68" s="79"/>
      <c r="X68" s="282">
        <f t="shared" ca="1" si="6"/>
        <v>36</v>
      </c>
      <c r="Y68" s="382"/>
      <c r="Z68" s="382"/>
      <c r="AA68" s="382"/>
      <c r="AB68" s="311"/>
    </row>
    <row r="69" spans="1:39" ht="15.75" customHeight="1">
      <c r="A69" s="1131">
        <v>15</v>
      </c>
      <c r="B69" s="351" t="s">
        <v>8012</v>
      </c>
      <c r="C69" s="303" t="s">
        <v>20</v>
      </c>
      <c r="D69" s="416">
        <v>50205690559</v>
      </c>
      <c r="E69" s="345" t="s">
        <v>8013</v>
      </c>
      <c r="F69" s="18" t="s">
        <v>759</v>
      </c>
      <c r="G69" s="274" t="s">
        <v>77</v>
      </c>
      <c r="H69" s="275"/>
      <c r="I69" s="275">
        <v>8927663576</v>
      </c>
      <c r="J69" s="275"/>
      <c r="K69" s="275" t="s">
        <v>290</v>
      </c>
      <c r="L69" s="274" t="s">
        <v>61</v>
      </c>
      <c r="M69" s="272">
        <v>34941</v>
      </c>
      <c r="N69" s="272">
        <v>56857</v>
      </c>
      <c r="O69" s="320">
        <v>45129</v>
      </c>
      <c r="P69" s="272">
        <v>46106</v>
      </c>
      <c r="Q69" s="419">
        <v>45977</v>
      </c>
      <c r="R69" s="281" t="s">
        <v>8014</v>
      </c>
      <c r="S69" s="281" t="s">
        <v>8015</v>
      </c>
      <c r="T69" s="280"/>
      <c r="U69" s="280"/>
      <c r="V69" s="79">
        <f>LEN(D69)</f>
        <v>11</v>
      </c>
      <c r="W69" s="79"/>
      <c r="X69" s="282">
        <f t="shared" ca="1" si="6"/>
        <v>30</v>
      </c>
      <c r="Y69" s="382"/>
      <c r="Z69" s="382"/>
      <c r="AA69" s="382"/>
      <c r="AB69" s="311"/>
    </row>
    <row r="70" spans="1:39" ht="15.75" customHeight="1">
      <c r="A70" s="1190">
        <v>13</v>
      </c>
      <c r="B70" s="293" t="s">
        <v>8016</v>
      </c>
      <c r="C70" s="274" t="s">
        <v>20</v>
      </c>
      <c r="D70" s="2164">
        <v>50262110486</v>
      </c>
      <c r="E70" s="1053" t="s">
        <v>8017</v>
      </c>
      <c r="F70" s="946" t="s">
        <v>759</v>
      </c>
      <c r="G70" s="284" t="s">
        <v>77</v>
      </c>
      <c r="H70" s="307"/>
      <c r="I70" s="275">
        <v>8515041462</v>
      </c>
      <c r="J70" s="306">
        <v>9932989917</v>
      </c>
      <c r="K70" s="275" t="s">
        <v>290</v>
      </c>
      <c r="L70" s="274" t="s">
        <v>54</v>
      </c>
      <c r="M70" s="272">
        <v>30550</v>
      </c>
      <c r="N70" s="272">
        <v>52474</v>
      </c>
      <c r="O70" s="272">
        <v>45243</v>
      </c>
      <c r="P70" s="279">
        <v>45531</v>
      </c>
      <c r="Q70" s="302">
        <v>45506</v>
      </c>
      <c r="R70" s="377" t="s">
        <v>8018</v>
      </c>
      <c r="S70" s="1592" t="s">
        <v>8019</v>
      </c>
      <c r="T70" s="1363" t="s">
        <v>8020</v>
      </c>
      <c r="U70" s="1833"/>
      <c r="V70" s="285"/>
      <c r="W70" s="311"/>
      <c r="X70" s="1647"/>
      <c r="Y70" s="311"/>
      <c r="Z70" s="311"/>
      <c r="AA70" s="311"/>
      <c r="AB70" s="311">
        <f t="shared" ref="AB70:AB74" ca="1" si="7">INT((TODAY()-M70)/365)</f>
        <v>42</v>
      </c>
    </row>
    <row r="71" spans="1:39" ht="15.75" customHeight="1">
      <c r="A71" s="1036">
        <v>5</v>
      </c>
      <c r="B71" s="293" t="s">
        <v>8021</v>
      </c>
      <c r="C71" s="274" t="s">
        <v>20</v>
      </c>
      <c r="D71" s="304">
        <v>50200162541</v>
      </c>
      <c r="E71" s="303" t="s">
        <v>8022</v>
      </c>
      <c r="F71" s="946" t="s">
        <v>759</v>
      </c>
      <c r="G71" s="274" t="s">
        <v>77</v>
      </c>
      <c r="H71" s="275"/>
      <c r="I71" s="275">
        <v>9647214850</v>
      </c>
      <c r="J71" s="415">
        <v>7407260579</v>
      </c>
      <c r="K71" s="275" t="s">
        <v>290</v>
      </c>
      <c r="L71" s="274" t="s">
        <v>417</v>
      </c>
      <c r="M71" s="272">
        <v>29252</v>
      </c>
      <c r="N71" s="272">
        <v>51166</v>
      </c>
      <c r="O71" s="272">
        <v>45689</v>
      </c>
      <c r="P71" s="272">
        <v>45874</v>
      </c>
      <c r="Q71" s="279">
        <v>45833</v>
      </c>
      <c r="R71" s="377" t="s">
        <v>8023</v>
      </c>
      <c r="S71" s="2166" t="s">
        <v>8024</v>
      </c>
      <c r="T71" s="1892" t="s">
        <v>8025</v>
      </c>
      <c r="V71" s="425"/>
      <c r="W71" s="311"/>
      <c r="X71" s="1647"/>
      <c r="Y71" s="311"/>
      <c r="Z71" s="311"/>
      <c r="AA71" s="311"/>
      <c r="AB71" s="311">
        <f t="shared" ca="1" si="7"/>
        <v>46</v>
      </c>
    </row>
    <row r="72" spans="1:39" ht="15.75" customHeight="1">
      <c r="A72" s="937">
        <v>22</v>
      </c>
      <c r="B72" s="351" t="s">
        <v>8026</v>
      </c>
      <c r="C72" s="274" t="s">
        <v>20</v>
      </c>
      <c r="D72" s="595">
        <v>27329801545</v>
      </c>
      <c r="E72" s="582" t="s">
        <v>8027</v>
      </c>
      <c r="F72" s="274" t="s">
        <v>759</v>
      </c>
      <c r="G72" s="284" t="s">
        <v>76</v>
      </c>
      <c r="H72" s="391"/>
      <c r="I72" s="284">
        <v>9123897284</v>
      </c>
      <c r="J72" s="391">
        <v>9123897284</v>
      </c>
      <c r="K72" s="275" t="s">
        <v>290</v>
      </c>
      <c r="L72" s="274" t="s">
        <v>417</v>
      </c>
      <c r="M72" s="289">
        <v>30440</v>
      </c>
      <c r="N72" s="289">
        <v>52382</v>
      </c>
      <c r="O72" s="1962">
        <v>45384</v>
      </c>
      <c r="P72" s="272">
        <v>45915</v>
      </c>
      <c r="Q72" s="272">
        <v>45915</v>
      </c>
      <c r="R72" s="394" t="s">
        <v>8028</v>
      </c>
      <c r="S72" s="394" t="s">
        <v>8029</v>
      </c>
      <c r="T72" s="394" t="s">
        <v>8030</v>
      </c>
      <c r="U72" s="393"/>
      <c r="V72" s="383">
        <f>LEN(TEXT(D72,0))</f>
        <v>11</v>
      </c>
      <c r="W72" s="563"/>
      <c r="X72" s="90"/>
      <c r="Y72" s="563"/>
      <c r="AA72" s="384"/>
      <c r="AB72" s="208">
        <f t="shared" ca="1" si="7"/>
        <v>42</v>
      </c>
    </row>
    <row r="73" spans="1:39" ht="15" customHeight="1">
      <c r="A73" s="1131">
        <v>23</v>
      </c>
      <c r="B73" s="293" t="s">
        <v>8031</v>
      </c>
      <c r="C73" s="274" t="s">
        <v>20</v>
      </c>
      <c r="D73" s="304">
        <v>50714104492</v>
      </c>
      <c r="E73" s="303" t="s">
        <v>8032</v>
      </c>
      <c r="F73" s="946" t="s">
        <v>759</v>
      </c>
      <c r="G73" s="274" t="s">
        <v>77</v>
      </c>
      <c r="H73" s="275"/>
      <c r="I73" s="275">
        <v>8972861566</v>
      </c>
      <c r="J73" s="306">
        <v>9681486995</v>
      </c>
      <c r="K73" s="275" t="s">
        <v>290</v>
      </c>
      <c r="L73" s="274" t="s">
        <v>256</v>
      </c>
      <c r="M73" s="272">
        <v>28934</v>
      </c>
      <c r="N73" s="272">
        <v>50860</v>
      </c>
      <c r="O73" s="272">
        <v>45175</v>
      </c>
      <c r="P73" s="279">
        <v>45874</v>
      </c>
      <c r="Q73" s="279">
        <v>45833</v>
      </c>
      <c r="R73" s="603" t="s">
        <v>8033</v>
      </c>
      <c r="S73" s="486" t="s">
        <v>8034</v>
      </c>
      <c r="T73" s="485"/>
      <c r="U73" s="485"/>
      <c r="V73" s="285"/>
      <c r="W73" s="382"/>
      <c r="X73" s="1586"/>
      <c r="Y73" s="382"/>
      <c r="Z73" s="382"/>
      <c r="AA73" s="382"/>
      <c r="AB73" s="311">
        <f t="shared" ca="1" si="7"/>
        <v>47</v>
      </c>
    </row>
    <row r="74" spans="1:39" ht="15.75" customHeight="1">
      <c r="A74" s="944">
        <v>6</v>
      </c>
      <c r="B74" s="301" t="s">
        <v>8035</v>
      </c>
      <c r="C74" s="405" t="s">
        <v>21</v>
      </c>
      <c r="D74" s="416" t="s">
        <v>8036</v>
      </c>
      <c r="E74" s="274" t="s">
        <v>8037</v>
      </c>
      <c r="F74" s="946" t="s">
        <v>759</v>
      </c>
      <c r="G74" s="274" t="s">
        <v>76</v>
      </c>
      <c r="H74" s="275"/>
      <c r="I74" s="275">
        <v>9840652135</v>
      </c>
      <c r="J74" s="275"/>
      <c r="K74" s="275" t="s">
        <v>290</v>
      </c>
      <c r="L74" s="656" t="s">
        <v>54</v>
      </c>
      <c r="M74" s="272">
        <v>27021</v>
      </c>
      <c r="N74" s="272">
        <v>48944</v>
      </c>
      <c r="O74" s="277">
        <v>45107</v>
      </c>
      <c r="P74" s="272">
        <v>45681</v>
      </c>
      <c r="Q74" s="316">
        <v>45496</v>
      </c>
      <c r="R74" s="429" t="s">
        <v>8038</v>
      </c>
      <c r="S74" s="280"/>
      <c r="T74" s="280"/>
      <c r="U74" s="280"/>
      <c r="V74" s="79">
        <f>LEN(D74)</f>
        <v>11</v>
      </c>
      <c r="X74" s="1647"/>
      <c r="Y74" s="311"/>
      <c r="Z74" s="311"/>
      <c r="AA74" s="311"/>
      <c r="AB74" s="311">
        <f t="shared" ca="1" si="7"/>
        <v>52</v>
      </c>
    </row>
    <row r="75" spans="1:39" ht="15.75" customHeight="1">
      <c r="A75" s="944">
        <v>11</v>
      </c>
      <c r="B75" s="351" t="s">
        <v>8039</v>
      </c>
      <c r="C75" s="274" t="s">
        <v>20</v>
      </c>
      <c r="D75" s="416">
        <v>50205690584</v>
      </c>
      <c r="E75" s="274" t="s">
        <v>8040</v>
      </c>
      <c r="F75" s="274" t="s">
        <v>759</v>
      </c>
      <c r="G75" s="274" t="s">
        <v>77</v>
      </c>
      <c r="H75" s="275"/>
      <c r="I75" s="275">
        <v>7980665308</v>
      </c>
      <c r="J75" s="275">
        <v>7980665308</v>
      </c>
      <c r="K75" s="275" t="s">
        <v>290</v>
      </c>
      <c r="L75" s="274" t="s">
        <v>54</v>
      </c>
      <c r="M75" s="272">
        <v>34234</v>
      </c>
      <c r="N75" s="272">
        <v>56157</v>
      </c>
      <c r="O75" s="320">
        <v>46524</v>
      </c>
      <c r="P75" s="272">
        <v>46106</v>
      </c>
      <c r="Q75" s="419">
        <v>46004</v>
      </c>
      <c r="R75" s="429" t="s">
        <v>8041</v>
      </c>
      <c r="S75" s="281" t="s">
        <v>8042</v>
      </c>
      <c r="T75" s="79"/>
      <c r="U75" s="79"/>
      <c r="V75" s="79"/>
      <c r="W75" s="436"/>
      <c r="X75" s="436"/>
    </row>
    <row r="76" spans="1:39" ht="15.75" customHeight="1">
      <c r="A76" s="944">
        <v>87</v>
      </c>
      <c r="B76" s="351" t="s">
        <v>8043</v>
      </c>
      <c r="C76" s="274" t="s">
        <v>20</v>
      </c>
      <c r="D76" s="873">
        <v>50205690560</v>
      </c>
      <c r="E76" s="274" t="s">
        <v>8044</v>
      </c>
      <c r="F76" s="1007" t="s">
        <v>759</v>
      </c>
      <c r="G76" s="274" t="s">
        <v>77</v>
      </c>
      <c r="H76" s="275"/>
      <c r="I76" s="275">
        <v>7501782860</v>
      </c>
      <c r="J76" s="275">
        <v>7501782860</v>
      </c>
      <c r="K76" s="275" t="s">
        <v>290</v>
      </c>
      <c r="L76" s="274" t="s">
        <v>52</v>
      </c>
      <c r="M76" s="272">
        <v>32969</v>
      </c>
      <c r="N76" s="272">
        <v>54908</v>
      </c>
      <c r="O76" s="320">
        <v>45111</v>
      </c>
      <c r="P76" s="272">
        <v>46108</v>
      </c>
      <c r="Q76" s="419">
        <v>45977</v>
      </c>
      <c r="R76" s="429" t="s">
        <v>8045</v>
      </c>
      <c r="V76" s="206">
        <f t="shared" ref="V76:V78" si="8">LEN(D76)</f>
        <v>11</v>
      </c>
      <c r="X76" s="208">
        <f ca="1">INT((TODAY()-M76)/365)</f>
        <v>35</v>
      </c>
      <c r="Y76" s="311"/>
      <c r="Z76" s="311"/>
      <c r="AA76" s="311"/>
      <c r="AB76" s="311"/>
      <c r="AC76" s="311"/>
      <c r="AD76" s="311"/>
      <c r="AE76" s="311"/>
      <c r="AF76" s="311"/>
      <c r="AG76" s="311"/>
      <c r="AH76" s="311"/>
      <c r="AI76" s="311"/>
      <c r="AJ76" s="311"/>
      <c r="AK76" s="311"/>
      <c r="AL76" s="311"/>
      <c r="AM76" s="311"/>
    </row>
    <row r="77" spans="1:39" ht="15.75" customHeight="1">
      <c r="A77" s="944">
        <v>9</v>
      </c>
      <c r="B77" s="426" t="s">
        <v>8046</v>
      </c>
      <c r="C77" s="274" t="s">
        <v>20</v>
      </c>
      <c r="D77" s="972">
        <v>50215321642</v>
      </c>
      <c r="E77" s="18" t="s">
        <v>8047</v>
      </c>
      <c r="F77" s="1024" t="s">
        <v>759</v>
      </c>
      <c r="G77" s="18" t="s">
        <v>76</v>
      </c>
      <c r="H77" s="275"/>
      <c r="I77" s="137">
        <v>8777060936</v>
      </c>
      <c r="J77" s="3"/>
      <c r="K77" s="275" t="s">
        <v>290</v>
      </c>
      <c r="L77" s="125" t="s">
        <v>54</v>
      </c>
      <c r="M77" s="418">
        <v>29800</v>
      </c>
      <c r="N77" s="418">
        <v>51744</v>
      </c>
      <c r="O77" s="428">
        <v>45452</v>
      </c>
      <c r="P77" s="279">
        <v>45261</v>
      </c>
      <c r="Q77" s="302">
        <v>45248</v>
      </c>
      <c r="R77" s="281" t="s">
        <v>8048</v>
      </c>
      <c r="S77" s="281" t="s">
        <v>8049</v>
      </c>
      <c r="T77" s="280"/>
      <c r="U77" s="280"/>
      <c r="V77" s="382">
        <f t="shared" si="8"/>
        <v>11</v>
      </c>
      <c r="AB77" s="311">
        <f ca="1">INT((TODAY()-M77)/365)</f>
        <v>44</v>
      </c>
    </row>
    <row r="78" spans="1:39" ht="15.75" customHeight="1">
      <c r="A78" s="961">
        <v>22</v>
      </c>
      <c r="B78" s="1097" t="s">
        <v>8050</v>
      </c>
      <c r="C78" s="274" t="s">
        <v>20</v>
      </c>
      <c r="D78" s="489">
        <v>50205616440</v>
      </c>
      <c r="E78" s="491" t="s">
        <v>8051</v>
      </c>
      <c r="F78" s="18" t="s">
        <v>759</v>
      </c>
      <c r="G78" s="274" t="s">
        <v>77</v>
      </c>
      <c r="H78" s="274" t="s">
        <v>266</v>
      </c>
      <c r="I78" s="690">
        <v>9933013310</v>
      </c>
      <c r="J78" s="284">
        <v>9875463152</v>
      </c>
      <c r="K78" s="275" t="s">
        <v>290</v>
      </c>
      <c r="L78" s="125" t="s">
        <v>59</v>
      </c>
      <c r="M78" s="272">
        <v>30717</v>
      </c>
      <c r="N78" s="272">
        <v>52656</v>
      </c>
      <c r="O78" s="272">
        <v>46013</v>
      </c>
      <c r="P78" s="279">
        <v>45552</v>
      </c>
      <c r="Q78" s="272">
        <v>45563</v>
      </c>
      <c r="R78" s="79"/>
      <c r="S78" s="603" t="s">
        <v>8052</v>
      </c>
      <c r="T78" s="486" t="s">
        <v>8053</v>
      </c>
      <c r="U78" s="79"/>
      <c r="V78" s="382">
        <f t="shared" si="8"/>
        <v>11</v>
      </c>
      <c r="W78" s="311"/>
      <c r="X78" s="1220">
        <f ca="1">INT((TODAY()-M78)/365)</f>
        <v>42</v>
      </c>
      <c r="Y78" s="384"/>
      <c r="Z78" s="384"/>
      <c r="AA78" s="384"/>
      <c r="AB78" s="384"/>
      <c r="AC78" s="384"/>
      <c r="AD78" s="384"/>
      <c r="AE78" s="384"/>
      <c r="AF78" s="384"/>
      <c r="AG78" s="384"/>
      <c r="AH78" s="384"/>
      <c r="AI78" s="384"/>
      <c r="AJ78" s="384"/>
      <c r="AK78" s="384"/>
      <c r="AL78" s="384"/>
      <c r="AM78" s="384"/>
    </row>
    <row r="79" spans="1:39" ht="15.75" customHeight="1">
      <c r="A79" s="1051">
        <v>87</v>
      </c>
      <c r="B79" s="351" t="s">
        <v>8054</v>
      </c>
      <c r="C79" s="274" t="s">
        <v>20</v>
      </c>
      <c r="D79" s="543">
        <v>50221302730</v>
      </c>
      <c r="E79" s="1676" t="s">
        <v>8055</v>
      </c>
      <c r="F79" s="143" t="s">
        <v>3258</v>
      </c>
      <c r="G79" s="284" t="s">
        <v>76</v>
      </c>
      <c r="H79" s="303" t="s">
        <v>1567</v>
      </c>
      <c r="I79" s="536">
        <v>9002071258</v>
      </c>
      <c r="J79" s="284">
        <v>8674022176</v>
      </c>
      <c r="K79" s="275" t="s">
        <v>290</v>
      </c>
      <c r="L79" s="656" t="s">
        <v>417</v>
      </c>
      <c r="M79" s="289">
        <v>30637</v>
      </c>
      <c r="N79" s="289">
        <v>52565</v>
      </c>
      <c r="O79" s="392">
        <v>46155</v>
      </c>
      <c r="P79" s="315">
        <v>45590</v>
      </c>
      <c r="Q79" s="316">
        <v>45524</v>
      </c>
      <c r="R79" s="394" t="s">
        <v>8056</v>
      </c>
      <c r="S79" s="394" t="s">
        <v>8057</v>
      </c>
      <c r="T79" s="394" t="s">
        <v>8058</v>
      </c>
      <c r="U79" s="393"/>
      <c r="V79" s="383">
        <f t="shared" ref="V79:V80" si="9">LEN(TEXT(D79,0))</f>
        <v>11</v>
      </c>
      <c r="W79" s="395"/>
      <c r="X79" s="3"/>
      <c r="Y79" s="3"/>
      <c r="Z79" s="79"/>
      <c r="AA79" s="79"/>
      <c r="AB79" s="311">
        <f t="shared" ref="AB79:AB81" ca="1" si="10">INT((TODAY()-M79)/365)</f>
        <v>42</v>
      </c>
    </row>
    <row r="80" spans="1:39" ht="15.75" customHeight="1">
      <c r="A80" s="1051">
        <v>84</v>
      </c>
      <c r="B80" s="351" t="s">
        <v>8059</v>
      </c>
      <c r="C80" s="274" t="s">
        <v>20</v>
      </c>
      <c r="D80" s="1585" t="s">
        <v>8060</v>
      </c>
      <c r="E80" s="18" t="s">
        <v>8061</v>
      </c>
      <c r="F80" s="274" t="s">
        <v>759</v>
      </c>
      <c r="G80" s="284" t="s">
        <v>77</v>
      </c>
      <c r="H80" s="274" t="s">
        <v>1567</v>
      </c>
      <c r="I80" s="284">
        <v>9007752588</v>
      </c>
      <c r="J80" s="284">
        <v>9007752588</v>
      </c>
      <c r="K80" s="274" t="s">
        <v>290</v>
      </c>
      <c r="L80" s="274" t="s">
        <v>351</v>
      </c>
      <c r="M80" s="390">
        <v>29994</v>
      </c>
      <c r="N80" s="289">
        <v>51925</v>
      </c>
      <c r="O80" s="392">
        <v>45900</v>
      </c>
      <c r="P80" s="279">
        <v>45531</v>
      </c>
      <c r="Q80" s="302">
        <v>45506</v>
      </c>
      <c r="R80" s="394" t="s">
        <v>8062</v>
      </c>
      <c r="S80" s="394" t="s">
        <v>8063</v>
      </c>
      <c r="T80" s="393"/>
      <c r="U80" s="393"/>
      <c r="V80" s="383">
        <f t="shared" si="9"/>
        <v>11</v>
      </c>
      <c r="W80" s="395"/>
      <c r="Y80" s="563"/>
      <c r="AA80" s="384"/>
      <c r="AB80" s="208">
        <f t="shared" ca="1" si="10"/>
        <v>44</v>
      </c>
    </row>
    <row r="81" spans="1:39" ht="15.75" customHeight="1">
      <c r="A81" s="1051">
        <v>85</v>
      </c>
      <c r="B81" s="351" t="s">
        <v>8064</v>
      </c>
      <c r="C81" s="274" t="s">
        <v>20</v>
      </c>
      <c r="D81" s="1585" t="s">
        <v>8065</v>
      </c>
      <c r="E81" s="620" t="s">
        <v>8066</v>
      </c>
      <c r="F81" s="686" t="s">
        <v>759</v>
      </c>
      <c r="G81" s="284" t="s">
        <v>76</v>
      </c>
      <c r="H81" s="274" t="s">
        <v>266</v>
      </c>
      <c r="I81" s="391">
        <v>8617020048</v>
      </c>
      <c r="J81" s="391"/>
      <c r="K81" s="274" t="s">
        <v>290</v>
      </c>
      <c r="L81" s="125" t="s">
        <v>67</v>
      </c>
      <c r="M81" s="390">
        <v>30234</v>
      </c>
      <c r="N81" s="289">
        <v>52170</v>
      </c>
      <c r="O81" s="392">
        <v>45900</v>
      </c>
      <c r="P81" s="279">
        <v>45531</v>
      </c>
      <c r="Q81" s="302">
        <v>45506</v>
      </c>
      <c r="R81" s="394" t="s">
        <v>8067</v>
      </c>
      <c r="S81" s="394" t="s">
        <v>8068</v>
      </c>
      <c r="T81" s="393"/>
      <c r="U81" s="393"/>
      <c r="V81" s="285"/>
      <c r="W81" s="395"/>
      <c r="Y81" s="563"/>
      <c r="AA81" s="384"/>
      <c r="AB81" s="208">
        <f t="shared" ca="1" si="10"/>
        <v>43</v>
      </c>
    </row>
    <row r="82" spans="1:39">
      <c r="A82" s="1006">
        <v>62</v>
      </c>
      <c r="B82" s="301" t="s">
        <v>8069</v>
      </c>
      <c r="C82" s="284" t="s">
        <v>22</v>
      </c>
      <c r="D82" s="1122">
        <v>3429801805</v>
      </c>
      <c r="E82" s="681" t="s">
        <v>8070</v>
      </c>
      <c r="F82" s="686" t="s">
        <v>759</v>
      </c>
      <c r="G82" s="284" t="s">
        <v>76</v>
      </c>
      <c r="H82" s="391"/>
      <c r="I82" s="1309">
        <v>9804895256</v>
      </c>
      <c r="J82" s="284"/>
      <c r="K82" s="275" t="s">
        <v>290</v>
      </c>
      <c r="L82" s="274" t="s">
        <v>44</v>
      </c>
      <c r="M82" s="272">
        <v>33074</v>
      </c>
      <c r="N82" s="272">
        <v>55000</v>
      </c>
      <c r="O82" s="400">
        <v>46144</v>
      </c>
      <c r="P82" s="279">
        <v>45541</v>
      </c>
      <c r="Q82" s="302">
        <v>45524</v>
      </c>
      <c r="R82" s="394" t="s">
        <v>8071</v>
      </c>
      <c r="S82" s="393"/>
      <c r="T82" s="403"/>
      <c r="U82" s="393"/>
      <c r="V82" s="383"/>
      <c r="W82" s="563"/>
      <c r="X82" s="3"/>
      <c r="Y82" s="395"/>
      <c r="Z82" s="79"/>
      <c r="AA82" s="383"/>
      <c r="AB82" s="282"/>
      <c r="AC82" s="383"/>
      <c r="AD82" s="383"/>
      <c r="AE82" s="383"/>
      <c r="AF82" s="383"/>
      <c r="AG82" s="383"/>
      <c r="AH82" s="383"/>
      <c r="AI82" s="384"/>
      <c r="AJ82" s="384"/>
      <c r="AK82" s="384"/>
      <c r="AL82" s="384"/>
      <c r="AM82" s="384"/>
    </row>
    <row r="83" spans="1:39">
      <c r="A83" s="980">
        <v>37</v>
      </c>
      <c r="B83" s="301" t="s">
        <v>8072</v>
      </c>
      <c r="C83" s="284" t="s">
        <v>22</v>
      </c>
      <c r="D83" s="1010">
        <v>3429802927</v>
      </c>
      <c r="E83" s="557" t="s">
        <v>8073</v>
      </c>
      <c r="F83" s="686" t="s">
        <v>759</v>
      </c>
      <c r="G83" s="284" t="s">
        <v>77</v>
      </c>
      <c r="H83" s="391"/>
      <c r="I83" s="1309">
        <v>9230881575</v>
      </c>
      <c r="J83" s="284"/>
      <c r="K83" s="275" t="s">
        <v>290</v>
      </c>
      <c r="L83" s="274" t="s">
        <v>56</v>
      </c>
      <c r="M83" s="272">
        <v>33238</v>
      </c>
      <c r="N83" s="272">
        <f t="shared" ref="N83:N87" si="11">EOMONTH(M83,(12*60))</f>
        <v>55153</v>
      </c>
      <c r="O83" s="400"/>
      <c r="P83" s="279"/>
      <c r="Q83" s="302"/>
      <c r="R83" s="394" t="s">
        <v>8074</v>
      </c>
      <c r="S83" s="393"/>
      <c r="T83" s="403"/>
      <c r="U83" s="393"/>
      <c r="V83" s="383"/>
      <c r="W83" s="563"/>
      <c r="X83" s="90"/>
      <c r="Y83" s="90"/>
      <c r="AB83" s="311"/>
    </row>
    <row r="84" spans="1:39">
      <c r="A84" s="980">
        <v>75</v>
      </c>
      <c r="B84" s="301" t="s">
        <v>7995</v>
      </c>
      <c r="C84" s="284" t="s">
        <v>22</v>
      </c>
      <c r="D84" s="1010">
        <v>3429801819</v>
      </c>
      <c r="E84" s="557" t="s">
        <v>8075</v>
      </c>
      <c r="F84" s="274" t="s">
        <v>759</v>
      </c>
      <c r="G84" s="284" t="s">
        <v>76</v>
      </c>
      <c r="H84" s="391"/>
      <c r="I84" s="558">
        <v>8101530372</v>
      </c>
      <c r="J84" s="284"/>
      <c r="K84" s="275" t="s">
        <v>290</v>
      </c>
      <c r="L84" s="125" t="s">
        <v>54</v>
      </c>
      <c r="M84" s="272">
        <v>32901</v>
      </c>
      <c r="N84" s="272">
        <f t="shared" si="11"/>
        <v>54819</v>
      </c>
      <c r="O84" s="400"/>
      <c r="P84" s="279"/>
      <c r="Q84" s="302"/>
      <c r="R84" s="403"/>
      <c r="S84" s="393"/>
      <c r="T84" s="403"/>
      <c r="U84" s="393"/>
      <c r="V84" s="383"/>
      <c r="W84" s="563"/>
      <c r="X84" s="3"/>
      <c r="Y84" s="395"/>
      <c r="Z84" s="79"/>
      <c r="AA84" s="383"/>
      <c r="AB84" s="282"/>
      <c r="AC84" s="383"/>
      <c r="AD84" s="383"/>
      <c r="AE84" s="383"/>
      <c r="AF84" s="383"/>
      <c r="AG84" s="383"/>
      <c r="AH84" s="383"/>
      <c r="AI84" s="384"/>
      <c r="AJ84" s="384"/>
      <c r="AK84" s="384"/>
      <c r="AL84" s="384"/>
      <c r="AM84" s="384"/>
    </row>
    <row r="85" spans="1:39">
      <c r="A85" s="980">
        <v>67</v>
      </c>
      <c r="B85" s="301" t="s">
        <v>8076</v>
      </c>
      <c r="C85" s="284" t="s">
        <v>22</v>
      </c>
      <c r="D85" s="1010">
        <v>3429802921</v>
      </c>
      <c r="E85" s="557" t="s">
        <v>8077</v>
      </c>
      <c r="F85" s="686" t="s">
        <v>759</v>
      </c>
      <c r="G85" s="284" t="s">
        <v>77</v>
      </c>
      <c r="H85" s="391"/>
      <c r="I85" s="1309">
        <v>8100290915</v>
      </c>
      <c r="J85" s="284"/>
      <c r="K85" s="275" t="s">
        <v>290</v>
      </c>
      <c r="L85" s="439" t="s">
        <v>54</v>
      </c>
      <c r="M85" s="272">
        <v>33688</v>
      </c>
      <c r="N85" s="272">
        <f t="shared" si="11"/>
        <v>55609</v>
      </c>
      <c r="O85" s="2167"/>
      <c r="P85" s="279"/>
      <c r="Q85" s="302"/>
      <c r="R85" s="394" t="s">
        <v>8078</v>
      </c>
      <c r="S85" s="393"/>
      <c r="T85" s="403"/>
      <c r="U85" s="393"/>
      <c r="V85" s="383"/>
      <c r="W85" s="563"/>
      <c r="X85" s="3"/>
      <c r="Y85" s="395"/>
      <c r="Z85" s="79"/>
      <c r="AA85" s="383"/>
      <c r="AB85" s="282"/>
      <c r="AC85" s="383"/>
      <c r="AD85" s="383"/>
      <c r="AE85" s="383"/>
      <c r="AF85" s="383"/>
      <c r="AG85" s="383"/>
      <c r="AH85" s="383"/>
      <c r="AI85" s="384"/>
      <c r="AJ85" s="384"/>
      <c r="AK85" s="384"/>
      <c r="AL85" s="384"/>
      <c r="AM85" s="384"/>
    </row>
    <row r="86" spans="1:39">
      <c r="A86" s="980">
        <v>129</v>
      </c>
      <c r="B86" s="286" t="s">
        <v>8079</v>
      </c>
      <c r="C86" s="18" t="s">
        <v>22</v>
      </c>
      <c r="D86" s="2168">
        <v>3429803997</v>
      </c>
      <c r="E86" s="18" t="s">
        <v>8080</v>
      </c>
      <c r="F86" s="274" t="s">
        <v>759</v>
      </c>
      <c r="G86" s="284" t="s">
        <v>76</v>
      </c>
      <c r="H86" s="391"/>
      <c r="I86" s="461">
        <v>7003375894</v>
      </c>
      <c r="J86" s="79"/>
      <c r="K86" s="275" t="s">
        <v>290</v>
      </c>
      <c r="L86" s="18" t="s">
        <v>351</v>
      </c>
      <c r="M86" s="1979">
        <v>33400</v>
      </c>
      <c r="N86" s="272">
        <f t="shared" si="11"/>
        <v>55334</v>
      </c>
      <c r="O86" s="79"/>
      <c r="P86" s="79"/>
      <c r="Q86" s="79"/>
      <c r="R86" s="79"/>
      <c r="S86" s="79"/>
      <c r="T86" s="79"/>
      <c r="U86" s="79"/>
      <c r="V86" s="79"/>
      <c r="W86" s="79"/>
      <c r="X86" s="3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</row>
    <row r="87" spans="1:39">
      <c r="A87" s="980">
        <v>116</v>
      </c>
      <c r="B87" s="1773" t="s">
        <v>8081</v>
      </c>
      <c r="C87" s="284" t="s">
        <v>22</v>
      </c>
      <c r="D87" s="1646" t="s">
        <v>8082</v>
      </c>
      <c r="E87" s="1370" t="s">
        <v>8083</v>
      </c>
      <c r="F87" s="274" t="s">
        <v>759</v>
      </c>
      <c r="G87" s="284" t="s">
        <v>76</v>
      </c>
      <c r="H87" s="391"/>
      <c r="I87" s="1295">
        <v>919230881545</v>
      </c>
      <c r="J87" s="284"/>
      <c r="K87" s="274" t="s">
        <v>290</v>
      </c>
      <c r="L87" s="1387" t="s">
        <v>351</v>
      </c>
      <c r="M87" s="272">
        <v>34386</v>
      </c>
      <c r="N87" s="272">
        <f t="shared" si="11"/>
        <v>56308</v>
      </c>
      <c r="O87" s="400"/>
      <c r="P87" s="279"/>
      <c r="Q87" s="418"/>
      <c r="R87" s="338"/>
      <c r="S87" s="393"/>
      <c r="T87" s="403"/>
      <c r="U87" s="393"/>
      <c r="V87" s="383"/>
      <c r="W87" s="395"/>
      <c r="X87" s="79"/>
      <c r="Y87" s="395"/>
      <c r="Z87" s="79"/>
      <c r="AA87" s="383"/>
      <c r="AB87" s="282"/>
      <c r="AC87" s="383"/>
      <c r="AD87" s="383"/>
      <c r="AE87" s="383"/>
      <c r="AF87" s="383"/>
      <c r="AG87" s="383"/>
      <c r="AH87" s="383"/>
      <c r="AI87" s="383"/>
      <c r="AJ87" s="383"/>
      <c r="AK87" s="384"/>
      <c r="AL87" s="384"/>
      <c r="AM87" s="384"/>
    </row>
    <row r="88" spans="1:39" ht="15.75" customHeight="1">
      <c r="A88" s="944">
        <v>40</v>
      </c>
      <c r="B88" s="426" t="s">
        <v>8084</v>
      </c>
      <c r="C88" s="18" t="s">
        <v>22</v>
      </c>
      <c r="D88" s="427" t="s">
        <v>8085</v>
      </c>
      <c r="E88" s="18" t="s">
        <v>8086</v>
      </c>
      <c r="F88" s="18" t="s">
        <v>3258</v>
      </c>
      <c r="G88" s="18" t="s">
        <v>77</v>
      </c>
      <c r="H88" s="275"/>
      <c r="I88" s="1309">
        <v>8981484939</v>
      </c>
      <c r="J88" s="433"/>
      <c r="K88" s="275" t="s">
        <v>290</v>
      </c>
      <c r="L88" s="18" t="s">
        <v>664</v>
      </c>
      <c r="M88" s="418">
        <v>30173</v>
      </c>
      <c r="N88" s="418">
        <v>52109</v>
      </c>
      <c r="O88" s="428">
        <v>45957</v>
      </c>
      <c r="P88" s="418">
        <v>45522</v>
      </c>
      <c r="Q88" s="418">
        <v>45493</v>
      </c>
      <c r="R88" s="281" t="s">
        <v>8087</v>
      </c>
      <c r="S88" s="280"/>
      <c r="T88" s="430"/>
      <c r="U88" s="430"/>
      <c r="V88" s="430"/>
      <c r="X88" s="1220">
        <f ca="1">INT((TODAY()-M88)/365)</f>
        <v>43</v>
      </c>
    </row>
    <row r="89" spans="1:39" ht="15.75" customHeight="1">
      <c r="A89" s="1586"/>
      <c r="B89" s="1687" t="s">
        <v>8088</v>
      </c>
      <c r="C89" s="18" t="s">
        <v>22</v>
      </c>
      <c r="D89" s="2119" t="s">
        <v>8089</v>
      </c>
      <c r="E89" s="1687" t="s">
        <v>8090</v>
      </c>
      <c r="F89" s="946" t="s">
        <v>759</v>
      </c>
      <c r="G89" s="1689" t="s">
        <v>76</v>
      </c>
      <c r="H89" s="1586"/>
      <c r="I89" s="1586"/>
      <c r="J89" s="1586"/>
      <c r="K89" s="275" t="s">
        <v>290</v>
      </c>
      <c r="L89" s="274" t="s">
        <v>54</v>
      </c>
      <c r="M89" s="418">
        <v>35080</v>
      </c>
      <c r="N89" s="315">
        <f t="shared" ref="N89:N105" si="12">EOMONTH(M89,(12*60))</f>
        <v>57010</v>
      </c>
      <c r="O89" s="602"/>
      <c r="P89" s="602"/>
      <c r="Q89" s="602"/>
      <c r="R89" s="485"/>
      <c r="S89" s="485"/>
      <c r="T89" s="485"/>
      <c r="U89" s="485"/>
      <c r="V89" s="382"/>
      <c r="W89" s="382"/>
      <c r="X89" s="1647"/>
      <c r="Y89" s="311"/>
      <c r="Z89" s="311"/>
      <c r="AA89" s="311"/>
      <c r="AB89" s="311"/>
      <c r="AC89" s="311"/>
      <c r="AD89" s="311"/>
      <c r="AE89" s="311"/>
      <c r="AF89" s="311"/>
      <c r="AG89" s="311"/>
      <c r="AH89" s="311"/>
      <c r="AI89" s="311"/>
      <c r="AJ89" s="311"/>
      <c r="AK89" s="311"/>
      <c r="AL89" s="311"/>
      <c r="AM89" s="311"/>
    </row>
    <row r="90" spans="1:39" ht="15.75" customHeight="1">
      <c r="A90" s="1586"/>
      <c r="B90" s="1687" t="s">
        <v>8091</v>
      </c>
      <c r="C90" s="18" t="s">
        <v>22</v>
      </c>
      <c r="D90" s="2119" t="s">
        <v>8092</v>
      </c>
      <c r="E90" s="1687" t="s">
        <v>8093</v>
      </c>
      <c r="F90" s="674" t="s">
        <v>759</v>
      </c>
      <c r="G90" s="1689" t="s">
        <v>76</v>
      </c>
      <c r="H90" s="1586"/>
      <c r="I90" s="1586"/>
      <c r="J90" s="1586"/>
      <c r="K90" s="275" t="s">
        <v>290</v>
      </c>
      <c r="L90" s="275" t="s">
        <v>43</v>
      </c>
      <c r="M90" s="418">
        <v>33745</v>
      </c>
      <c r="N90" s="315">
        <f t="shared" si="12"/>
        <v>55670</v>
      </c>
      <c r="O90" s="602"/>
      <c r="P90" s="602"/>
      <c r="Q90" s="602"/>
      <c r="R90" s="486" t="s">
        <v>8094</v>
      </c>
      <c r="S90" s="485"/>
      <c r="T90" s="485"/>
      <c r="U90" s="485"/>
      <c r="V90" s="382"/>
      <c r="W90" s="382"/>
      <c r="X90" s="1647"/>
      <c r="Y90" s="311"/>
      <c r="Z90" s="311"/>
      <c r="AA90" s="311"/>
      <c r="AB90" s="311"/>
      <c r="AC90" s="311"/>
      <c r="AD90" s="311"/>
      <c r="AE90" s="311"/>
      <c r="AF90" s="311"/>
      <c r="AG90" s="311"/>
      <c r="AH90" s="311"/>
      <c r="AI90" s="311"/>
      <c r="AJ90" s="311"/>
      <c r="AK90" s="311"/>
      <c r="AL90" s="311"/>
      <c r="AM90" s="311"/>
    </row>
    <row r="91" spans="1:39" ht="15.75" customHeight="1">
      <c r="A91" s="1566">
        <v>63</v>
      </c>
      <c r="B91" s="1687" t="s">
        <v>8095</v>
      </c>
      <c r="C91" s="18" t="s">
        <v>22</v>
      </c>
      <c r="D91" s="2120">
        <v>3329805547</v>
      </c>
      <c r="E91" s="1687" t="s">
        <v>8096</v>
      </c>
      <c r="F91" s="674" t="s">
        <v>759</v>
      </c>
      <c r="G91" s="1689" t="s">
        <v>76</v>
      </c>
      <c r="H91" s="303"/>
      <c r="I91" s="307"/>
      <c r="J91" s="303"/>
      <c r="K91" s="275" t="s">
        <v>290</v>
      </c>
      <c r="L91" s="274" t="s">
        <v>56</v>
      </c>
      <c r="M91" s="278">
        <v>36737</v>
      </c>
      <c r="N91" s="315">
        <f t="shared" si="12"/>
        <v>58653</v>
      </c>
      <c r="O91" s="278"/>
      <c r="P91" s="278"/>
      <c r="Q91" s="300"/>
      <c r="R91" s="285"/>
      <c r="S91" s="285"/>
      <c r="T91" s="317"/>
      <c r="U91" s="317"/>
      <c r="V91" s="285"/>
      <c r="W91" s="3"/>
      <c r="X91" s="90"/>
      <c r="AB91" s="79"/>
    </row>
    <row r="92" spans="1:39" ht="18.75">
      <c r="A92" s="1051"/>
      <c r="B92" s="1687" t="s">
        <v>8097</v>
      </c>
      <c r="C92" s="18" t="s">
        <v>22</v>
      </c>
      <c r="D92" s="2119" t="s">
        <v>8098</v>
      </c>
      <c r="E92" s="1687" t="s">
        <v>8099</v>
      </c>
      <c r="F92" s="946" t="s">
        <v>759</v>
      </c>
      <c r="G92" s="1689" t="s">
        <v>76</v>
      </c>
      <c r="H92" s="303"/>
      <c r="I92" s="1643"/>
      <c r="J92" s="307"/>
      <c r="K92" s="275" t="s">
        <v>290</v>
      </c>
      <c r="L92" s="274" t="s">
        <v>56</v>
      </c>
      <c r="M92" s="315">
        <v>36765</v>
      </c>
      <c r="N92" s="315">
        <f t="shared" si="12"/>
        <v>58684</v>
      </c>
      <c r="O92" s="315"/>
      <c r="P92" s="272"/>
      <c r="Q92" s="272"/>
      <c r="R92" s="317"/>
      <c r="S92" s="317"/>
      <c r="T92" s="317"/>
      <c r="U92" s="285"/>
      <c r="V92" s="285"/>
      <c r="W92" s="3"/>
      <c r="X92" s="90"/>
      <c r="Y92" s="311"/>
      <c r="Z92" s="311"/>
      <c r="AA92" s="311"/>
      <c r="AB92" s="311"/>
      <c r="AC92" s="311"/>
      <c r="AD92" s="311"/>
      <c r="AE92" s="311"/>
      <c r="AF92" s="311"/>
      <c r="AG92" s="311"/>
      <c r="AH92" s="311"/>
      <c r="AI92" s="311"/>
      <c r="AJ92" s="311"/>
      <c r="AK92" s="311"/>
      <c r="AL92" s="311"/>
      <c r="AM92" s="311"/>
    </row>
    <row r="93" spans="1:39" ht="15.75" customHeight="1">
      <c r="A93" s="1586"/>
      <c r="B93" s="1687" t="s">
        <v>8100</v>
      </c>
      <c r="C93" s="18" t="s">
        <v>22</v>
      </c>
      <c r="D93" s="2119" t="s">
        <v>8101</v>
      </c>
      <c r="E93" s="1687" t="s">
        <v>8102</v>
      </c>
      <c r="F93" s="674" t="s">
        <v>759</v>
      </c>
      <c r="G93" s="1689" t="s">
        <v>76</v>
      </c>
      <c r="H93" s="1586"/>
      <c r="I93" s="1586"/>
      <c r="J93" s="1586"/>
      <c r="K93" s="275" t="s">
        <v>290</v>
      </c>
      <c r="L93" s="303" t="s">
        <v>50</v>
      </c>
      <c r="M93" s="1692">
        <v>35082</v>
      </c>
      <c r="N93" s="315">
        <f t="shared" si="12"/>
        <v>57010</v>
      </c>
      <c r="O93" s="602"/>
      <c r="P93" s="602"/>
      <c r="Q93" s="602"/>
      <c r="R93" s="486" t="s">
        <v>8103</v>
      </c>
      <c r="S93" s="485"/>
      <c r="T93" s="485"/>
      <c r="U93" s="485"/>
      <c r="V93" s="382"/>
      <c r="W93" s="382"/>
      <c r="X93" s="1647"/>
      <c r="Y93" s="311"/>
      <c r="Z93" s="311"/>
      <c r="AA93" s="311"/>
      <c r="AB93" s="311"/>
      <c r="AC93" s="311"/>
      <c r="AD93" s="311"/>
      <c r="AE93" s="311"/>
      <c r="AF93" s="311"/>
      <c r="AG93" s="311"/>
      <c r="AH93" s="311"/>
      <c r="AI93" s="311"/>
      <c r="AJ93" s="311"/>
      <c r="AK93" s="311"/>
      <c r="AL93" s="311"/>
      <c r="AM93" s="311"/>
    </row>
    <row r="94" spans="1:39" ht="15.75" customHeight="1">
      <c r="A94" s="1586"/>
      <c r="B94" s="1687" t="s">
        <v>8104</v>
      </c>
      <c r="C94" s="18" t="s">
        <v>22</v>
      </c>
      <c r="D94" s="2119" t="s">
        <v>8105</v>
      </c>
      <c r="E94" s="1687" t="s">
        <v>8106</v>
      </c>
      <c r="F94" s="18" t="s">
        <v>759</v>
      </c>
      <c r="G94" s="1689" t="s">
        <v>76</v>
      </c>
      <c r="H94" s="1586"/>
      <c r="I94" s="1586"/>
      <c r="J94" s="1586"/>
      <c r="K94" s="275" t="s">
        <v>290</v>
      </c>
      <c r="L94" s="303" t="s">
        <v>50</v>
      </c>
      <c r="M94" s="2169">
        <v>34840</v>
      </c>
      <c r="N94" s="315">
        <f t="shared" si="12"/>
        <v>56765</v>
      </c>
      <c r="O94" s="602"/>
      <c r="P94" s="602"/>
      <c r="Q94" s="602"/>
      <c r="R94" s="486" t="s">
        <v>8107</v>
      </c>
      <c r="S94" s="485"/>
      <c r="T94" s="485"/>
      <c r="U94" s="485"/>
      <c r="V94" s="382"/>
      <c r="W94" s="382"/>
      <c r="X94" s="1647"/>
      <c r="Y94" s="311"/>
      <c r="Z94" s="311"/>
      <c r="AA94" s="311"/>
      <c r="AB94" s="311"/>
      <c r="AC94" s="311"/>
      <c r="AD94" s="311"/>
      <c r="AE94" s="311"/>
      <c r="AF94" s="311"/>
      <c r="AG94" s="311"/>
      <c r="AH94" s="311"/>
      <c r="AI94" s="311"/>
      <c r="AJ94" s="311"/>
      <c r="AK94" s="311"/>
      <c r="AL94" s="311"/>
      <c r="AM94" s="311"/>
    </row>
    <row r="95" spans="1:39" ht="15.75" customHeight="1">
      <c r="A95" s="1586"/>
      <c r="B95" s="1687" t="s">
        <v>8108</v>
      </c>
      <c r="C95" s="18" t="s">
        <v>22</v>
      </c>
      <c r="D95" s="2119" t="s">
        <v>8109</v>
      </c>
      <c r="E95" s="1687" t="s">
        <v>8110</v>
      </c>
      <c r="F95" s="18" t="s">
        <v>759</v>
      </c>
      <c r="G95" s="1689" t="s">
        <v>76</v>
      </c>
      <c r="H95" s="1586"/>
      <c r="I95" s="1586"/>
      <c r="J95" s="1586"/>
      <c r="K95" s="275" t="s">
        <v>290</v>
      </c>
      <c r="L95" s="1133" t="s">
        <v>50</v>
      </c>
      <c r="M95" s="1692">
        <v>35676</v>
      </c>
      <c r="N95" s="315">
        <f t="shared" si="12"/>
        <v>57618</v>
      </c>
      <c r="O95" s="602"/>
      <c r="P95" s="602"/>
      <c r="Q95" s="602"/>
      <c r="R95" s="486" t="s">
        <v>8111</v>
      </c>
      <c r="S95" s="485"/>
      <c r="T95" s="485"/>
      <c r="U95" s="485"/>
      <c r="V95" s="382"/>
      <c r="W95" s="382"/>
      <c r="X95" s="1647"/>
      <c r="Y95" s="311"/>
      <c r="Z95" s="311"/>
      <c r="AA95" s="311"/>
      <c r="AB95" s="311"/>
      <c r="AC95" s="311"/>
      <c r="AD95" s="311"/>
      <c r="AE95" s="311"/>
      <c r="AF95" s="311"/>
      <c r="AG95" s="311"/>
      <c r="AH95" s="311"/>
      <c r="AI95" s="311"/>
      <c r="AJ95" s="311"/>
      <c r="AK95" s="311"/>
      <c r="AL95" s="311"/>
      <c r="AM95" s="311"/>
    </row>
    <row r="96" spans="1:39" ht="15.75" customHeight="1">
      <c r="A96" s="1586"/>
      <c r="B96" s="1687" t="s">
        <v>8112</v>
      </c>
      <c r="C96" s="18" t="s">
        <v>22</v>
      </c>
      <c r="D96" s="2119" t="s">
        <v>8113</v>
      </c>
      <c r="E96" s="1687" t="s">
        <v>8114</v>
      </c>
      <c r="F96" s="18" t="s">
        <v>759</v>
      </c>
      <c r="G96" s="1689" t="s">
        <v>76</v>
      </c>
      <c r="H96" s="1586"/>
      <c r="I96" s="1586"/>
      <c r="J96" s="1586"/>
      <c r="K96" s="275" t="s">
        <v>290</v>
      </c>
      <c r="L96" s="1133" t="s">
        <v>50</v>
      </c>
      <c r="M96" s="1692">
        <v>35961</v>
      </c>
      <c r="N96" s="315">
        <f t="shared" si="12"/>
        <v>57891</v>
      </c>
      <c r="O96" s="602"/>
      <c r="P96" s="602"/>
      <c r="Q96" s="602"/>
      <c r="R96" s="486" t="s">
        <v>8115</v>
      </c>
      <c r="S96" s="485"/>
      <c r="T96" s="485"/>
      <c r="U96" s="485"/>
      <c r="V96" s="382"/>
      <c r="W96" s="382"/>
      <c r="X96" s="1647"/>
      <c r="Y96" s="311"/>
      <c r="Z96" s="311"/>
      <c r="AA96" s="311"/>
      <c r="AB96" s="311"/>
      <c r="AC96" s="311"/>
      <c r="AD96" s="311"/>
      <c r="AE96" s="311"/>
      <c r="AF96" s="311"/>
      <c r="AG96" s="311"/>
      <c r="AH96" s="311"/>
      <c r="AI96" s="311"/>
      <c r="AJ96" s="311"/>
      <c r="AK96" s="311"/>
      <c r="AL96" s="311"/>
      <c r="AM96" s="311"/>
    </row>
    <row r="97" spans="1:39" ht="15.75" customHeight="1">
      <c r="A97" s="1586"/>
      <c r="B97" s="1687" t="s">
        <v>8116</v>
      </c>
      <c r="C97" s="18" t="s">
        <v>22</v>
      </c>
      <c r="D97" s="2119" t="s">
        <v>8117</v>
      </c>
      <c r="E97" s="1687" t="s">
        <v>8118</v>
      </c>
      <c r="F97" s="18" t="s">
        <v>759</v>
      </c>
      <c r="G97" s="1689" t="s">
        <v>76</v>
      </c>
      <c r="H97" s="1586"/>
      <c r="I97" s="1586"/>
      <c r="J97" s="1586"/>
      <c r="K97" s="275" t="s">
        <v>290</v>
      </c>
      <c r="L97" s="1133" t="s">
        <v>50</v>
      </c>
      <c r="M97" s="1692">
        <v>33604</v>
      </c>
      <c r="N97" s="315">
        <f t="shared" si="12"/>
        <v>55549</v>
      </c>
      <c r="O97" s="602"/>
      <c r="P97" s="602"/>
      <c r="Q97" s="602"/>
      <c r="R97" s="486" t="s">
        <v>8119</v>
      </c>
      <c r="S97" s="485"/>
      <c r="T97" s="485"/>
      <c r="U97" s="485"/>
      <c r="V97" s="382"/>
      <c r="W97" s="382"/>
      <c r="X97" s="1647"/>
      <c r="Y97" s="311"/>
      <c r="Z97" s="311"/>
      <c r="AA97" s="311"/>
      <c r="AB97" s="311"/>
      <c r="AC97" s="311"/>
      <c r="AD97" s="311"/>
      <c r="AE97" s="311"/>
      <c r="AF97" s="311"/>
      <c r="AG97" s="311"/>
      <c r="AH97" s="311"/>
      <c r="AI97" s="311"/>
      <c r="AJ97" s="311"/>
      <c r="AK97" s="311"/>
      <c r="AL97" s="311"/>
      <c r="AM97" s="311"/>
    </row>
    <row r="98" spans="1:39" ht="15.75" customHeight="1">
      <c r="A98" s="1586"/>
      <c r="B98" s="1687" t="s">
        <v>6926</v>
      </c>
      <c r="C98" s="18" t="s">
        <v>22</v>
      </c>
      <c r="D98" s="2119" t="s">
        <v>8120</v>
      </c>
      <c r="E98" s="1687" t="s">
        <v>8121</v>
      </c>
      <c r="F98" s="18" t="s">
        <v>759</v>
      </c>
      <c r="G98" s="1689" t="s">
        <v>76</v>
      </c>
      <c r="H98" s="1586"/>
      <c r="I98" s="1586"/>
      <c r="J98" s="1586"/>
      <c r="K98" s="275" t="s">
        <v>290</v>
      </c>
      <c r="L98" s="1133" t="s">
        <v>50</v>
      </c>
      <c r="M98" s="1692">
        <v>35292</v>
      </c>
      <c r="N98" s="315">
        <f t="shared" si="12"/>
        <v>57223</v>
      </c>
      <c r="O98" s="602"/>
      <c r="P98" s="602"/>
      <c r="Q98" s="602"/>
      <c r="R98" s="486" t="s">
        <v>8122</v>
      </c>
      <c r="S98" s="485"/>
      <c r="T98" s="485"/>
      <c r="U98" s="485"/>
      <c r="V98" s="382"/>
      <c r="W98" s="382"/>
      <c r="X98" s="1647"/>
      <c r="Y98" s="311"/>
      <c r="Z98" s="311"/>
      <c r="AA98" s="311"/>
      <c r="AB98" s="311"/>
      <c r="AC98" s="311"/>
      <c r="AD98" s="311"/>
      <c r="AE98" s="311"/>
      <c r="AF98" s="311"/>
      <c r="AG98" s="311"/>
      <c r="AH98" s="311"/>
      <c r="AI98" s="311"/>
      <c r="AJ98" s="311"/>
      <c r="AK98" s="311"/>
      <c r="AL98" s="311"/>
      <c r="AM98" s="311"/>
    </row>
    <row r="99" spans="1:39" ht="15.75" customHeight="1">
      <c r="A99" s="1586"/>
      <c r="B99" s="1687" t="s">
        <v>8123</v>
      </c>
      <c r="C99" s="18" t="s">
        <v>22</v>
      </c>
      <c r="D99" s="2119" t="s">
        <v>8124</v>
      </c>
      <c r="E99" s="1687" t="s">
        <v>8125</v>
      </c>
      <c r="F99" s="18" t="s">
        <v>759</v>
      </c>
      <c r="G99" s="1689" t="s">
        <v>77</v>
      </c>
      <c r="H99" s="1586"/>
      <c r="I99" s="1586"/>
      <c r="J99" s="1586"/>
      <c r="K99" s="275" t="s">
        <v>290</v>
      </c>
      <c r="L99" s="274" t="s">
        <v>61</v>
      </c>
      <c r="M99" s="1692">
        <v>35661</v>
      </c>
      <c r="N99" s="315">
        <f t="shared" si="12"/>
        <v>57588</v>
      </c>
      <c r="O99" s="602"/>
      <c r="P99" s="602"/>
      <c r="Q99" s="602"/>
      <c r="R99" s="486" t="s">
        <v>8126</v>
      </c>
      <c r="S99" s="485"/>
      <c r="T99" s="485"/>
      <c r="U99" s="485"/>
      <c r="V99" s="382"/>
      <c r="W99" s="382"/>
      <c r="X99" s="1647"/>
      <c r="Y99" s="311"/>
      <c r="Z99" s="311"/>
      <c r="AA99" s="311"/>
      <c r="AB99" s="311"/>
      <c r="AC99" s="311"/>
      <c r="AD99" s="311"/>
      <c r="AE99" s="311"/>
      <c r="AF99" s="311"/>
      <c r="AG99" s="311"/>
      <c r="AH99" s="311"/>
      <c r="AI99" s="311"/>
      <c r="AJ99" s="311"/>
      <c r="AK99" s="311"/>
      <c r="AL99" s="311"/>
      <c r="AM99" s="311"/>
    </row>
    <row r="100" spans="1:39" ht="15.75" customHeight="1">
      <c r="A100" s="1586"/>
      <c r="B100" s="1687" t="s">
        <v>8127</v>
      </c>
      <c r="C100" s="18" t="s">
        <v>22</v>
      </c>
      <c r="D100" s="2119" t="s">
        <v>8128</v>
      </c>
      <c r="E100" s="1687" t="s">
        <v>8129</v>
      </c>
      <c r="F100" s="18" t="s">
        <v>759</v>
      </c>
      <c r="G100" s="1689" t="s">
        <v>76</v>
      </c>
      <c r="H100" s="1586"/>
      <c r="I100" s="1586"/>
      <c r="J100" s="1586"/>
      <c r="K100" s="275" t="s">
        <v>290</v>
      </c>
      <c r="L100" s="18" t="s">
        <v>62</v>
      </c>
      <c r="M100" s="1692">
        <v>34643</v>
      </c>
      <c r="N100" s="315">
        <f t="shared" si="12"/>
        <v>56583</v>
      </c>
      <c r="O100" s="602"/>
      <c r="P100" s="602"/>
      <c r="Q100" s="602"/>
      <c r="R100" s="486" t="s">
        <v>8130</v>
      </c>
      <c r="S100" s="485"/>
      <c r="T100" s="485"/>
      <c r="U100" s="485"/>
      <c r="V100" s="382"/>
      <c r="W100" s="382"/>
      <c r="X100" s="1647"/>
      <c r="Y100" s="311"/>
      <c r="Z100" s="311"/>
      <c r="AA100" s="311"/>
      <c r="AB100" s="311"/>
      <c r="AC100" s="311"/>
      <c r="AD100" s="311"/>
      <c r="AE100" s="311"/>
      <c r="AF100" s="311"/>
      <c r="AG100" s="311"/>
      <c r="AH100" s="311"/>
      <c r="AI100" s="311"/>
      <c r="AJ100" s="311"/>
      <c r="AK100" s="311"/>
      <c r="AL100" s="311"/>
      <c r="AM100" s="311"/>
    </row>
    <row r="101" spans="1:39" ht="15.75" customHeight="1">
      <c r="A101" s="1586"/>
      <c r="B101" s="1687" t="s">
        <v>8131</v>
      </c>
      <c r="C101" s="18" t="s">
        <v>22</v>
      </c>
      <c r="D101" s="2119" t="s">
        <v>8132</v>
      </c>
      <c r="E101" s="1687" t="s">
        <v>8133</v>
      </c>
      <c r="F101" s="18" t="s">
        <v>759</v>
      </c>
      <c r="G101" s="1689" t="s">
        <v>76</v>
      </c>
      <c r="H101" s="1586"/>
      <c r="I101" s="1586"/>
      <c r="J101" s="1586"/>
      <c r="K101" s="275" t="s">
        <v>290</v>
      </c>
      <c r="L101" s="1133" t="s">
        <v>417</v>
      </c>
      <c r="M101" s="1692">
        <v>33349</v>
      </c>
      <c r="N101" s="315">
        <f t="shared" si="12"/>
        <v>55273</v>
      </c>
      <c r="O101" s="602"/>
      <c r="P101" s="602"/>
      <c r="Q101" s="602"/>
      <c r="R101" s="485"/>
      <c r="S101" s="485"/>
      <c r="T101" s="485"/>
      <c r="U101" s="485"/>
      <c r="V101" s="382"/>
      <c r="W101" s="382"/>
      <c r="X101" s="1647"/>
      <c r="Y101" s="311"/>
      <c r="Z101" s="311"/>
      <c r="AA101" s="311"/>
      <c r="AB101" s="311"/>
      <c r="AC101" s="311"/>
      <c r="AD101" s="311"/>
      <c r="AE101" s="311"/>
      <c r="AF101" s="311"/>
      <c r="AG101" s="311"/>
      <c r="AH101" s="311"/>
      <c r="AI101" s="311"/>
      <c r="AJ101" s="311"/>
      <c r="AK101" s="311"/>
      <c r="AL101" s="311"/>
      <c r="AM101" s="311"/>
    </row>
    <row r="102" spans="1:39" ht="15.75" customHeight="1">
      <c r="A102" s="1586"/>
      <c r="B102" s="1687" t="s">
        <v>8134</v>
      </c>
      <c r="C102" s="18" t="s">
        <v>22</v>
      </c>
      <c r="D102" s="2119" t="s">
        <v>8135</v>
      </c>
      <c r="E102" s="1687" t="s">
        <v>8136</v>
      </c>
      <c r="F102" s="18" t="s">
        <v>759</v>
      </c>
      <c r="G102" s="1689" t="s">
        <v>76</v>
      </c>
      <c r="H102" s="1586"/>
      <c r="I102" s="1586"/>
      <c r="J102" s="1586"/>
      <c r="K102" s="275" t="s">
        <v>290</v>
      </c>
      <c r="L102" s="274" t="s">
        <v>256</v>
      </c>
      <c r="M102" s="1692">
        <v>36571</v>
      </c>
      <c r="N102" s="315">
        <f t="shared" si="12"/>
        <v>58500</v>
      </c>
      <c r="O102" s="602"/>
      <c r="P102" s="602"/>
      <c r="Q102" s="602"/>
      <c r="R102" s="486" t="s">
        <v>8137</v>
      </c>
      <c r="S102" s="485"/>
      <c r="T102" s="485"/>
      <c r="U102" s="485"/>
      <c r="V102" s="382"/>
      <c r="W102" s="382"/>
      <c r="X102" s="1647"/>
      <c r="Y102" s="311"/>
      <c r="Z102" s="311"/>
      <c r="AA102" s="311"/>
      <c r="AB102" s="311"/>
      <c r="AC102" s="311"/>
      <c r="AD102" s="311"/>
      <c r="AE102" s="311"/>
      <c r="AF102" s="311"/>
      <c r="AG102" s="311"/>
      <c r="AH102" s="311"/>
      <c r="AI102" s="311"/>
      <c r="AJ102" s="311"/>
      <c r="AK102" s="311"/>
      <c r="AL102" s="311"/>
      <c r="AM102" s="311"/>
    </row>
    <row r="103" spans="1:39" ht="15.75" customHeight="1">
      <c r="A103" s="1586"/>
      <c r="B103" s="1687" t="s">
        <v>8138</v>
      </c>
      <c r="C103" s="18" t="s">
        <v>22</v>
      </c>
      <c r="D103" s="2119" t="s">
        <v>8139</v>
      </c>
      <c r="E103" s="1687" t="s">
        <v>8140</v>
      </c>
      <c r="F103" s="18" t="s">
        <v>759</v>
      </c>
      <c r="G103" s="1689" t="s">
        <v>76</v>
      </c>
      <c r="H103" s="1586"/>
      <c r="I103" s="1586"/>
      <c r="J103" s="1586"/>
      <c r="K103" s="275" t="s">
        <v>290</v>
      </c>
      <c r="L103" s="1133" t="s">
        <v>50</v>
      </c>
      <c r="M103" s="1692">
        <v>35204</v>
      </c>
      <c r="N103" s="315">
        <f t="shared" si="12"/>
        <v>57131</v>
      </c>
      <c r="O103" s="602"/>
      <c r="P103" s="602"/>
      <c r="Q103" s="602"/>
      <c r="R103" s="486" t="s">
        <v>8141</v>
      </c>
      <c r="S103" s="485"/>
      <c r="T103" s="485"/>
      <c r="U103" s="485"/>
      <c r="V103" s="382"/>
      <c r="W103" s="382"/>
      <c r="X103" s="1647"/>
      <c r="Y103" s="311"/>
      <c r="Z103" s="311"/>
      <c r="AA103" s="311"/>
      <c r="AB103" s="311"/>
      <c r="AC103" s="311"/>
      <c r="AD103" s="311"/>
      <c r="AE103" s="311"/>
      <c r="AF103" s="311"/>
      <c r="AG103" s="311"/>
      <c r="AH103" s="311"/>
      <c r="AI103" s="311"/>
      <c r="AJ103" s="311"/>
      <c r="AK103" s="311"/>
      <c r="AL103" s="311"/>
      <c r="AM103" s="311"/>
    </row>
    <row r="104" spans="1:39" ht="15.75" customHeight="1">
      <c r="A104" s="1586"/>
      <c r="B104" s="1687" t="s">
        <v>8142</v>
      </c>
      <c r="C104" s="18" t="s">
        <v>22</v>
      </c>
      <c r="D104" s="2119" t="s">
        <v>8143</v>
      </c>
      <c r="E104" s="1687" t="s">
        <v>8144</v>
      </c>
      <c r="F104" s="656" t="s">
        <v>759</v>
      </c>
      <c r="G104" s="1689" t="s">
        <v>76</v>
      </c>
      <c r="H104" s="1586"/>
      <c r="I104" s="1586"/>
      <c r="J104" s="1586"/>
      <c r="K104" s="275" t="s">
        <v>290</v>
      </c>
      <c r="L104" s="274" t="s">
        <v>50</v>
      </c>
      <c r="M104" s="2170">
        <v>36079</v>
      </c>
      <c r="N104" s="315">
        <f t="shared" si="12"/>
        <v>58014</v>
      </c>
      <c r="O104" s="602"/>
      <c r="P104" s="602"/>
      <c r="Q104" s="602"/>
      <c r="R104" s="486" t="s">
        <v>8145</v>
      </c>
      <c r="S104" s="485"/>
      <c r="T104" s="485"/>
      <c r="U104" s="485"/>
      <c r="V104" s="382"/>
      <c r="W104" s="382"/>
      <c r="X104" s="1647"/>
      <c r="Y104" s="311"/>
      <c r="Z104" s="311"/>
      <c r="AA104" s="311"/>
      <c r="AB104" s="311"/>
      <c r="AC104" s="311"/>
      <c r="AD104" s="311"/>
      <c r="AE104" s="311"/>
      <c r="AF104" s="311"/>
      <c r="AG104" s="311"/>
      <c r="AH104" s="311"/>
      <c r="AI104" s="311"/>
      <c r="AJ104" s="311"/>
      <c r="AK104" s="311"/>
      <c r="AL104" s="311"/>
      <c r="AM104" s="311"/>
    </row>
    <row r="105" spans="1:39" ht="15.75" customHeight="1">
      <c r="A105" s="1586"/>
      <c r="B105" s="1684" t="s">
        <v>8146</v>
      </c>
      <c r="C105" s="2125" t="s">
        <v>22</v>
      </c>
      <c r="D105" s="2123">
        <v>3329806256</v>
      </c>
      <c r="E105" s="79"/>
      <c r="F105" s="674"/>
      <c r="G105" s="1586"/>
      <c r="H105" s="1586"/>
      <c r="I105" s="1586"/>
      <c r="J105" s="1586"/>
      <c r="K105" s="275" t="s">
        <v>290</v>
      </c>
      <c r="L105" s="1686" t="s">
        <v>8147</v>
      </c>
      <c r="M105" s="1692">
        <v>34220</v>
      </c>
      <c r="N105" s="315">
        <f t="shared" si="12"/>
        <v>56157</v>
      </c>
      <c r="O105" s="602"/>
      <c r="P105" s="602"/>
      <c r="Q105" s="602"/>
      <c r="R105" s="486" t="s">
        <v>8148</v>
      </c>
      <c r="S105" s="485"/>
      <c r="T105" s="485"/>
      <c r="U105" s="485"/>
      <c r="V105" s="382"/>
      <c r="W105" s="382"/>
      <c r="X105" s="1647"/>
      <c r="Y105" s="311"/>
      <c r="Z105" s="311"/>
      <c r="AA105" s="311"/>
      <c r="AB105" s="311"/>
      <c r="AC105" s="311"/>
      <c r="AD105" s="311"/>
      <c r="AE105" s="311"/>
      <c r="AF105" s="311"/>
      <c r="AG105" s="311"/>
      <c r="AH105" s="311"/>
      <c r="AI105" s="311"/>
      <c r="AJ105" s="311"/>
      <c r="AK105" s="311"/>
      <c r="AL105" s="311"/>
      <c r="AM105" s="311"/>
    </row>
    <row r="106" spans="1:39" ht="15.75" customHeight="1">
      <c r="A106" s="1586"/>
      <c r="B106" s="1684" t="s">
        <v>8149</v>
      </c>
      <c r="C106" s="2125" t="s">
        <v>22</v>
      </c>
      <c r="D106" s="2123">
        <v>50205670184</v>
      </c>
      <c r="E106" s="79"/>
      <c r="F106" s="1953"/>
      <c r="G106" s="1586"/>
      <c r="H106" s="1586"/>
      <c r="I106" s="1586"/>
      <c r="J106" s="1586"/>
      <c r="K106" s="275" t="s">
        <v>290</v>
      </c>
      <c r="L106" s="1686" t="s">
        <v>8147</v>
      </c>
      <c r="M106" s="1692">
        <v>31503</v>
      </c>
      <c r="N106" s="2077">
        <v>53417</v>
      </c>
      <c r="O106" s="602"/>
      <c r="P106" s="602"/>
      <c r="Q106" s="602"/>
      <c r="R106" s="486" t="s">
        <v>8150</v>
      </c>
      <c r="S106" s="485"/>
      <c r="T106" s="485"/>
      <c r="U106" s="485"/>
      <c r="V106" s="382"/>
      <c r="W106" s="382"/>
      <c r="X106" s="1647"/>
      <c r="Y106" s="311"/>
      <c r="Z106" s="311"/>
      <c r="AA106" s="311"/>
      <c r="AB106" s="311"/>
      <c r="AC106" s="311"/>
      <c r="AD106" s="311"/>
      <c r="AE106" s="311"/>
      <c r="AF106" s="311"/>
      <c r="AG106" s="311"/>
      <c r="AH106" s="311"/>
      <c r="AI106" s="311"/>
      <c r="AJ106" s="311"/>
      <c r="AK106" s="311"/>
      <c r="AL106" s="311"/>
      <c r="AM106" s="311"/>
    </row>
    <row r="107" spans="1:39" ht="15.75" customHeight="1">
      <c r="A107" s="1586"/>
      <c r="B107" s="1684" t="s">
        <v>8151</v>
      </c>
      <c r="C107" s="2125" t="s">
        <v>22</v>
      </c>
      <c r="D107" s="2123">
        <v>50205600935</v>
      </c>
      <c r="E107" s="79"/>
      <c r="F107" s="674"/>
      <c r="G107" s="1586"/>
      <c r="H107" s="1586"/>
      <c r="I107" s="1586"/>
      <c r="J107" s="1586"/>
      <c r="K107" s="275" t="s">
        <v>290</v>
      </c>
      <c r="L107" s="1686" t="s">
        <v>53</v>
      </c>
      <c r="M107" s="1692">
        <v>32932</v>
      </c>
      <c r="N107" s="315">
        <f t="shared" ref="N107:N109" si="13">EOMONTH(M107,(12*60))</f>
        <v>54847</v>
      </c>
      <c r="O107" s="602"/>
      <c r="P107" s="602"/>
      <c r="Q107" s="602"/>
      <c r="R107" s="486" t="s">
        <v>8152</v>
      </c>
      <c r="S107" s="485"/>
      <c r="T107" s="485"/>
      <c r="U107" s="485"/>
      <c r="V107" s="382"/>
      <c r="W107" s="382"/>
      <c r="X107" s="1647"/>
      <c r="Y107" s="311"/>
      <c r="Z107" s="311"/>
      <c r="AA107" s="311"/>
      <c r="AB107" s="311"/>
      <c r="AC107" s="311"/>
      <c r="AD107" s="311"/>
      <c r="AE107" s="311"/>
      <c r="AF107" s="311"/>
      <c r="AG107" s="311"/>
      <c r="AH107" s="311"/>
      <c r="AI107" s="311"/>
      <c r="AJ107" s="311"/>
      <c r="AK107" s="311"/>
      <c r="AL107" s="311"/>
      <c r="AM107" s="311"/>
    </row>
    <row r="108" spans="1:39" ht="15.75" customHeight="1">
      <c r="A108" s="2171">
        <v>61</v>
      </c>
      <c r="B108" s="305" t="s">
        <v>8153</v>
      </c>
      <c r="C108" s="2125" t="s">
        <v>22</v>
      </c>
      <c r="D108" s="1009">
        <v>53162131049</v>
      </c>
      <c r="E108" s="681" t="s">
        <v>8154</v>
      </c>
      <c r="F108" s="1024" t="s">
        <v>3258</v>
      </c>
      <c r="G108" s="337" t="s">
        <v>76</v>
      </c>
      <c r="H108" s="307"/>
      <c r="I108" s="385">
        <v>8249184655</v>
      </c>
      <c r="J108" s="303">
        <v>8249184655</v>
      </c>
      <c r="K108" s="275" t="s">
        <v>290</v>
      </c>
      <c r="L108" s="274" t="s">
        <v>50</v>
      </c>
      <c r="M108" s="315">
        <v>30934</v>
      </c>
      <c r="N108" s="315">
        <f t="shared" si="13"/>
        <v>52870</v>
      </c>
      <c r="O108" s="315">
        <v>45963</v>
      </c>
      <c r="P108" s="272">
        <v>45029</v>
      </c>
      <c r="Q108" s="272">
        <v>45595</v>
      </c>
      <c r="R108" s="317"/>
      <c r="S108" s="285"/>
      <c r="T108" s="317"/>
      <c r="U108" s="285"/>
      <c r="V108" s="285"/>
      <c r="W108" s="90"/>
      <c r="X108" s="90"/>
      <c r="Y108" s="90"/>
      <c r="AB108" s="311"/>
    </row>
    <row r="109" spans="1:39" ht="15.75" customHeight="1">
      <c r="A109" s="1586"/>
      <c r="B109" s="954" t="s">
        <v>7992</v>
      </c>
      <c r="C109" s="2125" t="s">
        <v>22</v>
      </c>
      <c r="D109" s="833" t="s">
        <v>8155</v>
      </c>
      <c r="E109" s="1133" t="s">
        <v>8156</v>
      </c>
      <c r="F109" s="674" t="s">
        <v>759</v>
      </c>
      <c r="G109" s="1586"/>
      <c r="H109" s="1586"/>
      <c r="I109" s="1586"/>
      <c r="J109" s="1586"/>
      <c r="K109" s="275" t="s">
        <v>290</v>
      </c>
      <c r="L109" s="274" t="s">
        <v>50</v>
      </c>
      <c r="M109" s="418">
        <v>32156</v>
      </c>
      <c r="N109" s="315">
        <f t="shared" si="13"/>
        <v>54088</v>
      </c>
      <c r="O109" s="602"/>
      <c r="P109" s="602"/>
      <c r="Q109" s="602"/>
      <c r="R109" s="486" t="s">
        <v>8157</v>
      </c>
      <c r="S109" s="485"/>
      <c r="T109" s="485"/>
      <c r="U109" s="485"/>
      <c r="V109" s="382"/>
      <c r="W109" s="382"/>
      <c r="X109" s="1586"/>
      <c r="Y109" s="382"/>
      <c r="Z109" s="382"/>
      <c r="AA109" s="382"/>
      <c r="AB109" s="382"/>
      <c r="AC109" s="382"/>
      <c r="AD109" s="382"/>
      <c r="AE109" s="382"/>
      <c r="AF109" s="382"/>
      <c r="AG109" s="382"/>
      <c r="AH109" s="382"/>
      <c r="AI109" s="382"/>
      <c r="AJ109" s="382"/>
      <c r="AK109" s="382"/>
      <c r="AL109" s="382"/>
      <c r="AM109" s="382"/>
    </row>
    <row r="110" spans="1:39" ht="15.75" customHeight="1">
      <c r="A110" s="1586"/>
      <c r="B110" s="954" t="s">
        <v>8158</v>
      </c>
      <c r="C110" s="1133" t="s">
        <v>22</v>
      </c>
      <c r="D110" s="833" t="s">
        <v>8159</v>
      </c>
      <c r="E110" s="557" t="s">
        <v>8160</v>
      </c>
      <c r="F110" s="674" t="s">
        <v>759</v>
      </c>
      <c r="G110" s="1586"/>
      <c r="H110" s="1586"/>
      <c r="I110" s="1586"/>
      <c r="J110" s="1613">
        <v>9378443168</v>
      </c>
      <c r="K110" s="275" t="s">
        <v>290</v>
      </c>
      <c r="L110" s="1133" t="s">
        <v>60</v>
      </c>
      <c r="M110" s="2172"/>
      <c r="N110" s="1177"/>
      <c r="O110" s="602"/>
      <c r="P110" s="602"/>
      <c r="Q110" s="602"/>
      <c r="R110" s="485"/>
      <c r="S110" s="485"/>
      <c r="T110" s="485"/>
      <c r="U110" s="485"/>
      <c r="V110" s="382"/>
      <c r="W110" s="382"/>
      <c r="X110" s="1586"/>
      <c r="Y110" s="382"/>
      <c r="Z110" s="382"/>
      <c r="AA110" s="382"/>
      <c r="AB110" s="382"/>
      <c r="AC110" s="382"/>
      <c r="AD110" s="382"/>
      <c r="AE110" s="382"/>
      <c r="AF110" s="382"/>
      <c r="AG110" s="382"/>
      <c r="AH110" s="382"/>
      <c r="AI110" s="382"/>
      <c r="AJ110" s="382"/>
      <c r="AK110" s="382"/>
      <c r="AL110" s="382"/>
      <c r="AM110" s="382"/>
    </row>
    <row r="111" spans="1:39" ht="15.75" customHeight="1">
      <c r="A111" s="1586"/>
      <c r="B111" s="954" t="s">
        <v>8161</v>
      </c>
      <c r="C111" s="1133" t="s">
        <v>22</v>
      </c>
      <c r="D111" s="1731" t="s">
        <v>8162</v>
      </c>
      <c r="E111" s="557" t="s">
        <v>8163</v>
      </c>
      <c r="F111" s="674" t="s">
        <v>759</v>
      </c>
      <c r="G111" s="1586"/>
      <c r="H111" s="1586"/>
      <c r="I111" s="1586"/>
      <c r="J111" s="1613">
        <v>9378443168</v>
      </c>
      <c r="K111" s="275" t="s">
        <v>290</v>
      </c>
      <c r="L111" s="1133" t="s">
        <v>60</v>
      </c>
      <c r="M111" s="2172"/>
      <c r="N111" s="1177"/>
      <c r="O111" s="602"/>
      <c r="P111" s="602"/>
      <c r="Q111" s="602"/>
      <c r="R111" s="485"/>
      <c r="S111" s="485"/>
      <c r="T111" s="485"/>
      <c r="U111" s="485"/>
      <c r="V111" s="382"/>
      <c r="W111" s="382"/>
      <c r="X111" s="1586"/>
      <c r="Y111" s="382"/>
      <c r="Z111" s="382"/>
      <c r="AA111" s="382"/>
      <c r="AB111" s="382"/>
      <c r="AC111" s="382"/>
      <c r="AD111" s="382"/>
      <c r="AE111" s="382"/>
      <c r="AF111" s="382"/>
      <c r="AG111" s="382"/>
      <c r="AH111" s="382"/>
      <c r="AI111" s="382"/>
      <c r="AJ111" s="382"/>
      <c r="AK111" s="382"/>
      <c r="AL111" s="382"/>
      <c r="AM111" s="382"/>
    </row>
    <row r="112" spans="1:39" ht="15.75" customHeight="1">
      <c r="A112" s="1647"/>
      <c r="B112" s="311"/>
      <c r="C112" s="1647"/>
      <c r="D112" s="2173"/>
      <c r="E112" s="1586"/>
      <c r="F112" s="943"/>
      <c r="G112" s="1586"/>
      <c r="H112" s="1586"/>
      <c r="I112" s="1647"/>
      <c r="J112" s="1647"/>
      <c r="K112" s="1647"/>
      <c r="L112" s="1586"/>
      <c r="M112" s="836"/>
      <c r="N112" s="836"/>
      <c r="O112" s="836"/>
      <c r="P112" s="836"/>
      <c r="Q112" s="836"/>
      <c r="R112" s="309"/>
      <c r="S112" s="309"/>
      <c r="T112" s="309"/>
      <c r="U112" s="309"/>
      <c r="V112" s="311"/>
      <c r="W112" s="311"/>
      <c r="X112" s="1647"/>
      <c r="Y112" s="311"/>
      <c r="Z112" s="311"/>
      <c r="AA112" s="311"/>
      <c r="AB112" s="311"/>
      <c r="AC112" s="311"/>
      <c r="AD112" s="311"/>
      <c r="AE112" s="311"/>
      <c r="AF112" s="311"/>
      <c r="AG112" s="311"/>
      <c r="AH112" s="311"/>
      <c r="AI112" s="311"/>
      <c r="AJ112" s="311"/>
      <c r="AK112" s="311"/>
      <c r="AL112" s="311"/>
      <c r="AM112" s="311"/>
    </row>
    <row r="113" spans="1:39" ht="15.75" customHeight="1">
      <c r="A113" s="1647"/>
      <c r="B113" s="311"/>
      <c r="C113" s="1647"/>
      <c r="D113" s="2173"/>
      <c r="E113" s="1586"/>
      <c r="F113" s="943"/>
      <c r="G113" s="1586"/>
      <c r="H113" s="1586"/>
      <c r="I113" s="1647"/>
      <c r="J113" s="1647"/>
      <c r="K113" s="1647"/>
      <c r="L113" s="1586"/>
      <c r="M113" s="836"/>
      <c r="N113" s="836"/>
      <c r="O113" s="836"/>
      <c r="P113" s="836"/>
      <c r="Q113" s="836"/>
      <c r="R113" s="309"/>
      <c r="S113" s="309"/>
      <c r="T113" s="309"/>
      <c r="U113" s="309"/>
      <c r="V113" s="311"/>
      <c r="W113" s="311"/>
      <c r="X113" s="1647"/>
      <c r="Y113" s="311"/>
      <c r="Z113" s="311"/>
      <c r="AA113" s="311"/>
      <c r="AB113" s="311"/>
      <c r="AC113" s="311"/>
      <c r="AD113" s="311"/>
      <c r="AE113" s="311"/>
      <c r="AF113" s="311"/>
      <c r="AG113" s="311"/>
      <c r="AH113" s="311"/>
      <c r="AI113" s="311"/>
      <c r="AJ113" s="311"/>
      <c r="AK113" s="311"/>
      <c r="AL113" s="311"/>
      <c r="AM113" s="311"/>
    </row>
    <row r="114" spans="1:39" ht="15.75" customHeight="1">
      <c r="A114" s="1647"/>
      <c r="B114" s="311"/>
      <c r="C114" s="1647"/>
      <c r="D114" s="2173"/>
      <c r="E114" s="1586"/>
      <c r="F114" s="943"/>
      <c r="G114" s="1586"/>
      <c r="H114" s="1586"/>
      <c r="I114" s="1647"/>
      <c r="J114" s="1647"/>
      <c r="K114" s="1647"/>
      <c r="L114" s="1586"/>
      <c r="M114" s="836"/>
      <c r="N114" s="836"/>
      <c r="O114" s="836"/>
      <c r="P114" s="836"/>
      <c r="Q114" s="836"/>
      <c r="R114" s="309"/>
      <c r="S114" s="309"/>
      <c r="T114" s="309"/>
      <c r="U114" s="309"/>
      <c r="V114" s="311"/>
      <c r="W114" s="311"/>
      <c r="X114" s="1647"/>
      <c r="Y114" s="311"/>
      <c r="Z114" s="311"/>
      <c r="AA114" s="311"/>
      <c r="AB114" s="311"/>
      <c r="AC114" s="311"/>
      <c r="AD114" s="311"/>
      <c r="AE114" s="311"/>
      <c r="AF114" s="311"/>
      <c r="AG114" s="311"/>
      <c r="AH114" s="311"/>
      <c r="AI114" s="311"/>
      <c r="AJ114" s="311"/>
      <c r="AK114" s="311"/>
      <c r="AL114" s="311"/>
      <c r="AM114" s="311"/>
    </row>
    <row r="115" spans="1:39" ht="15.75" customHeight="1">
      <c r="A115" s="1647"/>
      <c r="B115" s="311"/>
      <c r="C115" s="1647"/>
      <c r="D115" s="2173"/>
      <c r="E115" s="1586"/>
      <c r="F115" s="1948"/>
      <c r="G115" s="1586"/>
      <c r="H115" s="1586"/>
      <c r="I115" s="1647"/>
      <c r="J115" s="1647"/>
      <c r="K115" s="1647"/>
      <c r="L115" s="1586"/>
      <c r="M115" s="836"/>
      <c r="N115" s="836"/>
      <c r="O115" s="836"/>
      <c r="P115" s="836"/>
      <c r="Q115" s="836"/>
      <c r="R115" s="309"/>
      <c r="S115" s="309"/>
      <c r="T115" s="309"/>
      <c r="U115" s="309"/>
      <c r="V115" s="311"/>
      <c r="W115" s="311"/>
      <c r="X115" s="1647"/>
      <c r="Y115" s="311"/>
      <c r="Z115" s="311"/>
      <c r="AA115" s="311"/>
      <c r="AB115" s="311"/>
      <c r="AC115" s="311"/>
      <c r="AD115" s="311"/>
      <c r="AE115" s="311"/>
      <c r="AF115" s="311"/>
      <c r="AG115" s="311"/>
      <c r="AH115" s="311"/>
      <c r="AI115" s="311"/>
      <c r="AJ115" s="311"/>
      <c r="AK115" s="311"/>
      <c r="AL115" s="311"/>
      <c r="AM115" s="311"/>
    </row>
    <row r="116" spans="1:39" ht="15.75" customHeight="1">
      <c r="A116" s="1647"/>
      <c r="B116" s="311"/>
      <c r="C116" s="1647"/>
      <c r="D116" s="2173"/>
      <c r="E116" s="1586"/>
      <c r="F116" s="943"/>
      <c r="G116" s="1586"/>
      <c r="H116" s="1586"/>
      <c r="I116" s="1647"/>
      <c r="J116" s="1647"/>
      <c r="K116" s="1647"/>
      <c r="L116" s="1586"/>
      <c r="M116" s="836"/>
      <c r="N116" s="836"/>
      <c r="O116" s="836"/>
      <c r="P116" s="836"/>
      <c r="Q116" s="836"/>
      <c r="R116" s="309"/>
      <c r="S116" s="309"/>
      <c r="T116" s="309"/>
      <c r="U116" s="309"/>
      <c r="V116" s="311"/>
      <c r="W116" s="311"/>
      <c r="X116" s="1647"/>
      <c r="Y116" s="311"/>
      <c r="Z116" s="311"/>
      <c r="AA116" s="311"/>
      <c r="AB116" s="311"/>
      <c r="AC116" s="311"/>
      <c r="AD116" s="311"/>
      <c r="AE116" s="311"/>
      <c r="AF116" s="311"/>
      <c r="AG116" s="311"/>
      <c r="AH116" s="311"/>
      <c r="AI116" s="311"/>
      <c r="AJ116" s="311"/>
      <c r="AK116" s="311"/>
      <c r="AL116" s="311"/>
      <c r="AM116" s="311"/>
    </row>
    <row r="117" spans="1:39" ht="15.75" customHeight="1">
      <c r="A117" s="1647"/>
      <c r="B117" s="311"/>
      <c r="C117" s="1647"/>
      <c r="D117" s="2173"/>
      <c r="E117" s="1586"/>
      <c r="F117" s="943"/>
      <c r="G117" s="1586"/>
      <c r="H117" s="1586"/>
      <c r="I117" s="1647"/>
      <c r="J117" s="1647"/>
      <c r="K117" s="1647"/>
      <c r="L117" s="1586"/>
      <c r="M117" s="836"/>
      <c r="N117" s="836"/>
      <c r="O117" s="836"/>
      <c r="P117" s="836"/>
      <c r="Q117" s="836"/>
      <c r="R117" s="309"/>
      <c r="S117" s="309"/>
      <c r="T117" s="309"/>
      <c r="U117" s="309"/>
      <c r="V117" s="311"/>
      <c r="W117" s="311"/>
      <c r="X117" s="1647"/>
      <c r="Y117" s="311"/>
      <c r="Z117" s="311"/>
      <c r="AA117" s="311"/>
      <c r="AB117" s="311"/>
      <c r="AC117" s="311"/>
      <c r="AD117" s="311"/>
      <c r="AE117" s="311"/>
      <c r="AF117" s="311"/>
      <c r="AG117" s="311"/>
      <c r="AH117" s="311"/>
      <c r="AI117" s="311"/>
      <c r="AJ117" s="311"/>
      <c r="AK117" s="311"/>
      <c r="AL117" s="311"/>
      <c r="AM117" s="311"/>
    </row>
    <row r="118" spans="1:39" ht="15.75" customHeight="1">
      <c r="A118" s="1647"/>
      <c r="B118" s="311"/>
      <c r="C118" s="1647"/>
      <c r="D118" s="2173"/>
      <c r="E118" s="1586"/>
      <c r="F118" s="1953"/>
      <c r="G118" s="1586"/>
      <c r="H118" s="1586"/>
      <c r="I118" s="1647"/>
      <c r="J118" s="1647"/>
      <c r="K118" s="1647"/>
      <c r="L118" s="1586"/>
      <c r="M118" s="836"/>
      <c r="N118" s="836"/>
      <c r="O118" s="836"/>
      <c r="P118" s="836"/>
      <c r="Q118" s="836"/>
      <c r="R118" s="309"/>
      <c r="S118" s="309"/>
      <c r="T118" s="309"/>
      <c r="U118" s="309"/>
      <c r="V118" s="311"/>
      <c r="W118" s="311"/>
      <c r="X118" s="1647"/>
      <c r="Y118" s="311"/>
      <c r="Z118" s="311"/>
      <c r="AA118" s="311"/>
      <c r="AB118" s="311"/>
      <c r="AC118" s="311"/>
      <c r="AD118" s="311"/>
      <c r="AE118" s="311"/>
      <c r="AF118" s="311"/>
      <c r="AG118" s="311"/>
      <c r="AH118" s="311"/>
      <c r="AI118" s="311"/>
      <c r="AJ118" s="311"/>
      <c r="AK118" s="311"/>
      <c r="AL118" s="311"/>
      <c r="AM118" s="311"/>
    </row>
    <row r="119" spans="1:39" ht="15.75" customHeight="1">
      <c r="A119" s="1647"/>
      <c r="B119" s="311"/>
      <c r="C119" s="1647"/>
      <c r="D119" s="2173"/>
      <c r="E119" s="1586"/>
      <c r="F119" s="1954"/>
      <c r="G119" s="1586"/>
      <c r="H119" s="1586"/>
      <c r="I119" s="1647"/>
      <c r="J119" s="1647"/>
      <c r="K119" s="1647"/>
      <c r="L119" s="1586"/>
      <c r="M119" s="836"/>
      <c r="N119" s="836"/>
      <c r="O119" s="836"/>
      <c r="P119" s="836"/>
      <c r="Q119" s="836"/>
      <c r="R119" s="309"/>
      <c r="S119" s="309"/>
      <c r="T119" s="309"/>
      <c r="U119" s="309"/>
      <c r="V119" s="311"/>
      <c r="W119" s="311"/>
      <c r="X119" s="1647"/>
      <c r="Y119" s="311"/>
      <c r="Z119" s="311"/>
      <c r="AA119" s="311"/>
      <c r="AB119" s="311"/>
      <c r="AC119" s="311"/>
      <c r="AD119" s="311"/>
      <c r="AE119" s="311"/>
      <c r="AF119" s="311"/>
      <c r="AG119" s="311"/>
      <c r="AH119" s="311"/>
      <c r="AI119" s="311"/>
      <c r="AJ119" s="311"/>
      <c r="AK119" s="311"/>
      <c r="AL119" s="311"/>
      <c r="AM119" s="311"/>
    </row>
    <row r="120" spans="1:39" ht="15.75" customHeight="1">
      <c r="A120" s="1647"/>
      <c r="B120" s="311"/>
      <c r="C120" s="1647"/>
      <c r="D120" s="2173"/>
      <c r="E120" s="1586"/>
      <c r="F120" s="1954"/>
      <c r="G120" s="1586"/>
      <c r="H120" s="1586"/>
      <c r="I120" s="1647"/>
      <c r="J120" s="1647"/>
      <c r="K120" s="1647"/>
      <c r="L120" s="1586"/>
      <c r="M120" s="836"/>
      <c r="N120" s="836"/>
      <c r="O120" s="836"/>
      <c r="P120" s="836"/>
      <c r="Q120" s="836"/>
      <c r="R120" s="309"/>
      <c r="S120" s="309"/>
      <c r="T120" s="309"/>
      <c r="U120" s="309"/>
      <c r="V120" s="311"/>
      <c r="W120" s="311"/>
      <c r="X120" s="1647"/>
      <c r="Y120" s="311"/>
      <c r="Z120" s="311"/>
      <c r="AA120" s="311"/>
      <c r="AB120" s="311"/>
      <c r="AC120" s="311"/>
      <c r="AD120" s="311"/>
      <c r="AE120" s="311"/>
      <c r="AF120" s="311"/>
      <c r="AG120" s="311"/>
      <c r="AH120" s="311"/>
      <c r="AI120" s="311"/>
      <c r="AJ120" s="311"/>
      <c r="AK120" s="311"/>
      <c r="AL120" s="311"/>
      <c r="AM120" s="311"/>
    </row>
    <row r="121" spans="1:39" ht="15.75" customHeight="1">
      <c r="A121" s="1647"/>
      <c r="B121" s="311"/>
      <c r="C121" s="1647"/>
      <c r="D121" s="2173"/>
      <c r="E121" s="1586"/>
      <c r="F121" s="1954"/>
      <c r="G121" s="1586"/>
      <c r="H121" s="1586"/>
      <c r="I121" s="1647"/>
      <c r="J121" s="1647"/>
      <c r="K121" s="1647"/>
      <c r="L121" s="1586"/>
      <c r="M121" s="836"/>
      <c r="N121" s="836"/>
      <c r="O121" s="836"/>
      <c r="P121" s="836"/>
      <c r="Q121" s="836"/>
      <c r="R121" s="309"/>
      <c r="S121" s="309"/>
      <c r="T121" s="309"/>
      <c r="U121" s="309"/>
      <c r="V121" s="311"/>
      <c r="W121" s="311"/>
      <c r="X121" s="1647"/>
      <c r="Y121" s="311"/>
      <c r="Z121" s="311"/>
      <c r="AA121" s="311"/>
      <c r="AB121" s="311"/>
      <c r="AC121" s="311"/>
      <c r="AD121" s="311"/>
      <c r="AE121" s="311"/>
      <c r="AF121" s="311"/>
      <c r="AG121" s="311"/>
      <c r="AH121" s="311"/>
      <c r="AI121" s="311"/>
      <c r="AJ121" s="311"/>
      <c r="AK121" s="311"/>
      <c r="AL121" s="311"/>
      <c r="AM121" s="311"/>
    </row>
    <row r="122" spans="1:39" ht="15.75" customHeight="1">
      <c r="A122" s="1647"/>
      <c r="B122" s="311"/>
      <c r="C122" s="1647"/>
      <c r="D122" s="2173"/>
      <c r="E122" s="1586"/>
      <c r="F122" s="1954"/>
      <c r="G122" s="1586"/>
      <c r="H122" s="1586"/>
      <c r="I122" s="1647"/>
      <c r="J122" s="1647"/>
      <c r="K122" s="1647"/>
      <c r="L122" s="1586"/>
      <c r="M122" s="836"/>
      <c r="N122" s="836"/>
      <c r="O122" s="836"/>
      <c r="P122" s="836"/>
      <c r="Q122" s="836"/>
      <c r="R122" s="309"/>
      <c r="S122" s="309"/>
      <c r="T122" s="309"/>
      <c r="U122" s="309"/>
      <c r="V122" s="311"/>
      <c r="W122" s="311"/>
      <c r="X122" s="1647"/>
      <c r="Y122" s="311"/>
      <c r="Z122" s="311"/>
      <c r="AA122" s="311"/>
      <c r="AB122" s="311"/>
      <c r="AC122" s="311"/>
      <c r="AD122" s="311"/>
      <c r="AE122" s="311"/>
      <c r="AF122" s="311"/>
      <c r="AG122" s="311"/>
      <c r="AH122" s="311"/>
      <c r="AI122" s="311"/>
      <c r="AJ122" s="311"/>
      <c r="AK122" s="311"/>
      <c r="AL122" s="311"/>
      <c r="AM122" s="311"/>
    </row>
    <row r="123" spans="1:39" ht="15.75" customHeight="1">
      <c r="A123" s="1647"/>
      <c r="B123" s="311"/>
      <c r="C123" s="1647"/>
      <c r="D123" s="2173"/>
      <c r="E123" s="1586"/>
      <c r="F123" s="1954"/>
      <c r="G123" s="1586"/>
      <c r="H123" s="1586"/>
      <c r="I123" s="1647"/>
      <c r="J123" s="1647"/>
      <c r="K123" s="1647"/>
      <c r="L123" s="1586"/>
      <c r="M123" s="836"/>
      <c r="N123" s="836"/>
      <c r="O123" s="836"/>
      <c r="P123" s="836"/>
      <c r="Q123" s="836"/>
      <c r="R123" s="309"/>
      <c r="S123" s="309"/>
      <c r="T123" s="309"/>
      <c r="U123" s="309"/>
      <c r="V123" s="311"/>
      <c r="W123" s="311"/>
      <c r="X123" s="1647"/>
      <c r="Y123" s="311"/>
      <c r="Z123" s="311"/>
      <c r="AA123" s="31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1"/>
      <c r="AM123" s="311"/>
    </row>
    <row r="124" spans="1:39" ht="15.75" customHeight="1">
      <c r="A124" s="1647"/>
      <c r="B124" s="311"/>
      <c r="C124" s="1647"/>
      <c r="D124" s="2173"/>
      <c r="E124" s="1586"/>
      <c r="F124" s="1954"/>
      <c r="G124" s="1586"/>
      <c r="H124" s="1586"/>
      <c r="I124" s="1647"/>
      <c r="J124" s="1647"/>
      <c r="K124" s="1647"/>
      <c r="L124" s="1586"/>
      <c r="M124" s="836"/>
      <c r="N124" s="836"/>
      <c r="O124" s="836"/>
      <c r="P124" s="836"/>
      <c r="Q124" s="836"/>
      <c r="R124" s="309"/>
      <c r="S124" s="309"/>
      <c r="T124" s="309"/>
      <c r="U124" s="309"/>
      <c r="V124" s="311"/>
      <c r="W124" s="311"/>
      <c r="X124" s="1647"/>
      <c r="Y124" s="311"/>
      <c r="Z124" s="311"/>
      <c r="AA124" s="311"/>
      <c r="AB124" s="311"/>
      <c r="AC124" s="311"/>
      <c r="AD124" s="311"/>
      <c r="AE124" s="311"/>
      <c r="AF124" s="311"/>
      <c r="AG124" s="311"/>
      <c r="AH124" s="311"/>
      <c r="AI124" s="311"/>
      <c r="AJ124" s="311"/>
      <c r="AK124" s="311"/>
      <c r="AL124" s="311"/>
      <c r="AM124" s="311"/>
    </row>
    <row r="125" spans="1:39" ht="15.75" customHeight="1">
      <c r="A125" s="1647"/>
      <c r="B125" s="311"/>
      <c r="C125" s="1647"/>
      <c r="D125" s="2173"/>
      <c r="E125" s="1586"/>
      <c r="F125" s="1954"/>
      <c r="G125" s="1586"/>
      <c r="H125" s="1586"/>
      <c r="I125" s="1647"/>
      <c r="J125" s="1647"/>
      <c r="K125" s="1647"/>
      <c r="L125" s="1586"/>
      <c r="M125" s="836"/>
      <c r="N125" s="836"/>
      <c r="O125" s="836"/>
      <c r="P125" s="836"/>
      <c r="Q125" s="836"/>
      <c r="R125" s="309"/>
      <c r="S125" s="309"/>
      <c r="T125" s="309"/>
      <c r="U125" s="309"/>
      <c r="V125" s="311"/>
      <c r="W125" s="311"/>
      <c r="X125" s="1647"/>
      <c r="Y125" s="311"/>
      <c r="Z125" s="311"/>
      <c r="AA125" s="311"/>
      <c r="AB125" s="311"/>
      <c r="AC125" s="311"/>
      <c r="AD125" s="311"/>
      <c r="AE125" s="311"/>
      <c r="AF125" s="311"/>
      <c r="AG125" s="311"/>
      <c r="AH125" s="311"/>
      <c r="AI125" s="311"/>
      <c r="AJ125" s="311"/>
      <c r="AK125" s="311"/>
      <c r="AL125" s="311"/>
      <c r="AM125" s="311"/>
    </row>
    <row r="126" spans="1:39" ht="15.75" customHeight="1">
      <c r="A126" s="1647"/>
      <c r="B126" s="311"/>
      <c r="C126" s="1647"/>
      <c r="D126" s="2173"/>
      <c r="E126" s="1586"/>
      <c r="F126" s="1954"/>
      <c r="G126" s="1586"/>
      <c r="H126" s="1586"/>
      <c r="I126" s="1647"/>
      <c r="J126" s="1647"/>
      <c r="K126" s="1647"/>
      <c r="L126" s="1586"/>
      <c r="M126" s="836"/>
      <c r="N126" s="836"/>
      <c r="O126" s="836"/>
      <c r="P126" s="836"/>
      <c r="Q126" s="836"/>
      <c r="R126" s="309"/>
      <c r="S126" s="309"/>
      <c r="T126" s="309"/>
      <c r="U126" s="309"/>
      <c r="V126" s="311"/>
      <c r="W126" s="311"/>
      <c r="X126" s="1647"/>
      <c r="Y126" s="311"/>
      <c r="Z126" s="311"/>
      <c r="AA126" s="311"/>
      <c r="AB126" s="311"/>
      <c r="AC126" s="311"/>
      <c r="AD126" s="311"/>
      <c r="AE126" s="311"/>
      <c r="AF126" s="311"/>
      <c r="AG126" s="311"/>
      <c r="AH126" s="311"/>
      <c r="AI126" s="311"/>
      <c r="AJ126" s="311"/>
      <c r="AK126" s="311"/>
      <c r="AL126" s="311"/>
      <c r="AM126" s="311"/>
    </row>
    <row r="127" spans="1:39" ht="15.75" customHeight="1">
      <c r="A127" s="1647"/>
      <c r="B127" s="311"/>
      <c r="C127" s="1647"/>
      <c r="D127" s="2173"/>
      <c r="E127" s="1586"/>
      <c r="F127" s="1954"/>
      <c r="G127" s="1586"/>
      <c r="H127" s="1586"/>
      <c r="I127" s="1647"/>
      <c r="J127" s="1647"/>
      <c r="K127" s="1647"/>
      <c r="L127" s="1586"/>
      <c r="M127" s="836"/>
      <c r="N127" s="836"/>
      <c r="O127" s="836"/>
      <c r="P127" s="836"/>
      <c r="Q127" s="836"/>
      <c r="R127" s="309"/>
      <c r="S127" s="309"/>
      <c r="T127" s="309"/>
      <c r="U127" s="309"/>
      <c r="V127" s="311"/>
      <c r="W127" s="311"/>
      <c r="X127" s="1647"/>
      <c r="Y127" s="311"/>
      <c r="Z127" s="311"/>
      <c r="AA127" s="311"/>
      <c r="AB127" s="311"/>
      <c r="AC127" s="311"/>
      <c r="AD127" s="311"/>
      <c r="AE127" s="311"/>
      <c r="AF127" s="311"/>
      <c r="AG127" s="311"/>
      <c r="AH127" s="311"/>
      <c r="AI127" s="311"/>
      <c r="AJ127" s="311"/>
      <c r="AK127" s="311"/>
      <c r="AL127" s="311"/>
      <c r="AM127" s="311"/>
    </row>
    <row r="128" spans="1:39" ht="15.75" customHeight="1">
      <c r="A128" s="1647"/>
      <c r="B128" s="311"/>
      <c r="C128" s="1647"/>
      <c r="D128" s="2173"/>
      <c r="E128" s="1586"/>
      <c r="F128" s="1954"/>
      <c r="G128" s="1586"/>
      <c r="H128" s="1586"/>
      <c r="I128" s="1647"/>
      <c r="J128" s="1647"/>
      <c r="K128" s="1647"/>
      <c r="L128" s="1586"/>
      <c r="M128" s="836"/>
      <c r="N128" s="836"/>
      <c r="O128" s="836"/>
      <c r="P128" s="836"/>
      <c r="Q128" s="836"/>
      <c r="R128" s="309"/>
      <c r="S128" s="309"/>
      <c r="T128" s="309"/>
      <c r="U128" s="309"/>
      <c r="V128" s="311"/>
      <c r="W128" s="311"/>
      <c r="X128" s="1647"/>
      <c r="Y128" s="311"/>
      <c r="Z128" s="311"/>
      <c r="AA128" s="311"/>
      <c r="AB128" s="311"/>
      <c r="AC128" s="311"/>
      <c r="AD128" s="311"/>
      <c r="AE128" s="311"/>
      <c r="AF128" s="311"/>
      <c r="AG128" s="311"/>
      <c r="AH128" s="311"/>
      <c r="AI128" s="311"/>
      <c r="AJ128" s="311"/>
      <c r="AK128" s="311"/>
      <c r="AL128" s="311"/>
      <c r="AM128" s="311"/>
    </row>
    <row r="129" spans="1:39" ht="15.75" customHeight="1">
      <c r="A129" s="1647"/>
      <c r="B129" s="311"/>
      <c r="C129" s="1647"/>
      <c r="D129" s="2173"/>
      <c r="E129" s="1586"/>
      <c r="F129" s="1954"/>
      <c r="G129" s="1586"/>
      <c r="H129" s="1586"/>
      <c r="I129" s="1647"/>
      <c r="J129" s="1647"/>
      <c r="K129" s="1647"/>
      <c r="L129" s="1586"/>
      <c r="M129" s="836"/>
      <c r="N129" s="836"/>
      <c r="O129" s="836"/>
      <c r="P129" s="836"/>
      <c r="Q129" s="836"/>
      <c r="R129" s="309"/>
      <c r="S129" s="309"/>
      <c r="T129" s="309"/>
      <c r="U129" s="309"/>
      <c r="V129" s="311"/>
      <c r="W129" s="311"/>
      <c r="X129" s="1647"/>
      <c r="Y129" s="311"/>
      <c r="Z129" s="311"/>
      <c r="AA129" s="311"/>
      <c r="AB129" s="311"/>
      <c r="AC129" s="311"/>
      <c r="AD129" s="311"/>
      <c r="AE129" s="311"/>
      <c r="AF129" s="311"/>
      <c r="AG129" s="311"/>
      <c r="AH129" s="311"/>
      <c r="AI129" s="311"/>
      <c r="AJ129" s="311"/>
      <c r="AK129" s="311"/>
      <c r="AL129" s="311"/>
      <c r="AM129" s="311"/>
    </row>
    <row r="130" spans="1:39" ht="15.75" customHeight="1">
      <c r="A130" s="1647"/>
      <c r="B130" s="311"/>
      <c r="C130" s="1647"/>
      <c r="D130" s="2173"/>
      <c r="E130" s="1586"/>
      <c r="F130" s="1954"/>
      <c r="G130" s="1586"/>
      <c r="H130" s="1586"/>
      <c r="I130" s="1647"/>
      <c r="J130" s="1647"/>
      <c r="K130" s="1647"/>
      <c r="L130" s="1586"/>
      <c r="M130" s="836"/>
      <c r="N130" s="836"/>
      <c r="O130" s="836"/>
      <c r="P130" s="836"/>
      <c r="Q130" s="836"/>
      <c r="R130" s="309"/>
      <c r="S130" s="309"/>
      <c r="T130" s="309"/>
      <c r="U130" s="309"/>
      <c r="V130" s="311"/>
      <c r="W130" s="311"/>
      <c r="X130" s="1647"/>
      <c r="Y130" s="311"/>
      <c r="Z130" s="311"/>
      <c r="AA130" s="311"/>
      <c r="AB130" s="311"/>
      <c r="AC130" s="311"/>
      <c r="AD130" s="311"/>
      <c r="AE130" s="311"/>
      <c r="AF130" s="311"/>
      <c r="AG130" s="311"/>
      <c r="AH130" s="311"/>
      <c r="AI130" s="311"/>
      <c r="AJ130" s="311"/>
      <c r="AK130" s="311"/>
      <c r="AL130" s="311"/>
      <c r="AM130" s="311"/>
    </row>
    <row r="131" spans="1:39" ht="15.75" customHeight="1">
      <c r="A131" s="1647"/>
      <c r="B131" s="311"/>
      <c r="C131" s="1647"/>
      <c r="D131" s="2173"/>
      <c r="E131" s="1586"/>
      <c r="F131" s="1954"/>
      <c r="G131" s="1586"/>
      <c r="H131" s="1586"/>
      <c r="I131" s="1647"/>
      <c r="J131" s="1647"/>
      <c r="K131" s="1647"/>
      <c r="L131" s="1586"/>
      <c r="M131" s="836"/>
      <c r="N131" s="836"/>
      <c r="O131" s="836"/>
      <c r="P131" s="836"/>
      <c r="Q131" s="836"/>
      <c r="R131" s="309"/>
      <c r="S131" s="309"/>
      <c r="T131" s="309"/>
      <c r="U131" s="309"/>
      <c r="V131" s="311"/>
      <c r="W131" s="311"/>
      <c r="X131" s="1647"/>
      <c r="Y131" s="311"/>
      <c r="Z131" s="311"/>
      <c r="AA131" s="311"/>
      <c r="AB131" s="311"/>
      <c r="AC131" s="311"/>
      <c r="AD131" s="311"/>
      <c r="AE131" s="311"/>
      <c r="AF131" s="311"/>
      <c r="AG131" s="311"/>
      <c r="AH131" s="311"/>
      <c r="AI131" s="311"/>
      <c r="AJ131" s="311"/>
      <c r="AK131" s="311"/>
      <c r="AL131" s="311"/>
      <c r="AM131" s="311"/>
    </row>
    <row r="132" spans="1:39" ht="15.75" customHeight="1">
      <c r="A132" s="1647"/>
      <c r="B132" s="311"/>
      <c r="C132" s="1647"/>
      <c r="D132" s="2173"/>
      <c r="E132" s="1586"/>
      <c r="F132" s="1954"/>
      <c r="G132" s="1586"/>
      <c r="H132" s="1586"/>
      <c r="I132" s="1647"/>
      <c r="J132" s="1647"/>
      <c r="K132" s="1647"/>
      <c r="L132" s="1586"/>
      <c r="M132" s="836"/>
      <c r="N132" s="836"/>
      <c r="O132" s="836"/>
      <c r="P132" s="836"/>
      <c r="Q132" s="836"/>
      <c r="R132" s="309"/>
      <c r="S132" s="309"/>
      <c r="T132" s="309"/>
      <c r="U132" s="309"/>
      <c r="V132" s="311"/>
      <c r="W132" s="311"/>
      <c r="X132" s="1647"/>
      <c r="Y132" s="311"/>
      <c r="Z132" s="311"/>
      <c r="AA132" s="311"/>
      <c r="AB132" s="311"/>
      <c r="AC132" s="311"/>
      <c r="AD132" s="311"/>
      <c r="AE132" s="311"/>
      <c r="AF132" s="311"/>
      <c r="AG132" s="311"/>
      <c r="AH132" s="311"/>
      <c r="AI132" s="311"/>
      <c r="AJ132" s="311"/>
      <c r="AK132" s="311"/>
      <c r="AL132" s="311"/>
      <c r="AM132" s="311"/>
    </row>
    <row r="133" spans="1:39" ht="15.75" customHeight="1">
      <c r="A133" s="1647"/>
      <c r="B133" s="311"/>
      <c r="C133" s="1647"/>
      <c r="D133" s="2173"/>
      <c r="E133" s="1586"/>
      <c r="F133" s="1954"/>
      <c r="G133" s="1586"/>
      <c r="H133" s="1586"/>
      <c r="I133" s="1647"/>
      <c r="J133" s="1647"/>
      <c r="K133" s="1647"/>
      <c r="L133" s="1586"/>
      <c r="M133" s="836"/>
      <c r="N133" s="836"/>
      <c r="O133" s="836"/>
      <c r="P133" s="836"/>
      <c r="Q133" s="836"/>
      <c r="R133" s="309"/>
      <c r="S133" s="309"/>
      <c r="T133" s="309"/>
      <c r="U133" s="309"/>
      <c r="V133" s="311"/>
      <c r="W133" s="311"/>
      <c r="X133" s="1647"/>
      <c r="Y133" s="311"/>
      <c r="Z133" s="311"/>
      <c r="AA133" s="311"/>
      <c r="AB133" s="311"/>
      <c r="AC133" s="311"/>
      <c r="AD133" s="311"/>
      <c r="AE133" s="311"/>
      <c r="AF133" s="311"/>
      <c r="AG133" s="311"/>
      <c r="AH133" s="311"/>
      <c r="AI133" s="311"/>
      <c r="AJ133" s="311"/>
      <c r="AK133" s="311"/>
      <c r="AL133" s="311"/>
      <c r="AM133" s="311"/>
    </row>
    <row r="134" spans="1:39" ht="15.75" customHeight="1">
      <c r="A134" s="1647"/>
      <c r="B134" s="311"/>
      <c r="C134" s="1647"/>
      <c r="D134" s="2173"/>
      <c r="E134" s="1586"/>
      <c r="F134" s="1954"/>
      <c r="G134" s="1586"/>
      <c r="H134" s="1586"/>
      <c r="I134" s="1647"/>
      <c r="J134" s="1647"/>
      <c r="K134" s="1647"/>
      <c r="L134" s="1586"/>
      <c r="M134" s="836"/>
      <c r="N134" s="836"/>
      <c r="O134" s="836"/>
      <c r="P134" s="836"/>
      <c r="Q134" s="836"/>
      <c r="R134" s="309"/>
      <c r="S134" s="309"/>
      <c r="T134" s="309"/>
      <c r="U134" s="309"/>
      <c r="V134" s="311"/>
      <c r="W134" s="311"/>
      <c r="X134" s="1647"/>
      <c r="Y134" s="311"/>
      <c r="Z134" s="311"/>
      <c r="AA134" s="311"/>
      <c r="AB134" s="311"/>
      <c r="AC134" s="311"/>
      <c r="AD134" s="311"/>
      <c r="AE134" s="311"/>
      <c r="AF134" s="311"/>
      <c r="AG134" s="311"/>
      <c r="AH134" s="311"/>
      <c r="AI134" s="311"/>
      <c r="AJ134" s="311"/>
      <c r="AK134" s="311"/>
      <c r="AL134" s="311"/>
      <c r="AM134" s="311"/>
    </row>
    <row r="135" spans="1:39" ht="15.75" customHeight="1">
      <c r="A135" s="1647"/>
      <c r="B135" s="311"/>
      <c r="C135" s="1647"/>
      <c r="D135" s="2173"/>
      <c r="E135" s="1586"/>
      <c r="F135" s="1954"/>
      <c r="G135" s="1586"/>
      <c r="H135" s="1586"/>
      <c r="I135" s="1647"/>
      <c r="J135" s="1647"/>
      <c r="K135" s="1647"/>
      <c r="L135" s="1586"/>
      <c r="M135" s="836"/>
      <c r="N135" s="836"/>
      <c r="O135" s="836"/>
      <c r="P135" s="836"/>
      <c r="Q135" s="836"/>
      <c r="R135" s="309"/>
      <c r="S135" s="309"/>
      <c r="T135" s="309"/>
      <c r="U135" s="309"/>
      <c r="V135" s="311"/>
      <c r="W135" s="311"/>
      <c r="X135" s="1647"/>
      <c r="Y135" s="311"/>
      <c r="Z135" s="311"/>
      <c r="AA135" s="311"/>
      <c r="AB135" s="311"/>
      <c r="AC135" s="311"/>
      <c r="AD135" s="311"/>
      <c r="AE135" s="311"/>
      <c r="AF135" s="311"/>
      <c r="AG135" s="311"/>
      <c r="AH135" s="311"/>
      <c r="AI135" s="311"/>
      <c r="AJ135" s="311"/>
      <c r="AK135" s="311"/>
      <c r="AL135" s="311"/>
      <c r="AM135" s="311"/>
    </row>
    <row r="136" spans="1:39" ht="15.75" customHeight="1">
      <c r="A136" s="1647"/>
      <c r="B136" s="311"/>
      <c r="C136" s="1647"/>
      <c r="D136" s="2173"/>
      <c r="E136" s="1586"/>
      <c r="F136" s="1954"/>
      <c r="G136" s="1586"/>
      <c r="H136" s="1586"/>
      <c r="I136" s="1647"/>
      <c r="J136" s="1647"/>
      <c r="K136" s="1647"/>
      <c r="L136" s="1586"/>
      <c r="M136" s="836"/>
      <c r="N136" s="836"/>
      <c r="O136" s="836"/>
      <c r="P136" s="836"/>
      <c r="Q136" s="836"/>
      <c r="R136" s="309"/>
      <c r="S136" s="309"/>
      <c r="T136" s="309"/>
      <c r="U136" s="309"/>
      <c r="V136" s="311"/>
      <c r="W136" s="311"/>
      <c r="X136" s="1647"/>
      <c r="Y136" s="311"/>
      <c r="Z136" s="311"/>
      <c r="AA136" s="311"/>
      <c r="AB136" s="311"/>
      <c r="AC136" s="311"/>
      <c r="AD136" s="311"/>
      <c r="AE136" s="311"/>
      <c r="AF136" s="311"/>
      <c r="AG136" s="311"/>
      <c r="AH136" s="311"/>
      <c r="AI136" s="311"/>
      <c r="AJ136" s="311"/>
      <c r="AK136" s="311"/>
      <c r="AL136" s="311"/>
      <c r="AM136" s="311"/>
    </row>
    <row r="137" spans="1:39" ht="15.75" customHeight="1">
      <c r="A137" s="1647"/>
      <c r="B137" s="311"/>
      <c r="C137" s="1647"/>
      <c r="D137" s="2173"/>
      <c r="E137" s="1586"/>
      <c r="F137" s="1954"/>
      <c r="G137" s="1586"/>
      <c r="H137" s="1586"/>
      <c r="I137" s="1647"/>
      <c r="J137" s="1647"/>
      <c r="K137" s="1647"/>
      <c r="L137" s="1586"/>
      <c r="M137" s="836"/>
      <c r="N137" s="836"/>
      <c r="O137" s="836"/>
      <c r="P137" s="836"/>
      <c r="Q137" s="836"/>
      <c r="R137" s="309"/>
      <c r="S137" s="309"/>
      <c r="T137" s="309"/>
      <c r="U137" s="309"/>
      <c r="V137" s="311"/>
      <c r="W137" s="311"/>
      <c r="X137" s="1647"/>
      <c r="Y137" s="311"/>
      <c r="Z137" s="311"/>
      <c r="AA137" s="311"/>
      <c r="AB137" s="311"/>
      <c r="AC137" s="311"/>
      <c r="AD137" s="311"/>
      <c r="AE137" s="311"/>
      <c r="AF137" s="311"/>
      <c r="AG137" s="311"/>
      <c r="AH137" s="311"/>
      <c r="AI137" s="311"/>
      <c r="AJ137" s="311"/>
      <c r="AK137" s="311"/>
      <c r="AL137" s="311"/>
      <c r="AM137" s="311"/>
    </row>
    <row r="138" spans="1:39" ht="15.75" customHeight="1">
      <c r="A138" s="1647"/>
      <c r="B138" s="311"/>
      <c r="C138" s="1647"/>
      <c r="D138" s="2173"/>
      <c r="E138" s="1586"/>
      <c r="F138" s="1954"/>
      <c r="G138" s="1586"/>
      <c r="H138" s="1586"/>
      <c r="I138" s="1647"/>
      <c r="J138" s="1647"/>
      <c r="K138" s="1647"/>
      <c r="L138" s="1586"/>
      <c r="M138" s="836"/>
      <c r="N138" s="836"/>
      <c r="O138" s="836"/>
      <c r="P138" s="836"/>
      <c r="Q138" s="836"/>
      <c r="R138" s="309"/>
      <c r="S138" s="309"/>
      <c r="T138" s="309"/>
      <c r="U138" s="309"/>
      <c r="V138" s="311"/>
      <c r="W138" s="311"/>
      <c r="X138" s="1647"/>
      <c r="Y138" s="311"/>
      <c r="Z138" s="311"/>
      <c r="AA138" s="311"/>
      <c r="AB138" s="311"/>
      <c r="AC138" s="311"/>
      <c r="AD138" s="311"/>
      <c r="AE138" s="311"/>
      <c r="AF138" s="311"/>
      <c r="AG138" s="311"/>
      <c r="AH138" s="311"/>
      <c r="AI138" s="311"/>
      <c r="AJ138" s="311"/>
      <c r="AK138" s="311"/>
      <c r="AL138" s="311"/>
      <c r="AM138" s="311"/>
    </row>
    <row r="139" spans="1:39" ht="15.75" customHeight="1">
      <c r="A139" s="1647"/>
      <c r="B139" s="311"/>
      <c r="C139" s="1647"/>
      <c r="D139" s="2173"/>
      <c r="E139" s="1586"/>
      <c r="F139" s="1954"/>
      <c r="G139" s="1586"/>
      <c r="H139" s="1586"/>
      <c r="I139" s="1647"/>
      <c r="J139" s="1647"/>
      <c r="K139" s="1647"/>
      <c r="L139" s="1586"/>
      <c r="M139" s="836"/>
      <c r="N139" s="836"/>
      <c r="O139" s="836"/>
      <c r="P139" s="836"/>
      <c r="Q139" s="836"/>
      <c r="R139" s="309"/>
      <c r="S139" s="309"/>
      <c r="T139" s="309"/>
      <c r="U139" s="309"/>
      <c r="V139" s="311"/>
      <c r="W139" s="311"/>
      <c r="X139" s="1647"/>
      <c r="Y139" s="311"/>
      <c r="Z139" s="311"/>
      <c r="AA139" s="311"/>
      <c r="AB139" s="311"/>
      <c r="AC139" s="311"/>
      <c r="AD139" s="311"/>
      <c r="AE139" s="311"/>
      <c r="AF139" s="311"/>
      <c r="AG139" s="311"/>
      <c r="AH139" s="311"/>
      <c r="AI139" s="311"/>
      <c r="AJ139" s="311"/>
      <c r="AK139" s="311"/>
      <c r="AL139" s="311"/>
      <c r="AM139" s="311"/>
    </row>
    <row r="140" spans="1:39" ht="15.75" customHeight="1">
      <c r="A140" s="1647"/>
      <c r="B140" s="311"/>
      <c r="C140" s="1647"/>
      <c r="D140" s="2173"/>
      <c r="E140" s="1586"/>
      <c r="F140" s="1954"/>
      <c r="G140" s="1586"/>
      <c r="H140" s="1586"/>
      <c r="I140" s="1647"/>
      <c r="J140" s="1647"/>
      <c r="K140" s="1647"/>
      <c r="L140" s="1586"/>
      <c r="M140" s="836"/>
      <c r="N140" s="836"/>
      <c r="O140" s="836"/>
      <c r="P140" s="836"/>
      <c r="Q140" s="836"/>
      <c r="R140" s="309"/>
      <c r="S140" s="309"/>
      <c r="T140" s="309"/>
      <c r="U140" s="309"/>
      <c r="V140" s="311"/>
      <c r="W140" s="311"/>
      <c r="X140" s="1647"/>
      <c r="Y140" s="311"/>
      <c r="Z140" s="311"/>
      <c r="AA140" s="311"/>
      <c r="AB140" s="311"/>
      <c r="AC140" s="311"/>
      <c r="AD140" s="311"/>
      <c r="AE140" s="311"/>
      <c r="AF140" s="311"/>
      <c r="AG140" s="311"/>
      <c r="AH140" s="311"/>
      <c r="AI140" s="311"/>
      <c r="AJ140" s="311"/>
      <c r="AK140" s="311"/>
      <c r="AL140" s="311"/>
      <c r="AM140" s="311"/>
    </row>
    <row r="141" spans="1:39" ht="15.75" customHeight="1">
      <c r="A141" s="1647"/>
      <c r="B141" s="311"/>
      <c r="C141" s="1647"/>
      <c r="D141" s="2173"/>
      <c r="E141" s="1586"/>
      <c r="F141" s="1954"/>
      <c r="G141" s="1586"/>
      <c r="H141" s="1586"/>
      <c r="I141" s="1647"/>
      <c r="J141" s="1647"/>
      <c r="K141" s="1647"/>
      <c r="L141" s="1586"/>
      <c r="M141" s="836"/>
      <c r="N141" s="836"/>
      <c r="O141" s="836"/>
      <c r="P141" s="836"/>
      <c r="Q141" s="836"/>
      <c r="R141" s="309"/>
      <c r="S141" s="309"/>
      <c r="T141" s="309"/>
      <c r="U141" s="309"/>
      <c r="V141" s="311"/>
      <c r="W141" s="311"/>
      <c r="X141" s="1647"/>
      <c r="Y141" s="311"/>
      <c r="Z141" s="311"/>
      <c r="AA141" s="311"/>
      <c r="AB141" s="311"/>
      <c r="AC141" s="311"/>
      <c r="AD141" s="311"/>
      <c r="AE141" s="311"/>
      <c r="AF141" s="311"/>
      <c r="AG141" s="311"/>
      <c r="AH141" s="311"/>
      <c r="AI141" s="311"/>
      <c r="AJ141" s="311"/>
      <c r="AK141" s="311"/>
      <c r="AL141" s="311"/>
      <c r="AM141" s="311"/>
    </row>
    <row r="142" spans="1:39" ht="15.75" customHeight="1">
      <c r="A142" s="1647"/>
      <c r="B142" s="311"/>
      <c r="C142" s="1647"/>
      <c r="D142" s="2173"/>
      <c r="E142" s="1586"/>
      <c r="F142" s="1954"/>
      <c r="G142" s="1586"/>
      <c r="H142" s="1586"/>
      <c r="I142" s="1647"/>
      <c r="J142" s="1647"/>
      <c r="K142" s="1647"/>
      <c r="L142" s="1586"/>
      <c r="M142" s="836"/>
      <c r="N142" s="836"/>
      <c r="O142" s="836"/>
      <c r="P142" s="836"/>
      <c r="Q142" s="836"/>
      <c r="R142" s="309"/>
      <c r="S142" s="309"/>
      <c r="T142" s="309"/>
      <c r="U142" s="309"/>
      <c r="V142" s="311"/>
      <c r="W142" s="311"/>
      <c r="X142" s="1647"/>
      <c r="Y142" s="311"/>
      <c r="Z142" s="311"/>
      <c r="AA142" s="311"/>
      <c r="AB142" s="311"/>
      <c r="AC142" s="311"/>
      <c r="AD142" s="311"/>
      <c r="AE142" s="311"/>
      <c r="AF142" s="311"/>
      <c r="AG142" s="311"/>
      <c r="AH142" s="311"/>
      <c r="AI142" s="311"/>
      <c r="AJ142" s="311"/>
      <c r="AK142" s="311"/>
      <c r="AL142" s="311"/>
      <c r="AM142" s="311"/>
    </row>
    <row r="143" spans="1:39" ht="15.75" customHeight="1">
      <c r="A143" s="1647"/>
      <c r="B143" s="311"/>
      <c r="C143" s="1647"/>
      <c r="D143" s="2173"/>
      <c r="E143" s="1586"/>
      <c r="F143" s="1954"/>
      <c r="G143" s="1586"/>
      <c r="H143" s="1586"/>
      <c r="I143" s="1647"/>
      <c r="J143" s="1647"/>
      <c r="K143" s="1647"/>
      <c r="L143" s="1586"/>
      <c r="M143" s="836"/>
      <c r="N143" s="836"/>
      <c r="O143" s="836"/>
      <c r="P143" s="836"/>
      <c r="Q143" s="836"/>
      <c r="R143" s="309"/>
      <c r="S143" s="309"/>
      <c r="T143" s="309"/>
      <c r="U143" s="309"/>
      <c r="V143" s="311"/>
      <c r="W143" s="311"/>
      <c r="X143" s="1647"/>
      <c r="Y143" s="311"/>
      <c r="Z143" s="311"/>
      <c r="AA143" s="311"/>
      <c r="AB143" s="311"/>
      <c r="AC143" s="311"/>
      <c r="AD143" s="311"/>
      <c r="AE143" s="311"/>
      <c r="AF143" s="311"/>
      <c r="AG143" s="311"/>
      <c r="AH143" s="311"/>
      <c r="AI143" s="311"/>
      <c r="AJ143" s="311"/>
      <c r="AK143" s="311"/>
      <c r="AL143" s="311"/>
      <c r="AM143" s="311"/>
    </row>
    <row r="144" spans="1:39" ht="15.75" customHeight="1">
      <c r="A144" s="1647"/>
      <c r="B144" s="311"/>
      <c r="C144" s="1647"/>
      <c r="D144" s="2173"/>
      <c r="E144" s="1586"/>
      <c r="F144" s="1954"/>
      <c r="G144" s="1586"/>
      <c r="H144" s="1586"/>
      <c r="I144" s="1647"/>
      <c r="J144" s="1647"/>
      <c r="K144" s="1647"/>
      <c r="L144" s="1586"/>
      <c r="M144" s="836"/>
      <c r="N144" s="836"/>
      <c r="O144" s="836"/>
      <c r="P144" s="836"/>
      <c r="Q144" s="836"/>
      <c r="R144" s="309"/>
      <c r="S144" s="309"/>
      <c r="T144" s="309"/>
      <c r="U144" s="309"/>
      <c r="V144" s="311"/>
      <c r="W144" s="311"/>
      <c r="X144" s="1647"/>
      <c r="Y144" s="311"/>
      <c r="Z144" s="311"/>
      <c r="AA144" s="311"/>
      <c r="AB144" s="311"/>
      <c r="AC144" s="311"/>
      <c r="AD144" s="311"/>
      <c r="AE144" s="311"/>
      <c r="AF144" s="311"/>
      <c r="AG144" s="311"/>
      <c r="AH144" s="311"/>
      <c r="AI144" s="311"/>
      <c r="AJ144" s="311"/>
      <c r="AK144" s="311"/>
      <c r="AL144" s="311"/>
      <c r="AM144" s="311"/>
    </row>
    <row r="145" spans="1:39" ht="15.75" customHeight="1">
      <c r="A145" s="1647"/>
      <c r="B145" s="311"/>
      <c r="C145" s="1647"/>
      <c r="D145" s="2173"/>
      <c r="E145" s="1586"/>
      <c r="F145" s="1954"/>
      <c r="G145" s="1586"/>
      <c r="H145" s="1586"/>
      <c r="I145" s="1647"/>
      <c r="J145" s="1647"/>
      <c r="K145" s="1647"/>
      <c r="L145" s="1586"/>
      <c r="M145" s="836"/>
      <c r="N145" s="836"/>
      <c r="O145" s="836"/>
      <c r="P145" s="836"/>
      <c r="Q145" s="836"/>
      <c r="R145" s="309"/>
      <c r="S145" s="309"/>
      <c r="T145" s="309"/>
      <c r="U145" s="309"/>
      <c r="V145" s="311"/>
      <c r="W145" s="311"/>
      <c r="X145" s="1647"/>
      <c r="Y145" s="311"/>
      <c r="Z145" s="311"/>
      <c r="AA145" s="311"/>
      <c r="AB145" s="311"/>
      <c r="AC145" s="311"/>
      <c r="AD145" s="311"/>
      <c r="AE145" s="311"/>
      <c r="AF145" s="311"/>
      <c r="AG145" s="311"/>
      <c r="AH145" s="311"/>
      <c r="AI145" s="311"/>
      <c r="AJ145" s="311"/>
      <c r="AK145" s="311"/>
      <c r="AL145" s="311"/>
      <c r="AM145" s="311"/>
    </row>
    <row r="146" spans="1:39" ht="15.75" customHeight="1">
      <c r="A146" s="1647"/>
      <c r="B146" s="311"/>
      <c r="C146" s="1647"/>
      <c r="D146" s="2173"/>
      <c r="E146" s="1586"/>
      <c r="F146" s="1954"/>
      <c r="G146" s="1586"/>
      <c r="H146" s="1586"/>
      <c r="I146" s="1647"/>
      <c r="J146" s="1647"/>
      <c r="K146" s="1647"/>
      <c r="L146" s="1586"/>
      <c r="M146" s="836"/>
      <c r="N146" s="836"/>
      <c r="O146" s="836"/>
      <c r="P146" s="836"/>
      <c r="Q146" s="836"/>
      <c r="R146" s="309"/>
      <c r="S146" s="309"/>
      <c r="T146" s="309"/>
      <c r="U146" s="309"/>
      <c r="V146" s="311"/>
      <c r="W146" s="311"/>
      <c r="X146" s="1647"/>
      <c r="Y146" s="311"/>
      <c r="Z146" s="311"/>
      <c r="AA146" s="311"/>
      <c r="AB146" s="311"/>
      <c r="AC146" s="311"/>
      <c r="AD146" s="311"/>
      <c r="AE146" s="311"/>
      <c r="AF146" s="311"/>
      <c r="AG146" s="311"/>
      <c r="AH146" s="311"/>
      <c r="AI146" s="311"/>
      <c r="AJ146" s="311"/>
      <c r="AK146" s="311"/>
      <c r="AL146" s="311"/>
      <c r="AM146" s="311"/>
    </row>
    <row r="147" spans="1:39" ht="15.75" customHeight="1">
      <c r="A147" s="1647"/>
      <c r="B147" s="311"/>
      <c r="C147" s="1647"/>
      <c r="D147" s="2173"/>
      <c r="E147" s="1586"/>
      <c r="F147" s="1954"/>
      <c r="G147" s="1586"/>
      <c r="H147" s="1586"/>
      <c r="I147" s="1647"/>
      <c r="J147" s="1647"/>
      <c r="K147" s="1647"/>
      <c r="L147" s="1586"/>
      <c r="M147" s="836"/>
      <c r="N147" s="836"/>
      <c r="O147" s="836"/>
      <c r="P147" s="836"/>
      <c r="Q147" s="836"/>
      <c r="R147" s="309"/>
      <c r="S147" s="309"/>
      <c r="T147" s="309"/>
      <c r="U147" s="309"/>
      <c r="V147" s="311"/>
      <c r="W147" s="311"/>
      <c r="X147" s="1647"/>
      <c r="Y147" s="311"/>
      <c r="Z147" s="311"/>
      <c r="AA147" s="311"/>
      <c r="AB147" s="311"/>
      <c r="AC147" s="311"/>
      <c r="AD147" s="311"/>
      <c r="AE147" s="311"/>
      <c r="AF147" s="311"/>
      <c r="AG147" s="311"/>
      <c r="AH147" s="311"/>
      <c r="AI147" s="311"/>
      <c r="AJ147" s="311"/>
      <c r="AK147" s="311"/>
      <c r="AL147" s="311"/>
      <c r="AM147" s="311"/>
    </row>
    <row r="148" spans="1:39" ht="15.75" customHeight="1">
      <c r="A148" s="1647"/>
      <c r="B148" s="311"/>
      <c r="C148" s="1647"/>
      <c r="D148" s="2173"/>
      <c r="E148" s="1586"/>
      <c r="F148" s="1954"/>
      <c r="G148" s="1586"/>
      <c r="H148" s="1586"/>
      <c r="I148" s="1647"/>
      <c r="J148" s="1647"/>
      <c r="K148" s="1647"/>
      <c r="L148" s="1586"/>
      <c r="M148" s="836"/>
      <c r="N148" s="836"/>
      <c r="O148" s="836"/>
      <c r="P148" s="836"/>
      <c r="Q148" s="836"/>
      <c r="R148" s="309"/>
      <c r="S148" s="309"/>
      <c r="T148" s="309"/>
      <c r="U148" s="309"/>
      <c r="V148" s="311"/>
      <c r="W148" s="311"/>
      <c r="X148" s="1647"/>
      <c r="Y148" s="311"/>
      <c r="Z148" s="311"/>
      <c r="AA148" s="311"/>
      <c r="AB148" s="311"/>
      <c r="AC148" s="311"/>
      <c r="AD148" s="311"/>
      <c r="AE148" s="311"/>
      <c r="AF148" s="311"/>
      <c r="AG148" s="311"/>
      <c r="AH148" s="311"/>
      <c r="AI148" s="311"/>
      <c r="AJ148" s="311"/>
      <c r="AK148" s="311"/>
      <c r="AL148" s="311"/>
      <c r="AM148" s="311"/>
    </row>
    <row r="149" spans="1:39" ht="15.75" customHeight="1">
      <c r="A149" s="1647"/>
      <c r="B149" s="311"/>
      <c r="C149" s="1647"/>
      <c r="D149" s="2173"/>
      <c r="E149" s="1586"/>
      <c r="F149" s="1954"/>
      <c r="G149" s="1586"/>
      <c r="H149" s="1586"/>
      <c r="I149" s="1647"/>
      <c r="J149" s="1647"/>
      <c r="K149" s="1647"/>
      <c r="L149" s="1586"/>
      <c r="M149" s="836"/>
      <c r="N149" s="836"/>
      <c r="O149" s="836"/>
      <c r="P149" s="836"/>
      <c r="Q149" s="836"/>
      <c r="R149" s="309"/>
      <c r="S149" s="309"/>
      <c r="T149" s="309"/>
      <c r="U149" s="309"/>
      <c r="V149" s="311"/>
      <c r="W149" s="311"/>
      <c r="X149" s="1647"/>
      <c r="Y149" s="311"/>
      <c r="Z149" s="311"/>
      <c r="AA149" s="311"/>
      <c r="AB149" s="311"/>
      <c r="AC149" s="311"/>
      <c r="AD149" s="311"/>
      <c r="AE149" s="311"/>
      <c r="AF149" s="311"/>
      <c r="AG149" s="311"/>
      <c r="AH149" s="311"/>
      <c r="AI149" s="311"/>
      <c r="AJ149" s="311"/>
      <c r="AK149" s="311"/>
      <c r="AL149" s="311"/>
      <c r="AM149" s="311"/>
    </row>
    <row r="150" spans="1:39" ht="15.75" customHeight="1">
      <c r="A150" s="1647"/>
      <c r="B150" s="311"/>
      <c r="C150" s="1647"/>
      <c r="D150" s="2173"/>
      <c r="E150" s="1586"/>
      <c r="F150" s="1954"/>
      <c r="G150" s="1586"/>
      <c r="H150" s="1586"/>
      <c r="I150" s="1647"/>
      <c r="J150" s="1647"/>
      <c r="K150" s="1647"/>
      <c r="L150" s="1586"/>
      <c r="M150" s="836"/>
      <c r="N150" s="836"/>
      <c r="O150" s="836"/>
      <c r="P150" s="836"/>
      <c r="Q150" s="836"/>
      <c r="R150" s="309"/>
      <c r="S150" s="309"/>
      <c r="T150" s="309"/>
      <c r="U150" s="309"/>
      <c r="V150" s="311"/>
      <c r="W150" s="311"/>
      <c r="X150" s="1647"/>
      <c r="Y150" s="311"/>
      <c r="Z150" s="311"/>
      <c r="AA150" s="311"/>
      <c r="AB150" s="311"/>
      <c r="AC150" s="311"/>
      <c r="AD150" s="311"/>
      <c r="AE150" s="311"/>
      <c r="AF150" s="311"/>
      <c r="AG150" s="311"/>
      <c r="AH150" s="311"/>
      <c r="AI150" s="311"/>
      <c r="AJ150" s="311"/>
      <c r="AK150" s="311"/>
      <c r="AL150" s="311"/>
      <c r="AM150" s="311"/>
    </row>
    <row r="151" spans="1:39" ht="15.75" customHeight="1">
      <c r="A151" s="1647"/>
      <c r="B151" s="311"/>
      <c r="C151" s="1647"/>
      <c r="D151" s="2173"/>
      <c r="E151" s="1586"/>
      <c r="F151" s="1954"/>
      <c r="G151" s="1586"/>
      <c r="H151" s="1586"/>
      <c r="I151" s="1647"/>
      <c r="J151" s="1647"/>
      <c r="K151" s="1647"/>
      <c r="L151" s="1586"/>
      <c r="M151" s="836"/>
      <c r="N151" s="836"/>
      <c r="O151" s="836"/>
      <c r="P151" s="836"/>
      <c r="Q151" s="836"/>
      <c r="R151" s="309"/>
      <c r="S151" s="309"/>
      <c r="T151" s="309"/>
      <c r="U151" s="309"/>
      <c r="V151" s="311"/>
      <c r="W151" s="311"/>
      <c r="X151" s="1647"/>
      <c r="Y151" s="311"/>
      <c r="Z151" s="311"/>
      <c r="AA151" s="311"/>
      <c r="AB151" s="311"/>
      <c r="AC151" s="311"/>
      <c r="AD151" s="311"/>
      <c r="AE151" s="311"/>
      <c r="AF151" s="311"/>
      <c r="AG151" s="311"/>
      <c r="AH151" s="311"/>
      <c r="AI151" s="311"/>
      <c r="AJ151" s="311"/>
      <c r="AK151" s="311"/>
      <c r="AL151" s="311"/>
      <c r="AM151" s="311"/>
    </row>
    <row r="152" spans="1:39" ht="15.75" customHeight="1">
      <c r="A152" s="1647"/>
      <c r="B152" s="311"/>
      <c r="C152" s="1647"/>
      <c r="D152" s="2173"/>
      <c r="E152" s="1586"/>
      <c r="F152" s="1954"/>
      <c r="G152" s="1586"/>
      <c r="H152" s="1586"/>
      <c r="I152" s="1647"/>
      <c r="J152" s="1647"/>
      <c r="K152" s="1647"/>
      <c r="L152" s="1586"/>
      <c r="M152" s="836"/>
      <c r="N152" s="836"/>
      <c r="O152" s="836"/>
      <c r="P152" s="836"/>
      <c r="Q152" s="836"/>
      <c r="R152" s="309"/>
      <c r="S152" s="309"/>
      <c r="T152" s="309"/>
      <c r="U152" s="309"/>
      <c r="V152" s="311"/>
      <c r="W152" s="311"/>
      <c r="X152" s="1647"/>
      <c r="Y152" s="311"/>
      <c r="Z152" s="311"/>
      <c r="AA152" s="311"/>
      <c r="AB152" s="311"/>
      <c r="AC152" s="311"/>
      <c r="AD152" s="311"/>
      <c r="AE152" s="311"/>
      <c r="AF152" s="311"/>
      <c r="AG152" s="311"/>
      <c r="AH152" s="311"/>
      <c r="AI152" s="311"/>
      <c r="AJ152" s="311"/>
      <c r="AK152" s="311"/>
      <c r="AL152" s="311"/>
      <c r="AM152" s="311"/>
    </row>
    <row r="153" spans="1:39" ht="15.75" customHeight="1">
      <c r="A153" s="1647"/>
      <c r="B153" s="311"/>
      <c r="C153" s="1647"/>
      <c r="D153" s="2173"/>
      <c r="E153" s="1586"/>
      <c r="F153" s="1954"/>
      <c r="G153" s="1586"/>
      <c r="H153" s="1586"/>
      <c r="I153" s="1647"/>
      <c r="J153" s="1647"/>
      <c r="K153" s="1647"/>
      <c r="L153" s="1586"/>
      <c r="M153" s="836"/>
      <c r="N153" s="836"/>
      <c r="O153" s="836"/>
      <c r="P153" s="836"/>
      <c r="Q153" s="836"/>
      <c r="R153" s="309"/>
      <c r="S153" s="309"/>
      <c r="T153" s="309"/>
      <c r="U153" s="309"/>
      <c r="V153" s="311"/>
      <c r="W153" s="311"/>
      <c r="X153" s="1647"/>
      <c r="Y153" s="311"/>
      <c r="Z153" s="311"/>
      <c r="AA153" s="311"/>
      <c r="AB153" s="311"/>
      <c r="AC153" s="311"/>
      <c r="AD153" s="311"/>
      <c r="AE153" s="311"/>
      <c r="AF153" s="311"/>
      <c r="AG153" s="311"/>
      <c r="AH153" s="311"/>
      <c r="AI153" s="311"/>
      <c r="AJ153" s="311"/>
      <c r="AK153" s="311"/>
      <c r="AL153" s="311"/>
      <c r="AM153" s="311"/>
    </row>
    <row r="154" spans="1:39" ht="15.75" customHeight="1">
      <c r="A154" s="1647"/>
      <c r="B154" s="311"/>
      <c r="C154" s="1647"/>
      <c r="D154" s="2173"/>
      <c r="E154" s="1586"/>
      <c r="F154" s="1954"/>
      <c r="G154" s="1586"/>
      <c r="H154" s="1586"/>
      <c r="I154" s="1647"/>
      <c r="J154" s="1647"/>
      <c r="K154" s="1647"/>
      <c r="L154" s="1586"/>
      <c r="M154" s="836"/>
      <c r="N154" s="836"/>
      <c r="O154" s="836"/>
      <c r="P154" s="836"/>
      <c r="Q154" s="836"/>
      <c r="R154" s="309"/>
      <c r="S154" s="309"/>
      <c r="T154" s="309"/>
      <c r="U154" s="309"/>
      <c r="V154" s="311"/>
      <c r="W154" s="311"/>
      <c r="X154" s="1647"/>
      <c r="Y154" s="311"/>
      <c r="Z154" s="311"/>
      <c r="AA154" s="311"/>
      <c r="AB154" s="311"/>
      <c r="AC154" s="311"/>
      <c r="AD154" s="311"/>
      <c r="AE154" s="311"/>
      <c r="AF154" s="311"/>
      <c r="AG154" s="311"/>
      <c r="AH154" s="311"/>
      <c r="AI154" s="311"/>
      <c r="AJ154" s="311"/>
      <c r="AK154" s="311"/>
      <c r="AL154" s="311"/>
      <c r="AM154" s="311"/>
    </row>
    <row r="155" spans="1:39" ht="15.75" customHeight="1">
      <c r="A155" s="1647"/>
      <c r="B155" s="311"/>
      <c r="C155" s="1647"/>
      <c r="D155" s="2173"/>
      <c r="E155" s="1586"/>
      <c r="F155" s="1954"/>
      <c r="G155" s="1586"/>
      <c r="H155" s="1586"/>
      <c r="I155" s="1647"/>
      <c r="J155" s="1647"/>
      <c r="K155" s="1647"/>
      <c r="L155" s="1586"/>
      <c r="M155" s="836"/>
      <c r="N155" s="836"/>
      <c r="O155" s="836"/>
      <c r="P155" s="836"/>
      <c r="Q155" s="836"/>
      <c r="R155" s="309"/>
      <c r="S155" s="309"/>
      <c r="T155" s="309"/>
      <c r="U155" s="309"/>
      <c r="V155" s="311"/>
      <c r="W155" s="311"/>
      <c r="X155" s="1647"/>
      <c r="Y155" s="311"/>
      <c r="Z155" s="311"/>
      <c r="AA155" s="311"/>
      <c r="AB155" s="311"/>
      <c r="AC155" s="311"/>
      <c r="AD155" s="311"/>
      <c r="AE155" s="311"/>
      <c r="AF155" s="311"/>
      <c r="AG155" s="311"/>
      <c r="AH155" s="311"/>
      <c r="AI155" s="311"/>
      <c r="AJ155" s="311"/>
      <c r="AK155" s="311"/>
      <c r="AL155" s="311"/>
      <c r="AM155" s="311"/>
    </row>
    <row r="156" spans="1:39" ht="15.75" customHeight="1">
      <c r="A156" s="1647"/>
      <c r="B156" s="311"/>
      <c r="C156" s="1647"/>
      <c r="D156" s="2173"/>
      <c r="E156" s="1586"/>
      <c r="F156" s="1954"/>
      <c r="G156" s="1586"/>
      <c r="H156" s="1586"/>
      <c r="I156" s="1647"/>
      <c r="J156" s="1647"/>
      <c r="K156" s="1647"/>
      <c r="L156" s="1586"/>
      <c r="M156" s="836"/>
      <c r="N156" s="836"/>
      <c r="O156" s="836"/>
      <c r="P156" s="836"/>
      <c r="Q156" s="836"/>
      <c r="R156" s="309"/>
      <c r="S156" s="309"/>
      <c r="T156" s="309"/>
      <c r="U156" s="309"/>
      <c r="V156" s="311"/>
      <c r="W156" s="311"/>
      <c r="X156" s="1647"/>
      <c r="Y156" s="311"/>
      <c r="Z156" s="311"/>
      <c r="AA156" s="311"/>
      <c r="AB156" s="311"/>
      <c r="AC156" s="311"/>
      <c r="AD156" s="311"/>
      <c r="AE156" s="311"/>
      <c r="AF156" s="311"/>
      <c r="AG156" s="311"/>
      <c r="AH156" s="311"/>
      <c r="AI156" s="311"/>
      <c r="AJ156" s="311"/>
      <c r="AK156" s="311"/>
      <c r="AL156" s="311"/>
      <c r="AM156" s="311"/>
    </row>
    <row r="157" spans="1:39" ht="15.75" customHeight="1">
      <c r="A157" s="1647"/>
      <c r="B157" s="311"/>
      <c r="C157" s="1647"/>
      <c r="D157" s="2173"/>
      <c r="E157" s="1586"/>
      <c r="F157" s="1954"/>
      <c r="G157" s="1586"/>
      <c r="H157" s="1586"/>
      <c r="I157" s="1647"/>
      <c r="J157" s="1647"/>
      <c r="K157" s="1647"/>
      <c r="L157" s="1586"/>
      <c r="M157" s="836"/>
      <c r="N157" s="836"/>
      <c r="O157" s="836"/>
      <c r="P157" s="836"/>
      <c r="Q157" s="836"/>
      <c r="R157" s="309"/>
      <c r="S157" s="309"/>
      <c r="T157" s="309"/>
      <c r="U157" s="309"/>
      <c r="V157" s="311"/>
      <c r="W157" s="311"/>
      <c r="X157" s="1647"/>
      <c r="Y157" s="311"/>
      <c r="Z157" s="311"/>
      <c r="AA157" s="311"/>
      <c r="AB157" s="311"/>
      <c r="AC157" s="311"/>
      <c r="AD157" s="311"/>
      <c r="AE157" s="311"/>
      <c r="AF157" s="311"/>
      <c r="AG157" s="311"/>
      <c r="AH157" s="311"/>
      <c r="AI157" s="311"/>
      <c r="AJ157" s="311"/>
      <c r="AK157" s="311"/>
      <c r="AL157" s="311"/>
      <c r="AM157" s="311"/>
    </row>
    <row r="158" spans="1:39" ht="15.75" customHeight="1">
      <c r="A158" s="1647"/>
      <c r="B158" s="311"/>
      <c r="C158" s="1647"/>
      <c r="D158" s="2173"/>
      <c r="E158" s="1586"/>
      <c r="F158" s="1954"/>
      <c r="G158" s="1586"/>
      <c r="H158" s="1586"/>
      <c r="I158" s="1647"/>
      <c r="J158" s="1647"/>
      <c r="K158" s="1647"/>
      <c r="L158" s="1586"/>
      <c r="M158" s="836"/>
      <c r="N158" s="836"/>
      <c r="O158" s="836"/>
      <c r="P158" s="836"/>
      <c r="Q158" s="836"/>
      <c r="R158" s="309"/>
      <c r="S158" s="309"/>
      <c r="T158" s="309"/>
      <c r="U158" s="309"/>
      <c r="V158" s="311"/>
      <c r="W158" s="311"/>
      <c r="X158" s="1647"/>
      <c r="Y158" s="311"/>
      <c r="Z158" s="311"/>
      <c r="AA158" s="311"/>
      <c r="AB158" s="311"/>
      <c r="AC158" s="311"/>
      <c r="AD158" s="311"/>
      <c r="AE158" s="311"/>
      <c r="AF158" s="311"/>
      <c r="AG158" s="311"/>
      <c r="AH158" s="311"/>
      <c r="AI158" s="311"/>
      <c r="AJ158" s="311"/>
      <c r="AK158" s="311"/>
      <c r="AL158" s="311"/>
      <c r="AM158" s="311"/>
    </row>
    <row r="159" spans="1:39" ht="15.75" customHeight="1">
      <c r="A159" s="1647"/>
      <c r="B159" s="311"/>
      <c r="C159" s="1647"/>
      <c r="D159" s="2173"/>
      <c r="E159" s="1586"/>
      <c r="F159" s="1954"/>
      <c r="G159" s="1586"/>
      <c r="H159" s="1586"/>
      <c r="I159" s="1647"/>
      <c r="J159" s="1647"/>
      <c r="K159" s="1647"/>
      <c r="L159" s="1586"/>
      <c r="M159" s="836"/>
      <c r="N159" s="836"/>
      <c r="O159" s="836"/>
      <c r="P159" s="836"/>
      <c r="Q159" s="836"/>
      <c r="R159" s="309"/>
      <c r="S159" s="309"/>
      <c r="T159" s="309"/>
      <c r="U159" s="309"/>
      <c r="V159" s="311"/>
      <c r="W159" s="311"/>
      <c r="X159" s="1647"/>
      <c r="Y159" s="311"/>
      <c r="Z159" s="311"/>
      <c r="AA159" s="311"/>
      <c r="AB159" s="311"/>
      <c r="AC159" s="311"/>
      <c r="AD159" s="311"/>
      <c r="AE159" s="311"/>
      <c r="AF159" s="311"/>
      <c r="AG159" s="311"/>
      <c r="AH159" s="311"/>
      <c r="AI159" s="311"/>
      <c r="AJ159" s="311"/>
      <c r="AK159" s="311"/>
      <c r="AL159" s="311"/>
      <c r="AM159" s="311"/>
    </row>
    <row r="160" spans="1:39" ht="15.75" customHeight="1">
      <c r="A160" s="1647"/>
      <c r="B160" s="311"/>
      <c r="C160" s="1647"/>
      <c r="D160" s="2173"/>
      <c r="E160" s="1586"/>
      <c r="F160" s="1954"/>
      <c r="G160" s="1586"/>
      <c r="H160" s="1586"/>
      <c r="I160" s="1647"/>
      <c r="J160" s="1647"/>
      <c r="K160" s="1647"/>
      <c r="L160" s="1586"/>
      <c r="M160" s="836"/>
      <c r="N160" s="836"/>
      <c r="O160" s="836"/>
      <c r="P160" s="836"/>
      <c r="Q160" s="836"/>
      <c r="R160" s="309"/>
      <c r="S160" s="309"/>
      <c r="T160" s="309"/>
      <c r="U160" s="309"/>
      <c r="V160" s="311"/>
      <c r="W160" s="311"/>
      <c r="X160" s="1647"/>
      <c r="Y160" s="311"/>
      <c r="Z160" s="311"/>
      <c r="AA160" s="311"/>
      <c r="AB160" s="311"/>
      <c r="AC160" s="311"/>
      <c r="AD160" s="311"/>
      <c r="AE160" s="311"/>
      <c r="AF160" s="311"/>
      <c r="AG160" s="311"/>
      <c r="AH160" s="311"/>
      <c r="AI160" s="311"/>
      <c r="AJ160" s="311"/>
      <c r="AK160" s="311"/>
      <c r="AL160" s="311"/>
      <c r="AM160" s="311"/>
    </row>
    <row r="161" spans="1:39" ht="15.75" customHeight="1">
      <c r="A161" s="1647"/>
      <c r="B161" s="311"/>
      <c r="C161" s="1647"/>
      <c r="D161" s="2173"/>
      <c r="E161" s="1586"/>
      <c r="F161" s="1954"/>
      <c r="G161" s="1586"/>
      <c r="H161" s="1586"/>
      <c r="I161" s="1647"/>
      <c r="J161" s="1647"/>
      <c r="K161" s="1647"/>
      <c r="L161" s="1586"/>
      <c r="M161" s="836"/>
      <c r="N161" s="836"/>
      <c r="O161" s="836"/>
      <c r="P161" s="836"/>
      <c r="Q161" s="836"/>
      <c r="R161" s="309"/>
      <c r="S161" s="309"/>
      <c r="T161" s="309"/>
      <c r="U161" s="309"/>
      <c r="V161" s="311"/>
      <c r="W161" s="311"/>
      <c r="X161" s="1647"/>
      <c r="Y161" s="311"/>
      <c r="Z161" s="311"/>
      <c r="AA161" s="311"/>
      <c r="AB161" s="311"/>
      <c r="AC161" s="311"/>
      <c r="AD161" s="311"/>
      <c r="AE161" s="311"/>
      <c r="AF161" s="311"/>
      <c r="AG161" s="311"/>
      <c r="AH161" s="311"/>
      <c r="AI161" s="311"/>
      <c r="AJ161" s="311"/>
      <c r="AK161" s="311"/>
      <c r="AL161" s="311"/>
      <c r="AM161" s="311"/>
    </row>
    <row r="162" spans="1:39" ht="15.75" customHeight="1">
      <c r="A162" s="1647"/>
      <c r="B162" s="311"/>
      <c r="C162" s="1647"/>
      <c r="D162" s="2173"/>
      <c r="E162" s="1586"/>
      <c r="F162" s="1954"/>
      <c r="G162" s="1586"/>
      <c r="H162" s="1586"/>
      <c r="I162" s="1647"/>
      <c r="J162" s="1647"/>
      <c r="K162" s="1647"/>
      <c r="L162" s="1586"/>
      <c r="M162" s="836"/>
      <c r="N162" s="836"/>
      <c r="O162" s="836"/>
      <c r="P162" s="836"/>
      <c r="Q162" s="836"/>
      <c r="R162" s="309"/>
      <c r="S162" s="309"/>
      <c r="T162" s="309"/>
      <c r="U162" s="309"/>
      <c r="V162" s="311"/>
      <c r="W162" s="311"/>
      <c r="X162" s="1647"/>
      <c r="Y162" s="311"/>
      <c r="Z162" s="311"/>
      <c r="AA162" s="311"/>
      <c r="AB162" s="311"/>
      <c r="AC162" s="311"/>
      <c r="AD162" s="311"/>
      <c r="AE162" s="311"/>
      <c r="AF162" s="311"/>
      <c r="AG162" s="311"/>
      <c r="AH162" s="311"/>
      <c r="AI162" s="311"/>
      <c r="AJ162" s="311"/>
      <c r="AK162" s="311"/>
      <c r="AL162" s="311"/>
      <c r="AM162" s="311"/>
    </row>
    <row r="163" spans="1:39" ht="15.75" customHeight="1">
      <c r="A163" s="1647"/>
      <c r="B163" s="311"/>
      <c r="C163" s="1647"/>
      <c r="D163" s="2173"/>
      <c r="E163" s="1586"/>
      <c r="F163" s="1954"/>
      <c r="G163" s="1586"/>
      <c r="H163" s="1586"/>
      <c r="I163" s="1647"/>
      <c r="J163" s="1647"/>
      <c r="K163" s="1647"/>
      <c r="L163" s="1586"/>
      <c r="M163" s="836"/>
      <c r="N163" s="836"/>
      <c r="O163" s="836"/>
      <c r="P163" s="836"/>
      <c r="Q163" s="836"/>
      <c r="R163" s="309"/>
      <c r="S163" s="309"/>
      <c r="T163" s="309"/>
      <c r="U163" s="309"/>
      <c r="V163" s="311"/>
      <c r="W163" s="311"/>
      <c r="X163" s="1647"/>
      <c r="Y163" s="311"/>
      <c r="Z163" s="311"/>
      <c r="AA163" s="311"/>
      <c r="AB163" s="311"/>
      <c r="AC163" s="311"/>
      <c r="AD163" s="311"/>
      <c r="AE163" s="311"/>
      <c r="AF163" s="311"/>
      <c r="AG163" s="311"/>
      <c r="AH163" s="311"/>
      <c r="AI163" s="311"/>
      <c r="AJ163" s="311"/>
      <c r="AK163" s="311"/>
      <c r="AL163" s="311"/>
      <c r="AM163" s="311"/>
    </row>
    <row r="164" spans="1:39" ht="15.75" customHeight="1">
      <c r="A164" s="1647"/>
      <c r="B164" s="311"/>
      <c r="C164" s="1647"/>
      <c r="D164" s="2173"/>
      <c r="E164" s="1586"/>
      <c r="F164" s="1954"/>
      <c r="G164" s="1586"/>
      <c r="H164" s="1586"/>
      <c r="I164" s="1647"/>
      <c r="J164" s="1647"/>
      <c r="K164" s="1647"/>
      <c r="L164" s="1586"/>
      <c r="M164" s="836"/>
      <c r="N164" s="836"/>
      <c r="O164" s="836"/>
      <c r="P164" s="836"/>
      <c r="Q164" s="836"/>
      <c r="R164" s="309"/>
      <c r="S164" s="309"/>
      <c r="T164" s="309"/>
      <c r="U164" s="309"/>
      <c r="V164" s="311"/>
      <c r="W164" s="311"/>
      <c r="X164" s="1647"/>
      <c r="Y164" s="311"/>
      <c r="Z164" s="311"/>
      <c r="AA164" s="311"/>
      <c r="AB164" s="311"/>
      <c r="AC164" s="311"/>
      <c r="AD164" s="311"/>
      <c r="AE164" s="311"/>
      <c r="AF164" s="311"/>
      <c r="AG164" s="311"/>
      <c r="AH164" s="311"/>
      <c r="AI164" s="311"/>
      <c r="AJ164" s="311"/>
      <c r="AK164" s="311"/>
      <c r="AL164" s="311"/>
      <c r="AM164" s="311"/>
    </row>
    <row r="165" spans="1:39" ht="15.75" customHeight="1">
      <c r="A165" s="1647"/>
      <c r="B165" s="311"/>
      <c r="C165" s="1647"/>
      <c r="D165" s="2173"/>
      <c r="E165" s="1586"/>
      <c r="F165" s="1954"/>
      <c r="G165" s="1586"/>
      <c r="H165" s="1586"/>
      <c r="I165" s="1647"/>
      <c r="J165" s="1647"/>
      <c r="K165" s="1647"/>
      <c r="L165" s="1586"/>
      <c r="M165" s="836"/>
      <c r="N165" s="836"/>
      <c r="O165" s="836"/>
      <c r="P165" s="836"/>
      <c r="Q165" s="836"/>
      <c r="R165" s="309"/>
      <c r="S165" s="309"/>
      <c r="T165" s="309"/>
      <c r="U165" s="309"/>
      <c r="V165" s="311"/>
      <c r="W165" s="311"/>
      <c r="X165" s="1647"/>
      <c r="Y165" s="311"/>
      <c r="Z165" s="311"/>
      <c r="AA165" s="311"/>
      <c r="AB165" s="311"/>
      <c r="AC165" s="311"/>
      <c r="AD165" s="311"/>
      <c r="AE165" s="311"/>
      <c r="AF165" s="311"/>
      <c r="AG165" s="311"/>
      <c r="AH165" s="311"/>
      <c r="AI165" s="311"/>
      <c r="AJ165" s="311"/>
      <c r="AK165" s="311"/>
      <c r="AL165" s="311"/>
      <c r="AM165" s="311"/>
    </row>
    <row r="166" spans="1:39" ht="15.75" customHeight="1">
      <c r="A166" s="1647"/>
      <c r="B166" s="311"/>
      <c r="C166" s="1647"/>
      <c r="D166" s="2173"/>
      <c r="E166" s="1586"/>
      <c r="F166" s="1954"/>
      <c r="G166" s="1586"/>
      <c r="H166" s="1586"/>
      <c r="I166" s="1647"/>
      <c r="J166" s="1647"/>
      <c r="K166" s="1647"/>
      <c r="L166" s="1586"/>
      <c r="M166" s="836"/>
      <c r="N166" s="836"/>
      <c r="O166" s="836"/>
      <c r="P166" s="836"/>
      <c r="Q166" s="836"/>
      <c r="R166" s="309"/>
      <c r="S166" s="309"/>
      <c r="T166" s="309"/>
      <c r="U166" s="309"/>
      <c r="V166" s="311"/>
      <c r="W166" s="311"/>
      <c r="X166" s="1647"/>
      <c r="Y166" s="311"/>
      <c r="Z166" s="311"/>
      <c r="AA166" s="311"/>
      <c r="AB166" s="311"/>
      <c r="AC166" s="311"/>
      <c r="AD166" s="311"/>
      <c r="AE166" s="311"/>
      <c r="AF166" s="311"/>
      <c r="AG166" s="311"/>
      <c r="AH166" s="311"/>
      <c r="AI166" s="311"/>
      <c r="AJ166" s="311"/>
      <c r="AK166" s="311"/>
      <c r="AL166" s="311"/>
      <c r="AM166" s="311"/>
    </row>
    <row r="167" spans="1:39" ht="15.75" customHeight="1">
      <c r="A167" s="1647"/>
      <c r="B167" s="311"/>
      <c r="C167" s="1647"/>
      <c r="D167" s="2173"/>
      <c r="E167" s="1586"/>
      <c r="F167" s="1954"/>
      <c r="G167" s="1586"/>
      <c r="H167" s="1586"/>
      <c r="I167" s="1647"/>
      <c r="J167" s="1647"/>
      <c r="K167" s="1647"/>
      <c r="L167" s="1586"/>
      <c r="M167" s="836"/>
      <c r="N167" s="836"/>
      <c r="O167" s="836"/>
      <c r="P167" s="836"/>
      <c r="Q167" s="836"/>
      <c r="R167" s="309"/>
      <c r="S167" s="309"/>
      <c r="T167" s="309"/>
      <c r="U167" s="309"/>
      <c r="V167" s="311"/>
      <c r="W167" s="311"/>
      <c r="X167" s="1647"/>
      <c r="Y167" s="311"/>
      <c r="Z167" s="311"/>
      <c r="AA167" s="311"/>
      <c r="AB167" s="311"/>
      <c r="AC167" s="311"/>
      <c r="AD167" s="311"/>
      <c r="AE167" s="311"/>
      <c r="AF167" s="311"/>
      <c r="AG167" s="311"/>
      <c r="AH167" s="311"/>
      <c r="AI167" s="311"/>
      <c r="AJ167" s="311"/>
      <c r="AK167" s="311"/>
      <c r="AL167" s="311"/>
      <c r="AM167" s="311"/>
    </row>
    <row r="168" spans="1:39" ht="15.75" customHeight="1">
      <c r="A168" s="1647"/>
      <c r="B168" s="311"/>
      <c r="C168" s="1647"/>
      <c r="D168" s="2173"/>
      <c r="E168" s="1586"/>
      <c r="F168" s="1954"/>
      <c r="G168" s="1586"/>
      <c r="H168" s="1586"/>
      <c r="I168" s="1647"/>
      <c r="J168" s="1647"/>
      <c r="K168" s="1647"/>
      <c r="L168" s="1586"/>
      <c r="M168" s="836"/>
      <c r="N168" s="836"/>
      <c r="O168" s="836"/>
      <c r="P168" s="836"/>
      <c r="Q168" s="836"/>
      <c r="R168" s="309"/>
      <c r="S168" s="309"/>
      <c r="T168" s="309"/>
      <c r="U168" s="309"/>
      <c r="V168" s="311"/>
      <c r="W168" s="311"/>
      <c r="X168" s="1647"/>
      <c r="Y168" s="311"/>
      <c r="Z168" s="311"/>
      <c r="AA168" s="311"/>
      <c r="AB168" s="311"/>
      <c r="AC168" s="311"/>
      <c r="AD168" s="311"/>
      <c r="AE168" s="311"/>
      <c r="AF168" s="311"/>
      <c r="AG168" s="311"/>
      <c r="AH168" s="311"/>
      <c r="AI168" s="311"/>
      <c r="AJ168" s="311"/>
      <c r="AK168" s="311"/>
      <c r="AL168" s="311"/>
      <c r="AM168" s="311"/>
    </row>
    <row r="169" spans="1:39" ht="15.75" customHeight="1">
      <c r="A169" s="1647"/>
      <c r="B169" s="311"/>
      <c r="C169" s="1647"/>
      <c r="D169" s="2173"/>
      <c r="E169" s="1586"/>
      <c r="F169" s="1954"/>
      <c r="G169" s="1586"/>
      <c r="H169" s="1586"/>
      <c r="I169" s="1647"/>
      <c r="J169" s="1647"/>
      <c r="K169" s="1647"/>
      <c r="L169" s="1586"/>
      <c r="M169" s="836"/>
      <c r="N169" s="836"/>
      <c r="O169" s="836"/>
      <c r="P169" s="836"/>
      <c r="Q169" s="836"/>
      <c r="R169" s="309"/>
      <c r="S169" s="309"/>
      <c r="T169" s="309"/>
      <c r="U169" s="309"/>
      <c r="V169" s="311"/>
      <c r="W169" s="311"/>
      <c r="X169" s="1647"/>
      <c r="Y169" s="311"/>
      <c r="Z169" s="311"/>
      <c r="AA169" s="311"/>
      <c r="AB169" s="311"/>
      <c r="AC169" s="311"/>
      <c r="AD169" s="311"/>
      <c r="AE169" s="311"/>
      <c r="AF169" s="311"/>
      <c r="AG169" s="311"/>
      <c r="AH169" s="311"/>
      <c r="AI169" s="311"/>
      <c r="AJ169" s="311"/>
      <c r="AK169" s="311"/>
      <c r="AL169" s="311"/>
      <c r="AM169" s="311"/>
    </row>
    <row r="170" spans="1:39" ht="15.75" customHeight="1">
      <c r="A170" s="1647"/>
      <c r="B170" s="311"/>
      <c r="C170" s="1647"/>
      <c r="D170" s="2173"/>
      <c r="E170" s="1586"/>
      <c r="F170" s="1954"/>
      <c r="G170" s="1586"/>
      <c r="H170" s="1586"/>
      <c r="I170" s="1647"/>
      <c r="J170" s="1647"/>
      <c r="K170" s="1647"/>
      <c r="L170" s="1586"/>
      <c r="M170" s="836"/>
      <c r="N170" s="836"/>
      <c r="O170" s="836"/>
      <c r="P170" s="836"/>
      <c r="Q170" s="836"/>
      <c r="R170" s="309"/>
      <c r="S170" s="309"/>
      <c r="T170" s="309"/>
      <c r="U170" s="309"/>
      <c r="V170" s="311"/>
      <c r="W170" s="311"/>
      <c r="X170" s="1647"/>
      <c r="Y170" s="311"/>
      <c r="Z170" s="311"/>
      <c r="AA170" s="311"/>
      <c r="AB170" s="311"/>
      <c r="AC170" s="311"/>
      <c r="AD170" s="311"/>
      <c r="AE170" s="311"/>
      <c r="AF170" s="311"/>
      <c r="AG170" s="311"/>
      <c r="AH170" s="311"/>
      <c r="AI170" s="311"/>
      <c r="AJ170" s="311"/>
      <c r="AK170" s="311"/>
      <c r="AL170" s="311"/>
      <c r="AM170" s="311"/>
    </row>
    <row r="171" spans="1:39" ht="15.75" customHeight="1">
      <c r="A171" s="1647"/>
      <c r="B171" s="311"/>
      <c r="C171" s="1647"/>
      <c r="D171" s="2173"/>
      <c r="E171" s="1586"/>
      <c r="F171" s="1954"/>
      <c r="G171" s="1586"/>
      <c r="H171" s="1586"/>
      <c r="I171" s="1647"/>
      <c r="J171" s="1647"/>
      <c r="K171" s="1647"/>
      <c r="L171" s="1586"/>
      <c r="M171" s="836"/>
      <c r="N171" s="836"/>
      <c r="O171" s="836"/>
      <c r="P171" s="836"/>
      <c r="Q171" s="836"/>
      <c r="R171" s="309"/>
      <c r="S171" s="309"/>
      <c r="T171" s="309"/>
      <c r="U171" s="309"/>
      <c r="V171" s="311"/>
      <c r="W171" s="311"/>
      <c r="X171" s="1647"/>
      <c r="Y171" s="311"/>
      <c r="Z171" s="311"/>
      <c r="AA171" s="311"/>
      <c r="AB171" s="311"/>
      <c r="AC171" s="311"/>
      <c r="AD171" s="311"/>
      <c r="AE171" s="311"/>
      <c r="AF171" s="311"/>
      <c r="AG171" s="311"/>
      <c r="AH171" s="311"/>
      <c r="AI171" s="311"/>
      <c r="AJ171" s="311"/>
      <c r="AK171" s="311"/>
      <c r="AL171" s="311"/>
      <c r="AM171" s="311"/>
    </row>
    <row r="172" spans="1:39" ht="15.75" customHeight="1">
      <c r="A172" s="1647"/>
      <c r="B172" s="311"/>
      <c r="C172" s="1647"/>
      <c r="D172" s="2173"/>
      <c r="E172" s="1586"/>
      <c r="F172" s="1954"/>
      <c r="G172" s="1586"/>
      <c r="H172" s="1586"/>
      <c r="I172" s="1647"/>
      <c r="J172" s="1647"/>
      <c r="K172" s="1647"/>
      <c r="L172" s="1586"/>
      <c r="M172" s="836"/>
      <c r="N172" s="836"/>
      <c r="O172" s="836"/>
      <c r="P172" s="836"/>
      <c r="Q172" s="836"/>
      <c r="R172" s="309"/>
      <c r="S172" s="309"/>
      <c r="T172" s="309"/>
      <c r="U172" s="309"/>
      <c r="V172" s="311"/>
      <c r="W172" s="311"/>
      <c r="X172" s="1647"/>
      <c r="Y172" s="311"/>
      <c r="Z172" s="311"/>
      <c r="AA172" s="311"/>
      <c r="AB172" s="311"/>
      <c r="AC172" s="311"/>
      <c r="AD172" s="311"/>
      <c r="AE172" s="311"/>
      <c r="AF172" s="311"/>
      <c r="AG172" s="311"/>
      <c r="AH172" s="311"/>
      <c r="AI172" s="311"/>
      <c r="AJ172" s="311"/>
      <c r="AK172" s="311"/>
      <c r="AL172" s="311"/>
      <c r="AM172" s="311"/>
    </row>
    <row r="173" spans="1:39" ht="15.75" customHeight="1">
      <c r="A173" s="1647"/>
      <c r="B173" s="311"/>
      <c r="C173" s="1647"/>
      <c r="D173" s="2173"/>
      <c r="E173" s="1586"/>
      <c r="F173" s="1954"/>
      <c r="G173" s="1586"/>
      <c r="H173" s="1586"/>
      <c r="I173" s="1647"/>
      <c r="J173" s="1647"/>
      <c r="K173" s="1647"/>
      <c r="L173" s="1586"/>
      <c r="M173" s="836"/>
      <c r="N173" s="836"/>
      <c r="O173" s="836"/>
      <c r="P173" s="836"/>
      <c r="Q173" s="836"/>
      <c r="R173" s="309"/>
      <c r="S173" s="309"/>
      <c r="T173" s="309"/>
      <c r="U173" s="309"/>
      <c r="V173" s="311"/>
      <c r="W173" s="311"/>
      <c r="X173" s="1647"/>
      <c r="Y173" s="311"/>
      <c r="Z173" s="311"/>
      <c r="AA173" s="311"/>
      <c r="AB173" s="311"/>
      <c r="AC173" s="311"/>
      <c r="AD173" s="311"/>
      <c r="AE173" s="311"/>
      <c r="AF173" s="311"/>
      <c r="AG173" s="311"/>
      <c r="AH173" s="311"/>
      <c r="AI173" s="311"/>
      <c r="AJ173" s="311"/>
      <c r="AK173" s="311"/>
      <c r="AL173" s="311"/>
      <c r="AM173" s="311"/>
    </row>
    <row r="174" spans="1:39" ht="15.75" customHeight="1">
      <c r="A174" s="1647"/>
      <c r="B174" s="311"/>
      <c r="C174" s="1647"/>
      <c r="D174" s="2173"/>
      <c r="E174" s="1586"/>
      <c r="F174" s="1954"/>
      <c r="G174" s="1586"/>
      <c r="H174" s="1586"/>
      <c r="I174" s="1647"/>
      <c r="J174" s="1647"/>
      <c r="K174" s="1647"/>
      <c r="L174" s="1586"/>
      <c r="M174" s="836"/>
      <c r="N174" s="836"/>
      <c r="O174" s="836"/>
      <c r="P174" s="836"/>
      <c r="Q174" s="836"/>
      <c r="R174" s="309"/>
      <c r="S174" s="309"/>
      <c r="T174" s="309"/>
      <c r="U174" s="309"/>
      <c r="V174" s="311"/>
      <c r="W174" s="311"/>
      <c r="X174" s="1647"/>
      <c r="Y174" s="311"/>
      <c r="Z174" s="311"/>
      <c r="AA174" s="311"/>
      <c r="AB174" s="311"/>
      <c r="AC174" s="311"/>
      <c r="AD174" s="311"/>
      <c r="AE174" s="311"/>
      <c r="AF174" s="311"/>
      <c r="AG174" s="311"/>
      <c r="AH174" s="311"/>
      <c r="AI174" s="311"/>
      <c r="AJ174" s="311"/>
      <c r="AK174" s="311"/>
      <c r="AL174" s="311"/>
      <c r="AM174" s="311"/>
    </row>
    <row r="175" spans="1:39" ht="15.75" customHeight="1">
      <c r="A175" s="1647"/>
      <c r="B175" s="311"/>
      <c r="C175" s="1647"/>
      <c r="D175" s="2173"/>
      <c r="E175" s="1586"/>
      <c r="F175" s="1954"/>
      <c r="G175" s="1586"/>
      <c r="H175" s="1586"/>
      <c r="I175" s="1647"/>
      <c r="J175" s="1647"/>
      <c r="K175" s="1647"/>
      <c r="L175" s="1586"/>
      <c r="M175" s="836"/>
      <c r="N175" s="836"/>
      <c r="O175" s="836"/>
      <c r="P175" s="836"/>
      <c r="Q175" s="836"/>
      <c r="R175" s="309"/>
      <c r="S175" s="309"/>
      <c r="T175" s="309"/>
      <c r="U175" s="309"/>
      <c r="V175" s="311"/>
      <c r="W175" s="311"/>
      <c r="X175" s="1647"/>
      <c r="Y175" s="311"/>
      <c r="Z175" s="311"/>
      <c r="AA175" s="311"/>
      <c r="AB175" s="311"/>
      <c r="AC175" s="311"/>
      <c r="AD175" s="311"/>
      <c r="AE175" s="311"/>
      <c r="AF175" s="311"/>
      <c r="AG175" s="311"/>
      <c r="AH175" s="311"/>
      <c r="AI175" s="311"/>
      <c r="AJ175" s="311"/>
      <c r="AK175" s="311"/>
      <c r="AL175" s="311"/>
      <c r="AM175" s="311"/>
    </row>
    <row r="176" spans="1:39" ht="15.75" customHeight="1">
      <c r="A176" s="1647"/>
      <c r="B176" s="311"/>
      <c r="C176" s="1647"/>
      <c r="D176" s="2173"/>
      <c r="E176" s="1586"/>
      <c r="F176" s="1954"/>
      <c r="G176" s="1586"/>
      <c r="H176" s="1586"/>
      <c r="I176" s="1647"/>
      <c r="J176" s="1647"/>
      <c r="K176" s="1647"/>
      <c r="L176" s="1586"/>
      <c r="M176" s="836"/>
      <c r="N176" s="836"/>
      <c r="O176" s="836"/>
      <c r="P176" s="836"/>
      <c r="Q176" s="836"/>
      <c r="R176" s="309"/>
      <c r="S176" s="309"/>
      <c r="T176" s="309"/>
      <c r="U176" s="309"/>
      <c r="V176" s="311"/>
      <c r="W176" s="311"/>
      <c r="X176" s="1647"/>
      <c r="Y176" s="311"/>
      <c r="Z176" s="311"/>
      <c r="AA176" s="311"/>
      <c r="AB176" s="311"/>
      <c r="AC176" s="311"/>
      <c r="AD176" s="311"/>
      <c r="AE176" s="311"/>
      <c r="AF176" s="311"/>
      <c r="AG176" s="311"/>
      <c r="AH176" s="311"/>
      <c r="AI176" s="311"/>
      <c r="AJ176" s="311"/>
      <c r="AK176" s="311"/>
      <c r="AL176" s="311"/>
      <c r="AM176" s="311"/>
    </row>
    <row r="177" spans="1:39" ht="15.75" customHeight="1">
      <c r="A177" s="1647"/>
      <c r="B177" s="311"/>
      <c r="C177" s="1647"/>
      <c r="D177" s="2173"/>
      <c r="E177" s="1586"/>
      <c r="F177" s="1954"/>
      <c r="G177" s="1586"/>
      <c r="H177" s="1586"/>
      <c r="I177" s="1647"/>
      <c r="J177" s="1647"/>
      <c r="K177" s="1647"/>
      <c r="L177" s="1586"/>
      <c r="M177" s="836"/>
      <c r="N177" s="836"/>
      <c r="O177" s="836"/>
      <c r="P177" s="836"/>
      <c r="Q177" s="836"/>
      <c r="R177" s="309"/>
      <c r="S177" s="309"/>
      <c r="T177" s="309"/>
      <c r="U177" s="309"/>
      <c r="V177" s="311"/>
      <c r="W177" s="311"/>
      <c r="X177" s="1647"/>
      <c r="Y177" s="311"/>
      <c r="Z177" s="311"/>
      <c r="AA177" s="311"/>
      <c r="AB177" s="311"/>
      <c r="AC177" s="311"/>
      <c r="AD177" s="311"/>
      <c r="AE177" s="311"/>
      <c r="AF177" s="311"/>
      <c r="AG177" s="311"/>
      <c r="AH177" s="311"/>
      <c r="AI177" s="311"/>
      <c r="AJ177" s="311"/>
      <c r="AK177" s="311"/>
      <c r="AL177" s="311"/>
      <c r="AM177" s="311"/>
    </row>
    <row r="178" spans="1:39" ht="15.75" customHeight="1">
      <c r="A178" s="1647"/>
      <c r="B178" s="311"/>
      <c r="C178" s="1647"/>
      <c r="D178" s="2173"/>
      <c r="E178" s="1586"/>
      <c r="F178" s="1954"/>
      <c r="G178" s="1586"/>
      <c r="H178" s="1586"/>
      <c r="I178" s="1647"/>
      <c r="J178" s="1647"/>
      <c r="K178" s="1647"/>
      <c r="L178" s="1586"/>
      <c r="M178" s="836"/>
      <c r="N178" s="836"/>
      <c r="O178" s="836"/>
      <c r="P178" s="836"/>
      <c r="Q178" s="836"/>
      <c r="R178" s="309"/>
      <c r="S178" s="309"/>
      <c r="T178" s="309"/>
      <c r="U178" s="309"/>
      <c r="V178" s="311"/>
      <c r="W178" s="311"/>
      <c r="X178" s="1647"/>
      <c r="Y178" s="311"/>
      <c r="Z178" s="311"/>
      <c r="AA178" s="311"/>
      <c r="AB178" s="311"/>
      <c r="AC178" s="311"/>
      <c r="AD178" s="311"/>
      <c r="AE178" s="311"/>
      <c r="AF178" s="311"/>
      <c r="AG178" s="311"/>
      <c r="AH178" s="311"/>
      <c r="AI178" s="311"/>
      <c r="AJ178" s="311"/>
      <c r="AK178" s="311"/>
      <c r="AL178" s="311"/>
      <c r="AM178" s="311"/>
    </row>
    <row r="179" spans="1:39" ht="15.75" customHeight="1">
      <c r="A179" s="1647"/>
      <c r="B179" s="311"/>
      <c r="C179" s="1647"/>
      <c r="D179" s="2173"/>
      <c r="E179" s="1586"/>
      <c r="F179" s="1954"/>
      <c r="G179" s="1586"/>
      <c r="H179" s="1586"/>
      <c r="I179" s="1647"/>
      <c r="J179" s="1647"/>
      <c r="K179" s="1647"/>
      <c r="L179" s="1586"/>
      <c r="M179" s="836"/>
      <c r="N179" s="836"/>
      <c r="O179" s="836"/>
      <c r="P179" s="836"/>
      <c r="Q179" s="836"/>
      <c r="R179" s="309"/>
      <c r="S179" s="309"/>
      <c r="T179" s="309"/>
      <c r="U179" s="309"/>
      <c r="V179" s="311"/>
      <c r="W179" s="311"/>
      <c r="X179" s="1647"/>
      <c r="Y179" s="311"/>
      <c r="Z179" s="311"/>
      <c r="AA179" s="311"/>
      <c r="AB179" s="311"/>
      <c r="AC179" s="311"/>
      <c r="AD179" s="311"/>
      <c r="AE179" s="311"/>
      <c r="AF179" s="311"/>
      <c r="AG179" s="311"/>
      <c r="AH179" s="311"/>
      <c r="AI179" s="311"/>
      <c r="AJ179" s="311"/>
      <c r="AK179" s="311"/>
      <c r="AL179" s="311"/>
      <c r="AM179" s="311"/>
    </row>
    <row r="180" spans="1:39" ht="15.75" customHeight="1">
      <c r="A180" s="1647"/>
      <c r="B180" s="311"/>
      <c r="C180" s="1647"/>
      <c r="D180" s="2173"/>
      <c r="E180" s="1586"/>
      <c r="F180" s="1954"/>
      <c r="G180" s="1586"/>
      <c r="H180" s="1586"/>
      <c r="I180" s="1647"/>
      <c r="J180" s="1647"/>
      <c r="K180" s="1647"/>
      <c r="L180" s="1586"/>
      <c r="M180" s="836"/>
      <c r="N180" s="836"/>
      <c r="O180" s="836"/>
      <c r="P180" s="836"/>
      <c r="Q180" s="836"/>
      <c r="R180" s="309"/>
      <c r="S180" s="309"/>
      <c r="T180" s="309"/>
      <c r="U180" s="309"/>
      <c r="V180" s="311"/>
      <c r="W180" s="311"/>
      <c r="X180" s="1647"/>
      <c r="Y180" s="311"/>
      <c r="Z180" s="311"/>
      <c r="AA180" s="311"/>
      <c r="AB180" s="311"/>
      <c r="AC180" s="311"/>
      <c r="AD180" s="311"/>
      <c r="AE180" s="311"/>
      <c r="AF180" s="311"/>
      <c r="AG180" s="311"/>
      <c r="AH180" s="311"/>
      <c r="AI180" s="311"/>
      <c r="AJ180" s="311"/>
      <c r="AK180" s="311"/>
      <c r="AL180" s="311"/>
      <c r="AM180" s="311"/>
    </row>
    <row r="181" spans="1:39" ht="15.75" customHeight="1">
      <c r="A181" s="1647"/>
      <c r="B181" s="311"/>
      <c r="C181" s="1647"/>
      <c r="D181" s="2173"/>
      <c r="E181" s="1586"/>
      <c r="F181" s="1954"/>
      <c r="G181" s="1586"/>
      <c r="H181" s="1586"/>
      <c r="I181" s="1647"/>
      <c r="J181" s="1647"/>
      <c r="K181" s="1647"/>
      <c r="L181" s="1586"/>
      <c r="M181" s="836"/>
      <c r="N181" s="836"/>
      <c r="O181" s="836"/>
      <c r="P181" s="836"/>
      <c r="Q181" s="836"/>
      <c r="R181" s="309"/>
      <c r="S181" s="309"/>
      <c r="T181" s="309"/>
      <c r="U181" s="309"/>
      <c r="V181" s="311"/>
      <c r="W181" s="311"/>
      <c r="X181" s="1647"/>
      <c r="Y181" s="311"/>
      <c r="Z181" s="311"/>
      <c r="AA181" s="311"/>
      <c r="AB181" s="311"/>
      <c r="AC181" s="311"/>
      <c r="AD181" s="311"/>
      <c r="AE181" s="311"/>
      <c r="AF181" s="311"/>
      <c r="AG181" s="311"/>
      <c r="AH181" s="311"/>
      <c r="AI181" s="311"/>
      <c r="AJ181" s="311"/>
      <c r="AK181" s="311"/>
      <c r="AL181" s="311"/>
      <c r="AM181" s="311"/>
    </row>
    <row r="182" spans="1:39" ht="15.75" customHeight="1">
      <c r="A182" s="1647"/>
      <c r="B182" s="311"/>
      <c r="C182" s="1647"/>
      <c r="D182" s="2173"/>
      <c r="E182" s="1586"/>
      <c r="F182" s="1954"/>
      <c r="G182" s="1586"/>
      <c r="H182" s="1586"/>
      <c r="I182" s="1647"/>
      <c r="J182" s="1647"/>
      <c r="K182" s="1647"/>
      <c r="L182" s="1586"/>
      <c r="M182" s="836"/>
      <c r="N182" s="836"/>
      <c r="O182" s="836"/>
      <c r="P182" s="836"/>
      <c r="Q182" s="836"/>
      <c r="R182" s="309"/>
      <c r="S182" s="309"/>
      <c r="T182" s="309"/>
      <c r="U182" s="309"/>
      <c r="V182" s="311"/>
      <c r="W182" s="311"/>
      <c r="X182" s="1647"/>
      <c r="Y182" s="311"/>
      <c r="Z182" s="311"/>
      <c r="AA182" s="311"/>
      <c r="AB182" s="311"/>
      <c r="AC182" s="311"/>
      <c r="AD182" s="311"/>
      <c r="AE182" s="311"/>
      <c r="AF182" s="311"/>
      <c r="AG182" s="311"/>
      <c r="AH182" s="311"/>
      <c r="AI182" s="311"/>
      <c r="AJ182" s="311"/>
      <c r="AK182" s="311"/>
      <c r="AL182" s="311"/>
      <c r="AM182" s="311"/>
    </row>
    <row r="183" spans="1:39" ht="15.75" customHeight="1">
      <c r="A183" s="1647"/>
      <c r="B183" s="311"/>
      <c r="C183" s="1647"/>
      <c r="D183" s="2173"/>
      <c r="E183" s="1586"/>
      <c r="F183" s="1954"/>
      <c r="G183" s="1586"/>
      <c r="H183" s="1586"/>
      <c r="I183" s="1647"/>
      <c r="J183" s="1647"/>
      <c r="K183" s="1647"/>
      <c r="L183" s="1586"/>
      <c r="M183" s="836"/>
      <c r="N183" s="836"/>
      <c r="O183" s="836"/>
      <c r="P183" s="836"/>
      <c r="Q183" s="836"/>
      <c r="R183" s="309"/>
      <c r="S183" s="309"/>
      <c r="T183" s="309"/>
      <c r="U183" s="309"/>
      <c r="V183" s="311"/>
      <c r="W183" s="311"/>
      <c r="X183" s="1647"/>
      <c r="Y183" s="311"/>
      <c r="Z183" s="311"/>
      <c r="AA183" s="311"/>
      <c r="AB183" s="311"/>
      <c r="AC183" s="311"/>
      <c r="AD183" s="311"/>
      <c r="AE183" s="311"/>
      <c r="AF183" s="311"/>
      <c r="AG183" s="311"/>
      <c r="AH183" s="311"/>
      <c r="AI183" s="311"/>
      <c r="AJ183" s="311"/>
      <c r="AK183" s="311"/>
      <c r="AL183" s="311"/>
      <c r="AM183" s="311"/>
    </row>
    <row r="184" spans="1:39" ht="15.75" customHeight="1">
      <c r="A184" s="1647"/>
      <c r="B184" s="311"/>
      <c r="C184" s="1647"/>
      <c r="D184" s="2173"/>
      <c r="E184" s="1586"/>
      <c r="F184" s="1954"/>
      <c r="G184" s="1586"/>
      <c r="H184" s="1586"/>
      <c r="I184" s="1647"/>
      <c r="J184" s="1647"/>
      <c r="K184" s="1647"/>
      <c r="L184" s="1586"/>
      <c r="M184" s="836"/>
      <c r="N184" s="836"/>
      <c r="O184" s="836"/>
      <c r="P184" s="836"/>
      <c r="Q184" s="836"/>
      <c r="R184" s="309"/>
      <c r="S184" s="309"/>
      <c r="T184" s="309"/>
      <c r="U184" s="309"/>
      <c r="V184" s="311"/>
      <c r="W184" s="311"/>
      <c r="X184" s="1647"/>
      <c r="Y184" s="311"/>
      <c r="Z184" s="311"/>
      <c r="AA184" s="311"/>
      <c r="AB184" s="311"/>
      <c r="AC184" s="311"/>
      <c r="AD184" s="311"/>
      <c r="AE184" s="311"/>
      <c r="AF184" s="311"/>
      <c r="AG184" s="311"/>
      <c r="AH184" s="311"/>
      <c r="AI184" s="311"/>
      <c r="AJ184" s="311"/>
      <c r="AK184" s="311"/>
      <c r="AL184" s="311"/>
      <c r="AM184" s="311"/>
    </row>
    <row r="185" spans="1:39" ht="15.75" customHeight="1">
      <c r="A185" s="1647"/>
      <c r="B185" s="311"/>
      <c r="C185" s="1647"/>
      <c r="D185" s="2173"/>
      <c r="E185" s="1586"/>
      <c r="F185" s="1954"/>
      <c r="G185" s="1586"/>
      <c r="H185" s="1586"/>
      <c r="I185" s="1647"/>
      <c r="J185" s="1647"/>
      <c r="K185" s="1647"/>
      <c r="L185" s="1586"/>
      <c r="M185" s="836"/>
      <c r="N185" s="836"/>
      <c r="O185" s="836"/>
      <c r="P185" s="836"/>
      <c r="Q185" s="836"/>
      <c r="R185" s="309"/>
      <c r="S185" s="309"/>
      <c r="T185" s="309"/>
      <c r="U185" s="309"/>
      <c r="V185" s="311"/>
      <c r="W185" s="311"/>
      <c r="X185" s="1647"/>
      <c r="Y185" s="311"/>
      <c r="Z185" s="311"/>
      <c r="AA185" s="311"/>
      <c r="AB185" s="311"/>
      <c r="AC185" s="311"/>
      <c r="AD185" s="311"/>
      <c r="AE185" s="311"/>
      <c r="AF185" s="311"/>
      <c r="AG185" s="311"/>
      <c r="AH185" s="311"/>
      <c r="AI185" s="311"/>
      <c r="AJ185" s="311"/>
      <c r="AK185" s="311"/>
      <c r="AL185" s="311"/>
      <c r="AM185" s="311"/>
    </row>
    <row r="186" spans="1:39" ht="15.75" customHeight="1">
      <c r="A186" s="1647"/>
      <c r="B186" s="311"/>
      <c r="C186" s="1647"/>
      <c r="D186" s="2173"/>
      <c r="E186" s="1586"/>
      <c r="F186" s="1954"/>
      <c r="G186" s="1586"/>
      <c r="H186" s="1586"/>
      <c r="I186" s="1647"/>
      <c r="J186" s="1647"/>
      <c r="K186" s="1647"/>
      <c r="L186" s="1586"/>
      <c r="M186" s="836"/>
      <c r="N186" s="836"/>
      <c r="O186" s="836"/>
      <c r="P186" s="836"/>
      <c r="Q186" s="836"/>
      <c r="R186" s="309"/>
      <c r="S186" s="309"/>
      <c r="T186" s="309"/>
      <c r="U186" s="309"/>
      <c r="V186" s="311"/>
      <c r="W186" s="311"/>
      <c r="X186" s="1647"/>
      <c r="Y186" s="311"/>
      <c r="Z186" s="311"/>
      <c r="AA186" s="311"/>
      <c r="AB186" s="311"/>
      <c r="AC186" s="311"/>
      <c r="AD186" s="311"/>
      <c r="AE186" s="311"/>
      <c r="AF186" s="311"/>
      <c r="AG186" s="311"/>
      <c r="AH186" s="311"/>
      <c r="AI186" s="311"/>
      <c r="AJ186" s="311"/>
      <c r="AK186" s="311"/>
      <c r="AL186" s="311"/>
      <c r="AM186" s="311"/>
    </row>
    <row r="187" spans="1:39" ht="15.75" customHeight="1">
      <c r="A187" s="1647"/>
      <c r="B187" s="311"/>
      <c r="C187" s="1647"/>
      <c r="D187" s="2173"/>
      <c r="E187" s="1586"/>
      <c r="F187" s="1954"/>
      <c r="G187" s="1586"/>
      <c r="H187" s="1586"/>
      <c r="I187" s="1647"/>
      <c r="J187" s="1647"/>
      <c r="K187" s="1647"/>
      <c r="L187" s="1586"/>
      <c r="M187" s="836"/>
      <c r="N187" s="836"/>
      <c r="O187" s="836"/>
      <c r="P187" s="836"/>
      <c r="Q187" s="836"/>
      <c r="R187" s="309"/>
      <c r="S187" s="309"/>
      <c r="T187" s="309"/>
      <c r="U187" s="309"/>
      <c r="V187" s="311"/>
      <c r="W187" s="311"/>
      <c r="X187" s="1647"/>
      <c r="Y187" s="311"/>
      <c r="Z187" s="311"/>
      <c r="AA187" s="311"/>
      <c r="AB187" s="311"/>
      <c r="AC187" s="311"/>
      <c r="AD187" s="311"/>
      <c r="AE187" s="311"/>
      <c r="AF187" s="311"/>
      <c r="AG187" s="311"/>
      <c r="AH187" s="311"/>
      <c r="AI187" s="311"/>
      <c r="AJ187" s="311"/>
      <c r="AK187" s="311"/>
      <c r="AL187" s="311"/>
      <c r="AM187" s="311"/>
    </row>
    <row r="188" spans="1:39" ht="15.75" customHeight="1">
      <c r="A188" s="1647"/>
      <c r="B188" s="311"/>
      <c r="C188" s="1647"/>
      <c r="D188" s="2173"/>
      <c r="E188" s="1586"/>
      <c r="F188" s="1954"/>
      <c r="G188" s="1586"/>
      <c r="H188" s="1586"/>
      <c r="I188" s="1647"/>
      <c r="J188" s="1647"/>
      <c r="K188" s="1647"/>
      <c r="L188" s="1586"/>
      <c r="M188" s="836"/>
      <c r="N188" s="836"/>
      <c r="O188" s="836"/>
      <c r="P188" s="836"/>
      <c r="Q188" s="836"/>
      <c r="R188" s="309"/>
      <c r="S188" s="309"/>
      <c r="T188" s="309"/>
      <c r="U188" s="309"/>
      <c r="V188" s="311"/>
      <c r="W188" s="311"/>
      <c r="X188" s="1647"/>
      <c r="Y188" s="311"/>
      <c r="Z188" s="311"/>
      <c r="AA188" s="311"/>
      <c r="AB188" s="311"/>
      <c r="AC188" s="311"/>
      <c r="AD188" s="311"/>
      <c r="AE188" s="311"/>
      <c r="AF188" s="311"/>
      <c r="AG188" s="311"/>
      <c r="AH188" s="311"/>
      <c r="AI188" s="311"/>
      <c r="AJ188" s="311"/>
      <c r="AK188" s="311"/>
      <c r="AL188" s="311"/>
      <c r="AM188" s="311"/>
    </row>
    <row r="189" spans="1:39" ht="15.75" customHeight="1">
      <c r="A189" s="1647"/>
      <c r="B189" s="311"/>
      <c r="C189" s="1647"/>
      <c r="D189" s="2173"/>
      <c r="E189" s="1586"/>
      <c r="F189" s="1954"/>
      <c r="G189" s="1586"/>
      <c r="H189" s="1586"/>
      <c r="I189" s="1647"/>
      <c r="J189" s="1647"/>
      <c r="K189" s="1647"/>
      <c r="L189" s="1586"/>
      <c r="M189" s="836"/>
      <c r="N189" s="836"/>
      <c r="O189" s="836"/>
      <c r="P189" s="836"/>
      <c r="Q189" s="836"/>
      <c r="R189" s="309"/>
      <c r="S189" s="309"/>
      <c r="T189" s="309"/>
      <c r="U189" s="309"/>
      <c r="V189" s="311"/>
      <c r="W189" s="311"/>
      <c r="X189" s="1647"/>
      <c r="Y189" s="311"/>
      <c r="Z189" s="311"/>
      <c r="AA189" s="311"/>
      <c r="AB189" s="311"/>
      <c r="AC189" s="311"/>
      <c r="AD189" s="311"/>
      <c r="AE189" s="311"/>
      <c r="AF189" s="311"/>
      <c r="AG189" s="311"/>
      <c r="AH189" s="311"/>
      <c r="AI189" s="311"/>
      <c r="AJ189" s="311"/>
      <c r="AK189" s="311"/>
      <c r="AL189" s="311"/>
      <c r="AM189" s="311"/>
    </row>
    <row r="190" spans="1:39" ht="15.75" customHeight="1">
      <c r="A190" s="1647"/>
      <c r="B190" s="311"/>
      <c r="C190" s="1647"/>
      <c r="D190" s="2173"/>
      <c r="E190" s="1586"/>
      <c r="F190" s="1954"/>
      <c r="G190" s="1586"/>
      <c r="H190" s="1586"/>
      <c r="I190" s="1647"/>
      <c r="J190" s="1647"/>
      <c r="K190" s="1647"/>
      <c r="L190" s="1586"/>
      <c r="M190" s="836"/>
      <c r="N190" s="836"/>
      <c r="O190" s="836"/>
      <c r="P190" s="836"/>
      <c r="Q190" s="836"/>
      <c r="R190" s="309"/>
      <c r="S190" s="309"/>
      <c r="T190" s="309"/>
      <c r="U190" s="309"/>
      <c r="V190" s="311"/>
      <c r="W190" s="311"/>
      <c r="X190" s="1647"/>
      <c r="Y190" s="311"/>
      <c r="Z190" s="311"/>
      <c r="AA190" s="311"/>
      <c r="AB190" s="311"/>
      <c r="AC190" s="311"/>
      <c r="AD190" s="311"/>
      <c r="AE190" s="311"/>
      <c r="AF190" s="311"/>
      <c r="AG190" s="311"/>
      <c r="AH190" s="311"/>
      <c r="AI190" s="311"/>
      <c r="AJ190" s="311"/>
      <c r="AK190" s="311"/>
      <c r="AL190" s="311"/>
      <c r="AM190" s="311"/>
    </row>
    <row r="191" spans="1:39" ht="15.75" customHeight="1">
      <c r="A191" s="1647"/>
      <c r="B191" s="311"/>
      <c r="C191" s="1647"/>
      <c r="D191" s="2173"/>
      <c r="E191" s="1586"/>
      <c r="F191" s="1954"/>
      <c r="G191" s="1586"/>
      <c r="H191" s="1586"/>
      <c r="I191" s="1647"/>
      <c r="J191" s="1647"/>
      <c r="K191" s="1647"/>
      <c r="L191" s="1586"/>
      <c r="M191" s="836"/>
      <c r="N191" s="836"/>
      <c r="O191" s="836"/>
      <c r="P191" s="836"/>
      <c r="Q191" s="836"/>
      <c r="R191" s="309"/>
      <c r="S191" s="309"/>
      <c r="T191" s="309"/>
      <c r="U191" s="309"/>
      <c r="V191" s="311"/>
      <c r="W191" s="311"/>
      <c r="X191" s="1647"/>
      <c r="Y191" s="311"/>
      <c r="Z191" s="311"/>
      <c r="AA191" s="311"/>
      <c r="AB191" s="311"/>
      <c r="AC191" s="311"/>
      <c r="AD191" s="311"/>
      <c r="AE191" s="311"/>
      <c r="AF191" s="311"/>
      <c r="AG191" s="311"/>
      <c r="AH191" s="311"/>
      <c r="AI191" s="311"/>
      <c r="AJ191" s="311"/>
      <c r="AK191" s="311"/>
      <c r="AL191" s="311"/>
      <c r="AM191" s="311"/>
    </row>
    <row r="192" spans="1:39" ht="15.75" customHeight="1">
      <c r="A192" s="1647"/>
      <c r="B192" s="311"/>
      <c r="C192" s="1647"/>
      <c r="D192" s="2173"/>
      <c r="E192" s="1586"/>
      <c r="F192" s="1954"/>
      <c r="G192" s="1586"/>
      <c r="H192" s="1586"/>
      <c r="I192" s="1647"/>
      <c r="J192" s="1647"/>
      <c r="K192" s="1647"/>
      <c r="L192" s="1586"/>
      <c r="M192" s="836"/>
      <c r="N192" s="836"/>
      <c r="O192" s="836"/>
      <c r="P192" s="836"/>
      <c r="Q192" s="836"/>
      <c r="R192" s="309"/>
      <c r="S192" s="309"/>
      <c r="T192" s="309"/>
      <c r="U192" s="309"/>
      <c r="V192" s="311"/>
      <c r="W192" s="311"/>
      <c r="X192" s="1647"/>
      <c r="Y192" s="311"/>
      <c r="Z192" s="311"/>
      <c r="AA192" s="311"/>
      <c r="AB192" s="311"/>
      <c r="AC192" s="311"/>
      <c r="AD192" s="311"/>
      <c r="AE192" s="311"/>
      <c r="AF192" s="311"/>
      <c r="AG192" s="311"/>
      <c r="AH192" s="311"/>
      <c r="AI192" s="311"/>
      <c r="AJ192" s="311"/>
      <c r="AK192" s="311"/>
      <c r="AL192" s="311"/>
      <c r="AM192" s="311"/>
    </row>
    <row r="193" spans="1:39" ht="15.75" customHeight="1">
      <c r="A193" s="1647"/>
      <c r="B193" s="311"/>
      <c r="C193" s="1647"/>
      <c r="D193" s="2173"/>
      <c r="E193" s="1586"/>
      <c r="F193" s="1954"/>
      <c r="G193" s="1586"/>
      <c r="H193" s="1586"/>
      <c r="I193" s="1647"/>
      <c r="J193" s="1647"/>
      <c r="K193" s="1647"/>
      <c r="L193" s="1586"/>
      <c r="M193" s="836"/>
      <c r="N193" s="836"/>
      <c r="O193" s="836"/>
      <c r="P193" s="836"/>
      <c r="Q193" s="836"/>
      <c r="R193" s="309"/>
      <c r="S193" s="309"/>
      <c r="T193" s="309"/>
      <c r="U193" s="309"/>
      <c r="V193" s="311"/>
      <c r="W193" s="311"/>
      <c r="X193" s="1647"/>
      <c r="Y193" s="311"/>
      <c r="Z193" s="311"/>
      <c r="AA193" s="311"/>
      <c r="AB193" s="311"/>
      <c r="AC193" s="311"/>
      <c r="AD193" s="311"/>
      <c r="AE193" s="311"/>
      <c r="AF193" s="311"/>
      <c r="AG193" s="311"/>
      <c r="AH193" s="311"/>
      <c r="AI193" s="311"/>
      <c r="AJ193" s="311"/>
      <c r="AK193" s="311"/>
      <c r="AL193" s="311"/>
      <c r="AM193" s="311"/>
    </row>
    <row r="194" spans="1:39" ht="15.75" customHeight="1">
      <c r="A194" s="1647"/>
      <c r="B194" s="311"/>
      <c r="C194" s="1647"/>
      <c r="D194" s="2173"/>
      <c r="E194" s="1586"/>
      <c r="F194" s="1954"/>
      <c r="G194" s="1586"/>
      <c r="H194" s="1586"/>
      <c r="I194" s="1647"/>
      <c r="J194" s="1647"/>
      <c r="K194" s="1647"/>
      <c r="L194" s="1586"/>
      <c r="M194" s="836"/>
      <c r="N194" s="836"/>
      <c r="O194" s="836"/>
      <c r="P194" s="836"/>
      <c r="Q194" s="836"/>
      <c r="R194" s="309"/>
      <c r="S194" s="309"/>
      <c r="T194" s="309"/>
      <c r="U194" s="309"/>
      <c r="V194" s="311"/>
      <c r="W194" s="311"/>
      <c r="X194" s="1647"/>
      <c r="Y194" s="311"/>
      <c r="Z194" s="311"/>
      <c r="AA194" s="311"/>
      <c r="AB194" s="311"/>
      <c r="AC194" s="311"/>
      <c r="AD194" s="311"/>
      <c r="AE194" s="311"/>
      <c r="AF194" s="311"/>
      <c r="AG194" s="311"/>
      <c r="AH194" s="311"/>
      <c r="AI194" s="311"/>
      <c r="AJ194" s="311"/>
      <c r="AK194" s="311"/>
      <c r="AL194" s="311"/>
      <c r="AM194" s="311"/>
    </row>
    <row r="195" spans="1:39" ht="15.75" customHeight="1">
      <c r="A195" s="1647"/>
      <c r="B195" s="311"/>
      <c r="C195" s="1647"/>
      <c r="D195" s="2173"/>
      <c r="E195" s="1586"/>
      <c r="F195" s="1954"/>
      <c r="G195" s="1586"/>
      <c r="H195" s="1586"/>
      <c r="I195" s="1647"/>
      <c r="J195" s="1647"/>
      <c r="K195" s="1647"/>
      <c r="L195" s="1586"/>
      <c r="M195" s="836"/>
      <c r="N195" s="836"/>
      <c r="O195" s="836"/>
      <c r="P195" s="836"/>
      <c r="Q195" s="836"/>
      <c r="R195" s="309"/>
      <c r="S195" s="309"/>
      <c r="T195" s="309"/>
      <c r="U195" s="309"/>
      <c r="V195" s="311"/>
      <c r="W195" s="311"/>
      <c r="X195" s="1647"/>
      <c r="Y195" s="311"/>
      <c r="Z195" s="311"/>
      <c r="AA195" s="311"/>
      <c r="AB195" s="311"/>
      <c r="AC195" s="311"/>
      <c r="AD195" s="311"/>
      <c r="AE195" s="311"/>
      <c r="AF195" s="311"/>
      <c r="AG195" s="311"/>
      <c r="AH195" s="311"/>
      <c r="AI195" s="311"/>
      <c r="AJ195" s="311"/>
      <c r="AK195" s="311"/>
      <c r="AL195" s="311"/>
      <c r="AM195" s="311"/>
    </row>
    <row r="196" spans="1:39" ht="15.75" customHeight="1">
      <c r="A196" s="1647"/>
      <c r="B196" s="311"/>
      <c r="C196" s="1647"/>
      <c r="D196" s="2173"/>
      <c r="E196" s="1586"/>
      <c r="F196" s="1954"/>
      <c r="G196" s="1586"/>
      <c r="H196" s="1586"/>
      <c r="I196" s="1647"/>
      <c r="J196" s="1647"/>
      <c r="K196" s="1647"/>
      <c r="L196" s="1586"/>
      <c r="M196" s="836"/>
      <c r="N196" s="836"/>
      <c r="O196" s="836"/>
      <c r="P196" s="836"/>
      <c r="Q196" s="836"/>
      <c r="R196" s="309"/>
      <c r="S196" s="309"/>
      <c r="T196" s="309"/>
      <c r="U196" s="309"/>
      <c r="V196" s="311"/>
      <c r="W196" s="311"/>
      <c r="X196" s="1647"/>
      <c r="Y196" s="311"/>
      <c r="Z196" s="311"/>
      <c r="AA196" s="311"/>
      <c r="AB196" s="311"/>
      <c r="AC196" s="311"/>
      <c r="AD196" s="311"/>
      <c r="AE196" s="311"/>
      <c r="AF196" s="311"/>
      <c r="AG196" s="311"/>
      <c r="AH196" s="311"/>
      <c r="AI196" s="311"/>
      <c r="AJ196" s="311"/>
      <c r="AK196" s="311"/>
      <c r="AL196" s="311"/>
      <c r="AM196" s="311"/>
    </row>
    <row r="197" spans="1:39" ht="15.75" customHeight="1">
      <c r="A197" s="1647"/>
      <c r="B197" s="311"/>
      <c r="C197" s="1647"/>
      <c r="D197" s="2173"/>
      <c r="E197" s="1586"/>
      <c r="F197" s="1954"/>
      <c r="G197" s="1586"/>
      <c r="H197" s="1586"/>
      <c r="I197" s="1647"/>
      <c r="J197" s="1647"/>
      <c r="K197" s="1647"/>
      <c r="L197" s="1586"/>
      <c r="M197" s="836"/>
      <c r="N197" s="836"/>
      <c r="O197" s="836"/>
      <c r="P197" s="836"/>
      <c r="Q197" s="836"/>
      <c r="R197" s="309"/>
      <c r="S197" s="309"/>
      <c r="T197" s="309"/>
      <c r="U197" s="309"/>
      <c r="V197" s="311"/>
      <c r="W197" s="311"/>
      <c r="X197" s="1647"/>
      <c r="Y197" s="311"/>
      <c r="Z197" s="311"/>
      <c r="AA197" s="311"/>
      <c r="AB197" s="311"/>
      <c r="AC197" s="311"/>
      <c r="AD197" s="311"/>
      <c r="AE197" s="311"/>
      <c r="AF197" s="311"/>
      <c r="AG197" s="311"/>
      <c r="AH197" s="311"/>
      <c r="AI197" s="311"/>
      <c r="AJ197" s="311"/>
      <c r="AK197" s="311"/>
      <c r="AL197" s="311"/>
      <c r="AM197" s="311"/>
    </row>
    <row r="198" spans="1:39" ht="15.75" customHeight="1">
      <c r="A198" s="1647"/>
      <c r="B198" s="311"/>
      <c r="C198" s="1647"/>
      <c r="D198" s="2173"/>
      <c r="E198" s="1586"/>
      <c r="F198" s="1954"/>
      <c r="G198" s="1586"/>
      <c r="H198" s="1586"/>
      <c r="I198" s="1647"/>
      <c r="J198" s="1647"/>
      <c r="K198" s="1647"/>
      <c r="L198" s="1586"/>
      <c r="M198" s="836"/>
      <c r="N198" s="836"/>
      <c r="O198" s="836"/>
      <c r="P198" s="836"/>
      <c r="Q198" s="836"/>
      <c r="R198" s="309"/>
      <c r="S198" s="309"/>
      <c r="T198" s="309"/>
      <c r="U198" s="309"/>
      <c r="V198" s="311"/>
      <c r="W198" s="311"/>
      <c r="X198" s="1647"/>
      <c r="Y198" s="311"/>
      <c r="Z198" s="311"/>
      <c r="AA198" s="311"/>
      <c r="AB198" s="311"/>
      <c r="AC198" s="311"/>
      <c r="AD198" s="311"/>
      <c r="AE198" s="311"/>
      <c r="AF198" s="311"/>
      <c r="AG198" s="311"/>
      <c r="AH198" s="311"/>
      <c r="AI198" s="311"/>
      <c r="AJ198" s="311"/>
      <c r="AK198" s="311"/>
      <c r="AL198" s="311"/>
      <c r="AM198" s="311"/>
    </row>
    <row r="199" spans="1:39" ht="15.75" customHeight="1">
      <c r="A199" s="1647"/>
      <c r="B199" s="311"/>
      <c r="C199" s="1647"/>
      <c r="D199" s="2173"/>
      <c r="E199" s="1586"/>
      <c r="F199" s="1954"/>
      <c r="G199" s="1586"/>
      <c r="H199" s="1586"/>
      <c r="I199" s="1647"/>
      <c r="J199" s="1647"/>
      <c r="K199" s="1647"/>
      <c r="L199" s="1586"/>
      <c r="M199" s="836"/>
      <c r="N199" s="836"/>
      <c r="O199" s="836"/>
      <c r="P199" s="836"/>
      <c r="Q199" s="836"/>
      <c r="R199" s="309"/>
      <c r="S199" s="309"/>
      <c r="T199" s="309"/>
      <c r="U199" s="309"/>
      <c r="V199" s="311"/>
      <c r="W199" s="311"/>
      <c r="X199" s="1647"/>
      <c r="Y199" s="311"/>
      <c r="Z199" s="311"/>
      <c r="AA199" s="311"/>
      <c r="AB199" s="311"/>
      <c r="AC199" s="311"/>
      <c r="AD199" s="311"/>
      <c r="AE199" s="311"/>
      <c r="AF199" s="311"/>
      <c r="AG199" s="311"/>
      <c r="AH199" s="311"/>
      <c r="AI199" s="311"/>
      <c r="AJ199" s="311"/>
      <c r="AK199" s="311"/>
      <c r="AL199" s="311"/>
      <c r="AM199" s="311"/>
    </row>
    <row r="200" spans="1:39" ht="15.75" customHeight="1">
      <c r="A200" s="1647"/>
      <c r="B200" s="311"/>
      <c r="C200" s="1647"/>
      <c r="D200" s="2173"/>
      <c r="E200" s="1586"/>
      <c r="F200" s="1954"/>
      <c r="G200" s="1586"/>
      <c r="H200" s="1586"/>
      <c r="I200" s="1647"/>
      <c r="J200" s="1647"/>
      <c r="K200" s="1647"/>
      <c r="L200" s="1586"/>
      <c r="M200" s="836"/>
      <c r="N200" s="836"/>
      <c r="O200" s="836"/>
      <c r="P200" s="836"/>
      <c r="Q200" s="836"/>
      <c r="R200" s="309"/>
      <c r="S200" s="309"/>
      <c r="T200" s="309"/>
      <c r="U200" s="309"/>
      <c r="V200" s="311"/>
      <c r="W200" s="311"/>
      <c r="X200" s="1647"/>
      <c r="Y200" s="311"/>
      <c r="Z200" s="311"/>
      <c r="AA200" s="311"/>
      <c r="AB200" s="311"/>
      <c r="AC200" s="311"/>
      <c r="AD200" s="311"/>
      <c r="AE200" s="311"/>
      <c r="AF200" s="311"/>
      <c r="AG200" s="311"/>
      <c r="AH200" s="311"/>
      <c r="AI200" s="311"/>
      <c r="AJ200" s="311"/>
      <c r="AK200" s="311"/>
      <c r="AL200" s="311"/>
      <c r="AM200" s="311"/>
    </row>
    <row r="201" spans="1:39" ht="15.75" customHeight="1">
      <c r="A201" s="1647"/>
      <c r="B201" s="311"/>
      <c r="C201" s="1647"/>
      <c r="D201" s="2173"/>
      <c r="E201" s="1586"/>
      <c r="F201" s="1954"/>
      <c r="G201" s="1586"/>
      <c r="H201" s="1586"/>
      <c r="I201" s="1647"/>
      <c r="J201" s="1647"/>
      <c r="K201" s="1647"/>
      <c r="L201" s="1586"/>
      <c r="M201" s="836"/>
      <c r="N201" s="836"/>
      <c r="O201" s="836"/>
      <c r="P201" s="836"/>
      <c r="Q201" s="836"/>
      <c r="R201" s="309"/>
      <c r="S201" s="309"/>
      <c r="T201" s="309"/>
      <c r="U201" s="309"/>
      <c r="V201" s="311"/>
      <c r="W201" s="311"/>
      <c r="X201" s="1647"/>
      <c r="Y201" s="311"/>
      <c r="Z201" s="311"/>
      <c r="AA201" s="311"/>
      <c r="AB201" s="311"/>
      <c r="AC201" s="311"/>
      <c r="AD201" s="311"/>
      <c r="AE201" s="311"/>
      <c r="AF201" s="311"/>
      <c r="AG201" s="311"/>
      <c r="AH201" s="311"/>
      <c r="AI201" s="311"/>
      <c r="AJ201" s="311"/>
      <c r="AK201" s="311"/>
      <c r="AL201" s="311"/>
      <c r="AM201" s="311"/>
    </row>
    <row r="202" spans="1:39" ht="15.75" customHeight="1">
      <c r="A202" s="1647"/>
      <c r="B202" s="311"/>
      <c r="C202" s="1647"/>
      <c r="D202" s="2173"/>
      <c r="E202" s="1586"/>
      <c r="F202" s="1954"/>
      <c r="G202" s="1586"/>
      <c r="H202" s="1586"/>
      <c r="I202" s="1647"/>
      <c r="J202" s="1647"/>
      <c r="K202" s="1647"/>
      <c r="L202" s="1586"/>
      <c r="M202" s="836"/>
      <c r="N202" s="836"/>
      <c r="O202" s="836"/>
      <c r="P202" s="836"/>
      <c r="Q202" s="836"/>
      <c r="R202" s="309"/>
      <c r="S202" s="309"/>
      <c r="T202" s="309"/>
      <c r="U202" s="309"/>
      <c r="V202" s="311"/>
      <c r="W202" s="311"/>
      <c r="X202" s="1647"/>
      <c r="Y202" s="311"/>
      <c r="Z202" s="311"/>
      <c r="AA202" s="311"/>
      <c r="AB202" s="311"/>
      <c r="AC202" s="311"/>
      <c r="AD202" s="311"/>
      <c r="AE202" s="311"/>
      <c r="AF202" s="311"/>
      <c r="AG202" s="311"/>
      <c r="AH202" s="311"/>
      <c r="AI202" s="311"/>
      <c r="AJ202" s="311"/>
      <c r="AK202" s="311"/>
      <c r="AL202" s="311"/>
      <c r="AM202" s="311"/>
    </row>
    <row r="203" spans="1:39" ht="15.75" customHeight="1">
      <c r="A203" s="1647"/>
      <c r="B203" s="311"/>
      <c r="C203" s="1647"/>
      <c r="D203" s="2173"/>
      <c r="E203" s="1586"/>
      <c r="F203" s="1954"/>
      <c r="G203" s="1586"/>
      <c r="H203" s="1586"/>
      <c r="I203" s="1647"/>
      <c r="J203" s="1647"/>
      <c r="K203" s="1647"/>
      <c r="L203" s="1586"/>
      <c r="M203" s="836"/>
      <c r="N203" s="836"/>
      <c r="O203" s="836"/>
      <c r="P203" s="836"/>
      <c r="Q203" s="836"/>
      <c r="R203" s="309"/>
      <c r="S203" s="309"/>
      <c r="T203" s="309"/>
      <c r="U203" s="309"/>
      <c r="V203" s="311"/>
      <c r="W203" s="311"/>
      <c r="X203" s="1647"/>
      <c r="Y203" s="311"/>
      <c r="Z203" s="311"/>
      <c r="AA203" s="311"/>
      <c r="AB203" s="311"/>
      <c r="AC203" s="311"/>
      <c r="AD203" s="311"/>
      <c r="AE203" s="311"/>
      <c r="AF203" s="311"/>
      <c r="AG203" s="311"/>
      <c r="AH203" s="311"/>
      <c r="AI203" s="311"/>
      <c r="AJ203" s="311"/>
      <c r="AK203" s="311"/>
      <c r="AL203" s="311"/>
      <c r="AM203" s="311"/>
    </row>
    <row r="204" spans="1:39" ht="15.75" customHeight="1">
      <c r="A204" s="1647"/>
      <c r="B204" s="311"/>
      <c r="C204" s="1647"/>
      <c r="D204" s="2173"/>
      <c r="E204" s="1586"/>
      <c r="F204" s="1954"/>
      <c r="G204" s="1586"/>
      <c r="H204" s="1586"/>
      <c r="I204" s="1647"/>
      <c r="J204" s="1647"/>
      <c r="K204" s="1647"/>
      <c r="L204" s="1586"/>
      <c r="M204" s="836"/>
      <c r="N204" s="836"/>
      <c r="O204" s="836"/>
      <c r="P204" s="836"/>
      <c r="Q204" s="836"/>
      <c r="R204" s="309"/>
      <c r="S204" s="309"/>
      <c r="T204" s="309"/>
      <c r="U204" s="309"/>
      <c r="V204" s="311"/>
      <c r="W204" s="311"/>
      <c r="X204" s="1647"/>
      <c r="Y204" s="311"/>
      <c r="Z204" s="311"/>
      <c r="AA204" s="311"/>
      <c r="AB204" s="311"/>
      <c r="AC204" s="311"/>
      <c r="AD204" s="311"/>
      <c r="AE204" s="311"/>
      <c r="AF204" s="311"/>
      <c r="AG204" s="311"/>
      <c r="AH204" s="311"/>
      <c r="AI204" s="311"/>
      <c r="AJ204" s="311"/>
      <c r="AK204" s="311"/>
      <c r="AL204" s="311"/>
      <c r="AM204" s="311"/>
    </row>
    <row r="205" spans="1:39" ht="15.75" customHeight="1">
      <c r="A205" s="1647"/>
      <c r="B205" s="311"/>
      <c r="C205" s="1647"/>
      <c r="D205" s="2173"/>
      <c r="E205" s="1586"/>
      <c r="F205" s="1954"/>
      <c r="G205" s="1586"/>
      <c r="H205" s="1586"/>
      <c r="I205" s="1647"/>
      <c r="J205" s="1647"/>
      <c r="K205" s="1647"/>
      <c r="L205" s="1586"/>
      <c r="M205" s="836"/>
      <c r="N205" s="836"/>
      <c r="O205" s="836"/>
      <c r="P205" s="836"/>
      <c r="Q205" s="836"/>
      <c r="R205" s="309"/>
      <c r="S205" s="309"/>
      <c r="T205" s="309"/>
      <c r="U205" s="309"/>
      <c r="V205" s="311"/>
      <c r="W205" s="311"/>
      <c r="X205" s="1647"/>
      <c r="Y205" s="311"/>
      <c r="Z205" s="311"/>
      <c r="AA205" s="311"/>
      <c r="AB205" s="311"/>
      <c r="AC205" s="311"/>
      <c r="AD205" s="311"/>
      <c r="AE205" s="311"/>
      <c r="AF205" s="311"/>
      <c r="AG205" s="311"/>
      <c r="AH205" s="311"/>
      <c r="AI205" s="311"/>
      <c r="AJ205" s="311"/>
      <c r="AK205" s="311"/>
      <c r="AL205" s="311"/>
      <c r="AM205" s="311"/>
    </row>
    <row r="206" spans="1:39" ht="15.75" customHeight="1">
      <c r="A206" s="1647"/>
      <c r="B206" s="311"/>
      <c r="C206" s="1647"/>
      <c r="D206" s="2173"/>
      <c r="E206" s="1586"/>
      <c r="F206" s="1954"/>
      <c r="G206" s="1586"/>
      <c r="H206" s="1586"/>
      <c r="I206" s="1647"/>
      <c r="J206" s="1647"/>
      <c r="K206" s="1647"/>
      <c r="L206" s="1586"/>
      <c r="M206" s="836"/>
      <c r="N206" s="836"/>
      <c r="O206" s="836"/>
      <c r="P206" s="836"/>
      <c r="Q206" s="836"/>
      <c r="R206" s="309"/>
      <c r="S206" s="309"/>
      <c r="T206" s="309"/>
      <c r="U206" s="309"/>
      <c r="V206" s="311"/>
      <c r="W206" s="311"/>
      <c r="X206" s="1647"/>
      <c r="Y206" s="311"/>
      <c r="Z206" s="311"/>
      <c r="AA206" s="311"/>
      <c r="AB206" s="311"/>
      <c r="AC206" s="311"/>
      <c r="AD206" s="311"/>
      <c r="AE206" s="311"/>
      <c r="AF206" s="311"/>
      <c r="AG206" s="311"/>
      <c r="AH206" s="311"/>
      <c r="AI206" s="311"/>
      <c r="AJ206" s="311"/>
      <c r="AK206" s="311"/>
      <c r="AL206" s="311"/>
      <c r="AM206" s="311"/>
    </row>
    <row r="207" spans="1:39" ht="15.75" customHeight="1">
      <c r="A207" s="1647"/>
      <c r="B207" s="311"/>
      <c r="C207" s="1647"/>
      <c r="D207" s="2173"/>
      <c r="E207" s="1586"/>
      <c r="F207" s="1954"/>
      <c r="G207" s="1586"/>
      <c r="H207" s="1586"/>
      <c r="I207" s="1647"/>
      <c r="J207" s="1647"/>
      <c r="K207" s="1647"/>
      <c r="L207" s="1586"/>
      <c r="M207" s="836"/>
      <c r="N207" s="836"/>
      <c r="O207" s="836"/>
      <c r="P207" s="836"/>
      <c r="Q207" s="836"/>
      <c r="R207" s="309"/>
      <c r="S207" s="309"/>
      <c r="T207" s="309"/>
      <c r="U207" s="309"/>
      <c r="V207" s="311"/>
      <c r="W207" s="311"/>
      <c r="X207" s="1647"/>
      <c r="Y207" s="311"/>
      <c r="Z207" s="311"/>
      <c r="AA207" s="311"/>
      <c r="AB207" s="311"/>
      <c r="AC207" s="311"/>
      <c r="AD207" s="311"/>
      <c r="AE207" s="311"/>
      <c r="AF207" s="311"/>
      <c r="AG207" s="311"/>
      <c r="AH207" s="311"/>
      <c r="AI207" s="311"/>
      <c r="AJ207" s="311"/>
      <c r="AK207" s="311"/>
      <c r="AL207" s="311"/>
      <c r="AM207" s="311"/>
    </row>
    <row r="208" spans="1:39" ht="15.75" customHeight="1">
      <c r="A208" s="1647"/>
      <c r="B208" s="311"/>
      <c r="C208" s="1647"/>
      <c r="D208" s="2173"/>
      <c r="E208" s="1586"/>
      <c r="F208" s="1954"/>
      <c r="G208" s="1586"/>
      <c r="H208" s="1586"/>
      <c r="I208" s="1647"/>
      <c r="J208" s="1647"/>
      <c r="K208" s="1647"/>
      <c r="L208" s="1586"/>
      <c r="M208" s="2174"/>
      <c r="N208" s="2174"/>
      <c r="O208" s="836"/>
      <c r="P208" s="2174"/>
      <c r="Q208" s="836"/>
      <c r="R208" s="309"/>
      <c r="S208" s="309"/>
      <c r="T208" s="309"/>
      <c r="U208" s="309"/>
      <c r="V208" s="311"/>
      <c r="W208" s="311"/>
      <c r="X208" s="1647"/>
      <c r="Y208" s="311"/>
      <c r="Z208" s="311"/>
      <c r="AA208" s="311"/>
      <c r="AB208" s="311"/>
      <c r="AC208" s="311"/>
      <c r="AD208" s="311"/>
      <c r="AE208" s="311"/>
      <c r="AF208" s="311"/>
      <c r="AG208" s="311"/>
      <c r="AH208" s="311"/>
      <c r="AI208" s="311"/>
      <c r="AJ208" s="311"/>
      <c r="AK208" s="311"/>
      <c r="AL208" s="311"/>
      <c r="AM208" s="311"/>
    </row>
    <row r="209" spans="1:39" ht="15.75" customHeight="1">
      <c r="A209" s="1647"/>
      <c r="B209" s="311"/>
      <c r="C209" s="1647"/>
      <c r="D209" s="2173"/>
      <c r="E209" s="1586"/>
      <c r="F209" s="1954"/>
      <c r="G209" s="1586"/>
      <c r="H209" s="1586"/>
      <c r="I209" s="1647"/>
      <c r="J209" s="1647"/>
      <c r="K209" s="1647"/>
      <c r="L209" s="1586"/>
      <c r="M209" s="2174"/>
      <c r="N209" s="2174"/>
      <c r="O209" s="836"/>
      <c r="P209" s="2174"/>
      <c r="Q209" s="836"/>
      <c r="R209" s="309"/>
      <c r="S209" s="309"/>
      <c r="T209" s="309"/>
      <c r="U209" s="309"/>
      <c r="V209" s="311"/>
      <c r="W209" s="311"/>
      <c r="X209" s="1647"/>
      <c r="Y209" s="311"/>
      <c r="Z209" s="311"/>
      <c r="AA209" s="311"/>
      <c r="AB209" s="311"/>
      <c r="AC209" s="311"/>
      <c r="AD209" s="311"/>
      <c r="AE209" s="311"/>
      <c r="AF209" s="311"/>
      <c r="AG209" s="311"/>
      <c r="AH209" s="311"/>
      <c r="AI209" s="311"/>
      <c r="AJ209" s="311"/>
      <c r="AK209" s="311"/>
      <c r="AL209" s="311"/>
      <c r="AM209" s="311"/>
    </row>
    <row r="210" spans="1:39" ht="15.75" customHeight="1">
      <c r="A210" s="1647"/>
      <c r="B210" s="311"/>
      <c r="C210" s="1647"/>
      <c r="D210" s="2173"/>
      <c r="E210" s="1586"/>
      <c r="F210" s="1954"/>
      <c r="G210" s="1586"/>
      <c r="H210" s="1586"/>
      <c r="I210" s="1647"/>
      <c r="J210" s="1647"/>
      <c r="K210" s="1647"/>
      <c r="L210" s="1586"/>
      <c r="M210" s="2174"/>
      <c r="N210" s="2174"/>
      <c r="O210" s="836"/>
      <c r="P210" s="2174"/>
      <c r="Q210" s="836"/>
      <c r="R210" s="309"/>
      <c r="S210" s="309"/>
      <c r="T210" s="309"/>
      <c r="U210" s="309"/>
      <c r="V210" s="311"/>
      <c r="W210" s="311"/>
      <c r="X210" s="1647"/>
      <c r="Y210" s="311"/>
      <c r="Z210" s="311"/>
      <c r="AA210" s="311"/>
      <c r="AB210" s="311"/>
      <c r="AC210" s="311"/>
      <c r="AD210" s="311"/>
      <c r="AE210" s="311"/>
      <c r="AF210" s="311"/>
      <c r="AG210" s="311"/>
      <c r="AH210" s="311"/>
      <c r="AI210" s="311"/>
      <c r="AJ210" s="311"/>
      <c r="AK210" s="311"/>
      <c r="AL210" s="311"/>
      <c r="AM210" s="311"/>
    </row>
    <row r="211" spans="1:39" ht="15.75" customHeight="1">
      <c r="A211" s="1647"/>
      <c r="B211" s="311"/>
      <c r="C211" s="1647"/>
      <c r="D211" s="2173"/>
      <c r="E211" s="1586"/>
      <c r="F211" s="1954"/>
      <c r="G211" s="1586"/>
      <c r="H211" s="1586"/>
      <c r="I211" s="1647"/>
      <c r="J211" s="1647"/>
      <c r="K211" s="1647"/>
      <c r="L211" s="1586"/>
      <c r="M211" s="2174"/>
      <c r="N211" s="2174"/>
      <c r="O211" s="836"/>
      <c r="P211" s="2174"/>
      <c r="Q211" s="836"/>
      <c r="R211" s="309"/>
      <c r="S211" s="309"/>
      <c r="T211" s="309"/>
      <c r="U211" s="309"/>
      <c r="V211" s="311"/>
      <c r="W211" s="311"/>
      <c r="X211" s="1647"/>
      <c r="Y211" s="311"/>
      <c r="Z211" s="311"/>
      <c r="AA211" s="311"/>
      <c r="AB211" s="311"/>
      <c r="AC211" s="311"/>
      <c r="AD211" s="311"/>
      <c r="AE211" s="311"/>
      <c r="AF211" s="311"/>
      <c r="AG211" s="311"/>
      <c r="AH211" s="311"/>
      <c r="AI211" s="311"/>
      <c r="AJ211" s="311"/>
      <c r="AK211" s="311"/>
      <c r="AL211" s="311"/>
      <c r="AM211" s="311"/>
    </row>
    <row r="212" spans="1:39" ht="15.75" customHeight="1">
      <c r="A212" s="1647"/>
      <c r="B212" s="311"/>
      <c r="C212" s="1647"/>
      <c r="D212" s="2173"/>
      <c r="E212" s="1586"/>
      <c r="F212" s="1954"/>
      <c r="G212" s="1586"/>
      <c r="H212" s="1586"/>
      <c r="I212" s="1647"/>
      <c r="J212" s="1647"/>
      <c r="K212" s="1647"/>
      <c r="L212" s="1586"/>
      <c r="M212" s="2174"/>
      <c r="N212" s="2174"/>
      <c r="O212" s="836"/>
      <c r="P212" s="2174"/>
      <c r="Q212" s="836"/>
      <c r="R212" s="309"/>
      <c r="S212" s="309"/>
      <c r="T212" s="309"/>
      <c r="U212" s="309"/>
      <c r="V212" s="311"/>
      <c r="W212" s="311"/>
      <c r="X212" s="1647"/>
      <c r="Y212" s="311"/>
      <c r="Z212" s="311"/>
      <c r="AA212" s="311"/>
      <c r="AB212" s="311"/>
      <c r="AC212" s="311"/>
      <c r="AD212" s="311"/>
      <c r="AE212" s="311"/>
      <c r="AF212" s="311"/>
      <c r="AG212" s="311"/>
      <c r="AH212" s="311"/>
      <c r="AI212" s="311"/>
      <c r="AJ212" s="311"/>
      <c r="AK212" s="311"/>
      <c r="AL212" s="311"/>
      <c r="AM212" s="311"/>
    </row>
    <row r="213" spans="1:39" ht="15.75" customHeight="1">
      <c r="A213" s="1647"/>
      <c r="B213" s="311"/>
      <c r="C213" s="1647"/>
      <c r="D213" s="2173"/>
      <c r="E213" s="1586"/>
      <c r="F213" s="1954"/>
      <c r="G213" s="1586"/>
      <c r="H213" s="1586"/>
      <c r="I213" s="1647"/>
      <c r="J213" s="1647"/>
      <c r="K213" s="1647"/>
      <c r="L213" s="1586"/>
      <c r="M213" s="2174"/>
      <c r="N213" s="2174"/>
      <c r="O213" s="836"/>
      <c r="P213" s="2174"/>
      <c r="Q213" s="836"/>
      <c r="R213" s="309"/>
      <c r="S213" s="309"/>
      <c r="T213" s="309"/>
      <c r="U213" s="309"/>
      <c r="V213" s="311"/>
      <c r="W213" s="311"/>
      <c r="X213" s="1647"/>
      <c r="Y213" s="311"/>
      <c r="Z213" s="311"/>
      <c r="AA213" s="311"/>
      <c r="AB213" s="311"/>
      <c r="AC213" s="311"/>
      <c r="AD213" s="311"/>
      <c r="AE213" s="311"/>
      <c r="AF213" s="311"/>
      <c r="AG213" s="311"/>
      <c r="AH213" s="311"/>
      <c r="AI213" s="311"/>
      <c r="AJ213" s="311"/>
      <c r="AK213" s="311"/>
      <c r="AL213" s="311"/>
      <c r="AM213" s="311"/>
    </row>
    <row r="214" spans="1:39" ht="15.75" customHeight="1">
      <c r="A214" s="1647"/>
      <c r="B214" s="311"/>
      <c r="C214" s="1647"/>
      <c r="D214" s="2173"/>
      <c r="E214" s="1586"/>
      <c r="F214" s="1954"/>
      <c r="G214" s="1586"/>
      <c r="H214" s="1586"/>
      <c r="I214" s="1647"/>
      <c r="J214" s="1647"/>
      <c r="K214" s="1647"/>
      <c r="L214" s="1586"/>
      <c r="M214" s="2174"/>
      <c r="N214" s="2174"/>
      <c r="O214" s="836"/>
      <c r="P214" s="2174"/>
      <c r="Q214" s="836"/>
      <c r="R214" s="309"/>
      <c r="S214" s="309"/>
      <c r="T214" s="309"/>
      <c r="U214" s="309"/>
      <c r="V214" s="311"/>
      <c r="W214" s="311"/>
      <c r="X214" s="1647"/>
      <c r="Y214" s="311"/>
      <c r="Z214" s="311"/>
      <c r="AA214" s="311"/>
      <c r="AB214" s="311"/>
      <c r="AC214" s="311"/>
      <c r="AD214" s="311"/>
      <c r="AE214" s="311"/>
      <c r="AF214" s="311"/>
      <c r="AG214" s="311"/>
      <c r="AH214" s="311"/>
      <c r="AI214" s="311"/>
      <c r="AJ214" s="311"/>
      <c r="AK214" s="311"/>
      <c r="AL214" s="311"/>
      <c r="AM214" s="311"/>
    </row>
    <row r="215" spans="1:39" ht="15.75" customHeight="1">
      <c r="A215" s="1647"/>
      <c r="B215" s="311"/>
      <c r="C215" s="1647"/>
      <c r="D215" s="2173"/>
      <c r="E215" s="1586"/>
      <c r="F215" s="1954"/>
      <c r="G215" s="1586"/>
      <c r="H215" s="1586"/>
      <c r="I215" s="1647"/>
      <c r="J215" s="1647"/>
      <c r="K215" s="1647"/>
      <c r="L215" s="1586"/>
      <c r="M215" s="2174"/>
      <c r="N215" s="2174"/>
      <c r="O215" s="836"/>
      <c r="P215" s="2174"/>
      <c r="Q215" s="836"/>
      <c r="R215" s="309"/>
      <c r="S215" s="309"/>
      <c r="T215" s="309"/>
      <c r="U215" s="309"/>
      <c r="V215" s="311"/>
      <c r="W215" s="311"/>
      <c r="X215" s="1647"/>
      <c r="Y215" s="311"/>
      <c r="Z215" s="311"/>
      <c r="AA215" s="311"/>
      <c r="AB215" s="311"/>
      <c r="AC215" s="311"/>
      <c r="AD215" s="311"/>
      <c r="AE215" s="311"/>
      <c r="AF215" s="311"/>
      <c r="AG215" s="311"/>
      <c r="AH215" s="311"/>
      <c r="AI215" s="311"/>
      <c r="AJ215" s="311"/>
      <c r="AK215" s="311"/>
      <c r="AL215" s="311"/>
      <c r="AM215" s="311"/>
    </row>
    <row r="216" spans="1:39" ht="15.75" customHeight="1">
      <c r="A216" s="1647"/>
      <c r="B216" s="311"/>
      <c r="C216" s="1647"/>
      <c r="D216" s="2173"/>
      <c r="E216" s="1586"/>
      <c r="F216" s="1954"/>
      <c r="G216" s="1586"/>
      <c r="H216" s="1586"/>
      <c r="I216" s="1647"/>
      <c r="J216" s="1647"/>
      <c r="K216" s="1647"/>
      <c r="L216" s="1586"/>
      <c r="M216" s="2174"/>
      <c r="N216" s="2174"/>
      <c r="O216" s="836"/>
      <c r="P216" s="2174"/>
      <c r="Q216" s="836"/>
      <c r="R216" s="309"/>
      <c r="S216" s="309"/>
      <c r="T216" s="309"/>
      <c r="U216" s="309"/>
      <c r="V216" s="311"/>
      <c r="W216" s="311"/>
      <c r="X216" s="1647"/>
      <c r="Y216" s="311"/>
      <c r="Z216" s="311"/>
      <c r="AA216" s="311"/>
      <c r="AB216" s="311"/>
      <c r="AC216" s="311"/>
      <c r="AD216" s="311"/>
      <c r="AE216" s="311"/>
      <c r="AF216" s="311"/>
      <c r="AG216" s="311"/>
      <c r="AH216" s="311"/>
      <c r="AI216" s="311"/>
      <c r="AJ216" s="311"/>
      <c r="AK216" s="311"/>
      <c r="AL216" s="311"/>
      <c r="AM216" s="311"/>
    </row>
    <row r="217" spans="1:39" ht="15.75" customHeight="1">
      <c r="A217" s="1647"/>
      <c r="B217" s="311"/>
      <c r="C217" s="1647"/>
      <c r="D217" s="2173"/>
      <c r="E217" s="1586"/>
      <c r="F217" s="1954"/>
      <c r="G217" s="1586"/>
      <c r="H217" s="1586"/>
      <c r="I217" s="1647"/>
      <c r="J217" s="1647"/>
      <c r="K217" s="1647"/>
      <c r="L217" s="1586"/>
      <c r="M217" s="2174"/>
      <c r="N217" s="2174"/>
      <c r="O217" s="836"/>
      <c r="P217" s="2174"/>
      <c r="Q217" s="836"/>
      <c r="R217" s="309"/>
      <c r="S217" s="309"/>
      <c r="T217" s="309"/>
      <c r="U217" s="309"/>
      <c r="V217" s="311"/>
      <c r="W217" s="311"/>
      <c r="X217" s="1647"/>
      <c r="Y217" s="311"/>
      <c r="Z217" s="311"/>
      <c r="AA217" s="311"/>
      <c r="AB217" s="311"/>
      <c r="AC217" s="311"/>
      <c r="AD217" s="311"/>
      <c r="AE217" s="311"/>
      <c r="AF217" s="311"/>
      <c r="AG217" s="311"/>
      <c r="AH217" s="311"/>
      <c r="AI217" s="311"/>
      <c r="AJ217" s="311"/>
      <c r="AK217" s="311"/>
      <c r="AL217" s="311"/>
      <c r="AM217" s="311"/>
    </row>
    <row r="218" spans="1:39" ht="15.75" customHeight="1">
      <c r="A218" s="1647"/>
      <c r="B218" s="311"/>
      <c r="C218" s="1647"/>
      <c r="D218" s="2173"/>
      <c r="E218" s="1586"/>
      <c r="F218" s="1954"/>
      <c r="G218" s="1586"/>
      <c r="H218" s="1586"/>
      <c r="I218" s="1647"/>
      <c r="J218" s="1647"/>
      <c r="K218" s="1647"/>
      <c r="L218" s="1586"/>
      <c r="M218" s="2174"/>
      <c r="N218" s="2174"/>
      <c r="O218" s="836"/>
      <c r="P218" s="2174"/>
      <c r="Q218" s="836"/>
      <c r="R218" s="309"/>
      <c r="S218" s="309"/>
      <c r="T218" s="309"/>
      <c r="U218" s="309"/>
      <c r="V218" s="311"/>
      <c r="W218" s="311"/>
      <c r="X218" s="1647"/>
      <c r="Y218" s="311"/>
      <c r="Z218" s="311"/>
      <c r="AA218" s="311"/>
      <c r="AB218" s="311"/>
      <c r="AC218" s="311"/>
      <c r="AD218" s="311"/>
      <c r="AE218" s="311"/>
      <c r="AF218" s="311"/>
      <c r="AG218" s="311"/>
      <c r="AH218" s="311"/>
      <c r="AI218" s="311"/>
      <c r="AJ218" s="311"/>
      <c r="AK218" s="311"/>
      <c r="AL218" s="311"/>
      <c r="AM218" s="311"/>
    </row>
    <row r="219" spans="1:39" ht="15.75" customHeight="1">
      <c r="A219" s="1647"/>
      <c r="B219" s="311"/>
      <c r="C219" s="1647"/>
      <c r="D219" s="2173"/>
      <c r="E219" s="1586"/>
      <c r="F219" s="1954"/>
      <c r="G219" s="1586"/>
      <c r="H219" s="1586"/>
      <c r="I219" s="1647"/>
      <c r="J219" s="1647"/>
      <c r="K219" s="1647"/>
      <c r="L219" s="1586"/>
      <c r="M219" s="2174"/>
      <c r="N219" s="2174"/>
      <c r="O219" s="836"/>
      <c r="P219" s="2174"/>
      <c r="Q219" s="836"/>
      <c r="R219" s="309"/>
      <c r="S219" s="309"/>
      <c r="T219" s="309"/>
      <c r="U219" s="309"/>
      <c r="V219" s="311"/>
      <c r="W219" s="311"/>
      <c r="X219" s="1647"/>
      <c r="Y219" s="311"/>
      <c r="Z219" s="311"/>
      <c r="AA219" s="311"/>
      <c r="AB219" s="311"/>
      <c r="AC219" s="311"/>
      <c r="AD219" s="311"/>
      <c r="AE219" s="311"/>
      <c r="AF219" s="311"/>
      <c r="AG219" s="311"/>
      <c r="AH219" s="311"/>
      <c r="AI219" s="311"/>
      <c r="AJ219" s="311"/>
      <c r="AK219" s="311"/>
      <c r="AL219" s="311"/>
      <c r="AM219" s="311"/>
    </row>
    <row r="220" spans="1:39" ht="15.75" customHeight="1">
      <c r="A220" s="1647"/>
      <c r="B220" s="311"/>
      <c r="C220" s="1647"/>
      <c r="D220" s="2173"/>
      <c r="E220" s="1586"/>
      <c r="F220" s="1954"/>
      <c r="G220" s="1586"/>
      <c r="H220" s="1586"/>
      <c r="I220" s="1647"/>
      <c r="J220" s="1647"/>
      <c r="K220" s="1647"/>
      <c r="L220" s="1586"/>
      <c r="M220" s="2174"/>
      <c r="N220" s="2174"/>
      <c r="O220" s="836"/>
      <c r="P220" s="2174"/>
      <c r="Q220" s="836"/>
      <c r="R220" s="309"/>
      <c r="S220" s="309"/>
      <c r="T220" s="309"/>
      <c r="U220" s="309"/>
      <c r="V220" s="311"/>
      <c r="W220" s="311"/>
      <c r="X220" s="1647"/>
      <c r="Y220" s="311"/>
      <c r="Z220" s="311"/>
      <c r="AA220" s="311"/>
      <c r="AB220" s="311"/>
      <c r="AC220" s="311"/>
      <c r="AD220" s="311"/>
      <c r="AE220" s="311"/>
      <c r="AF220" s="311"/>
      <c r="AG220" s="311"/>
      <c r="AH220" s="311"/>
      <c r="AI220" s="311"/>
      <c r="AJ220" s="311"/>
      <c r="AK220" s="311"/>
      <c r="AL220" s="311"/>
      <c r="AM220" s="311"/>
    </row>
    <row r="221" spans="1:39" ht="15.75" customHeight="1">
      <c r="A221" s="1647"/>
      <c r="B221" s="311"/>
      <c r="C221" s="1647"/>
      <c r="D221" s="2173"/>
      <c r="E221" s="1586"/>
      <c r="F221" s="1954"/>
      <c r="G221" s="1586"/>
      <c r="H221" s="1586"/>
      <c r="I221" s="1647"/>
      <c r="J221" s="1647"/>
      <c r="K221" s="1647"/>
      <c r="L221" s="1586"/>
      <c r="M221" s="2174"/>
      <c r="N221" s="2174"/>
      <c r="O221" s="836"/>
      <c r="P221" s="2174"/>
      <c r="Q221" s="836"/>
      <c r="R221" s="309"/>
      <c r="S221" s="309"/>
      <c r="T221" s="309"/>
      <c r="U221" s="309"/>
      <c r="V221" s="311"/>
      <c r="W221" s="311"/>
      <c r="X221" s="1647"/>
      <c r="Y221" s="311"/>
      <c r="Z221" s="311"/>
      <c r="AA221" s="311"/>
      <c r="AB221" s="311"/>
      <c r="AC221" s="311"/>
      <c r="AD221" s="311"/>
      <c r="AE221" s="311"/>
      <c r="AF221" s="311"/>
      <c r="AG221" s="311"/>
      <c r="AH221" s="311"/>
      <c r="AI221" s="311"/>
      <c r="AJ221" s="311"/>
      <c r="AK221" s="311"/>
      <c r="AL221" s="311"/>
      <c r="AM221" s="311"/>
    </row>
    <row r="222" spans="1:39" ht="15.75" customHeight="1">
      <c r="A222" s="1647"/>
      <c r="B222" s="311"/>
      <c r="C222" s="1647"/>
      <c r="D222" s="2173"/>
      <c r="E222" s="1586"/>
      <c r="F222" s="1954"/>
      <c r="G222" s="1586"/>
      <c r="H222" s="1586"/>
      <c r="I222" s="1647"/>
      <c r="J222" s="1647"/>
      <c r="K222" s="1647"/>
      <c r="L222" s="1586"/>
      <c r="M222" s="2174"/>
      <c r="N222" s="2174"/>
      <c r="O222" s="836"/>
      <c r="P222" s="2174"/>
      <c r="Q222" s="836"/>
      <c r="R222" s="309"/>
      <c r="S222" s="309"/>
      <c r="T222" s="309"/>
      <c r="U222" s="309"/>
      <c r="V222" s="311"/>
      <c r="W222" s="311"/>
      <c r="X222" s="1647"/>
      <c r="Y222" s="311"/>
      <c r="Z222" s="311"/>
      <c r="AA222" s="311"/>
      <c r="AB222" s="311"/>
      <c r="AC222" s="311"/>
      <c r="AD222" s="311"/>
      <c r="AE222" s="311"/>
      <c r="AF222" s="311"/>
      <c r="AG222" s="311"/>
      <c r="AH222" s="311"/>
      <c r="AI222" s="311"/>
      <c r="AJ222" s="311"/>
      <c r="AK222" s="311"/>
      <c r="AL222" s="311"/>
      <c r="AM222" s="311"/>
    </row>
    <row r="223" spans="1:39" ht="15.75" customHeight="1">
      <c r="A223" s="1647"/>
      <c r="B223" s="311"/>
      <c r="C223" s="1647"/>
      <c r="D223" s="2173"/>
      <c r="E223" s="1586"/>
      <c r="F223" s="1954"/>
      <c r="G223" s="1586"/>
      <c r="H223" s="1586"/>
      <c r="I223" s="1647"/>
      <c r="J223" s="1647"/>
      <c r="K223" s="1647"/>
      <c r="L223" s="1586"/>
      <c r="M223" s="2174"/>
      <c r="N223" s="2174"/>
      <c r="O223" s="836"/>
      <c r="P223" s="2174"/>
      <c r="Q223" s="836"/>
      <c r="R223" s="309"/>
      <c r="S223" s="309"/>
      <c r="T223" s="309"/>
      <c r="U223" s="309"/>
      <c r="V223" s="311"/>
      <c r="W223" s="311"/>
      <c r="X223" s="1647"/>
      <c r="Y223" s="311"/>
      <c r="Z223" s="311"/>
      <c r="AA223" s="311"/>
      <c r="AB223" s="311"/>
      <c r="AC223" s="311"/>
      <c r="AD223" s="311"/>
      <c r="AE223" s="311"/>
      <c r="AF223" s="311"/>
      <c r="AG223" s="311"/>
      <c r="AH223" s="311"/>
      <c r="AI223" s="311"/>
      <c r="AJ223" s="311"/>
      <c r="AK223" s="311"/>
      <c r="AL223" s="311"/>
      <c r="AM223" s="311"/>
    </row>
    <row r="224" spans="1:39" ht="15.75" customHeight="1">
      <c r="A224" s="1647"/>
      <c r="B224" s="311"/>
      <c r="C224" s="1647"/>
      <c r="D224" s="2173"/>
      <c r="E224" s="1586"/>
      <c r="F224" s="1954"/>
      <c r="G224" s="1586"/>
      <c r="H224" s="1586"/>
      <c r="I224" s="1647"/>
      <c r="J224" s="1647"/>
      <c r="K224" s="1647"/>
      <c r="L224" s="1586"/>
      <c r="M224" s="2174"/>
      <c r="N224" s="2174"/>
      <c r="O224" s="836"/>
      <c r="P224" s="2174"/>
      <c r="Q224" s="836"/>
      <c r="R224" s="309"/>
      <c r="S224" s="309"/>
      <c r="T224" s="309"/>
      <c r="U224" s="309"/>
      <c r="V224" s="311"/>
      <c r="W224" s="311"/>
      <c r="X224" s="1647"/>
      <c r="Y224" s="311"/>
      <c r="Z224" s="311"/>
      <c r="AA224" s="311"/>
      <c r="AB224" s="311"/>
      <c r="AC224" s="311"/>
      <c r="AD224" s="311"/>
      <c r="AE224" s="311"/>
      <c r="AF224" s="311"/>
      <c r="AG224" s="311"/>
      <c r="AH224" s="311"/>
      <c r="AI224" s="311"/>
      <c r="AJ224" s="311"/>
      <c r="AK224" s="311"/>
      <c r="AL224" s="311"/>
      <c r="AM224" s="311"/>
    </row>
    <row r="225" spans="1:39" ht="15.75" customHeight="1">
      <c r="A225" s="1647"/>
      <c r="B225" s="311"/>
      <c r="C225" s="1647"/>
      <c r="D225" s="2173"/>
      <c r="E225" s="1586"/>
      <c r="F225" s="1954"/>
      <c r="G225" s="1586"/>
      <c r="H225" s="1586"/>
      <c r="I225" s="1647"/>
      <c r="J225" s="1647"/>
      <c r="K225" s="1647"/>
      <c r="L225" s="1586"/>
      <c r="M225" s="2174"/>
      <c r="N225" s="2174"/>
      <c r="O225" s="836"/>
      <c r="P225" s="2174"/>
      <c r="Q225" s="836"/>
      <c r="R225" s="309"/>
      <c r="S225" s="309"/>
      <c r="T225" s="309"/>
      <c r="U225" s="309"/>
      <c r="V225" s="311"/>
      <c r="W225" s="311"/>
      <c r="X225" s="1647"/>
      <c r="Y225" s="311"/>
      <c r="Z225" s="311"/>
      <c r="AA225" s="311"/>
      <c r="AB225" s="311"/>
      <c r="AC225" s="311"/>
      <c r="AD225" s="311"/>
      <c r="AE225" s="311"/>
      <c r="AF225" s="311"/>
      <c r="AG225" s="311"/>
      <c r="AH225" s="311"/>
      <c r="AI225" s="311"/>
      <c r="AJ225" s="311"/>
      <c r="AK225" s="311"/>
      <c r="AL225" s="311"/>
      <c r="AM225" s="311"/>
    </row>
    <row r="226" spans="1:39" ht="15.75" customHeight="1">
      <c r="A226" s="1647"/>
      <c r="B226" s="311"/>
      <c r="C226" s="1647"/>
      <c r="D226" s="2173"/>
      <c r="E226" s="1586"/>
      <c r="F226" s="1954"/>
      <c r="G226" s="1586"/>
      <c r="H226" s="1586"/>
      <c r="I226" s="1647"/>
      <c r="J226" s="1647"/>
      <c r="K226" s="1647"/>
      <c r="L226" s="1586"/>
      <c r="M226" s="2174"/>
      <c r="N226" s="2174"/>
      <c r="O226" s="836"/>
      <c r="P226" s="2174"/>
      <c r="Q226" s="836"/>
      <c r="R226" s="309"/>
      <c r="S226" s="309"/>
      <c r="T226" s="309"/>
      <c r="U226" s="309"/>
      <c r="V226" s="311"/>
      <c r="W226" s="311"/>
      <c r="X226" s="1647"/>
      <c r="Y226" s="311"/>
      <c r="Z226" s="311"/>
      <c r="AA226" s="311"/>
      <c r="AB226" s="311"/>
      <c r="AC226" s="311"/>
      <c r="AD226" s="311"/>
      <c r="AE226" s="311"/>
      <c r="AF226" s="311"/>
      <c r="AG226" s="311"/>
      <c r="AH226" s="311"/>
      <c r="AI226" s="311"/>
      <c r="AJ226" s="311"/>
      <c r="AK226" s="311"/>
      <c r="AL226" s="311"/>
      <c r="AM226" s="311"/>
    </row>
    <row r="227" spans="1:39" ht="15.75" customHeight="1">
      <c r="A227" s="1647"/>
      <c r="B227" s="311"/>
      <c r="C227" s="1647"/>
      <c r="D227" s="2173"/>
      <c r="E227" s="1586"/>
      <c r="F227" s="1954"/>
      <c r="G227" s="1586"/>
      <c r="H227" s="1586"/>
      <c r="I227" s="1647"/>
      <c r="J227" s="1647"/>
      <c r="K227" s="1647"/>
      <c r="L227" s="1586"/>
      <c r="M227" s="2174"/>
      <c r="N227" s="2174"/>
      <c r="O227" s="836"/>
      <c r="P227" s="2174"/>
      <c r="Q227" s="836"/>
      <c r="R227" s="309"/>
      <c r="S227" s="309"/>
      <c r="T227" s="309"/>
      <c r="U227" s="309"/>
      <c r="V227" s="311"/>
      <c r="W227" s="311"/>
      <c r="X227" s="1647"/>
      <c r="Y227" s="311"/>
      <c r="Z227" s="311"/>
      <c r="AA227" s="311"/>
      <c r="AB227" s="311"/>
      <c r="AC227" s="311"/>
      <c r="AD227" s="311"/>
      <c r="AE227" s="311"/>
      <c r="AF227" s="311"/>
      <c r="AG227" s="311"/>
      <c r="AH227" s="311"/>
      <c r="AI227" s="311"/>
      <c r="AJ227" s="311"/>
      <c r="AK227" s="311"/>
      <c r="AL227" s="311"/>
      <c r="AM227" s="311"/>
    </row>
    <row r="228" spans="1:39" ht="15.75" customHeight="1">
      <c r="A228" s="1647"/>
      <c r="B228" s="311"/>
      <c r="C228" s="1647"/>
      <c r="D228" s="2173"/>
      <c r="E228" s="1586"/>
      <c r="F228" s="1954"/>
      <c r="G228" s="1586"/>
      <c r="H228" s="1586"/>
      <c r="I228" s="1647"/>
      <c r="J228" s="1647"/>
      <c r="K228" s="1647"/>
      <c r="L228" s="1586"/>
      <c r="M228" s="2174"/>
      <c r="N228" s="2174"/>
      <c r="O228" s="836"/>
      <c r="P228" s="2174"/>
      <c r="Q228" s="836"/>
      <c r="R228" s="309"/>
      <c r="S228" s="309"/>
      <c r="T228" s="309"/>
      <c r="U228" s="309"/>
      <c r="V228" s="311"/>
      <c r="W228" s="311"/>
      <c r="X228" s="1647"/>
      <c r="Y228" s="311"/>
      <c r="Z228" s="311"/>
      <c r="AA228" s="311"/>
      <c r="AB228" s="311"/>
      <c r="AC228" s="311"/>
      <c r="AD228" s="311"/>
      <c r="AE228" s="311"/>
      <c r="AF228" s="311"/>
      <c r="AG228" s="311"/>
      <c r="AH228" s="311"/>
      <c r="AI228" s="311"/>
      <c r="AJ228" s="311"/>
      <c r="AK228" s="311"/>
      <c r="AL228" s="311"/>
      <c r="AM228" s="311"/>
    </row>
    <row r="229" spans="1:39" ht="15.75" customHeight="1">
      <c r="A229" s="1647"/>
      <c r="B229" s="311"/>
      <c r="C229" s="1647"/>
      <c r="D229" s="2173"/>
      <c r="E229" s="1586"/>
      <c r="F229" s="1954"/>
      <c r="G229" s="1586"/>
      <c r="H229" s="1586"/>
      <c r="I229" s="1647"/>
      <c r="J229" s="1647"/>
      <c r="K229" s="1647"/>
      <c r="L229" s="1586"/>
      <c r="M229" s="2174"/>
      <c r="N229" s="2174"/>
      <c r="O229" s="836"/>
      <c r="P229" s="2174"/>
      <c r="Q229" s="836"/>
      <c r="R229" s="309"/>
      <c r="S229" s="309"/>
      <c r="T229" s="309"/>
      <c r="U229" s="309"/>
      <c r="V229" s="311"/>
      <c r="W229" s="311"/>
      <c r="X229" s="1647"/>
      <c r="Y229" s="311"/>
      <c r="Z229" s="311"/>
      <c r="AA229" s="311"/>
      <c r="AB229" s="311"/>
      <c r="AC229" s="311"/>
      <c r="AD229" s="311"/>
      <c r="AE229" s="311"/>
      <c r="AF229" s="311"/>
      <c r="AG229" s="311"/>
      <c r="AH229" s="311"/>
      <c r="AI229" s="311"/>
      <c r="AJ229" s="311"/>
      <c r="AK229" s="311"/>
      <c r="AL229" s="311"/>
      <c r="AM229" s="311"/>
    </row>
    <row r="230" spans="1:39" ht="15.75" customHeight="1">
      <c r="A230" s="1647"/>
      <c r="B230" s="311"/>
      <c r="C230" s="1647"/>
      <c r="D230" s="2173"/>
      <c r="E230" s="1586"/>
      <c r="F230" s="1954"/>
      <c r="G230" s="1586"/>
      <c r="H230" s="1586"/>
      <c r="I230" s="1647"/>
      <c r="J230" s="1647"/>
      <c r="K230" s="1647"/>
      <c r="L230" s="1586"/>
      <c r="M230" s="2174"/>
      <c r="N230" s="2174"/>
      <c r="O230" s="836"/>
      <c r="P230" s="2174"/>
      <c r="Q230" s="836"/>
      <c r="R230" s="309"/>
      <c r="S230" s="309"/>
      <c r="T230" s="309"/>
      <c r="U230" s="309"/>
      <c r="V230" s="311"/>
      <c r="W230" s="311"/>
      <c r="X230" s="1647"/>
      <c r="Y230" s="311"/>
      <c r="Z230" s="311"/>
      <c r="AA230" s="311"/>
      <c r="AB230" s="311"/>
      <c r="AC230" s="311"/>
      <c r="AD230" s="311"/>
      <c r="AE230" s="311"/>
      <c r="AF230" s="311"/>
      <c r="AG230" s="311"/>
      <c r="AH230" s="311"/>
      <c r="AI230" s="311"/>
      <c r="AJ230" s="311"/>
      <c r="AK230" s="311"/>
      <c r="AL230" s="311"/>
      <c r="AM230" s="311"/>
    </row>
    <row r="231" spans="1:39" ht="15.75" customHeight="1">
      <c r="A231" s="1647"/>
      <c r="B231" s="311"/>
      <c r="C231" s="1647"/>
      <c r="D231" s="2173"/>
      <c r="E231" s="1586"/>
      <c r="F231" s="1954"/>
      <c r="G231" s="1586"/>
      <c r="H231" s="1586"/>
      <c r="I231" s="1647"/>
      <c r="J231" s="1647"/>
      <c r="K231" s="1647"/>
      <c r="L231" s="1586"/>
      <c r="M231" s="2174"/>
      <c r="N231" s="2174"/>
      <c r="O231" s="836"/>
      <c r="P231" s="2174"/>
      <c r="Q231" s="836"/>
      <c r="R231" s="309"/>
      <c r="S231" s="309"/>
      <c r="T231" s="309"/>
      <c r="U231" s="309"/>
      <c r="V231" s="311"/>
      <c r="W231" s="311"/>
      <c r="X231" s="1647"/>
      <c r="Y231" s="311"/>
      <c r="Z231" s="311"/>
      <c r="AA231" s="311"/>
      <c r="AB231" s="311"/>
      <c r="AC231" s="311"/>
      <c r="AD231" s="311"/>
      <c r="AE231" s="311"/>
      <c r="AF231" s="311"/>
      <c r="AG231" s="311"/>
      <c r="AH231" s="311"/>
      <c r="AI231" s="311"/>
      <c r="AJ231" s="311"/>
      <c r="AK231" s="311"/>
      <c r="AL231" s="311"/>
      <c r="AM231" s="311"/>
    </row>
    <row r="232" spans="1:39" ht="15.75" customHeight="1">
      <c r="A232" s="1647"/>
      <c r="B232" s="311"/>
      <c r="C232" s="1647"/>
      <c r="D232" s="2173"/>
      <c r="E232" s="1586"/>
      <c r="F232" s="1954"/>
      <c r="G232" s="1586"/>
      <c r="H232" s="1586"/>
      <c r="I232" s="1647"/>
      <c r="J232" s="1647"/>
      <c r="K232" s="1647"/>
      <c r="L232" s="1586"/>
      <c r="M232" s="2174"/>
      <c r="N232" s="2174"/>
      <c r="O232" s="836"/>
      <c r="P232" s="2174"/>
      <c r="Q232" s="836"/>
      <c r="R232" s="309"/>
      <c r="S232" s="309"/>
      <c r="T232" s="309"/>
      <c r="U232" s="309"/>
      <c r="V232" s="311"/>
      <c r="W232" s="311"/>
      <c r="X232" s="1647"/>
      <c r="Y232" s="311"/>
      <c r="Z232" s="311"/>
      <c r="AA232" s="311"/>
      <c r="AB232" s="311"/>
      <c r="AC232" s="311"/>
      <c r="AD232" s="311"/>
      <c r="AE232" s="311"/>
      <c r="AF232" s="311"/>
      <c r="AG232" s="311"/>
      <c r="AH232" s="311"/>
      <c r="AI232" s="311"/>
      <c r="AJ232" s="311"/>
      <c r="AK232" s="311"/>
      <c r="AL232" s="311"/>
      <c r="AM232" s="311"/>
    </row>
    <row r="233" spans="1:39" ht="15.75" customHeight="1">
      <c r="A233" s="1647"/>
      <c r="B233" s="311"/>
      <c r="C233" s="1647"/>
      <c r="D233" s="2173"/>
      <c r="E233" s="1586"/>
      <c r="F233" s="1954"/>
      <c r="G233" s="1586"/>
      <c r="H233" s="1586"/>
      <c r="I233" s="1647"/>
      <c r="J233" s="1647"/>
      <c r="K233" s="1647"/>
      <c r="L233" s="1586"/>
      <c r="M233" s="2174"/>
      <c r="N233" s="2174"/>
      <c r="O233" s="836"/>
      <c r="P233" s="2174"/>
      <c r="Q233" s="836"/>
      <c r="R233" s="309"/>
      <c r="S233" s="309"/>
      <c r="T233" s="309"/>
      <c r="U233" s="309"/>
      <c r="V233" s="311"/>
      <c r="W233" s="311"/>
      <c r="X233" s="1647"/>
      <c r="Y233" s="311"/>
      <c r="Z233" s="311"/>
      <c r="AA233" s="311"/>
      <c r="AB233" s="311"/>
      <c r="AC233" s="311"/>
      <c r="AD233" s="311"/>
      <c r="AE233" s="311"/>
      <c r="AF233" s="311"/>
      <c r="AG233" s="311"/>
      <c r="AH233" s="311"/>
      <c r="AI233" s="311"/>
      <c r="AJ233" s="311"/>
      <c r="AK233" s="311"/>
      <c r="AL233" s="311"/>
      <c r="AM233" s="311"/>
    </row>
    <row r="234" spans="1:39" ht="15.75" customHeight="1">
      <c r="A234" s="1647"/>
      <c r="B234" s="311"/>
      <c r="C234" s="1647"/>
      <c r="D234" s="2173"/>
      <c r="E234" s="1586"/>
      <c r="F234" s="1954"/>
      <c r="G234" s="1586"/>
      <c r="H234" s="1586"/>
      <c r="I234" s="1647"/>
      <c r="J234" s="1647"/>
      <c r="K234" s="1647"/>
      <c r="L234" s="1586"/>
      <c r="M234" s="2174"/>
      <c r="N234" s="2174"/>
      <c r="O234" s="836"/>
      <c r="P234" s="2174"/>
      <c r="Q234" s="836"/>
      <c r="R234" s="309"/>
      <c r="S234" s="309"/>
      <c r="T234" s="309"/>
      <c r="U234" s="309"/>
      <c r="V234" s="311"/>
      <c r="W234" s="311"/>
      <c r="X234" s="1647"/>
      <c r="Y234" s="311"/>
      <c r="Z234" s="311"/>
      <c r="AA234" s="311"/>
      <c r="AB234" s="311"/>
      <c r="AC234" s="311"/>
      <c r="AD234" s="311"/>
      <c r="AE234" s="311"/>
      <c r="AF234" s="311"/>
      <c r="AG234" s="311"/>
      <c r="AH234" s="311"/>
      <c r="AI234" s="311"/>
      <c r="AJ234" s="311"/>
      <c r="AK234" s="311"/>
      <c r="AL234" s="311"/>
      <c r="AM234" s="311"/>
    </row>
    <row r="235" spans="1:39" ht="15.75" customHeight="1">
      <c r="A235" s="1647"/>
      <c r="B235" s="311"/>
      <c r="C235" s="1647"/>
      <c r="D235" s="2173"/>
      <c r="E235" s="1586"/>
      <c r="F235" s="1954"/>
      <c r="G235" s="1586"/>
      <c r="H235" s="1586"/>
      <c r="I235" s="1647"/>
      <c r="J235" s="1647"/>
      <c r="K235" s="1647"/>
      <c r="L235" s="1586"/>
      <c r="M235" s="2174"/>
      <c r="N235" s="2174"/>
      <c r="O235" s="836"/>
      <c r="P235" s="2174"/>
      <c r="Q235" s="836"/>
      <c r="R235" s="309"/>
      <c r="S235" s="309"/>
      <c r="T235" s="309"/>
      <c r="U235" s="309"/>
      <c r="V235" s="311"/>
      <c r="W235" s="311"/>
      <c r="X235" s="1647"/>
      <c r="Y235" s="311"/>
      <c r="Z235" s="311"/>
      <c r="AA235" s="311"/>
      <c r="AB235" s="311"/>
      <c r="AC235" s="311"/>
      <c r="AD235" s="311"/>
      <c r="AE235" s="311"/>
      <c r="AF235" s="311"/>
      <c r="AG235" s="311"/>
      <c r="AH235" s="311"/>
      <c r="AI235" s="311"/>
      <c r="AJ235" s="311"/>
      <c r="AK235" s="311"/>
      <c r="AL235" s="311"/>
      <c r="AM235" s="311"/>
    </row>
    <row r="236" spans="1:39" ht="15.75" customHeight="1">
      <c r="A236" s="1647"/>
      <c r="B236" s="311"/>
      <c r="C236" s="1647"/>
      <c r="D236" s="2173"/>
      <c r="E236" s="1586"/>
      <c r="F236" s="1954"/>
      <c r="G236" s="1586"/>
      <c r="H236" s="1586"/>
      <c r="I236" s="1647"/>
      <c r="J236" s="1647"/>
      <c r="K236" s="1647"/>
      <c r="L236" s="1586"/>
      <c r="M236" s="2174"/>
      <c r="N236" s="2174"/>
      <c r="O236" s="836"/>
      <c r="P236" s="2174"/>
      <c r="Q236" s="836"/>
      <c r="R236" s="309"/>
      <c r="S236" s="309"/>
      <c r="T236" s="309"/>
      <c r="U236" s="309"/>
      <c r="V236" s="311"/>
      <c r="W236" s="311"/>
      <c r="X236" s="1647"/>
      <c r="Y236" s="311"/>
      <c r="Z236" s="311"/>
      <c r="AA236" s="311"/>
      <c r="AB236" s="311"/>
      <c r="AC236" s="311"/>
      <c r="AD236" s="311"/>
      <c r="AE236" s="311"/>
      <c r="AF236" s="311"/>
      <c r="AG236" s="311"/>
      <c r="AH236" s="311"/>
      <c r="AI236" s="311"/>
      <c r="AJ236" s="311"/>
      <c r="AK236" s="311"/>
      <c r="AL236" s="311"/>
      <c r="AM236" s="311"/>
    </row>
    <row r="237" spans="1:39" ht="15.75" customHeight="1">
      <c r="A237" s="1647"/>
      <c r="B237" s="311"/>
      <c r="C237" s="1647"/>
      <c r="D237" s="2173"/>
      <c r="E237" s="1586"/>
      <c r="F237" s="1954"/>
      <c r="G237" s="1586"/>
      <c r="H237" s="1586"/>
      <c r="I237" s="1647"/>
      <c r="J237" s="1647"/>
      <c r="K237" s="1647"/>
      <c r="L237" s="1586"/>
      <c r="M237" s="2174"/>
      <c r="N237" s="2174"/>
      <c r="O237" s="836"/>
      <c r="P237" s="2174"/>
      <c r="Q237" s="836"/>
      <c r="R237" s="309"/>
      <c r="S237" s="309"/>
      <c r="T237" s="309"/>
      <c r="U237" s="309"/>
      <c r="V237" s="311"/>
      <c r="W237" s="311"/>
      <c r="X237" s="1647"/>
      <c r="Y237" s="311"/>
      <c r="Z237" s="311"/>
      <c r="AA237" s="311"/>
      <c r="AB237" s="311"/>
      <c r="AC237" s="311"/>
      <c r="AD237" s="311"/>
      <c r="AE237" s="311"/>
      <c r="AF237" s="311"/>
      <c r="AG237" s="311"/>
      <c r="AH237" s="311"/>
      <c r="AI237" s="311"/>
      <c r="AJ237" s="311"/>
      <c r="AK237" s="311"/>
      <c r="AL237" s="311"/>
      <c r="AM237" s="311"/>
    </row>
    <row r="238" spans="1:39" ht="15.75" customHeight="1">
      <c r="A238" s="1647"/>
      <c r="B238" s="311"/>
      <c r="C238" s="1647"/>
      <c r="D238" s="2173"/>
      <c r="E238" s="1586"/>
      <c r="F238" s="1954"/>
      <c r="G238" s="1586"/>
      <c r="H238" s="1586"/>
      <c r="I238" s="1647"/>
      <c r="J238" s="1647"/>
      <c r="K238" s="1647"/>
      <c r="L238" s="1586"/>
      <c r="M238" s="2174"/>
      <c r="N238" s="2174"/>
      <c r="O238" s="836"/>
      <c r="P238" s="2174"/>
      <c r="Q238" s="836"/>
      <c r="R238" s="309"/>
      <c r="S238" s="309"/>
      <c r="T238" s="309"/>
      <c r="U238" s="309"/>
      <c r="V238" s="311"/>
      <c r="W238" s="311"/>
      <c r="X238" s="1647"/>
      <c r="Y238" s="311"/>
      <c r="Z238" s="311"/>
      <c r="AA238" s="311"/>
      <c r="AB238" s="311"/>
      <c r="AC238" s="311"/>
      <c r="AD238" s="311"/>
      <c r="AE238" s="311"/>
      <c r="AF238" s="311"/>
      <c r="AG238" s="311"/>
      <c r="AH238" s="311"/>
      <c r="AI238" s="311"/>
      <c r="AJ238" s="311"/>
      <c r="AK238" s="311"/>
      <c r="AL238" s="311"/>
      <c r="AM238" s="311"/>
    </row>
    <row r="239" spans="1:39" ht="15.75" customHeight="1">
      <c r="A239" s="1647"/>
      <c r="B239" s="311"/>
      <c r="C239" s="1647"/>
      <c r="D239" s="2173"/>
      <c r="E239" s="1586"/>
      <c r="F239" s="1954"/>
      <c r="G239" s="1586"/>
      <c r="H239" s="1586"/>
      <c r="I239" s="1647"/>
      <c r="J239" s="1647"/>
      <c r="K239" s="1647"/>
      <c r="L239" s="1586"/>
      <c r="M239" s="2174"/>
      <c r="N239" s="2174"/>
      <c r="O239" s="836"/>
      <c r="P239" s="2174"/>
      <c r="Q239" s="836"/>
      <c r="R239" s="309"/>
      <c r="S239" s="309"/>
      <c r="T239" s="309"/>
      <c r="U239" s="309"/>
      <c r="V239" s="311"/>
      <c r="W239" s="311"/>
      <c r="X239" s="1647"/>
      <c r="Y239" s="311"/>
      <c r="Z239" s="311"/>
      <c r="AA239" s="311"/>
      <c r="AB239" s="311"/>
      <c r="AC239" s="311"/>
      <c r="AD239" s="311"/>
      <c r="AE239" s="311"/>
      <c r="AF239" s="311"/>
      <c r="AG239" s="311"/>
      <c r="AH239" s="311"/>
      <c r="AI239" s="311"/>
      <c r="AJ239" s="311"/>
      <c r="AK239" s="311"/>
      <c r="AL239" s="311"/>
      <c r="AM239" s="311"/>
    </row>
    <row r="240" spans="1:39" ht="15.75" customHeight="1">
      <c r="A240" s="1647"/>
      <c r="B240" s="311"/>
      <c r="C240" s="1647"/>
      <c r="D240" s="2173"/>
      <c r="E240" s="1586"/>
      <c r="F240" s="1954"/>
      <c r="G240" s="1586"/>
      <c r="H240" s="1586"/>
      <c r="I240" s="1647"/>
      <c r="J240" s="1647"/>
      <c r="K240" s="1647"/>
      <c r="L240" s="1586"/>
      <c r="M240" s="2174"/>
      <c r="N240" s="2174"/>
      <c r="O240" s="836"/>
      <c r="P240" s="2174"/>
      <c r="Q240" s="836"/>
      <c r="R240" s="309"/>
      <c r="S240" s="309"/>
      <c r="T240" s="309"/>
      <c r="U240" s="309"/>
      <c r="V240" s="311"/>
      <c r="W240" s="311"/>
      <c r="X240" s="1647"/>
      <c r="Y240" s="311"/>
      <c r="Z240" s="311"/>
      <c r="AA240" s="311"/>
      <c r="AB240" s="311"/>
      <c r="AC240" s="311"/>
      <c r="AD240" s="311"/>
      <c r="AE240" s="311"/>
      <c r="AF240" s="311"/>
      <c r="AG240" s="311"/>
      <c r="AH240" s="311"/>
      <c r="AI240" s="311"/>
      <c r="AJ240" s="311"/>
      <c r="AK240" s="311"/>
      <c r="AL240" s="311"/>
      <c r="AM240" s="311"/>
    </row>
    <row r="241" spans="1:39" ht="15.75" customHeight="1">
      <c r="A241" s="1647"/>
      <c r="B241" s="311"/>
      <c r="C241" s="1647"/>
      <c r="D241" s="2173"/>
      <c r="E241" s="1586"/>
      <c r="F241" s="1954"/>
      <c r="G241" s="1586"/>
      <c r="H241" s="1586"/>
      <c r="I241" s="1647"/>
      <c r="J241" s="1647"/>
      <c r="K241" s="1647"/>
      <c r="L241" s="1586"/>
      <c r="M241" s="2174"/>
      <c r="N241" s="2174"/>
      <c r="O241" s="836"/>
      <c r="P241" s="2174"/>
      <c r="Q241" s="836"/>
      <c r="R241" s="309"/>
      <c r="S241" s="309"/>
      <c r="T241" s="309"/>
      <c r="U241" s="309"/>
      <c r="V241" s="311"/>
      <c r="W241" s="311"/>
      <c r="X241" s="1647"/>
      <c r="Y241" s="311"/>
      <c r="Z241" s="311"/>
      <c r="AA241" s="311"/>
      <c r="AB241" s="311"/>
      <c r="AC241" s="311"/>
      <c r="AD241" s="311"/>
      <c r="AE241" s="311"/>
      <c r="AF241" s="311"/>
      <c r="AG241" s="311"/>
      <c r="AH241" s="311"/>
      <c r="AI241" s="311"/>
      <c r="AJ241" s="311"/>
      <c r="AK241" s="311"/>
      <c r="AL241" s="311"/>
      <c r="AM241" s="311"/>
    </row>
    <row r="242" spans="1:39" ht="15.75" customHeight="1">
      <c r="A242" s="1647"/>
      <c r="B242" s="311"/>
      <c r="C242" s="1647"/>
      <c r="D242" s="2173"/>
      <c r="E242" s="1586"/>
      <c r="F242" s="1954"/>
      <c r="G242" s="1586"/>
      <c r="H242" s="1586"/>
      <c r="I242" s="1647"/>
      <c r="J242" s="1647"/>
      <c r="K242" s="1647"/>
      <c r="L242" s="1586"/>
      <c r="M242" s="2174"/>
      <c r="N242" s="2174"/>
      <c r="O242" s="836"/>
      <c r="P242" s="2174"/>
      <c r="Q242" s="836"/>
      <c r="R242" s="309"/>
      <c r="S242" s="309"/>
      <c r="T242" s="309"/>
      <c r="U242" s="309"/>
      <c r="V242" s="311"/>
      <c r="W242" s="311"/>
      <c r="X242" s="1647"/>
      <c r="Y242" s="311"/>
      <c r="Z242" s="311"/>
      <c r="AA242" s="311"/>
      <c r="AB242" s="311"/>
      <c r="AC242" s="311"/>
      <c r="AD242" s="311"/>
      <c r="AE242" s="311"/>
      <c r="AF242" s="311"/>
      <c r="AG242" s="311"/>
      <c r="AH242" s="311"/>
      <c r="AI242" s="311"/>
      <c r="AJ242" s="311"/>
      <c r="AK242" s="311"/>
      <c r="AL242" s="311"/>
      <c r="AM242" s="311"/>
    </row>
    <row r="243" spans="1:39" ht="15.75" customHeight="1">
      <c r="A243" s="1647"/>
      <c r="B243" s="311"/>
      <c r="C243" s="1647"/>
      <c r="D243" s="2173"/>
      <c r="E243" s="1586"/>
      <c r="F243" s="1954"/>
      <c r="G243" s="1586"/>
      <c r="H243" s="1586"/>
      <c r="I243" s="1647"/>
      <c r="J243" s="1647"/>
      <c r="K243" s="1647"/>
      <c r="L243" s="1586"/>
      <c r="M243" s="2174"/>
      <c r="N243" s="2174"/>
      <c r="O243" s="836"/>
      <c r="P243" s="2174"/>
      <c r="Q243" s="836"/>
      <c r="R243" s="309"/>
      <c r="S243" s="309"/>
      <c r="T243" s="309"/>
      <c r="U243" s="309"/>
      <c r="V243" s="311"/>
      <c r="W243" s="311"/>
      <c r="X243" s="1647"/>
      <c r="Y243" s="311"/>
      <c r="Z243" s="311"/>
      <c r="AA243" s="311"/>
      <c r="AB243" s="311"/>
      <c r="AC243" s="311"/>
      <c r="AD243" s="311"/>
      <c r="AE243" s="311"/>
      <c r="AF243" s="311"/>
      <c r="AG243" s="311"/>
      <c r="AH243" s="311"/>
      <c r="AI243" s="311"/>
      <c r="AJ243" s="311"/>
      <c r="AK243" s="311"/>
      <c r="AL243" s="311"/>
      <c r="AM243" s="311"/>
    </row>
    <row r="244" spans="1:39" ht="15.75" customHeight="1">
      <c r="A244" s="1647"/>
      <c r="B244" s="311"/>
      <c r="C244" s="1647"/>
      <c r="D244" s="2173"/>
      <c r="E244" s="1586"/>
      <c r="F244" s="1954"/>
      <c r="G244" s="1586"/>
      <c r="H244" s="1586"/>
      <c r="I244" s="1647"/>
      <c r="J244" s="1647"/>
      <c r="K244" s="1647"/>
      <c r="L244" s="1586"/>
      <c r="M244" s="2174"/>
      <c r="N244" s="2174"/>
      <c r="O244" s="836"/>
      <c r="P244" s="2174"/>
      <c r="Q244" s="836"/>
      <c r="R244" s="309"/>
      <c r="S244" s="309"/>
      <c r="T244" s="309"/>
      <c r="U244" s="309"/>
      <c r="V244" s="311"/>
      <c r="W244" s="311"/>
      <c r="X244" s="1647"/>
      <c r="Y244" s="311"/>
      <c r="Z244" s="311"/>
      <c r="AA244" s="311"/>
      <c r="AB244" s="311"/>
      <c r="AC244" s="311"/>
      <c r="AD244" s="311"/>
      <c r="AE244" s="311"/>
      <c r="AF244" s="311"/>
      <c r="AG244" s="311"/>
      <c r="AH244" s="311"/>
      <c r="AI244" s="311"/>
      <c r="AJ244" s="311"/>
      <c r="AK244" s="311"/>
      <c r="AL244" s="311"/>
      <c r="AM244" s="311"/>
    </row>
    <row r="245" spans="1:39" ht="15.75" customHeight="1">
      <c r="A245" s="1647"/>
      <c r="B245" s="311"/>
      <c r="C245" s="1647"/>
      <c r="D245" s="2173"/>
      <c r="E245" s="1586"/>
      <c r="F245" s="1954"/>
      <c r="G245" s="1586"/>
      <c r="H245" s="1586"/>
      <c r="I245" s="1647"/>
      <c r="J245" s="1647"/>
      <c r="K245" s="1647"/>
      <c r="L245" s="1586"/>
      <c r="M245" s="2174"/>
      <c r="N245" s="2174"/>
      <c r="O245" s="836"/>
      <c r="P245" s="2174"/>
      <c r="Q245" s="836"/>
      <c r="R245" s="309"/>
      <c r="S245" s="309"/>
      <c r="T245" s="309"/>
      <c r="U245" s="309"/>
      <c r="V245" s="311"/>
      <c r="W245" s="311"/>
      <c r="X245" s="1647"/>
      <c r="Y245" s="311"/>
      <c r="Z245" s="311"/>
      <c r="AA245" s="311"/>
      <c r="AB245" s="311"/>
      <c r="AC245" s="311"/>
      <c r="AD245" s="311"/>
      <c r="AE245" s="311"/>
      <c r="AF245" s="311"/>
      <c r="AG245" s="311"/>
      <c r="AH245" s="311"/>
      <c r="AI245" s="311"/>
      <c r="AJ245" s="311"/>
      <c r="AK245" s="311"/>
      <c r="AL245" s="311"/>
      <c r="AM245" s="311"/>
    </row>
    <row r="246" spans="1:39" ht="15.75" customHeight="1">
      <c r="A246" s="1647"/>
      <c r="B246" s="311"/>
      <c r="C246" s="1647"/>
      <c r="D246" s="2173"/>
      <c r="E246" s="1586"/>
      <c r="F246" s="1954"/>
      <c r="G246" s="1586"/>
      <c r="H246" s="1586"/>
      <c r="I246" s="1647"/>
      <c r="J246" s="1647"/>
      <c r="K246" s="1647"/>
      <c r="L246" s="1586"/>
      <c r="M246" s="2174"/>
      <c r="N246" s="2174"/>
      <c r="O246" s="836"/>
      <c r="P246" s="2174"/>
      <c r="Q246" s="836"/>
      <c r="R246" s="309"/>
      <c r="S246" s="309"/>
      <c r="T246" s="309"/>
      <c r="U246" s="309"/>
      <c r="V246" s="311"/>
      <c r="W246" s="311"/>
      <c r="X246" s="1647"/>
      <c r="Y246" s="311"/>
      <c r="Z246" s="311"/>
      <c r="AA246" s="311"/>
      <c r="AB246" s="311"/>
      <c r="AC246" s="311"/>
      <c r="AD246" s="311"/>
      <c r="AE246" s="311"/>
      <c r="AF246" s="311"/>
      <c r="AG246" s="311"/>
      <c r="AH246" s="311"/>
      <c r="AI246" s="311"/>
      <c r="AJ246" s="311"/>
      <c r="AK246" s="311"/>
      <c r="AL246" s="311"/>
      <c r="AM246" s="311"/>
    </row>
    <row r="247" spans="1:39" ht="15.75" customHeight="1">
      <c r="A247" s="1647"/>
      <c r="B247" s="311"/>
      <c r="C247" s="1647"/>
      <c r="D247" s="2173"/>
      <c r="E247" s="1586"/>
      <c r="F247" s="1954"/>
      <c r="G247" s="1586"/>
      <c r="H247" s="1586"/>
      <c r="I247" s="1647"/>
      <c r="J247" s="1647"/>
      <c r="K247" s="1647"/>
      <c r="L247" s="1586"/>
      <c r="M247" s="2174"/>
      <c r="N247" s="2174"/>
      <c r="O247" s="836"/>
      <c r="P247" s="2174"/>
      <c r="Q247" s="836"/>
      <c r="R247" s="309"/>
      <c r="S247" s="309"/>
      <c r="T247" s="309"/>
      <c r="U247" s="309"/>
      <c r="V247" s="311"/>
      <c r="W247" s="311"/>
      <c r="X247" s="1647"/>
      <c r="Y247" s="311"/>
      <c r="Z247" s="311"/>
      <c r="AA247" s="311"/>
      <c r="AB247" s="311"/>
      <c r="AC247" s="311"/>
      <c r="AD247" s="311"/>
      <c r="AE247" s="311"/>
      <c r="AF247" s="311"/>
      <c r="AG247" s="311"/>
      <c r="AH247" s="311"/>
      <c r="AI247" s="311"/>
      <c r="AJ247" s="311"/>
      <c r="AK247" s="311"/>
      <c r="AL247" s="311"/>
      <c r="AM247" s="311"/>
    </row>
    <row r="248" spans="1:39" ht="15.75" customHeight="1">
      <c r="A248" s="1647"/>
      <c r="B248" s="311"/>
      <c r="C248" s="1647"/>
      <c r="D248" s="2173"/>
      <c r="E248" s="1586"/>
      <c r="F248" s="1954"/>
      <c r="G248" s="1586"/>
      <c r="H248" s="1586"/>
      <c r="I248" s="1647"/>
      <c r="J248" s="1647"/>
      <c r="K248" s="1647"/>
      <c r="L248" s="1586"/>
      <c r="M248" s="2174"/>
      <c r="N248" s="2174"/>
      <c r="O248" s="836"/>
      <c r="P248" s="2174"/>
      <c r="Q248" s="836"/>
      <c r="R248" s="309"/>
      <c r="S248" s="309"/>
      <c r="T248" s="309"/>
      <c r="U248" s="309"/>
      <c r="V248" s="311"/>
      <c r="W248" s="311"/>
      <c r="X248" s="1647"/>
      <c r="Y248" s="311"/>
      <c r="Z248" s="311"/>
      <c r="AA248" s="311"/>
      <c r="AB248" s="311"/>
      <c r="AC248" s="311"/>
      <c r="AD248" s="311"/>
      <c r="AE248" s="311"/>
      <c r="AF248" s="311"/>
      <c r="AG248" s="311"/>
      <c r="AH248" s="311"/>
      <c r="AI248" s="311"/>
      <c r="AJ248" s="311"/>
      <c r="AK248" s="311"/>
      <c r="AL248" s="311"/>
      <c r="AM248" s="311"/>
    </row>
    <row r="249" spans="1:39" ht="15.75" customHeight="1">
      <c r="A249" s="1647"/>
      <c r="B249" s="311"/>
      <c r="C249" s="1647"/>
      <c r="D249" s="2173"/>
      <c r="E249" s="1586"/>
      <c r="F249" s="1954"/>
      <c r="G249" s="1586"/>
      <c r="H249" s="1586"/>
      <c r="I249" s="1647"/>
      <c r="J249" s="1647"/>
      <c r="K249" s="1647"/>
      <c r="L249" s="1586"/>
      <c r="M249" s="2174"/>
      <c r="N249" s="2174"/>
      <c r="O249" s="836"/>
      <c r="P249" s="2174"/>
      <c r="Q249" s="836"/>
      <c r="R249" s="309"/>
      <c r="S249" s="309"/>
      <c r="T249" s="309"/>
      <c r="U249" s="309"/>
      <c r="V249" s="311"/>
      <c r="W249" s="311"/>
      <c r="X249" s="1647"/>
      <c r="Y249" s="311"/>
      <c r="Z249" s="311"/>
      <c r="AA249" s="311"/>
      <c r="AB249" s="311"/>
      <c r="AC249" s="311"/>
      <c r="AD249" s="311"/>
      <c r="AE249" s="311"/>
      <c r="AF249" s="311"/>
      <c r="AG249" s="311"/>
      <c r="AH249" s="311"/>
      <c r="AI249" s="311"/>
      <c r="AJ249" s="311"/>
      <c r="AK249" s="311"/>
      <c r="AL249" s="311"/>
      <c r="AM249" s="311"/>
    </row>
    <row r="250" spans="1:39" ht="15.75" customHeight="1">
      <c r="A250" s="1647"/>
      <c r="B250" s="311"/>
      <c r="C250" s="1647"/>
      <c r="D250" s="2173"/>
      <c r="E250" s="1586"/>
      <c r="F250" s="1954"/>
      <c r="G250" s="1586"/>
      <c r="H250" s="1586"/>
      <c r="I250" s="1647"/>
      <c r="J250" s="1647"/>
      <c r="K250" s="1647"/>
      <c r="L250" s="1586"/>
      <c r="M250" s="2174"/>
      <c r="N250" s="2174"/>
      <c r="O250" s="836"/>
      <c r="P250" s="2174"/>
      <c r="Q250" s="836"/>
      <c r="R250" s="309"/>
      <c r="S250" s="309"/>
      <c r="T250" s="309"/>
      <c r="U250" s="309"/>
      <c r="V250" s="311"/>
      <c r="W250" s="311"/>
      <c r="X250" s="1647"/>
      <c r="Y250" s="311"/>
      <c r="Z250" s="311"/>
      <c r="AA250" s="311"/>
      <c r="AB250" s="311"/>
      <c r="AC250" s="311"/>
      <c r="AD250" s="311"/>
      <c r="AE250" s="311"/>
      <c r="AF250" s="311"/>
      <c r="AG250" s="311"/>
      <c r="AH250" s="311"/>
      <c r="AI250" s="311"/>
      <c r="AJ250" s="311"/>
      <c r="AK250" s="311"/>
      <c r="AL250" s="311"/>
      <c r="AM250" s="311"/>
    </row>
    <row r="251" spans="1:39" ht="15.75" customHeight="1">
      <c r="A251" s="1647"/>
      <c r="B251" s="311"/>
      <c r="C251" s="1647"/>
      <c r="D251" s="2173"/>
      <c r="E251" s="1586"/>
      <c r="F251" s="1954"/>
      <c r="G251" s="1586"/>
      <c r="H251" s="1586"/>
      <c r="I251" s="1647"/>
      <c r="J251" s="1647"/>
      <c r="K251" s="1647"/>
      <c r="L251" s="1586"/>
      <c r="M251" s="2174"/>
      <c r="N251" s="2174"/>
      <c r="O251" s="836"/>
      <c r="P251" s="2174"/>
      <c r="Q251" s="836"/>
      <c r="R251" s="309"/>
      <c r="S251" s="309"/>
      <c r="T251" s="309"/>
      <c r="U251" s="309"/>
      <c r="V251" s="311"/>
      <c r="W251" s="311"/>
      <c r="X251" s="1647"/>
      <c r="Y251" s="311"/>
      <c r="Z251" s="311"/>
      <c r="AA251" s="311"/>
      <c r="AB251" s="311"/>
      <c r="AC251" s="311"/>
      <c r="AD251" s="311"/>
      <c r="AE251" s="311"/>
      <c r="AF251" s="311"/>
      <c r="AG251" s="311"/>
      <c r="AH251" s="311"/>
      <c r="AI251" s="311"/>
      <c r="AJ251" s="311"/>
      <c r="AK251" s="311"/>
      <c r="AL251" s="311"/>
      <c r="AM251" s="311"/>
    </row>
    <row r="252" spans="1:39" ht="15.75" customHeight="1">
      <c r="A252" s="1647"/>
      <c r="B252" s="311"/>
      <c r="C252" s="1647"/>
      <c r="D252" s="2173"/>
      <c r="E252" s="1586"/>
      <c r="F252" s="1954"/>
      <c r="G252" s="1586"/>
      <c r="H252" s="1586"/>
      <c r="I252" s="1647"/>
      <c r="J252" s="1647"/>
      <c r="K252" s="1647"/>
      <c r="L252" s="1586"/>
      <c r="M252" s="2174"/>
      <c r="N252" s="2174"/>
      <c r="O252" s="836"/>
      <c r="P252" s="2174"/>
      <c r="Q252" s="836"/>
      <c r="R252" s="309"/>
      <c r="S252" s="309"/>
      <c r="T252" s="309"/>
      <c r="U252" s="309"/>
      <c r="V252" s="311"/>
      <c r="W252" s="311"/>
      <c r="X252" s="1647"/>
      <c r="Y252" s="311"/>
      <c r="Z252" s="311"/>
      <c r="AA252" s="311"/>
      <c r="AB252" s="311"/>
      <c r="AC252" s="311"/>
      <c r="AD252" s="311"/>
      <c r="AE252" s="311"/>
      <c r="AF252" s="311"/>
      <c r="AG252" s="311"/>
      <c r="AH252" s="311"/>
      <c r="AI252" s="311"/>
      <c r="AJ252" s="311"/>
      <c r="AK252" s="311"/>
      <c r="AL252" s="311"/>
      <c r="AM252" s="311"/>
    </row>
    <row r="253" spans="1:39" ht="15.75" customHeight="1">
      <c r="A253" s="1647"/>
      <c r="B253" s="311"/>
      <c r="C253" s="1647"/>
      <c r="D253" s="2173"/>
      <c r="E253" s="1586"/>
      <c r="F253" s="1954"/>
      <c r="G253" s="1586"/>
      <c r="H253" s="1586"/>
      <c r="I253" s="1647"/>
      <c r="J253" s="1647"/>
      <c r="K253" s="1647"/>
      <c r="L253" s="1586"/>
      <c r="M253" s="2174"/>
      <c r="N253" s="2174"/>
      <c r="O253" s="836"/>
      <c r="P253" s="2174"/>
      <c r="Q253" s="836"/>
      <c r="R253" s="309"/>
      <c r="S253" s="309"/>
      <c r="T253" s="309"/>
      <c r="U253" s="309"/>
      <c r="V253" s="311"/>
      <c r="W253" s="311"/>
      <c r="X253" s="1647"/>
      <c r="Y253" s="311"/>
      <c r="Z253" s="311"/>
      <c r="AA253" s="311"/>
      <c r="AB253" s="311"/>
      <c r="AC253" s="311"/>
      <c r="AD253" s="311"/>
      <c r="AE253" s="311"/>
      <c r="AF253" s="311"/>
      <c r="AG253" s="311"/>
      <c r="AH253" s="311"/>
      <c r="AI253" s="311"/>
      <c r="AJ253" s="311"/>
      <c r="AK253" s="311"/>
      <c r="AL253" s="311"/>
      <c r="AM253" s="311"/>
    </row>
    <row r="254" spans="1:39" ht="15.75" customHeight="1">
      <c r="A254" s="1647"/>
      <c r="B254" s="311"/>
      <c r="C254" s="1647"/>
      <c r="D254" s="2173"/>
      <c r="E254" s="1586"/>
      <c r="F254" s="1954"/>
      <c r="G254" s="1586"/>
      <c r="H254" s="1586"/>
      <c r="I254" s="1647"/>
      <c r="J254" s="1647"/>
      <c r="K254" s="1647"/>
      <c r="L254" s="1586"/>
      <c r="M254" s="2174"/>
      <c r="N254" s="2174"/>
      <c r="O254" s="836"/>
      <c r="P254" s="2174"/>
      <c r="Q254" s="836"/>
      <c r="R254" s="309"/>
      <c r="S254" s="309"/>
      <c r="T254" s="309"/>
      <c r="U254" s="309"/>
      <c r="V254" s="311"/>
      <c r="W254" s="311"/>
      <c r="X254" s="1647"/>
      <c r="Y254" s="311"/>
      <c r="Z254" s="311"/>
      <c r="AA254" s="311"/>
      <c r="AB254" s="311"/>
      <c r="AC254" s="311"/>
      <c r="AD254" s="311"/>
      <c r="AE254" s="311"/>
      <c r="AF254" s="311"/>
      <c r="AG254" s="311"/>
      <c r="AH254" s="311"/>
      <c r="AI254" s="311"/>
      <c r="AJ254" s="311"/>
      <c r="AK254" s="311"/>
      <c r="AL254" s="311"/>
      <c r="AM254" s="311"/>
    </row>
    <row r="255" spans="1:39" ht="15.75" customHeight="1">
      <c r="A255" s="1647"/>
      <c r="B255" s="311"/>
      <c r="C255" s="1647"/>
      <c r="D255" s="2173"/>
      <c r="E255" s="1586"/>
      <c r="F255" s="1954"/>
      <c r="G255" s="1586"/>
      <c r="H255" s="1586"/>
      <c r="I255" s="1647"/>
      <c r="J255" s="1647"/>
      <c r="K255" s="1647"/>
      <c r="L255" s="1586"/>
      <c r="M255" s="2174"/>
      <c r="N255" s="2174"/>
      <c r="O255" s="836"/>
      <c r="P255" s="2174"/>
      <c r="Q255" s="836"/>
      <c r="R255" s="309"/>
      <c r="S255" s="309"/>
      <c r="T255" s="309"/>
      <c r="U255" s="309"/>
      <c r="V255" s="311"/>
      <c r="W255" s="311"/>
      <c r="X255" s="1647"/>
      <c r="Y255" s="311"/>
      <c r="Z255" s="311"/>
      <c r="AA255" s="311"/>
      <c r="AB255" s="311"/>
      <c r="AC255" s="311"/>
      <c r="AD255" s="311"/>
      <c r="AE255" s="311"/>
      <c r="AF255" s="311"/>
      <c r="AG255" s="311"/>
      <c r="AH255" s="311"/>
      <c r="AI255" s="311"/>
      <c r="AJ255" s="311"/>
      <c r="AK255" s="311"/>
      <c r="AL255" s="311"/>
      <c r="AM255" s="311"/>
    </row>
    <row r="256" spans="1:39" ht="15.75" customHeight="1">
      <c r="A256" s="1647"/>
      <c r="B256" s="311"/>
      <c r="C256" s="1647"/>
      <c r="D256" s="2173"/>
      <c r="E256" s="1586"/>
      <c r="F256" s="1954"/>
      <c r="G256" s="1586"/>
      <c r="H256" s="1586"/>
      <c r="I256" s="1647"/>
      <c r="J256" s="1647"/>
      <c r="K256" s="1647"/>
      <c r="L256" s="1586"/>
      <c r="M256" s="2174"/>
      <c r="N256" s="2174"/>
      <c r="O256" s="836"/>
      <c r="P256" s="2174"/>
      <c r="Q256" s="836"/>
      <c r="R256" s="309"/>
      <c r="S256" s="309"/>
      <c r="T256" s="309"/>
      <c r="U256" s="309"/>
      <c r="V256" s="311"/>
      <c r="W256" s="311"/>
      <c r="X256" s="1647"/>
      <c r="Y256" s="311"/>
      <c r="Z256" s="311"/>
      <c r="AA256" s="311"/>
      <c r="AB256" s="311"/>
      <c r="AC256" s="311"/>
      <c r="AD256" s="311"/>
      <c r="AE256" s="311"/>
      <c r="AF256" s="311"/>
      <c r="AG256" s="311"/>
      <c r="AH256" s="311"/>
      <c r="AI256" s="311"/>
      <c r="AJ256" s="311"/>
      <c r="AK256" s="311"/>
      <c r="AL256" s="311"/>
      <c r="AM256" s="311"/>
    </row>
    <row r="257" spans="1:39" ht="15.75" customHeight="1">
      <c r="A257" s="1647"/>
      <c r="B257" s="311"/>
      <c r="C257" s="1647"/>
      <c r="D257" s="2173"/>
      <c r="E257" s="1586"/>
      <c r="F257" s="1954"/>
      <c r="G257" s="1586"/>
      <c r="H257" s="1586"/>
      <c r="I257" s="1647"/>
      <c r="J257" s="1647"/>
      <c r="K257" s="1647"/>
      <c r="L257" s="1586"/>
      <c r="M257" s="2174"/>
      <c r="N257" s="2174"/>
      <c r="O257" s="836"/>
      <c r="P257" s="2174"/>
      <c r="Q257" s="836"/>
      <c r="R257" s="309"/>
      <c r="S257" s="309"/>
      <c r="T257" s="309"/>
      <c r="U257" s="309"/>
      <c r="V257" s="311"/>
      <c r="W257" s="311"/>
      <c r="X257" s="1647"/>
      <c r="Y257" s="311"/>
      <c r="Z257" s="311"/>
      <c r="AA257" s="311"/>
      <c r="AB257" s="311"/>
      <c r="AC257" s="311"/>
      <c r="AD257" s="311"/>
      <c r="AE257" s="311"/>
      <c r="AF257" s="311"/>
      <c r="AG257" s="311"/>
      <c r="AH257" s="311"/>
      <c r="AI257" s="311"/>
      <c r="AJ257" s="311"/>
      <c r="AK257" s="311"/>
      <c r="AL257" s="311"/>
      <c r="AM257" s="311"/>
    </row>
    <row r="258" spans="1:39" ht="15.75" customHeight="1">
      <c r="A258" s="1647"/>
      <c r="B258" s="311"/>
      <c r="C258" s="1647"/>
      <c r="D258" s="2173"/>
      <c r="E258" s="1586"/>
      <c r="F258" s="1954"/>
      <c r="G258" s="1586"/>
      <c r="H258" s="1586"/>
      <c r="I258" s="1647"/>
      <c r="J258" s="1647"/>
      <c r="K258" s="1647"/>
      <c r="L258" s="1586"/>
      <c r="M258" s="2174"/>
      <c r="N258" s="2174"/>
      <c r="O258" s="836"/>
      <c r="P258" s="2174"/>
      <c r="Q258" s="836"/>
      <c r="R258" s="309"/>
      <c r="S258" s="309"/>
      <c r="T258" s="309"/>
      <c r="U258" s="309"/>
      <c r="V258" s="311"/>
      <c r="W258" s="311"/>
      <c r="X258" s="1647"/>
      <c r="Y258" s="311"/>
      <c r="Z258" s="311"/>
      <c r="AA258" s="311"/>
      <c r="AB258" s="311"/>
      <c r="AC258" s="311"/>
      <c r="AD258" s="311"/>
      <c r="AE258" s="311"/>
      <c r="AF258" s="311"/>
      <c r="AG258" s="311"/>
      <c r="AH258" s="311"/>
      <c r="AI258" s="311"/>
      <c r="AJ258" s="311"/>
      <c r="AK258" s="311"/>
      <c r="AL258" s="311"/>
      <c r="AM258" s="311"/>
    </row>
    <row r="259" spans="1:39" ht="15.75" customHeight="1">
      <c r="A259" s="1647"/>
      <c r="B259" s="311"/>
      <c r="C259" s="1647"/>
      <c r="D259" s="2173"/>
      <c r="E259" s="1586"/>
      <c r="F259" s="1954"/>
      <c r="G259" s="1586"/>
      <c r="H259" s="1586"/>
      <c r="I259" s="1647"/>
      <c r="J259" s="1647"/>
      <c r="K259" s="1647"/>
      <c r="L259" s="1586"/>
      <c r="M259" s="2174"/>
      <c r="N259" s="2174"/>
      <c r="O259" s="836"/>
      <c r="P259" s="2174"/>
      <c r="Q259" s="836"/>
      <c r="R259" s="309"/>
      <c r="S259" s="309"/>
      <c r="T259" s="309"/>
      <c r="U259" s="309"/>
      <c r="V259" s="311"/>
      <c r="W259" s="311"/>
      <c r="X259" s="1647"/>
      <c r="Y259" s="311"/>
      <c r="Z259" s="311"/>
      <c r="AA259" s="311"/>
      <c r="AB259" s="311"/>
      <c r="AC259" s="311"/>
      <c r="AD259" s="311"/>
      <c r="AE259" s="311"/>
      <c r="AF259" s="311"/>
      <c r="AG259" s="311"/>
      <c r="AH259" s="311"/>
      <c r="AI259" s="311"/>
      <c r="AJ259" s="311"/>
      <c r="AK259" s="311"/>
      <c r="AL259" s="311"/>
      <c r="AM259" s="311"/>
    </row>
    <row r="260" spans="1:39" ht="15.75" customHeight="1">
      <c r="A260" s="1647"/>
      <c r="B260" s="311"/>
      <c r="C260" s="1647"/>
      <c r="D260" s="2173"/>
      <c r="E260" s="1586"/>
      <c r="F260" s="1954"/>
      <c r="G260" s="1586"/>
      <c r="H260" s="1586"/>
      <c r="I260" s="1647"/>
      <c r="J260" s="1647"/>
      <c r="K260" s="1647"/>
      <c r="L260" s="1586"/>
      <c r="M260" s="2174"/>
      <c r="N260" s="2174"/>
      <c r="O260" s="836"/>
      <c r="P260" s="2174"/>
      <c r="Q260" s="836"/>
      <c r="R260" s="309"/>
      <c r="S260" s="309"/>
      <c r="T260" s="309"/>
      <c r="U260" s="309"/>
      <c r="V260" s="311"/>
      <c r="W260" s="311"/>
      <c r="X260" s="1647"/>
      <c r="Y260" s="311"/>
      <c r="Z260" s="311"/>
      <c r="AA260" s="311"/>
      <c r="AB260" s="311"/>
      <c r="AC260" s="311"/>
      <c r="AD260" s="311"/>
      <c r="AE260" s="311"/>
      <c r="AF260" s="311"/>
      <c r="AG260" s="311"/>
      <c r="AH260" s="311"/>
      <c r="AI260" s="311"/>
      <c r="AJ260" s="311"/>
      <c r="AK260" s="311"/>
      <c r="AL260" s="311"/>
      <c r="AM260" s="311"/>
    </row>
    <row r="261" spans="1:39" ht="15.75" customHeight="1">
      <c r="A261" s="1647"/>
      <c r="B261" s="311"/>
      <c r="C261" s="1647"/>
      <c r="D261" s="2173"/>
      <c r="E261" s="1586"/>
      <c r="F261" s="1954"/>
      <c r="G261" s="1586"/>
      <c r="H261" s="1586"/>
      <c r="I261" s="1647"/>
      <c r="J261" s="1647"/>
      <c r="K261" s="1647"/>
      <c r="L261" s="1586"/>
      <c r="M261" s="2174"/>
      <c r="N261" s="2174"/>
      <c r="O261" s="836"/>
      <c r="P261" s="2174"/>
      <c r="Q261" s="836"/>
      <c r="R261" s="309"/>
      <c r="S261" s="309"/>
      <c r="T261" s="309"/>
      <c r="U261" s="309"/>
      <c r="V261" s="311"/>
      <c r="W261" s="311"/>
      <c r="X261" s="1647"/>
      <c r="Y261" s="311"/>
      <c r="Z261" s="311"/>
      <c r="AA261" s="311"/>
      <c r="AB261" s="311"/>
      <c r="AC261" s="311"/>
      <c r="AD261" s="311"/>
      <c r="AE261" s="311"/>
      <c r="AF261" s="311"/>
      <c r="AG261" s="311"/>
      <c r="AH261" s="311"/>
      <c r="AI261" s="311"/>
      <c r="AJ261" s="311"/>
      <c r="AK261" s="311"/>
      <c r="AL261" s="311"/>
      <c r="AM261" s="311"/>
    </row>
    <row r="262" spans="1:39" ht="15.75" customHeight="1">
      <c r="A262" s="1647"/>
      <c r="B262" s="311"/>
      <c r="C262" s="1647"/>
      <c r="D262" s="2173"/>
      <c r="E262" s="1586"/>
      <c r="F262" s="1954"/>
      <c r="G262" s="1586"/>
      <c r="H262" s="1586"/>
      <c r="I262" s="1647"/>
      <c r="J262" s="1647"/>
      <c r="K262" s="1647"/>
      <c r="L262" s="1586"/>
      <c r="M262" s="2174"/>
      <c r="N262" s="2174"/>
      <c r="O262" s="836"/>
      <c r="P262" s="2174"/>
      <c r="Q262" s="836"/>
      <c r="R262" s="309"/>
      <c r="S262" s="309"/>
      <c r="T262" s="309"/>
      <c r="U262" s="309"/>
      <c r="V262" s="311"/>
      <c r="W262" s="311"/>
      <c r="X262" s="1647"/>
      <c r="Y262" s="311"/>
      <c r="Z262" s="311"/>
      <c r="AA262" s="311"/>
      <c r="AB262" s="311"/>
      <c r="AC262" s="311"/>
      <c r="AD262" s="311"/>
      <c r="AE262" s="311"/>
      <c r="AF262" s="311"/>
      <c r="AG262" s="311"/>
      <c r="AH262" s="311"/>
      <c r="AI262" s="311"/>
      <c r="AJ262" s="311"/>
      <c r="AK262" s="311"/>
      <c r="AL262" s="311"/>
      <c r="AM262" s="311"/>
    </row>
    <row r="263" spans="1:39" ht="15.75" customHeight="1">
      <c r="A263" s="1647"/>
      <c r="B263" s="311"/>
      <c r="C263" s="1647"/>
      <c r="D263" s="2173"/>
      <c r="E263" s="1586"/>
      <c r="F263" s="1954"/>
      <c r="G263" s="1586"/>
      <c r="H263" s="1586"/>
      <c r="I263" s="1647"/>
      <c r="J263" s="1647"/>
      <c r="K263" s="1647"/>
      <c r="L263" s="1586"/>
      <c r="M263" s="2174"/>
      <c r="N263" s="2174"/>
      <c r="O263" s="836"/>
      <c r="P263" s="2174"/>
      <c r="Q263" s="836"/>
      <c r="R263" s="309"/>
      <c r="S263" s="309"/>
      <c r="T263" s="309"/>
      <c r="U263" s="309"/>
      <c r="V263" s="311"/>
      <c r="W263" s="311"/>
      <c r="X263" s="1647"/>
      <c r="Y263" s="311"/>
      <c r="Z263" s="311"/>
      <c r="AA263" s="311"/>
      <c r="AB263" s="311"/>
      <c r="AC263" s="311"/>
      <c r="AD263" s="311"/>
      <c r="AE263" s="311"/>
      <c r="AF263" s="311"/>
      <c r="AG263" s="311"/>
      <c r="AH263" s="311"/>
      <c r="AI263" s="311"/>
      <c r="AJ263" s="311"/>
      <c r="AK263" s="311"/>
      <c r="AL263" s="311"/>
      <c r="AM263" s="311"/>
    </row>
    <row r="264" spans="1:39" ht="15.75" customHeight="1">
      <c r="A264" s="1647"/>
      <c r="B264" s="311"/>
      <c r="C264" s="1647"/>
      <c r="D264" s="2173"/>
      <c r="E264" s="1586"/>
      <c r="F264" s="1954"/>
      <c r="G264" s="1586"/>
      <c r="H264" s="1586"/>
      <c r="I264" s="1647"/>
      <c r="J264" s="1647"/>
      <c r="K264" s="1647"/>
      <c r="L264" s="1586"/>
      <c r="M264" s="2174"/>
      <c r="N264" s="2174"/>
      <c r="O264" s="836"/>
      <c r="P264" s="2174"/>
      <c r="Q264" s="836"/>
      <c r="R264" s="309"/>
      <c r="S264" s="309"/>
      <c r="T264" s="309"/>
      <c r="U264" s="309"/>
      <c r="V264" s="311"/>
      <c r="W264" s="311"/>
      <c r="X264" s="1647"/>
      <c r="Y264" s="311"/>
      <c r="Z264" s="311"/>
      <c r="AA264" s="311"/>
      <c r="AB264" s="311"/>
      <c r="AC264" s="311"/>
      <c r="AD264" s="311"/>
      <c r="AE264" s="311"/>
      <c r="AF264" s="311"/>
      <c r="AG264" s="311"/>
      <c r="AH264" s="311"/>
      <c r="AI264" s="311"/>
      <c r="AJ264" s="311"/>
      <c r="AK264" s="311"/>
      <c r="AL264" s="311"/>
      <c r="AM264" s="311"/>
    </row>
    <row r="265" spans="1:39" ht="15.75" customHeight="1">
      <c r="A265" s="1647"/>
      <c r="B265" s="311"/>
      <c r="C265" s="1647"/>
      <c r="D265" s="2173"/>
      <c r="E265" s="1586"/>
      <c r="F265" s="1954"/>
      <c r="G265" s="1586"/>
      <c r="H265" s="1586"/>
      <c r="I265" s="1647"/>
      <c r="J265" s="1647"/>
      <c r="K265" s="1647"/>
      <c r="L265" s="1586"/>
      <c r="M265" s="2174"/>
      <c r="N265" s="2174"/>
      <c r="O265" s="836"/>
      <c r="P265" s="2174"/>
      <c r="Q265" s="836"/>
      <c r="R265" s="309"/>
      <c r="S265" s="309"/>
      <c r="T265" s="309"/>
      <c r="U265" s="309"/>
      <c r="V265" s="311"/>
      <c r="W265" s="311"/>
      <c r="X265" s="1647"/>
      <c r="Y265" s="311"/>
      <c r="Z265" s="311"/>
      <c r="AA265" s="311"/>
      <c r="AB265" s="311"/>
      <c r="AC265" s="311"/>
      <c r="AD265" s="311"/>
      <c r="AE265" s="311"/>
      <c r="AF265" s="311"/>
      <c r="AG265" s="311"/>
      <c r="AH265" s="311"/>
      <c r="AI265" s="311"/>
      <c r="AJ265" s="311"/>
      <c r="AK265" s="311"/>
      <c r="AL265" s="311"/>
      <c r="AM265" s="311"/>
    </row>
    <row r="266" spans="1:39" ht="15.75" customHeight="1">
      <c r="A266" s="1647"/>
      <c r="B266" s="311"/>
      <c r="C266" s="1647"/>
      <c r="D266" s="2173"/>
      <c r="E266" s="1586"/>
      <c r="F266" s="1954"/>
      <c r="G266" s="1586"/>
      <c r="H266" s="1586"/>
      <c r="I266" s="1647"/>
      <c r="J266" s="1647"/>
      <c r="K266" s="1647"/>
      <c r="L266" s="1586"/>
      <c r="M266" s="2174"/>
      <c r="N266" s="2174"/>
      <c r="O266" s="836"/>
      <c r="P266" s="2174"/>
      <c r="Q266" s="836"/>
      <c r="R266" s="309"/>
      <c r="S266" s="309"/>
      <c r="T266" s="309"/>
      <c r="U266" s="309"/>
      <c r="V266" s="311"/>
      <c r="W266" s="311"/>
      <c r="X266" s="1647"/>
      <c r="Y266" s="311"/>
      <c r="Z266" s="311"/>
      <c r="AA266" s="311"/>
      <c r="AB266" s="311"/>
      <c r="AC266" s="311"/>
      <c r="AD266" s="311"/>
      <c r="AE266" s="311"/>
      <c r="AF266" s="311"/>
      <c r="AG266" s="311"/>
      <c r="AH266" s="311"/>
      <c r="AI266" s="311"/>
      <c r="AJ266" s="311"/>
      <c r="AK266" s="311"/>
      <c r="AL266" s="311"/>
      <c r="AM266" s="311"/>
    </row>
    <row r="267" spans="1:39" ht="15.75" customHeight="1">
      <c r="A267" s="1647"/>
      <c r="B267" s="311"/>
      <c r="C267" s="1647"/>
      <c r="D267" s="2173"/>
      <c r="E267" s="1586"/>
      <c r="F267" s="1954"/>
      <c r="G267" s="1586"/>
      <c r="H267" s="1586"/>
      <c r="I267" s="1647"/>
      <c r="J267" s="1647"/>
      <c r="K267" s="1647"/>
      <c r="L267" s="1586"/>
      <c r="M267" s="2174"/>
      <c r="N267" s="2174"/>
      <c r="O267" s="836"/>
      <c r="P267" s="2174"/>
      <c r="Q267" s="836"/>
      <c r="R267" s="309"/>
      <c r="S267" s="309"/>
      <c r="T267" s="309"/>
      <c r="U267" s="309"/>
      <c r="V267" s="311"/>
      <c r="W267" s="311"/>
      <c r="X267" s="1647"/>
      <c r="Y267" s="311"/>
      <c r="Z267" s="311"/>
      <c r="AA267" s="311"/>
      <c r="AB267" s="311"/>
      <c r="AC267" s="311"/>
      <c r="AD267" s="311"/>
      <c r="AE267" s="311"/>
      <c r="AF267" s="311"/>
      <c r="AG267" s="311"/>
      <c r="AH267" s="311"/>
      <c r="AI267" s="311"/>
      <c r="AJ267" s="311"/>
      <c r="AK267" s="311"/>
      <c r="AL267" s="311"/>
      <c r="AM267" s="311"/>
    </row>
    <row r="268" spans="1:39" ht="15.75" customHeight="1">
      <c r="A268" s="1647"/>
      <c r="B268" s="311"/>
      <c r="C268" s="1647"/>
      <c r="D268" s="2173"/>
      <c r="E268" s="1586"/>
      <c r="F268" s="1954"/>
      <c r="G268" s="1586"/>
      <c r="H268" s="1586"/>
      <c r="I268" s="1647"/>
      <c r="J268" s="1647"/>
      <c r="K268" s="1647"/>
      <c r="L268" s="1586"/>
      <c r="M268" s="2174"/>
      <c r="N268" s="2174"/>
      <c r="O268" s="836"/>
      <c r="P268" s="2174"/>
      <c r="Q268" s="836"/>
      <c r="R268" s="309"/>
      <c r="S268" s="309"/>
      <c r="T268" s="309"/>
      <c r="U268" s="309"/>
      <c r="V268" s="311"/>
      <c r="W268" s="311"/>
      <c r="X268" s="1647"/>
      <c r="Y268" s="311"/>
      <c r="Z268" s="311"/>
      <c r="AA268" s="311"/>
      <c r="AB268" s="311"/>
      <c r="AC268" s="311"/>
      <c r="AD268" s="311"/>
      <c r="AE268" s="311"/>
      <c r="AF268" s="311"/>
      <c r="AG268" s="311"/>
      <c r="AH268" s="311"/>
      <c r="AI268" s="311"/>
      <c r="AJ268" s="311"/>
      <c r="AK268" s="311"/>
      <c r="AL268" s="311"/>
      <c r="AM268" s="311"/>
    </row>
    <row r="269" spans="1:39" ht="15.75" customHeight="1">
      <c r="A269" s="1647"/>
      <c r="B269" s="311"/>
      <c r="C269" s="1647"/>
      <c r="D269" s="2173"/>
      <c r="E269" s="1586"/>
      <c r="F269" s="1954"/>
      <c r="G269" s="1586"/>
      <c r="H269" s="1586"/>
      <c r="I269" s="1647"/>
      <c r="J269" s="1647"/>
      <c r="K269" s="1647"/>
      <c r="L269" s="1586"/>
      <c r="M269" s="2174"/>
      <c r="N269" s="2174"/>
      <c r="O269" s="836"/>
      <c r="P269" s="2174"/>
      <c r="Q269" s="836"/>
      <c r="R269" s="309"/>
      <c r="S269" s="309"/>
      <c r="T269" s="309"/>
      <c r="U269" s="309"/>
      <c r="V269" s="311"/>
      <c r="W269" s="311"/>
      <c r="X269" s="1647"/>
      <c r="Y269" s="311"/>
      <c r="Z269" s="311"/>
      <c r="AA269" s="311"/>
      <c r="AB269" s="311"/>
      <c r="AC269" s="311"/>
      <c r="AD269" s="311"/>
      <c r="AE269" s="311"/>
      <c r="AF269" s="311"/>
      <c r="AG269" s="311"/>
      <c r="AH269" s="311"/>
      <c r="AI269" s="311"/>
      <c r="AJ269" s="311"/>
      <c r="AK269" s="311"/>
      <c r="AL269" s="311"/>
      <c r="AM269" s="311"/>
    </row>
    <row r="270" spans="1:39" ht="15.75" customHeight="1">
      <c r="A270" s="1647"/>
      <c r="B270" s="311"/>
      <c r="C270" s="1647"/>
      <c r="D270" s="2173"/>
      <c r="E270" s="1586"/>
      <c r="F270" s="1954"/>
      <c r="G270" s="1586"/>
      <c r="H270" s="1586"/>
      <c r="I270" s="1647"/>
      <c r="J270" s="1647"/>
      <c r="K270" s="1647"/>
      <c r="L270" s="1586"/>
      <c r="M270" s="2174"/>
      <c r="N270" s="2174"/>
      <c r="O270" s="836"/>
      <c r="P270" s="2174"/>
      <c r="Q270" s="836"/>
      <c r="R270" s="309"/>
      <c r="S270" s="309"/>
      <c r="T270" s="309"/>
      <c r="U270" s="309"/>
      <c r="V270" s="311"/>
      <c r="W270" s="311"/>
      <c r="X270" s="1647"/>
      <c r="Y270" s="311"/>
      <c r="Z270" s="311"/>
      <c r="AA270" s="311"/>
      <c r="AB270" s="311"/>
      <c r="AC270" s="311"/>
      <c r="AD270" s="311"/>
      <c r="AE270" s="311"/>
      <c r="AF270" s="311"/>
      <c r="AG270" s="311"/>
      <c r="AH270" s="311"/>
      <c r="AI270" s="311"/>
      <c r="AJ270" s="311"/>
      <c r="AK270" s="311"/>
      <c r="AL270" s="311"/>
      <c r="AM270" s="311"/>
    </row>
    <row r="271" spans="1:39" ht="15.75" customHeight="1">
      <c r="A271" s="1647"/>
      <c r="B271" s="311"/>
      <c r="C271" s="1647"/>
      <c r="D271" s="2173"/>
      <c r="E271" s="1586"/>
      <c r="F271" s="1954"/>
      <c r="G271" s="1586"/>
      <c r="H271" s="1586"/>
      <c r="I271" s="1647"/>
      <c r="J271" s="1647"/>
      <c r="K271" s="1647"/>
      <c r="L271" s="1586"/>
      <c r="M271" s="2174"/>
      <c r="N271" s="2174"/>
      <c r="O271" s="836"/>
      <c r="P271" s="2174"/>
      <c r="Q271" s="836"/>
      <c r="R271" s="309"/>
      <c r="S271" s="309"/>
      <c r="T271" s="309"/>
      <c r="U271" s="309"/>
      <c r="V271" s="311"/>
      <c r="W271" s="311"/>
      <c r="X271" s="1647"/>
      <c r="Y271" s="311"/>
      <c r="Z271" s="311"/>
      <c r="AA271" s="311"/>
      <c r="AB271" s="311"/>
      <c r="AC271" s="311"/>
      <c r="AD271" s="311"/>
      <c r="AE271" s="311"/>
      <c r="AF271" s="311"/>
      <c r="AG271" s="311"/>
      <c r="AH271" s="311"/>
      <c r="AI271" s="311"/>
      <c r="AJ271" s="311"/>
      <c r="AK271" s="311"/>
      <c r="AL271" s="311"/>
      <c r="AM271" s="311"/>
    </row>
    <row r="272" spans="1:39" ht="15.75" customHeight="1">
      <c r="A272" s="1647"/>
      <c r="B272" s="311"/>
      <c r="C272" s="1647"/>
      <c r="D272" s="2173"/>
      <c r="E272" s="1586"/>
      <c r="F272" s="1954"/>
      <c r="G272" s="1586"/>
      <c r="H272" s="1586"/>
      <c r="I272" s="1647"/>
      <c r="J272" s="1647"/>
      <c r="K272" s="1647"/>
      <c r="L272" s="1586"/>
      <c r="M272" s="2174"/>
      <c r="N272" s="2174"/>
      <c r="O272" s="836"/>
      <c r="P272" s="2174"/>
      <c r="Q272" s="836"/>
      <c r="R272" s="309"/>
      <c r="S272" s="309"/>
      <c r="T272" s="309"/>
      <c r="U272" s="309"/>
      <c r="V272" s="311"/>
      <c r="W272" s="311"/>
      <c r="X272" s="1647"/>
      <c r="Y272" s="311"/>
      <c r="Z272" s="311"/>
      <c r="AA272" s="311"/>
      <c r="AB272" s="311"/>
      <c r="AC272" s="311"/>
      <c r="AD272" s="311"/>
      <c r="AE272" s="311"/>
      <c r="AF272" s="311"/>
      <c r="AG272" s="311"/>
      <c r="AH272" s="311"/>
      <c r="AI272" s="311"/>
      <c r="AJ272" s="311"/>
      <c r="AK272" s="311"/>
      <c r="AL272" s="311"/>
      <c r="AM272" s="311"/>
    </row>
    <row r="273" spans="1:39" ht="15.75" customHeight="1">
      <c r="A273" s="1647"/>
      <c r="B273" s="311"/>
      <c r="C273" s="1647"/>
      <c r="D273" s="2173"/>
      <c r="E273" s="1586"/>
      <c r="F273" s="1954"/>
      <c r="G273" s="1586"/>
      <c r="H273" s="1586"/>
      <c r="I273" s="1647"/>
      <c r="J273" s="1647"/>
      <c r="K273" s="1647"/>
      <c r="L273" s="1586"/>
      <c r="M273" s="2174"/>
      <c r="N273" s="2174"/>
      <c r="O273" s="836"/>
      <c r="P273" s="2174"/>
      <c r="Q273" s="836"/>
      <c r="R273" s="309"/>
      <c r="S273" s="309"/>
      <c r="T273" s="309"/>
      <c r="U273" s="309"/>
      <c r="V273" s="311"/>
      <c r="W273" s="311"/>
      <c r="X273" s="1647"/>
      <c r="Y273" s="311"/>
      <c r="Z273" s="311"/>
      <c r="AA273" s="311"/>
      <c r="AB273" s="311"/>
      <c r="AC273" s="311"/>
      <c r="AD273" s="311"/>
      <c r="AE273" s="311"/>
      <c r="AF273" s="311"/>
      <c r="AG273" s="311"/>
      <c r="AH273" s="311"/>
      <c r="AI273" s="311"/>
      <c r="AJ273" s="311"/>
      <c r="AK273" s="311"/>
      <c r="AL273" s="311"/>
      <c r="AM273" s="311"/>
    </row>
    <row r="274" spans="1:39" ht="15.75" customHeight="1">
      <c r="A274" s="1647"/>
      <c r="B274" s="311"/>
      <c r="C274" s="1647"/>
      <c r="D274" s="2173"/>
      <c r="E274" s="1586"/>
      <c r="F274" s="1954"/>
      <c r="G274" s="1586"/>
      <c r="H274" s="1586"/>
      <c r="I274" s="1647"/>
      <c r="J274" s="1647"/>
      <c r="K274" s="1647"/>
      <c r="L274" s="1586"/>
      <c r="M274" s="2174"/>
      <c r="N274" s="2174"/>
      <c r="O274" s="836"/>
      <c r="P274" s="2174"/>
      <c r="Q274" s="836"/>
      <c r="R274" s="309"/>
      <c r="S274" s="309"/>
      <c r="T274" s="309"/>
      <c r="U274" s="309"/>
      <c r="V274" s="311"/>
      <c r="W274" s="311"/>
      <c r="X274" s="1647"/>
      <c r="Y274" s="311"/>
      <c r="Z274" s="311"/>
      <c r="AA274" s="311"/>
      <c r="AB274" s="311"/>
      <c r="AC274" s="311"/>
      <c r="AD274" s="311"/>
      <c r="AE274" s="311"/>
      <c r="AF274" s="311"/>
      <c r="AG274" s="311"/>
      <c r="AH274" s="311"/>
      <c r="AI274" s="311"/>
      <c r="AJ274" s="311"/>
      <c r="AK274" s="311"/>
      <c r="AL274" s="311"/>
      <c r="AM274" s="311"/>
    </row>
    <row r="275" spans="1:39" ht="15.75" customHeight="1">
      <c r="A275" s="1647"/>
      <c r="B275" s="311"/>
      <c r="C275" s="1647"/>
      <c r="D275" s="2173"/>
      <c r="E275" s="1586"/>
      <c r="F275" s="1954"/>
      <c r="G275" s="1586"/>
      <c r="H275" s="1586"/>
      <c r="I275" s="1647"/>
      <c r="J275" s="1647"/>
      <c r="K275" s="1647"/>
      <c r="L275" s="1586"/>
      <c r="M275" s="2174"/>
      <c r="N275" s="2174"/>
      <c r="O275" s="836"/>
      <c r="P275" s="2174"/>
      <c r="Q275" s="836"/>
      <c r="R275" s="309"/>
      <c r="S275" s="309"/>
      <c r="T275" s="309"/>
      <c r="U275" s="309"/>
      <c r="V275" s="311"/>
      <c r="W275" s="311"/>
      <c r="X275" s="1647"/>
      <c r="Y275" s="311"/>
      <c r="Z275" s="311"/>
      <c r="AA275" s="311"/>
      <c r="AB275" s="311"/>
      <c r="AC275" s="311"/>
      <c r="AD275" s="311"/>
      <c r="AE275" s="311"/>
      <c r="AF275" s="311"/>
      <c r="AG275" s="311"/>
      <c r="AH275" s="311"/>
      <c r="AI275" s="311"/>
      <c r="AJ275" s="311"/>
      <c r="AK275" s="311"/>
      <c r="AL275" s="311"/>
      <c r="AM275" s="311"/>
    </row>
    <row r="276" spans="1:39" ht="15.75" customHeight="1">
      <c r="A276" s="1647"/>
      <c r="B276" s="311"/>
      <c r="C276" s="1647"/>
      <c r="D276" s="2173"/>
      <c r="E276" s="1586"/>
      <c r="F276" s="1954"/>
      <c r="G276" s="1586"/>
      <c r="H276" s="1586"/>
      <c r="I276" s="1647"/>
      <c r="J276" s="1647"/>
      <c r="K276" s="1647"/>
      <c r="L276" s="1586"/>
      <c r="M276" s="2174"/>
      <c r="N276" s="2174"/>
      <c r="O276" s="836"/>
      <c r="P276" s="2174"/>
      <c r="Q276" s="836"/>
      <c r="R276" s="309"/>
      <c r="S276" s="309"/>
      <c r="T276" s="309"/>
      <c r="U276" s="309"/>
      <c r="V276" s="311"/>
      <c r="W276" s="311"/>
      <c r="X276" s="1647"/>
      <c r="Y276" s="311"/>
      <c r="Z276" s="311"/>
      <c r="AA276" s="311"/>
      <c r="AB276" s="311"/>
      <c r="AC276" s="311"/>
      <c r="AD276" s="311"/>
      <c r="AE276" s="311"/>
      <c r="AF276" s="311"/>
      <c r="AG276" s="311"/>
      <c r="AH276" s="311"/>
      <c r="AI276" s="311"/>
      <c r="AJ276" s="311"/>
      <c r="AK276" s="311"/>
      <c r="AL276" s="311"/>
      <c r="AM276" s="311"/>
    </row>
    <row r="277" spans="1:39" ht="15.75" customHeight="1">
      <c r="A277" s="1647"/>
      <c r="B277" s="311"/>
      <c r="C277" s="1647"/>
      <c r="D277" s="2173"/>
      <c r="E277" s="1586"/>
      <c r="F277" s="1954"/>
      <c r="G277" s="1586"/>
      <c r="H277" s="1586"/>
      <c r="I277" s="1647"/>
      <c r="J277" s="1647"/>
      <c r="K277" s="1647"/>
      <c r="L277" s="1586"/>
      <c r="M277" s="2174"/>
      <c r="N277" s="2174"/>
      <c r="O277" s="836"/>
      <c r="P277" s="2174"/>
      <c r="Q277" s="836"/>
      <c r="R277" s="309"/>
      <c r="S277" s="309"/>
      <c r="T277" s="309"/>
      <c r="U277" s="309"/>
      <c r="V277" s="311"/>
      <c r="W277" s="311"/>
      <c r="X277" s="1647"/>
      <c r="Y277" s="311"/>
      <c r="Z277" s="311"/>
      <c r="AA277" s="311"/>
      <c r="AB277" s="311"/>
      <c r="AC277" s="311"/>
      <c r="AD277" s="311"/>
      <c r="AE277" s="311"/>
      <c r="AF277" s="311"/>
      <c r="AG277" s="311"/>
      <c r="AH277" s="311"/>
      <c r="AI277" s="311"/>
      <c r="AJ277" s="311"/>
      <c r="AK277" s="311"/>
      <c r="AL277" s="311"/>
      <c r="AM277" s="311"/>
    </row>
    <row r="278" spans="1:39" ht="15.75" customHeight="1">
      <c r="A278" s="1647"/>
      <c r="B278" s="311"/>
      <c r="C278" s="1647"/>
      <c r="D278" s="2173"/>
      <c r="E278" s="1586"/>
      <c r="F278" s="1954"/>
      <c r="G278" s="1586"/>
      <c r="H278" s="1586"/>
      <c r="I278" s="1647"/>
      <c r="J278" s="1647"/>
      <c r="K278" s="1647"/>
      <c r="L278" s="1586"/>
      <c r="M278" s="2174"/>
      <c r="N278" s="2174"/>
      <c r="O278" s="836"/>
      <c r="P278" s="2174"/>
      <c r="Q278" s="836"/>
      <c r="R278" s="309"/>
      <c r="S278" s="309"/>
      <c r="T278" s="309"/>
      <c r="U278" s="309"/>
      <c r="V278" s="311"/>
      <c r="W278" s="311"/>
      <c r="X278" s="1647"/>
      <c r="Y278" s="311"/>
      <c r="Z278" s="311"/>
      <c r="AA278" s="311"/>
      <c r="AB278" s="311"/>
      <c r="AC278" s="311"/>
      <c r="AD278" s="311"/>
      <c r="AE278" s="311"/>
      <c r="AF278" s="311"/>
      <c r="AG278" s="311"/>
      <c r="AH278" s="311"/>
      <c r="AI278" s="311"/>
      <c r="AJ278" s="311"/>
      <c r="AK278" s="311"/>
      <c r="AL278" s="311"/>
      <c r="AM278" s="311"/>
    </row>
    <row r="279" spans="1:39" ht="15.75" customHeight="1">
      <c r="A279" s="1647"/>
      <c r="B279" s="311"/>
      <c r="C279" s="1647"/>
      <c r="D279" s="2173"/>
      <c r="E279" s="1586"/>
      <c r="F279" s="1954"/>
      <c r="G279" s="1586"/>
      <c r="H279" s="1586"/>
      <c r="I279" s="1647"/>
      <c r="J279" s="1647"/>
      <c r="K279" s="1647"/>
      <c r="L279" s="1586"/>
      <c r="M279" s="2174"/>
      <c r="N279" s="2174"/>
      <c r="O279" s="836"/>
      <c r="P279" s="2174"/>
      <c r="Q279" s="836"/>
      <c r="R279" s="309"/>
      <c r="S279" s="309"/>
      <c r="T279" s="309"/>
      <c r="U279" s="309"/>
      <c r="V279" s="311"/>
      <c r="W279" s="311"/>
      <c r="X279" s="1647"/>
      <c r="Y279" s="311"/>
      <c r="Z279" s="311"/>
      <c r="AA279" s="311"/>
      <c r="AB279" s="311"/>
      <c r="AC279" s="311"/>
      <c r="AD279" s="311"/>
      <c r="AE279" s="311"/>
      <c r="AF279" s="311"/>
      <c r="AG279" s="311"/>
      <c r="AH279" s="311"/>
      <c r="AI279" s="311"/>
      <c r="AJ279" s="311"/>
      <c r="AK279" s="311"/>
      <c r="AL279" s="311"/>
      <c r="AM279" s="311"/>
    </row>
    <row r="280" spans="1:39" ht="15.75" customHeight="1">
      <c r="A280" s="1647"/>
      <c r="B280" s="311"/>
      <c r="C280" s="1647"/>
      <c r="D280" s="2173"/>
      <c r="E280" s="1586"/>
      <c r="F280" s="1954"/>
      <c r="G280" s="1586"/>
      <c r="H280" s="1586"/>
      <c r="I280" s="1647"/>
      <c r="J280" s="1647"/>
      <c r="K280" s="1647"/>
      <c r="L280" s="1586"/>
      <c r="M280" s="2174"/>
      <c r="N280" s="2174"/>
      <c r="O280" s="836"/>
      <c r="P280" s="2174"/>
      <c r="Q280" s="836"/>
      <c r="R280" s="309"/>
      <c r="S280" s="309"/>
      <c r="T280" s="309"/>
      <c r="U280" s="309"/>
      <c r="V280" s="311"/>
      <c r="W280" s="311"/>
      <c r="X280" s="1647"/>
      <c r="Y280" s="311"/>
      <c r="Z280" s="311"/>
      <c r="AA280" s="311"/>
      <c r="AB280" s="311"/>
      <c r="AC280" s="311"/>
      <c r="AD280" s="311"/>
      <c r="AE280" s="311"/>
      <c r="AF280" s="311"/>
      <c r="AG280" s="311"/>
      <c r="AH280" s="311"/>
      <c r="AI280" s="311"/>
      <c r="AJ280" s="311"/>
      <c r="AK280" s="311"/>
      <c r="AL280" s="311"/>
      <c r="AM280" s="311"/>
    </row>
    <row r="281" spans="1:39" ht="15.75" customHeight="1">
      <c r="A281" s="1647"/>
      <c r="B281" s="311"/>
      <c r="C281" s="1647"/>
      <c r="D281" s="2173"/>
      <c r="E281" s="1586"/>
      <c r="F281" s="1954"/>
      <c r="G281" s="1586"/>
      <c r="H281" s="1586"/>
      <c r="I281" s="1647"/>
      <c r="J281" s="1647"/>
      <c r="K281" s="1647"/>
      <c r="L281" s="1586"/>
      <c r="M281" s="2174"/>
      <c r="N281" s="2174"/>
      <c r="O281" s="836"/>
      <c r="P281" s="2174"/>
      <c r="Q281" s="836"/>
      <c r="R281" s="309"/>
      <c r="S281" s="309"/>
      <c r="T281" s="309"/>
      <c r="U281" s="309"/>
      <c r="V281" s="311"/>
      <c r="W281" s="311"/>
      <c r="X281" s="1647"/>
      <c r="Y281" s="311"/>
      <c r="Z281" s="311"/>
      <c r="AA281" s="311"/>
      <c r="AB281" s="311"/>
      <c r="AC281" s="311"/>
      <c r="AD281" s="311"/>
      <c r="AE281" s="311"/>
      <c r="AF281" s="311"/>
      <c r="AG281" s="311"/>
      <c r="AH281" s="311"/>
      <c r="AI281" s="311"/>
      <c r="AJ281" s="311"/>
      <c r="AK281" s="311"/>
      <c r="AL281" s="311"/>
      <c r="AM281" s="311"/>
    </row>
    <row r="282" spans="1:39" ht="15.75" customHeight="1">
      <c r="A282" s="1647"/>
      <c r="B282" s="311"/>
      <c r="C282" s="1647"/>
      <c r="D282" s="2173"/>
      <c r="E282" s="1586"/>
      <c r="F282" s="1954"/>
      <c r="G282" s="1586"/>
      <c r="H282" s="1586"/>
      <c r="I282" s="1647"/>
      <c r="J282" s="1647"/>
      <c r="K282" s="1647"/>
      <c r="L282" s="1586"/>
      <c r="M282" s="2174"/>
      <c r="N282" s="2174"/>
      <c r="O282" s="836"/>
      <c r="P282" s="2174"/>
      <c r="Q282" s="836"/>
      <c r="R282" s="309"/>
      <c r="S282" s="309"/>
      <c r="T282" s="309"/>
      <c r="U282" s="309"/>
      <c r="V282" s="311"/>
      <c r="W282" s="311"/>
      <c r="X282" s="1647"/>
      <c r="Y282" s="311"/>
      <c r="Z282" s="311"/>
      <c r="AA282" s="311"/>
      <c r="AB282" s="311"/>
      <c r="AC282" s="311"/>
      <c r="AD282" s="311"/>
      <c r="AE282" s="311"/>
      <c r="AF282" s="311"/>
      <c r="AG282" s="311"/>
      <c r="AH282" s="311"/>
      <c r="AI282" s="311"/>
      <c r="AJ282" s="311"/>
      <c r="AK282" s="311"/>
      <c r="AL282" s="311"/>
      <c r="AM282" s="311"/>
    </row>
    <row r="283" spans="1:39" ht="15.75" customHeight="1">
      <c r="A283" s="1647"/>
      <c r="B283" s="311"/>
      <c r="C283" s="1647"/>
      <c r="D283" s="2173"/>
      <c r="E283" s="1586"/>
      <c r="F283" s="1954"/>
      <c r="G283" s="1586"/>
      <c r="H283" s="1586"/>
      <c r="I283" s="1647"/>
      <c r="J283" s="1647"/>
      <c r="K283" s="1647"/>
      <c r="L283" s="1586"/>
      <c r="M283" s="2174"/>
      <c r="N283" s="2174"/>
      <c r="O283" s="836"/>
      <c r="P283" s="2174"/>
      <c r="Q283" s="836"/>
      <c r="R283" s="309"/>
      <c r="S283" s="309"/>
      <c r="T283" s="309"/>
      <c r="U283" s="309"/>
      <c r="V283" s="311"/>
      <c r="W283" s="311"/>
      <c r="X283" s="1647"/>
      <c r="Y283" s="311"/>
      <c r="Z283" s="311"/>
      <c r="AA283" s="311"/>
      <c r="AB283" s="311"/>
      <c r="AC283" s="311"/>
      <c r="AD283" s="311"/>
      <c r="AE283" s="311"/>
      <c r="AF283" s="311"/>
      <c r="AG283" s="311"/>
      <c r="AH283" s="311"/>
      <c r="AI283" s="311"/>
      <c r="AJ283" s="311"/>
      <c r="AK283" s="311"/>
      <c r="AL283" s="311"/>
      <c r="AM283" s="311"/>
    </row>
    <row r="284" spans="1:39" ht="15.75" customHeight="1">
      <c r="A284" s="1647"/>
      <c r="B284" s="311"/>
      <c r="C284" s="1647"/>
      <c r="D284" s="2173"/>
      <c r="E284" s="1586"/>
      <c r="F284" s="1954"/>
      <c r="G284" s="1586"/>
      <c r="H284" s="1586"/>
      <c r="I284" s="1647"/>
      <c r="J284" s="1647"/>
      <c r="K284" s="1647"/>
      <c r="L284" s="1586"/>
      <c r="M284" s="2174"/>
      <c r="N284" s="2174"/>
      <c r="O284" s="836"/>
      <c r="P284" s="2174"/>
      <c r="Q284" s="836"/>
      <c r="R284" s="309"/>
      <c r="S284" s="309"/>
      <c r="T284" s="309"/>
      <c r="U284" s="309"/>
      <c r="V284" s="311"/>
      <c r="W284" s="311"/>
      <c r="X284" s="1647"/>
      <c r="Y284" s="311"/>
      <c r="Z284" s="311"/>
      <c r="AA284" s="311"/>
      <c r="AB284" s="311"/>
      <c r="AC284" s="311"/>
      <c r="AD284" s="311"/>
      <c r="AE284" s="311"/>
      <c r="AF284" s="311"/>
      <c r="AG284" s="311"/>
      <c r="AH284" s="311"/>
      <c r="AI284" s="311"/>
      <c r="AJ284" s="311"/>
      <c r="AK284" s="311"/>
      <c r="AL284" s="311"/>
      <c r="AM284" s="311"/>
    </row>
    <row r="285" spans="1:39" ht="15.75" customHeight="1">
      <c r="A285" s="1647"/>
      <c r="B285" s="311"/>
      <c r="C285" s="1647"/>
      <c r="D285" s="2173"/>
      <c r="E285" s="1586"/>
      <c r="F285" s="1954"/>
      <c r="G285" s="1586"/>
      <c r="H285" s="1586"/>
      <c r="I285" s="1647"/>
      <c r="J285" s="1647"/>
      <c r="K285" s="1647"/>
      <c r="L285" s="1586"/>
      <c r="M285" s="2174"/>
      <c r="N285" s="2174"/>
      <c r="O285" s="836"/>
      <c r="P285" s="2174"/>
      <c r="Q285" s="836"/>
      <c r="R285" s="309"/>
      <c r="S285" s="309"/>
      <c r="T285" s="309"/>
      <c r="U285" s="309"/>
      <c r="V285" s="311"/>
      <c r="W285" s="311"/>
      <c r="X285" s="1647"/>
      <c r="Y285" s="311"/>
      <c r="Z285" s="311"/>
      <c r="AA285" s="311"/>
      <c r="AB285" s="311"/>
      <c r="AC285" s="311"/>
      <c r="AD285" s="311"/>
      <c r="AE285" s="311"/>
      <c r="AF285" s="311"/>
      <c r="AG285" s="311"/>
      <c r="AH285" s="311"/>
      <c r="AI285" s="311"/>
      <c r="AJ285" s="311"/>
      <c r="AK285" s="311"/>
      <c r="AL285" s="311"/>
      <c r="AM285" s="311"/>
    </row>
    <row r="286" spans="1:39" ht="15.75" customHeight="1">
      <c r="A286" s="1647"/>
      <c r="B286" s="311"/>
      <c r="C286" s="1647"/>
      <c r="D286" s="2173"/>
      <c r="E286" s="1586"/>
      <c r="F286" s="1954"/>
      <c r="G286" s="1586"/>
      <c r="H286" s="1586"/>
      <c r="I286" s="1647"/>
      <c r="J286" s="1647"/>
      <c r="K286" s="1647"/>
      <c r="L286" s="1586"/>
      <c r="M286" s="2174"/>
      <c r="N286" s="2174"/>
      <c r="O286" s="836"/>
      <c r="P286" s="2174"/>
      <c r="Q286" s="836"/>
      <c r="R286" s="309"/>
      <c r="S286" s="309"/>
      <c r="T286" s="309"/>
      <c r="U286" s="309"/>
      <c r="V286" s="311"/>
      <c r="W286" s="311"/>
      <c r="X286" s="1647"/>
      <c r="Y286" s="311"/>
      <c r="Z286" s="311"/>
      <c r="AA286" s="311"/>
      <c r="AB286" s="311"/>
      <c r="AC286" s="311"/>
      <c r="AD286" s="311"/>
      <c r="AE286" s="311"/>
      <c r="AF286" s="311"/>
      <c r="AG286" s="311"/>
      <c r="AH286" s="311"/>
      <c r="AI286" s="311"/>
      <c r="AJ286" s="311"/>
      <c r="AK286" s="311"/>
      <c r="AL286" s="311"/>
      <c r="AM286" s="311"/>
    </row>
    <row r="287" spans="1:39" ht="15.75" customHeight="1">
      <c r="A287" s="1647"/>
      <c r="B287" s="311"/>
      <c r="C287" s="1647"/>
      <c r="D287" s="2173"/>
      <c r="E287" s="1586"/>
      <c r="F287" s="1954"/>
      <c r="G287" s="1586"/>
      <c r="H287" s="1586"/>
      <c r="I287" s="1647"/>
      <c r="J287" s="1647"/>
      <c r="K287" s="1647"/>
      <c r="L287" s="1586"/>
      <c r="M287" s="2174"/>
      <c r="N287" s="2174"/>
      <c r="O287" s="836"/>
      <c r="P287" s="2174"/>
      <c r="Q287" s="836"/>
      <c r="R287" s="309"/>
      <c r="S287" s="309"/>
      <c r="T287" s="309"/>
      <c r="U287" s="309"/>
      <c r="V287" s="311"/>
      <c r="W287" s="311"/>
      <c r="X287" s="1647"/>
      <c r="Y287" s="311"/>
      <c r="Z287" s="311"/>
      <c r="AA287" s="311"/>
      <c r="AB287" s="311"/>
      <c r="AC287" s="311"/>
      <c r="AD287" s="311"/>
      <c r="AE287" s="311"/>
      <c r="AF287" s="311"/>
      <c r="AG287" s="311"/>
      <c r="AH287" s="311"/>
      <c r="AI287" s="311"/>
      <c r="AJ287" s="311"/>
      <c r="AK287" s="311"/>
      <c r="AL287" s="311"/>
      <c r="AM287" s="311"/>
    </row>
    <row r="288" spans="1:39" ht="15.75" customHeight="1">
      <c r="A288" s="1647"/>
      <c r="B288" s="311"/>
      <c r="C288" s="1647"/>
      <c r="D288" s="2173"/>
      <c r="E288" s="1586"/>
      <c r="F288" s="1954"/>
      <c r="G288" s="1586"/>
      <c r="H288" s="1586"/>
      <c r="I288" s="1647"/>
      <c r="J288" s="1647"/>
      <c r="K288" s="1647"/>
      <c r="L288" s="1586"/>
      <c r="M288" s="2174"/>
      <c r="N288" s="2174"/>
      <c r="O288" s="836"/>
      <c r="P288" s="2174"/>
      <c r="Q288" s="836"/>
      <c r="R288" s="309"/>
      <c r="S288" s="309"/>
      <c r="T288" s="309"/>
      <c r="U288" s="309"/>
      <c r="V288" s="311"/>
      <c r="W288" s="311"/>
      <c r="X288" s="1647"/>
      <c r="Y288" s="311"/>
      <c r="Z288" s="311"/>
      <c r="AA288" s="311"/>
      <c r="AB288" s="311"/>
      <c r="AC288" s="311"/>
      <c r="AD288" s="311"/>
      <c r="AE288" s="311"/>
      <c r="AF288" s="311"/>
      <c r="AG288" s="311"/>
      <c r="AH288" s="311"/>
      <c r="AI288" s="311"/>
      <c r="AJ288" s="311"/>
      <c r="AK288" s="311"/>
      <c r="AL288" s="311"/>
      <c r="AM288" s="311"/>
    </row>
    <row r="289" spans="1:39" ht="15.75" customHeight="1">
      <c r="A289" s="1647"/>
      <c r="B289" s="311"/>
      <c r="C289" s="1647"/>
      <c r="D289" s="2173"/>
      <c r="E289" s="1586"/>
      <c r="F289" s="1954"/>
      <c r="G289" s="1586"/>
      <c r="H289" s="1586"/>
      <c r="I289" s="1647"/>
      <c r="J289" s="1647"/>
      <c r="K289" s="1647"/>
      <c r="L289" s="1586"/>
      <c r="M289" s="2174"/>
      <c r="N289" s="2174"/>
      <c r="O289" s="836"/>
      <c r="P289" s="2174"/>
      <c r="Q289" s="836"/>
      <c r="R289" s="309"/>
      <c r="S289" s="309"/>
      <c r="T289" s="309"/>
      <c r="U289" s="309"/>
      <c r="V289" s="311"/>
      <c r="W289" s="311"/>
      <c r="X289" s="1647"/>
      <c r="Y289" s="311"/>
      <c r="Z289" s="311"/>
      <c r="AA289" s="311"/>
      <c r="AB289" s="311"/>
      <c r="AC289" s="311"/>
      <c r="AD289" s="311"/>
      <c r="AE289" s="311"/>
      <c r="AF289" s="311"/>
      <c r="AG289" s="311"/>
      <c r="AH289" s="311"/>
      <c r="AI289" s="311"/>
      <c r="AJ289" s="311"/>
      <c r="AK289" s="311"/>
      <c r="AL289" s="311"/>
      <c r="AM289" s="311"/>
    </row>
    <row r="290" spans="1:39" ht="15.75" customHeight="1">
      <c r="A290" s="1647"/>
      <c r="B290" s="311"/>
      <c r="C290" s="1647"/>
      <c r="D290" s="2173"/>
      <c r="E290" s="1586"/>
      <c r="F290" s="1954"/>
      <c r="G290" s="1586"/>
      <c r="H290" s="1586"/>
      <c r="I290" s="1647"/>
      <c r="J290" s="1647"/>
      <c r="K290" s="1647"/>
      <c r="L290" s="1586"/>
      <c r="M290" s="2174"/>
      <c r="N290" s="2174"/>
      <c r="O290" s="836"/>
      <c r="P290" s="2174"/>
      <c r="Q290" s="836"/>
      <c r="R290" s="309"/>
      <c r="S290" s="309"/>
      <c r="T290" s="309"/>
      <c r="U290" s="309"/>
      <c r="V290" s="311"/>
      <c r="W290" s="311"/>
      <c r="X290" s="1647"/>
      <c r="Y290" s="311"/>
      <c r="Z290" s="311"/>
      <c r="AA290" s="311"/>
      <c r="AB290" s="311"/>
      <c r="AC290" s="311"/>
      <c r="AD290" s="311"/>
      <c r="AE290" s="311"/>
      <c r="AF290" s="311"/>
      <c r="AG290" s="311"/>
      <c r="AH290" s="311"/>
      <c r="AI290" s="311"/>
      <c r="AJ290" s="311"/>
      <c r="AK290" s="311"/>
      <c r="AL290" s="311"/>
      <c r="AM290" s="311"/>
    </row>
    <row r="291" spans="1:39" ht="15.75" customHeight="1">
      <c r="A291" s="1647"/>
      <c r="B291" s="311"/>
      <c r="C291" s="1647"/>
      <c r="D291" s="2173"/>
      <c r="E291" s="1586"/>
      <c r="F291" s="1954"/>
      <c r="G291" s="1586"/>
      <c r="H291" s="1586"/>
      <c r="I291" s="1647"/>
      <c r="J291" s="1647"/>
      <c r="K291" s="1647"/>
      <c r="L291" s="1586"/>
      <c r="M291" s="2174"/>
      <c r="N291" s="2174"/>
      <c r="O291" s="836"/>
      <c r="P291" s="2174"/>
      <c r="Q291" s="836"/>
      <c r="R291" s="309"/>
      <c r="S291" s="309"/>
      <c r="T291" s="309"/>
      <c r="U291" s="309"/>
      <c r="V291" s="311"/>
      <c r="W291" s="311"/>
      <c r="X291" s="1647"/>
      <c r="Y291" s="311"/>
      <c r="Z291" s="311"/>
      <c r="AA291" s="311"/>
      <c r="AB291" s="311"/>
      <c r="AC291" s="311"/>
      <c r="AD291" s="311"/>
      <c r="AE291" s="311"/>
      <c r="AF291" s="311"/>
      <c r="AG291" s="311"/>
      <c r="AH291" s="311"/>
      <c r="AI291" s="311"/>
      <c r="AJ291" s="311"/>
      <c r="AK291" s="311"/>
      <c r="AL291" s="311"/>
      <c r="AM291" s="311"/>
    </row>
    <row r="292" spans="1:39" ht="15.75" customHeight="1">
      <c r="A292" s="1647"/>
      <c r="B292" s="311"/>
      <c r="C292" s="1647"/>
      <c r="D292" s="2173"/>
      <c r="E292" s="1586"/>
      <c r="F292" s="1954"/>
      <c r="G292" s="1586"/>
      <c r="H292" s="1586"/>
      <c r="I292" s="1647"/>
      <c r="J292" s="1647"/>
      <c r="K292" s="1647"/>
      <c r="L292" s="1586"/>
      <c r="M292" s="2174"/>
      <c r="N292" s="2174"/>
      <c r="O292" s="836"/>
      <c r="P292" s="2174"/>
      <c r="Q292" s="836"/>
      <c r="R292" s="309"/>
      <c r="S292" s="309"/>
      <c r="T292" s="309"/>
      <c r="U292" s="309"/>
      <c r="V292" s="311"/>
      <c r="W292" s="311"/>
      <c r="X292" s="1647"/>
      <c r="Y292" s="311"/>
      <c r="Z292" s="311"/>
      <c r="AA292" s="311"/>
      <c r="AB292" s="311"/>
      <c r="AC292" s="311"/>
      <c r="AD292" s="311"/>
      <c r="AE292" s="311"/>
      <c r="AF292" s="311"/>
      <c r="AG292" s="311"/>
      <c r="AH292" s="311"/>
      <c r="AI292" s="311"/>
      <c r="AJ292" s="311"/>
      <c r="AK292" s="311"/>
      <c r="AL292" s="311"/>
      <c r="AM292" s="311"/>
    </row>
    <row r="293" spans="1:39" ht="15.75" customHeight="1">
      <c r="A293" s="1647"/>
      <c r="B293" s="311"/>
      <c r="C293" s="1647"/>
      <c r="D293" s="2173"/>
      <c r="E293" s="1586"/>
      <c r="F293" s="1954"/>
      <c r="G293" s="1586"/>
      <c r="H293" s="1586"/>
      <c r="I293" s="1647"/>
      <c r="J293" s="1647"/>
      <c r="K293" s="1647"/>
      <c r="L293" s="1586"/>
      <c r="M293" s="2174"/>
      <c r="N293" s="2174"/>
      <c r="O293" s="836"/>
      <c r="P293" s="2174"/>
      <c r="Q293" s="836"/>
      <c r="R293" s="309"/>
      <c r="S293" s="309"/>
      <c r="T293" s="309"/>
      <c r="U293" s="309"/>
      <c r="V293" s="311"/>
      <c r="W293" s="311"/>
      <c r="X293" s="1647"/>
      <c r="Y293" s="311"/>
      <c r="Z293" s="311"/>
      <c r="AA293" s="311"/>
      <c r="AB293" s="311"/>
      <c r="AC293" s="311"/>
      <c r="AD293" s="311"/>
      <c r="AE293" s="311"/>
      <c r="AF293" s="311"/>
      <c r="AG293" s="311"/>
      <c r="AH293" s="311"/>
      <c r="AI293" s="311"/>
      <c r="AJ293" s="311"/>
      <c r="AK293" s="311"/>
      <c r="AL293" s="311"/>
      <c r="AM293" s="311"/>
    </row>
    <row r="294" spans="1:39" ht="15.75" customHeight="1">
      <c r="A294" s="1647"/>
      <c r="B294" s="311"/>
      <c r="C294" s="1647"/>
      <c r="D294" s="2173"/>
      <c r="E294" s="1586"/>
      <c r="F294" s="1954"/>
      <c r="G294" s="1586"/>
      <c r="H294" s="1586"/>
      <c r="I294" s="1647"/>
      <c r="J294" s="1647"/>
      <c r="K294" s="1647"/>
      <c r="L294" s="1586"/>
      <c r="M294" s="2174"/>
      <c r="N294" s="2174"/>
      <c r="O294" s="836"/>
      <c r="P294" s="2174"/>
      <c r="Q294" s="836"/>
      <c r="R294" s="309"/>
      <c r="S294" s="309"/>
      <c r="T294" s="309"/>
      <c r="U294" s="309"/>
      <c r="V294" s="311"/>
      <c r="W294" s="311"/>
      <c r="X294" s="1647"/>
      <c r="Y294" s="311"/>
      <c r="Z294" s="311"/>
      <c r="AA294" s="311"/>
      <c r="AB294" s="311"/>
      <c r="AC294" s="311"/>
      <c r="AD294" s="311"/>
      <c r="AE294" s="311"/>
      <c r="AF294" s="311"/>
      <c r="AG294" s="311"/>
      <c r="AH294" s="311"/>
      <c r="AI294" s="311"/>
      <c r="AJ294" s="311"/>
      <c r="AK294" s="311"/>
      <c r="AL294" s="311"/>
      <c r="AM294" s="311"/>
    </row>
    <row r="295" spans="1:39" ht="15.75" customHeight="1">
      <c r="A295" s="1647"/>
      <c r="B295" s="311"/>
      <c r="C295" s="1647"/>
      <c r="D295" s="2173"/>
      <c r="E295" s="1586"/>
      <c r="F295" s="1954"/>
      <c r="G295" s="1586"/>
      <c r="H295" s="1586"/>
      <c r="I295" s="1647"/>
      <c r="J295" s="1647"/>
      <c r="K295" s="1647"/>
      <c r="L295" s="1586"/>
      <c r="M295" s="2174"/>
      <c r="N295" s="2174"/>
      <c r="O295" s="836"/>
      <c r="P295" s="2174"/>
      <c r="Q295" s="836"/>
      <c r="R295" s="309"/>
      <c r="S295" s="309"/>
      <c r="T295" s="309"/>
      <c r="U295" s="309"/>
      <c r="V295" s="311"/>
      <c r="W295" s="311"/>
      <c r="X295" s="1647"/>
      <c r="Y295" s="311"/>
      <c r="Z295" s="311"/>
      <c r="AA295" s="311"/>
      <c r="AB295" s="311"/>
      <c r="AC295" s="311"/>
      <c r="AD295" s="311"/>
      <c r="AE295" s="311"/>
      <c r="AF295" s="311"/>
      <c r="AG295" s="311"/>
      <c r="AH295" s="311"/>
      <c r="AI295" s="311"/>
      <c r="AJ295" s="311"/>
      <c r="AK295" s="311"/>
      <c r="AL295" s="311"/>
      <c r="AM295" s="311"/>
    </row>
    <row r="296" spans="1:39" ht="15.75" customHeight="1">
      <c r="A296" s="1647"/>
      <c r="B296" s="311"/>
      <c r="C296" s="1647"/>
      <c r="D296" s="2173"/>
      <c r="E296" s="1586"/>
      <c r="F296" s="1954"/>
      <c r="G296" s="1586"/>
      <c r="H296" s="1586"/>
      <c r="I296" s="1647"/>
      <c r="J296" s="1647"/>
      <c r="K296" s="1647"/>
      <c r="L296" s="1586"/>
      <c r="M296" s="2174"/>
      <c r="N296" s="2174"/>
      <c r="O296" s="836"/>
      <c r="P296" s="2174"/>
      <c r="Q296" s="836"/>
      <c r="R296" s="309"/>
      <c r="S296" s="309"/>
      <c r="T296" s="309"/>
      <c r="U296" s="309"/>
      <c r="V296" s="311"/>
      <c r="W296" s="311"/>
      <c r="X296" s="1647"/>
      <c r="Y296" s="311"/>
      <c r="Z296" s="311"/>
      <c r="AA296" s="311"/>
      <c r="AB296" s="311"/>
      <c r="AC296" s="311"/>
      <c r="AD296" s="311"/>
      <c r="AE296" s="311"/>
      <c r="AF296" s="311"/>
      <c r="AG296" s="311"/>
      <c r="AH296" s="311"/>
      <c r="AI296" s="311"/>
      <c r="AJ296" s="311"/>
      <c r="AK296" s="311"/>
      <c r="AL296" s="311"/>
      <c r="AM296" s="311"/>
    </row>
    <row r="297" spans="1:39" ht="15.75" customHeight="1">
      <c r="A297" s="1647"/>
      <c r="B297" s="311"/>
      <c r="C297" s="1647"/>
      <c r="D297" s="2173"/>
      <c r="E297" s="1586"/>
      <c r="F297" s="1954"/>
      <c r="G297" s="1586"/>
      <c r="H297" s="1586"/>
      <c r="I297" s="1647"/>
      <c r="J297" s="1647"/>
      <c r="K297" s="1647"/>
      <c r="L297" s="1586"/>
      <c r="M297" s="2174"/>
      <c r="N297" s="2174"/>
      <c r="O297" s="836"/>
      <c r="P297" s="2174"/>
      <c r="Q297" s="836"/>
      <c r="R297" s="309"/>
      <c r="S297" s="309"/>
      <c r="T297" s="309"/>
      <c r="U297" s="309"/>
      <c r="V297" s="311"/>
      <c r="W297" s="311"/>
      <c r="X297" s="1647"/>
      <c r="Y297" s="311"/>
      <c r="Z297" s="311"/>
      <c r="AA297" s="311"/>
      <c r="AB297" s="311"/>
      <c r="AC297" s="311"/>
      <c r="AD297" s="311"/>
      <c r="AE297" s="311"/>
      <c r="AF297" s="311"/>
      <c r="AG297" s="311"/>
      <c r="AH297" s="311"/>
      <c r="AI297" s="311"/>
      <c r="AJ297" s="311"/>
      <c r="AK297" s="311"/>
      <c r="AL297" s="311"/>
      <c r="AM297" s="311"/>
    </row>
    <row r="298" spans="1:39" ht="15.75" customHeight="1">
      <c r="A298" s="1647"/>
      <c r="B298" s="311"/>
      <c r="C298" s="1647"/>
      <c r="D298" s="2173"/>
      <c r="E298" s="1586"/>
      <c r="F298" s="1954"/>
      <c r="G298" s="1586"/>
      <c r="H298" s="1586"/>
      <c r="I298" s="1647"/>
      <c r="J298" s="1647"/>
      <c r="K298" s="1647"/>
      <c r="L298" s="1586"/>
      <c r="M298" s="2174"/>
      <c r="N298" s="2174"/>
      <c r="O298" s="836"/>
      <c r="P298" s="2174"/>
      <c r="Q298" s="836"/>
      <c r="R298" s="309"/>
      <c r="S298" s="309"/>
      <c r="T298" s="309"/>
      <c r="U298" s="309"/>
      <c r="V298" s="311"/>
      <c r="W298" s="311"/>
      <c r="X298" s="1647"/>
      <c r="Y298" s="311"/>
      <c r="Z298" s="311"/>
      <c r="AA298" s="311"/>
      <c r="AB298" s="311"/>
      <c r="AC298" s="311"/>
      <c r="AD298" s="311"/>
      <c r="AE298" s="311"/>
      <c r="AF298" s="311"/>
      <c r="AG298" s="311"/>
      <c r="AH298" s="311"/>
      <c r="AI298" s="311"/>
      <c r="AJ298" s="311"/>
      <c r="AK298" s="311"/>
      <c r="AL298" s="311"/>
      <c r="AM298" s="311"/>
    </row>
    <row r="299" spans="1:39" ht="15.75" customHeight="1">
      <c r="A299" s="1647"/>
      <c r="B299" s="311"/>
      <c r="C299" s="1647"/>
      <c r="D299" s="2173"/>
      <c r="E299" s="1586"/>
      <c r="F299" s="1954"/>
      <c r="G299" s="1586"/>
      <c r="H299" s="1586"/>
      <c r="I299" s="1647"/>
      <c r="J299" s="1647"/>
      <c r="K299" s="1647"/>
      <c r="L299" s="1586"/>
      <c r="M299" s="2174"/>
      <c r="N299" s="2174"/>
      <c r="O299" s="836"/>
      <c r="P299" s="2174"/>
      <c r="Q299" s="836"/>
      <c r="R299" s="309"/>
      <c r="S299" s="309"/>
      <c r="T299" s="309"/>
      <c r="U299" s="309"/>
      <c r="V299" s="311"/>
      <c r="W299" s="311"/>
      <c r="X299" s="1647"/>
      <c r="Y299" s="311"/>
      <c r="Z299" s="311"/>
      <c r="AA299" s="311"/>
      <c r="AB299" s="311"/>
      <c r="AC299" s="311"/>
      <c r="AD299" s="311"/>
      <c r="AE299" s="311"/>
      <c r="AF299" s="311"/>
      <c r="AG299" s="311"/>
      <c r="AH299" s="311"/>
      <c r="AI299" s="311"/>
      <c r="AJ299" s="311"/>
      <c r="AK299" s="311"/>
      <c r="AL299" s="311"/>
      <c r="AM299" s="311"/>
    </row>
    <row r="300" spans="1:39" ht="15.75" customHeight="1">
      <c r="A300" s="1647"/>
      <c r="B300" s="311"/>
      <c r="C300" s="1647"/>
      <c r="D300" s="2173"/>
      <c r="E300" s="1586"/>
      <c r="F300" s="1954"/>
      <c r="G300" s="1586"/>
      <c r="H300" s="1586"/>
      <c r="I300" s="1647"/>
      <c r="J300" s="1647"/>
      <c r="K300" s="1647"/>
      <c r="L300" s="1586"/>
      <c r="M300" s="2174"/>
      <c r="N300" s="2174"/>
      <c r="O300" s="836"/>
      <c r="P300" s="2174"/>
      <c r="Q300" s="836"/>
      <c r="R300" s="309"/>
      <c r="S300" s="309"/>
      <c r="T300" s="309"/>
      <c r="U300" s="309"/>
      <c r="V300" s="311"/>
      <c r="W300" s="311"/>
      <c r="X300" s="1647"/>
      <c r="Y300" s="311"/>
      <c r="Z300" s="311"/>
      <c r="AA300" s="311"/>
      <c r="AB300" s="311"/>
      <c r="AC300" s="311"/>
      <c r="AD300" s="311"/>
      <c r="AE300" s="311"/>
      <c r="AF300" s="311"/>
      <c r="AG300" s="311"/>
      <c r="AH300" s="311"/>
      <c r="AI300" s="311"/>
      <c r="AJ300" s="311"/>
      <c r="AK300" s="311"/>
      <c r="AL300" s="311"/>
      <c r="AM300" s="311"/>
    </row>
    <row r="301" spans="1:39" ht="15.75" customHeight="1">
      <c r="A301" s="1647"/>
      <c r="B301" s="311"/>
      <c r="C301" s="1647"/>
      <c r="D301" s="2173"/>
      <c r="E301" s="1586"/>
      <c r="F301" s="1954"/>
      <c r="G301" s="1586"/>
      <c r="H301" s="1586"/>
      <c r="I301" s="1647"/>
      <c r="J301" s="1647"/>
      <c r="K301" s="1647"/>
      <c r="L301" s="1586"/>
      <c r="M301" s="2174"/>
      <c r="N301" s="2174"/>
      <c r="O301" s="836"/>
      <c r="P301" s="2174"/>
      <c r="Q301" s="836"/>
      <c r="R301" s="309"/>
      <c r="S301" s="309"/>
      <c r="T301" s="309"/>
      <c r="U301" s="309"/>
      <c r="V301" s="311"/>
      <c r="W301" s="311"/>
      <c r="X301" s="1647"/>
      <c r="Y301" s="311"/>
      <c r="Z301" s="311"/>
      <c r="AA301" s="311"/>
      <c r="AB301" s="311"/>
      <c r="AC301" s="311"/>
      <c r="AD301" s="311"/>
      <c r="AE301" s="311"/>
      <c r="AF301" s="311"/>
      <c r="AG301" s="311"/>
      <c r="AH301" s="311"/>
      <c r="AI301" s="311"/>
      <c r="AJ301" s="311"/>
      <c r="AK301" s="311"/>
      <c r="AL301" s="311"/>
      <c r="AM301" s="311"/>
    </row>
    <row r="302" spans="1:39" ht="15.75" customHeight="1">
      <c r="A302" s="1647"/>
      <c r="B302" s="311"/>
      <c r="C302" s="1647"/>
      <c r="D302" s="2173"/>
      <c r="E302" s="1586"/>
      <c r="F302" s="1954"/>
      <c r="G302" s="1586"/>
      <c r="H302" s="1586"/>
      <c r="I302" s="1647"/>
      <c r="J302" s="1647"/>
      <c r="K302" s="1647"/>
      <c r="L302" s="1586"/>
      <c r="M302" s="2174"/>
      <c r="N302" s="2174"/>
      <c r="O302" s="836"/>
      <c r="P302" s="2174"/>
      <c r="Q302" s="836"/>
      <c r="R302" s="309"/>
      <c r="S302" s="309"/>
      <c r="T302" s="309"/>
      <c r="U302" s="309"/>
      <c r="V302" s="311"/>
      <c r="W302" s="311"/>
      <c r="X302" s="1647"/>
      <c r="Y302" s="311"/>
      <c r="Z302" s="311"/>
      <c r="AA302" s="311"/>
      <c r="AB302" s="311"/>
      <c r="AC302" s="311"/>
      <c r="AD302" s="311"/>
      <c r="AE302" s="311"/>
      <c r="AF302" s="311"/>
      <c r="AG302" s="311"/>
      <c r="AH302" s="311"/>
      <c r="AI302" s="311"/>
      <c r="AJ302" s="311"/>
      <c r="AK302" s="311"/>
      <c r="AL302" s="311"/>
      <c r="AM302" s="311"/>
    </row>
    <row r="303" spans="1:39" ht="15.75" customHeight="1">
      <c r="A303" s="1647"/>
      <c r="B303" s="311"/>
      <c r="C303" s="1647"/>
      <c r="D303" s="2173"/>
      <c r="E303" s="1586"/>
      <c r="F303" s="1954"/>
      <c r="G303" s="1586"/>
      <c r="H303" s="1586"/>
      <c r="I303" s="1647"/>
      <c r="J303" s="1647"/>
      <c r="K303" s="1647"/>
      <c r="L303" s="1586"/>
      <c r="M303" s="2174"/>
      <c r="N303" s="2174"/>
      <c r="O303" s="836"/>
      <c r="P303" s="2174"/>
      <c r="Q303" s="836"/>
      <c r="R303" s="309"/>
      <c r="S303" s="309"/>
      <c r="T303" s="309"/>
      <c r="U303" s="309"/>
      <c r="V303" s="311"/>
      <c r="W303" s="311"/>
      <c r="X303" s="1647"/>
      <c r="Y303" s="311"/>
      <c r="Z303" s="311"/>
      <c r="AA303" s="311"/>
      <c r="AB303" s="311"/>
      <c r="AC303" s="311"/>
      <c r="AD303" s="311"/>
      <c r="AE303" s="311"/>
      <c r="AF303" s="311"/>
      <c r="AG303" s="311"/>
      <c r="AH303" s="311"/>
      <c r="AI303" s="311"/>
      <c r="AJ303" s="311"/>
      <c r="AK303" s="311"/>
      <c r="AL303" s="311"/>
      <c r="AM303" s="311"/>
    </row>
    <row r="304" spans="1:39" ht="15.75" customHeight="1">
      <c r="A304" s="1647"/>
      <c r="B304" s="311"/>
      <c r="C304" s="1647"/>
      <c r="D304" s="2173"/>
      <c r="E304" s="1586"/>
      <c r="F304" s="1954"/>
      <c r="G304" s="1586"/>
      <c r="H304" s="1586"/>
      <c r="I304" s="1647"/>
      <c r="J304" s="1647"/>
      <c r="K304" s="1647"/>
      <c r="L304" s="1586"/>
      <c r="M304" s="2174"/>
      <c r="N304" s="2174"/>
      <c r="O304" s="836"/>
      <c r="P304" s="2174"/>
      <c r="Q304" s="836"/>
      <c r="R304" s="309"/>
      <c r="S304" s="309"/>
      <c r="T304" s="309"/>
      <c r="U304" s="309"/>
      <c r="V304" s="311"/>
      <c r="W304" s="311"/>
      <c r="X304" s="1647"/>
      <c r="Y304" s="311"/>
      <c r="Z304" s="311"/>
      <c r="AA304" s="311"/>
      <c r="AB304" s="311"/>
      <c r="AC304" s="311"/>
      <c r="AD304" s="311"/>
      <c r="AE304" s="311"/>
      <c r="AF304" s="311"/>
      <c r="AG304" s="311"/>
      <c r="AH304" s="311"/>
      <c r="AI304" s="311"/>
      <c r="AJ304" s="311"/>
      <c r="AK304" s="311"/>
      <c r="AL304" s="311"/>
      <c r="AM304" s="311"/>
    </row>
    <row r="305" spans="1:39" ht="15.75" customHeight="1">
      <c r="A305" s="1647"/>
      <c r="B305" s="311"/>
      <c r="C305" s="1647"/>
      <c r="D305" s="2173"/>
      <c r="E305" s="1586"/>
      <c r="F305" s="1954"/>
      <c r="G305" s="1586"/>
      <c r="H305" s="1586"/>
      <c r="I305" s="1647"/>
      <c r="J305" s="1647"/>
      <c r="K305" s="1647"/>
      <c r="L305" s="1586"/>
      <c r="M305" s="2174"/>
      <c r="N305" s="2174"/>
      <c r="O305" s="836"/>
      <c r="P305" s="2174"/>
      <c r="Q305" s="836"/>
      <c r="R305" s="309"/>
      <c r="S305" s="309"/>
      <c r="T305" s="309"/>
      <c r="U305" s="309"/>
      <c r="V305" s="311"/>
      <c r="W305" s="311"/>
      <c r="X305" s="1647"/>
      <c r="Y305" s="311"/>
      <c r="Z305" s="311"/>
      <c r="AA305" s="311"/>
      <c r="AB305" s="311"/>
      <c r="AC305" s="311"/>
      <c r="AD305" s="311"/>
      <c r="AE305" s="311"/>
      <c r="AF305" s="311"/>
      <c r="AG305" s="311"/>
      <c r="AH305" s="311"/>
      <c r="AI305" s="311"/>
      <c r="AJ305" s="311"/>
      <c r="AK305" s="311"/>
      <c r="AL305" s="311"/>
      <c r="AM305" s="311"/>
    </row>
    <row r="306" spans="1:39" ht="15.75" customHeight="1">
      <c r="A306" s="1647"/>
      <c r="B306" s="311"/>
      <c r="C306" s="1647"/>
      <c r="D306" s="2173"/>
      <c r="E306" s="1586"/>
      <c r="F306" s="1954"/>
      <c r="G306" s="1586"/>
      <c r="H306" s="1586"/>
      <c r="I306" s="1647"/>
      <c r="J306" s="1647"/>
      <c r="K306" s="1647"/>
      <c r="L306" s="1586"/>
      <c r="M306" s="2174"/>
      <c r="N306" s="2174"/>
      <c r="O306" s="836"/>
      <c r="P306" s="2174"/>
      <c r="Q306" s="836"/>
      <c r="R306" s="309"/>
      <c r="S306" s="309"/>
      <c r="T306" s="309"/>
      <c r="U306" s="309"/>
      <c r="V306" s="311"/>
      <c r="W306" s="311"/>
      <c r="X306" s="1647"/>
      <c r="Y306" s="311"/>
      <c r="Z306" s="311"/>
      <c r="AA306" s="311"/>
      <c r="AB306" s="311"/>
      <c r="AC306" s="311"/>
      <c r="AD306" s="311"/>
      <c r="AE306" s="311"/>
      <c r="AF306" s="311"/>
      <c r="AG306" s="311"/>
      <c r="AH306" s="311"/>
      <c r="AI306" s="311"/>
      <c r="AJ306" s="311"/>
      <c r="AK306" s="311"/>
      <c r="AL306" s="311"/>
      <c r="AM306" s="311"/>
    </row>
    <row r="307" spans="1:39" ht="15.75" customHeight="1">
      <c r="A307" s="1647"/>
      <c r="B307" s="311"/>
      <c r="C307" s="1647"/>
      <c r="D307" s="2173"/>
      <c r="E307" s="1586"/>
      <c r="F307" s="1954"/>
      <c r="G307" s="1586"/>
      <c r="H307" s="1586"/>
      <c r="I307" s="1647"/>
      <c r="J307" s="1647"/>
      <c r="K307" s="1647"/>
      <c r="L307" s="1586"/>
      <c r="M307" s="2174"/>
      <c r="N307" s="2174"/>
      <c r="O307" s="836"/>
      <c r="P307" s="2174"/>
      <c r="Q307" s="836"/>
      <c r="R307" s="309"/>
      <c r="S307" s="309"/>
      <c r="T307" s="309"/>
      <c r="U307" s="309"/>
      <c r="V307" s="311"/>
      <c r="W307" s="311"/>
      <c r="X307" s="1647"/>
      <c r="Y307" s="311"/>
      <c r="Z307" s="311"/>
      <c r="AA307" s="311"/>
      <c r="AB307" s="311"/>
      <c r="AC307" s="311"/>
      <c r="AD307" s="311"/>
      <c r="AE307" s="311"/>
      <c r="AF307" s="311"/>
      <c r="AG307" s="311"/>
      <c r="AH307" s="311"/>
      <c r="AI307" s="311"/>
      <c r="AJ307" s="311"/>
      <c r="AK307" s="311"/>
      <c r="AL307" s="311"/>
      <c r="AM307" s="311"/>
    </row>
    <row r="308" spans="1:39" ht="15.75" customHeight="1">
      <c r="A308" s="1647"/>
      <c r="B308" s="311"/>
      <c r="C308" s="1647"/>
      <c r="D308" s="2173"/>
      <c r="E308" s="1586"/>
      <c r="F308" s="1954"/>
      <c r="G308" s="1586"/>
      <c r="H308" s="1586"/>
      <c r="I308" s="1647"/>
      <c r="J308" s="1647"/>
      <c r="K308" s="1647"/>
      <c r="L308" s="1586"/>
      <c r="M308" s="2174"/>
      <c r="N308" s="2174"/>
      <c r="O308" s="836"/>
      <c r="P308" s="2174"/>
      <c r="Q308" s="836"/>
      <c r="R308" s="309"/>
      <c r="S308" s="309"/>
      <c r="T308" s="309"/>
      <c r="U308" s="309"/>
      <c r="V308" s="311"/>
      <c r="W308" s="311"/>
      <c r="X308" s="1647"/>
      <c r="Y308" s="311"/>
      <c r="Z308" s="311"/>
      <c r="AA308" s="311"/>
      <c r="AB308" s="311"/>
      <c r="AC308" s="311"/>
      <c r="AD308" s="311"/>
      <c r="AE308" s="311"/>
      <c r="AF308" s="311"/>
      <c r="AG308" s="311"/>
      <c r="AH308" s="311"/>
      <c r="AI308" s="311"/>
      <c r="AJ308" s="311"/>
      <c r="AK308" s="311"/>
      <c r="AL308" s="311"/>
      <c r="AM308" s="311"/>
    </row>
    <row r="309" spans="1:39" ht="15.75" customHeight="1">
      <c r="A309" s="1647"/>
      <c r="B309" s="311"/>
      <c r="C309" s="1647"/>
      <c r="D309" s="2173"/>
      <c r="E309" s="1586"/>
      <c r="F309" s="1954"/>
      <c r="G309" s="1586"/>
      <c r="H309" s="1586"/>
      <c r="I309" s="1647"/>
      <c r="J309" s="1647"/>
      <c r="K309" s="1647"/>
      <c r="L309" s="1586"/>
      <c r="M309" s="2174"/>
      <c r="N309" s="2174"/>
      <c r="O309" s="836"/>
      <c r="P309" s="2174"/>
      <c r="Q309" s="836"/>
      <c r="R309" s="309"/>
      <c r="S309" s="309"/>
      <c r="T309" s="309"/>
      <c r="U309" s="309"/>
      <c r="V309" s="311"/>
      <c r="W309" s="311"/>
      <c r="X309" s="1647"/>
      <c r="Y309" s="311"/>
      <c r="Z309" s="311"/>
      <c r="AA309" s="311"/>
      <c r="AB309" s="311"/>
      <c r="AC309" s="311"/>
      <c r="AD309" s="311"/>
      <c r="AE309" s="311"/>
      <c r="AF309" s="311"/>
      <c r="AG309" s="311"/>
      <c r="AH309" s="311"/>
      <c r="AI309" s="311"/>
      <c r="AJ309" s="311"/>
      <c r="AK309" s="311"/>
      <c r="AL309" s="311"/>
      <c r="AM309" s="311"/>
    </row>
    <row r="310" spans="1:39" ht="15.75" customHeight="1">
      <c r="A310" s="1647"/>
      <c r="B310" s="311"/>
      <c r="C310" s="1647"/>
      <c r="D310" s="2173"/>
      <c r="E310" s="1586"/>
      <c r="F310" s="1954"/>
      <c r="G310" s="1586"/>
      <c r="H310" s="1586"/>
      <c r="I310" s="1647"/>
      <c r="J310" s="1647"/>
      <c r="K310" s="1647"/>
      <c r="L310" s="1586"/>
      <c r="M310" s="2174"/>
      <c r="N310" s="2174"/>
      <c r="O310" s="836"/>
      <c r="P310" s="2174"/>
      <c r="Q310" s="836"/>
      <c r="R310" s="309"/>
      <c r="S310" s="309"/>
      <c r="T310" s="309"/>
      <c r="U310" s="309"/>
      <c r="V310" s="311"/>
      <c r="W310" s="311"/>
      <c r="X310" s="1647"/>
      <c r="Y310" s="311"/>
      <c r="Z310" s="311"/>
      <c r="AA310" s="311"/>
      <c r="AB310" s="311"/>
      <c r="AC310" s="311"/>
      <c r="AD310" s="311"/>
      <c r="AE310" s="311"/>
      <c r="AF310" s="311"/>
      <c r="AG310" s="311"/>
      <c r="AH310" s="311"/>
      <c r="AI310" s="311"/>
      <c r="AJ310" s="311"/>
      <c r="AK310" s="311"/>
      <c r="AL310" s="311"/>
      <c r="AM310" s="311"/>
    </row>
    <row r="311" spans="1:39" ht="15.75" customHeight="1">
      <c r="A311" s="1647"/>
      <c r="B311" s="311"/>
      <c r="C311" s="1647"/>
      <c r="D311" s="2173"/>
      <c r="E311" s="1586"/>
      <c r="F311" s="1954"/>
      <c r="G311" s="1586"/>
      <c r="H311" s="1586"/>
      <c r="I311" s="1647"/>
      <c r="J311" s="1647"/>
      <c r="K311" s="1647"/>
      <c r="L311" s="1586"/>
      <c r="M311" s="2174"/>
      <c r="N311" s="2174"/>
      <c r="O311" s="836"/>
      <c r="P311" s="2174"/>
      <c r="Q311" s="836"/>
      <c r="R311" s="309"/>
      <c r="S311" s="309"/>
      <c r="T311" s="309"/>
      <c r="U311" s="309"/>
      <c r="V311" s="311"/>
      <c r="W311" s="311"/>
      <c r="X311" s="1647"/>
      <c r="Y311" s="311"/>
      <c r="Z311" s="311"/>
      <c r="AA311" s="311"/>
      <c r="AB311" s="311"/>
      <c r="AC311" s="311"/>
      <c r="AD311" s="311"/>
      <c r="AE311" s="311"/>
      <c r="AF311" s="311"/>
      <c r="AG311" s="311"/>
      <c r="AH311" s="311"/>
      <c r="AI311" s="311"/>
      <c r="AJ311" s="311"/>
      <c r="AK311" s="311"/>
      <c r="AL311" s="311"/>
      <c r="AM311" s="311"/>
    </row>
    <row r="312" spans="1:39" ht="15.75" customHeight="1">
      <c r="A312" s="1647"/>
      <c r="B312" s="311"/>
      <c r="C312" s="1647"/>
      <c r="D312" s="2173"/>
      <c r="E312" s="1586"/>
      <c r="F312" s="1954"/>
      <c r="G312" s="1586"/>
      <c r="H312" s="1586"/>
      <c r="I312" s="1647"/>
      <c r="J312" s="1647"/>
      <c r="K312" s="1647"/>
      <c r="L312" s="1586"/>
      <c r="M312" s="2174"/>
      <c r="N312" s="2174"/>
      <c r="O312" s="836"/>
      <c r="P312" s="2174"/>
      <c r="Q312" s="836"/>
      <c r="R312" s="309"/>
      <c r="S312" s="309"/>
      <c r="T312" s="309"/>
      <c r="U312" s="309"/>
      <c r="V312" s="311"/>
      <c r="W312" s="311"/>
      <c r="X312" s="1647"/>
      <c r="Y312" s="311"/>
      <c r="Z312" s="311"/>
      <c r="AA312" s="311"/>
      <c r="AB312" s="311"/>
      <c r="AC312" s="311"/>
      <c r="AD312" s="311"/>
      <c r="AE312" s="311"/>
      <c r="AF312" s="311"/>
      <c r="AG312" s="311"/>
      <c r="AH312" s="311"/>
      <c r="AI312" s="311"/>
      <c r="AJ312" s="311"/>
      <c r="AK312" s="311"/>
      <c r="AL312" s="311"/>
      <c r="AM312" s="311"/>
    </row>
    <row r="313" spans="1:39" ht="15.75" customHeight="1">
      <c r="A313" s="1647"/>
      <c r="B313" s="311"/>
      <c r="C313" s="1647"/>
      <c r="D313" s="2173"/>
      <c r="E313" s="1586"/>
      <c r="F313" s="1954"/>
      <c r="G313" s="1586"/>
      <c r="H313" s="1586"/>
      <c r="I313" s="1647"/>
      <c r="J313" s="1647"/>
      <c r="K313" s="1647"/>
      <c r="L313" s="1586"/>
      <c r="M313" s="2174"/>
      <c r="N313" s="2174"/>
      <c r="O313" s="836"/>
      <c r="P313" s="2174"/>
      <c r="Q313" s="836"/>
      <c r="R313" s="309"/>
      <c r="S313" s="309"/>
      <c r="T313" s="309"/>
      <c r="U313" s="309"/>
      <c r="V313" s="311"/>
      <c r="W313" s="311"/>
      <c r="X313" s="1647"/>
      <c r="Y313" s="311"/>
      <c r="Z313" s="311"/>
      <c r="AA313" s="311"/>
      <c r="AB313" s="311"/>
      <c r="AC313" s="311"/>
      <c r="AD313" s="311"/>
      <c r="AE313" s="311"/>
      <c r="AF313" s="311"/>
      <c r="AG313" s="311"/>
      <c r="AH313" s="311"/>
      <c r="AI313" s="311"/>
      <c r="AJ313" s="311"/>
      <c r="AK313" s="311"/>
      <c r="AL313" s="311"/>
      <c r="AM313" s="311"/>
    </row>
    <row r="314" spans="1:39" ht="15.75" customHeight="1">
      <c r="A314" s="1647"/>
      <c r="B314" s="311"/>
      <c r="C314" s="1647"/>
      <c r="D314" s="2173"/>
      <c r="E314" s="1586"/>
      <c r="F314" s="1954"/>
      <c r="G314" s="1586"/>
      <c r="H314" s="1586"/>
      <c r="I314" s="1647"/>
      <c r="J314" s="1647"/>
      <c r="K314" s="1647"/>
      <c r="L314" s="1586"/>
      <c r="M314" s="2174"/>
      <c r="N314" s="2174"/>
      <c r="O314" s="836"/>
      <c r="P314" s="2174"/>
      <c r="Q314" s="836"/>
      <c r="R314" s="309"/>
      <c r="S314" s="309"/>
      <c r="T314" s="309"/>
      <c r="U314" s="309"/>
      <c r="V314" s="311"/>
      <c r="W314" s="311"/>
      <c r="X314" s="1647"/>
      <c r="Y314" s="311"/>
      <c r="Z314" s="311"/>
      <c r="AA314" s="311"/>
      <c r="AB314" s="311"/>
      <c r="AC314" s="311"/>
      <c r="AD314" s="311"/>
      <c r="AE314" s="311"/>
      <c r="AF314" s="311"/>
      <c r="AG314" s="311"/>
      <c r="AH314" s="311"/>
      <c r="AI314" s="311"/>
      <c r="AJ314" s="311"/>
      <c r="AK314" s="311"/>
      <c r="AL314" s="311"/>
      <c r="AM314" s="311"/>
    </row>
    <row r="315" spans="1:39" ht="15.75" customHeight="1">
      <c r="A315" s="1647"/>
      <c r="B315" s="311"/>
      <c r="C315" s="1647"/>
      <c r="D315" s="2173"/>
      <c r="E315" s="1586"/>
      <c r="F315" s="1954"/>
      <c r="G315" s="1586"/>
      <c r="H315" s="1586"/>
      <c r="I315" s="1647"/>
      <c r="J315" s="1647"/>
      <c r="K315" s="1647"/>
      <c r="L315" s="1586"/>
      <c r="M315" s="2174"/>
      <c r="N315" s="2174"/>
      <c r="O315" s="836"/>
      <c r="P315" s="2174"/>
      <c r="Q315" s="836"/>
      <c r="R315" s="309"/>
      <c r="S315" s="309"/>
      <c r="T315" s="309"/>
      <c r="U315" s="309"/>
      <c r="V315" s="311"/>
      <c r="W315" s="311"/>
      <c r="X315" s="1647"/>
      <c r="Y315" s="311"/>
      <c r="Z315" s="311"/>
      <c r="AA315" s="311"/>
      <c r="AB315" s="311"/>
      <c r="AC315" s="311"/>
      <c r="AD315" s="311"/>
      <c r="AE315" s="311"/>
      <c r="AF315" s="311"/>
      <c r="AG315" s="311"/>
      <c r="AH315" s="311"/>
      <c r="AI315" s="311"/>
      <c r="AJ315" s="311"/>
      <c r="AK315" s="311"/>
      <c r="AL315" s="311"/>
      <c r="AM315" s="311"/>
    </row>
    <row r="316" spans="1:39" ht="15.75" customHeight="1">
      <c r="A316" s="1647"/>
      <c r="B316" s="311"/>
      <c r="C316" s="1647"/>
      <c r="D316" s="2173"/>
      <c r="E316" s="1586"/>
      <c r="F316" s="1954"/>
      <c r="G316" s="1586"/>
      <c r="H316" s="1586"/>
      <c r="I316" s="1647"/>
      <c r="J316" s="1647"/>
      <c r="K316" s="1647"/>
      <c r="L316" s="1586"/>
      <c r="M316" s="2174"/>
      <c r="N316" s="2174"/>
      <c r="O316" s="836"/>
      <c r="P316" s="2174"/>
      <c r="Q316" s="836"/>
      <c r="R316" s="309"/>
      <c r="S316" s="309"/>
      <c r="T316" s="309"/>
      <c r="U316" s="309"/>
      <c r="V316" s="311"/>
      <c r="W316" s="311"/>
      <c r="X316" s="1647"/>
      <c r="Y316" s="311"/>
      <c r="Z316" s="311"/>
      <c r="AA316" s="311"/>
      <c r="AB316" s="311"/>
      <c r="AC316" s="311"/>
      <c r="AD316" s="311"/>
      <c r="AE316" s="311"/>
      <c r="AF316" s="311"/>
      <c r="AG316" s="311"/>
      <c r="AH316" s="311"/>
      <c r="AI316" s="311"/>
      <c r="AJ316" s="311"/>
      <c r="AK316" s="311"/>
      <c r="AL316" s="311"/>
      <c r="AM316" s="311"/>
    </row>
    <row r="317" spans="1:39" ht="15.75" customHeight="1">
      <c r="A317" s="1647"/>
      <c r="B317" s="311"/>
      <c r="C317" s="1647"/>
      <c r="D317" s="2173"/>
      <c r="E317" s="1586"/>
      <c r="F317" s="1954"/>
      <c r="G317" s="1586"/>
      <c r="H317" s="1586"/>
      <c r="I317" s="1647"/>
      <c r="J317" s="1647"/>
      <c r="K317" s="1647"/>
      <c r="L317" s="1586"/>
      <c r="M317" s="2174"/>
      <c r="N317" s="2174"/>
      <c r="O317" s="836"/>
      <c r="P317" s="2174"/>
      <c r="Q317" s="836"/>
      <c r="R317" s="309"/>
      <c r="S317" s="309"/>
      <c r="T317" s="309"/>
      <c r="U317" s="309"/>
      <c r="V317" s="311"/>
      <c r="W317" s="311"/>
      <c r="X317" s="1647"/>
      <c r="Y317" s="311"/>
      <c r="Z317" s="311"/>
      <c r="AA317" s="311"/>
      <c r="AB317" s="311"/>
      <c r="AC317" s="311"/>
      <c r="AD317" s="311"/>
      <c r="AE317" s="311"/>
      <c r="AF317" s="311"/>
      <c r="AG317" s="311"/>
      <c r="AH317" s="311"/>
      <c r="AI317" s="311"/>
      <c r="AJ317" s="311"/>
      <c r="AK317" s="311"/>
      <c r="AL317" s="311"/>
      <c r="AM317" s="311"/>
    </row>
    <row r="318" spans="1:39" ht="15.75" customHeight="1">
      <c r="A318" s="1647"/>
      <c r="B318" s="311"/>
      <c r="C318" s="1647"/>
      <c r="D318" s="2173"/>
      <c r="E318" s="1586"/>
      <c r="F318" s="1954"/>
      <c r="G318" s="1586"/>
      <c r="H318" s="1586"/>
      <c r="I318" s="1647"/>
      <c r="J318" s="1647"/>
      <c r="K318" s="1647"/>
      <c r="L318" s="1586"/>
      <c r="M318" s="2174"/>
      <c r="N318" s="2174"/>
      <c r="O318" s="836"/>
      <c r="P318" s="2174"/>
      <c r="Q318" s="836"/>
      <c r="R318" s="309"/>
      <c r="S318" s="309"/>
      <c r="T318" s="309"/>
      <c r="U318" s="309"/>
      <c r="V318" s="311"/>
      <c r="W318" s="311"/>
      <c r="X318" s="1647"/>
      <c r="Y318" s="311"/>
      <c r="Z318" s="311"/>
      <c r="AA318" s="311"/>
      <c r="AB318" s="311"/>
      <c r="AC318" s="311"/>
      <c r="AD318" s="311"/>
      <c r="AE318" s="311"/>
      <c r="AF318" s="311"/>
      <c r="AG318" s="311"/>
      <c r="AH318" s="311"/>
      <c r="AI318" s="311"/>
      <c r="AJ318" s="311"/>
      <c r="AK318" s="311"/>
      <c r="AL318" s="311"/>
      <c r="AM318" s="311"/>
    </row>
    <row r="319" spans="1:39" ht="15.75" customHeight="1">
      <c r="A319" s="1647"/>
      <c r="B319" s="311"/>
      <c r="C319" s="1647"/>
      <c r="D319" s="2173"/>
      <c r="E319" s="1586"/>
      <c r="F319" s="1954"/>
      <c r="G319" s="1586"/>
      <c r="H319" s="1586"/>
      <c r="I319" s="1647"/>
      <c r="J319" s="1647"/>
      <c r="K319" s="1647"/>
      <c r="L319" s="1586"/>
      <c r="M319" s="2174"/>
      <c r="N319" s="2174"/>
      <c r="O319" s="836"/>
      <c r="P319" s="2174"/>
      <c r="Q319" s="836"/>
      <c r="R319" s="309"/>
      <c r="S319" s="309"/>
      <c r="T319" s="309"/>
      <c r="U319" s="309"/>
      <c r="V319" s="311"/>
      <c r="W319" s="311"/>
      <c r="X319" s="1647"/>
      <c r="Y319" s="311"/>
      <c r="Z319" s="311"/>
      <c r="AA319" s="311"/>
      <c r="AB319" s="311"/>
      <c r="AC319" s="311"/>
      <c r="AD319" s="311"/>
      <c r="AE319" s="311"/>
      <c r="AF319" s="311"/>
      <c r="AG319" s="311"/>
      <c r="AH319" s="311"/>
      <c r="AI319" s="311"/>
      <c r="AJ319" s="311"/>
      <c r="AK319" s="311"/>
      <c r="AL319" s="311"/>
      <c r="AM319" s="311"/>
    </row>
    <row r="320" spans="1:39" ht="15.75" customHeight="1">
      <c r="A320" s="1647"/>
      <c r="B320" s="311"/>
      <c r="C320" s="1647"/>
      <c r="D320" s="2173"/>
      <c r="E320" s="1586"/>
      <c r="F320" s="1954"/>
      <c r="G320" s="1586"/>
      <c r="H320" s="1586"/>
      <c r="I320" s="1647"/>
      <c r="J320" s="1647"/>
      <c r="K320" s="1647"/>
      <c r="L320" s="1586"/>
      <c r="M320" s="2174"/>
      <c r="N320" s="2174"/>
      <c r="O320" s="836"/>
      <c r="P320" s="2174"/>
      <c r="Q320" s="836"/>
      <c r="R320" s="309"/>
      <c r="S320" s="309"/>
      <c r="T320" s="309"/>
      <c r="U320" s="309"/>
      <c r="V320" s="311"/>
      <c r="W320" s="311"/>
      <c r="X320" s="1647"/>
      <c r="Y320" s="311"/>
      <c r="Z320" s="311"/>
      <c r="AA320" s="311"/>
      <c r="AB320" s="311"/>
      <c r="AC320" s="311"/>
      <c r="AD320" s="311"/>
      <c r="AE320" s="311"/>
      <c r="AF320" s="311"/>
      <c r="AG320" s="311"/>
      <c r="AH320" s="311"/>
      <c r="AI320" s="311"/>
      <c r="AJ320" s="311"/>
      <c r="AK320" s="311"/>
      <c r="AL320" s="311"/>
      <c r="AM320" s="311"/>
    </row>
    <row r="321" spans="1:39" ht="15.75" customHeight="1">
      <c r="A321" s="1647"/>
      <c r="B321" s="311"/>
      <c r="C321" s="1647"/>
      <c r="D321" s="2173"/>
      <c r="E321" s="1586"/>
      <c r="F321" s="1954"/>
      <c r="G321" s="1586"/>
      <c r="H321" s="1586"/>
      <c r="I321" s="1647"/>
      <c r="J321" s="1647"/>
      <c r="K321" s="1647"/>
      <c r="L321" s="1586"/>
      <c r="M321" s="2174"/>
      <c r="N321" s="2174"/>
      <c r="O321" s="836"/>
      <c r="P321" s="2174"/>
      <c r="Q321" s="836"/>
      <c r="R321" s="309"/>
      <c r="S321" s="309"/>
      <c r="T321" s="309"/>
      <c r="U321" s="309"/>
      <c r="V321" s="311"/>
      <c r="W321" s="311"/>
      <c r="X321" s="1647"/>
      <c r="Y321" s="311"/>
      <c r="Z321" s="311"/>
      <c r="AA321" s="311"/>
      <c r="AB321" s="311"/>
      <c r="AC321" s="311"/>
      <c r="AD321" s="311"/>
      <c r="AE321" s="311"/>
      <c r="AF321" s="311"/>
      <c r="AG321" s="311"/>
      <c r="AH321" s="311"/>
      <c r="AI321" s="311"/>
      <c r="AJ321" s="311"/>
      <c r="AK321" s="311"/>
      <c r="AL321" s="311"/>
      <c r="AM321" s="311"/>
    </row>
    <row r="322" spans="1:39" ht="15.75" customHeight="1">
      <c r="A322" s="1647"/>
      <c r="B322" s="311"/>
      <c r="C322" s="1647"/>
      <c r="D322" s="2173"/>
      <c r="E322" s="1586"/>
      <c r="F322" s="1954"/>
      <c r="G322" s="1586"/>
      <c r="H322" s="1586"/>
      <c r="I322" s="1647"/>
      <c r="J322" s="1647"/>
      <c r="K322" s="1647"/>
      <c r="L322" s="1586"/>
      <c r="M322" s="2174"/>
      <c r="N322" s="2174"/>
      <c r="O322" s="836"/>
      <c r="P322" s="2174"/>
      <c r="Q322" s="836"/>
      <c r="R322" s="309"/>
      <c r="S322" s="309"/>
      <c r="T322" s="309"/>
      <c r="U322" s="309"/>
      <c r="V322" s="311"/>
      <c r="W322" s="311"/>
      <c r="X322" s="1647"/>
      <c r="Y322" s="311"/>
      <c r="Z322" s="311"/>
      <c r="AA322" s="311"/>
      <c r="AB322" s="311"/>
      <c r="AC322" s="311"/>
      <c r="AD322" s="311"/>
      <c r="AE322" s="311"/>
      <c r="AF322" s="311"/>
      <c r="AG322" s="311"/>
      <c r="AH322" s="311"/>
      <c r="AI322" s="311"/>
      <c r="AJ322" s="311"/>
      <c r="AK322" s="311"/>
      <c r="AL322" s="311"/>
      <c r="AM322" s="311"/>
    </row>
    <row r="323" spans="1:39" ht="15.75" customHeight="1">
      <c r="A323" s="1647"/>
      <c r="B323" s="311"/>
      <c r="C323" s="1647"/>
      <c r="D323" s="2173"/>
      <c r="E323" s="1586"/>
      <c r="F323" s="1954"/>
      <c r="G323" s="1586"/>
      <c r="H323" s="1586"/>
      <c r="I323" s="1647"/>
      <c r="J323" s="1647"/>
      <c r="K323" s="1647"/>
      <c r="L323" s="1586"/>
      <c r="M323" s="2174"/>
      <c r="N323" s="2174"/>
      <c r="O323" s="836"/>
      <c r="P323" s="2174"/>
      <c r="Q323" s="836"/>
      <c r="R323" s="309"/>
      <c r="S323" s="309"/>
      <c r="T323" s="309"/>
      <c r="U323" s="309"/>
      <c r="V323" s="311"/>
      <c r="W323" s="311"/>
      <c r="X323" s="1647"/>
      <c r="Y323" s="311"/>
      <c r="Z323" s="311"/>
      <c r="AA323" s="311"/>
      <c r="AB323" s="311"/>
      <c r="AC323" s="311"/>
      <c r="AD323" s="311"/>
      <c r="AE323" s="311"/>
      <c r="AF323" s="311"/>
      <c r="AG323" s="311"/>
      <c r="AH323" s="311"/>
      <c r="AI323" s="311"/>
      <c r="AJ323" s="311"/>
      <c r="AK323" s="311"/>
      <c r="AL323" s="311"/>
      <c r="AM323" s="311"/>
    </row>
    <row r="324" spans="1:39" ht="15.75" customHeight="1">
      <c r="A324" s="1647"/>
      <c r="B324" s="311"/>
      <c r="C324" s="1647"/>
      <c r="D324" s="2173"/>
      <c r="E324" s="1586"/>
      <c r="F324" s="1954"/>
      <c r="G324" s="1586"/>
      <c r="H324" s="1586"/>
      <c r="I324" s="1647"/>
      <c r="J324" s="1647"/>
      <c r="K324" s="1647"/>
      <c r="L324" s="1586"/>
      <c r="M324" s="2174"/>
      <c r="N324" s="2174"/>
      <c r="O324" s="836"/>
      <c r="P324" s="2174"/>
      <c r="Q324" s="836"/>
      <c r="R324" s="309"/>
      <c r="S324" s="309"/>
      <c r="T324" s="309"/>
      <c r="U324" s="309"/>
      <c r="V324" s="311"/>
      <c r="W324" s="311"/>
      <c r="X324" s="1647"/>
      <c r="Y324" s="311"/>
      <c r="Z324" s="311"/>
      <c r="AA324" s="311"/>
      <c r="AB324" s="311"/>
      <c r="AC324" s="311"/>
      <c r="AD324" s="311"/>
      <c r="AE324" s="311"/>
      <c r="AF324" s="311"/>
      <c r="AG324" s="311"/>
      <c r="AH324" s="311"/>
      <c r="AI324" s="311"/>
      <c r="AJ324" s="311"/>
      <c r="AK324" s="311"/>
      <c r="AL324" s="311"/>
      <c r="AM324" s="311"/>
    </row>
    <row r="325" spans="1:39" ht="15.75" customHeight="1">
      <c r="A325" s="1647"/>
      <c r="B325" s="311"/>
      <c r="C325" s="1647"/>
      <c r="D325" s="2173"/>
      <c r="E325" s="1586"/>
      <c r="F325" s="1954"/>
      <c r="G325" s="1586"/>
      <c r="H325" s="1586"/>
      <c r="I325" s="1647"/>
      <c r="J325" s="1647"/>
      <c r="K325" s="1647"/>
      <c r="L325" s="1586"/>
      <c r="M325" s="2174"/>
      <c r="N325" s="2174"/>
      <c r="O325" s="836"/>
      <c r="P325" s="2174"/>
      <c r="Q325" s="836"/>
      <c r="R325" s="309"/>
      <c r="S325" s="309"/>
      <c r="T325" s="309"/>
      <c r="U325" s="309"/>
      <c r="V325" s="311"/>
      <c r="W325" s="311"/>
      <c r="X325" s="1647"/>
      <c r="Y325" s="311"/>
      <c r="Z325" s="311"/>
      <c r="AA325" s="311"/>
      <c r="AB325" s="311"/>
      <c r="AC325" s="311"/>
      <c r="AD325" s="311"/>
      <c r="AE325" s="311"/>
      <c r="AF325" s="311"/>
      <c r="AG325" s="311"/>
      <c r="AH325" s="311"/>
      <c r="AI325" s="311"/>
      <c r="AJ325" s="311"/>
      <c r="AK325" s="311"/>
      <c r="AL325" s="311"/>
      <c r="AM325" s="311"/>
    </row>
    <row r="326" spans="1:39" ht="15.75" customHeight="1">
      <c r="A326" s="1647"/>
      <c r="B326" s="311"/>
      <c r="C326" s="1647"/>
      <c r="D326" s="2173"/>
      <c r="E326" s="1586"/>
      <c r="F326" s="1954"/>
      <c r="G326" s="1586"/>
      <c r="H326" s="1586"/>
      <c r="I326" s="1647"/>
      <c r="J326" s="1647"/>
      <c r="K326" s="1647"/>
      <c r="L326" s="1586"/>
      <c r="M326" s="2174"/>
      <c r="N326" s="2174"/>
      <c r="O326" s="836"/>
      <c r="P326" s="2174"/>
      <c r="Q326" s="836"/>
      <c r="R326" s="309"/>
      <c r="S326" s="309"/>
      <c r="T326" s="309"/>
      <c r="U326" s="309"/>
      <c r="V326" s="311"/>
      <c r="W326" s="311"/>
      <c r="X326" s="1647"/>
      <c r="Y326" s="311"/>
      <c r="Z326" s="311"/>
      <c r="AA326" s="311"/>
      <c r="AB326" s="311"/>
      <c r="AC326" s="311"/>
      <c r="AD326" s="311"/>
      <c r="AE326" s="311"/>
      <c r="AF326" s="311"/>
      <c r="AG326" s="311"/>
      <c r="AH326" s="311"/>
      <c r="AI326" s="311"/>
      <c r="AJ326" s="311"/>
      <c r="AK326" s="311"/>
      <c r="AL326" s="311"/>
      <c r="AM326" s="311"/>
    </row>
    <row r="327" spans="1:39" ht="15.75" customHeight="1">
      <c r="A327" s="1647"/>
      <c r="B327" s="311"/>
      <c r="C327" s="1647"/>
      <c r="D327" s="2173"/>
      <c r="E327" s="1586"/>
      <c r="F327" s="1954"/>
      <c r="G327" s="1586"/>
      <c r="H327" s="1586"/>
      <c r="I327" s="1647"/>
      <c r="J327" s="1647"/>
      <c r="K327" s="1647"/>
      <c r="L327" s="1586"/>
      <c r="M327" s="2174"/>
      <c r="N327" s="2174"/>
      <c r="O327" s="836"/>
      <c r="P327" s="2174"/>
      <c r="Q327" s="836"/>
      <c r="R327" s="309"/>
      <c r="S327" s="309"/>
      <c r="T327" s="309"/>
      <c r="U327" s="309"/>
      <c r="V327" s="311"/>
      <c r="W327" s="311"/>
      <c r="X327" s="1647"/>
      <c r="Y327" s="311"/>
      <c r="Z327" s="311"/>
      <c r="AA327" s="311"/>
      <c r="AB327" s="311"/>
      <c r="AC327" s="311"/>
      <c r="AD327" s="311"/>
      <c r="AE327" s="311"/>
      <c r="AF327" s="311"/>
      <c r="AG327" s="311"/>
      <c r="AH327" s="311"/>
      <c r="AI327" s="311"/>
      <c r="AJ327" s="311"/>
      <c r="AK327" s="311"/>
      <c r="AL327" s="311"/>
      <c r="AM327" s="311"/>
    </row>
    <row r="328" spans="1:39" ht="15.75" customHeight="1">
      <c r="A328" s="1647"/>
      <c r="B328" s="311"/>
      <c r="C328" s="1647"/>
      <c r="D328" s="2173"/>
      <c r="E328" s="1586"/>
      <c r="F328" s="1954"/>
      <c r="G328" s="1586"/>
      <c r="H328" s="1586"/>
      <c r="I328" s="1647"/>
      <c r="J328" s="1647"/>
      <c r="K328" s="1647"/>
      <c r="L328" s="1586"/>
      <c r="M328" s="2174"/>
      <c r="N328" s="2174"/>
      <c r="O328" s="836"/>
      <c r="P328" s="2174"/>
      <c r="Q328" s="836"/>
      <c r="R328" s="309"/>
      <c r="S328" s="309"/>
      <c r="T328" s="309"/>
      <c r="U328" s="309"/>
      <c r="V328" s="311"/>
      <c r="W328" s="311"/>
      <c r="X328" s="1647"/>
      <c r="Y328" s="311"/>
      <c r="Z328" s="311"/>
      <c r="AA328" s="311"/>
      <c r="AB328" s="311"/>
      <c r="AC328" s="311"/>
      <c r="AD328" s="311"/>
      <c r="AE328" s="311"/>
      <c r="AF328" s="311"/>
      <c r="AG328" s="311"/>
      <c r="AH328" s="311"/>
      <c r="AI328" s="311"/>
      <c r="AJ328" s="311"/>
      <c r="AK328" s="311"/>
      <c r="AL328" s="311"/>
      <c r="AM328" s="311"/>
    </row>
    <row r="329" spans="1:39" ht="15.75" customHeight="1">
      <c r="A329" s="1647"/>
      <c r="B329" s="311"/>
      <c r="C329" s="1647"/>
      <c r="D329" s="2173"/>
      <c r="E329" s="1586"/>
      <c r="F329" s="1954"/>
      <c r="G329" s="1586"/>
      <c r="H329" s="1586"/>
      <c r="I329" s="1647"/>
      <c r="J329" s="1647"/>
      <c r="K329" s="1647"/>
      <c r="L329" s="1586"/>
      <c r="M329" s="2174"/>
      <c r="N329" s="2174"/>
      <c r="O329" s="836"/>
      <c r="P329" s="2174"/>
      <c r="Q329" s="836"/>
      <c r="R329" s="309"/>
      <c r="S329" s="309"/>
      <c r="T329" s="309"/>
      <c r="U329" s="309"/>
      <c r="V329" s="311"/>
      <c r="W329" s="311"/>
      <c r="X329" s="1647"/>
      <c r="Y329" s="311"/>
      <c r="Z329" s="311"/>
      <c r="AA329" s="311"/>
      <c r="AB329" s="311"/>
      <c r="AC329" s="311"/>
      <c r="AD329" s="311"/>
      <c r="AE329" s="311"/>
      <c r="AF329" s="311"/>
      <c r="AG329" s="311"/>
      <c r="AH329" s="311"/>
      <c r="AI329" s="311"/>
      <c r="AJ329" s="311"/>
      <c r="AK329" s="311"/>
      <c r="AL329" s="311"/>
      <c r="AM329" s="311"/>
    </row>
    <row r="330" spans="1:39" ht="15.75" customHeight="1">
      <c r="A330" s="1647"/>
      <c r="B330" s="311"/>
      <c r="C330" s="1647"/>
      <c r="D330" s="2173"/>
      <c r="E330" s="1586"/>
      <c r="F330" s="1954"/>
      <c r="G330" s="1586"/>
      <c r="H330" s="1586"/>
      <c r="I330" s="1647"/>
      <c r="J330" s="1647"/>
      <c r="K330" s="1647"/>
      <c r="L330" s="1586"/>
      <c r="M330" s="2174"/>
      <c r="N330" s="2174"/>
      <c r="O330" s="836"/>
      <c r="P330" s="2174"/>
      <c r="Q330" s="836"/>
      <c r="R330" s="309"/>
      <c r="S330" s="309"/>
      <c r="T330" s="309"/>
      <c r="U330" s="309"/>
      <c r="V330" s="311"/>
      <c r="W330" s="311"/>
      <c r="X330" s="1647"/>
      <c r="Y330" s="311"/>
      <c r="Z330" s="311"/>
      <c r="AA330" s="311"/>
      <c r="AB330" s="311"/>
      <c r="AC330" s="311"/>
      <c r="AD330" s="311"/>
      <c r="AE330" s="311"/>
      <c r="AF330" s="311"/>
      <c r="AG330" s="311"/>
      <c r="AH330" s="311"/>
      <c r="AI330" s="311"/>
      <c r="AJ330" s="311"/>
      <c r="AK330" s="311"/>
      <c r="AL330" s="311"/>
      <c r="AM330" s="311"/>
    </row>
    <row r="331" spans="1:39" ht="15.75" customHeight="1">
      <c r="A331" s="1647"/>
      <c r="B331" s="311"/>
      <c r="C331" s="1647"/>
      <c r="D331" s="2173"/>
      <c r="E331" s="1586"/>
      <c r="F331" s="1954"/>
      <c r="G331" s="1586"/>
      <c r="H331" s="1586"/>
      <c r="I331" s="1647"/>
      <c r="J331" s="1647"/>
      <c r="K331" s="1647"/>
      <c r="L331" s="1586"/>
      <c r="M331" s="2174"/>
      <c r="N331" s="2174"/>
      <c r="O331" s="836"/>
      <c r="P331" s="2174"/>
      <c r="Q331" s="836"/>
      <c r="R331" s="309"/>
      <c r="S331" s="309"/>
      <c r="T331" s="309"/>
      <c r="U331" s="309"/>
      <c r="V331" s="311"/>
      <c r="W331" s="311"/>
      <c r="X331" s="1647"/>
      <c r="Y331" s="311"/>
      <c r="Z331" s="311"/>
      <c r="AA331" s="311"/>
      <c r="AB331" s="311"/>
      <c r="AC331" s="311"/>
      <c r="AD331" s="311"/>
      <c r="AE331" s="311"/>
      <c r="AF331" s="311"/>
      <c r="AG331" s="311"/>
      <c r="AH331" s="311"/>
      <c r="AI331" s="311"/>
      <c r="AJ331" s="311"/>
      <c r="AK331" s="311"/>
      <c r="AL331" s="311"/>
      <c r="AM331" s="311"/>
    </row>
    <row r="332" spans="1:39" ht="15.75" customHeight="1">
      <c r="A332" s="1647"/>
      <c r="B332" s="311"/>
      <c r="C332" s="1647"/>
      <c r="D332" s="2173"/>
      <c r="E332" s="1586"/>
      <c r="F332" s="1954"/>
      <c r="G332" s="1586"/>
      <c r="H332" s="1586"/>
      <c r="I332" s="1647"/>
      <c r="J332" s="1647"/>
      <c r="K332" s="1647"/>
      <c r="L332" s="1586"/>
      <c r="M332" s="2174"/>
      <c r="N332" s="2174"/>
      <c r="O332" s="836"/>
      <c r="P332" s="2174"/>
      <c r="Q332" s="836"/>
      <c r="R332" s="309"/>
      <c r="S332" s="309"/>
      <c r="T332" s="309"/>
      <c r="U332" s="309"/>
      <c r="V332" s="311"/>
      <c r="W332" s="311"/>
      <c r="X332" s="1647"/>
      <c r="Y332" s="311"/>
      <c r="Z332" s="311"/>
      <c r="AA332" s="311"/>
      <c r="AB332" s="311"/>
      <c r="AC332" s="311"/>
      <c r="AD332" s="311"/>
      <c r="AE332" s="311"/>
      <c r="AF332" s="311"/>
      <c r="AG332" s="311"/>
      <c r="AH332" s="311"/>
      <c r="AI332" s="311"/>
      <c r="AJ332" s="311"/>
      <c r="AK332" s="311"/>
      <c r="AL332" s="311"/>
      <c r="AM332" s="311"/>
    </row>
    <row r="333" spans="1:39" ht="15.75" customHeight="1">
      <c r="A333" s="1647"/>
      <c r="B333" s="311"/>
      <c r="C333" s="1647"/>
      <c r="D333" s="2173"/>
      <c r="E333" s="1586"/>
      <c r="F333" s="1954"/>
      <c r="G333" s="1586"/>
      <c r="H333" s="1586"/>
      <c r="I333" s="1647"/>
      <c r="J333" s="1647"/>
      <c r="K333" s="1647"/>
      <c r="L333" s="1586"/>
      <c r="M333" s="2174"/>
      <c r="N333" s="2174"/>
      <c r="O333" s="836"/>
      <c r="P333" s="2174"/>
      <c r="Q333" s="836"/>
      <c r="R333" s="309"/>
      <c r="S333" s="309"/>
      <c r="T333" s="309"/>
      <c r="U333" s="309"/>
      <c r="V333" s="311"/>
      <c r="W333" s="311"/>
      <c r="X333" s="1647"/>
      <c r="Y333" s="311"/>
      <c r="Z333" s="311"/>
      <c r="AA333" s="311"/>
      <c r="AB333" s="311"/>
      <c r="AC333" s="311"/>
      <c r="AD333" s="311"/>
      <c r="AE333" s="311"/>
      <c r="AF333" s="311"/>
      <c r="AG333" s="311"/>
      <c r="AH333" s="311"/>
      <c r="AI333" s="311"/>
      <c r="AJ333" s="311"/>
      <c r="AK333" s="311"/>
      <c r="AL333" s="311"/>
      <c r="AM333" s="311"/>
    </row>
    <row r="334" spans="1:39" ht="15.75" customHeight="1">
      <c r="A334" s="1647"/>
      <c r="B334" s="311"/>
      <c r="C334" s="1647"/>
      <c r="D334" s="2173"/>
      <c r="E334" s="1586"/>
      <c r="F334" s="1954"/>
      <c r="G334" s="1586"/>
      <c r="H334" s="1586"/>
      <c r="I334" s="1647"/>
      <c r="J334" s="1647"/>
      <c r="K334" s="1647"/>
      <c r="L334" s="1586"/>
      <c r="M334" s="2174"/>
      <c r="N334" s="2174"/>
      <c r="O334" s="836"/>
      <c r="P334" s="2174"/>
      <c r="Q334" s="836"/>
      <c r="R334" s="309"/>
      <c r="S334" s="309"/>
      <c r="T334" s="309"/>
      <c r="U334" s="309"/>
      <c r="V334" s="311"/>
      <c r="W334" s="311"/>
      <c r="X334" s="1647"/>
      <c r="Y334" s="311"/>
      <c r="Z334" s="311"/>
      <c r="AA334" s="311"/>
      <c r="AB334" s="311"/>
      <c r="AC334" s="311"/>
      <c r="AD334" s="311"/>
      <c r="AE334" s="311"/>
      <c r="AF334" s="311"/>
      <c r="AG334" s="311"/>
      <c r="AH334" s="311"/>
      <c r="AI334" s="311"/>
      <c r="AJ334" s="311"/>
      <c r="AK334" s="311"/>
      <c r="AL334" s="311"/>
      <c r="AM334" s="311"/>
    </row>
    <row r="335" spans="1:39" ht="15.75" customHeight="1">
      <c r="A335" s="1647"/>
      <c r="B335" s="311"/>
      <c r="C335" s="1647"/>
      <c r="D335" s="2173"/>
      <c r="E335" s="1586"/>
      <c r="F335" s="1954"/>
      <c r="G335" s="1586"/>
      <c r="H335" s="1586"/>
      <c r="I335" s="1647"/>
      <c r="J335" s="1647"/>
      <c r="K335" s="1647"/>
      <c r="L335" s="1586"/>
      <c r="M335" s="2174"/>
      <c r="N335" s="2174"/>
      <c r="O335" s="836"/>
      <c r="P335" s="2174"/>
      <c r="Q335" s="836"/>
      <c r="R335" s="309"/>
      <c r="S335" s="309"/>
      <c r="T335" s="309"/>
      <c r="U335" s="309"/>
      <c r="V335" s="311"/>
      <c r="W335" s="311"/>
      <c r="X335" s="1647"/>
      <c r="Y335" s="311"/>
      <c r="Z335" s="311"/>
      <c r="AA335" s="311"/>
      <c r="AB335" s="311"/>
      <c r="AC335" s="311"/>
      <c r="AD335" s="311"/>
      <c r="AE335" s="311"/>
      <c r="AF335" s="311"/>
      <c r="AG335" s="311"/>
      <c r="AH335" s="311"/>
      <c r="AI335" s="311"/>
      <c r="AJ335" s="311"/>
      <c r="AK335" s="311"/>
      <c r="AL335" s="311"/>
      <c r="AM335" s="311"/>
    </row>
    <row r="336" spans="1:39" ht="15.75" customHeight="1">
      <c r="A336" s="1647"/>
      <c r="B336" s="311"/>
      <c r="C336" s="1647"/>
      <c r="D336" s="2173"/>
      <c r="E336" s="1586"/>
      <c r="F336" s="1954"/>
      <c r="G336" s="1586"/>
      <c r="H336" s="1586"/>
      <c r="I336" s="1647"/>
      <c r="J336" s="1647"/>
      <c r="K336" s="1647"/>
      <c r="L336" s="1586"/>
      <c r="M336" s="2174"/>
      <c r="N336" s="2174"/>
      <c r="O336" s="836"/>
      <c r="P336" s="2174"/>
      <c r="Q336" s="836"/>
      <c r="R336" s="309"/>
      <c r="S336" s="309"/>
      <c r="T336" s="309"/>
      <c r="U336" s="309"/>
      <c r="V336" s="311"/>
      <c r="W336" s="311"/>
      <c r="X336" s="1647"/>
      <c r="Y336" s="311"/>
      <c r="Z336" s="311"/>
      <c r="AA336" s="311"/>
      <c r="AB336" s="311"/>
      <c r="AC336" s="311"/>
      <c r="AD336" s="311"/>
      <c r="AE336" s="311"/>
      <c r="AF336" s="311"/>
      <c r="AG336" s="311"/>
      <c r="AH336" s="311"/>
      <c r="AI336" s="311"/>
      <c r="AJ336" s="311"/>
      <c r="AK336" s="311"/>
      <c r="AL336" s="311"/>
      <c r="AM336" s="311"/>
    </row>
    <row r="337" spans="1:39" ht="15.75" customHeight="1">
      <c r="A337" s="1647"/>
      <c r="B337" s="311"/>
      <c r="C337" s="1647"/>
      <c r="D337" s="2173"/>
      <c r="E337" s="1586"/>
      <c r="F337" s="1954"/>
      <c r="G337" s="1586"/>
      <c r="H337" s="1586"/>
      <c r="I337" s="1647"/>
      <c r="J337" s="1647"/>
      <c r="K337" s="1647"/>
      <c r="L337" s="1586"/>
      <c r="M337" s="2174"/>
      <c r="N337" s="2174"/>
      <c r="O337" s="836"/>
      <c r="P337" s="2174"/>
      <c r="Q337" s="836"/>
      <c r="R337" s="309"/>
      <c r="S337" s="309"/>
      <c r="T337" s="309"/>
      <c r="U337" s="309"/>
      <c r="V337" s="311"/>
      <c r="W337" s="311"/>
      <c r="X337" s="1647"/>
      <c r="Y337" s="311"/>
      <c r="Z337" s="311"/>
      <c r="AA337" s="311"/>
      <c r="AB337" s="311"/>
      <c r="AC337" s="311"/>
      <c r="AD337" s="311"/>
      <c r="AE337" s="311"/>
      <c r="AF337" s="311"/>
      <c r="AG337" s="311"/>
      <c r="AH337" s="311"/>
      <c r="AI337" s="311"/>
      <c r="AJ337" s="311"/>
      <c r="AK337" s="311"/>
      <c r="AL337" s="311"/>
      <c r="AM337" s="311"/>
    </row>
    <row r="338" spans="1:39" ht="15.75" customHeight="1">
      <c r="A338" s="1647"/>
      <c r="B338" s="311"/>
      <c r="C338" s="1647"/>
      <c r="D338" s="2173"/>
      <c r="E338" s="1586"/>
      <c r="F338" s="1954"/>
      <c r="G338" s="1586"/>
      <c r="H338" s="1586"/>
      <c r="I338" s="1647"/>
      <c r="J338" s="1647"/>
      <c r="K338" s="1647"/>
      <c r="L338" s="1586"/>
      <c r="M338" s="2174"/>
      <c r="N338" s="2174"/>
      <c r="O338" s="836"/>
      <c r="P338" s="2174"/>
      <c r="Q338" s="836"/>
      <c r="R338" s="309"/>
      <c r="S338" s="309"/>
      <c r="T338" s="309"/>
      <c r="U338" s="309"/>
      <c r="V338" s="311"/>
      <c r="W338" s="311"/>
      <c r="X338" s="1647"/>
      <c r="Y338" s="311"/>
      <c r="Z338" s="311"/>
      <c r="AA338" s="311"/>
      <c r="AB338" s="311"/>
      <c r="AC338" s="311"/>
      <c r="AD338" s="311"/>
      <c r="AE338" s="311"/>
      <c r="AF338" s="311"/>
      <c r="AG338" s="311"/>
      <c r="AH338" s="311"/>
      <c r="AI338" s="311"/>
      <c r="AJ338" s="311"/>
      <c r="AK338" s="311"/>
      <c r="AL338" s="311"/>
      <c r="AM338" s="311"/>
    </row>
    <row r="339" spans="1:39" ht="15.75" customHeight="1">
      <c r="A339" s="1647"/>
      <c r="B339" s="311"/>
      <c r="C339" s="1647"/>
      <c r="D339" s="2173"/>
      <c r="E339" s="1586"/>
      <c r="F339" s="1954"/>
      <c r="G339" s="1586"/>
      <c r="H339" s="1586"/>
      <c r="I339" s="1647"/>
      <c r="J339" s="1647"/>
      <c r="K339" s="1647"/>
      <c r="L339" s="1586"/>
      <c r="M339" s="2174"/>
      <c r="N339" s="2174"/>
      <c r="O339" s="836"/>
      <c r="P339" s="2174"/>
      <c r="Q339" s="836"/>
      <c r="R339" s="309"/>
      <c r="S339" s="309"/>
      <c r="T339" s="309"/>
      <c r="U339" s="309"/>
      <c r="V339" s="311"/>
      <c r="W339" s="311"/>
      <c r="X339" s="1647"/>
      <c r="Y339" s="311"/>
      <c r="Z339" s="311"/>
      <c r="AA339" s="311"/>
      <c r="AB339" s="311"/>
      <c r="AC339" s="311"/>
      <c r="AD339" s="311"/>
      <c r="AE339" s="311"/>
      <c r="AF339" s="311"/>
      <c r="AG339" s="311"/>
      <c r="AH339" s="311"/>
      <c r="AI339" s="311"/>
      <c r="AJ339" s="311"/>
      <c r="AK339" s="311"/>
      <c r="AL339" s="311"/>
      <c r="AM339" s="311"/>
    </row>
    <row r="340" spans="1:39" ht="15.75" customHeight="1">
      <c r="A340" s="1647"/>
      <c r="B340" s="311"/>
      <c r="C340" s="1647"/>
      <c r="D340" s="2173"/>
      <c r="E340" s="1586"/>
      <c r="F340" s="1954"/>
      <c r="G340" s="1586"/>
      <c r="H340" s="1586"/>
      <c r="I340" s="1647"/>
      <c r="J340" s="1647"/>
      <c r="K340" s="1647"/>
      <c r="L340" s="1586"/>
      <c r="M340" s="2174"/>
      <c r="N340" s="2174"/>
      <c r="O340" s="836"/>
      <c r="P340" s="2174"/>
      <c r="Q340" s="836"/>
      <c r="R340" s="309"/>
      <c r="S340" s="309"/>
      <c r="T340" s="309"/>
      <c r="U340" s="309"/>
      <c r="V340" s="311"/>
      <c r="W340" s="311"/>
      <c r="X340" s="1647"/>
      <c r="Y340" s="311"/>
      <c r="Z340" s="311"/>
      <c r="AA340" s="311"/>
      <c r="AB340" s="311"/>
      <c r="AC340" s="311"/>
      <c r="AD340" s="311"/>
      <c r="AE340" s="311"/>
      <c r="AF340" s="311"/>
      <c r="AG340" s="311"/>
      <c r="AH340" s="311"/>
      <c r="AI340" s="311"/>
      <c r="AJ340" s="311"/>
      <c r="AK340" s="311"/>
      <c r="AL340" s="311"/>
      <c r="AM340" s="311"/>
    </row>
    <row r="341" spans="1:39" ht="15.75" customHeight="1">
      <c r="A341" s="1647"/>
      <c r="B341" s="311"/>
      <c r="C341" s="1647"/>
      <c r="D341" s="2173"/>
      <c r="E341" s="1586"/>
      <c r="F341" s="1954"/>
      <c r="G341" s="1586"/>
      <c r="H341" s="1586"/>
      <c r="I341" s="1647"/>
      <c r="J341" s="1647"/>
      <c r="K341" s="1647"/>
      <c r="L341" s="1586"/>
      <c r="M341" s="2174"/>
      <c r="N341" s="2174"/>
      <c r="O341" s="836"/>
      <c r="P341" s="2174"/>
      <c r="Q341" s="836"/>
      <c r="R341" s="309"/>
      <c r="S341" s="309"/>
      <c r="T341" s="309"/>
      <c r="U341" s="309"/>
      <c r="V341" s="311"/>
      <c r="W341" s="311"/>
      <c r="X341" s="1647"/>
      <c r="Y341" s="311"/>
      <c r="Z341" s="311"/>
      <c r="AA341" s="311"/>
      <c r="AB341" s="311"/>
      <c r="AC341" s="311"/>
      <c r="AD341" s="311"/>
      <c r="AE341" s="311"/>
      <c r="AF341" s="311"/>
      <c r="AG341" s="311"/>
      <c r="AH341" s="311"/>
      <c r="AI341" s="311"/>
      <c r="AJ341" s="311"/>
      <c r="AK341" s="311"/>
      <c r="AL341" s="311"/>
      <c r="AM341" s="311"/>
    </row>
    <row r="342" spans="1:39" ht="15.75" customHeight="1">
      <c r="A342" s="1647"/>
      <c r="B342" s="311"/>
      <c r="C342" s="1647"/>
      <c r="D342" s="2173"/>
      <c r="E342" s="1586"/>
      <c r="F342" s="1954"/>
      <c r="G342" s="1586"/>
      <c r="H342" s="1586"/>
      <c r="I342" s="1647"/>
      <c r="J342" s="1647"/>
      <c r="K342" s="1647"/>
      <c r="L342" s="1586"/>
      <c r="M342" s="2174"/>
      <c r="N342" s="2174"/>
      <c r="O342" s="836"/>
      <c r="P342" s="2174"/>
      <c r="Q342" s="836"/>
      <c r="R342" s="309"/>
      <c r="S342" s="309"/>
      <c r="T342" s="309"/>
      <c r="U342" s="309"/>
      <c r="V342" s="311"/>
      <c r="W342" s="311"/>
      <c r="X342" s="1647"/>
      <c r="Y342" s="311"/>
      <c r="Z342" s="311"/>
      <c r="AA342" s="311"/>
      <c r="AB342" s="311"/>
      <c r="AC342" s="311"/>
      <c r="AD342" s="311"/>
      <c r="AE342" s="311"/>
      <c r="AF342" s="311"/>
      <c r="AG342" s="311"/>
      <c r="AH342" s="311"/>
      <c r="AI342" s="311"/>
      <c r="AJ342" s="311"/>
      <c r="AK342" s="311"/>
      <c r="AL342" s="311"/>
      <c r="AM342" s="311"/>
    </row>
    <row r="343" spans="1:39" ht="15.75" customHeight="1">
      <c r="A343" s="1647"/>
      <c r="B343" s="311"/>
      <c r="C343" s="1647"/>
      <c r="D343" s="2173"/>
      <c r="E343" s="1586"/>
      <c r="F343" s="1954"/>
      <c r="G343" s="1586"/>
      <c r="H343" s="1586"/>
      <c r="I343" s="1647"/>
      <c r="J343" s="1647"/>
      <c r="K343" s="1647"/>
      <c r="L343" s="1586"/>
      <c r="M343" s="2174"/>
      <c r="N343" s="2174"/>
      <c r="O343" s="836"/>
      <c r="P343" s="2174"/>
      <c r="Q343" s="836"/>
      <c r="R343" s="309"/>
      <c r="S343" s="309"/>
      <c r="T343" s="309"/>
      <c r="U343" s="309"/>
      <c r="V343" s="311"/>
      <c r="W343" s="311"/>
      <c r="X343" s="1647"/>
      <c r="Y343" s="311"/>
      <c r="Z343" s="311"/>
      <c r="AA343" s="311"/>
      <c r="AB343" s="311"/>
      <c r="AC343" s="311"/>
      <c r="AD343" s="311"/>
      <c r="AE343" s="311"/>
      <c r="AF343" s="311"/>
      <c r="AG343" s="311"/>
      <c r="AH343" s="311"/>
      <c r="AI343" s="311"/>
      <c r="AJ343" s="311"/>
      <c r="AK343" s="311"/>
      <c r="AL343" s="311"/>
      <c r="AM343" s="311"/>
    </row>
    <row r="344" spans="1:39" ht="15.75" customHeight="1">
      <c r="A344" s="1647"/>
      <c r="B344" s="311"/>
      <c r="C344" s="1647"/>
      <c r="D344" s="2173"/>
      <c r="E344" s="1586"/>
      <c r="F344" s="1954"/>
      <c r="G344" s="1586"/>
      <c r="H344" s="1586"/>
      <c r="I344" s="1647"/>
      <c r="J344" s="1647"/>
      <c r="K344" s="1647"/>
      <c r="L344" s="1586"/>
      <c r="M344" s="2174"/>
      <c r="N344" s="2174"/>
      <c r="O344" s="836"/>
      <c r="P344" s="2174"/>
      <c r="Q344" s="836"/>
      <c r="R344" s="309"/>
      <c r="S344" s="309"/>
      <c r="T344" s="309"/>
      <c r="U344" s="309"/>
      <c r="V344" s="311"/>
      <c r="W344" s="311"/>
      <c r="X344" s="1647"/>
      <c r="Y344" s="311"/>
      <c r="Z344" s="311"/>
      <c r="AA344" s="311"/>
      <c r="AB344" s="311"/>
      <c r="AC344" s="311"/>
      <c r="AD344" s="311"/>
      <c r="AE344" s="311"/>
      <c r="AF344" s="311"/>
      <c r="AG344" s="311"/>
      <c r="AH344" s="311"/>
      <c r="AI344" s="311"/>
      <c r="AJ344" s="311"/>
      <c r="AK344" s="311"/>
      <c r="AL344" s="311"/>
      <c r="AM344" s="311"/>
    </row>
    <row r="345" spans="1:39" ht="15.75" customHeight="1">
      <c r="A345" s="1647"/>
      <c r="B345" s="311"/>
      <c r="C345" s="1647"/>
      <c r="D345" s="2173"/>
      <c r="E345" s="1586"/>
      <c r="F345" s="1954"/>
      <c r="G345" s="1586"/>
      <c r="H345" s="1586"/>
      <c r="I345" s="1647"/>
      <c r="J345" s="1647"/>
      <c r="K345" s="1647"/>
      <c r="L345" s="1586"/>
      <c r="M345" s="2174"/>
      <c r="N345" s="2174"/>
      <c r="O345" s="836"/>
      <c r="P345" s="2174"/>
      <c r="Q345" s="836"/>
      <c r="R345" s="309"/>
      <c r="S345" s="309"/>
      <c r="T345" s="309"/>
      <c r="U345" s="309"/>
      <c r="V345" s="311"/>
      <c r="W345" s="311"/>
      <c r="X345" s="1647"/>
      <c r="Y345" s="311"/>
      <c r="Z345" s="311"/>
      <c r="AA345" s="311"/>
      <c r="AB345" s="311"/>
      <c r="AC345" s="311"/>
      <c r="AD345" s="311"/>
      <c r="AE345" s="311"/>
      <c r="AF345" s="311"/>
      <c r="AG345" s="311"/>
      <c r="AH345" s="311"/>
      <c r="AI345" s="311"/>
      <c r="AJ345" s="311"/>
      <c r="AK345" s="311"/>
      <c r="AL345" s="311"/>
      <c r="AM345" s="311"/>
    </row>
    <row r="346" spans="1:39" ht="15.75" customHeight="1">
      <c r="A346" s="1647"/>
      <c r="B346" s="311"/>
      <c r="C346" s="1647"/>
      <c r="D346" s="2173"/>
      <c r="E346" s="1586"/>
      <c r="F346" s="1954"/>
      <c r="G346" s="1586"/>
      <c r="H346" s="1586"/>
      <c r="I346" s="1647"/>
      <c r="J346" s="1647"/>
      <c r="K346" s="1647"/>
      <c r="L346" s="1586"/>
      <c r="M346" s="2174"/>
      <c r="N346" s="2174"/>
      <c r="O346" s="836"/>
      <c r="P346" s="2174"/>
      <c r="Q346" s="836"/>
      <c r="R346" s="309"/>
      <c r="S346" s="309"/>
      <c r="T346" s="309"/>
      <c r="U346" s="309"/>
      <c r="V346" s="311"/>
      <c r="W346" s="311"/>
      <c r="X346" s="1647"/>
      <c r="Y346" s="311"/>
      <c r="Z346" s="311"/>
      <c r="AA346" s="311"/>
      <c r="AB346" s="311"/>
      <c r="AC346" s="311"/>
      <c r="AD346" s="311"/>
      <c r="AE346" s="311"/>
      <c r="AF346" s="311"/>
      <c r="AG346" s="311"/>
      <c r="AH346" s="311"/>
      <c r="AI346" s="311"/>
      <c r="AJ346" s="311"/>
      <c r="AK346" s="311"/>
      <c r="AL346" s="311"/>
      <c r="AM346" s="311"/>
    </row>
    <row r="347" spans="1:39" ht="15.75" customHeight="1">
      <c r="A347" s="1647"/>
      <c r="B347" s="311"/>
      <c r="C347" s="1647"/>
      <c r="D347" s="2173"/>
      <c r="E347" s="1586"/>
      <c r="F347" s="1954"/>
      <c r="G347" s="1586"/>
      <c r="H347" s="1586"/>
      <c r="I347" s="1647"/>
      <c r="J347" s="1647"/>
      <c r="K347" s="1647"/>
      <c r="L347" s="1586"/>
      <c r="M347" s="2174"/>
      <c r="N347" s="2174"/>
      <c r="O347" s="836"/>
      <c r="P347" s="2174"/>
      <c r="Q347" s="836"/>
      <c r="R347" s="309"/>
      <c r="S347" s="309"/>
      <c r="T347" s="309"/>
      <c r="U347" s="309"/>
      <c r="V347" s="311"/>
      <c r="W347" s="311"/>
      <c r="X347" s="1647"/>
      <c r="Y347" s="311"/>
      <c r="Z347" s="311"/>
      <c r="AA347" s="311"/>
      <c r="AB347" s="311"/>
      <c r="AC347" s="311"/>
      <c r="AD347" s="311"/>
      <c r="AE347" s="311"/>
      <c r="AF347" s="311"/>
      <c r="AG347" s="311"/>
      <c r="AH347" s="311"/>
      <c r="AI347" s="311"/>
      <c r="AJ347" s="311"/>
      <c r="AK347" s="311"/>
      <c r="AL347" s="311"/>
      <c r="AM347" s="311"/>
    </row>
    <row r="348" spans="1:39" ht="15.75" customHeight="1">
      <c r="A348" s="1647"/>
      <c r="B348" s="311"/>
      <c r="C348" s="1647"/>
      <c r="D348" s="2173"/>
      <c r="E348" s="1586"/>
      <c r="F348" s="1954"/>
      <c r="G348" s="1586"/>
      <c r="H348" s="1586"/>
      <c r="I348" s="1647"/>
      <c r="J348" s="1647"/>
      <c r="K348" s="1647"/>
      <c r="L348" s="1586"/>
      <c r="M348" s="2174"/>
      <c r="N348" s="2174"/>
      <c r="O348" s="836"/>
      <c r="P348" s="2174"/>
      <c r="Q348" s="836"/>
      <c r="R348" s="309"/>
      <c r="S348" s="309"/>
      <c r="T348" s="309"/>
      <c r="U348" s="309"/>
      <c r="V348" s="311"/>
      <c r="W348" s="311"/>
      <c r="X348" s="1647"/>
      <c r="Y348" s="311"/>
      <c r="Z348" s="311"/>
      <c r="AA348" s="311"/>
      <c r="AB348" s="311"/>
      <c r="AC348" s="311"/>
      <c r="AD348" s="311"/>
      <c r="AE348" s="311"/>
      <c r="AF348" s="311"/>
      <c r="AG348" s="311"/>
      <c r="AH348" s="311"/>
      <c r="AI348" s="311"/>
      <c r="AJ348" s="311"/>
      <c r="AK348" s="311"/>
      <c r="AL348" s="311"/>
      <c r="AM348" s="311"/>
    </row>
    <row r="349" spans="1:39" ht="15.75" customHeight="1">
      <c r="A349" s="1647"/>
      <c r="B349" s="311"/>
      <c r="C349" s="1647"/>
      <c r="D349" s="2173"/>
      <c r="E349" s="1586"/>
      <c r="F349" s="1954"/>
      <c r="G349" s="1586"/>
      <c r="H349" s="1586"/>
      <c r="I349" s="1647"/>
      <c r="J349" s="1647"/>
      <c r="K349" s="1647"/>
      <c r="L349" s="1586"/>
      <c r="M349" s="2174"/>
      <c r="N349" s="2174"/>
      <c r="O349" s="836"/>
      <c r="P349" s="2174"/>
      <c r="Q349" s="836"/>
      <c r="R349" s="309"/>
      <c r="S349" s="309"/>
      <c r="T349" s="309"/>
      <c r="U349" s="309"/>
      <c r="V349" s="311"/>
      <c r="W349" s="311"/>
      <c r="X349" s="1647"/>
      <c r="Y349" s="311"/>
      <c r="Z349" s="311"/>
      <c r="AA349" s="311"/>
      <c r="AB349" s="311"/>
      <c r="AC349" s="311"/>
      <c r="AD349" s="311"/>
      <c r="AE349" s="311"/>
      <c r="AF349" s="311"/>
      <c r="AG349" s="311"/>
      <c r="AH349" s="311"/>
      <c r="AI349" s="311"/>
      <c r="AJ349" s="311"/>
      <c r="AK349" s="311"/>
      <c r="AL349" s="311"/>
      <c r="AM349" s="311"/>
    </row>
    <row r="350" spans="1:39" ht="15.75" customHeight="1">
      <c r="A350" s="1647"/>
      <c r="B350" s="311"/>
      <c r="C350" s="1647"/>
      <c r="D350" s="2173"/>
      <c r="E350" s="1586"/>
      <c r="F350" s="1954"/>
      <c r="G350" s="1586"/>
      <c r="H350" s="1586"/>
      <c r="I350" s="1647"/>
      <c r="J350" s="1647"/>
      <c r="K350" s="1647"/>
      <c r="L350" s="1586"/>
      <c r="M350" s="2174"/>
      <c r="N350" s="2174"/>
      <c r="O350" s="836"/>
      <c r="P350" s="2174"/>
      <c r="Q350" s="836"/>
      <c r="R350" s="309"/>
      <c r="S350" s="309"/>
      <c r="T350" s="309"/>
      <c r="U350" s="309"/>
      <c r="V350" s="311"/>
      <c r="W350" s="311"/>
      <c r="X350" s="1647"/>
      <c r="Y350" s="311"/>
      <c r="Z350" s="311"/>
      <c r="AA350" s="311"/>
      <c r="AB350" s="311"/>
      <c r="AC350" s="311"/>
      <c r="AD350" s="311"/>
      <c r="AE350" s="311"/>
      <c r="AF350" s="311"/>
      <c r="AG350" s="311"/>
      <c r="AH350" s="311"/>
      <c r="AI350" s="311"/>
      <c r="AJ350" s="311"/>
      <c r="AK350" s="311"/>
      <c r="AL350" s="311"/>
      <c r="AM350" s="311"/>
    </row>
    <row r="351" spans="1:39" ht="15.75" customHeight="1">
      <c r="A351" s="1647"/>
      <c r="B351" s="311"/>
      <c r="C351" s="1647"/>
      <c r="D351" s="2173"/>
      <c r="E351" s="1586"/>
      <c r="F351" s="1954"/>
      <c r="G351" s="1586"/>
      <c r="H351" s="1586"/>
      <c r="I351" s="1647"/>
      <c r="J351" s="1647"/>
      <c r="K351" s="1647"/>
      <c r="L351" s="1586"/>
      <c r="M351" s="2174"/>
      <c r="N351" s="2174"/>
      <c r="O351" s="836"/>
      <c r="P351" s="2174"/>
      <c r="Q351" s="836"/>
      <c r="R351" s="309"/>
      <c r="S351" s="309"/>
      <c r="T351" s="309"/>
      <c r="U351" s="309"/>
      <c r="V351" s="311"/>
      <c r="W351" s="311"/>
      <c r="X351" s="1647"/>
      <c r="Y351" s="311"/>
      <c r="Z351" s="311"/>
      <c r="AA351" s="311"/>
      <c r="AB351" s="311"/>
      <c r="AC351" s="311"/>
      <c r="AD351" s="311"/>
      <c r="AE351" s="311"/>
      <c r="AF351" s="311"/>
      <c r="AG351" s="311"/>
      <c r="AH351" s="311"/>
      <c r="AI351" s="311"/>
      <c r="AJ351" s="311"/>
      <c r="AK351" s="311"/>
      <c r="AL351" s="311"/>
      <c r="AM351" s="311"/>
    </row>
    <row r="352" spans="1:39" ht="15.75" customHeight="1">
      <c r="A352" s="1647"/>
      <c r="B352" s="311"/>
      <c r="C352" s="1647"/>
      <c r="D352" s="2173"/>
      <c r="E352" s="1586"/>
      <c r="F352" s="1954"/>
      <c r="G352" s="1586"/>
      <c r="H352" s="1586"/>
      <c r="I352" s="1647"/>
      <c r="J352" s="1647"/>
      <c r="K352" s="1647"/>
      <c r="L352" s="1586"/>
      <c r="M352" s="2174"/>
      <c r="N352" s="2174"/>
      <c r="O352" s="836"/>
      <c r="P352" s="2174"/>
      <c r="Q352" s="836"/>
      <c r="R352" s="309"/>
      <c r="S352" s="309"/>
      <c r="T352" s="309"/>
      <c r="U352" s="309"/>
      <c r="V352" s="311"/>
      <c r="W352" s="311"/>
      <c r="X352" s="1647"/>
      <c r="Y352" s="311"/>
      <c r="Z352" s="311"/>
      <c r="AA352" s="311"/>
      <c r="AB352" s="311"/>
      <c r="AC352" s="311"/>
      <c r="AD352" s="311"/>
      <c r="AE352" s="311"/>
      <c r="AF352" s="311"/>
      <c r="AG352" s="311"/>
      <c r="AH352" s="311"/>
      <c r="AI352" s="311"/>
      <c r="AJ352" s="311"/>
      <c r="AK352" s="311"/>
      <c r="AL352" s="311"/>
      <c r="AM352" s="311"/>
    </row>
    <row r="353" spans="1:39" ht="15.75" customHeight="1">
      <c r="A353" s="1647"/>
      <c r="B353" s="311"/>
      <c r="C353" s="1647"/>
      <c r="D353" s="2173"/>
      <c r="E353" s="1586"/>
      <c r="F353" s="1954"/>
      <c r="G353" s="1586"/>
      <c r="H353" s="1586"/>
      <c r="I353" s="1647"/>
      <c r="J353" s="1647"/>
      <c r="K353" s="1647"/>
      <c r="L353" s="1586"/>
      <c r="M353" s="2174"/>
      <c r="N353" s="2174"/>
      <c r="O353" s="836"/>
      <c r="P353" s="2174"/>
      <c r="Q353" s="836"/>
      <c r="R353" s="309"/>
      <c r="S353" s="309"/>
      <c r="T353" s="309"/>
      <c r="U353" s="309"/>
      <c r="V353" s="311"/>
      <c r="W353" s="311"/>
      <c r="X353" s="1647"/>
      <c r="Y353" s="311"/>
      <c r="Z353" s="311"/>
      <c r="AA353" s="311"/>
      <c r="AB353" s="311"/>
      <c r="AC353" s="311"/>
      <c r="AD353" s="311"/>
      <c r="AE353" s="311"/>
      <c r="AF353" s="311"/>
      <c r="AG353" s="311"/>
      <c r="AH353" s="311"/>
      <c r="AI353" s="311"/>
      <c r="AJ353" s="311"/>
      <c r="AK353" s="311"/>
      <c r="AL353" s="311"/>
      <c r="AM353" s="311"/>
    </row>
    <row r="354" spans="1:39" ht="15.75" customHeight="1">
      <c r="A354" s="1647"/>
      <c r="B354" s="311"/>
      <c r="C354" s="1647"/>
      <c r="D354" s="2173"/>
      <c r="E354" s="1586"/>
      <c r="F354" s="1954"/>
      <c r="G354" s="1586"/>
      <c r="H354" s="1586"/>
      <c r="I354" s="1647"/>
      <c r="J354" s="1647"/>
      <c r="K354" s="1647"/>
      <c r="L354" s="1586"/>
      <c r="M354" s="2174"/>
      <c r="N354" s="2174"/>
      <c r="O354" s="836"/>
      <c r="P354" s="2174"/>
      <c r="Q354" s="836"/>
      <c r="R354" s="309"/>
      <c r="S354" s="309"/>
      <c r="T354" s="309"/>
      <c r="U354" s="309"/>
      <c r="V354" s="311"/>
      <c r="W354" s="311"/>
      <c r="X354" s="1647"/>
      <c r="Y354" s="311"/>
      <c r="Z354" s="311"/>
      <c r="AA354" s="311"/>
      <c r="AB354" s="311"/>
      <c r="AC354" s="311"/>
      <c r="AD354" s="311"/>
      <c r="AE354" s="311"/>
      <c r="AF354" s="311"/>
      <c r="AG354" s="311"/>
      <c r="AH354" s="311"/>
      <c r="AI354" s="311"/>
      <c r="AJ354" s="311"/>
      <c r="AK354" s="311"/>
      <c r="AL354" s="311"/>
      <c r="AM354" s="311"/>
    </row>
    <row r="355" spans="1:39" ht="15.75" customHeight="1">
      <c r="A355" s="1647"/>
      <c r="B355" s="311"/>
      <c r="C355" s="1647"/>
      <c r="D355" s="2173"/>
      <c r="E355" s="1586"/>
      <c r="F355" s="1954"/>
      <c r="G355" s="1586"/>
      <c r="H355" s="1586"/>
      <c r="I355" s="1647"/>
      <c r="J355" s="1647"/>
      <c r="K355" s="1647"/>
      <c r="L355" s="1586"/>
      <c r="M355" s="2174"/>
      <c r="N355" s="2174"/>
      <c r="O355" s="836"/>
      <c r="P355" s="2174"/>
      <c r="Q355" s="836"/>
      <c r="R355" s="309"/>
      <c r="S355" s="309"/>
      <c r="T355" s="309"/>
      <c r="U355" s="309"/>
      <c r="V355" s="311"/>
      <c r="W355" s="311"/>
      <c r="X355" s="1647"/>
      <c r="Y355" s="311"/>
      <c r="Z355" s="311"/>
      <c r="AA355" s="311"/>
      <c r="AB355" s="311"/>
      <c r="AC355" s="311"/>
      <c r="AD355" s="311"/>
      <c r="AE355" s="311"/>
      <c r="AF355" s="311"/>
      <c r="AG355" s="311"/>
      <c r="AH355" s="311"/>
      <c r="AI355" s="311"/>
      <c r="AJ355" s="311"/>
      <c r="AK355" s="311"/>
      <c r="AL355" s="311"/>
      <c r="AM355" s="311"/>
    </row>
    <row r="356" spans="1:39" ht="15.75" customHeight="1">
      <c r="A356" s="1647"/>
      <c r="B356" s="311"/>
      <c r="C356" s="1647"/>
      <c r="D356" s="2173"/>
      <c r="E356" s="1586"/>
      <c r="F356" s="1954"/>
      <c r="G356" s="1586"/>
      <c r="H356" s="1586"/>
      <c r="I356" s="1647"/>
      <c r="J356" s="1647"/>
      <c r="K356" s="1647"/>
      <c r="L356" s="1586"/>
      <c r="M356" s="2174"/>
      <c r="N356" s="2174"/>
      <c r="O356" s="836"/>
      <c r="P356" s="2174"/>
      <c r="Q356" s="836"/>
      <c r="R356" s="309"/>
      <c r="S356" s="309"/>
      <c r="T356" s="309"/>
      <c r="U356" s="309"/>
      <c r="V356" s="311"/>
      <c r="W356" s="311"/>
      <c r="X356" s="1647"/>
      <c r="Y356" s="311"/>
      <c r="Z356" s="311"/>
      <c r="AA356" s="311"/>
      <c r="AB356" s="311"/>
      <c r="AC356" s="311"/>
      <c r="AD356" s="311"/>
      <c r="AE356" s="311"/>
      <c r="AF356" s="311"/>
      <c r="AG356" s="311"/>
      <c r="AH356" s="311"/>
      <c r="AI356" s="311"/>
      <c r="AJ356" s="311"/>
      <c r="AK356" s="311"/>
      <c r="AL356" s="311"/>
      <c r="AM356" s="311"/>
    </row>
    <row r="357" spans="1:39" ht="15.75" customHeight="1">
      <c r="A357" s="1647"/>
      <c r="B357" s="311"/>
      <c r="C357" s="1647"/>
      <c r="D357" s="2173"/>
      <c r="E357" s="1586"/>
      <c r="F357" s="1954"/>
      <c r="G357" s="1586"/>
      <c r="H357" s="1586"/>
      <c r="I357" s="1647"/>
      <c r="J357" s="1647"/>
      <c r="K357" s="1647"/>
      <c r="L357" s="1586"/>
      <c r="M357" s="2174"/>
      <c r="N357" s="2174"/>
      <c r="O357" s="836"/>
      <c r="P357" s="2174"/>
      <c r="Q357" s="836"/>
      <c r="R357" s="309"/>
      <c r="S357" s="309"/>
      <c r="T357" s="309"/>
      <c r="U357" s="309"/>
      <c r="V357" s="311"/>
      <c r="W357" s="311"/>
      <c r="X357" s="1647"/>
      <c r="Y357" s="311"/>
      <c r="Z357" s="311"/>
      <c r="AA357" s="311"/>
      <c r="AB357" s="311"/>
      <c r="AC357" s="311"/>
      <c r="AD357" s="311"/>
      <c r="AE357" s="311"/>
      <c r="AF357" s="311"/>
      <c r="AG357" s="311"/>
      <c r="AH357" s="311"/>
      <c r="AI357" s="311"/>
      <c r="AJ357" s="311"/>
      <c r="AK357" s="311"/>
      <c r="AL357" s="311"/>
      <c r="AM357" s="311"/>
    </row>
    <row r="358" spans="1:39" ht="15.75" customHeight="1">
      <c r="A358" s="1647"/>
      <c r="B358" s="311"/>
      <c r="C358" s="1647"/>
      <c r="D358" s="2173"/>
      <c r="E358" s="1586"/>
      <c r="F358" s="1954"/>
      <c r="G358" s="1586"/>
      <c r="H358" s="1586"/>
      <c r="I358" s="1647"/>
      <c r="J358" s="1647"/>
      <c r="K358" s="1647"/>
      <c r="L358" s="1586"/>
      <c r="M358" s="2174"/>
      <c r="N358" s="2174"/>
      <c r="O358" s="836"/>
      <c r="P358" s="2174"/>
      <c r="Q358" s="836"/>
      <c r="R358" s="309"/>
      <c r="S358" s="309"/>
      <c r="T358" s="309"/>
      <c r="U358" s="309"/>
      <c r="V358" s="311"/>
      <c r="W358" s="311"/>
      <c r="X358" s="1647"/>
      <c r="Y358" s="311"/>
      <c r="Z358" s="311"/>
      <c r="AA358" s="311"/>
      <c r="AB358" s="311"/>
      <c r="AC358" s="311"/>
      <c r="AD358" s="311"/>
      <c r="AE358" s="311"/>
      <c r="AF358" s="311"/>
      <c r="AG358" s="311"/>
      <c r="AH358" s="311"/>
      <c r="AI358" s="311"/>
      <c r="AJ358" s="311"/>
      <c r="AK358" s="311"/>
      <c r="AL358" s="311"/>
      <c r="AM358" s="311"/>
    </row>
    <row r="359" spans="1:39" ht="15.75" customHeight="1">
      <c r="A359" s="1647"/>
      <c r="B359" s="311"/>
      <c r="C359" s="1647"/>
      <c r="D359" s="2173"/>
      <c r="E359" s="1586"/>
      <c r="F359" s="1954"/>
      <c r="G359" s="1586"/>
      <c r="H359" s="1586"/>
      <c r="I359" s="1647"/>
      <c r="J359" s="1647"/>
      <c r="K359" s="1647"/>
      <c r="L359" s="1586"/>
      <c r="M359" s="2174"/>
      <c r="N359" s="2174"/>
      <c r="O359" s="836"/>
      <c r="P359" s="2174"/>
      <c r="Q359" s="836"/>
      <c r="R359" s="309"/>
      <c r="S359" s="309"/>
      <c r="T359" s="309"/>
      <c r="U359" s="309"/>
      <c r="V359" s="311"/>
      <c r="W359" s="311"/>
      <c r="X359" s="1647"/>
      <c r="Y359" s="311"/>
      <c r="Z359" s="311"/>
      <c r="AA359" s="311"/>
      <c r="AB359" s="311"/>
      <c r="AC359" s="311"/>
      <c r="AD359" s="311"/>
      <c r="AE359" s="311"/>
      <c r="AF359" s="311"/>
      <c r="AG359" s="311"/>
      <c r="AH359" s="311"/>
      <c r="AI359" s="311"/>
      <c r="AJ359" s="311"/>
      <c r="AK359" s="311"/>
      <c r="AL359" s="311"/>
      <c r="AM359" s="311"/>
    </row>
    <row r="360" spans="1:39" ht="15.75" customHeight="1">
      <c r="A360" s="1647"/>
      <c r="B360" s="311"/>
      <c r="C360" s="1647"/>
      <c r="D360" s="2173"/>
      <c r="E360" s="1586"/>
      <c r="F360" s="1954"/>
      <c r="G360" s="1586"/>
      <c r="H360" s="1586"/>
      <c r="I360" s="1647"/>
      <c r="J360" s="1647"/>
      <c r="K360" s="1647"/>
      <c r="L360" s="1586"/>
      <c r="M360" s="2174"/>
      <c r="N360" s="2174"/>
      <c r="O360" s="836"/>
      <c r="P360" s="2174"/>
      <c r="Q360" s="836"/>
      <c r="R360" s="309"/>
      <c r="S360" s="309"/>
      <c r="T360" s="309"/>
      <c r="U360" s="309"/>
      <c r="V360" s="311"/>
      <c r="W360" s="311"/>
      <c r="X360" s="1647"/>
      <c r="Y360" s="311"/>
      <c r="Z360" s="311"/>
      <c r="AA360" s="311"/>
      <c r="AB360" s="311"/>
      <c r="AC360" s="311"/>
      <c r="AD360" s="311"/>
      <c r="AE360" s="311"/>
      <c r="AF360" s="311"/>
      <c r="AG360" s="311"/>
      <c r="AH360" s="311"/>
      <c r="AI360" s="311"/>
      <c r="AJ360" s="311"/>
      <c r="AK360" s="311"/>
      <c r="AL360" s="311"/>
      <c r="AM360" s="311"/>
    </row>
    <row r="361" spans="1:39" ht="15.75" customHeight="1">
      <c r="A361" s="1647"/>
      <c r="B361" s="311"/>
      <c r="C361" s="1647"/>
      <c r="D361" s="2173"/>
      <c r="E361" s="1586"/>
      <c r="F361" s="1954"/>
      <c r="G361" s="1586"/>
      <c r="H361" s="1586"/>
      <c r="I361" s="1647"/>
      <c r="J361" s="1647"/>
      <c r="K361" s="1647"/>
      <c r="L361" s="1586"/>
      <c r="M361" s="2174"/>
      <c r="N361" s="2174"/>
      <c r="O361" s="836"/>
      <c r="P361" s="2174"/>
      <c r="Q361" s="836"/>
      <c r="R361" s="309"/>
      <c r="S361" s="309"/>
      <c r="T361" s="309"/>
      <c r="U361" s="309"/>
      <c r="V361" s="311"/>
      <c r="W361" s="311"/>
      <c r="X361" s="1647"/>
      <c r="Y361" s="311"/>
      <c r="Z361" s="311"/>
      <c r="AA361" s="311"/>
      <c r="AB361" s="311"/>
      <c r="AC361" s="311"/>
      <c r="AD361" s="311"/>
      <c r="AE361" s="311"/>
      <c r="AF361" s="311"/>
      <c r="AG361" s="311"/>
      <c r="AH361" s="311"/>
      <c r="AI361" s="311"/>
      <c r="AJ361" s="311"/>
      <c r="AK361" s="311"/>
      <c r="AL361" s="311"/>
      <c r="AM361" s="311"/>
    </row>
    <row r="362" spans="1:39" ht="15.75" customHeight="1">
      <c r="A362" s="1647"/>
      <c r="B362" s="311"/>
      <c r="C362" s="1647"/>
      <c r="D362" s="2173"/>
      <c r="E362" s="1586"/>
      <c r="F362" s="1954"/>
      <c r="G362" s="1586"/>
      <c r="H362" s="1586"/>
      <c r="I362" s="1647"/>
      <c r="J362" s="1647"/>
      <c r="K362" s="1647"/>
      <c r="L362" s="1586"/>
      <c r="M362" s="2174"/>
      <c r="N362" s="2174"/>
      <c r="O362" s="836"/>
      <c r="P362" s="2174"/>
      <c r="Q362" s="836"/>
      <c r="R362" s="309"/>
      <c r="S362" s="309"/>
      <c r="T362" s="309"/>
      <c r="U362" s="309"/>
      <c r="V362" s="311"/>
      <c r="W362" s="311"/>
      <c r="X362" s="1647"/>
      <c r="Y362" s="311"/>
      <c r="Z362" s="311"/>
      <c r="AA362" s="311"/>
      <c r="AB362" s="311"/>
      <c r="AC362" s="311"/>
      <c r="AD362" s="311"/>
      <c r="AE362" s="311"/>
      <c r="AF362" s="311"/>
      <c r="AG362" s="311"/>
      <c r="AH362" s="311"/>
      <c r="AI362" s="311"/>
      <c r="AJ362" s="311"/>
      <c r="AK362" s="311"/>
      <c r="AL362" s="311"/>
      <c r="AM362" s="311"/>
    </row>
    <row r="363" spans="1:39" ht="15.75" customHeight="1">
      <c r="A363" s="1647"/>
      <c r="B363" s="311"/>
      <c r="C363" s="1647"/>
      <c r="D363" s="2173"/>
      <c r="E363" s="1586"/>
      <c r="F363" s="1954"/>
      <c r="G363" s="1586"/>
      <c r="H363" s="1586"/>
      <c r="I363" s="1647"/>
      <c r="J363" s="1647"/>
      <c r="K363" s="1647"/>
      <c r="L363" s="1586"/>
      <c r="M363" s="2174"/>
      <c r="N363" s="2174"/>
      <c r="O363" s="836"/>
      <c r="P363" s="2174"/>
      <c r="Q363" s="836"/>
      <c r="R363" s="309"/>
      <c r="S363" s="309"/>
      <c r="T363" s="309"/>
      <c r="U363" s="309"/>
      <c r="V363" s="311"/>
      <c r="W363" s="311"/>
      <c r="X363" s="1647"/>
      <c r="Y363" s="311"/>
      <c r="Z363" s="311"/>
      <c r="AA363" s="311"/>
      <c r="AB363" s="311"/>
      <c r="AC363" s="311"/>
      <c r="AD363" s="311"/>
      <c r="AE363" s="311"/>
      <c r="AF363" s="311"/>
      <c r="AG363" s="311"/>
      <c r="AH363" s="311"/>
      <c r="AI363" s="311"/>
      <c r="AJ363" s="311"/>
      <c r="AK363" s="311"/>
      <c r="AL363" s="311"/>
      <c r="AM363" s="311"/>
    </row>
    <row r="364" spans="1:39" ht="15.75" customHeight="1">
      <c r="A364" s="1647"/>
      <c r="B364" s="311"/>
      <c r="C364" s="1647"/>
      <c r="D364" s="2173"/>
      <c r="E364" s="1586"/>
      <c r="F364" s="1954"/>
      <c r="G364" s="1586"/>
      <c r="H364" s="1586"/>
      <c r="I364" s="1647"/>
      <c r="J364" s="1647"/>
      <c r="K364" s="1647"/>
      <c r="L364" s="1586"/>
      <c r="M364" s="2174"/>
      <c r="N364" s="2174"/>
      <c r="O364" s="836"/>
      <c r="P364" s="2174"/>
      <c r="Q364" s="836"/>
      <c r="R364" s="309"/>
      <c r="S364" s="309"/>
      <c r="T364" s="309"/>
      <c r="U364" s="309"/>
      <c r="V364" s="311"/>
      <c r="W364" s="311"/>
      <c r="X364" s="1647"/>
      <c r="Y364" s="311"/>
      <c r="Z364" s="311"/>
      <c r="AA364" s="311"/>
      <c r="AB364" s="311"/>
      <c r="AC364" s="311"/>
      <c r="AD364" s="311"/>
      <c r="AE364" s="311"/>
      <c r="AF364" s="311"/>
      <c r="AG364" s="311"/>
      <c r="AH364" s="311"/>
      <c r="AI364" s="311"/>
      <c r="AJ364" s="311"/>
      <c r="AK364" s="311"/>
      <c r="AL364" s="311"/>
      <c r="AM364" s="311"/>
    </row>
    <row r="365" spans="1:39" ht="15.75" customHeight="1">
      <c r="A365" s="1647"/>
      <c r="B365" s="311"/>
      <c r="C365" s="1647"/>
      <c r="D365" s="2173"/>
      <c r="E365" s="1586"/>
      <c r="F365" s="1954"/>
      <c r="G365" s="1586"/>
      <c r="H365" s="1586"/>
      <c r="I365" s="1647"/>
      <c r="J365" s="1647"/>
      <c r="K365" s="1647"/>
      <c r="L365" s="1586"/>
      <c r="M365" s="2174"/>
      <c r="N365" s="2174"/>
      <c r="O365" s="836"/>
      <c r="P365" s="2174"/>
      <c r="Q365" s="836"/>
      <c r="R365" s="309"/>
      <c r="S365" s="309"/>
      <c r="T365" s="309"/>
      <c r="U365" s="309"/>
      <c r="V365" s="311"/>
      <c r="W365" s="311"/>
      <c r="X365" s="1647"/>
      <c r="Y365" s="311"/>
      <c r="Z365" s="311"/>
      <c r="AA365" s="311"/>
      <c r="AB365" s="311"/>
      <c r="AC365" s="311"/>
      <c r="AD365" s="311"/>
      <c r="AE365" s="311"/>
      <c r="AF365" s="311"/>
      <c r="AG365" s="311"/>
      <c r="AH365" s="311"/>
      <c r="AI365" s="311"/>
      <c r="AJ365" s="311"/>
      <c r="AK365" s="311"/>
      <c r="AL365" s="311"/>
      <c r="AM365" s="311"/>
    </row>
    <row r="366" spans="1:39" ht="15.75" customHeight="1">
      <c r="A366" s="1647"/>
      <c r="B366" s="311"/>
      <c r="C366" s="1647"/>
      <c r="D366" s="2173"/>
      <c r="E366" s="1586"/>
      <c r="F366" s="1954"/>
      <c r="G366" s="1586"/>
      <c r="H366" s="1586"/>
      <c r="I366" s="1647"/>
      <c r="J366" s="1647"/>
      <c r="K366" s="1647"/>
      <c r="L366" s="1586"/>
      <c r="M366" s="2174"/>
      <c r="N366" s="2174"/>
      <c r="O366" s="836"/>
      <c r="P366" s="2174"/>
      <c r="Q366" s="836"/>
      <c r="R366" s="309"/>
      <c r="S366" s="309"/>
      <c r="T366" s="309"/>
      <c r="U366" s="309"/>
      <c r="V366" s="311"/>
      <c r="W366" s="311"/>
      <c r="X366" s="1647"/>
      <c r="Y366" s="311"/>
      <c r="Z366" s="311"/>
      <c r="AA366" s="311"/>
      <c r="AB366" s="311"/>
      <c r="AC366" s="311"/>
      <c r="AD366" s="311"/>
      <c r="AE366" s="311"/>
      <c r="AF366" s="311"/>
      <c r="AG366" s="311"/>
      <c r="AH366" s="311"/>
      <c r="AI366" s="311"/>
      <c r="AJ366" s="311"/>
      <c r="AK366" s="311"/>
      <c r="AL366" s="311"/>
      <c r="AM366" s="311"/>
    </row>
    <row r="367" spans="1:39" ht="15.75" customHeight="1">
      <c r="A367" s="1647"/>
      <c r="B367" s="311"/>
      <c r="C367" s="1647"/>
      <c r="D367" s="2173"/>
      <c r="E367" s="1586"/>
      <c r="F367" s="1954"/>
      <c r="G367" s="1586"/>
      <c r="H367" s="1586"/>
      <c r="I367" s="1647"/>
      <c r="J367" s="1647"/>
      <c r="K367" s="1647"/>
      <c r="L367" s="1586"/>
      <c r="M367" s="2174"/>
      <c r="N367" s="2174"/>
      <c r="O367" s="836"/>
      <c r="P367" s="2174"/>
      <c r="Q367" s="836"/>
      <c r="R367" s="309"/>
      <c r="S367" s="309"/>
      <c r="T367" s="309"/>
      <c r="U367" s="309"/>
      <c r="V367" s="311"/>
      <c r="W367" s="311"/>
      <c r="X367" s="1647"/>
      <c r="Y367" s="311"/>
      <c r="Z367" s="311"/>
      <c r="AA367" s="311"/>
      <c r="AB367" s="311"/>
      <c r="AC367" s="311"/>
      <c r="AD367" s="311"/>
      <c r="AE367" s="311"/>
      <c r="AF367" s="311"/>
      <c r="AG367" s="311"/>
      <c r="AH367" s="311"/>
      <c r="AI367" s="311"/>
      <c r="AJ367" s="311"/>
      <c r="AK367" s="311"/>
      <c r="AL367" s="311"/>
      <c r="AM367" s="311"/>
    </row>
    <row r="368" spans="1:39" ht="15.75" customHeight="1">
      <c r="A368" s="1647"/>
      <c r="B368" s="311"/>
      <c r="C368" s="1647"/>
      <c r="D368" s="2173"/>
      <c r="E368" s="1586"/>
      <c r="F368" s="1954"/>
      <c r="G368" s="1586"/>
      <c r="H368" s="1586"/>
      <c r="I368" s="1647"/>
      <c r="J368" s="1647"/>
      <c r="K368" s="1647"/>
      <c r="L368" s="1586"/>
      <c r="M368" s="2174"/>
      <c r="N368" s="2174"/>
      <c r="O368" s="836"/>
      <c r="P368" s="2174"/>
      <c r="Q368" s="836"/>
      <c r="R368" s="309"/>
      <c r="S368" s="309"/>
      <c r="T368" s="309"/>
      <c r="U368" s="309"/>
      <c r="V368" s="311"/>
      <c r="W368" s="311"/>
      <c r="X368" s="1647"/>
      <c r="Y368" s="311"/>
      <c r="Z368" s="311"/>
      <c r="AA368" s="311"/>
      <c r="AB368" s="311"/>
      <c r="AC368" s="311"/>
      <c r="AD368" s="311"/>
      <c r="AE368" s="311"/>
      <c r="AF368" s="311"/>
      <c r="AG368" s="311"/>
      <c r="AH368" s="311"/>
      <c r="AI368" s="311"/>
      <c r="AJ368" s="311"/>
      <c r="AK368" s="311"/>
      <c r="AL368" s="311"/>
      <c r="AM368" s="311"/>
    </row>
    <row r="369" spans="1:39" ht="15.75" customHeight="1">
      <c r="A369" s="1647"/>
      <c r="B369" s="311"/>
      <c r="C369" s="1647"/>
      <c r="D369" s="2173"/>
      <c r="E369" s="1586"/>
      <c r="F369" s="1954"/>
      <c r="G369" s="1586"/>
      <c r="H369" s="1586"/>
      <c r="I369" s="1647"/>
      <c r="J369" s="1647"/>
      <c r="K369" s="1647"/>
      <c r="L369" s="1586"/>
      <c r="M369" s="2174"/>
      <c r="N369" s="2174"/>
      <c r="O369" s="836"/>
      <c r="P369" s="2174"/>
      <c r="Q369" s="836"/>
      <c r="R369" s="309"/>
      <c r="S369" s="309"/>
      <c r="T369" s="309"/>
      <c r="U369" s="309"/>
      <c r="V369" s="311"/>
      <c r="W369" s="311"/>
      <c r="X369" s="1647"/>
      <c r="Y369" s="311"/>
      <c r="Z369" s="311"/>
      <c r="AA369" s="311"/>
      <c r="AB369" s="311"/>
      <c r="AC369" s="311"/>
      <c r="AD369" s="311"/>
      <c r="AE369" s="311"/>
      <c r="AF369" s="311"/>
      <c r="AG369" s="311"/>
      <c r="AH369" s="311"/>
      <c r="AI369" s="311"/>
      <c r="AJ369" s="311"/>
      <c r="AK369" s="311"/>
      <c r="AL369" s="311"/>
      <c r="AM369" s="311"/>
    </row>
    <row r="370" spans="1:39" ht="15.75" customHeight="1">
      <c r="A370" s="1647"/>
      <c r="B370" s="311"/>
      <c r="C370" s="1647"/>
      <c r="D370" s="2173"/>
      <c r="E370" s="1586"/>
      <c r="F370" s="1954"/>
      <c r="G370" s="1586"/>
      <c r="H370" s="1586"/>
      <c r="I370" s="1647"/>
      <c r="J370" s="1647"/>
      <c r="K370" s="1647"/>
      <c r="L370" s="1586"/>
      <c r="M370" s="2174"/>
      <c r="N370" s="2174"/>
      <c r="O370" s="836"/>
      <c r="P370" s="2174"/>
      <c r="Q370" s="836"/>
      <c r="R370" s="309"/>
      <c r="S370" s="309"/>
      <c r="T370" s="309"/>
      <c r="U370" s="309"/>
      <c r="V370" s="311"/>
      <c r="W370" s="311"/>
      <c r="X370" s="1647"/>
      <c r="Y370" s="311"/>
      <c r="Z370" s="311"/>
      <c r="AA370" s="311"/>
      <c r="AB370" s="311"/>
      <c r="AC370" s="311"/>
      <c r="AD370" s="311"/>
      <c r="AE370" s="311"/>
      <c r="AF370" s="311"/>
      <c r="AG370" s="311"/>
      <c r="AH370" s="311"/>
      <c r="AI370" s="311"/>
      <c r="AJ370" s="311"/>
      <c r="AK370" s="311"/>
      <c r="AL370" s="311"/>
      <c r="AM370" s="311"/>
    </row>
    <row r="371" spans="1:39" ht="15.75" customHeight="1">
      <c r="A371" s="1647"/>
      <c r="B371" s="311"/>
      <c r="C371" s="1647"/>
      <c r="D371" s="2173"/>
      <c r="E371" s="1586"/>
      <c r="F371" s="1954"/>
      <c r="G371" s="1586"/>
      <c r="H371" s="1586"/>
      <c r="I371" s="1647"/>
      <c r="J371" s="1647"/>
      <c r="K371" s="1647"/>
      <c r="L371" s="1586"/>
      <c r="M371" s="2174"/>
      <c r="N371" s="2174"/>
      <c r="O371" s="836"/>
      <c r="P371" s="2174"/>
      <c r="Q371" s="836"/>
      <c r="R371" s="309"/>
      <c r="S371" s="309"/>
      <c r="T371" s="309"/>
      <c r="U371" s="309"/>
      <c r="V371" s="311"/>
      <c r="W371" s="311"/>
      <c r="X371" s="1647"/>
      <c r="Y371" s="311"/>
      <c r="Z371" s="311"/>
      <c r="AA371" s="311"/>
      <c r="AB371" s="311"/>
      <c r="AC371" s="311"/>
      <c r="AD371" s="311"/>
      <c r="AE371" s="311"/>
      <c r="AF371" s="311"/>
      <c r="AG371" s="311"/>
      <c r="AH371" s="311"/>
      <c r="AI371" s="311"/>
      <c r="AJ371" s="311"/>
      <c r="AK371" s="311"/>
      <c r="AL371" s="311"/>
      <c r="AM371" s="311"/>
    </row>
    <row r="372" spans="1:39" ht="15.75" customHeight="1">
      <c r="A372" s="1647"/>
      <c r="B372" s="311"/>
      <c r="C372" s="1647"/>
      <c r="D372" s="2173"/>
      <c r="E372" s="1586"/>
      <c r="F372" s="1954"/>
      <c r="G372" s="1586"/>
      <c r="H372" s="1586"/>
      <c r="I372" s="1647"/>
      <c r="J372" s="1647"/>
      <c r="K372" s="1647"/>
      <c r="L372" s="1586"/>
      <c r="M372" s="2174"/>
      <c r="N372" s="2174"/>
      <c r="O372" s="836"/>
      <c r="P372" s="2174"/>
      <c r="Q372" s="836"/>
      <c r="R372" s="309"/>
      <c r="S372" s="309"/>
      <c r="T372" s="309"/>
      <c r="U372" s="309"/>
      <c r="V372" s="311"/>
      <c r="W372" s="311"/>
      <c r="X372" s="1647"/>
      <c r="Y372" s="311"/>
      <c r="Z372" s="311"/>
      <c r="AA372" s="311"/>
      <c r="AB372" s="311"/>
      <c r="AC372" s="311"/>
      <c r="AD372" s="311"/>
      <c r="AE372" s="311"/>
      <c r="AF372" s="311"/>
      <c r="AG372" s="311"/>
      <c r="AH372" s="311"/>
      <c r="AI372" s="311"/>
      <c r="AJ372" s="311"/>
      <c r="AK372" s="311"/>
      <c r="AL372" s="311"/>
      <c r="AM372" s="311"/>
    </row>
    <row r="373" spans="1:39" ht="15.75" customHeight="1">
      <c r="A373" s="1647"/>
      <c r="B373" s="311"/>
      <c r="C373" s="1647"/>
      <c r="D373" s="2173"/>
      <c r="E373" s="1586"/>
      <c r="F373" s="1954"/>
      <c r="G373" s="1586"/>
      <c r="H373" s="1586"/>
      <c r="I373" s="1647"/>
      <c r="J373" s="1647"/>
      <c r="K373" s="1647"/>
      <c r="L373" s="1586"/>
      <c r="M373" s="2174"/>
      <c r="N373" s="2174"/>
      <c r="O373" s="836"/>
      <c r="P373" s="2174"/>
      <c r="Q373" s="836"/>
      <c r="R373" s="309"/>
      <c r="S373" s="309"/>
      <c r="T373" s="309"/>
      <c r="U373" s="309"/>
      <c r="V373" s="311"/>
      <c r="W373" s="311"/>
      <c r="X373" s="1647"/>
      <c r="Y373" s="311"/>
      <c r="Z373" s="311"/>
      <c r="AA373" s="311"/>
      <c r="AB373" s="311"/>
      <c r="AC373" s="311"/>
      <c r="AD373" s="311"/>
      <c r="AE373" s="311"/>
      <c r="AF373" s="311"/>
      <c r="AG373" s="311"/>
      <c r="AH373" s="311"/>
      <c r="AI373" s="311"/>
      <c r="AJ373" s="311"/>
      <c r="AK373" s="311"/>
      <c r="AL373" s="311"/>
      <c r="AM373" s="311"/>
    </row>
    <row r="374" spans="1:39" ht="15.75" customHeight="1">
      <c r="A374" s="1647"/>
      <c r="B374" s="311"/>
      <c r="C374" s="1647"/>
      <c r="D374" s="2173"/>
      <c r="E374" s="1586"/>
      <c r="F374" s="1954"/>
      <c r="G374" s="1586"/>
      <c r="H374" s="1586"/>
      <c r="I374" s="1647"/>
      <c r="J374" s="1647"/>
      <c r="K374" s="1647"/>
      <c r="L374" s="1586"/>
      <c r="M374" s="2174"/>
      <c r="N374" s="2174"/>
      <c r="O374" s="836"/>
      <c r="P374" s="2174"/>
      <c r="Q374" s="836"/>
      <c r="R374" s="309"/>
      <c r="S374" s="309"/>
      <c r="T374" s="309"/>
      <c r="U374" s="309"/>
      <c r="V374" s="311"/>
      <c r="W374" s="311"/>
      <c r="X374" s="1647"/>
      <c r="Y374" s="311"/>
      <c r="Z374" s="311"/>
      <c r="AA374" s="311"/>
      <c r="AB374" s="311"/>
      <c r="AC374" s="311"/>
      <c r="AD374" s="311"/>
      <c r="AE374" s="311"/>
      <c r="AF374" s="311"/>
      <c r="AG374" s="311"/>
      <c r="AH374" s="311"/>
      <c r="AI374" s="311"/>
      <c r="AJ374" s="311"/>
      <c r="AK374" s="311"/>
      <c r="AL374" s="311"/>
      <c r="AM374" s="311"/>
    </row>
    <row r="375" spans="1:39" ht="15.75" customHeight="1">
      <c r="A375" s="1647"/>
      <c r="B375" s="311"/>
      <c r="C375" s="1647"/>
      <c r="D375" s="2173"/>
      <c r="E375" s="1586"/>
      <c r="F375" s="1954"/>
      <c r="G375" s="1586"/>
      <c r="H375" s="1586"/>
      <c r="I375" s="1647"/>
      <c r="J375" s="1647"/>
      <c r="K375" s="1647"/>
      <c r="L375" s="1586"/>
      <c r="M375" s="2174"/>
      <c r="N375" s="2174"/>
      <c r="O375" s="836"/>
      <c r="P375" s="2174"/>
      <c r="Q375" s="836"/>
      <c r="R375" s="309"/>
      <c r="S375" s="309"/>
      <c r="T375" s="309"/>
      <c r="U375" s="309"/>
      <c r="V375" s="311"/>
      <c r="W375" s="311"/>
      <c r="X375" s="1647"/>
      <c r="Y375" s="311"/>
      <c r="Z375" s="311"/>
      <c r="AA375" s="311"/>
      <c r="AB375" s="311"/>
      <c r="AC375" s="311"/>
      <c r="AD375" s="311"/>
      <c r="AE375" s="311"/>
      <c r="AF375" s="311"/>
      <c r="AG375" s="311"/>
      <c r="AH375" s="311"/>
      <c r="AI375" s="311"/>
      <c r="AJ375" s="311"/>
      <c r="AK375" s="311"/>
      <c r="AL375" s="311"/>
      <c r="AM375" s="311"/>
    </row>
    <row r="376" spans="1:39" ht="15.75" customHeight="1">
      <c r="A376" s="1647"/>
      <c r="B376" s="311"/>
      <c r="C376" s="1647"/>
      <c r="D376" s="2173"/>
      <c r="E376" s="1586"/>
      <c r="F376" s="1954"/>
      <c r="G376" s="1586"/>
      <c r="H376" s="1586"/>
      <c r="I376" s="1647"/>
      <c r="J376" s="1647"/>
      <c r="K376" s="1647"/>
      <c r="L376" s="1586"/>
      <c r="M376" s="2174"/>
      <c r="N376" s="2174"/>
      <c r="O376" s="836"/>
      <c r="P376" s="2174"/>
      <c r="Q376" s="836"/>
      <c r="R376" s="309"/>
      <c r="S376" s="309"/>
      <c r="T376" s="309"/>
      <c r="U376" s="309"/>
      <c r="V376" s="311"/>
      <c r="W376" s="311"/>
      <c r="X376" s="1647"/>
      <c r="Y376" s="311"/>
      <c r="Z376" s="311"/>
      <c r="AA376" s="311"/>
      <c r="AB376" s="311"/>
      <c r="AC376" s="311"/>
      <c r="AD376" s="311"/>
      <c r="AE376" s="311"/>
      <c r="AF376" s="311"/>
      <c r="AG376" s="311"/>
      <c r="AH376" s="311"/>
      <c r="AI376" s="311"/>
      <c r="AJ376" s="311"/>
      <c r="AK376" s="311"/>
      <c r="AL376" s="311"/>
      <c r="AM376" s="311"/>
    </row>
    <row r="377" spans="1:39" ht="15.75" customHeight="1">
      <c r="A377" s="1647"/>
      <c r="B377" s="311"/>
      <c r="C377" s="1647"/>
      <c r="D377" s="2173"/>
      <c r="E377" s="1586"/>
      <c r="F377" s="1954"/>
      <c r="G377" s="1586"/>
      <c r="H377" s="1586"/>
      <c r="I377" s="1647"/>
      <c r="J377" s="1647"/>
      <c r="K377" s="1647"/>
      <c r="L377" s="1586"/>
      <c r="M377" s="2174"/>
      <c r="N377" s="2174"/>
      <c r="O377" s="836"/>
      <c r="P377" s="2174"/>
      <c r="Q377" s="836"/>
      <c r="R377" s="309"/>
      <c r="S377" s="309"/>
      <c r="T377" s="309"/>
      <c r="U377" s="309"/>
      <c r="V377" s="311"/>
      <c r="W377" s="311"/>
      <c r="X377" s="1647"/>
      <c r="Y377" s="311"/>
      <c r="Z377" s="311"/>
      <c r="AA377" s="311"/>
      <c r="AB377" s="311"/>
      <c r="AC377" s="311"/>
      <c r="AD377" s="311"/>
      <c r="AE377" s="311"/>
      <c r="AF377" s="311"/>
      <c r="AG377" s="311"/>
      <c r="AH377" s="311"/>
      <c r="AI377" s="311"/>
      <c r="AJ377" s="311"/>
      <c r="AK377" s="311"/>
      <c r="AL377" s="311"/>
      <c r="AM377" s="311"/>
    </row>
    <row r="378" spans="1:39" ht="15.75" customHeight="1">
      <c r="A378" s="1647"/>
      <c r="B378" s="311"/>
      <c r="C378" s="1647"/>
      <c r="D378" s="2173"/>
      <c r="E378" s="1586"/>
      <c r="F378" s="1954"/>
      <c r="G378" s="1586"/>
      <c r="H378" s="1586"/>
      <c r="I378" s="1647"/>
      <c r="J378" s="1647"/>
      <c r="K378" s="1647"/>
      <c r="L378" s="1586"/>
      <c r="M378" s="2174"/>
      <c r="N378" s="2174"/>
      <c r="O378" s="836"/>
      <c r="P378" s="2174"/>
      <c r="Q378" s="836"/>
      <c r="R378" s="309"/>
      <c r="S378" s="309"/>
      <c r="T378" s="309"/>
      <c r="U378" s="309"/>
      <c r="V378" s="311"/>
      <c r="W378" s="311"/>
      <c r="X378" s="1647"/>
      <c r="Y378" s="311"/>
      <c r="Z378" s="311"/>
      <c r="AA378" s="311"/>
      <c r="AB378" s="311"/>
      <c r="AC378" s="311"/>
      <c r="AD378" s="311"/>
      <c r="AE378" s="311"/>
      <c r="AF378" s="311"/>
      <c r="AG378" s="311"/>
      <c r="AH378" s="311"/>
      <c r="AI378" s="311"/>
      <c r="AJ378" s="311"/>
      <c r="AK378" s="311"/>
      <c r="AL378" s="311"/>
      <c r="AM378" s="311"/>
    </row>
    <row r="379" spans="1:39" ht="15.75" customHeight="1">
      <c r="A379" s="1647"/>
      <c r="B379" s="311"/>
      <c r="C379" s="1647"/>
      <c r="D379" s="2173"/>
      <c r="E379" s="1586"/>
      <c r="F379" s="1954"/>
      <c r="G379" s="1586"/>
      <c r="H379" s="1586"/>
      <c r="I379" s="1647"/>
      <c r="J379" s="1647"/>
      <c r="K379" s="1647"/>
      <c r="L379" s="1586"/>
      <c r="M379" s="2174"/>
      <c r="N379" s="2174"/>
      <c r="O379" s="836"/>
      <c r="P379" s="2174"/>
      <c r="Q379" s="836"/>
      <c r="R379" s="309"/>
      <c r="S379" s="309"/>
      <c r="T379" s="309"/>
      <c r="U379" s="309"/>
      <c r="V379" s="311"/>
      <c r="W379" s="311"/>
      <c r="X379" s="1647"/>
      <c r="Y379" s="311"/>
      <c r="Z379" s="311"/>
      <c r="AA379" s="311"/>
      <c r="AB379" s="311"/>
      <c r="AC379" s="311"/>
      <c r="AD379" s="311"/>
      <c r="AE379" s="311"/>
      <c r="AF379" s="311"/>
      <c r="AG379" s="311"/>
      <c r="AH379" s="311"/>
      <c r="AI379" s="311"/>
      <c r="AJ379" s="311"/>
      <c r="AK379" s="311"/>
      <c r="AL379" s="311"/>
      <c r="AM379" s="311"/>
    </row>
    <row r="380" spans="1:39" ht="15.75" customHeight="1">
      <c r="A380" s="1647"/>
      <c r="B380" s="311"/>
      <c r="C380" s="1647"/>
      <c r="D380" s="2173"/>
      <c r="E380" s="1586"/>
      <c r="F380" s="1954"/>
      <c r="G380" s="1586"/>
      <c r="H380" s="1586"/>
      <c r="I380" s="1647"/>
      <c r="J380" s="1647"/>
      <c r="K380" s="1647"/>
      <c r="L380" s="1586"/>
      <c r="M380" s="2174"/>
      <c r="N380" s="2174"/>
      <c r="O380" s="836"/>
      <c r="P380" s="2174"/>
      <c r="Q380" s="836"/>
      <c r="R380" s="309"/>
      <c r="S380" s="309"/>
      <c r="T380" s="309"/>
      <c r="U380" s="309"/>
      <c r="V380" s="311"/>
      <c r="W380" s="311"/>
      <c r="X380" s="1647"/>
      <c r="Y380" s="311"/>
      <c r="Z380" s="311"/>
      <c r="AA380" s="311"/>
      <c r="AB380" s="311"/>
      <c r="AC380" s="311"/>
      <c r="AD380" s="311"/>
      <c r="AE380" s="311"/>
      <c r="AF380" s="311"/>
      <c r="AG380" s="311"/>
      <c r="AH380" s="311"/>
      <c r="AI380" s="311"/>
      <c r="AJ380" s="311"/>
      <c r="AK380" s="311"/>
      <c r="AL380" s="311"/>
      <c r="AM380" s="311"/>
    </row>
    <row r="381" spans="1:39" ht="15.75" customHeight="1">
      <c r="A381" s="1647"/>
      <c r="B381" s="311"/>
      <c r="C381" s="1647"/>
      <c r="D381" s="2173"/>
      <c r="E381" s="1586"/>
      <c r="F381" s="1954"/>
      <c r="G381" s="1586"/>
      <c r="H381" s="1586"/>
      <c r="I381" s="1647"/>
      <c r="J381" s="1647"/>
      <c r="K381" s="1647"/>
      <c r="L381" s="1586"/>
      <c r="M381" s="2174"/>
      <c r="N381" s="2174"/>
      <c r="O381" s="836"/>
      <c r="P381" s="2174"/>
      <c r="Q381" s="836"/>
      <c r="R381" s="309"/>
      <c r="S381" s="309"/>
      <c r="T381" s="309"/>
      <c r="U381" s="309"/>
      <c r="V381" s="311"/>
      <c r="W381" s="311"/>
      <c r="X381" s="1647"/>
      <c r="Y381" s="311"/>
      <c r="Z381" s="311"/>
      <c r="AA381" s="311"/>
      <c r="AB381" s="311"/>
      <c r="AC381" s="311"/>
      <c r="AD381" s="311"/>
      <c r="AE381" s="311"/>
      <c r="AF381" s="311"/>
      <c r="AG381" s="311"/>
      <c r="AH381" s="311"/>
      <c r="AI381" s="311"/>
      <c r="AJ381" s="311"/>
      <c r="AK381" s="311"/>
      <c r="AL381" s="311"/>
      <c r="AM381" s="311"/>
    </row>
    <row r="382" spans="1:39" ht="15.75" customHeight="1">
      <c r="A382" s="1647"/>
      <c r="B382" s="311"/>
      <c r="C382" s="1647"/>
      <c r="D382" s="2173"/>
      <c r="E382" s="1586"/>
      <c r="F382" s="1954"/>
      <c r="G382" s="1586"/>
      <c r="H382" s="1586"/>
      <c r="I382" s="1647"/>
      <c r="J382" s="1647"/>
      <c r="K382" s="1647"/>
      <c r="L382" s="1586"/>
      <c r="M382" s="2174"/>
      <c r="N382" s="2174"/>
      <c r="O382" s="836"/>
      <c r="P382" s="2174"/>
      <c r="Q382" s="836"/>
      <c r="R382" s="309"/>
      <c r="S382" s="309"/>
      <c r="T382" s="309"/>
      <c r="U382" s="309"/>
      <c r="V382" s="311"/>
      <c r="W382" s="311"/>
      <c r="X382" s="1647"/>
      <c r="Y382" s="311"/>
      <c r="Z382" s="311"/>
      <c r="AA382" s="311"/>
      <c r="AB382" s="311"/>
      <c r="AC382" s="311"/>
      <c r="AD382" s="311"/>
      <c r="AE382" s="311"/>
      <c r="AF382" s="311"/>
      <c r="AG382" s="311"/>
      <c r="AH382" s="311"/>
      <c r="AI382" s="311"/>
      <c r="AJ382" s="311"/>
      <c r="AK382" s="311"/>
      <c r="AL382" s="311"/>
      <c r="AM382" s="311"/>
    </row>
    <row r="383" spans="1:39" ht="15.75" customHeight="1">
      <c r="A383" s="1647"/>
      <c r="B383" s="311"/>
      <c r="C383" s="1647"/>
      <c r="D383" s="2173"/>
      <c r="E383" s="1586"/>
      <c r="F383" s="1954"/>
      <c r="G383" s="1586"/>
      <c r="H383" s="1586"/>
      <c r="I383" s="1647"/>
      <c r="J383" s="1647"/>
      <c r="K383" s="1647"/>
      <c r="L383" s="1586"/>
      <c r="M383" s="2174"/>
      <c r="N383" s="2174"/>
      <c r="O383" s="836"/>
      <c r="P383" s="2174"/>
      <c r="Q383" s="836"/>
      <c r="R383" s="309"/>
      <c r="S383" s="309"/>
      <c r="T383" s="309"/>
      <c r="U383" s="309"/>
      <c r="V383" s="311"/>
      <c r="W383" s="311"/>
      <c r="X383" s="1647"/>
      <c r="Y383" s="311"/>
      <c r="Z383" s="311"/>
      <c r="AA383" s="311"/>
      <c r="AB383" s="311"/>
      <c r="AC383" s="311"/>
      <c r="AD383" s="311"/>
      <c r="AE383" s="311"/>
      <c r="AF383" s="311"/>
      <c r="AG383" s="311"/>
      <c r="AH383" s="311"/>
      <c r="AI383" s="311"/>
      <c r="AJ383" s="311"/>
      <c r="AK383" s="311"/>
      <c r="AL383" s="311"/>
      <c r="AM383" s="311"/>
    </row>
    <row r="384" spans="1:39" ht="15.75" customHeight="1">
      <c r="A384" s="1647"/>
      <c r="B384" s="311"/>
      <c r="C384" s="1647"/>
      <c r="D384" s="2173"/>
      <c r="E384" s="1586"/>
      <c r="F384" s="1954"/>
      <c r="G384" s="1586"/>
      <c r="H384" s="1586"/>
      <c r="I384" s="1647"/>
      <c r="J384" s="1647"/>
      <c r="K384" s="1647"/>
      <c r="L384" s="1586"/>
      <c r="M384" s="2174"/>
      <c r="N384" s="2174"/>
      <c r="O384" s="836"/>
      <c r="P384" s="2174"/>
      <c r="Q384" s="836"/>
      <c r="R384" s="309"/>
      <c r="S384" s="309"/>
      <c r="T384" s="309"/>
      <c r="U384" s="309"/>
      <c r="V384" s="311"/>
      <c r="W384" s="311"/>
      <c r="X384" s="1647"/>
      <c r="Y384" s="311"/>
      <c r="Z384" s="311"/>
      <c r="AA384" s="311"/>
      <c r="AB384" s="311"/>
      <c r="AC384" s="311"/>
      <c r="AD384" s="311"/>
      <c r="AE384" s="311"/>
      <c r="AF384" s="311"/>
      <c r="AG384" s="311"/>
      <c r="AH384" s="311"/>
      <c r="AI384" s="311"/>
      <c r="AJ384" s="311"/>
      <c r="AK384" s="311"/>
      <c r="AL384" s="311"/>
      <c r="AM384" s="311"/>
    </row>
    <row r="385" spans="1:39" ht="15.75" customHeight="1">
      <c r="A385" s="1647"/>
      <c r="B385" s="311"/>
      <c r="C385" s="1647"/>
      <c r="D385" s="2173"/>
      <c r="E385" s="1586"/>
      <c r="F385" s="1954"/>
      <c r="G385" s="1586"/>
      <c r="H385" s="1586"/>
      <c r="I385" s="1647"/>
      <c r="J385" s="1647"/>
      <c r="K385" s="1647"/>
      <c r="L385" s="1586"/>
      <c r="M385" s="2174"/>
      <c r="N385" s="2174"/>
      <c r="O385" s="836"/>
      <c r="P385" s="2174"/>
      <c r="Q385" s="836"/>
      <c r="R385" s="309"/>
      <c r="S385" s="309"/>
      <c r="T385" s="309"/>
      <c r="U385" s="309"/>
      <c r="V385" s="311"/>
      <c r="W385" s="311"/>
      <c r="X385" s="1647"/>
      <c r="Y385" s="311"/>
      <c r="Z385" s="311"/>
      <c r="AA385" s="311"/>
      <c r="AB385" s="311"/>
      <c r="AC385" s="311"/>
      <c r="AD385" s="311"/>
      <c r="AE385" s="311"/>
      <c r="AF385" s="311"/>
      <c r="AG385" s="311"/>
      <c r="AH385" s="311"/>
      <c r="AI385" s="311"/>
      <c r="AJ385" s="311"/>
      <c r="AK385" s="311"/>
      <c r="AL385" s="311"/>
      <c r="AM385" s="311"/>
    </row>
    <row r="386" spans="1:39" ht="15.75" customHeight="1">
      <c r="A386" s="1647"/>
      <c r="B386" s="311"/>
      <c r="C386" s="1647"/>
      <c r="D386" s="2173"/>
      <c r="E386" s="1586"/>
      <c r="F386" s="1954"/>
      <c r="G386" s="1586"/>
      <c r="H386" s="1586"/>
      <c r="I386" s="1647"/>
      <c r="J386" s="1647"/>
      <c r="K386" s="1647"/>
      <c r="L386" s="1586"/>
      <c r="M386" s="2174"/>
      <c r="N386" s="2174"/>
      <c r="O386" s="836"/>
      <c r="P386" s="2174"/>
      <c r="Q386" s="836"/>
      <c r="R386" s="309"/>
      <c r="S386" s="309"/>
      <c r="T386" s="309"/>
      <c r="U386" s="309"/>
      <c r="V386" s="311"/>
      <c r="W386" s="311"/>
      <c r="X386" s="1647"/>
      <c r="Y386" s="311"/>
      <c r="Z386" s="311"/>
      <c r="AA386" s="311"/>
      <c r="AB386" s="311"/>
      <c r="AC386" s="311"/>
      <c r="AD386" s="311"/>
      <c r="AE386" s="311"/>
      <c r="AF386" s="311"/>
      <c r="AG386" s="311"/>
      <c r="AH386" s="311"/>
      <c r="AI386" s="311"/>
      <c r="AJ386" s="311"/>
      <c r="AK386" s="311"/>
      <c r="AL386" s="311"/>
      <c r="AM386" s="311"/>
    </row>
    <row r="387" spans="1:39" ht="15.75" customHeight="1">
      <c r="A387" s="1647"/>
      <c r="B387" s="311"/>
      <c r="C387" s="1647"/>
      <c r="D387" s="2173"/>
      <c r="E387" s="1586"/>
      <c r="F387" s="1954"/>
      <c r="G387" s="1586"/>
      <c r="H387" s="1586"/>
      <c r="I387" s="1647"/>
      <c r="J387" s="1647"/>
      <c r="K387" s="1647"/>
      <c r="L387" s="1586"/>
      <c r="M387" s="2174"/>
      <c r="N387" s="2174"/>
      <c r="O387" s="836"/>
      <c r="P387" s="2174"/>
      <c r="Q387" s="836"/>
      <c r="R387" s="309"/>
      <c r="S387" s="309"/>
      <c r="T387" s="309"/>
      <c r="U387" s="309"/>
      <c r="V387" s="311"/>
      <c r="W387" s="311"/>
      <c r="X387" s="1647"/>
      <c r="Y387" s="311"/>
      <c r="Z387" s="311"/>
      <c r="AA387" s="311"/>
      <c r="AB387" s="311"/>
      <c r="AC387" s="311"/>
      <c r="AD387" s="311"/>
      <c r="AE387" s="311"/>
      <c r="AF387" s="311"/>
      <c r="AG387" s="311"/>
      <c r="AH387" s="311"/>
      <c r="AI387" s="311"/>
      <c r="AJ387" s="311"/>
      <c r="AK387" s="311"/>
      <c r="AL387" s="311"/>
      <c r="AM387" s="311"/>
    </row>
    <row r="388" spans="1:39" ht="15.75" customHeight="1">
      <c r="A388" s="1647"/>
      <c r="B388" s="311"/>
      <c r="C388" s="1647"/>
      <c r="D388" s="2173"/>
      <c r="E388" s="1586"/>
      <c r="F388" s="1954"/>
      <c r="G388" s="1586"/>
      <c r="H388" s="1586"/>
      <c r="I388" s="1647"/>
      <c r="J388" s="1647"/>
      <c r="K388" s="1647"/>
      <c r="L388" s="1586"/>
      <c r="M388" s="2174"/>
      <c r="N388" s="2174"/>
      <c r="O388" s="836"/>
      <c r="P388" s="2174"/>
      <c r="Q388" s="836"/>
      <c r="R388" s="309"/>
      <c r="S388" s="309"/>
      <c r="T388" s="309"/>
      <c r="U388" s="309"/>
      <c r="V388" s="311"/>
      <c r="W388" s="311"/>
      <c r="X388" s="1647"/>
      <c r="Y388" s="311"/>
      <c r="Z388" s="311"/>
      <c r="AA388" s="311"/>
      <c r="AB388" s="311"/>
      <c r="AC388" s="311"/>
      <c r="AD388" s="311"/>
      <c r="AE388" s="311"/>
      <c r="AF388" s="311"/>
      <c r="AG388" s="311"/>
      <c r="AH388" s="311"/>
      <c r="AI388" s="311"/>
      <c r="AJ388" s="311"/>
      <c r="AK388" s="311"/>
      <c r="AL388" s="311"/>
      <c r="AM388" s="311"/>
    </row>
    <row r="389" spans="1:39" ht="15.75" customHeight="1">
      <c r="A389" s="1647"/>
      <c r="B389" s="311"/>
      <c r="C389" s="1647"/>
      <c r="D389" s="2173"/>
      <c r="E389" s="1586"/>
      <c r="F389" s="1954"/>
      <c r="G389" s="1586"/>
      <c r="H389" s="1586"/>
      <c r="I389" s="1647"/>
      <c r="J389" s="1647"/>
      <c r="K389" s="1647"/>
      <c r="L389" s="1586"/>
      <c r="M389" s="2174"/>
      <c r="N389" s="2174"/>
      <c r="O389" s="836"/>
      <c r="P389" s="2174"/>
      <c r="Q389" s="836"/>
      <c r="R389" s="309"/>
      <c r="S389" s="309"/>
      <c r="T389" s="309"/>
      <c r="U389" s="309"/>
      <c r="V389" s="311"/>
      <c r="W389" s="311"/>
      <c r="X389" s="1647"/>
      <c r="Y389" s="311"/>
      <c r="Z389" s="311"/>
      <c r="AA389" s="311"/>
      <c r="AB389" s="311"/>
      <c r="AC389" s="311"/>
      <c r="AD389" s="311"/>
      <c r="AE389" s="311"/>
      <c r="AF389" s="311"/>
      <c r="AG389" s="311"/>
      <c r="AH389" s="311"/>
      <c r="AI389" s="311"/>
      <c r="AJ389" s="311"/>
      <c r="AK389" s="311"/>
      <c r="AL389" s="311"/>
      <c r="AM389" s="311"/>
    </row>
    <row r="390" spans="1:39" ht="15.75" customHeight="1">
      <c r="A390" s="1647"/>
      <c r="B390" s="311"/>
      <c r="C390" s="1647"/>
      <c r="D390" s="2173"/>
      <c r="E390" s="1586"/>
      <c r="F390" s="1954"/>
      <c r="G390" s="1586"/>
      <c r="H390" s="1586"/>
      <c r="I390" s="1647"/>
      <c r="J390" s="1647"/>
      <c r="K390" s="1647"/>
      <c r="L390" s="1586"/>
      <c r="M390" s="2174"/>
      <c r="N390" s="2174"/>
      <c r="O390" s="836"/>
      <c r="P390" s="2174"/>
      <c r="Q390" s="836"/>
      <c r="R390" s="309"/>
      <c r="S390" s="309"/>
      <c r="T390" s="309"/>
      <c r="U390" s="309"/>
      <c r="V390" s="311"/>
      <c r="W390" s="311"/>
      <c r="X390" s="1647"/>
      <c r="Y390" s="311"/>
      <c r="Z390" s="311"/>
      <c r="AA390" s="311"/>
      <c r="AB390" s="311"/>
      <c r="AC390" s="311"/>
      <c r="AD390" s="311"/>
      <c r="AE390" s="311"/>
      <c r="AF390" s="311"/>
      <c r="AG390" s="311"/>
      <c r="AH390" s="311"/>
      <c r="AI390" s="311"/>
      <c r="AJ390" s="311"/>
      <c r="AK390" s="311"/>
      <c r="AL390" s="311"/>
      <c r="AM390" s="311"/>
    </row>
    <row r="391" spans="1:39" ht="15.75" customHeight="1">
      <c r="A391" s="1647"/>
      <c r="B391" s="311"/>
      <c r="C391" s="1647"/>
      <c r="D391" s="2173"/>
      <c r="E391" s="1586"/>
      <c r="F391" s="1954"/>
      <c r="G391" s="1586"/>
      <c r="H391" s="1586"/>
      <c r="I391" s="1647"/>
      <c r="J391" s="1647"/>
      <c r="K391" s="1647"/>
      <c r="L391" s="1586"/>
      <c r="M391" s="2174"/>
      <c r="N391" s="2174"/>
      <c r="O391" s="836"/>
      <c r="P391" s="2174"/>
      <c r="Q391" s="836"/>
      <c r="R391" s="309"/>
      <c r="S391" s="309"/>
      <c r="T391" s="309"/>
      <c r="U391" s="309"/>
      <c r="V391" s="311"/>
      <c r="W391" s="311"/>
      <c r="X391" s="1647"/>
      <c r="Y391" s="311"/>
      <c r="Z391" s="311"/>
      <c r="AA391" s="311"/>
      <c r="AB391" s="311"/>
      <c r="AC391" s="311"/>
      <c r="AD391" s="311"/>
      <c r="AE391" s="311"/>
      <c r="AF391" s="311"/>
      <c r="AG391" s="311"/>
      <c r="AH391" s="311"/>
      <c r="AI391" s="311"/>
      <c r="AJ391" s="311"/>
      <c r="AK391" s="311"/>
      <c r="AL391" s="311"/>
      <c r="AM391" s="311"/>
    </row>
    <row r="392" spans="1:39" ht="15.75" customHeight="1">
      <c r="A392" s="1647"/>
      <c r="B392" s="311"/>
      <c r="C392" s="1647"/>
      <c r="D392" s="2173"/>
      <c r="E392" s="1586"/>
      <c r="F392" s="1954"/>
      <c r="G392" s="1586"/>
      <c r="H392" s="1586"/>
      <c r="I392" s="1647"/>
      <c r="J392" s="1647"/>
      <c r="K392" s="1647"/>
      <c r="L392" s="1586"/>
      <c r="M392" s="2174"/>
      <c r="N392" s="2174"/>
      <c r="O392" s="836"/>
      <c r="P392" s="2174"/>
      <c r="Q392" s="836"/>
      <c r="R392" s="309"/>
      <c r="S392" s="309"/>
      <c r="T392" s="309"/>
      <c r="U392" s="309"/>
      <c r="V392" s="311"/>
      <c r="W392" s="311"/>
      <c r="X392" s="1647"/>
      <c r="Y392" s="311"/>
      <c r="Z392" s="311"/>
      <c r="AA392" s="311"/>
      <c r="AB392" s="311"/>
      <c r="AC392" s="311"/>
      <c r="AD392" s="311"/>
      <c r="AE392" s="311"/>
      <c r="AF392" s="311"/>
      <c r="AG392" s="311"/>
      <c r="AH392" s="311"/>
      <c r="AI392" s="311"/>
      <c r="AJ392" s="311"/>
      <c r="AK392" s="311"/>
      <c r="AL392" s="311"/>
      <c r="AM392" s="311"/>
    </row>
    <row r="393" spans="1:39" ht="15.75" customHeight="1">
      <c r="A393" s="1647"/>
      <c r="B393" s="311"/>
      <c r="C393" s="1647"/>
      <c r="D393" s="2173"/>
      <c r="E393" s="1586"/>
      <c r="F393" s="1954"/>
      <c r="G393" s="1586"/>
      <c r="H393" s="1586"/>
      <c r="I393" s="1647"/>
      <c r="J393" s="1647"/>
      <c r="K393" s="1647"/>
      <c r="L393" s="1586"/>
      <c r="M393" s="2174"/>
      <c r="N393" s="2174"/>
      <c r="O393" s="836"/>
      <c r="P393" s="2174"/>
      <c r="Q393" s="836"/>
      <c r="R393" s="309"/>
      <c r="S393" s="309"/>
      <c r="T393" s="309"/>
      <c r="U393" s="309"/>
      <c r="V393" s="311"/>
      <c r="W393" s="311"/>
      <c r="X393" s="1647"/>
      <c r="Y393" s="311"/>
      <c r="Z393" s="311"/>
      <c r="AA393" s="311"/>
      <c r="AB393" s="311"/>
      <c r="AC393" s="311"/>
      <c r="AD393" s="311"/>
      <c r="AE393" s="311"/>
      <c r="AF393" s="311"/>
      <c r="AG393" s="311"/>
      <c r="AH393" s="311"/>
      <c r="AI393" s="311"/>
      <c r="AJ393" s="311"/>
      <c r="AK393" s="311"/>
      <c r="AL393" s="311"/>
      <c r="AM393" s="311"/>
    </row>
    <row r="394" spans="1:39" ht="15.75" customHeight="1">
      <c r="A394" s="1647"/>
      <c r="B394" s="311"/>
      <c r="C394" s="1647"/>
      <c r="D394" s="2173"/>
      <c r="E394" s="1586"/>
      <c r="F394" s="1954"/>
      <c r="G394" s="1586"/>
      <c r="H394" s="1586"/>
      <c r="I394" s="1647"/>
      <c r="J394" s="1647"/>
      <c r="K394" s="1647"/>
      <c r="L394" s="1586"/>
      <c r="M394" s="2174"/>
      <c r="N394" s="2174"/>
      <c r="O394" s="836"/>
      <c r="P394" s="2174"/>
      <c r="Q394" s="836"/>
      <c r="R394" s="309"/>
      <c r="S394" s="309"/>
      <c r="T394" s="309"/>
      <c r="U394" s="309"/>
      <c r="V394" s="311"/>
      <c r="W394" s="311"/>
      <c r="X394" s="1647"/>
      <c r="Y394" s="311"/>
      <c r="Z394" s="311"/>
      <c r="AA394" s="311"/>
      <c r="AB394" s="311"/>
      <c r="AC394" s="311"/>
      <c r="AD394" s="311"/>
      <c r="AE394" s="311"/>
      <c r="AF394" s="311"/>
      <c r="AG394" s="311"/>
      <c r="AH394" s="311"/>
      <c r="AI394" s="311"/>
      <c r="AJ394" s="311"/>
      <c r="AK394" s="311"/>
      <c r="AL394" s="311"/>
      <c r="AM394" s="311"/>
    </row>
    <row r="395" spans="1:39" ht="15.75" customHeight="1">
      <c r="A395" s="1647"/>
      <c r="B395" s="311"/>
      <c r="C395" s="1647"/>
      <c r="D395" s="2173"/>
      <c r="E395" s="1586"/>
      <c r="F395" s="1954"/>
      <c r="G395" s="1586"/>
      <c r="H395" s="1586"/>
      <c r="I395" s="1647"/>
      <c r="J395" s="1647"/>
      <c r="K395" s="1647"/>
      <c r="L395" s="1586"/>
      <c r="M395" s="2174"/>
      <c r="N395" s="2174"/>
      <c r="O395" s="836"/>
      <c r="P395" s="2174"/>
      <c r="Q395" s="836"/>
      <c r="R395" s="309"/>
      <c r="S395" s="309"/>
      <c r="T395" s="309"/>
      <c r="U395" s="309"/>
      <c r="V395" s="311"/>
      <c r="W395" s="311"/>
      <c r="X395" s="1647"/>
      <c r="Y395" s="311"/>
      <c r="Z395" s="311"/>
      <c r="AA395" s="311"/>
      <c r="AB395" s="311"/>
      <c r="AC395" s="311"/>
      <c r="AD395" s="311"/>
      <c r="AE395" s="311"/>
      <c r="AF395" s="311"/>
      <c r="AG395" s="311"/>
      <c r="AH395" s="311"/>
      <c r="AI395" s="311"/>
      <c r="AJ395" s="311"/>
      <c r="AK395" s="311"/>
      <c r="AL395" s="311"/>
      <c r="AM395" s="311"/>
    </row>
    <row r="396" spans="1:39" ht="15.75" customHeight="1">
      <c r="A396" s="1647"/>
      <c r="B396" s="311"/>
      <c r="C396" s="1647"/>
      <c r="D396" s="2173"/>
      <c r="E396" s="1586"/>
      <c r="F396" s="1954"/>
      <c r="G396" s="1586"/>
      <c r="H396" s="1586"/>
      <c r="I396" s="1647"/>
      <c r="J396" s="1647"/>
      <c r="K396" s="1647"/>
      <c r="L396" s="1586"/>
      <c r="M396" s="2174"/>
      <c r="N396" s="2174"/>
      <c r="O396" s="836"/>
      <c r="P396" s="2174"/>
      <c r="Q396" s="836"/>
      <c r="R396" s="309"/>
      <c r="S396" s="309"/>
      <c r="T396" s="309"/>
      <c r="U396" s="309"/>
      <c r="V396" s="311"/>
      <c r="W396" s="311"/>
      <c r="X396" s="1647"/>
      <c r="Y396" s="311"/>
      <c r="Z396" s="311"/>
      <c r="AA396" s="311"/>
      <c r="AB396" s="311"/>
      <c r="AC396" s="311"/>
      <c r="AD396" s="311"/>
      <c r="AE396" s="311"/>
      <c r="AF396" s="311"/>
      <c r="AG396" s="311"/>
      <c r="AH396" s="311"/>
      <c r="AI396" s="311"/>
      <c r="AJ396" s="311"/>
      <c r="AK396" s="311"/>
      <c r="AL396" s="311"/>
      <c r="AM396" s="311"/>
    </row>
    <row r="397" spans="1:39" ht="15.75" customHeight="1">
      <c r="A397" s="1647"/>
      <c r="B397" s="311"/>
      <c r="C397" s="1647"/>
      <c r="D397" s="2173"/>
      <c r="E397" s="1586"/>
      <c r="F397" s="1954"/>
      <c r="G397" s="1586"/>
      <c r="H397" s="1586"/>
      <c r="I397" s="1647"/>
      <c r="J397" s="1647"/>
      <c r="K397" s="1647"/>
      <c r="L397" s="1586"/>
      <c r="M397" s="2174"/>
      <c r="N397" s="2174"/>
      <c r="O397" s="836"/>
      <c r="P397" s="2174"/>
      <c r="Q397" s="836"/>
      <c r="R397" s="309"/>
      <c r="S397" s="309"/>
      <c r="T397" s="309"/>
      <c r="U397" s="309"/>
      <c r="V397" s="311"/>
      <c r="W397" s="311"/>
      <c r="X397" s="1647"/>
      <c r="Y397" s="311"/>
      <c r="Z397" s="311"/>
      <c r="AA397" s="311"/>
      <c r="AB397" s="311"/>
      <c r="AC397" s="311"/>
      <c r="AD397" s="311"/>
      <c r="AE397" s="311"/>
      <c r="AF397" s="311"/>
      <c r="AG397" s="311"/>
      <c r="AH397" s="311"/>
      <c r="AI397" s="311"/>
      <c r="AJ397" s="311"/>
      <c r="AK397" s="311"/>
      <c r="AL397" s="311"/>
      <c r="AM397" s="311"/>
    </row>
    <row r="398" spans="1:39" ht="15.75" customHeight="1">
      <c r="A398" s="1647"/>
      <c r="B398" s="311"/>
      <c r="C398" s="1647"/>
      <c r="D398" s="2173"/>
      <c r="E398" s="1586"/>
      <c r="F398" s="1954"/>
      <c r="G398" s="1586"/>
      <c r="H398" s="1586"/>
      <c r="I398" s="1647"/>
      <c r="J398" s="1647"/>
      <c r="K398" s="1647"/>
      <c r="L398" s="1586"/>
      <c r="M398" s="2174"/>
      <c r="N398" s="2174"/>
      <c r="O398" s="836"/>
      <c r="P398" s="2174"/>
      <c r="Q398" s="836"/>
      <c r="R398" s="309"/>
      <c r="S398" s="309"/>
      <c r="T398" s="309"/>
      <c r="U398" s="309"/>
      <c r="V398" s="311"/>
      <c r="W398" s="311"/>
      <c r="X398" s="1647"/>
      <c r="Y398" s="311"/>
      <c r="Z398" s="311"/>
      <c r="AA398" s="311"/>
      <c r="AB398" s="311"/>
      <c r="AC398" s="311"/>
      <c r="AD398" s="311"/>
      <c r="AE398" s="311"/>
      <c r="AF398" s="311"/>
      <c r="AG398" s="311"/>
      <c r="AH398" s="311"/>
      <c r="AI398" s="311"/>
      <c r="AJ398" s="311"/>
      <c r="AK398" s="311"/>
      <c r="AL398" s="311"/>
      <c r="AM398" s="311"/>
    </row>
    <row r="399" spans="1:39" ht="15.75" customHeight="1">
      <c r="A399" s="1647"/>
      <c r="B399" s="311"/>
      <c r="C399" s="1647"/>
      <c r="D399" s="2173"/>
      <c r="E399" s="1586"/>
      <c r="F399" s="1954"/>
      <c r="G399" s="1586"/>
      <c r="H399" s="1586"/>
      <c r="I399" s="1647"/>
      <c r="J399" s="1647"/>
      <c r="K399" s="1647"/>
      <c r="L399" s="1586"/>
      <c r="M399" s="2174"/>
      <c r="N399" s="2174"/>
      <c r="O399" s="836"/>
      <c r="P399" s="2174"/>
      <c r="Q399" s="836"/>
      <c r="R399" s="309"/>
      <c r="S399" s="309"/>
      <c r="T399" s="309"/>
      <c r="U399" s="309"/>
      <c r="V399" s="311"/>
      <c r="W399" s="311"/>
      <c r="X399" s="1647"/>
      <c r="Y399" s="311"/>
      <c r="Z399" s="311"/>
      <c r="AA399" s="311"/>
      <c r="AB399" s="311"/>
      <c r="AC399" s="311"/>
      <c r="AD399" s="311"/>
      <c r="AE399" s="311"/>
      <c r="AF399" s="311"/>
      <c r="AG399" s="311"/>
      <c r="AH399" s="311"/>
      <c r="AI399" s="311"/>
      <c r="AJ399" s="311"/>
      <c r="AK399" s="311"/>
      <c r="AL399" s="311"/>
      <c r="AM399" s="311"/>
    </row>
    <row r="400" spans="1:39" ht="15.75" customHeight="1">
      <c r="A400" s="1647"/>
      <c r="B400" s="311"/>
      <c r="C400" s="1647"/>
      <c r="D400" s="2173"/>
      <c r="E400" s="1586"/>
      <c r="F400" s="1954"/>
      <c r="G400" s="1586"/>
      <c r="H400" s="1586"/>
      <c r="I400" s="1647"/>
      <c r="J400" s="1647"/>
      <c r="K400" s="1647"/>
      <c r="L400" s="1586"/>
      <c r="M400" s="2174"/>
      <c r="N400" s="2174"/>
      <c r="O400" s="836"/>
      <c r="P400" s="2174"/>
      <c r="Q400" s="836"/>
      <c r="R400" s="309"/>
      <c r="S400" s="309"/>
      <c r="T400" s="309"/>
      <c r="U400" s="309"/>
      <c r="V400" s="311"/>
      <c r="W400" s="311"/>
      <c r="X400" s="1647"/>
      <c r="Y400" s="311"/>
      <c r="Z400" s="311"/>
      <c r="AA400" s="311"/>
      <c r="AB400" s="311"/>
      <c r="AC400" s="311"/>
      <c r="AD400" s="311"/>
      <c r="AE400" s="311"/>
      <c r="AF400" s="311"/>
      <c r="AG400" s="311"/>
      <c r="AH400" s="311"/>
      <c r="AI400" s="311"/>
      <c r="AJ400" s="311"/>
      <c r="AK400" s="311"/>
      <c r="AL400" s="311"/>
      <c r="AM400" s="311"/>
    </row>
    <row r="401" spans="1:39" ht="15.75" customHeight="1">
      <c r="A401" s="1647"/>
      <c r="B401" s="311"/>
      <c r="C401" s="1647"/>
      <c r="D401" s="2173"/>
      <c r="E401" s="1586"/>
      <c r="F401" s="1954"/>
      <c r="G401" s="1586"/>
      <c r="H401" s="1586"/>
      <c r="I401" s="1647"/>
      <c r="J401" s="1647"/>
      <c r="K401" s="1647"/>
      <c r="L401" s="1586"/>
      <c r="M401" s="2174"/>
      <c r="N401" s="2174"/>
      <c r="O401" s="836"/>
      <c r="P401" s="2174"/>
      <c r="Q401" s="836"/>
      <c r="R401" s="309"/>
      <c r="S401" s="309"/>
      <c r="T401" s="309"/>
      <c r="U401" s="309"/>
      <c r="V401" s="311"/>
      <c r="W401" s="311"/>
      <c r="X401" s="1647"/>
      <c r="Y401" s="311"/>
      <c r="Z401" s="311"/>
      <c r="AA401" s="311"/>
      <c r="AB401" s="311"/>
      <c r="AC401" s="311"/>
      <c r="AD401" s="311"/>
      <c r="AE401" s="311"/>
      <c r="AF401" s="311"/>
      <c r="AG401" s="311"/>
      <c r="AH401" s="311"/>
      <c r="AI401" s="311"/>
      <c r="AJ401" s="311"/>
      <c r="AK401" s="311"/>
      <c r="AL401" s="311"/>
      <c r="AM401" s="311"/>
    </row>
    <row r="402" spans="1:39" ht="15.75" customHeight="1">
      <c r="A402" s="1647"/>
      <c r="B402" s="311"/>
      <c r="C402" s="1647"/>
      <c r="D402" s="2173"/>
      <c r="E402" s="1586"/>
      <c r="F402" s="1954"/>
      <c r="G402" s="1586"/>
      <c r="H402" s="1586"/>
      <c r="I402" s="1647"/>
      <c r="J402" s="1647"/>
      <c r="K402" s="1647"/>
      <c r="L402" s="1586"/>
      <c r="M402" s="2174"/>
      <c r="N402" s="2174"/>
      <c r="O402" s="836"/>
      <c r="P402" s="2174"/>
      <c r="Q402" s="836"/>
      <c r="R402" s="309"/>
      <c r="S402" s="309"/>
      <c r="T402" s="309"/>
      <c r="U402" s="309"/>
      <c r="V402" s="311"/>
      <c r="W402" s="311"/>
      <c r="X402" s="1647"/>
      <c r="Y402" s="311"/>
      <c r="Z402" s="311"/>
      <c r="AA402" s="311"/>
      <c r="AB402" s="311"/>
      <c r="AC402" s="311"/>
      <c r="AD402" s="311"/>
      <c r="AE402" s="311"/>
      <c r="AF402" s="311"/>
      <c r="AG402" s="311"/>
      <c r="AH402" s="311"/>
      <c r="AI402" s="311"/>
      <c r="AJ402" s="311"/>
      <c r="AK402" s="311"/>
      <c r="AL402" s="311"/>
      <c r="AM402" s="311"/>
    </row>
    <row r="403" spans="1:39" ht="15.75" customHeight="1">
      <c r="A403" s="1647"/>
      <c r="B403" s="311"/>
      <c r="C403" s="1647"/>
      <c r="D403" s="2173"/>
      <c r="E403" s="1586"/>
      <c r="F403" s="1954"/>
      <c r="G403" s="1586"/>
      <c r="H403" s="1586"/>
      <c r="I403" s="1647"/>
      <c r="J403" s="1647"/>
      <c r="K403" s="1647"/>
      <c r="L403" s="1586"/>
      <c r="M403" s="2174"/>
      <c r="N403" s="2174"/>
      <c r="O403" s="836"/>
      <c r="P403" s="2174"/>
      <c r="Q403" s="836"/>
      <c r="R403" s="309"/>
      <c r="S403" s="309"/>
      <c r="T403" s="309"/>
      <c r="U403" s="309"/>
      <c r="V403" s="311"/>
      <c r="W403" s="311"/>
      <c r="X403" s="1647"/>
      <c r="Y403" s="311"/>
      <c r="Z403" s="311"/>
      <c r="AA403" s="311"/>
      <c r="AB403" s="311"/>
      <c r="AC403" s="311"/>
      <c r="AD403" s="311"/>
      <c r="AE403" s="311"/>
      <c r="AF403" s="311"/>
      <c r="AG403" s="311"/>
      <c r="AH403" s="311"/>
      <c r="AI403" s="311"/>
      <c r="AJ403" s="311"/>
      <c r="AK403" s="311"/>
      <c r="AL403" s="311"/>
      <c r="AM403" s="311"/>
    </row>
    <row r="404" spans="1:39" ht="15.75" customHeight="1">
      <c r="A404" s="1647"/>
      <c r="B404" s="311"/>
      <c r="C404" s="1647"/>
      <c r="D404" s="2173"/>
      <c r="E404" s="1586"/>
      <c r="F404" s="1954"/>
      <c r="G404" s="1586"/>
      <c r="H404" s="1586"/>
      <c r="I404" s="1647"/>
      <c r="J404" s="1647"/>
      <c r="K404" s="1647"/>
      <c r="L404" s="1586"/>
      <c r="M404" s="2174"/>
      <c r="N404" s="2174"/>
      <c r="O404" s="836"/>
      <c r="P404" s="2174"/>
      <c r="Q404" s="836"/>
      <c r="R404" s="309"/>
      <c r="S404" s="309"/>
      <c r="T404" s="309"/>
      <c r="U404" s="309"/>
      <c r="V404" s="311"/>
      <c r="W404" s="311"/>
      <c r="X404" s="1647"/>
      <c r="Y404" s="311"/>
      <c r="Z404" s="311"/>
      <c r="AA404" s="311"/>
      <c r="AB404" s="311"/>
      <c r="AC404" s="311"/>
      <c r="AD404" s="311"/>
      <c r="AE404" s="311"/>
      <c r="AF404" s="311"/>
      <c r="AG404" s="311"/>
      <c r="AH404" s="311"/>
      <c r="AI404" s="311"/>
      <c r="AJ404" s="311"/>
      <c r="AK404" s="311"/>
      <c r="AL404" s="311"/>
      <c r="AM404" s="311"/>
    </row>
    <row r="405" spans="1:39" ht="15.75" customHeight="1">
      <c r="A405" s="1647"/>
      <c r="B405" s="311"/>
      <c r="C405" s="1647"/>
      <c r="D405" s="2173"/>
      <c r="E405" s="1586"/>
      <c r="F405" s="1954"/>
      <c r="G405" s="1586"/>
      <c r="H405" s="1586"/>
      <c r="I405" s="1647"/>
      <c r="J405" s="1647"/>
      <c r="K405" s="1647"/>
      <c r="L405" s="1586"/>
      <c r="M405" s="2174"/>
      <c r="N405" s="2174"/>
      <c r="O405" s="836"/>
      <c r="P405" s="2174"/>
      <c r="Q405" s="836"/>
      <c r="R405" s="309"/>
      <c r="S405" s="309"/>
      <c r="T405" s="309"/>
      <c r="U405" s="309"/>
      <c r="V405" s="311"/>
      <c r="W405" s="311"/>
      <c r="X405" s="1647"/>
      <c r="Y405" s="311"/>
      <c r="Z405" s="311"/>
      <c r="AA405" s="311"/>
      <c r="AB405" s="311"/>
      <c r="AC405" s="311"/>
      <c r="AD405" s="311"/>
      <c r="AE405" s="311"/>
      <c r="AF405" s="311"/>
      <c r="AG405" s="311"/>
      <c r="AH405" s="311"/>
      <c r="AI405" s="311"/>
      <c r="AJ405" s="311"/>
      <c r="AK405" s="311"/>
      <c r="AL405" s="311"/>
      <c r="AM405" s="311"/>
    </row>
    <row r="406" spans="1:39" ht="15.75" customHeight="1">
      <c r="A406" s="1647"/>
      <c r="B406" s="311"/>
      <c r="C406" s="1647"/>
      <c r="D406" s="2173"/>
      <c r="E406" s="1586"/>
      <c r="F406" s="1954"/>
      <c r="G406" s="1586"/>
      <c r="H406" s="1586"/>
      <c r="I406" s="1647"/>
      <c r="J406" s="1647"/>
      <c r="K406" s="1647"/>
      <c r="L406" s="1586"/>
      <c r="M406" s="2174"/>
      <c r="N406" s="2174"/>
      <c r="O406" s="836"/>
      <c r="P406" s="2174"/>
      <c r="Q406" s="836"/>
      <c r="R406" s="309"/>
      <c r="S406" s="309"/>
      <c r="T406" s="309"/>
      <c r="U406" s="309"/>
      <c r="V406" s="311"/>
      <c r="W406" s="311"/>
      <c r="X406" s="1647"/>
      <c r="Y406" s="311"/>
      <c r="Z406" s="311"/>
      <c r="AA406" s="311"/>
      <c r="AB406" s="311"/>
      <c r="AC406" s="311"/>
      <c r="AD406" s="311"/>
      <c r="AE406" s="311"/>
      <c r="AF406" s="311"/>
      <c r="AG406" s="311"/>
      <c r="AH406" s="311"/>
      <c r="AI406" s="311"/>
      <c r="AJ406" s="311"/>
      <c r="AK406" s="311"/>
      <c r="AL406" s="311"/>
      <c r="AM406" s="311"/>
    </row>
    <row r="407" spans="1:39" ht="15.75" customHeight="1">
      <c r="A407" s="1647"/>
      <c r="B407" s="311"/>
      <c r="C407" s="1647"/>
      <c r="D407" s="2173"/>
      <c r="E407" s="1586"/>
      <c r="F407" s="1954"/>
      <c r="G407" s="1586"/>
      <c r="H407" s="1586"/>
      <c r="I407" s="1647"/>
      <c r="J407" s="1647"/>
      <c r="K407" s="1647"/>
      <c r="L407" s="1586"/>
      <c r="M407" s="2174"/>
      <c r="N407" s="2174"/>
      <c r="O407" s="836"/>
      <c r="P407" s="2174"/>
      <c r="Q407" s="836"/>
      <c r="R407" s="309"/>
      <c r="S407" s="309"/>
      <c r="T407" s="309"/>
      <c r="U407" s="309"/>
      <c r="V407" s="311"/>
      <c r="W407" s="311"/>
      <c r="X407" s="1647"/>
      <c r="Y407" s="311"/>
      <c r="Z407" s="311"/>
      <c r="AA407" s="311"/>
      <c r="AB407" s="311"/>
      <c r="AC407" s="311"/>
      <c r="AD407" s="311"/>
      <c r="AE407" s="311"/>
      <c r="AF407" s="311"/>
      <c r="AG407" s="311"/>
      <c r="AH407" s="311"/>
      <c r="AI407" s="311"/>
      <c r="AJ407" s="311"/>
      <c r="AK407" s="311"/>
      <c r="AL407" s="311"/>
      <c r="AM407" s="311"/>
    </row>
    <row r="408" spans="1:39" ht="15.75" customHeight="1">
      <c r="A408" s="1647"/>
      <c r="B408" s="311"/>
      <c r="C408" s="1647"/>
      <c r="D408" s="2173"/>
      <c r="E408" s="1586"/>
      <c r="F408" s="1954"/>
      <c r="G408" s="1586"/>
      <c r="H408" s="1586"/>
      <c r="I408" s="1647"/>
      <c r="J408" s="1647"/>
      <c r="K408" s="1647"/>
      <c r="L408" s="1586"/>
      <c r="M408" s="2174"/>
      <c r="N408" s="2174"/>
      <c r="O408" s="836"/>
      <c r="P408" s="2174"/>
      <c r="Q408" s="836"/>
      <c r="R408" s="309"/>
      <c r="S408" s="309"/>
      <c r="T408" s="309"/>
      <c r="U408" s="309"/>
      <c r="V408" s="311"/>
      <c r="W408" s="311"/>
      <c r="X408" s="1647"/>
      <c r="Y408" s="311"/>
      <c r="Z408" s="311"/>
      <c r="AA408" s="311"/>
      <c r="AB408" s="311"/>
      <c r="AC408" s="311"/>
      <c r="AD408" s="311"/>
      <c r="AE408" s="311"/>
      <c r="AF408" s="311"/>
      <c r="AG408" s="311"/>
      <c r="AH408" s="311"/>
      <c r="AI408" s="311"/>
      <c r="AJ408" s="311"/>
      <c r="AK408" s="311"/>
      <c r="AL408" s="311"/>
      <c r="AM408" s="311"/>
    </row>
    <row r="409" spans="1:39" ht="15.75" customHeight="1">
      <c r="A409" s="1647"/>
      <c r="B409" s="311"/>
      <c r="C409" s="1647"/>
      <c r="D409" s="2173"/>
      <c r="E409" s="1586"/>
      <c r="F409" s="1954"/>
      <c r="G409" s="1586"/>
      <c r="H409" s="1586"/>
      <c r="I409" s="1647"/>
      <c r="J409" s="1647"/>
      <c r="K409" s="1647"/>
      <c r="L409" s="1586"/>
      <c r="M409" s="2174"/>
      <c r="N409" s="2174"/>
      <c r="O409" s="836"/>
      <c r="P409" s="2174"/>
      <c r="Q409" s="836"/>
      <c r="R409" s="309"/>
      <c r="S409" s="309"/>
      <c r="T409" s="309"/>
      <c r="U409" s="309"/>
      <c r="V409" s="311"/>
      <c r="W409" s="311"/>
      <c r="X409" s="1647"/>
      <c r="Y409" s="311"/>
      <c r="Z409" s="311"/>
      <c r="AA409" s="311"/>
      <c r="AB409" s="311"/>
      <c r="AC409" s="311"/>
      <c r="AD409" s="311"/>
      <c r="AE409" s="311"/>
      <c r="AF409" s="311"/>
      <c r="AG409" s="311"/>
      <c r="AH409" s="311"/>
      <c r="AI409" s="311"/>
      <c r="AJ409" s="311"/>
      <c r="AK409" s="311"/>
      <c r="AL409" s="311"/>
      <c r="AM409" s="311"/>
    </row>
    <row r="410" spans="1:39" ht="15.75" customHeight="1">
      <c r="A410" s="1647"/>
      <c r="B410" s="311"/>
      <c r="C410" s="1647"/>
      <c r="D410" s="2173"/>
      <c r="E410" s="1586"/>
      <c r="F410" s="1954"/>
      <c r="G410" s="1586"/>
      <c r="H410" s="1586"/>
      <c r="I410" s="1647"/>
      <c r="J410" s="1647"/>
      <c r="K410" s="1647"/>
      <c r="L410" s="1586"/>
      <c r="M410" s="2174"/>
      <c r="N410" s="2174"/>
      <c r="O410" s="836"/>
      <c r="P410" s="2174"/>
      <c r="Q410" s="836"/>
      <c r="R410" s="309"/>
      <c r="S410" s="309"/>
      <c r="T410" s="309"/>
      <c r="U410" s="309"/>
      <c r="V410" s="311"/>
      <c r="W410" s="311"/>
      <c r="X410" s="1647"/>
      <c r="Y410" s="311"/>
      <c r="Z410" s="311"/>
      <c r="AA410" s="311"/>
      <c r="AB410" s="311"/>
      <c r="AC410" s="311"/>
      <c r="AD410" s="311"/>
      <c r="AE410" s="311"/>
      <c r="AF410" s="311"/>
      <c r="AG410" s="311"/>
      <c r="AH410" s="311"/>
      <c r="AI410" s="311"/>
      <c r="AJ410" s="311"/>
      <c r="AK410" s="311"/>
      <c r="AL410" s="311"/>
      <c r="AM410" s="311"/>
    </row>
    <row r="411" spans="1:39" ht="15.75" customHeight="1">
      <c r="A411" s="1647"/>
      <c r="B411" s="311"/>
      <c r="C411" s="1647"/>
      <c r="D411" s="2173"/>
      <c r="E411" s="1586"/>
      <c r="F411" s="1954"/>
      <c r="G411" s="1586"/>
      <c r="H411" s="1586"/>
      <c r="I411" s="1647"/>
      <c r="J411" s="1647"/>
      <c r="K411" s="1647"/>
      <c r="L411" s="1586"/>
      <c r="M411" s="2174"/>
      <c r="N411" s="2174"/>
      <c r="O411" s="836"/>
      <c r="P411" s="2174"/>
      <c r="Q411" s="836"/>
      <c r="R411" s="309"/>
      <c r="S411" s="309"/>
      <c r="T411" s="309"/>
      <c r="U411" s="309"/>
      <c r="V411" s="311"/>
      <c r="W411" s="311"/>
      <c r="X411" s="1647"/>
      <c r="Y411" s="311"/>
      <c r="Z411" s="311"/>
      <c r="AA411" s="311"/>
      <c r="AB411" s="311"/>
      <c r="AC411" s="311"/>
      <c r="AD411" s="311"/>
      <c r="AE411" s="311"/>
      <c r="AF411" s="311"/>
      <c r="AG411" s="311"/>
      <c r="AH411" s="311"/>
      <c r="AI411" s="311"/>
      <c r="AJ411" s="311"/>
      <c r="AK411" s="311"/>
      <c r="AL411" s="311"/>
      <c r="AM411" s="311"/>
    </row>
    <row r="412" spans="1:39" ht="15.75" customHeight="1">
      <c r="A412" s="1647"/>
      <c r="B412" s="311"/>
      <c r="C412" s="1647"/>
      <c r="D412" s="2173"/>
      <c r="E412" s="1586"/>
      <c r="F412" s="1954"/>
      <c r="G412" s="1586"/>
      <c r="H412" s="1586"/>
      <c r="I412" s="1647"/>
      <c r="J412" s="1647"/>
      <c r="K412" s="1647"/>
      <c r="L412" s="1586"/>
      <c r="M412" s="2174"/>
      <c r="N412" s="2174"/>
      <c r="O412" s="836"/>
      <c r="P412" s="2174"/>
      <c r="Q412" s="836"/>
      <c r="R412" s="309"/>
      <c r="S412" s="309"/>
      <c r="T412" s="309"/>
      <c r="U412" s="309"/>
      <c r="V412" s="311"/>
      <c r="W412" s="311"/>
      <c r="X412" s="1647"/>
      <c r="Y412" s="311"/>
      <c r="Z412" s="311"/>
      <c r="AA412" s="311"/>
      <c r="AB412" s="311"/>
      <c r="AC412" s="311"/>
      <c r="AD412" s="311"/>
      <c r="AE412" s="311"/>
      <c r="AF412" s="311"/>
      <c r="AG412" s="311"/>
      <c r="AH412" s="311"/>
      <c r="AI412" s="311"/>
      <c r="AJ412" s="311"/>
      <c r="AK412" s="311"/>
      <c r="AL412" s="311"/>
      <c r="AM412" s="311"/>
    </row>
    <row r="413" spans="1:39" ht="15.75" customHeight="1">
      <c r="A413" s="1647"/>
      <c r="B413" s="311"/>
      <c r="C413" s="1647"/>
      <c r="D413" s="2173"/>
      <c r="E413" s="1586"/>
      <c r="F413" s="1954"/>
      <c r="G413" s="1586"/>
      <c r="H413" s="1586"/>
      <c r="I413" s="1647"/>
      <c r="J413" s="1647"/>
      <c r="K413" s="1647"/>
      <c r="L413" s="1586"/>
      <c r="M413" s="2174"/>
      <c r="N413" s="2174"/>
      <c r="O413" s="836"/>
      <c r="P413" s="2174"/>
      <c r="Q413" s="836"/>
      <c r="R413" s="309"/>
      <c r="S413" s="309"/>
      <c r="T413" s="309"/>
      <c r="U413" s="309"/>
      <c r="V413" s="311"/>
      <c r="W413" s="311"/>
      <c r="X413" s="1647"/>
      <c r="Y413" s="311"/>
      <c r="Z413" s="311"/>
      <c r="AA413" s="311"/>
      <c r="AB413" s="311"/>
      <c r="AC413" s="311"/>
      <c r="AD413" s="311"/>
      <c r="AE413" s="311"/>
      <c r="AF413" s="311"/>
      <c r="AG413" s="311"/>
      <c r="AH413" s="311"/>
      <c r="AI413" s="311"/>
      <c r="AJ413" s="311"/>
      <c r="AK413" s="311"/>
      <c r="AL413" s="311"/>
      <c r="AM413" s="311"/>
    </row>
    <row r="414" spans="1:39" ht="15.75" customHeight="1">
      <c r="A414" s="1647"/>
      <c r="B414" s="311"/>
      <c r="C414" s="1647"/>
      <c r="D414" s="2173"/>
      <c r="E414" s="1586"/>
      <c r="F414" s="1954"/>
      <c r="G414" s="1586"/>
      <c r="H414" s="1586"/>
      <c r="I414" s="1647"/>
      <c r="J414" s="1647"/>
      <c r="K414" s="1647"/>
      <c r="L414" s="1586"/>
      <c r="M414" s="2174"/>
      <c r="N414" s="2174"/>
      <c r="O414" s="836"/>
      <c r="P414" s="2174"/>
      <c r="Q414" s="836"/>
      <c r="R414" s="309"/>
      <c r="S414" s="309"/>
      <c r="T414" s="309"/>
      <c r="U414" s="309"/>
      <c r="V414" s="311"/>
      <c r="W414" s="311"/>
      <c r="X414" s="1647"/>
      <c r="Y414" s="311"/>
      <c r="Z414" s="311"/>
      <c r="AA414" s="311"/>
      <c r="AB414" s="311"/>
      <c r="AC414" s="311"/>
      <c r="AD414" s="311"/>
      <c r="AE414" s="311"/>
      <c r="AF414" s="311"/>
      <c r="AG414" s="311"/>
      <c r="AH414" s="311"/>
      <c r="AI414" s="311"/>
      <c r="AJ414" s="311"/>
      <c r="AK414" s="311"/>
      <c r="AL414" s="311"/>
      <c r="AM414" s="311"/>
    </row>
    <row r="415" spans="1:39" ht="15.75" customHeight="1">
      <c r="A415" s="1647"/>
      <c r="B415" s="311"/>
      <c r="C415" s="1647"/>
      <c r="D415" s="2173"/>
      <c r="E415" s="1586"/>
      <c r="F415" s="1954"/>
      <c r="G415" s="1586"/>
      <c r="H415" s="1586"/>
      <c r="I415" s="1647"/>
      <c r="J415" s="1647"/>
      <c r="K415" s="1647"/>
      <c r="L415" s="1586"/>
      <c r="M415" s="2174"/>
      <c r="N415" s="2174"/>
      <c r="O415" s="836"/>
      <c r="P415" s="2174"/>
      <c r="Q415" s="836"/>
      <c r="R415" s="309"/>
      <c r="S415" s="309"/>
      <c r="T415" s="309"/>
      <c r="U415" s="309"/>
      <c r="V415" s="311"/>
      <c r="W415" s="311"/>
      <c r="X415" s="1647"/>
      <c r="Y415" s="311"/>
      <c r="Z415" s="311"/>
      <c r="AA415" s="311"/>
      <c r="AB415" s="311"/>
      <c r="AC415" s="311"/>
      <c r="AD415" s="311"/>
      <c r="AE415" s="311"/>
      <c r="AF415" s="311"/>
      <c r="AG415" s="311"/>
      <c r="AH415" s="311"/>
      <c r="AI415" s="311"/>
      <c r="AJ415" s="311"/>
      <c r="AK415" s="311"/>
      <c r="AL415" s="311"/>
      <c r="AM415" s="311"/>
    </row>
    <row r="416" spans="1:39" ht="15.75" customHeight="1">
      <c r="A416" s="1647"/>
      <c r="B416" s="311"/>
      <c r="C416" s="1647"/>
      <c r="D416" s="2173"/>
      <c r="E416" s="1586"/>
      <c r="F416" s="1954"/>
      <c r="G416" s="1586"/>
      <c r="H416" s="1586"/>
      <c r="I416" s="1647"/>
      <c r="J416" s="1647"/>
      <c r="K416" s="1647"/>
      <c r="L416" s="1586"/>
      <c r="M416" s="2174"/>
      <c r="N416" s="2174"/>
      <c r="O416" s="836"/>
      <c r="P416" s="2174"/>
      <c r="Q416" s="836"/>
      <c r="R416" s="309"/>
      <c r="S416" s="309"/>
      <c r="T416" s="309"/>
      <c r="U416" s="309"/>
      <c r="V416" s="311"/>
      <c r="W416" s="311"/>
      <c r="X416" s="1647"/>
      <c r="Y416" s="311"/>
      <c r="Z416" s="311"/>
      <c r="AA416" s="311"/>
      <c r="AB416" s="311"/>
      <c r="AC416" s="311"/>
      <c r="AD416" s="311"/>
      <c r="AE416" s="311"/>
      <c r="AF416" s="311"/>
      <c r="AG416" s="311"/>
      <c r="AH416" s="311"/>
      <c r="AI416" s="311"/>
      <c r="AJ416" s="311"/>
      <c r="AK416" s="311"/>
      <c r="AL416" s="311"/>
      <c r="AM416" s="311"/>
    </row>
    <row r="417" spans="1:39" ht="15.75" customHeight="1">
      <c r="A417" s="1647"/>
      <c r="B417" s="311"/>
      <c r="C417" s="1647"/>
      <c r="D417" s="2173"/>
      <c r="E417" s="1586"/>
      <c r="F417" s="1954"/>
      <c r="G417" s="1586"/>
      <c r="H417" s="1586"/>
      <c r="I417" s="1647"/>
      <c r="J417" s="1647"/>
      <c r="K417" s="1647"/>
      <c r="L417" s="1586"/>
      <c r="M417" s="2174"/>
      <c r="N417" s="2174"/>
      <c r="O417" s="836"/>
      <c r="P417" s="2174"/>
      <c r="Q417" s="836"/>
      <c r="R417" s="309"/>
      <c r="S417" s="309"/>
      <c r="T417" s="309"/>
      <c r="U417" s="309"/>
      <c r="V417" s="311"/>
      <c r="W417" s="311"/>
      <c r="X417" s="1647"/>
      <c r="Y417" s="311"/>
      <c r="Z417" s="311"/>
      <c r="AA417" s="311"/>
      <c r="AB417" s="311"/>
      <c r="AC417" s="311"/>
      <c r="AD417" s="311"/>
      <c r="AE417" s="311"/>
      <c r="AF417" s="311"/>
      <c r="AG417" s="311"/>
      <c r="AH417" s="311"/>
      <c r="AI417" s="311"/>
      <c r="AJ417" s="311"/>
      <c r="AK417" s="311"/>
      <c r="AL417" s="311"/>
      <c r="AM417" s="311"/>
    </row>
    <row r="418" spans="1:39" ht="15.75" customHeight="1">
      <c r="A418" s="1647"/>
      <c r="B418" s="311"/>
      <c r="C418" s="1647"/>
      <c r="D418" s="2173"/>
      <c r="E418" s="1586"/>
      <c r="F418" s="1954"/>
      <c r="G418" s="1586"/>
      <c r="H418" s="1586"/>
      <c r="I418" s="1647"/>
      <c r="J418" s="1647"/>
      <c r="K418" s="1647"/>
      <c r="L418" s="1586"/>
      <c r="M418" s="2174"/>
      <c r="N418" s="2174"/>
      <c r="O418" s="836"/>
      <c r="P418" s="2174"/>
      <c r="Q418" s="836"/>
      <c r="R418" s="309"/>
      <c r="S418" s="309"/>
      <c r="T418" s="309"/>
      <c r="U418" s="309"/>
      <c r="V418" s="311"/>
      <c r="W418" s="311"/>
      <c r="X418" s="1647"/>
      <c r="Y418" s="311"/>
      <c r="Z418" s="311"/>
      <c r="AA418" s="311"/>
      <c r="AB418" s="311"/>
      <c r="AC418" s="311"/>
      <c r="AD418" s="311"/>
      <c r="AE418" s="311"/>
      <c r="AF418" s="311"/>
      <c r="AG418" s="311"/>
      <c r="AH418" s="311"/>
      <c r="AI418" s="311"/>
      <c r="AJ418" s="311"/>
      <c r="AK418" s="311"/>
      <c r="AL418" s="311"/>
      <c r="AM418" s="311"/>
    </row>
    <row r="419" spans="1:39" ht="15.75" customHeight="1">
      <c r="A419" s="1647"/>
      <c r="B419" s="311"/>
      <c r="C419" s="1647"/>
      <c r="D419" s="2173"/>
      <c r="E419" s="1586"/>
      <c r="F419" s="1954"/>
      <c r="G419" s="1586"/>
      <c r="H419" s="1586"/>
      <c r="I419" s="1647"/>
      <c r="J419" s="1647"/>
      <c r="K419" s="1647"/>
      <c r="L419" s="1586"/>
      <c r="M419" s="2174"/>
      <c r="N419" s="2174"/>
      <c r="O419" s="836"/>
      <c r="P419" s="2174"/>
      <c r="Q419" s="836"/>
      <c r="R419" s="309"/>
      <c r="S419" s="309"/>
      <c r="T419" s="309"/>
      <c r="U419" s="309"/>
      <c r="V419" s="311"/>
      <c r="W419" s="311"/>
      <c r="X419" s="1647"/>
      <c r="Y419" s="311"/>
      <c r="Z419" s="311"/>
      <c r="AA419" s="311"/>
      <c r="AB419" s="311"/>
      <c r="AC419" s="311"/>
      <c r="AD419" s="311"/>
      <c r="AE419" s="311"/>
      <c r="AF419" s="311"/>
      <c r="AG419" s="311"/>
      <c r="AH419" s="311"/>
      <c r="AI419" s="311"/>
      <c r="AJ419" s="311"/>
      <c r="AK419" s="311"/>
      <c r="AL419" s="311"/>
      <c r="AM419" s="311"/>
    </row>
    <row r="420" spans="1:39" ht="15.75" customHeight="1">
      <c r="A420" s="1647"/>
      <c r="B420" s="311"/>
      <c r="C420" s="1647"/>
      <c r="D420" s="2173"/>
      <c r="E420" s="1586"/>
      <c r="F420" s="1954"/>
      <c r="G420" s="1586"/>
      <c r="H420" s="1586"/>
      <c r="I420" s="1647"/>
      <c r="J420" s="1647"/>
      <c r="K420" s="1647"/>
      <c r="L420" s="1586"/>
      <c r="M420" s="2174"/>
      <c r="N420" s="2174"/>
      <c r="O420" s="836"/>
      <c r="P420" s="2174"/>
      <c r="Q420" s="836"/>
      <c r="R420" s="309"/>
      <c r="S420" s="309"/>
      <c r="T420" s="309"/>
      <c r="U420" s="309"/>
      <c r="V420" s="311"/>
      <c r="W420" s="311"/>
      <c r="X420" s="1647"/>
      <c r="Y420" s="311"/>
      <c r="Z420" s="311"/>
      <c r="AA420" s="311"/>
      <c r="AB420" s="311"/>
      <c r="AC420" s="311"/>
      <c r="AD420" s="311"/>
      <c r="AE420" s="311"/>
      <c r="AF420" s="311"/>
      <c r="AG420" s="311"/>
      <c r="AH420" s="311"/>
      <c r="AI420" s="311"/>
      <c r="AJ420" s="311"/>
      <c r="AK420" s="311"/>
      <c r="AL420" s="311"/>
      <c r="AM420" s="311"/>
    </row>
    <row r="421" spans="1:39" ht="15.75" customHeight="1">
      <c r="A421" s="1647"/>
      <c r="B421" s="311"/>
      <c r="C421" s="1647"/>
      <c r="D421" s="2173"/>
      <c r="E421" s="1586"/>
      <c r="F421" s="1954"/>
      <c r="G421" s="1586"/>
      <c r="H421" s="1586"/>
      <c r="I421" s="1647"/>
      <c r="J421" s="1647"/>
      <c r="K421" s="1647"/>
      <c r="L421" s="1586"/>
      <c r="M421" s="2174"/>
      <c r="N421" s="2174"/>
      <c r="O421" s="836"/>
      <c r="P421" s="2174"/>
      <c r="Q421" s="836"/>
      <c r="R421" s="309"/>
      <c r="S421" s="309"/>
      <c r="T421" s="309"/>
      <c r="U421" s="309"/>
      <c r="V421" s="311"/>
      <c r="W421" s="311"/>
      <c r="X421" s="1647"/>
      <c r="Y421" s="311"/>
      <c r="Z421" s="311"/>
      <c r="AA421" s="311"/>
      <c r="AB421" s="311"/>
      <c r="AC421" s="311"/>
      <c r="AD421" s="311"/>
      <c r="AE421" s="311"/>
      <c r="AF421" s="311"/>
      <c r="AG421" s="311"/>
      <c r="AH421" s="311"/>
      <c r="AI421" s="311"/>
      <c r="AJ421" s="311"/>
      <c r="AK421" s="311"/>
      <c r="AL421" s="311"/>
      <c r="AM421" s="311"/>
    </row>
    <row r="422" spans="1:39" ht="15.75" customHeight="1">
      <c r="A422" s="1647"/>
      <c r="B422" s="311"/>
      <c r="C422" s="1647"/>
      <c r="D422" s="2173"/>
      <c r="E422" s="1586"/>
      <c r="F422" s="1954"/>
      <c r="G422" s="1586"/>
      <c r="H422" s="1586"/>
      <c r="I422" s="1647"/>
      <c r="J422" s="1647"/>
      <c r="K422" s="1647"/>
      <c r="L422" s="1586"/>
      <c r="M422" s="2174"/>
      <c r="N422" s="2174"/>
      <c r="O422" s="836"/>
      <c r="P422" s="2174"/>
      <c r="Q422" s="836"/>
      <c r="R422" s="309"/>
      <c r="S422" s="309"/>
      <c r="T422" s="309"/>
      <c r="U422" s="309"/>
      <c r="V422" s="311"/>
      <c r="W422" s="311"/>
      <c r="X422" s="1647"/>
      <c r="Y422" s="311"/>
      <c r="Z422" s="311"/>
      <c r="AA422" s="311"/>
      <c r="AB422" s="311"/>
      <c r="AC422" s="311"/>
      <c r="AD422" s="311"/>
      <c r="AE422" s="311"/>
      <c r="AF422" s="311"/>
      <c r="AG422" s="311"/>
      <c r="AH422" s="311"/>
      <c r="AI422" s="311"/>
      <c r="AJ422" s="311"/>
      <c r="AK422" s="311"/>
      <c r="AL422" s="311"/>
      <c r="AM422" s="311"/>
    </row>
    <row r="423" spans="1:39" ht="15.75" customHeight="1">
      <c r="A423" s="1647"/>
      <c r="B423" s="311"/>
      <c r="C423" s="1647"/>
      <c r="D423" s="2173"/>
      <c r="E423" s="1586"/>
      <c r="F423" s="1954"/>
      <c r="G423" s="1586"/>
      <c r="H423" s="1586"/>
      <c r="I423" s="1647"/>
      <c r="J423" s="1647"/>
      <c r="K423" s="1647"/>
      <c r="L423" s="1586"/>
      <c r="M423" s="2174"/>
      <c r="N423" s="2174"/>
      <c r="O423" s="836"/>
      <c r="P423" s="2174"/>
      <c r="Q423" s="836"/>
      <c r="R423" s="309"/>
      <c r="S423" s="309"/>
      <c r="T423" s="309"/>
      <c r="U423" s="309"/>
      <c r="V423" s="311"/>
      <c r="W423" s="311"/>
      <c r="X423" s="1647"/>
      <c r="Y423" s="311"/>
      <c r="Z423" s="311"/>
      <c r="AA423" s="311"/>
      <c r="AB423" s="311"/>
      <c r="AC423" s="311"/>
      <c r="AD423" s="311"/>
      <c r="AE423" s="311"/>
      <c r="AF423" s="311"/>
      <c r="AG423" s="311"/>
      <c r="AH423" s="311"/>
      <c r="AI423" s="311"/>
      <c r="AJ423" s="311"/>
      <c r="AK423" s="311"/>
      <c r="AL423" s="311"/>
      <c r="AM423" s="311"/>
    </row>
    <row r="424" spans="1:39" ht="15.75" customHeight="1">
      <c r="A424" s="1647"/>
      <c r="B424" s="311"/>
      <c r="C424" s="1647"/>
      <c r="D424" s="2173"/>
      <c r="E424" s="1586"/>
      <c r="F424" s="1954"/>
      <c r="G424" s="1586"/>
      <c r="H424" s="1586"/>
      <c r="I424" s="1647"/>
      <c r="J424" s="1647"/>
      <c r="K424" s="1647"/>
      <c r="L424" s="1586"/>
      <c r="M424" s="2174"/>
      <c r="N424" s="2174"/>
      <c r="O424" s="836"/>
      <c r="P424" s="2174"/>
      <c r="Q424" s="836"/>
      <c r="R424" s="309"/>
      <c r="S424" s="309"/>
      <c r="T424" s="309"/>
      <c r="U424" s="309"/>
      <c r="V424" s="311"/>
      <c r="W424" s="311"/>
      <c r="X424" s="1647"/>
      <c r="Y424" s="311"/>
      <c r="Z424" s="311"/>
      <c r="AA424" s="311"/>
      <c r="AB424" s="311"/>
      <c r="AC424" s="311"/>
      <c r="AD424" s="311"/>
      <c r="AE424" s="311"/>
      <c r="AF424" s="311"/>
      <c r="AG424" s="311"/>
      <c r="AH424" s="311"/>
      <c r="AI424" s="311"/>
      <c r="AJ424" s="311"/>
      <c r="AK424" s="311"/>
      <c r="AL424" s="311"/>
      <c r="AM424" s="311"/>
    </row>
    <row r="425" spans="1:39" ht="15.75" customHeight="1">
      <c r="A425" s="1647"/>
      <c r="B425" s="311"/>
      <c r="C425" s="1647"/>
      <c r="D425" s="2173"/>
      <c r="E425" s="1586"/>
      <c r="F425" s="1954"/>
      <c r="G425" s="1586"/>
      <c r="H425" s="1586"/>
      <c r="I425" s="1647"/>
      <c r="J425" s="1647"/>
      <c r="K425" s="1647"/>
      <c r="L425" s="1586"/>
      <c r="M425" s="2174"/>
      <c r="N425" s="2174"/>
      <c r="O425" s="836"/>
      <c r="P425" s="2174"/>
      <c r="Q425" s="836"/>
      <c r="R425" s="309"/>
      <c r="S425" s="309"/>
      <c r="T425" s="309"/>
      <c r="U425" s="309"/>
      <c r="V425" s="311"/>
      <c r="W425" s="311"/>
      <c r="X425" s="1647"/>
      <c r="Y425" s="311"/>
      <c r="Z425" s="311"/>
      <c r="AA425" s="311"/>
      <c r="AB425" s="311"/>
      <c r="AC425" s="311"/>
      <c r="AD425" s="311"/>
      <c r="AE425" s="311"/>
      <c r="AF425" s="311"/>
      <c r="AG425" s="311"/>
      <c r="AH425" s="311"/>
      <c r="AI425" s="311"/>
      <c r="AJ425" s="311"/>
      <c r="AK425" s="311"/>
      <c r="AL425" s="311"/>
      <c r="AM425" s="311"/>
    </row>
    <row r="426" spans="1:39" ht="15.75" customHeight="1">
      <c r="A426" s="1647"/>
      <c r="B426" s="311"/>
      <c r="C426" s="1647"/>
      <c r="D426" s="2173"/>
      <c r="E426" s="1586"/>
      <c r="F426" s="1954"/>
      <c r="G426" s="1586"/>
      <c r="H426" s="1586"/>
      <c r="I426" s="1647"/>
      <c r="J426" s="1647"/>
      <c r="K426" s="1647"/>
      <c r="L426" s="1586"/>
      <c r="M426" s="2174"/>
      <c r="N426" s="2174"/>
      <c r="O426" s="836"/>
      <c r="P426" s="2174"/>
      <c r="Q426" s="836"/>
      <c r="R426" s="309"/>
      <c r="S426" s="309"/>
      <c r="T426" s="309"/>
      <c r="U426" s="309"/>
      <c r="V426" s="311"/>
      <c r="W426" s="311"/>
      <c r="X426" s="1647"/>
      <c r="Y426" s="311"/>
      <c r="Z426" s="311"/>
      <c r="AA426" s="311"/>
      <c r="AB426" s="311"/>
      <c r="AC426" s="311"/>
      <c r="AD426" s="311"/>
      <c r="AE426" s="311"/>
      <c r="AF426" s="311"/>
      <c r="AG426" s="311"/>
      <c r="AH426" s="311"/>
      <c r="AI426" s="311"/>
      <c r="AJ426" s="311"/>
      <c r="AK426" s="311"/>
      <c r="AL426" s="311"/>
      <c r="AM426" s="311"/>
    </row>
    <row r="427" spans="1:39" ht="15.75" customHeight="1">
      <c r="A427" s="1647"/>
      <c r="B427" s="311"/>
      <c r="C427" s="1647"/>
      <c r="D427" s="2173"/>
      <c r="E427" s="1586"/>
      <c r="F427" s="1954"/>
      <c r="G427" s="1586"/>
      <c r="H427" s="1586"/>
      <c r="I427" s="1647"/>
      <c r="J427" s="1647"/>
      <c r="K427" s="1647"/>
      <c r="L427" s="1586"/>
      <c r="M427" s="2174"/>
      <c r="N427" s="2174"/>
      <c r="O427" s="836"/>
      <c r="P427" s="2174"/>
      <c r="Q427" s="836"/>
      <c r="R427" s="309"/>
      <c r="S427" s="309"/>
      <c r="T427" s="309"/>
      <c r="U427" s="309"/>
      <c r="V427" s="311"/>
      <c r="W427" s="311"/>
      <c r="X427" s="1647"/>
      <c r="Y427" s="311"/>
      <c r="Z427" s="311"/>
      <c r="AA427" s="311"/>
      <c r="AB427" s="311"/>
      <c r="AC427" s="311"/>
      <c r="AD427" s="311"/>
      <c r="AE427" s="311"/>
      <c r="AF427" s="311"/>
      <c r="AG427" s="311"/>
      <c r="AH427" s="311"/>
      <c r="AI427" s="311"/>
      <c r="AJ427" s="311"/>
      <c r="AK427" s="311"/>
      <c r="AL427" s="311"/>
      <c r="AM427" s="311"/>
    </row>
    <row r="428" spans="1:39" ht="15.75" customHeight="1">
      <c r="A428" s="1647"/>
      <c r="B428" s="311"/>
      <c r="C428" s="1647"/>
      <c r="D428" s="2173"/>
      <c r="E428" s="1586"/>
      <c r="F428" s="1954"/>
      <c r="G428" s="1586"/>
      <c r="H428" s="1586"/>
      <c r="I428" s="1647"/>
      <c r="J428" s="1647"/>
      <c r="K428" s="1647"/>
      <c r="L428" s="1586"/>
      <c r="M428" s="2174"/>
      <c r="N428" s="2174"/>
      <c r="O428" s="836"/>
      <c r="P428" s="2174"/>
      <c r="Q428" s="836"/>
      <c r="R428" s="309"/>
      <c r="S428" s="309"/>
      <c r="T428" s="309"/>
      <c r="U428" s="309"/>
      <c r="V428" s="311"/>
      <c r="W428" s="311"/>
      <c r="X428" s="1647"/>
      <c r="Y428" s="311"/>
      <c r="Z428" s="311"/>
      <c r="AA428" s="311"/>
      <c r="AB428" s="311"/>
      <c r="AC428" s="311"/>
      <c r="AD428" s="311"/>
      <c r="AE428" s="311"/>
      <c r="AF428" s="311"/>
      <c r="AG428" s="311"/>
      <c r="AH428" s="311"/>
      <c r="AI428" s="311"/>
      <c r="AJ428" s="311"/>
      <c r="AK428" s="311"/>
      <c r="AL428" s="311"/>
      <c r="AM428" s="311"/>
    </row>
    <row r="429" spans="1:39" ht="15.75" customHeight="1">
      <c r="A429" s="1647"/>
      <c r="B429" s="311"/>
      <c r="C429" s="1647"/>
      <c r="D429" s="2173"/>
      <c r="E429" s="1586"/>
      <c r="F429" s="1954"/>
      <c r="G429" s="1586"/>
      <c r="H429" s="1586"/>
      <c r="I429" s="1647"/>
      <c r="J429" s="1647"/>
      <c r="K429" s="1647"/>
      <c r="L429" s="1586"/>
      <c r="M429" s="2174"/>
      <c r="N429" s="2174"/>
      <c r="O429" s="836"/>
      <c r="P429" s="2174"/>
      <c r="Q429" s="836"/>
      <c r="R429" s="309"/>
      <c r="S429" s="309"/>
      <c r="T429" s="309"/>
      <c r="U429" s="309"/>
      <c r="V429" s="311"/>
      <c r="W429" s="311"/>
      <c r="X429" s="1647"/>
      <c r="Y429" s="311"/>
      <c r="Z429" s="311"/>
      <c r="AA429" s="311"/>
      <c r="AB429" s="311"/>
      <c r="AC429" s="311"/>
      <c r="AD429" s="311"/>
      <c r="AE429" s="311"/>
      <c r="AF429" s="311"/>
      <c r="AG429" s="311"/>
      <c r="AH429" s="311"/>
      <c r="AI429" s="311"/>
      <c r="AJ429" s="311"/>
      <c r="AK429" s="311"/>
      <c r="AL429" s="311"/>
      <c r="AM429" s="311"/>
    </row>
    <row r="430" spans="1:39" ht="15.75" customHeight="1">
      <c r="A430" s="1647"/>
      <c r="B430" s="311"/>
      <c r="C430" s="1647"/>
      <c r="D430" s="2173"/>
      <c r="E430" s="1586"/>
      <c r="F430" s="1954"/>
      <c r="G430" s="1586"/>
      <c r="H430" s="1586"/>
      <c r="I430" s="1647"/>
      <c r="J430" s="1647"/>
      <c r="K430" s="1647"/>
      <c r="L430" s="1586"/>
      <c r="M430" s="2174"/>
      <c r="N430" s="2174"/>
      <c r="O430" s="836"/>
      <c r="P430" s="2174"/>
      <c r="Q430" s="836"/>
      <c r="R430" s="309"/>
      <c r="S430" s="309"/>
      <c r="T430" s="309"/>
      <c r="U430" s="309"/>
      <c r="V430" s="311"/>
      <c r="W430" s="311"/>
      <c r="X430" s="1647"/>
      <c r="Y430" s="311"/>
      <c r="Z430" s="311"/>
      <c r="AA430" s="311"/>
      <c r="AB430" s="311"/>
      <c r="AC430" s="311"/>
      <c r="AD430" s="311"/>
      <c r="AE430" s="311"/>
      <c r="AF430" s="311"/>
      <c r="AG430" s="311"/>
      <c r="AH430" s="311"/>
      <c r="AI430" s="311"/>
      <c r="AJ430" s="311"/>
      <c r="AK430" s="311"/>
      <c r="AL430" s="311"/>
      <c r="AM430" s="311"/>
    </row>
    <row r="431" spans="1:39" ht="15.75" customHeight="1">
      <c r="A431" s="1647"/>
      <c r="B431" s="311"/>
      <c r="C431" s="1647"/>
      <c r="D431" s="2173"/>
      <c r="E431" s="1586"/>
      <c r="F431" s="1954"/>
      <c r="G431" s="1586"/>
      <c r="H431" s="1586"/>
      <c r="I431" s="1647"/>
      <c r="J431" s="1647"/>
      <c r="K431" s="1647"/>
      <c r="L431" s="1586"/>
      <c r="M431" s="2174"/>
      <c r="N431" s="2174"/>
      <c r="O431" s="836"/>
      <c r="P431" s="2174"/>
      <c r="Q431" s="836"/>
      <c r="R431" s="309"/>
      <c r="S431" s="309"/>
      <c r="T431" s="309"/>
      <c r="U431" s="309"/>
      <c r="V431" s="311"/>
      <c r="W431" s="311"/>
      <c r="X431" s="1647"/>
      <c r="Y431" s="311"/>
      <c r="Z431" s="311"/>
      <c r="AA431" s="311"/>
      <c r="AB431" s="311"/>
      <c r="AC431" s="311"/>
      <c r="AD431" s="311"/>
      <c r="AE431" s="311"/>
      <c r="AF431" s="311"/>
      <c r="AG431" s="311"/>
      <c r="AH431" s="311"/>
      <c r="AI431" s="311"/>
      <c r="AJ431" s="311"/>
      <c r="AK431" s="311"/>
      <c r="AL431" s="311"/>
      <c r="AM431" s="311"/>
    </row>
    <row r="432" spans="1:39" ht="15.75" customHeight="1">
      <c r="A432" s="1647"/>
      <c r="B432" s="311"/>
      <c r="C432" s="1647"/>
      <c r="D432" s="2173"/>
      <c r="E432" s="1586"/>
      <c r="F432" s="1954"/>
      <c r="G432" s="1586"/>
      <c r="H432" s="1586"/>
      <c r="I432" s="1647"/>
      <c r="J432" s="1647"/>
      <c r="K432" s="1647"/>
      <c r="L432" s="1586"/>
      <c r="M432" s="2174"/>
      <c r="N432" s="2174"/>
      <c r="O432" s="836"/>
      <c r="P432" s="2174"/>
      <c r="Q432" s="836"/>
      <c r="R432" s="309"/>
      <c r="S432" s="309"/>
      <c r="T432" s="309"/>
      <c r="U432" s="309"/>
      <c r="V432" s="311"/>
      <c r="W432" s="311"/>
      <c r="X432" s="1647"/>
      <c r="Y432" s="311"/>
      <c r="Z432" s="311"/>
      <c r="AA432" s="311"/>
      <c r="AB432" s="311"/>
      <c r="AC432" s="311"/>
      <c r="AD432" s="311"/>
      <c r="AE432" s="311"/>
      <c r="AF432" s="311"/>
      <c r="AG432" s="311"/>
      <c r="AH432" s="311"/>
      <c r="AI432" s="311"/>
      <c r="AJ432" s="311"/>
      <c r="AK432" s="311"/>
      <c r="AL432" s="311"/>
      <c r="AM432" s="311"/>
    </row>
    <row r="433" spans="1:39" ht="15.75" customHeight="1">
      <c r="A433" s="1647"/>
      <c r="B433" s="311"/>
      <c r="C433" s="1647"/>
      <c r="D433" s="2173"/>
      <c r="E433" s="1586"/>
      <c r="F433" s="1954"/>
      <c r="G433" s="1586"/>
      <c r="H433" s="1586"/>
      <c r="I433" s="1647"/>
      <c r="J433" s="1647"/>
      <c r="K433" s="1647"/>
      <c r="L433" s="1586"/>
      <c r="M433" s="2174"/>
      <c r="N433" s="2174"/>
      <c r="O433" s="836"/>
      <c r="P433" s="2174"/>
      <c r="Q433" s="836"/>
      <c r="R433" s="309"/>
      <c r="S433" s="309"/>
      <c r="T433" s="309"/>
      <c r="U433" s="309"/>
      <c r="V433" s="311"/>
      <c r="W433" s="311"/>
      <c r="X433" s="1647"/>
      <c r="Y433" s="311"/>
      <c r="Z433" s="311"/>
      <c r="AA433" s="311"/>
      <c r="AB433" s="311"/>
      <c r="AC433" s="311"/>
      <c r="AD433" s="311"/>
      <c r="AE433" s="311"/>
      <c r="AF433" s="311"/>
      <c r="AG433" s="311"/>
      <c r="AH433" s="311"/>
      <c r="AI433" s="311"/>
      <c r="AJ433" s="311"/>
      <c r="AK433" s="311"/>
      <c r="AL433" s="311"/>
      <c r="AM433" s="311"/>
    </row>
    <row r="434" spans="1:39" ht="15.75" customHeight="1">
      <c r="A434" s="1647"/>
      <c r="B434" s="311"/>
      <c r="C434" s="1647"/>
      <c r="D434" s="2173"/>
      <c r="E434" s="1586"/>
      <c r="F434" s="1954"/>
      <c r="G434" s="1586"/>
      <c r="H434" s="1586"/>
      <c r="I434" s="1647"/>
      <c r="J434" s="1647"/>
      <c r="K434" s="1647"/>
      <c r="L434" s="1586"/>
      <c r="M434" s="2174"/>
      <c r="N434" s="2174"/>
      <c r="O434" s="836"/>
      <c r="P434" s="2174"/>
      <c r="Q434" s="836"/>
      <c r="R434" s="309"/>
      <c r="S434" s="309"/>
      <c r="T434" s="309"/>
      <c r="U434" s="309"/>
      <c r="V434" s="311"/>
      <c r="W434" s="311"/>
      <c r="X434" s="1647"/>
      <c r="Y434" s="311"/>
      <c r="Z434" s="311"/>
      <c r="AA434" s="311"/>
      <c r="AB434" s="311"/>
      <c r="AC434" s="311"/>
      <c r="AD434" s="311"/>
      <c r="AE434" s="311"/>
      <c r="AF434" s="311"/>
      <c r="AG434" s="311"/>
      <c r="AH434" s="311"/>
      <c r="AI434" s="311"/>
      <c r="AJ434" s="311"/>
      <c r="AK434" s="311"/>
      <c r="AL434" s="311"/>
      <c r="AM434" s="311"/>
    </row>
    <row r="435" spans="1:39" ht="15.75" customHeight="1">
      <c r="A435" s="1647"/>
      <c r="B435" s="311"/>
      <c r="C435" s="1647"/>
      <c r="D435" s="2173"/>
      <c r="E435" s="1586"/>
      <c r="F435" s="1954"/>
      <c r="G435" s="1586"/>
      <c r="H435" s="1586"/>
      <c r="I435" s="1647"/>
      <c r="J435" s="1647"/>
      <c r="K435" s="1647"/>
      <c r="L435" s="1586"/>
      <c r="M435" s="2174"/>
      <c r="N435" s="2174"/>
      <c r="O435" s="836"/>
      <c r="P435" s="2174"/>
      <c r="Q435" s="836"/>
      <c r="R435" s="309"/>
      <c r="S435" s="309"/>
      <c r="T435" s="309"/>
      <c r="U435" s="309"/>
      <c r="V435" s="311"/>
      <c r="W435" s="311"/>
      <c r="X435" s="1647"/>
      <c r="Y435" s="311"/>
      <c r="Z435" s="311"/>
      <c r="AA435" s="311"/>
      <c r="AB435" s="311"/>
      <c r="AC435" s="311"/>
      <c r="AD435" s="311"/>
      <c r="AE435" s="311"/>
      <c r="AF435" s="311"/>
      <c r="AG435" s="311"/>
      <c r="AH435" s="311"/>
      <c r="AI435" s="311"/>
      <c r="AJ435" s="311"/>
      <c r="AK435" s="311"/>
      <c r="AL435" s="311"/>
      <c r="AM435" s="311"/>
    </row>
    <row r="436" spans="1:39" ht="15.75" customHeight="1">
      <c r="A436" s="1647"/>
      <c r="B436" s="311"/>
      <c r="C436" s="1647"/>
      <c r="D436" s="2173"/>
      <c r="E436" s="1586"/>
      <c r="F436" s="1954"/>
      <c r="G436" s="1586"/>
      <c r="H436" s="1586"/>
      <c r="I436" s="1647"/>
      <c r="J436" s="1647"/>
      <c r="K436" s="1647"/>
      <c r="L436" s="1586"/>
      <c r="M436" s="2174"/>
      <c r="N436" s="2174"/>
      <c r="O436" s="836"/>
      <c r="P436" s="2174"/>
      <c r="Q436" s="836"/>
      <c r="R436" s="309"/>
      <c r="S436" s="309"/>
      <c r="T436" s="309"/>
      <c r="U436" s="309"/>
      <c r="V436" s="311"/>
      <c r="W436" s="311"/>
      <c r="X436" s="1647"/>
      <c r="Y436" s="311"/>
      <c r="Z436" s="311"/>
      <c r="AA436" s="311"/>
      <c r="AB436" s="311"/>
      <c r="AC436" s="311"/>
      <c r="AD436" s="311"/>
      <c r="AE436" s="311"/>
      <c r="AF436" s="311"/>
      <c r="AG436" s="311"/>
      <c r="AH436" s="311"/>
      <c r="AI436" s="311"/>
      <c r="AJ436" s="311"/>
      <c r="AK436" s="311"/>
      <c r="AL436" s="311"/>
      <c r="AM436" s="311"/>
    </row>
    <row r="437" spans="1:39" ht="15.75" customHeight="1">
      <c r="A437" s="1647"/>
      <c r="B437" s="311"/>
      <c r="C437" s="1647"/>
      <c r="D437" s="2173"/>
      <c r="E437" s="1586"/>
      <c r="F437" s="1954"/>
      <c r="G437" s="1586"/>
      <c r="H437" s="1586"/>
      <c r="I437" s="1647"/>
      <c r="J437" s="1647"/>
      <c r="K437" s="1647"/>
      <c r="L437" s="1586"/>
      <c r="M437" s="2174"/>
      <c r="N437" s="2174"/>
      <c r="O437" s="836"/>
      <c r="P437" s="2174"/>
      <c r="Q437" s="836"/>
      <c r="R437" s="309"/>
      <c r="S437" s="309"/>
      <c r="T437" s="309"/>
      <c r="U437" s="309"/>
      <c r="V437" s="311"/>
      <c r="W437" s="311"/>
      <c r="X437" s="1647"/>
      <c r="Y437" s="311"/>
      <c r="Z437" s="311"/>
      <c r="AA437" s="311"/>
      <c r="AB437" s="311"/>
      <c r="AC437" s="311"/>
      <c r="AD437" s="311"/>
      <c r="AE437" s="311"/>
      <c r="AF437" s="311"/>
      <c r="AG437" s="311"/>
      <c r="AH437" s="311"/>
      <c r="AI437" s="311"/>
      <c r="AJ437" s="311"/>
      <c r="AK437" s="311"/>
      <c r="AL437" s="311"/>
      <c r="AM437" s="311"/>
    </row>
    <row r="438" spans="1:39" ht="15.75" customHeight="1">
      <c r="A438" s="1647"/>
      <c r="B438" s="311"/>
      <c r="C438" s="1647"/>
      <c r="D438" s="2173"/>
      <c r="E438" s="1586"/>
      <c r="F438" s="1954"/>
      <c r="G438" s="1586"/>
      <c r="H438" s="1586"/>
      <c r="I438" s="1647"/>
      <c r="J438" s="1647"/>
      <c r="K438" s="1647"/>
      <c r="L438" s="1586"/>
      <c r="M438" s="2174"/>
      <c r="N438" s="2174"/>
      <c r="O438" s="836"/>
      <c r="P438" s="2174"/>
      <c r="Q438" s="836"/>
      <c r="R438" s="309"/>
      <c r="S438" s="309"/>
      <c r="T438" s="309"/>
      <c r="U438" s="309"/>
      <c r="V438" s="311"/>
      <c r="W438" s="311"/>
      <c r="X438" s="1647"/>
      <c r="Y438" s="311"/>
      <c r="Z438" s="311"/>
      <c r="AA438" s="311"/>
      <c r="AB438" s="311"/>
      <c r="AC438" s="311"/>
      <c r="AD438" s="311"/>
      <c r="AE438" s="311"/>
      <c r="AF438" s="311"/>
      <c r="AG438" s="311"/>
      <c r="AH438" s="311"/>
      <c r="AI438" s="311"/>
      <c r="AJ438" s="311"/>
      <c r="AK438" s="311"/>
      <c r="AL438" s="311"/>
      <c r="AM438" s="311"/>
    </row>
    <row r="439" spans="1:39" ht="15.75" customHeight="1">
      <c r="A439" s="1647"/>
      <c r="B439" s="311"/>
      <c r="C439" s="1647"/>
      <c r="D439" s="2173"/>
      <c r="E439" s="1586"/>
      <c r="F439" s="1954"/>
      <c r="G439" s="1586"/>
      <c r="H439" s="1586"/>
      <c r="I439" s="1647"/>
      <c r="J439" s="1647"/>
      <c r="K439" s="1647"/>
      <c r="L439" s="1586"/>
      <c r="M439" s="2174"/>
      <c r="N439" s="2174"/>
      <c r="O439" s="836"/>
      <c r="P439" s="2174"/>
      <c r="Q439" s="836"/>
      <c r="R439" s="309"/>
      <c r="S439" s="309"/>
      <c r="T439" s="309"/>
      <c r="U439" s="309"/>
      <c r="V439" s="311"/>
      <c r="W439" s="311"/>
      <c r="X439" s="1647"/>
      <c r="Y439" s="311"/>
      <c r="Z439" s="311"/>
      <c r="AA439" s="311"/>
      <c r="AB439" s="311"/>
      <c r="AC439" s="311"/>
      <c r="AD439" s="311"/>
      <c r="AE439" s="311"/>
      <c r="AF439" s="311"/>
      <c r="AG439" s="311"/>
      <c r="AH439" s="311"/>
      <c r="AI439" s="311"/>
      <c r="AJ439" s="311"/>
      <c r="AK439" s="311"/>
      <c r="AL439" s="311"/>
      <c r="AM439" s="311"/>
    </row>
    <row r="440" spans="1:39" ht="15.75" customHeight="1">
      <c r="A440" s="1647"/>
      <c r="B440" s="311"/>
      <c r="C440" s="1647"/>
      <c r="D440" s="2173"/>
      <c r="E440" s="1586"/>
      <c r="F440" s="1954"/>
      <c r="G440" s="1586"/>
      <c r="H440" s="1586"/>
      <c r="I440" s="1647"/>
      <c r="J440" s="1647"/>
      <c r="K440" s="1647"/>
      <c r="L440" s="1586"/>
      <c r="M440" s="2174"/>
      <c r="N440" s="2174"/>
      <c r="O440" s="836"/>
      <c r="P440" s="2174"/>
      <c r="Q440" s="836"/>
      <c r="R440" s="309"/>
      <c r="S440" s="309"/>
      <c r="T440" s="309"/>
      <c r="U440" s="309"/>
      <c r="V440" s="311"/>
      <c r="W440" s="311"/>
      <c r="X440" s="1647"/>
      <c r="Y440" s="311"/>
      <c r="Z440" s="311"/>
      <c r="AA440" s="311"/>
      <c r="AB440" s="311"/>
      <c r="AC440" s="311"/>
      <c r="AD440" s="311"/>
      <c r="AE440" s="311"/>
      <c r="AF440" s="311"/>
      <c r="AG440" s="311"/>
      <c r="AH440" s="311"/>
      <c r="AI440" s="311"/>
      <c r="AJ440" s="311"/>
      <c r="AK440" s="311"/>
      <c r="AL440" s="311"/>
      <c r="AM440" s="311"/>
    </row>
    <row r="441" spans="1:39" ht="15.75" customHeight="1">
      <c r="A441" s="1647"/>
      <c r="B441" s="311"/>
      <c r="C441" s="1647"/>
      <c r="D441" s="2173"/>
      <c r="E441" s="1586"/>
      <c r="F441" s="1954"/>
      <c r="G441" s="1586"/>
      <c r="H441" s="1586"/>
      <c r="I441" s="1647"/>
      <c r="J441" s="1647"/>
      <c r="K441" s="1647"/>
      <c r="L441" s="1586"/>
      <c r="M441" s="2174"/>
      <c r="N441" s="2174"/>
      <c r="O441" s="836"/>
      <c r="P441" s="2174"/>
      <c r="Q441" s="836"/>
      <c r="R441" s="309"/>
      <c r="S441" s="309"/>
      <c r="T441" s="309"/>
      <c r="U441" s="309"/>
      <c r="V441" s="311"/>
      <c r="W441" s="311"/>
      <c r="X441" s="1647"/>
      <c r="Y441" s="311"/>
      <c r="Z441" s="311"/>
      <c r="AA441" s="311"/>
      <c r="AB441" s="311"/>
      <c r="AC441" s="311"/>
      <c r="AD441" s="311"/>
      <c r="AE441" s="311"/>
      <c r="AF441" s="311"/>
      <c r="AG441" s="311"/>
      <c r="AH441" s="311"/>
      <c r="AI441" s="311"/>
      <c r="AJ441" s="311"/>
      <c r="AK441" s="311"/>
      <c r="AL441" s="311"/>
      <c r="AM441" s="311"/>
    </row>
    <row r="442" spans="1:39" ht="15.75" customHeight="1">
      <c r="A442" s="1647"/>
      <c r="B442" s="311"/>
      <c r="C442" s="1647"/>
      <c r="D442" s="2173"/>
      <c r="E442" s="1586"/>
      <c r="F442" s="1954"/>
      <c r="G442" s="1586"/>
      <c r="H442" s="1586"/>
      <c r="I442" s="1647"/>
      <c r="J442" s="1647"/>
      <c r="K442" s="1647"/>
      <c r="L442" s="1586"/>
      <c r="M442" s="2174"/>
      <c r="N442" s="2174"/>
      <c r="O442" s="836"/>
      <c r="P442" s="2174"/>
      <c r="Q442" s="836"/>
      <c r="R442" s="309"/>
      <c r="S442" s="309"/>
      <c r="T442" s="309"/>
      <c r="U442" s="309"/>
      <c r="V442" s="311"/>
      <c r="W442" s="311"/>
      <c r="X442" s="1647"/>
      <c r="Y442" s="311"/>
      <c r="Z442" s="311"/>
      <c r="AA442" s="311"/>
      <c r="AB442" s="311"/>
      <c r="AC442" s="311"/>
      <c r="AD442" s="311"/>
      <c r="AE442" s="311"/>
      <c r="AF442" s="311"/>
      <c r="AG442" s="311"/>
      <c r="AH442" s="311"/>
      <c r="AI442" s="311"/>
      <c r="AJ442" s="311"/>
      <c r="AK442" s="311"/>
      <c r="AL442" s="311"/>
      <c r="AM442" s="311"/>
    </row>
    <row r="443" spans="1:39" ht="15.75" customHeight="1">
      <c r="A443" s="1647"/>
      <c r="B443" s="311"/>
      <c r="C443" s="1647"/>
      <c r="D443" s="2173"/>
      <c r="E443" s="1586"/>
      <c r="F443" s="1954"/>
      <c r="G443" s="1586"/>
      <c r="H443" s="1586"/>
      <c r="I443" s="1647"/>
      <c r="J443" s="1647"/>
      <c r="K443" s="1647"/>
      <c r="L443" s="1586"/>
      <c r="M443" s="2174"/>
      <c r="N443" s="2174"/>
      <c r="O443" s="836"/>
      <c r="P443" s="2174"/>
      <c r="Q443" s="836"/>
      <c r="R443" s="309"/>
      <c r="S443" s="309"/>
      <c r="T443" s="309"/>
      <c r="U443" s="309"/>
      <c r="V443" s="311"/>
      <c r="W443" s="311"/>
      <c r="X443" s="1647"/>
      <c r="Y443" s="311"/>
      <c r="Z443" s="311"/>
      <c r="AA443" s="311"/>
      <c r="AB443" s="311"/>
      <c r="AC443" s="311"/>
      <c r="AD443" s="311"/>
      <c r="AE443" s="311"/>
      <c r="AF443" s="311"/>
      <c r="AG443" s="311"/>
      <c r="AH443" s="311"/>
      <c r="AI443" s="311"/>
      <c r="AJ443" s="311"/>
      <c r="AK443" s="311"/>
      <c r="AL443" s="311"/>
      <c r="AM443" s="311"/>
    </row>
    <row r="444" spans="1:39" ht="15.75" customHeight="1">
      <c r="A444" s="1647"/>
      <c r="B444" s="311"/>
      <c r="C444" s="1647"/>
      <c r="D444" s="2173"/>
      <c r="E444" s="1586"/>
      <c r="F444" s="1954"/>
      <c r="G444" s="1586"/>
      <c r="H444" s="1586"/>
      <c r="I444" s="1647"/>
      <c r="J444" s="1647"/>
      <c r="K444" s="1647"/>
      <c r="L444" s="1586"/>
      <c r="M444" s="2174"/>
      <c r="N444" s="2174"/>
      <c r="O444" s="836"/>
      <c r="P444" s="2174"/>
      <c r="Q444" s="836"/>
      <c r="R444" s="309"/>
      <c r="S444" s="309"/>
      <c r="T444" s="309"/>
      <c r="U444" s="309"/>
      <c r="V444" s="311"/>
      <c r="W444" s="311"/>
      <c r="X444" s="1647"/>
      <c r="Y444" s="311"/>
      <c r="Z444" s="311"/>
      <c r="AA444" s="311"/>
      <c r="AB444" s="311"/>
      <c r="AC444" s="311"/>
      <c r="AD444" s="311"/>
      <c r="AE444" s="311"/>
      <c r="AF444" s="311"/>
      <c r="AG444" s="311"/>
      <c r="AH444" s="311"/>
      <c r="AI444" s="311"/>
      <c r="AJ444" s="311"/>
      <c r="AK444" s="311"/>
      <c r="AL444" s="311"/>
      <c r="AM444" s="311"/>
    </row>
    <row r="445" spans="1:39" ht="15.75" customHeight="1">
      <c r="A445" s="1647"/>
      <c r="B445" s="311"/>
      <c r="C445" s="1647"/>
      <c r="D445" s="2173"/>
      <c r="E445" s="1586"/>
      <c r="F445" s="1954"/>
      <c r="G445" s="1586"/>
      <c r="H445" s="1586"/>
      <c r="I445" s="1647"/>
      <c r="J445" s="1647"/>
      <c r="K445" s="1647"/>
      <c r="L445" s="1586"/>
      <c r="M445" s="2174"/>
      <c r="N445" s="2174"/>
      <c r="O445" s="836"/>
      <c r="P445" s="2174"/>
      <c r="Q445" s="836"/>
      <c r="R445" s="309"/>
      <c r="S445" s="309"/>
      <c r="T445" s="309"/>
      <c r="U445" s="309"/>
      <c r="V445" s="311"/>
      <c r="W445" s="311"/>
      <c r="X445" s="1647"/>
      <c r="Y445" s="311"/>
      <c r="Z445" s="311"/>
      <c r="AA445" s="311"/>
      <c r="AB445" s="311"/>
      <c r="AC445" s="311"/>
      <c r="AD445" s="311"/>
      <c r="AE445" s="311"/>
      <c r="AF445" s="311"/>
      <c r="AG445" s="311"/>
      <c r="AH445" s="311"/>
      <c r="AI445" s="311"/>
      <c r="AJ445" s="311"/>
      <c r="AK445" s="311"/>
      <c r="AL445" s="311"/>
      <c r="AM445" s="311"/>
    </row>
    <row r="446" spans="1:39" ht="15.75" customHeight="1">
      <c r="A446" s="1647"/>
      <c r="B446" s="311"/>
      <c r="C446" s="1647"/>
      <c r="D446" s="2173"/>
      <c r="E446" s="1586"/>
      <c r="F446" s="1954"/>
      <c r="G446" s="1586"/>
      <c r="H446" s="1586"/>
      <c r="I446" s="1647"/>
      <c r="J446" s="1647"/>
      <c r="K446" s="1647"/>
      <c r="L446" s="1586"/>
      <c r="M446" s="2174"/>
      <c r="N446" s="2174"/>
      <c r="O446" s="836"/>
      <c r="P446" s="2174"/>
      <c r="Q446" s="836"/>
      <c r="R446" s="309"/>
      <c r="S446" s="309"/>
      <c r="T446" s="309"/>
      <c r="U446" s="309"/>
      <c r="V446" s="311"/>
      <c r="W446" s="311"/>
      <c r="X446" s="1647"/>
      <c r="Y446" s="311"/>
      <c r="Z446" s="311"/>
      <c r="AA446" s="311"/>
      <c r="AB446" s="311"/>
      <c r="AC446" s="311"/>
      <c r="AD446" s="311"/>
      <c r="AE446" s="311"/>
      <c r="AF446" s="311"/>
      <c r="AG446" s="311"/>
      <c r="AH446" s="311"/>
      <c r="AI446" s="311"/>
      <c r="AJ446" s="311"/>
      <c r="AK446" s="311"/>
      <c r="AL446" s="311"/>
      <c r="AM446" s="311"/>
    </row>
    <row r="447" spans="1:39" ht="15.75" customHeight="1">
      <c r="A447" s="1647"/>
      <c r="B447" s="311"/>
      <c r="C447" s="1647"/>
      <c r="D447" s="2173"/>
      <c r="E447" s="1586"/>
      <c r="F447" s="1954"/>
      <c r="G447" s="1586"/>
      <c r="H447" s="1586"/>
      <c r="I447" s="1647"/>
      <c r="J447" s="1647"/>
      <c r="K447" s="1647"/>
      <c r="L447" s="1586"/>
      <c r="M447" s="2174"/>
      <c r="N447" s="2174"/>
      <c r="O447" s="836"/>
      <c r="P447" s="2174"/>
      <c r="Q447" s="836"/>
      <c r="R447" s="309"/>
      <c r="S447" s="309"/>
      <c r="T447" s="309"/>
      <c r="U447" s="309"/>
      <c r="V447" s="311"/>
      <c r="W447" s="311"/>
      <c r="X447" s="1647"/>
      <c r="Y447" s="311"/>
      <c r="Z447" s="311"/>
      <c r="AA447" s="311"/>
      <c r="AB447" s="311"/>
      <c r="AC447" s="311"/>
      <c r="AD447" s="311"/>
      <c r="AE447" s="311"/>
      <c r="AF447" s="311"/>
      <c r="AG447" s="311"/>
      <c r="AH447" s="311"/>
      <c r="AI447" s="311"/>
      <c r="AJ447" s="311"/>
      <c r="AK447" s="311"/>
      <c r="AL447" s="311"/>
      <c r="AM447" s="311"/>
    </row>
    <row r="448" spans="1:39" ht="15.75" customHeight="1">
      <c r="A448" s="1647"/>
      <c r="B448" s="311"/>
      <c r="C448" s="1647"/>
      <c r="D448" s="2173"/>
      <c r="E448" s="1586"/>
      <c r="F448" s="1954"/>
      <c r="G448" s="1586"/>
      <c r="H448" s="1586"/>
      <c r="I448" s="1647"/>
      <c r="J448" s="1647"/>
      <c r="K448" s="1647"/>
      <c r="L448" s="1586"/>
      <c r="M448" s="2174"/>
      <c r="N448" s="2174"/>
      <c r="O448" s="836"/>
      <c r="P448" s="2174"/>
      <c r="Q448" s="836"/>
      <c r="R448" s="309"/>
      <c r="S448" s="309"/>
      <c r="T448" s="309"/>
      <c r="U448" s="309"/>
      <c r="V448" s="311"/>
      <c r="W448" s="311"/>
      <c r="X448" s="1647"/>
      <c r="Y448" s="311"/>
      <c r="Z448" s="311"/>
      <c r="AA448" s="311"/>
      <c r="AB448" s="311"/>
      <c r="AC448" s="311"/>
      <c r="AD448" s="311"/>
      <c r="AE448" s="311"/>
      <c r="AF448" s="311"/>
      <c r="AG448" s="311"/>
      <c r="AH448" s="311"/>
      <c r="AI448" s="311"/>
      <c r="AJ448" s="311"/>
      <c r="AK448" s="311"/>
      <c r="AL448" s="311"/>
      <c r="AM448" s="311"/>
    </row>
    <row r="449" spans="1:39" ht="15.75" customHeight="1">
      <c r="A449" s="1647"/>
      <c r="B449" s="311"/>
      <c r="C449" s="1647"/>
      <c r="D449" s="2173"/>
      <c r="E449" s="1586"/>
      <c r="F449" s="1954"/>
      <c r="G449" s="1586"/>
      <c r="H449" s="1586"/>
      <c r="I449" s="1647"/>
      <c r="J449" s="1647"/>
      <c r="K449" s="1647"/>
      <c r="L449" s="1586"/>
      <c r="M449" s="2174"/>
      <c r="N449" s="2174"/>
      <c r="O449" s="836"/>
      <c r="P449" s="2174"/>
      <c r="Q449" s="836"/>
      <c r="R449" s="309"/>
      <c r="S449" s="309"/>
      <c r="T449" s="309"/>
      <c r="U449" s="309"/>
      <c r="V449" s="311"/>
      <c r="W449" s="311"/>
      <c r="X449" s="1647"/>
      <c r="Y449" s="311"/>
      <c r="Z449" s="311"/>
      <c r="AA449" s="311"/>
      <c r="AB449" s="311"/>
      <c r="AC449" s="311"/>
      <c r="AD449" s="311"/>
      <c r="AE449" s="311"/>
      <c r="AF449" s="311"/>
      <c r="AG449" s="311"/>
      <c r="AH449" s="311"/>
      <c r="AI449" s="311"/>
      <c r="AJ449" s="311"/>
      <c r="AK449" s="311"/>
      <c r="AL449" s="311"/>
      <c r="AM449" s="311"/>
    </row>
    <row r="450" spans="1:39" ht="15.75" customHeight="1">
      <c r="A450" s="1647"/>
      <c r="B450" s="311"/>
      <c r="C450" s="1647"/>
      <c r="D450" s="2173"/>
      <c r="E450" s="1586"/>
      <c r="F450" s="1954"/>
      <c r="G450" s="1586"/>
      <c r="H450" s="1586"/>
      <c r="I450" s="1647"/>
      <c r="J450" s="1647"/>
      <c r="K450" s="1647"/>
      <c r="L450" s="1586"/>
      <c r="M450" s="2174"/>
      <c r="N450" s="2174"/>
      <c r="O450" s="836"/>
      <c r="P450" s="2174"/>
      <c r="Q450" s="836"/>
      <c r="R450" s="309"/>
      <c r="S450" s="309"/>
      <c r="T450" s="309"/>
      <c r="U450" s="309"/>
      <c r="V450" s="311"/>
      <c r="W450" s="311"/>
      <c r="X450" s="1647"/>
      <c r="Y450" s="311"/>
      <c r="Z450" s="311"/>
      <c r="AA450" s="311"/>
      <c r="AB450" s="311"/>
      <c r="AC450" s="311"/>
      <c r="AD450" s="311"/>
      <c r="AE450" s="311"/>
      <c r="AF450" s="311"/>
      <c r="AG450" s="311"/>
      <c r="AH450" s="311"/>
      <c r="AI450" s="311"/>
      <c r="AJ450" s="311"/>
      <c r="AK450" s="311"/>
      <c r="AL450" s="311"/>
      <c r="AM450" s="311"/>
    </row>
    <row r="451" spans="1:39" ht="15.75" customHeight="1">
      <c r="A451" s="1647"/>
      <c r="B451" s="311"/>
      <c r="C451" s="1647"/>
      <c r="D451" s="2173"/>
      <c r="E451" s="1586"/>
      <c r="F451" s="1954"/>
      <c r="G451" s="1586"/>
      <c r="H451" s="1586"/>
      <c r="I451" s="1647"/>
      <c r="J451" s="1647"/>
      <c r="K451" s="1647"/>
      <c r="L451" s="1586"/>
      <c r="M451" s="2174"/>
      <c r="N451" s="2174"/>
      <c r="O451" s="836"/>
      <c r="P451" s="2174"/>
      <c r="Q451" s="836"/>
      <c r="R451" s="309"/>
      <c r="S451" s="309"/>
      <c r="T451" s="309"/>
      <c r="U451" s="309"/>
      <c r="V451" s="311"/>
      <c r="W451" s="311"/>
      <c r="X451" s="1647"/>
      <c r="Y451" s="311"/>
      <c r="Z451" s="311"/>
      <c r="AA451" s="311"/>
      <c r="AB451" s="311"/>
      <c r="AC451" s="311"/>
      <c r="AD451" s="311"/>
      <c r="AE451" s="311"/>
      <c r="AF451" s="311"/>
      <c r="AG451" s="311"/>
      <c r="AH451" s="311"/>
      <c r="AI451" s="311"/>
      <c r="AJ451" s="311"/>
      <c r="AK451" s="311"/>
      <c r="AL451" s="311"/>
      <c r="AM451" s="311"/>
    </row>
    <row r="452" spans="1:39" ht="15.75" customHeight="1">
      <c r="A452" s="1647"/>
      <c r="B452" s="311"/>
      <c r="C452" s="1647"/>
      <c r="D452" s="2173"/>
      <c r="E452" s="1586"/>
      <c r="F452" s="1954"/>
      <c r="G452" s="1586"/>
      <c r="H452" s="1586"/>
      <c r="I452" s="1647"/>
      <c r="J452" s="1647"/>
      <c r="K452" s="1647"/>
      <c r="L452" s="1586"/>
      <c r="M452" s="2174"/>
      <c r="N452" s="2174"/>
      <c r="O452" s="836"/>
      <c r="P452" s="2174"/>
      <c r="Q452" s="836"/>
      <c r="R452" s="309"/>
      <c r="S452" s="309"/>
      <c r="T452" s="309"/>
      <c r="U452" s="309"/>
      <c r="V452" s="311"/>
      <c r="W452" s="311"/>
      <c r="X452" s="1647"/>
      <c r="Y452" s="311"/>
      <c r="Z452" s="311"/>
      <c r="AA452" s="311"/>
      <c r="AB452" s="311"/>
      <c r="AC452" s="311"/>
      <c r="AD452" s="311"/>
      <c r="AE452" s="311"/>
      <c r="AF452" s="311"/>
      <c r="AG452" s="311"/>
      <c r="AH452" s="311"/>
      <c r="AI452" s="311"/>
      <c r="AJ452" s="311"/>
      <c r="AK452" s="311"/>
      <c r="AL452" s="311"/>
      <c r="AM452" s="311"/>
    </row>
    <row r="453" spans="1:39" ht="15.75" customHeight="1">
      <c r="A453" s="1647"/>
      <c r="B453" s="311"/>
      <c r="C453" s="1647"/>
      <c r="D453" s="2173"/>
      <c r="E453" s="1586"/>
      <c r="F453" s="1954"/>
      <c r="G453" s="1586"/>
      <c r="H453" s="1586"/>
      <c r="I453" s="1647"/>
      <c r="J453" s="1647"/>
      <c r="K453" s="1647"/>
      <c r="L453" s="1586"/>
      <c r="M453" s="2174"/>
      <c r="N453" s="2174"/>
      <c r="O453" s="836"/>
      <c r="P453" s="2174"/>
      <c r="Q453" s="836"/>
      <c r="R453" s="309"/>
      <c r="S453" s="309"/>
      <c r="T453" s="309"/>
      <c r="U453" s="309"/>
      <c r="V453" s="311"/>
      <c r="W453" s="311"/>
      <c r="X453" s="1647"/>
      <c r="Y453" s="311"/>
      <c r="Z453" s="311"/>
      <c r="AA453" s="311"/>
      <c r="AB453" s="311"/>
      <c r="AC453" s="311"/>
      <c r="AD453" s="311"/>
      <c r="AE453" s="311"/>
      <c r="AF453" s="311"/>
      <c r="AG453" s="311"/>
      <c r="AH453" s="311"/>
      <c r="AI453" s="311"/>
      <c r="AJ453" s="311"/>
      <c r="AK453" s="311"/>
      <c r="AL453" s="311"/>
      <c r="AM453" s="311"/>
    </row>
    <row r="454" spans="1:39" ht="15.75" customHeight="1">
      <c r="A454" s="1647"/>
      <c r="B454" s="311"/>
      <c r="C454" s="1647"/>
      <c r="D454" s="2173"/>
      <c r="E454" s="1586"/>
      <c r="F454" s="1954"/>
      <c r="G454" s="1586"/>
      <c r="H454" s="1586"/>
      <c r="I454" s="1647"/>
      <c r="J454" s="1647"/>
      <c r="K454" s="1647"/>
      <c r="L454" s="1586"/>
      <c r="M454" s="2174"/>
      <c r="N454" s="2174"/>
      <c r="O454" s="836"/>
      <c r="P454" s="2174"/>
      <c r="Q454" s="836"/>
      <c r="R454" s="309"/>
      <c r="S454" s="309"/>
      <c r="T454" s="309"/>
      <c r="U454" s="309"/>
      <c r="V454" s="311"/>
      <c r="W454" s="311"/>
      <c r="X454" s="1647"/>
      <c r="Y454" s="311"/>
      <c r="Z454" s="311"/>
      <c r="AA454" s="311"/>
      <c r="AB454" s="311"/>
      <c r="AC454" s="311"/>
      <c r="AD454" s="311"/>
      <c r="AE454" s="311"/>
      <c r="AF454" s="311"/>
      <c r="AG454" s="311"/>
      <c r="AH454" s="311"/>
      <c r="AI454" s="311"/>
      <c r="AJ454" s="311"/>
      <c r="AK454" s="311"/>
      <c r="AL454" s="311"/>
      <c r="AM454" s="311"/>
    </row>
    <row r="455" spans="1:39" ht="15.75" customHeight="1">
      <c r="A455" s="1647"/>
      <c r="B455" s="311"/>
      <c r="C455" s="1647"/>
      <c r="D455" s="2173"/>
      <c r="E455" s="1586"/>
      <c r="F455" s="1954"/>
      <c r="G455" s="1586"/>
      <c r="H455" s="1586"/>
      <c r="I455" s="1647"/>
      <c r="J455" s="1647"/>
      <c r="K455" s="1647"/>
      <c r="L455" s="1586"/>
      <c r="M455" s="2174"/>
      <c r="N455" s="2174"/>
      <c r="O455" s="836"/>
      <c r="P455" s="2174"/>
      <c r="Q455" s="836"/>
      <c r="R455" s="309"/>
      <c r="S455" s="309"/>
      <c r="T455" s="309"/>
      <c r="U455" s="309"/>
      <c r="V455" s="311"/>
      <c r="W455" s="311"/>
      <c r="X455" s="1647"/>
      <c r="Y455" s="311"/>
      <c r="Z455" s="311"/>
      <c r="AA455" s="311"/>
      <c r="AB455" s="311"/>
      <c r="AC455" s="311"/>
      <c r="AD455" s="311"/>
      <c r="AE455" s="311"/>
      <c r="AF455" s="311"/>
      <c r="AG455" s="311"/>
      <c r="AH455" s="311"/>
      <c r="AI455" s="311"/>
      <c r="AJ455" s="311"/>
      <c r="AK455" s="311"/>
      <c r="AL455" s="311"/>
      <c r="AM455" s="311"/>
    </row>
    <row r="456" spans="1:39" ht="15.75" customHeight="1">
      <c r="A456" s="1647"/>
      <c r="B456" s="311"/>
      <c r="C456" s="1647"/>
      <c r="D456" s="2173"/>
      <c r="E456" s="1586"/>
      <c r="F456" s="1954"/>
      <c r="G456" s="1586"/>
      <c r="H456" s="1586"/>
      <c r="I456" s="1647"/>
      <c r="J456" s="1647"/>
      <c r="K456" s="1647"/>
      <c r="L456" s="1586"/>
      <c r="M456" s="2174"/>
      <c r="N456" s="2174"/>
      <c r="O456" s="836"/>
      <c r="P456" s="2174"/>
      <c r="Q456" s="836"/>
      <c r="R456" s="309"/>
      <c r="S456" s="309"/>
      <c r="T456" s="309"/>
      <c r="U456" s="309"/>
      <c r="V456" s="311"/>
      <c r="W456" s="311"/>
      <c r="X456" s="1647"/>
      <c r="Y456" s="311"/>
      <c r="Z456" s="311"/>
      <c r="AA456" s="311"/>
      <c r="AB456" s="311"/>
      <c r="AC456" s="311"/>
      <c r="AD456" s="311"/>
      <c r="AE456" s="311"/>
      <c r="AF456" s="311"/>
      <c r="AG456" s="311"/>
      <c r="AH456" s="311"/>
      <c r="AI456" s="311"/>
      <c r="AJ456" s="311"/>
      <c r="AK456" s="311"/>
      <c r="AL456" s="311"/>
      <c r="AM456" s="311"/>
    </row>
    <row r="457" spans="1:39" ht="15.75" customHeight="1">
      <c r="A457" s="1647"/>
      <c r="B457" s="311"/>
      <c r="C457" s="1647"/>
      <c r="D457" s="2173"/>
      <c r="E457" s="1586"/>
      <c r="F457" s="1954"/>
      <c r="G457" s="1586"/>
      <c r="H457" s="1586"/>
      <c r="I457" s="1647"/>
      <c r="J457" s="1647"/>
      <c r="K457" s="1647"/>
      <c r="L457" s="1586"/>
      <c r="M457" s="2174"/>
      <c r="N457" s="2174"/>
      <c r="O457" s="836"/>
      <c r="P457" s="2174"/>
      <c r="Q457" s="836"/>
      <c r="R457" s="309"/>
      <c r="S457" s="309"/>
      <c r="T457" s="309"/>
      <c r="U457" s="309"/>
      <c r="V457" s="311"/>
      <c r="W457" s="311"/>
      <c r="X457" s="1647"/>
      <c r="Y457" s="311"/>
      <c r="Z457" s="311"/>
      <c r="AA457" s="311"/>
      <c r="AB457" s="311"/>
      <c r="AC457" s="311"/>
      <c r="AD457" s="311"/>
      <c r="AE457" s="311"/>
      <c r="AF457" s="311"/>
      <c r="AG457" s="311"/>
      <c r="AH457" s="311"/>
      <c r="AI457" s="311"/>
      <c r="AJ457" s="311"/>
      <c r="AK457" s="311"/>
      <c r="AL457" s="311"/>
      <c r="AM457" s="311"/>
    </row>
    <row r="458" spans="1:39" ht="15.75" customHeight="1">
      <c r="A458" s="1647"/>
      <c r="B458" s="311"/>
      <c r="C458" s="1647"/>
      <c r="D458" s="2173"/>
      <c r="E458" s="1586"/>
      <c r="F458" s="1954"/>
      <c r="G458" s="1586"/>
      <c r="H458" s="1586"/>
      <c r="I458" s="1647"/>
      <c r="J458" s="1647"/>
      <c r="K458" s="1647"/>
      <c r="L458" s="1586"/>
      <c r="M458" s="2174"/>
      <c r="N458" s="2174"/>
      <c r="O458" s="836"/>
      <c r="P458" s="2174"/>
      <c r="Q458" s="836"/>
      <c r="R458" s="309"/>
      <c r="S458" s="309"/>
      <c r="T458" s="309"/>
      <c r="U458" s="309"/>
      <c r="V458" s="311"/>
      <c r="W458" s="311"/>
      <c r="X458" s="1647"/>
      <c r="Y458" s="311"/>
      <c r="Z458" s="311"/>
      <c r="AA458" s="311"/>
      <c r="AB458" s="311"/>
      <c r="AC458" s="311"/>
      <c r="AD458" s="311"/>
      <c r="AE458" s="311"/>
      <c r="AF458" s="311"/>
      <c r="AG458" s="311"/>
      <c r="AH458" s="311"/>
      <c r="AI458" s="311"/>
      <c r="AJ458" s="311"/>
      <c r="AK458" s="311"/>
      <c r="AL458" s="311"/>
      <c r="AM458" s="311"/>
    </row>
    <row r="459" spans="1:39" ht="15.75" customHeight="1">
      <c r="A459" s="1647"/>
      <c r="B459" s="311"/>
      <c r="C459" s="1647"/>
      <c r="D459" s="2173"/>
      <c r="E459" s="1586"/>
      <c r="F459" s="1954"/>
      <c r="G459" s="1586"/>
      <c r="H459" s="1586"/>
      <c r="I459" s="1647"/>
      <c r="J459" s="1647"/>
      <c r="K459" s="1647"/>
      <c r="L459" s="1586"/>
      <c r="M459" s="2174"/>
      <c r="N459" s="2174"/>
      <c r="O459" s="836"/>
      <c r="P459" s="2174"/>
      <c r="Q459" s="836"/>
      <c r="R459" s="309"/>
      <c r="S459" s="309"/>
      <c r="T459" s="309"/>
      <c r="U459" s="309"/>
      <c r="V459" s="311"/>
      <c r="W459" s="311"/>
      <c r="X459" s="1647"/>
      <c r="Y459" s="311"/>
      <c r="Z459" s="311"/>
      <c r="AA459" s="311"/>
      <c r="AB459" s="311"/>
      <c r="AC459" s="311"/>
      <c r="AD459" s="311"/>
      <c r="AE459" s="311"/>
      <c r="AF459" s="311"/>
      <c r="AG459" s="311"/>
      <c r="AH459" s="311"/>
      <c r="AI459" s="311"/>
      <c r="AJ459" s="311"/>
      <c r="AK459" s="311"/>
      <c r="AL459" s="311"/>
      <c r="AM459" s="311"/>
    </row>
    <row r="460" spans="1:39" ht="15.75" customHeight="1">
      <c r="A460" s="1647"/>
      <c r="B460" s="311"/>
      <c r="C460" s="1647"/>
      <c r="D460" s="2173"/>
      <c r="E460" s="1586"/>
      <c r="F460" s="1954"/>
      <c r="G460" s="1586"/>
      <c r="H460" s="1586"/>
      <c r="I460" s="1647"/>
      <c r="J460" s="1647"/>
      <c r="K460" s="1647"/>
      <c r="L460" s="1586"/>
      <c r="M460" s="2174"/>
      <c r="N460" s="2174"/>
      <c r="O460" s="836"/>
      <c r="P460" s="2174"/>
      <c r="Q460" s="836"/>
      <c r="R460" s="309"/>
      <c r="S460" s="309"/>
      <c r="T460" s="309"/>
      <c r="U460" s="309"/>
      <c r="V460" s="311"/>
      <c r="W460" s="311"/>
      <c r="X460" s="1647"/>
      <c r="Y460" s="311"/>
      <c r="Z460" s="311"/>
      <c r="AA460" s="311"/>
      <c r="AB460" s="311"/>
      <c r="AC460" s="311"/>
      <c r="AD460" s="311"/>
      <c r="AE460" s="311"/>
      <c r="AF460" s="311"/>
      <c r="AG460" s="311"/>
      <c r="AH460" s="311"/>
      <c r="AI460" s="311"/>
      <c r="AJ460" s="311"/>
      <c r="AK460" s="311"/>
      <c r="AL460" s="311"/>
      <c r="AM460" s="311"/>
    </row>
    <row r="461" spans="1:39" ht="15.75" customHeight="1">
      <c r="A461" s="1647"/>
      <c r="B461" s="311"/>
      <c r="C461" s="1647"/>
      <c r="D461" s="2173"/>
      <c r="E461" s="1586"/>
      <c r="F461" s="1954"/>
      <c r="G461" s="1586"/>
      <c r="H461" s="1586"/>
      <c r="I461" s="1647"/>
      <c r="J461" s="1647"/>
      <c r="K461" s="1647"/>
      <c r="L461" s="1586"/>
      <c r="M461" s="2174"/>
      <c r="N461" s="2174"/>
      <c r="O461" s="836"/>
      <c r="P461" s="2174"/>
      <c r="Q461" s="836"/>
      <c r="R461" s="309"/>
      <c r="S461" s="309"/>
      <c r="T461" s="309"/>
      <c r="U461" s="309"/>
      <c r="V461" s="311"/>
      <c r="W461" s="311"/>
      <c r="X461" s="1647"/>
      <c r="Y461" s="311"/>
      <c r="Z461" s="311"/>
      <c r="AA461" s="311"/>
      <c r="AB461" s="311"/>
      <c r="AC461" s="311"/>
      <c r="AD461" s="311"/>
      <c r="AE461" s="311"/>
      <c r="AF461" s="311"/>
      <c r="AG461" s="311"/>
      <c r="AH461" s="311"/>
      <c r="AI461" s="311"/>
      <c r="AJ461" s="311"/>
      <c r="AK461" s="311"/>
      <c r="AL461" s="311"/>
      <c r="AM461" s="311"/>
    </row>
    <row r="462" spans="1:39" ht="15.75" customHeight="1">
      <c r="A462" s="1647"/>
      <c r="B462" s="311"/>
      <c r="C462" s="1647"/>
      <c r="D462" s="2173"/>
      <c r="E462" s="1586"/>
      <c r="F462" s="1954"/>
      <c r="G462" s="1586"/>
      <c r="H462" s="1586"/>
      <c r="I462" s="1647"/>
      <c r="J462" s="1647"/>
      <c r="K462" s="1647"/>
      <c r="L462" s="1586"/>
      <c r="M462" s="2174"/>
      <c r="N462" s="2174"/>
      <c r="O462" s="836"/>
      <c r="P462" s="2174"/>
      <c r="Q462" s="836"/>
      <c r="R462" s="309"/>
      <c r="S462" s="309"/>
      <c r="T462" s="309"/>
      <c r="U462" s="309"/>
      <c r="V462" s="311"/>
      <c r="W462" s="311"/>
      <c r="X462" s="1647"/>
      <c r="Y462" s="311"/>
      <c r="Z462" s="311"/>
      <c r="AA462" s="311"/>
      <c r="AB462" s="311"/>
      <c r="AC462" s="311"/>
      <c r="AD462" s="311"/>
      <c r="AE462" s="311"/>
      <c r="AF462" s="311"/>
      <c r="AG462" s="311"/>
      <c r="AH462" s="311"/>
      <c r="AI462" s="311"/>
      <c r="AJ462" s="311"/>
      <c r="AK462" s="311"/>
      <c r="AL462" s="311"/>
      <c r="AM462" s="311"/>
    </row>
    <row r="463" spans="1:39" ht="15.75" customHeight="1">
      <c r="A463" s="1647"/>
      <c r="B463" s="311"/>
      <c r="C463" s="1647"/>
      <c r="D463" s="2173"/>
      <c r="E463" s="1586"/>
      <c r="F463" s="1954"/>
      <c r="G463" s="1586"/>
      <c r="H463" s="1586"/>
      <c r="I463" s="1647"/>
      <c r="J463" s="1647"/>
      <c r="K463" s="1647"/>
      <c r="L463" s="1586"/>
      <c r="M463" s="2174"/>
      <c r="N463" s="2174"/>
      <c r="O463" s="836"/>
      <c r="P463" s="2174"/>
      <c r="Q463" s="836"/>
      <c r="R463" s="309"/>
      <c r="S463" s="309"/>
      <c r="T463" s="309"/>
      <c r="U463" s="309"/>
      <c r="V463" s="311"/>
      <c r="W463" s="311"/>
      <c r="X463" s="1647"/>
      <c r="Y463" s="311"/>
      <c r="Z463" s="311"/>
      <c r="AA463" s="311"/>
      <c r="AB463" s="311"/>
      <c r="AC463" s="311"/>
      <c r="AD463" s="311"/>
      <c r="AE463" s="311"/>
      <c r="AF463" s="311"/>
      <c r="AG463" s="311"/>
      <c r="AH463" s="311"/>
      <c r="AI463" s="311"/>
      <c r="AJ463" s="311"/>
      <c r="AK463" s="311"/>
      <c r="AL463" s="311"/>
      <c r="AM463" s="311"/>
    </row>
    <row r="464" spans="1:39" ht="15.75" customHeight="1">
      <c r="A464" s="1647"/>
      <c r="B464" s="311"/>
      <c r="C464" s="1647"/>
      <c r="D464" s="2173"/>
      <c r="E464" s="1586"/>
      <c r="F464" s="1954"/>
      <c r="G464" s="1586"/>
      <c r="H464" s="1586"/>
      <c r="I464" s="1647"/>
      <c r="J464" s="1647"/>
      <c r="K464" s="1647"/>
      <c r="L464" s="1586"/>
      <c r="M464" s="2174"/>
      <c r="N464" s="2174"/>
      <c r="O464" s="836"/>
      <c r="P464" s="2174"/>
      <c r="Q464" s="836"/>
      <c r="R464" s="309"/>
      <c r="S464" s="309"/>
      <c r="T464" s="309"/>
      <c r="U464" s="309"/>
      <c r="V464" s="311"/>
      <c r="W464" s="311"/>
      <c r="X464" s="1647"/>
      <c r="Y464" s="311"/>
      <c r="Z464" s="311"/>
      <c r="AA464" s="311"/>
      <c r="AB464" s="311"/>
      <c r="AC464" s="311"/>
      <c r="AD464" s="311"/>
      <c r="AE464" s="311"/>
      <c r="AF464" s="311"/>
      <c r="AG464" s="311"/>
      <c r="AH464" s="311"/>
      <c r="AI464" s="311"/>
      <c r="AJ464" s="311"/>
      <c r="AK464" s="311"/>
      <c r="AL464" s="311"/>
      <c r="AM464" s="311"/>
    </row>
    <row r="465" spans="1:39" ht="15.75" customHeight="1">
      <c r="A465" s="1647"/>
      <c r="B465" s="311"/>
      <c r="C465" s="1647"/>
      <c r="D465" s="2173"/>
      <c r="E465" s="1586"/>
      <c r="F465" s="1954"/>
      <c r="G465" s="1586"/>
      <c r="H465" s="1586"/>
      <c r="I465" s="1647"/>
      <c r="J465" s="1647"/>
      <c r="K465" s="1647"/>
      <c r="L465" s="1586"/>
      <c r="M465" s="2174"/>
      <c r="N465" s="2174"/>
      <c r="O465" s="836"/>
      <c r="P465" s="2174"/>
      <c r="Q465" s="836"/>
      <c r="R465" s="309"/>
      <c r="S465" s="309"/>
      <c r="T465" s="309"/>
      <c r="U465" s="309"/>
      <c r="V465" s="311"/>
      <c r="W465" s="311"/>
      <c r="X465" s="1647"/>
      <c r="Y465" s="311"/>
      <c r="Z465" s="311"/>
      <c r="AA465" s="311"/>
      <c r="AB465" s="311"/>
      <c r="AC465" s="311"/>
      <c r="AD465" s="311"/>
      <c r="AE465" s="311"/>
      <c r="AF465" s="311"/>
      <c r="AG465" s="311"/>
      <c r="AH465" s="311"/>
      <c r="AI465" s="311"/>
      <c r="AJ465" s="311"/>
      <c r="AK465" s="311"/>
      <c r="AL465" s="311"/>
      <c r="AM465" s="311"/>
    </row>
    <row r="466" spans="1:39" ht="15.75" customHeight="1">
      <c r="A466" s="1647"/>
      <c r="B466" s="311"/>
      <c r="C466" s="1647"/>
      <c r="D466" s="2173"/>
      <c r="E466" s="1586"/>
      <c r="F466" s="1954"/>
      <c r="G466" s="1586"/>
      <c r="H466" s="1586"/>
      <c r="I466" s="1647"/>
      <c r="J466" s="1647"/>
      <c r="K466" s="1647"/>
      <c r="L466" s="1586"/>
      <c r="M466" s="2174"/>
      <c r="N466" s="2174"/>
      <c r="O466" s="836"/>
      <c r="P466" s="2174"/>
      <c r="Q466" s="836"/>
      <c r="R466" s="309"/>
      <c r="S466" s="309"/>
      <c r="T466" s="309"/>
      <c r="U466" s="309"/>
      <c r="V466" s="311"/>
      <c r="W466" s="311"/>
      <c r="X466" s="1647"/>
      <c r="Y466" s="311"/>
      <c r="Z466" s="311"/>
      <c r="AA466" s="311"/>
      <c r="AB466" s="311"/>
      <c r="AC466" s="311"/>
      <c r="AD466" s="311"/>
      <c r="AE466" s="311"/>
      <c r="AF466" s="311"/>
      <c r="AG466" s="311"/>
      <c r="AH466" s="311"/>
      <c r="AI466" s="311"/>
      <c r="AJ466" s="311"/>
      <c r="AK466" s="311"/>
      <c r="AL466" s="311"/>
      <c r="AM466" s="311"/>
    </row>
    <row r="467" spans="1:39" ht="15.75" customHeight="1">
      <c r="A467" s="1647"/>
      <c r="B467" s="311"/>
      <c r="C467" s="1647"/>
      <c r="D467" s="2173"/>
      <c r="E467" s="1586"/>
      <c r="F467" s="1954"/>
      <c r="G467" s="1586"/>
      <c r="H467" s="1586"/>
      <c r="I467" s="1647"/>
      <c r="J467" s="1647"/>
      <c r="K467" s="1647"/>
      <c r="L467" s="1586"/>
      <c r="M467" s="2174"/>
      <c r="N467" s="2174"/>
      <c r="O467" s="836"/>
      <c r="P467" s="2174"/>
      <c r="Q467" s="836"/>
      <c r="R467" s="309"/>
      <c r="S467" s="309"/>
      <c r="T467" s="309"/>
      <c r="U467" s="309"/>
      <c r="V467" s="311"/>
      <c r="W467" s="311"/>
      <c r="X467" s="1647"/>
      <c r="Y467" s="311"/>
      <c r="Z467" s="311"/>
      <c r="AA467" s="311"/>
      <c r="AB467" s="311"/>
      <c r="AC467" s="311"/>
      <c r="AD467" s="311"/>
      <c r="AE467" s="311"/>
      <c r="AF467" s="311"/>
      <c r="AG467" s="311"/>
      <c r="AH467" s="311"/>
      <c r="AI467" s="311"/>
      <c r="AJ467" s="311"/>
      <c r="AK467" s="311"/>
      <c r="AL467" s="311"/>
      <c r="AM467" s="311"/>
    </row>
    <row r="468" spans="1:39" ht="15.75" customHeight="1">
      <c r="A468" s="1647"/>
      <c r="B468" s="311"/>
      <c r="C468" s="1647"/>
      <c r="D468" s="2173"/>
      <c r="E468" s="1586"/>
      <c r="F468" s="1954"/>
      <c r="G468" s="1586"/>
      <c r="H468" s="1586"/>
      <c r="I468" s="1647"/>
      <c r="J468" s="1647"/>
      <c r="K468" s="1647"/>
      <c r="L468" s="1586"/>
      <c r="M468" s="2174"/>
      <c r="N468" s="2174"/>
      <c r="O468" s="836"/>
      <c r="P468" s="2174"/>
      <c r="Q468" s="836"/>
      <c r="R468" s="309"/>
      <c r="S468" s="309"/>
      <c r="T468" s="309"/>
      <c r="U468" s="309"/>
      <c r="V468" s="311"/>
      <c r="W468" s="311"/>
      <c r="X468" s="1647"/>
      <c r="Y468" s="311"/>
      <c r="Z468" s="311"/>
      <c r="AA468" s="311"/>
      <c r="AB468" s="311"/>
      <c r="AC468" s="311"/>
      <c r="AD468" s="311"/>
      <c r="AE468" s="311"/>
      <c r="AF468" s="311"/>
      <c r="AG468" s="311"/>
      <c r="AH468" s="311"/>
      <c r="AI468" s="311"/>
      <c r="AJ468" s="311"/>
      <c r="AK468" s="311"/>
      <c r="AL468" s="311"/>
      <c r="AM468" s="311"/>
    </row>
    <row r="469" spans="1:39" ht="15.75" customHeight="1">
      <c r="A469" s="1647"/>
      <c r="B469" s="311"/>
      <c r="C469" s="1647"/>
      <c r="D469" s="2173"/>
      <c r="E469" s="1586"/>
      <c r="F469" s="1954"/>
      <c r="G469" s="1586"/>
      <c r="H469" s="1586"/>
      <c r="I469" s="1647"/>
      <c r="J469" s="1647"/>
      <c r="K469" s="1647"/>
      <c r="L469" s="1586"/>
      <c r="M469" s="2174"/>
      <c r="N469" s="2174"/>
      <c r="O469" s="836"/>
      <c r="P469" s="2174"/>
      <c r="Q469" s="836"/>
      <c r="R469" s="309"/>
      <c r="S469" s="309"/>
      <c r="T469" s="309"/>
      <c r="U469" s="309"/>
      <c r="V469" s="311"/>
      <c r="W469" s="311"/>
      <c r="X469" s="1647"/>
      <c r="Y469" s="311"/>
      <c r="Z469" s="311"/>
      <c r="AA469" s="311"/>
      <c r="AB469" s="311"/>
      <c r="AC469" s="311"/>
      <c r="AD469" s="311"/>
      <c r="AE469" s="311"/>
      <c r="AF469" s="311"/>
      <c r="AG469" s="311"/>
      <c r="AH469" s="311"/>
      <c r="AI469" s="311"/>
      <c r="AJ469" s="311"/>
      <c r="AK469" s="311"/>
      <c r="AL469" s="311"/>
      <c r="AM469" s="311"/>
    </row>
    <row r="470" spans="1:39" ht="15.75" customHeight="1">
      <c r="A470" s="1647"/>
      <c r="B470" s="311"/>
      <c r="C470" s="1647"/>
      <c r="D470" s="2173"/>
      <c r="E470" s="1586"/>
      <c r="F470" s="1954"/>
      <c r="G470" s="1586"/>
      <c r="H470" s="1586"/>
      <c r="I470" s="1647"/>
      <c r="J470" s="1647"/>
      <c r="K470" s="1647"/>
      <c r="L470" s="1586"/>
      <c r="M470" s="2174"/>
      <c r="N470" s="2174"/>
      <c r="O470" s="836"/>
      <c r="P470" s="2174"/>
      <c r="Q470" s="836"/>
      <c r="R470" s="309"/>
      <c r="S470" s="309"/>
      <c r="T470" s="309"/>
      <c r="U470" s="309"/>
      <c r="V470" s="311"/>
      <c r="W470" s="311"/>
      <c r="X470" s="1647"/>
      <c r="Y470" s="311"/>
      <c r="Z470" s="311"/>
      <c r="AA470" s="311"/>
      <c r="AB470" s="311"/>
      <c r="AC470" s="311"/>
      <c r="AD470" s="311"/>
      <c r="AE470" s="311"/>
      <c r="AF470" s="311"/>
      <c r="AG470" s="311"/>
      <c r="AH470" s="311"/>
      <c r="AI470" s="311"/>
      <c r="AJ470" s="311"/>
      <c r="AK470" s="311"/>
      <c r="AL470" s="311"/>
      <c r="AM470" s="311"/>
    </row>
    <row r="471" spans="1:39" ht="15.75" customHeight="1">
      <c r="A471" s="1647"/>
      <c r="B471" s="311"/>
      <c r="C471" s="1647"/>
      <c r="D471" s="2173"/>
      <c r="E471" s="1586"/>
      <c r="F471" s="1954"/>
      <c r="G471" s="1586"/>
      <c r="H471" s="1586"/>
      <c r="I471" s="1647"/>
      <c r="J471" s="1647"/>
      <c r="K471" s="1647"/>
      <c r="L471" s="1586"/>
      <c r="M471" s="2174"/>
      <c r="N471" s="2174"/>
      <c r="O471" s="836"/>
      <c r="P471" s="2174"/>
      <c r="Q471" s="836"/>
      <c r="R471" s="309"/>
      <c r="S471" s="309"/>
      <c r="T471" s="309"/>
      <c r="U471" s="309"/>
      <c r="V471" s="311"/>
      <c r="W471" s="311"/>
      <c r="X471" s="1647"/>
      <c r="Y471" s="311"/>
      <c r="Z471" s="311"/>
      <c r="AA471" s="311"/>
      <c r="AB471" s="311"/>
      <c r="AC471" s="311"/>
      <c r="AD471" s="311"/>
      <c r="AE471" s="311"/>
      <c r="AF471" s="311"/>
      <c r="AG471" s="311"/>
      <c r="AH471" s="311"/>
      <c r="AI471" s="311"/>
      <c r="AJ471" s="311"/>
      <c r="AK471" s="311"/>
      <c r="AL471" s="311"/>
      <c r="AM471" s="311"/>
    </row>
    <row r="472" spans="1:39" ht="15.75" customHeight="1">
      <c r="A472" s="1647"/>
      <c r="B472" s="311"/>
      <c r="C472" s="1647"/>
      <c r="D472" s="2173"/>
      <c r="E472" s="1586"/>
      <c r="F472" s="1954"/>
      <c r="G472" s="1586"/>
      <c r="H472" s="1586"/>
      <c r="I472" s="1647"/>
      <c r="J472" s="1647"/>
      <c r="K472" s="1647"/>
      <c r="L472" s="1586"/>
      <c r="M472" s="2174"/>
      <c r="N472" s="2174"/>
      <c r="O472" s="836"/>
      <c r="P472" s="2174"/>
      <c r="Q472" s="836"/>
      <c r="R472" s="309"/>
      <c r="S472" s="309"/>
      <c r="T472" s="309"/>
      <c r="U472" s="309"/>
      <c r="V472" s="311"/>
      <c r="W472" s="311"/>
      <c r="X472" s="1647"/>
      <c r="Y472" s="311"/>
      <c r="Z472" s="311"/>
      <c r="AA472" s="311"/>
      <c r="AB472" s="311"/>
      <c r="AC472" s="311"/>
      <c r="AD472" s="311"/>
      <c r="AE472" s="311"/>
      <c r="AF472" s="311"/>
      <c r="AG472" s="311"/>
      <c r="AH472" s="311"/>
      <c r="AI472" s="311"/>
      <c r="AJ472" s="311"/>
      <c r="AK472" s="311"/>
      <c r="AL472" s="311"/>
      <c r="AM472" s="311"/>
    </row>
    <row r="473" spans="1:39" ht="15.75" customHeight="1">
      <c r="A473" s="1647"/>
      <c r="B473" s="311"/>
      <c r="C473" s="1647"/>
      <c r="D473" s="2173"/>
      <c r="E473" s="1586"/>
      <c r="F473" s="1954"/>
      <c r="G473" s="1586"/>
      <c r="H473" s="1586"/>
      <c r="I473" s="1647"/>
      <c r="J473" s="1647"/>
      <c r="K473" s="1647"/>
      <c r="L473" s="1586"/>
      <c r="M473" s="2174"/>
      <c r="N473" s="2174"/>
      <c r="O473" s="836"/>
      <c r="P473" s="2174"/>
      <c r="Q473" s="836"/>
      <c r="R473" s="309"/>
      <c r="S473" s="309"/>
      <c r="T473" s="309"/>
      <c r="U473" s="309"/>
      <c r="V473" s="311"/>
      <c r="W473" s="311"/>
      <c r="X473" s="1647"/>
      <c r="Y473" s="311"/>
      <c r="Z473" s="311"/>
      <c r="AA473" s="311"/>
      <c r="AB473" s="311"/>
      <c r="AC473" s="311"/>
      <c r="AD473" s="311"/>
      <c r="AE473" s="311"/>
      <c r="AF473" s="311"/>
      <c r="AG473" s="311"/>
      <c r="AH473" s="311"/>
      <c r="AI473" s="311"/>
      <c r="AJ473" s="311"/>
      <c r="AK473" s="311"/>
      <c r="AL473" s="311"/>
      <c r="AM473" s="311"/>
    </row>
    <row r="474" spans="1:39" ht="15.75" customHeight="1">
      <c r="A474" s="1647"/>
      <c r="B474" s="311"/>
      <c r="C474" s="1647"/>
      <c r="D474" s="2173"/>
      <c r="E474" s="1586"/>
      <c r="F474" s="1954"/>
      <c r="G474" s="1586"/>
      <c r="H474" s="1586"/>
      <c r="I474" s="1647"/>
      <c r="J474" s="1647"/>
      <c r="K474" s="1647"/>
      <c r="L474" s="1586"/>
      <c r="M474" s="2174"/>
      <c r="N474" s="2174"/>
      <c r="O474" s="836"/>
      <c r="P474" s="2174"/>
      <c r="Q474" s="836"/>
      <c r="R474" s="309"/>
      <c r="S474" s="309"/>
      <c r="T474" s="309"/>
      <c r="U474" s="309"/>
      <c r="V474" s="311"/>
      <c r="W474" s="311"/>
      <c r="X474" s="1647"/>
      <c r="Y474" s="311"/>
      <c r="Z474" s="311"/>
      <c r="AA474" s="311"/>
      <c r="AB474" s="311"/>
      <c r="AC474" s="311"/>
      <c r="AD474" s="311"/>
      <c r="AE474" s="311"/>
      <c r="AF474" s="311"/>
      <c r="AG474" s="311"/>
      <c r="AH474" s="311"/>
      <c r="AI474" s="311"/>
      <c r="AJ474" s="311"/>
      <c r="AK474" s="311"/>
      <c r="AL474" s="311"/>
      <c r="AM474" s="311"/>
    </row>
    <row r="475" spans="1:39" ht="15.75" customHeight="1">
      <c r="A475" s="1647"/>
      <c r="B475" s="311"/>
      <c r="C475" s="1647"/>
      <c r="D475" s="2173"/>
      <c r="E475" s="1586"/>
      <c r="F475" s="1954"/>
      <c r="G475" s="1586"/>
      <c r="H475" s="1586"/>
      <c r="I475" s="1647"/>
      <c r="J475" s="1647"/>
      <c r="K475" s="1647"/>
      <c r="L475" s="1586"/>
      <c r="M475" s="2174"/>
      <c r="N475" s="2174"/>
      <c r="O475" s="836"/>
      <c r="P475" s="2174"/>
      <c r="Q475" s="836"/>
      <c r="R475" s="309"/>
      <c r="S475" s="309"/>
      <c r="T475" s="309"/>
      <c r="U475" s="309"/>
      <c r="V475" s="311"/>
      <c r="W475" s="311"/>
      <c r="X475" s="1647"/>
      <c r="Y475" s="311"/>
      <c r="Z475" s="311"/>
      <c r="AA475" s="311"/>
      <c r="AB475" s="311"/>
      <c r="AC475" s="311"/>
      <c r="AD475" s="311"/>
      <c r="AE475" s="311"/>
      <c r="AF475" s="311"/>
      <c r="AG475" s="311"/>
      <c r="AH475" s="311"/>
      <c r="AI475" s="311"/>
      <c r="AJ475" s="311"/>
      <c r="AK475" s="311"/>
      <c r="AL475" s="311"/>
      <c r="AM475" s="311"/>
    </row>
    <row r="476" spans="1:39" ht="15.75" customHeight="1">
      <c r="A476" s="1647"/>
      <c r="B476" s="311"/>
      <c r="C476" s="1647"/>
      <c r="D476" s="2173"/>
      <c r="E476" s="1586"/>
      <c r="F476" s="1954"/>
      <c r="G476" s="1586"/>
      <c r="H476" s="1586"/>
      <c r="I476" s="1647"/>
      <c r="J476" s="1647"/>
      <c r="K476" s="1647"/>
      <c r="L476" s="1586"/>
      <c r="M476" s="2174"/>
      <c r="N476" s="2174"/>
      <c r="O476" s="836"/>
      <c r="P476" s="2174"/>
      <c r="Q476" s="836"/>
      <c r="R476" s="309"/>
      <c r="S476" s="309"/>
      <c r="T476" s="309"/>
      <c r="U476" s="309"/>
      <c r="V476" s="311"/>
      <c r="W476" s="311"/>
      <c r="X476" s="1647"/>
      <c r="Y476" s="311"/>
      <c r="Z476" s="311"/>
      <c r="AA476" s="311"/>
      <c r="AB476" s="311"/>
      <c r="AC476" s="311"/>
      <c r="AD476" s="311"/>
      <c r="AE476" s="311"/>
      <c r="AF476" s="311"/>
      <c r="AG476" s="311"/>
      <c r="AH476" s="311"/>
      <c r="AI476" s="311"/>
      <c r="AJ476" s="311"/>
      <c r="AK476" s="311"/>
      <c r="AL476" s="311"/>
      <c r="AM476" s="311"/>
    </row>
    <row r="477" spans="1:39" ht="15.75" customHeight="1">
      <c r="A477" s="1647"/>
      <c r="B477" s="311"/>
      <c r="C477" s="1647"/>
      <c r="D477" s="2173"/>
      <c r="E477" s="1586"/>
      <c r="F477" s="1954"/>
      <c r="G477" s="1586"/>
      <c r="H477" s="1586"/>
      <c r="I477" s="1647"/>
      <c r="J477" s="1647"/>
      <c r="K477" s="1647"/>
      <c r="L477" s="1586"/>
      <c r="M477" s="2174"/>
      <c r="N477" s="2174"/>
      <c r="O477" s="836"/>
      <c r="P477" s="2174"/>
      <c r="Q477" s="836"/>
      <c r="R477" s="309"/>
      <c r="S477" s="309"/>
      <c r="T477" s="309"/>
      <c r="U477" s="309"/>
      <c r="V477" s="311"/>
      <c r="W477" s="311"/>
      <c r="X477" s="1647"/>
      <c r="Y477" s="311"/>
      <c r="Z477" s="311"/>
      <c r="AA477" s="311"/>
      <c r="AB477" s="311"/>
      <c r="AC477" s="311"/>
      <c r="AD477" s="311"/>
      <c r="AE477" s="311"/>
      <c r="AF477" s="311"/>
      <c r="AG477" s="311"/>
      <c r="AH477" s="311"/>
      <c r="AI477" s="311"/>
      <c r="AJ477" s="311"/>
      <c r="AK477" s="311"/>
      <c r="AL477" s="311"/>
      <c r="AM477" s="311"/>
    </row>
    <row r="478" spans="1:39" ht="15.75" customHeight="1">
      <c r="A478" s="1647"/>
      <c r="B478" s="311"/>
      <c r="C478" s="1647"/>
      <c r="D478" s="2173"/>
      <c r="E478" s="1586"/>
      <c r="F478" s="1954"/>
      <c r="G478" s="1586"/>
      <c r="H478" s="1586"/>
      <c r="I478" s="1647"/>
      <c r="J478" s="1647"/>
      <c r="K478" s="1647"/>
      <c r="L478" s="1586"/>
      <c r="M478" s="2174"/>
      <c r="N478" s="2174"/>
      <c r="O478" s="836"/>
      <c r="P478" s="2174"/>
      <c r="Q478" s="836"/>
      <c r="R478" s="309"/>
      <c r="S478" s="309"/>
      <c r="T478" s="309"/>
      <c r="U478" s="309"/>
      <c r="V478" s="311"/>
      <c r="W478" s="311"/>
      <c r="X478" s="1647"/>
      <c r="Y478" s="311"/>
      <c r="Z478" s="311"/>
      <c r="AA478" s="311"/>
      <c r="AB478" s="311"/>
      <c r="AC478" s="311"/>
      <c r="AD478" s="311"/>
      <c r="AE478" s="311"/>
      <c r="AF478" s="311"/>
      <c r="AG478" s="311"/>
      <c r="AH478" s="311"/>
      <c r="AI478" s="311"/>
      <c r="AJ478" s="311"/>
      <c r="AK478" s="311"/>
      <c r="AL478" s="311"/>
      <c r="AM478" s="311"/>
    </row>
    <row r="479" spans="1:39" ht="15.75" customHeight="1">
      <c r="A479" s="1647"/>
      <c r="B479" s="311"/>
      <c r="C479" s="1647"/>
      <c r="D479" s="2173"/>
      <c r="E479" s="1586"/>
      <c r="F479" s="1954"/>
      <c r="G479" s="1586"/>
      <c r="H479" s="1586"/>
      <c r="I479" s="1647"/>
      <c r="J479" s="1647"/>
      <c r="K479" s="1647"/>
      <c r="L479" s="1586"/>
      <c r="M479" s="2174"/>
      <c r="N479" s="2174"/>
      <c r="O479" s="836"/>
      <c r="P479" s="2174"/>
      <c r="Q479" s="836"/>
      <c r="R479" s="309"/>
      <c r="S479" s="309"/>
      <c r="T479" s="309"/>
      <c r="U479" s="309"/>
      <c r="V479" s="311"/>
      <c r="W479" s="311"/>
      <c r="X479" s="1647"/>
      <c r="Y479" s="311"/>
      <c r="Z479" s="311"/>
      <c r="AA479" s="311"/>
      <c r="AB479" s="311"/>
      <c r="AC479" s="311"/>
      <c r="AD479" s="311"/>
      <c r="AE479" s="311"/>
      <c r="AF479" s="311"/>
      <c r="AG479" s="311"/>
      <c r="AH479" s="311"/>
      <c r="AI479" s="311"/>
      <c r="AJ479" s="311"/>
      <c r="AK479" s="311"/>
      <c r="AL479" s="311"/>
      <c r="AM479" s="311"/>
    </row>
    <row r="480" spans="1:39" ht="15.75" customHeight="1">
      <c r="A480" s="1647"/>
      <c r="B480" s="311"/>
      <c r="C480" s="1647"/>
      <c r="D480" s="2173"/>
      <c r="E480" s="1586"/>
      <c r="F480" s="1954"/>
      <c r="G480" s="1586"/>
      <c r="H480" s="1586"/>
      <c r="I480" s="1647"/>
      <c r="J480" s="1647"/>
      <c r="K480" s="1647"/>
      <c r="L480" s="1586"/>
      <c r="M480" s="2174"/>
      <c r="N480" s="2174"/>
      <c r="O480" s="836"/>
      <c r="P480" s="2174"/>
      <c r="Q480" s="836"/>
      <c r="R480" s="309"/>
      <c r="S480" s="309"/>
      <c r="T480" s="309"/>
      <c r="U480" s="309"/>
      <c r="V480" s="311"/>
      <c r="W480" s="311"/>
      <c r="X480" s="1647"/>
      <c r="Y480" s="311"/>
      <c r="Z480" s="311"/>
      <c r="AA480" s="311"/>
      <c r="AB480" s="311"/>
      <c r="AC480" s="311"/>
      <c r="AD480" s="311"/>
      <c r="AE480" s="311"/>
      <c r="AF480" s="311"/>
      <c r="AG480" s="311"/>
      <c r="AH480" s="311"/>
      <c r="AI480" s="311"/>
      <c r="AJ480" s="311"/>
      <c r="AK480" s="311"/>
      <c r="AL480" s="311"/>
      <c r="AM480" s="311"/>
    </row>
    <row r="481" spans="1:39" ht="15.75" customHeight="1">
      <c r="A481" s="1647"/>
      <c r="B481" s="311"/>
      <c r="C481" s="1647"/>
      <c r="D481" s="2173"/>
      <c r="E481" s="1586"/>
      <c r="F481" s="1954"/>
      <c r="G481" s="1586"/>
      <c r="H481" s="1586"/>
      <c r="I481" s="1647"/>
      <c r="J481" s="1647"/>
      <c r="K481" s="1647"/>
      <c r="L481" s="1586"/>
      <c r="M481" s="2174"/>
      <c r="N481" s="2174"/>
      <c r="O481" s="836"/>
      <c r="P481" s="2174"/>
      <c r="Q481" s="836"/>
      <c r="R481" s="309"/>
      <c r="S481" s="309"/>
      <c r="T481" s="309"/>
      <c r="U481" s="309"/>
      <c r="V481" s="311"/>
      <c r="W481" s="311"/>
      <c r="X481" s="1647"/>
      <c r="Y481" s="311"/>
      <c r="Z481" s="311"/>
      <c r="AA481" s="311"/>
      <c r="AB481" s="311"/>
      <c r="AC481" s="311"/>
      <c r="AD481" s="311"/>
      <c r="AE481" s="311"/>
      <c r="AF481" s="311"/>
      <c r="AG481" s="311"/>
      <c r="AH481" s="311"/>
      <c r="AI481" s="311"/>
      <c r="AJ481" s="311"/>
      <c r="AK481" s="311"/>
      <c r="AL481" s="311"/>
      <c r="AM481" s="311"/>
    </row>
    <row r="482" spans="1:39" ht="15.75" customHeight="1">
      <c r="A482" s="1647"/>
      <c r="B482" s="311"/>
      <c r="C482" s="1647"/>
      <c r="D482" s="2173"/>
      <c r="E482" s="1586"/>
      <c r="F482" s="1954"/>
      <c r="G482" s="1586"/>
      <c r="H482" s="1586"/>
      <c r="I482" s="1647"/>
      <c r="J482" s="1647"/>
      <c r="K482" s="1647"/>
      <c r="L482" s="1586"/>
      <c r="M482" s="2174"/>
      <c r="N482" s="2174"/>
      <c r="O482" s="836"/>
      <c r="P482" s="2174"/>
      <c r="Q482" s="836"/>
      <c r="R482" s="309"/>
      <c r="S482" s="309"/>
      <c r="T482" s="309"/>
      <c r="U482" s="309"/>
      <c r="V482" s="311"/>
      <c r="W482" s="311"/>
      <c r="X482" s="1647"/>
      <c r="Y482" s="311"/>
      <c r="Z482" s="311"/>
      <c r="AA482" s="311"/>
      <c r="AB482" s="311"/>
      <c r="AC482" s="311"/>
      <c r="AD482" s="311"/>
      <c r="AE482" s="311"/>
      <c r="AF482" s="311"/>
      <c r="AG482" s="311"/>
      <c r="AH482" s="311"/>
      <c r="AI482" s="311"/>
      <c r="AJ482" s="311"/>
      <c r="AK482" s="311"/>
      <c r="AL482" s="311"/>
      <c r="AM482" s="311"/>
    </row>
    <row r="483" spans="1:39" ht="15.75" customHeight="1">
      <c r="A483" s="1647"/>
      <c r="B483" s="311"/>
      <c r="C483" s="1647"/>
      <c r="D483" s="2173"/>
      <c r="E483" s="1586"/>
      <c r="F483" s="1954"/>
      <c r="G483" s="1586"/>
      <c r="H483" s="1586"/>
      <c r="I483" s="1647"/>
      <c r="J483" s="1647"/>
      <c r="K483" s="1647"/>
      <c r="L483" s="1586"/>
      <c r="M483" s="2174"/>
      <c r="N483" s="2174"/>
      <c r="O483" s="836"/>
      <c r="P483" s="2174"/>
      <c r="Q483" s="836"/>
      <c r="R483" s="309"/>
      <c r="S483" s="309"/>
      <c r="T483" s="309"/>
      <c r="U483" s="309"/>
      <c r="V483" s="311"/>
      <c r="W483" s="311"/>
      <c r="X483" s="1647"/>
      <c r="Y483" s="311"/>
      <c r="Z483" s="311"/>
      <c r="AA483" s="311"/>
      <c r="AB483" s="311"/>
      <c r="AC483" s="311"/>
      <c r="AD483" s="311"/>
      <c r="AE483" s="311"/>
      <c r="AF483" s="311"/>
      <c r="AG483" s="311"/>
      <c r="AH483" s="311"/>
      <c r="AI483" s="311"/>
      <c r="AJ483" s="311"/>
      <c r="AK483" s="311"/>
      <c r="AL483" s="311"/>
      <c r="AM483" s="311"/>
    </row>
    <row r="484" spans="1:39" ht="15.75" customHeight="1">
      <c r="A484" s="1647"/>
      <c r="B484" s="311"/>
      <c r="C484" s="1647"/>
      <c r="D484" s="2173"/>
      <c r="E484" s="1586"/>
      <c r="F484" s="1954"/>
      <c r="G484" s="1586"/>
      <c r="H484" s="1586"/>
      <c r="I484" s="1647"/>
      <c r="J484" s="1647"/>
      <c r="K484" s="1647"/>
      <c r="L484" s="1586"/>
      <c r="M484" s="2174"/>
      <c r="N484" s="2174"/>
      <c r="O484" s="836"/>
      <c r="P484" s="2174"/>
      <c r="Q484" s="836"/>
      <c r="R484" s="309"/>
      <c r="S484" s="309"/>
      <c r="T484" s="309"/>
      <c r="U484" s="309"/>
      <c r="V484" s="311"/>
      <c r="W484" s="311"/>
      <c r="X484" s="1647"/>
      <c r="Y484" s="311"/>
      <c r="Z484" s="311"/>
      <c r="AA484" s="311"/>
      <c r="AB484" s="311"/>
      <c r="AC484" s="311"/>
      <c r="AD484" s="311"/>
      <c r="AE484" s="311"/>
      <c r="AF484" s="311"/>
      <c r="AG484" s="311"/>
      <c r="AH484" s="311"/>
      <c r="AI484" s="311"/>
      <c r="AJ484" s="311"/>
      <c r="AK484" s="311"/>
      <c r="AL484" s="311"/>
      <c r="AM484" s="311"/>
    </row>
    <row r="485" spans="1:39" ht="15.75" customHeight="1">
      <c r="A485" s="1647"/>
      <c r="B485" s="311"/>
      <c r="C485" s="1647"/>
      <c r="D485" s="2173"/>
      <c r="E485" s="1586"/>
      <c r="F485" s="1954"/>
      <c r="G485" s="1586"/>
      <c r="H485" s="1586"/>
      <c r="I485" s="1647"/>
      <c r="J485" s="1647"/>
      <c r="K485" s="1647"/>
      <c r="L485" s="1586"/>
      <c r="M485" s="2174"/>
      <c r="N485" s="2174"/>
      <c r="O485" s="836"/>
      <c r="P485" s="2174"/>
      <c r="Q485" s="836"/>
      <c r="R485" s="309"/>
      <c r="S485" s="309"/>
      <c r="T485" s="309"/>
      <c r="U485" s="309"/>
      <c r="V485" s="311"/>
      <c r="W485" s="311"/>
      <c r="X485" s="1647"/>
      <c r="Y485" s="311"/>
      <c r="Z485" s="311"/>
      <c r="AA485" s="311"/>
      <c r="AB485" s="311"/>
      <c r="AC485" s="311"/>
      <c r="AD485" s="311"/>
      <c r="AE485" s="311"/>
      <c r="AF485" s="311"/>
      <c r="AG485" s="311"/>
      <c r="AH485" s="311"/>
      <c r="AI485" s="311"/>
      <c r="AJ485" s="311"/>
      <c r="AK485" s="311"/>
      <c r="AL485" s="311"/>
      <c r="AM485" s="311"/>
    </row>
    <row r="486" spans="1:39" ht="15.75" customHeight="1">
      <c r="A486" s="1647"/>
      <c r="B486" s="311"/>
      <c r="C486" s="1647"/>
      <c r="D486" s="2173"/>
      <c r="E486" s="1586"/>
      <c r="F486" s="1954"/>
      <c r="G486" s="1586"/>
      <c r="H486" s="1586"/>
      <c r="I486" s="1647"/>
      <c r="J486" s="1647"/>
      <c r="K486" s="1647"/>
      <c r="L486" s="1586"/>
      <c r="M486" s="2174"/>
      <c r="N486" s="2174"/>
      <c r="O486" s="836"/>
      <c r="P486" s="2174"/>
      <c r="Q486" s="836"/>
      <c r="R486" s="309"/>
      <c r="S486" s="309"/>
      <c r="T486" s="309"/>
      <c r="U486" s="309"/>
      <c r="V486" s="311"/>
      <c r="W486" s="311"/>
      <c r="X486" s="1647"/>
      <c r="Y486" s="311"/>
      <c r="Z486" s="311"/>
      <c r="AA486" s="311"/>
      <c r="AB486" s="311"/>
      <c r="AC486" s="311"/>
      <c r="AD486" s="311"/>
      <c r="AE486" s="311"/>
      <c r="AF486" s="311"/>
      <c r="AG486" s="311"/>
      <c r="AH486" s="311"/>
      <c r="AI486" s="311"/>
      <c r="AJ486" s="311"/>
      <c r="AK486" s="311"/>
      <c r="AL486" s="311"/>
      <c r="AM486" s="311"/>
    </row>
    <row r="487" spans="1:39" ht="15.75" customHeight="1">
      <c r="A487" s="1647"/>
      <c r="B487" s="311"/>
      <c r="C487" s="1647"/>
      <c r="D487" s="2173"/>
      <c r="E487" s="1586"/>
      <c r="F487" s="1954"/>
      <c r="G487" s="1586"/>
      <c r="H487" s="1586"/>
      <c r="I487" s="1647"/>
      <c r="J487" s="1647"/>
      <c r="K487" s="1647"/>
      <c r="L487" s="1586"/>
      <c r="M487" s="2174"/>
      <c r="N487" s="2174"/>
      <c r="O487" s="836"/>
      <c r="P487" s="2174"/>
      <c r="Q487" s="836"/>
      <c r="R487" s="309"/>
      <c r="S487" s="309"/>
      <c r="T487" s="309"/>
      <c r="U487" s="309"/>
      <c r="V487" s="311"/>
      <c r="W487" s="311"/>
      <c r="X487" s="1647"/>
      <c r="Y487" s="311"/>
      <c r="Z487" s="311"/>
      <c r="AA487" s="311"/>
      <c r="AB487" s="311"/>
      <c r="AC487" s="311"/>
      <c r="AD487" s="311"/>
      <c r="AE487" s="311"/>
      <c r="AF487" s="311"/>
      <c r="AG487" s="311"/>
      <c r="AH487" s="311"/>
      <c r="AI487" s="311"/>
      <c r="AJ487" s="311"/>
      <c r="AK487" s="311"/>
      <c r="AL487" s="311"/>
      <c r="AM487" s="311"/>
    </row>
    <row r="488" spans="1:39" ht="15.75" customHeight="1">
      <c r="A488" s="1647"/>
      <c r="B488" s="311"/>
      <c r="C488" s="1647"/>
      <c r="D488" s="2173"/>
      <c r="E488" s="1586"/>
      <c r="F488" s="1954"/>
      <c r="G488" s="1586"/>
      <c r="H488" s="1586"/>
      <c r="I488" s="1647"/>
      <c r="J488" s="1647"/>
      <c r="K488" s="1647"/>
      <c r="L488" s="1586"/>
      <c r="M488" s="2174"/>
      <c r="N488" s="2174"/>
      <c r="O488" s="836"/>
      <c r="P488" s="2174"/>
      <c r="Q488" s="836"/>
      <c r="R488" s="309"/>
      <c r="S488" s="309"/>
      <c r="T488" s="309"/>
      <c r="U488" s="309"/>
      <c r="V488" s="311"/>
      <c r="W488" s="311"/>
      <c r="X488" s="1647"/>
      <c r="Y488" s="311"/>
      <c r="Z488" s="311"/>
      <c r="AA488" s="311"/>
      <c r="AB488" s="311"/>
      <c r="AC488" s="311"/>
      <c r="AD488" s="311"/>
      <c r="AE488" s="311"/>
      <c r="AF488" s="311"/>
      <c r="AG488" s="311"/>
      <c r="AH488" s="311"/>
      <c r="AI488" s="311"/>
      <c r="AJ488" s="311"/>
      <c r="AK488" s="311"/>
      <c r="AL488" s="311"/>
      <c r="AM488" s="311"/>
    </row>
    <row r="489" spans="1:39" ht="15.75" customHeight="1">
      <c r="A489" s="1647"/>
      <c r="B489" s="311"/>
      <c r="C489" s="1647"/>
      <c r="D489" s="2173"/>
      <c r="E489" s="1586"/>
      <c r="F489" s="1954"/>
      <c r="G489" s="1586"/>
      <c r="H489" s="1586"/>
      <c r="I489" s="1647"/>
      <c r="J489" s="1647"/>
      <c r="K489" s="1647"/>
      <c r="L489" s="1586"/>
      <c r="M489" s="2174"/>
      <c r="N489" s="2174"/>
      <c r="O489" s="836"/>
      <c r="P489" s="2174"/>
      <c r="Q489" s="836"/>
      <c r="R489" s="309"/>
      <c r="S489" s="309"/>
      <c r="T489" s="309"/>
      <c r="U489" s="309"/>
      <c r="V489" s="311"/>
      <c r="W489" s="311"/>
      <c r="X489" s="1647"/>
      <c r="Y489" s="311"/>
      <c r="Z489" s="311"/>
      <c r="AA489" s="311"/>
      <c r="AB489" s="311"/>
      <c r="AC489" s="311"/>
      <c r="AD489" s="311"/>
      <c r="AE489" s="311"/>
      <c r="AF489" s="311"/>
      <c r="AG489" s="311"/>
      <c r="AH489" s="311"/>
      <c r="AI489" s="311"/>
      <c r="AJ489" s="311"/>
      <c r="AK489" s="311"/>
      <c r="AL489" s="311"/>
      <c r="AM489" s="311"/>
    </row>
    <row r="490" spans="1:39" ht="15.75" customHeight="1">
      <c r="A490" s="1647"/>
      <c r="B490" s="311"/>
      <c r="C490" s="1647"/>
      <c r="D490" s="2173"/>
      <c r="E490" s="1586"/>
      <c r="F490" s="1954"/>
      <c r="G490" s="1586"/>
      <c r="H490" s="1586"/>
      <c r="I490" s="1647"/>
      <c r="J490" s="1647"/>
      <c r="K490" s="1647"/>
      <c r="L490" s="1586"/>
      <c r="M490" s="2174"/>
      <c r="N490" s="2174"/>
      <c r="O490" s="836"/>
      <c r="P490" s="2174"/>
      <c r="Q490" s="836"/>
      <c r="R490" s="309"/>
      <c r="S490" s="309"/>
      <c r="T490" s="309"/>
      <c r="U490" s="309"/>
      <c r="V490" s="311"/>
      <c r="W490" s="311"/>
      <c r="X490" s="1647"/>
      <c r="Y490" s="311"/>
      <c r="Z490" s="311"/>
      <c r="AA490" s="311"/>
      <c r="AB490" s="311"/>
      <c r="AC490" s="311"/>
      <c r="AD490" s="311"/>
      <c r="AE490" s="311"/>
      <c r="AF490" s="311"/>
      <c r="AG490" s="311"/>
      <c r="AH490" s="311"/>
      <c r="AI490" s="311"/>
      <c r="AJ490" s="311"/>
      <c r="AK490" s="311"/>
      <c r="AL490" s="311"/>
      <c r="AM490" s="311"/>
    </row>
    <row r="491" spans="1:39" ht="15.75" customHeight="1">
      <c r="A491" s="1647"/>
      <c r="B491" s="311"/>
      <c r="C491" s="1647"/>
      <c r="D491" s="2173"/>
      <c r="E491" s="1586"/>
      <c r="F491" s="1954"/>
      <c r="G491" s="1586"/>
      <c r="H491" s="1586"/>
      <c r="I491" s="1647"/>
      <c r="J491" s="1647"/>
      <c r="K491" s="1647"/>
      <c r="L491" s="1586"/>
      <c r="M491" s="2174"/>
      <c r="N491" s="2174"/>
      <c r="O491" s="836"/>
      <c r="P491" s="2174"/>
      <c r="Q491" s="836"/>
      <c r="R491" s="309"/>
      <c r="S491" s="309"/>
      <c r="T491" s="309"/>
      <c r="U491" s="309"/>
      <c r="V491" s="311"/>
      <c r="W491" s="311"/>
      <c r="X491" s="1647"/>
      <c r="Y491" s="311"/>
      <c r="Z491" s="311"/>
      <c r="AA491" s="311"/>
      <c r="AB491" s="311"/>
      <c r="AC491" s="311"/>
      <c r="AD491" s="311"/>
      <c r="AE491" s="311"/>
      <c r="AF491" s="311"/>
      <c r="AG491" s="311"/>
      <c r="AH491" s="311"/>
      <c r="AI491" s="311"/>
      <c r="AJ491" s="311"/>
      <c r="AK491" s="311"/>
      <c r="AL491" s="311"/>
      <c r="AM491" s="311"/>
    </row>
    <row r="492" spans="1:39" ht="15.75" customHeight="1">
      <c r="A492" s="1647"/>
      <c r="B492" s="311"/>
      <c r="C492" s="1647"/>
      <c r="D492" s="2173"/>
      <c r="E492" s="1586"/>
      <c r="F492" s="1954"/>
      <c r="G492" s="1586"/>
      <c r="H492" s="1586"/>
      <c r="I492" s="1647"/>
      <c r="J492" s="1647"/>
      <c r="K492" s="1647"/>
      <c r="L492" s="1586"/>
      <c r="M492" s="2174"/>
      <c r="N492" s="2174"/>
      <c r="O492" s="836"/>
      <c r="P492" s="2174"/>
      <c r="Q492" s="836"/>
      <c r="R492" s="309"/>
      <c r="S492" s="309"/>
      <c r="T492" s="309"/>
      <c r="U492" s="309"/>
      <c r="V492" s="311"/>
      <c r="W492" s="311"/>
      <c r="X492" s="1647"/>
      <c r="Y492" s="311"/>
      <c r="Z492" s="311"/>
      <c r="AA492" s="311"/>
      <c r="AB492" s="311"/>
      <c r="AC492" s="311"/>
      <c r="AD492" s="311"/>
      <c r="AE492" s="311"/>
      <c r="AF492" s="311"/>
      <c r="AG492" s="311"/>
      <c r="AH492" s="311"/>
      <c r="AI492" s="311"/>
      <c r="AJ492" s="311"/>
      <c r="AK492" s="311"/>
      <c r="AL492" s="311"/>
      <c r="AM492" s="311"/>
    </row>
    <row r="493" spans="1:39" ht="15.75" customHeight="1">
      <c r="A493" s="1647"/>
      <c r="B493" s="311"/>
      <c r="C493" s="1647"/>
      <c r="D493" s="2173"/>
      <c r="E493" s="1586"/>
      <c r="F493" s="1954"/>
      <c r="G493" s="1586"/>
      <c r="H493" s="1586"/>
      <c r="I493" s="1647"/>
      <c r="J493" s="1647"/>
      <c r="K493" s="1647"/>
      <c r="L493" s="1586"/>
      <c r="M493" s="2174"/>
      <c r="N493" s="2174"/>
      <c r="O493" s="836"/>
      <c r="P493" s="2174"/>
      <c r="Q493" s="836"/>
      <c r="R493" s="309"/>
      <c r="S493" s="309"/>
      <c r="T493" s="309"/>
      <c r="U493" s="309"/>
      <c r="V493" s="311"/>
      <c r="W493" s="311"/>
      <c r="X493" s="1647"/>
      <c r="Y493" s="311"/>
      <c r="Z493" s="311"/>
      <c r="AA493" s="311"/>
      <c r="AB493" s="311"/>
      <c r="AC493" s="311"/>
      <c r="AD493" s="311"/>
      <c r="AE493" s="311"/>
      <c r="AF493" s="311"/>
      <c r="AG493" s="311"/>
      <c r="AH493" s="311"/>
      <c r="AI493" s="311"/>
      <c r="AJ493" s="311"/>
      <c r="AK493" s="311"/>
      <c r="AL493" s="311"/>
      <c r="AM493" s="311"/>
    </row>
    <row r="494" spans="1:39" ht="15.75" customHeight="1">
      <c r="A494" s="1647"/>
      <c r="B494" s="311"/>
      <c r="C494" s="1647"/>
      <c r="D494" s="2173"/>
      <c r="E494" s="1586"/>
      <c r="F494" s="1954"/>
      <c r="G494" s="1586"/>
      <c r="H494" s="1586"/>
      <c r="I494" s="1647"/>
      <c r="J494" s="1647"/>
      <c r="K494" s="1647"/>
      <c r="L494" s="1586"/>
      <c r="M494" s="2174"/>
      <c r="N494" s="2174"/>
      <c r="O494" s="836"/>
      <c r="P494" s="2174"/>
      <c r="Q494" s="836"/>
      <c r="R494" s="309"/>
      <c r="S494" s="309"/>
      <c r="T494" s="309"/>
      <c r="U494" s="309"/>
      <c r="V494" s="311"/>
      <c r="W494" s="311"/>
      <c r="X494" s="1647"/>
      <c r="Y494" s="311"/>
      <c r="Z494" s="311"/>
      <c r="AA494" s="311"/>
      <c r="AB494" s="311"/>
      <c r="AC494" s="311"/>
      <c r="AD494" s="311"/>
      <c r="AE494" s="311"/>
      <c r="AF494" s="311"/>
      <c r="AG494" s="311"/>
      <c r="AH494" s="311"/>
      <c r="AI494" s="311"/>
      <c r="AJ494" s="311"/>
      <c r="AK494" s="311"/>
      <c r="AL494" s="311"/>
      <c r="AM494" s="311"/>
    </row>
    <row r="495" spans="1:39" ht="15.75" customHeight="1">
      <c r="A495" s="1647"/>
      <c r="B495" s="311"/>
      <c r="C495" s="1647"/>
      <c r="D495" s="2173"/>
      <c r="E495" s="1586"/>
      <c r="F495" s="1954"/>
      <c r="G495" s="1586"/>
      <c r="H495" s="1586"/>
      <c r="I495" s="1647"/>
      <c r="J495" s="1647"/>
      <c r="K495" s="1647"/>
      <c r="L495" s="1586"/>
      <c r="M495" s="2174"/>
      <c r="N495" s="2174"/>
      <c r="O495" s="836"/>
      <c r="P495" s="2174"/>
      <c r="Q495" s="836"/>
      <c r="R495" s="309"/>
      <c r="S495" s="309"/>
      <c r="T495" s="309"/>
      <c r="U495" s="309"/>
      <c r="V495" s="311"/>
      <c r="W495" s="311"/>
      <c r="X495" s="1647"/>
      <c r="Y495" s="311"/>
      <c r="Z495" s="311"/>
      <c r="AA495" s="311"/>
      <c r="AB495" s="311"/>
      <c r="AC495" s="311"/>
      <c r="AD495" s="311"/>
      <c r="AE495" s="311"/>
      <c r="AF495" s="311"/>
      <c r="AG495" s="311"/>
      <c r="AH495" s="311"/>
      <c r="AI495" s="311"/>
      <c r="AJ495" s="311"/>
      <c r="AK495" s="311"/>
      <c r="AL495" s="311"/>
      <c r="AM495" s="311"/>
    </row>
    <row r="496" spans="1:39" ht="15.75" customHeight="1">
      <c r="A496" s="1647"/>
      <c r="B496" s="311"/>
      <c r="C496" s="1647"/>
      <c r="D496" s="2173"/>
      <c r="E496" s="1586"/>
      <c r="F496" s="1954"/>
      <c r="G496" s="1586"/>
      <c r="H496" s="1586"/>
      <c r="I496" s="1647"/>
      <c r="J496" s="1647"/>
      <c r="K496" s="1647"/>
      <c r="L496" s="1586"/>
      <c r="M496" s="2174"/>
      <c r="N496" s="2174"/>
      <c r="O496" s="836"/>
      <c r="P496" s="2174"/>
      <c r="Q496" s="836"/>
      <c r="R496" s="309"/>
      <c r="S496" s="309"/>
      <c r="T496" s="309"/>
      <c r="U496" s="309"/>
      <c r="V496" s="311"/>
      <c r="W496" s="311"/>
      <c r="X496" s="1647"/>
      <c r="Y496" s="311"/>
      <c r="Z496" s="311"/>
      <c r="AA496" s="311"/>
      <c r="AB496" s="311"/>
      <c r="AC496" s="311"/>
      <c r="AD496" s="311"/>
      <c r="AE496" s="311"/>
      <c r="AF496" s="311"/>
      <c r="AG496" s="311"/>
      <c r="AH496" s="311"/>
      <c r="AI496" s="311"/>
      <c r="AJ496" s="311"/>
      <c r="AK496" s="311"/>
      <c r="AL496" s="311"/>
      <c r="AM496" s="311"/>
    </row>
    <row r="497" spans="1:39" ht="15.75" customHeight="1">
      <c r="A497" s="1647"/>
      <c r="B497" s="311"/>
      <c r="C497" s="1647"/>
      <c r="D497" s="2173"/>
      <c r="E497" s="1586"/>
      <c r="F497" s="1954"/>
      <c r="G497" s="1586"/>
      <c r="H497" s="1586"/>
      <c r="I497" s="1647"/>
      <c r="J497" s="1647"/>
      <c r="K497" s="1647"/>
      <c r="L497" s="1586"/>
      <c r="M497" s="2174"/>
      <c r="N497" s="2174"/>
      <c r="O497" s="836"/>
      <c r="P497" s="2174"/>
      <c r="Q497" s="836"/>
      <c r="R497" s="309"/>
      <c r="S497" s="309"/>
      <c r="T497" s="309"/>
      <c r="U497" s="309"/>
      <c r="V497" s="311"/>
      <c r="W497" s="311"/>
      <c r="X497" s="1647"/>
      <c r="Y497" s="311"/>
      <c r="Z497" s="311"/>
      <c r="AA497" s="311"/>
      <c r="AB497" s="311"/>
      <c r="AC497" s="311"/>
      <c r="AD497" s="311"/>
      <c r="AE497" s="311"/>
      <c r="AF497" s="311"/>
      <c r="AG497" s="311"/>
      <c r="AH497" s="311"/>
      <c r="AI497" s="311"/>
      <c r="AJ497" s="311"/>
      <c r="AK497" s="311"/>
      <c r="AL497" s="311"/>
      <c r="AM497" s="311"/>
    </row>
    <row r="498" spans="1:39" ht="15.75" customHeight="1">
      <c r="A498" s="1647"/>
      <c r="B498" s="311"/>
      <c r="C498" s="1647"/>
      <c r="D498" s="2173"/>
      <c r="E498" s="1586"/>
      <c r="F498" s="1954"/>
      <c r="G498" s="1586"/>
      <c r="H498" s="1586"/>
      <c r="I498" s="1647"/>
      <c r="J498" s="1647"/>
      <c r="K498" s="1647"/>
      <c r="L498" s="1586"/>
      <c r="M498" s="2174"/>
      <c r="N498" s="2174"/>
      <c r="O498" s="836"/>
      <c r="P498" s="2174"/>
      <c r="Q498" s="836"/>
      <c r="R498" s="309"/>
      <c r="S498" s="309"/>
      <c r="T498" s="309"/>
      <c r="U498" s="309"/>
      <c r="V498" s="311"/>
      <c r="W498" s="311"/>
      <c r="X498" s="1647"/>
      <c r="Y498" s="311"/>
      <c r="Z498" s="311"/>
      <c r="AA498" s="311"/>
      <c r="AB498" s="311"/>
      <c r="AC498" s="311"/>
      <c r="AD498" s="311"/>
      <c r="AE498" s="311"/>
      <c r="AF498" s="311"/>
      <c r="AG498" s="311"/>
      <c r="AH498" s="311"/>
      <c r="AI498" s="311"/>
      <c r="AJ498" s="311"/>
      <c r="AK498" s="311"/>
      <c r="AL498" s="311"/>
      <c r="AM498" s="311"/>
    </row>
    <row r="499" spans="1:39" ht="15.75" customHeight="1">
      <c r="A499" s="1647"/>
      <c r="B499" s="311"/>
      <c r="C499" s="1647"/>
      <c r="D499" s="2173"/>
      <c r="E499" s="1586"/>
      <c r="F499" s="1954"/>
      <c r="G499" s="1586"/>
      <c r="H499" s="1586"/>
      <c r="I499" s="1647"/>
      <c r="J499" s="1647"/>
      <c r="K499" s="1647"/>
      <c r="L499" s="1586"/>
      <c r="M499" s="2174"/>
      <c r="N499" s="2174"/>
      <c r="O499" s="836"/>
      <c r="P499" s="2174"/>
      <c r="Q499" s="836"/>
      <c r="R499" s="309"/>
      <c r="S499" s="309"/>
      <c r="T499" s="309"/>
      <c r="U499" s="309"/>
      <c r="V499" s="311"/>
      <c r="W499" s="311"/>
      <c r="X499" s="1647"/>
      <c r="Y499" s="311"/>
      <c r="Z499" s="311"/>
      <c r="AA499" s="311"/>
      <c r="AB499" s="311"/>
      <c r="AC499" s="311"/>
      <c r="AD499" s="311"/>
      <c r="AE499" s="311"/>
      <c r="AF499" s="311"/>
      <c r="AG499" s="311"/>
      <c r="AH499" s="311"/>
      <c r="AI499" s="311"/>
      <c r="AJ499" s="311"/>
      <c r="AK499" s="311"/>
      <c r="AL499" s="311"/>
      <c r="AM499" s="311"/>
    </row>
    <row r="500" spans="1:39" ht="15.75" customHeight="1">
      <c r="A500" s="1647"/>
      <c r="B500" s="311"/>
      <c r="C500" s="1647"/>
      <c r="D500" s="2173"/>
      <c r="E500" s="1586"/>
      <c r="F500" s="1954"/>
      <c r="G500" s="1586"/>
      <c r="H500" s="1586"/>
      <c r="I500" s="1647"/>
      <c r="J500" s="1647"/>
      <c r="K500" s="1647"/>
      <c r="L500" s="1586"/>
      <c r="M500" s="2174"/>
      <c r="N500" s="2174"/>
      <c r="O500" s="836"/>
      <c r="P500" s="2174"/>
      <c r="Q500" s="836"/>
      <c r="R500" s="309"/>
      <c r="S500" s="309"/>
      <c r="T500" s="309"/>
      <c r="U500" s="309"/>
      <c r="V500" s="311"/>
      <c r="W500" s="311"/>
      <c r="X500" s="1647"/>
      <c r="Y500" s="311"/>
      <c r="Z500" s="311"/>
      <c r="AA500" s="311"/>
      <c r="AB500" s="311"/>
      <c r="AC500" s="311"/>
      <c r="AD500" s="311"/>
      <c r="AE500" s="311"/>
      <c r="AF500" s="311"/>
      <c r="AG500" s="311"/>
      <c r="AH500" s="311"/>
      <c r="AI500" s="311"/>
      <c r="AJ500" s="311"/>
      <c r="AK500" s="311"/>
      <c r="AL500" s="311"/>
      <c r="AM500" s="311"/>
    </row>
    <row r="501" spans="1:39" ht="15.75" customHeight="1">
      <c r="A501" s="1647"/>
      <c r="B501" s="311"/>
      <c r="C501" s="1647"/>
      <c r="D501" s="2173"/>
      <c r="E501" s="1586"/>
      <c r="F501" s="1954"/>
      <c r="G501" s="1586"/>
      <c r="H501" s="1586"/>
      <c r="I501" s="1647"/>
      <c r="J501" s="1647"/>
      <c r="K501" s="1647"/>
      <c r="L501" s="1586"/>
      <c r="M501" s="2174"/>
      <c r="N501" s="2174"/>
      <c r="O501" s="836"/>
      <c r="P501" s="2174"/>
      <c r="Q501" s="836"/>
      <c r="R501" s="309"/>
      <c r="S501" s="309"/>
      <c r="T501" s="309"/>
      <c r="U501" s="309"/>
      <c r="V501" s="311"/>
      <c r="W501" s="311"/>
      <c r="X501" s="1647"/>
      <c r="Y501" s="311"/>
      <c r="Z501" s="311"/>
      <c r="AA501" s="311"/>
      <c r="AB501" s="311"/>
      <c r="AC501" s="311"/>
      <c r="AD501" s="311"/>
      <c r="AE501" s="311"/>
      <c r="AF501" s="311"/>
      <c r="AG501" s="311"/>
      <c r="AH501" s="311"/>
      <c r="AI501" s="311"/>
      <c r="AJ501" s="311"/>
      <c r="AK501" s="311"/>
      <c r="AL501" s="311"/>
      <c r="AM501" s="311"/>
    </row>
    <row r="502" spans="1:39" ht="15.75" customHeight="1">
      <c r="A502" s="1647"/>
      <c r="B502" s="311"/>
      <c r="C502" s="1647"/>
      <c r="D502" s="2173"/>
      <c r="E502" s="1586"/>
      <c r="F502" s="1954"/>
      <c r="G502" s="1586"/>
      <c r="H502" s="1586"/>
      <c r="I502" s="1647"/>
      <c r="J502" s="1647"/>
      <c r="K502" s="1647"/>
      <c r="L502" s="1586"/>
      <c r="M502" s="2174"/>
      <c r="N502" s="2174"/>
      <c r="O502" s="836"/>
      <c r="P502" s="2174"/>
      <c r="Q502" s="836"/>
      <c r="R502" s="309"/>
      <c r="S502" s="309"/>
      <c r="T502" s="309"/>
      <c r="U502" s="309"/>
      <c r="V502" s="311"/>
      <c r="W502" s="311"/>
      <c r="X502" s="1647"/>
      <c r="Y502" s="311"/>
      <c r="Z502" s="311"/>
      <c r="AA502" s="311"/>
      <c r="AB502" s="311"/>
      <c r="AC502" s="311"/>
      <c r="AD502" s="311"/>
      <c r="AE502" s="311"/>
      <c r="AF502" s="311"/>
      <c r="AG502" s="311"/>
      <c r="AH502" s="311"/>
      <c r="AI502" s="311"/>
      <c r="AJ502" s="311"/>
      <c r="AK502" s="311"/>
      <c r="AL502" s="311"/>
      <c r="AM502" s="311"/>
    </row>
    <row r="503" spans="1:39" ht="15.75" customHeight="1">
      <c r="A503" s="1647"/>
      <c r="B503" s="311"/>
      <c r="C503" s="1647"/>
      <c r="D503" s="2173"/>
      <c r="E503" s="1586"/>
      <c r="F503" s="1954"/>
      <c r="G503" s="1586"/>
      <c r="H503" s="1586"/>
      <c r="I503" s="1647"/>
      <c r="J503" s="1647"/>
      <c r="K503" s="1647"/>
      <c r="L503" s="1586"/>
      <c r="M503" s="2174"/>
      <c r="N503" s="2174"/>
      <c r="O503" s="836"/>
      <c r="P503" s="2174"/>
      <c r="Q503" s="836"/>
      <c r="R503" s="309"/>
      <c r="S503" s="309"/>
      <c r="T503" s="309"/>
      <c r="U503" s="309"/>
      <c r="V503" s="311"/>
      <c r="W503" s="311"/>
      <c r="X503" s="1647"/>
      <c r="Y503" s="311"/>
      <c r="Z503" s="311"/>
      <c r="AA503" s="311"/>
      <c r="AB503" s="311"/>
      <c r="AC503" s="311"/>
      <c r="AD503" s="311"/>
      <c r="AE503" s="311"/>
      <c r="AF503" s="311"/>
      <c r="AG503" s="311"/>
      <c r="AH503" s="311"/>
      <c r="AI503" s="311"/>
      <c r="AJ503" s="311"/>
      <c r="AK503" s="311"/>
      <c r="AL503" s="311"/>
      <c r="AM503" s="311"/>
    </row>
    <row r="504" spans="1:39" ht="15.75" customHeight="1">
      <c r="A504" s="1647"/>
      <c r="B504" s="311"/>
      <c r="C504" s="1647"/>
      <c r="D504" s="2173"/>
      <c r="E504" s="1586"/>
      <c r="F504" s="1954"/>
      <c r="G504" s="1586"/>
      <c r="H504" s="1586"/>
      <c r="I504" s="1647"/>
      <c r="J504" s="1647"/>
      <c r="K504" s="1647"/>
      <c r="L504" s="1586"/>
      <c r="M504" s="2174"/>
      <c r="N504" s="2174"/>
      <c r="O504" s="836"/>
      <c r="P504" s="2174"/>
      <c r="Q504" s="836"/>
      <c r="R504" s="309"/>
      <c r="S504" s="309"/>
      <c r="T504" s="309"/>
      <c r="U504" s="309"/>
      <c r="V504" s="311"/>
      <c r="W504" s="311"/>
      <c r="X504" s="1647"/>
      <c r="Y504" s="311"/>
      <c r="Z504" s="311"/>
      <c r="AA504" s="311"/>
      <c r="AB504" s="311"/>
      <c r="AC504" s="311"/>
      <c r="AD504" s="311"/>
      <c r="AE504" s="311"/>
      <c r="AF504" s="311"/>
      <c r="AG504" s="311"/>
      <c r="AH504" s="311"/>
      <c r="AI504" s="311"/>
      <c r="AJ504" s="311"/>
      <c r="AK504" s="311"/>
      <c r="AL504" s="311"/>
      <c r="AM504" s="311"/>
    </row>
    <row r="505" spans="1:39" ht="15.75" customHeight="1">
      <c r="A505" s="1647"/>
      <c r="B505" s="311"/>
      <c r="C505" s="1647"/>
      <c r="D505" s="2173"/>
      <c r="E505" s="1586"/>
      <c r="F505" s="1954"/>
      <c r="G505" s="1586"/>
      <c r="H505" s="1586"/>
      <c r="I505" s="1647"/>
      <c r="J505" s="1647"/>
      <c r="K505" s="1647"/>
      <c r="L505" s="1586"/>
      <c r="M505" s="2174"/>
      <c r="N505" s="2174"/>
      <c r="O505" s="836"/>
      <c r="P505" s="2174"/>
      <c r="Q505" s="836"/>
      <c r="R505" s="309"/>
      <c r="S505" s="309"/>
      <c r="T505" s="309"/>
      <c r="U505" s="309"/>
      <c r="V505" s="311"/>
      <c r="W505" s="311"/>
      <c r="X505" s="1647"/>
      <c r="Y505" s="311"/>
      <c r="Z505" s="311"/>
      <c r="AA505" s="311"/>
      <c r="AB505" s="311"/>
      <c r="AC505" s="311"/>
      <c r="AD505" s="311"/>
      <c r="AE505" s="311"/>
      <c r="AF505" s="311"/>
      <c r="AG505" s="311"/>
      <c r="AH505" s="311"/>
      <c r="AI505" s="311"/>
      <c r="AJ505" s="311"/>
      <c r="AK505" s="311"/>
      <c r="AL505" s="311"/>
      <c r="AM505" s="311"/>
    </row>
    <row r="506" spans="1:39" ht="15.75" customHeight="1">
      <c r="A506" s="1647"/>
      <c r="B506" s="311"/>
      <c r="C506" s="1647"/>
      <c r="D506" s="2173"/>
      <c r="E506" s="1586"/>
      <c r="F506" s="1954"/>
      <c r="G506" s="1586"/>
      <c r="H506" s="1586"/>
      <c r="I506" s="1647"/>
      <c r="J506" s="1647"/>
      <c r="K506" s="1647"/>
      <c r="L506" s="1586"/>
      <c r="M506" s="2174"/>
      <c r="N506" s="2174"/>
      <c r="O506" s="836"/>
      <c r="P506" s="2174"/>
      <c r="Q506" s="836"/>
      <c r="R506" s="309"/>
      <c r="S506" s="309"/>
      <c r="T506" s="309"/>
      <c r="U506" s="309"/>
      <c r="V506" s="311"/>
      <c r="W506" s="311"/>
      <c r="X506" s="1647"/>
      <c r="Y506" s="311"/>
      <c r="Z506" s="311"/>
      <c r="AA506" s="311"/>
      <c r="AB506" s="311"/>
      <c r="AC506" s="311"/>
      <c r="AD506" s="311"/>
      <c r="AE506" s="311"/>
      <c r="AF506" s="311"/>
      <c r="AG506" s="311"/>
      <c r="AH506" s="311"/>
      <c r="AI506" s="311"/>
      <c r="AJ506" s="311"/>
      <c r="AK506" s="311"/>
      <c r="AL506" s="311"/>
      <c r="AM506" s="311"/>
    </row>
    <row r="507" spans="1:39" ht="15.75" customHeight="1">
      <c r="A507" s="1647"/>
      <c r="B507" s="311"/>
      <c r="C507" s="1647"/>
      <c r="D507" s="2173"/>
      <c r="E507" s="1586"/>
      <c r="F507" s="1954"/>
      <c r="G507" s="1586"/>
      <c r="H507" s="1586"/>
      <c r="I507" s="1647"/>
      <c r="J507" s="1647"/>
      <c r="K507" s="1647"/>
      <c r="L507" s="1586"/>
      <c r="M507" s="2174"/>
      <c r="N507" s="2174"/>
      <c r="O507" s="836"/>
      <c r="P507" s="2174"/>
      <c r="Q507" s="836"/>
      <c r="R507" s="309"/>
      <c r="S507" s="309"/>
      <c r="T507" s="309"/>
      <c r="U507" s="309"/>
      <c r="V507" s="311"/>
      <c r="W507" s="311"/>
      <c r="X507" s="1647"/>
      <c r="Y507" s="311"/>
      <c r="Z507" s="311"/>
      <c r="AA507" s="311"/>
      <c r="AB507" s="311"/>
      <c r="AC507" s="311"/>
      <c r="AD507" s="311"/>
      <c r="AE507" s="311"/>
      <c r="AF507" s="311"/>
      <c r="AG507" s="311"/>
      <c r="AH507" s="311"/>
      <c r="AI507" s="311"/>
      <c r="AJ507" s="311"/>
      <c r="AK507" s="311"/>
      <c r="AL507" s="311"/>
      <c r="AM507" s="311"/>
    </row>
    <row r="508" spans="1:39" ht="15.75" customHeight="1">
      <c r="A508" s="1647"/>
      <c r="B508" s="311"/>
      <c r="C508" s="1647"/>
      <c r="D508" s="2173"/>
      <c r="E508" s="1586"/>
      <c r="F508" s="1954"/>
      <c r="G508" s="1586"/>
      <c r="H508" s="1586"/>
      <c r="I508" s="1647"/>
      <c r="J508" s="1647"/>
      <c r="K508" s="1647"/>
      <c r="L508" s="1586"/>
      <c r="M508" s="2174"/>
      <c r="N508" s="2174"/>
      <c r="O508" s="836"/>
      <c r="P508" s="2174"/>
      <c r="Q508" s="836"/>
      <c r="R508" s="309"/>
      <c r="S508" s="309"/>
      <c r="T508" s="309"/>
      <c r="U508" s="309"/>
      <c r="V508" s="311"/>
      <c r="W508" s="311"/>
      <c r="X508" s="1647"/>
      <c r="Y508" s="311"/>
      <c r="Z508" s="311"/>
      <c r="AA508" s="311"/>
      <c r="AB508" s="311"/>
      <c r="AC508" s="311"/>
      <c r="AD508" s="311"/>
      <c r="AE508" s="311"/>
      <c r="AF508" s="311"/>
      <c r="AG508" s="311"/>
      <c r="AH508" s="311"/>
      <c r="AI508" s="311"/>
      <c r="AJ508" s="311"/>
      <c r="AK508" s="311"/>
      <c r="AL508" s="311"/>
      <c r="AM508" s="311"/>
    </row>
    <row r="509" spans="1:39" ht="15.75" customHeight="1">
      <c r="A509" s="1647"/>
      <c r="B509" s="311"/>
      <c r="C509" s="1647"/>
      <c r="D509" s="2173"/>
      <c r="E509" s="1586"/>
      <c r="F509" s="1954"/>
      <c r="G509" s="1586"/>
      <c r="H509" s="1586"/>
      <c r="I509" s="1647"/>
      <c r="J509" s="1647"/>
      <c r="K509" s="1647"/>
      <c r="L509" s="1586"/>
      <c r="M509" s="2174"/>
      <c r="N509" s="2174"/>
      <c r="O509" s="836"/>
      <c r="P509" s="2174"/>
      <c r="Q509" s="836"/>
      <c r="R509" s="309"/>
      <c r="S509" s="309"/>
      <c r="T509" s="309"/>
      <c r="U509" s="309"/>
      <c r="V509" s="311"/>
      <c r="W509" s="311"/>
      <c r="X509" s="1647"/>
      <c r="Y509" s="311"/>
      <c r="Z509" s="311"/>
      <c r="AA509" s="311"/>
      <c r="AB509" s="311"/>
      <c r="AC509" s="311"/>
      <c r="AD509" s="311"/>
      <c r="AE509" s="311"/>
      <c r="AF509" s="311"/>
      <c r="AG509" s="311"/>
      <c r="AH509" s="311"/>
      <c r="AI509" s="311"/>
      <c r="AJ509" s="311"/>
      <c r="AK509" s="311"/>
      <c r="AL509" s="311"/>
      <c r="AM509" s="311"/>
    </row>
    <row r="510" spans="1:39" ht="15.75" customHeight="1">
      <c r="A510" s="1647"/>
      <c r="B510" s="311"/>
      <c r="C510" s="1647"/>
      <c r="D510" s="2173"/>
      <c r="E510" s="1586"/>
      <c r="F510" s="1954"/>
      <c r="G510" s="1586"/>
      <c r="H510" s="1586"/>
      <c r="I510" s="1647"/>
      <c r="J510" s="1647"/>
      <c r="K510" s="1647"/>
      <c r="L510" s="1586"/>
      <c r="M510" s="2174"/>
      <c r="N510" s="2174"/>
      <c r="O510" s="836"/>
      <c r="P510" s="2174"/>
      <c r="Q510" s="836"/>
      <c r="R510" s="309"/>
      <c r="S510" s="309"/>
      <c r="T510" s="309"/>
      <c r="U510" s="309"/>
      <c r="V510" s="311"/>
      <c r="W510" s="311"/>
      <c r="X510" s="1647"/>
      <c r="Y510" s="311"/>
      <c r="Z510" s="311"/>
      <c r="AA510" s="311"/>
      <c r="AB510" s="311"/>
      <c r="AC510" s="311"/>
      <c r="AD510" s="311"/>
      <c r="AE510" s="311"/>
      <c r="AF510" s="311"/>
      <c r="AG510" s="311"/>
      <c r="AH510" s="311"/>
      <c r="AI510" s="311"/>
      <c r="AJ510" s="311"/>
      <c r="AK510" s="311"/>
      <c r="AL510" s="311"/>
      <c r="AM510" s="311"/>
    </row>
    <row r="511" spans="1:39" ht="15.75" customHeight="1">
      <c r="A511" s="1647"/>
      <c r="B511" s="311"/>
      <c r="C511" s="1647"/>
      <c r="D511" s="2173"/>
      <c r="E511" s="1586"/>
      <c r="F511" s="1954"/>
      <c r="G511" s="1586"/>
      <c r="H511" s="1586"/>
      <c r="I511" s="1647"/>
      <c r="J511" s="1647"/>
      <c r="K511" s="1647"/>
      <c r="L511" s="1586"/>
      <c r="M511" s="2174"/>
      <c r="N511" s="2174"/>
      <c r="O511" s="836"/>
      <c r="P511" s="2174"/>
      <c r="Q511" s="836"/>
      <c r="R511" s="309"/>
      <c r="S511" s="309"/>
      <c r="T511" s="309"/>
      <c r="U511" s="309"/>
      <c r="V511" s="311"/>
      <c r="W511" s="311"/>
      <c r="X511" s="1647"/>
      <c r="Y511" s="311"/>
      <c r="Z511" s="311"/>
      <c r="AA511" s="311"/>
      <c r="AB511" s="311"/>
      <c r="AC511" s="311"/>
      <c r="AD511" s="311"/>
      <c r="AE511" s="311"/>
      <c r="AF511" s="311"/>
      <c r="AG511" s="311"/>
      <c r="AH511" s="311"/>
      <c r="AI511" s="311"/>
      <c r="AJ511" s="311"/>
      <c r="AK511" s="311"/>
      <c r="AL511" s="311"/>
      <c r="AM511" s="311"/>
    </row>
    <row r="512" spans="1:39" ht="15.75" customHeight="1">
      <c r="A512" s="1647"/>
      <c r="B512" s="311"/>
      <c r="C512" s="1647"/>
      <c r="D512" s="2173"/>
      <c r="E512" s="1586"/>
      <c r="F512" s="1954"/>
      <c r="G512" s="1586"/>
      <c r="H512" s="1586"/>
      <c r="I512" s="1647"/>
      <c r="J512" s="1647"/>
      <c r="K512" s="1647"/>
      <c r="L512" s="1586"/>
      <c r="M512" s="2174"/>
      <c r="N512" s="2174"/>
      <c r="O512" s="836"/>
      <c r="P512" s="2174"/>
      <c r="Q512" s="836"/>
      <c r="R512" s="309"/>
      <c r="S512" s="309"/>
      <c r="T512" s="309"/>
      <c r="U512" s="309"/>
      <c r="V512" s="311"/>
      <c r="W512" s="311"/>
      <c r="X512" s="1647"/>
      <c r="Y512" s="311"/>
      <c r="Z512" s="311"/>
      <c r="AA512" s="311"/>
      <c r="AB512" s="311"/>
      <c r="AC512" s="311"/>
      <c r="AD512" s="311"/>
      <c r="AE512" s="311"/>
      <c r="AF512" s="311"/>
      <c r="AG512" s="311"/>
      <c r="AH512" s="311"/>
      <c r="AI512" s="311"/>
      <c r="AJ512" s="311"/>
      <c r="AK512" s="311"/>
      <c r="AL512" s="311"/>
      <c r="AM512" s="311"/>
    </row>
    <row r="513" spans="1:39" ht="15.75" customHeight="1">
      <c r="A513" s="1647"/>
      <c r="B513" s="311"/>
      <c r="C513" s="1647"/>
      <c r="D513" s="2173"/>
      <c r="E513" s="1586"/>
      <c r="F513" s="1954"/>
      <c r="G513" s="1586"/>
      <c r="H513" s="1586"/>
      <c r="I513" s="1647"/>
      <c r="J513" s="1647"/>
      <c r="K513" s="1647"/>
      <c r="L513" s="1586"/>
      <c r="M513" s="2174"/>
      <c r="N513" s="2174"/>
      <c r="O513" s="836"/>
      <c r="P513" s="2174"/>
      <c r="Q513" s="836"/>
      <c r="R513" s="309"/>
      <c r="S513" s="309"/>
      <c r="T513" s="309"/>
      <c r="U513" s="309"/>
      <c r="V513" s="311"/>
      <c r="W513" s="311"/>
      <c r="X513" s="1647"/>
      <c r="Y513" s="311"/>
      <c r="Z513" s="311"/>
      <c r="AA513" s="311"/>
      <c r="AB513" s="311"/>
      <c r="AC513" s="311"/>
      <c r="AD513" s="311"/>
      <c r="AE513" s="311"/>
      <c r="AF513" s="311"/>
      <c r="AG513" s="311"/>
      <c r="AH513" s="311"/>
      <c r="AI513" s="311"/>
      <c r="AJ513" s="311"/>
      <c r="AK513" s="311"/>
      <c r="AL513" s="311"/>
      <c r="AM513" s="311"/>
    </row>
    <row r="514" spans="1:39" ht="15.75" customHeight="1">
      <c r="A514" s="1647"/>
      <c r="B514" s="311"/>
      <c r="C514" s="1647"/>
      <c r="D514" s="2173"/>
      <c r="E514" s="1586"/>
      <c r="F514" s="1954"/>
      <c r="G514" s="1586"/>
      <c r="H514" s="1586"/>
      <c r="I514" s="1647"/>
      <c r="J514" s="1647"/>
      <c r="K514" s="1647"/>
      <c r="L514" s="1586"/>
      <c r="M514" s="2174"/>
      <c r="N514" s="2174"/>
      <c r="O514" s="836"/>
      <c r="P514" s="2174"/>
      <c r="Q514" s="836"/>
      <c r="R514" s="309"/>
      <c r="S514" s="309"/>
      <c r="T514" s="309"/>
      <c r="U514" s="309"/>
      <c r="V514" s="311"/>
      <c r="W514" s="311"/>
      <c r="X514" s="1647"/>
      <c r="Y514" s="311"/>
      <c r="Z514" s="311"/>
      <c r="AA514" s="311"/>
      <c r="AB514" s="311"/>
      <c r="AC514" s="311"/>
      <c r="AD514" s="311"/>
      <c r="AE514" s="311"/>
      <c r="AF514" s="311"/>
      <c r="AG514" s="311"/>
      <c r="AH514" s="311"/>
      <c r="AI514" s="311"/>
      <c r="AJ514" s="311"/>
      <c r="AK514" s="311"/>
      <c r="AL514" s="311"/>
      <c r="AM514" s="311"/>
    </row>
    <row r="515" spans="1:39" ht="15.75" customHeight="1">
      <c r="A515" s="1647"/>
      <c r="B515" s="311"/>
      <c r="C515" s="1647"/>
      <c r="D515" s="2173"/>
      <c r="E515" s="1586"/>
      <c r="F515" s="1954"/>
      <c r="G515" s="1586"/>
      <c r="H515" s="1586"/>
      <c r="I515" s="1647"/>
      <c r="J515" s="1647"/>
      <c r="K515" s="1647"/>
      <c r="L515" s="1586"/>
      <c r="M515" s="2174"/>
      <c r="N515" s="2174"/>
      <c r="O515" s="836"/>
      <c r="P515" s="2174"/>
      <c r="Q515" s="836"/>
      <c r="R515" s="309"/>
      <c r="S515" s="309"/>
      <c r="T515" s="309"/>
      <c r="U515" s="309"/>
      <c r="V515" s="311"/>
      <c r="W515" s="311"/>
      <c r="X515" s="1647"/>
      <c r="Y515" s="311"/>
      <c r="Z515" s="311"/>
      <c r="AA515" s="311"/>
      <c r="AB515" s="311"/>
      <c r="AC515" s="311"/>
      <c r="AD515" s="311"/>
      <c r="AE515" s="311"/>
      <c r="AF515" s="311"/>
      <c r="AG515" s="311"/>
      <c r="AH515" s="311"/>
      <c r="AI515" s="311"/>
      <c r="AJ515" s="311"/>
      <c r="AK515" s="311"/>
      <c r="AL515" s="311"/>
      <c r="AM515" s="311"/>
    </row>
    <row r="516" spans="1:39" ht="15.75" customHeight="1">
      <c r="A516" s="1647"/>
      <c r="B516" s="311"/>
      <c r="C516" s="1647"/>
      <c r="D516" s="2173"/>
      <c r="E516" s="1586"/>
      <c r="F516" s="1954"/>
      <c r="G516" s="1586"/>
      <c r="H516" s="1586"/>
      <c r="I516" s="1647"/>
      <c r="J516" s="1647"/>
      <c r="K516" s="1647"/>
      <c r="L516" s="1586"/>
      <c r="M516" s="2174"/>
      <c r="N516" s="2174"/>
      <c r="O516" s="836"/>
      <c r="P516" s="2174"/>
      <c r="Q516" s="836"/>
      <c r="R516" s="309"/>
      <c r="S516" s="309"/>
      <c r="T516" s="309"/>
      <c r="U516" s="309"/>
      <c r="V516" s="311"/>
      <c r="W516" s="311"/>
      <c r="X516" s="1647"/>
      <c r="Y516" s="311"/>
      <c r="Z516" s="311"/>
      <c r="AA516" s="311"/>
      <c r="AB516" s="311"/>
      <c r="AC516" s="311"/>
      <c r="AD516" s="311"/>
      <c r="AE516" s="311"/>
      <c r="AF516" s="311"/>
      <c r="AG516" s="311"/>
      <c r="AH516" s="311"/>
      <c r="AI516" s="311"/>
      <c r="AJ516" s="311"/>
      <c r="AK516" s="311"/>
      <c r="AL516" s="311"/>
      <c r="AM516" s="311"/>
    </row>
    <row r="517" spans="1:39" ht="15.75" customHeight="1">
      <c r="A517" s="1647"/>
      <c r="B517" s="311"/>
      <c r="C517" s="1647"/>
      <c r="D517" s="2173"/>
      <c r="E517" s="1586"/>
      <c r="F517" s="1954"/>
      <c r="G517" s="1586"/>
      <c r="H517" s="1586"/>
      <c r="I517" s="1647"/>
      <c r="J517" s="1647"/>
      <c r="K517" s="1647"/>
      <c r="L517" s="1586"/>
      <c r="M517" s="2174"/>
      <c r="N517" s="2174"/>
      <c r="O517" s="836"/>
      <c r="P517" s="2174"/>
      <c r="Q517" s="836"/>
      <c r="R517" s="309"/>
      <c r="S517" s="309"/>
      <c r="T517" s="309"/>
      <c r="U517" s="309"/>
      <c r="V517" s="311"/>
      <c r="W517" s="311"/>
      <c r="X517" s="1647"/>
      <c r="Y517" s="311"/>
      <c r="Z517" s="311"/>
      <c r="AA517" s="311"/>
      <c r="AB517" s="311"/>
      <c r="AC517" s="311"/>
      <c r="AD517" s="311"/>
      <c r="AE517" s="311"/>
      <c r="AF517" s="311"/>
      <c r="AG517" s="311"/>
      <c r="AH517" s="311"/>
      <c r="AI517" s="311"/>
      <c r="AJ517" s="311"/>
      <c r="AK517" s="311"/>
      <c r="AL517" s="311"/>
      <c r="AM517" s="311"/>
    </row>
    <row r="518" spans="1:39" ht="15.75" customHeight="1">
      <c r="A518" s="1647"/>
      <c r="B518" s="311"/>
      <c r="C518" s="1647"/>
      <c r="D518" s="2173"/>
      <c r="E518" s="1586"/>
      <c r="F518" s="1954"/>
      <c r="G518" s="1586"/>
      <c r="H518" s="1586"/>
      <c r="I518" s="1647"/>
      <c r="J518" s="1647"/>
      <c r="K518" s="1647"/>
      <c r="L518" s="1586"/>
      <c r="M518" s="2174"/>
      <c r="N518" s="2174"/>
      <c r="O518" s="836"/>
      <c r="P518" s="2174"/>
      <c r="Q518" s="836"/>
      <c r="R518" s="309"/>
      <c r="S518" s="309"/>
      <c r="T518" s="309"/>
      <c r="U518" s="309"/>
      <c r="V518" s="311"/>
      <c r="W518" s="311"/>
      <c r="X518" s="1647"/>
      <c r="Y518" s="311"/>
      <c r="Z518" s="311"/>
      <c r="AA518" s="311"/>
      <c r="AB518" s="311"/>
      <c r="AC518" s="311"/>
      <c r="AD518" s="311"/>
      <c r="AE518" s="311"/>
      <c r="AF518" s="311"/>
      <c r="AG518" s="311"/>
      <c r="AH518" s="311"/>
      <c r="AI518" s="311"/>
      <c r="AJ518" s="311"/>
      <c r="AK518" s="311"/>
      <c r="AL518" s="311"/>
      <c r="AM518" s="311"/>
    </row>
    <row r="519" spans="1:39" ht="15.75" customHeight="1">
      <c r="A519" s="1647"/>
      <c r="B519" s="311"/>
      <c r="C519" s="1647"/>
      <c r="D519" s="2173"/>
      <c r="E519" s="1586"/>
      <c r="F519" s="1954"/>
      <c r="G519" s="1586"/>
      <c r="H519" s="1586"/>
      <c r="I519" s="1647"/>
      <c r="J519" s="1647"/>
      <c r="K519" s="1647"/>
      <c r="L519" s="1586"/>
      <c r="M519" s="2174"/>
      <c r="N519" s="2174"/>
      <c r="O519" s="836"/>
      <c r="P519" s="2174"/>
      <c r="Q519" s="836"/>
      <c r="R519" s="309"/>
      <c r="S519" s="309"/>
      <c r="T519" s="309"/>
      <c r="U519" s="309"/>
      <c r="V519" s="311"/>
      <c r="W519" s="311"/>
      <c r="X519" s="1647"/>
      <c r="Y519" s="311"/>
      <c r="Z519" s="311"/>
      <c r="AA519" s="311"/>
      <c r="AB519" s="311"/>
      <c r="AC519" s="311"/>
      <c r="AD519" s="311"/>
      <c r="AE519" s="311"/>
      <c r="AF519" s="311"/>
      <c r="AG519" s="311"/>
      <c r="AH519" s="311"/>
      <c r="AI519" s="311"/>
      <c r="AJ519" s="311"/>
      <c r="AK519" s="311"/>
      <c r="AL519" s="311"/>
      <c r="AM519" s="311"/>
    </row>
    <row r="520" spans="1:39" ht="15.75" customHeight="1">
      <c r="A520" s="1647"/>
      <c r="B520" s="311"/>
      <c r="C520" s="1647"/>
      <c r="D520" s="2173"/>
      <c r="E520" s="1586"/>
      <c r="F520" s="1954"/>
      <c r="G520" s="1586"/>
      <c r="H520" s="1586"/>
      <c r="I520" s="1647"/>
      <c r="J520" s="1647"/>
      <c r="K520" s="1647"/>
      <c r="L520" s="1586"/>
      <c r="M520" s="2174"/>
      <c r="N520" s="2174"/>
      <c r="O520" s="836"/>
      <c r="P520" s="2174"/>
      <c r="Q520" s="836"/>
      <c r="R520" s="309"/>
      <c r="S520" s="309"/>
      <c r="T520" s="309"/>
      <c r="U520" s="309"/>
      <c r="V520" s="311"/>
      <c r="W520" s="311"/>
      <c r="X520" s="1647"/>
      <c r="Y520" s="311"/>
      <c r="Z520" s="311"/>
      <c r="AA520" s="311"/>
      <c r="AB520" s="311"/>
      <c r="AC520" s="311"/>
      <c r="AD520" s="311"/>
      <c r="AE520" s="311"/>
      <c r="AF520" s="311"/>
      <c r="AG520" s="311"/>
      <c r="AH520" s="311"/>
      <c r="AI520" s="311"/>
      <c r="AJ520" s="311"/>
      <c r="AK520" s="311"/>
      <c r="AL520" s="311"/>
      <c r="AM520" s="311"/>
    </row>
    <row r="521" spans="1:39" ht="15.75" customHeight="1">
      <c r="A521" s="1647"/>
      <c r="B521" s="311"/>
      <c r="C521" s="1647"/>
      <c r="D521" s="2173"/>
      <c r="E521" s="1586"/>
      <c r="F521" s="1954"/>
      <c r="G521" s="1586"/>
      <c r="H521" s="1586"/>
      <c r="I521" s="1647"/>
      <c r="J521" s="1647"/>
      <c r="K521" s="1647"/>
      <c r="L521" s="1586"/>
      <c r="M521" s="2174"/>
      <c r="N521" s="2174"/>
      <c r="O521" s="836"/>
      <c r="P521" s="2174"/>
      <c r="Q521" s="836"/>
      <c r="R521" s="309"/>
      <c r="S521" s="309"/>
      <c r="T521" s="309"/>
      <c r="U521" s="309"/>
      <c r="V521" s="311"/>
      <c r="W521" s="311"/>
      <c r="X521" s="1647"/>
      <c r="Y521" s="311"/>
      <c r="Z521" s="311"/>
      <c r="AA521" s="311"/>
      <c r="AB521" s="311"/>
      <c r="AC521" s="311"/>
      <c r="AD521" s="311"/>
      <c r="AE521" s="311"/>
      <c r="AF521" s="311"/>
      <c r="AG521" s="311"/>
      <c r="AH521" s="311"/>
      <c r="AI521" s="311"/>
      <c r="AJ521" s="311"/>
      <c r="AK521" s="311"/>
      <c r="AL521" s="311"/>
      <c r="AM521" s="311"/>
    </row>
    <row r="522" spans="1:39" ht="15.75" customHeight="1">
      <c r="A522" s="1647"/>
      <c r="B522" s="311"/>
      <c r="C522" s="1647"/>
      <c r="D522" s="2173"/>
      <c r="E522" s="1586"/>
      <c r="F522" s="1954"/>
      <c r="G522" s="1586"/>
      <c r="H522" s="1586"/>
      <c r="I522" s="1647"/>
      <c r="J522" s="1647"/>
      <c r="K522" s="1647"/>
      <c r="L522" s="1586"/>
      <c r="M522" s="2174"/>
      <c r="N522" s="2174"/>
      <c r="O522" s="836"/>
      <c r="P522" s="2174"/>
      <c r="Q522" s="836"/>
      <c r="R522" s="309"/>
      <c r="S522" s="309"/>
      <c r="T522" s="309"/>
      <c r="U522" s="309"/>
      <c r="V522" s="311"/>
      <c r="W522" s="311"/>
      <c r="X522" s="1647"/>
      <c r="Y522" s="311"/>
      <c r="Z522" s="311"/>
      <c r="AA522" s="311"/>
      <c r="AB522" s="311"/>
      <c r="AC522" s="311"/>
      <c r="AD522" s="311"/>
      <c r="AE522" s="311"/>
      <c r="AF522" s="311"/>
      <c r="AG522" s="311"/>
      <c r="AH522" s="311"/>
      <c r="AI522" s="311"/>
      <c r="AJ522" s="311"/>
      <c r="AK522" s="311"/>
      <c r="AL522" s="311"/>
      <c r="AM522" s="311"/>
    </row>
    <row r="523" spans="1:39" ht="15.75" customHeight="1">
      <c r="A523" s="1647"/>
      <c r="B523" s="311"/>
      <c r="C523" s="1647"/>
      <c r="D523" s="2173"/>
      <c r="E523" s="1586"/>
      <c r="F523" s="1954"/>
      <c r="G523" s="1586"/>
      <c r="H523" s="1586"/>
      <c r="I523" s="1647"/>
      <c r="J523" s="1647"/>
      <c r="K523" s="1647"/>
      <c r="L523" s="1586"/>
      <c r="M523" s="2174"/>
      <c r="N523" s="2174"/>
      <c r="O523" s="836"/>
      <c r="P523" s="2174"/>
      <c r="Q523" s="836"/>
      <c r="R523" s="309"/>
      <c r="S523" s="309"/>
      <c r="T523" s="309"/>
      <c r="U523" s="309"/>
      <c r="V523" s="311"/>
      <c r="W523" s="311"/>
      <c r="X523" s="1647"/>
      <c r="Y523" s="311"/>
      <c r="Z523" s="311"/>
      <c r="AA523" s="311"/>
      <c r="AB523" s="311"/>
      <c r="AC523" s="311"/>
      <c r="AD523" s="311"/>
      <c r="AE523" s="311"/>
      <c r="AF523" s="311"/>
      <c r="AG523" s="311"/>
      <c r="AH523" s="311"/>
      <c r="AI523" s="311"/>
      <c r="AJ523" s="311"/>
      <c r="AK523" s="311"/>
      <c r="AL523" s="311"/>
      <c r="AM523" s="311"/>
    </row>
    <row r="524" spans="1:39" ht="15.75" customHeight="1">
      <c r="A524" s="1647"/>
      <c r="B524" s="311"/>
      <c r="C524" s="1647"/>
      <c r="D524" s="2173"/>
      <c r="E524" s="1586"/>
      <c r="F524" s="1954"/>
      <c r="G524" s="1586"/>
      <c r="H524" s="1586"/>
      <c r="I524" s="1647"/>
      <c r="J524" s="1647"/>
      <c r="K524" s="1647"/>
      <c r="L524" s="1586"/>
      <c r="M524" s="2174"/>
      <c r="N524" s="2174"/>
      <c r="O524" s="836"/>
      <c r="P524" s="2174"/>
      <c r="Q524" s="836"/>
      <c r="R524" s="309"/>
      <c r="S524" s="309"/>
      <c r="T524" s="309"/>
      <c r="U524" s="309"/>
      <c r="V524" s="311"/>
      <c r="W524" s="311"/>
      <c r="X524" s="1647"/>
      <c r="Y524" s="311"/>
      <c r="Z524" s="311"/>
      <c r="AA524" s="311"/>
      <c r="AB524" s="311"/>
      <c r="AC524" s="311"/>
      <c r="AD524" s="311"/>
      <c r="AE524" s="311"/>
      <c r="AF524" s="311"/>
      <c r="AG524" s="311"/>
      <c r="AH524" s="311"/>
      <c r="AI524" s="311"/>
      <c r="AJ524" s="311"/>
      <c r="AK524" s="311"/>
      <c r="AL524" s="311"/>
      <c r="AM524" s="311"/>
    </row>
    <row r="525" spans="1:39" ht="15.75" customHeight="1">
      <c r="A525" s="1647"/>
      <c r="B525" s="311"/>
      <c r="C525" s="1647"/>
      <c r="D525" s="2173"/>
      <c r="E525" s="1586"/>
      <c r="F525" s="1954"/>
      <c r="G525" s="1586"/>
      <c r="H525" s="1586"/>
      <c r="I525" s="1647"/>
      <c r="J525" s="1647"/>
      <c r="K525" s="1647"/>
      <c r="L525" s="1586"/>
      <c r="M525" s="2174"/>
      <c r="N525" s="2174"/>
      <c r="O525" s="836"/>
      <c r="P525" s="2174"/>
      <c r="Q525" s="836"/>
      <c r="R525" s="309"/>
      <c r="S525" s="309"/>
      <c r="T525" s="309"/>
      <c r="U525" s="309"/>
      <c r="V525" s="311"/>
      <c r="W525" s="311"/>
      <c r="X525" s="1647"/>
      <c r="Y525" s="311"/>
      <c r="Z525" s="311"/>
      <c r="AA525" s="311"/>
      <c r="AB525" s="311"/>
      <c r="AC525" s="311"/>
      <c r="AD525" s="311"/>
      <c r="AE525" s="311"/>
      <c r="AF525" s="311"/>
      <c r="AG525" s="311"/>
      <c r="AH525" s="311"/>
      <c r="AI525" s="311"/>
      <c r="AJ525" s="311"/>
      <c r="AK525" s="311"/>
      <c r="AL525" s="311"/>
      <c r="AM525" s="311"/>
    </row>
    <row r="526" spans="1:39" ht="15.75" customHeight="1">
      <c r="A526" s="1647"/>
      <c r="B526" s="311"/>
      <c r="C526" s="1647"/>
      <c r="D526" s="2173"/>
      <c r="E526" s="1586"/>
      <c r="F526" s="1954"/>
      <c r="G526" s="1586"/>
      <c r="H526" s="1586"/>
      <c r="I526" s="1647"/>
      <c r="J526" s="1647"/>
      <c r="K526" s="1647"/>
      <c r="L526" s="1586"/>
      <c r="M526" s="2174"/>
      <c r="N526" s="2174"/>
      <c r="O526" s="836"/>
      <c r="P526" s="2174"/>
      <c r="Q526" s="836"/>
      <c r="R526" s="309"/>
      <c r="S526" s="309"/>
      <c r="T526" s="309"/>
      <c r="U526" s="309"/>
      <c r="V526" s="311"/>
      <c r="W526" s="311"/>
      <c r="X526" s="1647"/>
      <c r="Y526" s="311"/>
      <c r="Z526" s="311"/>
      <c r="AA526" s="311"/>
      <c r="AB526" s="311"/>
      <c r="AC526" s="311"/>
      <c r="AD526" s="311"/>
      <c r="AE526" s="311"/>
      <c r="AF526" s="311"/>
      <c r="AG526" s="311"/>
      <c r="AH526" s="311"/>
      <c r="AI526" s="311"/>
      <c r="AJ526" s="311"/>
      <c r="AK526" s="311"/>
      <c r="AL526" s="311"/>
      <c r="AM526" s="311"/>
    </row>
    <row r="527" spans="1:39" ht="15.75" customHeight="1">
      <c r="A527" s="1647"/>
      <c r="B527" s="311"/>
      <c r="C527" s="1647"/>
      <c r="D527" s="2173"/>
      <c r="E527" s="1586"/>
      <c r="F527" s="1954"/>
      <c r="G527" s="1586"/>
      <c r="H527" s="1586"/>
      <c r="I527" s="1647"/>
      <c r="J527" s="1647"/>
      <c r="K527" s="1647"/>
      <c r="L527" s="1586"/>
      <c r="M527" s="2174"/>
      <c r="N527" s="2174"/>
      <c r="O527" s="836"/>
      <c r="P527" s="2174"/>
      <c r="Q527" s="836"/>
      <c r="R527" s="309"/>
      <c r="S527" s="309"/>
      <c r="T527" s="309"/>
      <c r="U527" s="309"/>
      <c r="V527" s="311"/>
      <c r="W527" s="311"/>
      <c r="X527" s="1647"/>
      <c r="Y527" s="311"/>
      <c r="Z527" s="311"/>
      <c r="AA527" s="311"/>
      <c r="AB527" s="311"/>
      <c r="AC527" s="311"/>
      <c r="AD527" s="311"/>
      <c r="AE527" s="311"/>
      <c r="AF527" s="311"/>
      <c r="AG527" s="311"/>
      <c r="AH527" s="311"/>
      <c r="AI527" s="311"/>
      <c r="AJ527" s="311"/>
      <c r="AK527" s="311"/>
      <c r="AL527" s="311"/>
      <c r="AM527" s="311"/>
    </row>
    <row r="528" spans="1:39" ht="15.75" customHeight="1">
      <c r="A528" s="1647"/>
      <c r="B528" s="311"/>
      <c r="C528" s="1647"/>
      <c r="D528" s="2173"/>
      <c r="E528" s="1586"/>
      <c r="F528" s="1954"/>
      <c r="G528" s="1586"/>
      <c r="H528" s="1586"/>
      <c r="I528" s="1647"/>
      <c r="J528" s="1647"/>
      <c r="K528" s="1647"/>
      <c r="L528" s="1586"/>
      <c r="M528" s="2174"/>
      <c r="N528" s="2174"/>
      <c r="O528" s="836"/>
      <c r="P528" s="2174"/>
      <c r="Q528" s="836"/>
      <c r="R528" s="309"/>
      <c r="S528" s="309"/>
      <c r="T528" s="309"/>
      <c r="U528" s="309"/>
      <c r="V528" s="311"/>
      <c r="W528" s="311"/>
      <c r="X528" s="1647"/>
      <c r="Y528" s="311"/>
      <c r="Z528" s="311"/>
      <c r="AA528" s="311"/>
      <c r="AB528" s="311"/>
      <c r="AC528" s="311"/>
      <c r="AD528" s="311"/>
      <c r="AE528" s="311"/>
      <c r="AF528" s="311"/>
      <c r="AG528" s="311"/>
      <c r="AH528" s="311"/>
      <c r="AI528" s="311"/>
      <c r="AJ528" s="311"/>
      <c r="AK528" s="311"/>
      <c r="AL528" s="311"/>
      <c r="AM528" s="311"/>
    </row>
    <row r="529" spans="1:39" ht="15.75" customHeight="1">
      <c r="A529" s="1647"/>
      <c r="B529" s="311"/>
      <c r="C529" s="1647"/>
      <c r="D529" s="2173"/>
      <c r="E529" s="1586"/>
      <c r="F529" s="1954"/>
      <c r="G529" s="1586"/>
      <c r="H529" s="1586"/>
      <c r="I529" s="1647"/>
      <c r="J529" s="1647"/>
      <c r="K529" s="1647"/>
      <c r="L529" s="1586"/>
      <c r="M529" s="2174"/>
      <c r="N529" s="2174"/>
      <c r="O529" s="836"/>
      <c r="P529" s="2174"/>
      <c r="Q529" s="836"/>
      <c r="R529" s="309"/>
      <c r="S529" s="309"/>
      <c r="T529" s="309"/>
      <c r="U529" s="309"/>
      <c r="V529" s="311"/>
      <c r="W529" s="311"/>
      <c r="X529" s="1647"/>
      <c r="Y529" s="311"/>
      <c r="Z529" s="311"/>
      <c r="AA529" s="311"/>
      <c r="AB529" s="311"/>
      <c r="AC529" s="311"/>
      <c r="AD529" s="311"/>
      <c r="AE529" s="311"/>
      <c r="AF529" s="311"/>
      <c r="AG529" s="311"/>
      <c r="AH529" s="311"/>
      <c r="AI529" s="311"/>
      <c r="AJ529" s="311"/>
      <c r="AK529" s="311"/>
      <c r="AL529" s="311"/>
      <c r="AM529" s="311"/>
    </row>
    <row r="530" spans="1:39" ht="15.75" customHeight="1">
      <c r="A530" s="1647"/>
      <c r="B530" s="311"/>
      <c r="C530" s="1647"/>
      <c r="D530" s="2173"/>
      <c r="E530" s="1586"/>
      <c r="F530" s="1954"/>
      <c r="G530" s="1586"/>
      <c r="H530" s="1586"/>
      <c r="I530" s="1647"/>
      <c r="J530" s="1647"/>
      <c r="K530" s="1647"/>
      <c r="L530" s="1586"/>
      <c r="M530" s="2174"/>
      <c r="N530" s="2174"/>
      <c r="O530" s="836"/>
      <c r="P530" s="2174"/>
      <c r="Q530" s="836"/>
      <c r="R530" s="309"/>
      <c r="S530" s="309"/>
      <c r="T530" s="309"/>
      <c r="U530" s="309"/>
      <c r="V530" s="311"/>
      <c r="W530" s="311"/>
      <c r="X530" s="1647"/>
      <c r="Y530" s="311"/>
      <c r="Z530" s="311"/>
      <c r="AA530" s="311"/>
      <c r="AB530" s="311"/>
      <c r="AC530" s="311"/>
      <c r="AD530" s="311"/>
      <c r="AE530" s="311"/>
      <c r="AF530" s="311"/>
      <c r="AG530" s="311"/>
      <c r="AH530" s="311"/>
      <c r="AI530" s="311"/>
      <c r="AJ530" s="311"/>
      <c r="AK530" s="311"/>
      <c r="AL530" s="311"/>
      <c r="AM530" s="311"/>
    </row>
    <row r="531" spans="1:39" ht="15.75" customHeight="1">
      <c r="A531" s="1647"/>
      <c r="B531" s="311"/>
      <c r="C531" s="1647"/>
      <c r="D531" s="2173"/>
      <c r="E531" s="1586"/>
      <c r="F531" s="1954"/>
      <c r="G531" s="1586"/>
      <c r="H531" s="1586"/>
      <c r="I531" s="1647"/>
      <c r="J531" s="1647"/>
      <c r="K531" s="1647"/>
      <c r="L531" s="1586"/>
      <c r="M531" s="2174"/>
      <c r="N531" s="2174"/>
      <c r="O531" s="836"/>
      <c r="P531" s="2174"/>
      <c r="Q531" s="836"/>
      <c r="R531" s="309"/>
      <c r="S531" s="309"/>
      <c r="T531" s="309"/>
      <c r="U531" s="309"/>
      <c r="V531" s="311"/>
      <c r="W531" s="311"/>
      <c r="X531" s="1647"/>
      <c r="Y531" s="311"/>
      <c r="Z531" s="311"/>
      <c r="AA531" s="311"/>
      <c r="AB531" s="311"/>
      <c r="AC531" s="311"/>
      <c r="AD531" s="311"/>
      <c r="AE531" s="311"/>
      <c r="AF531" s="311"/>
      <c r="AG531" s="311"/>
      <c r="AH531" s="311"/>
      <c r="AI531" s="311"/>
      <c r="AJ531" s="311"/>
      <c r="AK531" s="311"/>
      <c r="AL531" s="311"/>
      <c r="AM531" s="311"/>
    </row>
    <row r="532" spans="1:39" ht="15.75" customHeight="1">
      <c r="A532" s="1647"/>
      <c r="B532" s="311"/>
      <c r="C532" s="1647"/>
      <c r="D532" s="2173"/>
      <c r="E532" s="1586"/>
      <c r="F532" s="1954"/>
      <c r="G532" s="1586"/>
      <c r="H532" s="1586"/>
      <c r="I532" s="1647"/>
      <c r="J532" s="1647"/>
      <c r="K532" s="1647"/>
      <c r="L532" s="1586"/>
      <c r="M532" s="2174"/>
      <c r="N532" s="2174"/>
      <c r="O532" s="836"/>
      <c r="P532" s="2174"/>
      <c r="Q532" s="836"/>
      <c r="R532" s="309"/>
      <c r="S532" s="309"/>
      <c r="T532" s="309"/>
      <c r="U532" s="309"/>
      <c r="V532" s="311"/>
      <c r="W532" s="311"/>
      <c r="X532" s="1647"/>
      <c r="Y532" s="311"/>
      <c r="Z532" s="311"/>
      <c r="AA532" s="311"/>
      <c r="AB532" s="311"/>
      <c r="AC532" s="311"/>
      <c r="AD532" s="311"/>
      <c r="AE532" s="311"/>
      <c r="AF532" s="311"/>
      <c r="AG532" s="311"/>
      <c r="AH532" s="311"/>
      <c r="AI532" s="311"/>
      <c r="AJ532" s="311"/>
      <c r="AK532" s="311"/>
      <c r="AL532" s="311"/>
      <c r="AM532" s="311"/>
    </row>
    <row r="533" spans="1:39" ht="15.75" customHeight="1">
      <c r="A533" s="1647"/>
      <c r="B533" s="311"/>
      <c r="C533" s="1647"/>
      <c r="D533" s="2173"/>
      <c r="E533" s="1586"/>
      <c r="F533" s="1954"/>
      <c r="G533" s="1586"/>
      <c r="H533" s="1586"/>
      <c r="I533" s="1647"/>
      <c r="J533" s="1647"/>
      <c r="K533" s="1647"/>
      <c r="L533" s="1586"/>
      <c r="M533" s="2174"/>
      <c r="N533" s="2174"/>
      <c r="O533" s="836"/>
      <c r="P533" s="2174"/>
      <c r="Q533" s="836"/>
      <c r="R533" s="309"/>
      <c r="S533" s="309"/>
      <c r="T533" s="309"/>
      <c r="U533" s="309"/>
      <c r="V533" s="311"/>
      <c r="W533" s="311"/>
      <c r="X533" s="1647"/>
      <c r="Y533" s="311"/>
      <c r="Z533" s="311"/>
      <c r="AA533" s="311"/>
      <c r="AB533" s="311"/>
      <c r="AC533" s="311"/>
      <c r="AD533" s="311"/>
      <c r="AE533" s="311"/>
      <c r="AF533" s="311"/>
      <c r="AG533" s="311"/>
      <c r="AH533" s="311"/>
      <c r="AI533" s="311"/>
      <c r="AJ533" s="311"/>
      <c r="AK533" s="311"/>
      <c r="AL533" s="311"/>
      <c r="AM533" s="311"/>
    </row>
    <row r="534" spans="1:39" ht="15.75" customHeight="1">
      <c r="A534" s="1647"/>
      <c r="B534" s="311"/>
      <c r="C534" s="1647"/>
      <c r="D534" s="2173"/>
      <c r="E534" s="1586"/>
      <c r="F534" s="1954"/>
      <c r="G534" s="1586"/>
      <c r="H534" s="1586"/>
      <c r="I534" s="1647"/>
      <c r="J534" s="1647"/>
      <c r="K534" s="1647"/>
      <c r="L534" s="1586"/>
      <c r="M534" s="2174"/>
      <c r="N534" s="2174"/>
      <c r="O534" s="836"/>
      <c r="P534" s="2174"/>
      <c r="Q534" s="836"/>
      <c r="R534" s="309"/>
      <c r="S534" s="309"/>
      <c r="T534" s="309"/>
      <c r="U534" s="309"/>
      <c r="V534" s="311"/>
      <c r="W534" s="311"/>
      <c r="X534" s="1647"/>
      <c r="Y534" s="311"/>
      <c r="Z534" s="311"/>
      <c r="AA534" s="311"/>
      <c r="AB534" s="311"/>
      <c r="AC534" s="311"/>
      <c r="AD534" s="311"/>
      <c r="AE534" s="311"/>
      <c r="AF534" s="311"/>
      <c r="AG534" s="311"/>
      <c r="AH534" s="311"/>
      <c r="AI534" s="311"/>
      <c r="AJ534" s="311"/>
      <c r="AK534" s="311"/>
      <c r="AL534" s="311"/>
      <c r="AM534" s="311"/>
    </row>
    <row r="535" spans="1:39" ht="15.75" customHeight="1">
      <c r="A535" s="1647"/>
      <c r="B535" s="311"/>
      <c r="C535" s="1647"/>
      <c r="D535" s="2173"/>
      <c r="E535" s="1586"/>
      <c r="F535" s="1954"/>
      <c r="G535" s="1586"/>
      <c r="H535" s="1586"/>
      <c r="I535" s="1647"/>
      <c r="J535" s="1647"/>
      <c r="K535" s="1647"/>
      <c r="L535" s="1586"/>
      <c r="M535" s="2174"/>
      <c r="N535" s="2174"/>
      <c r="O535" s="836"/>
      <c r="P535" s="2174"/>
      <c r="Q535" s="836"/>
      <c r="R535" s="309"/>
      <c r="S535" s="309"/>
      <c r="T535" s="309"/>
      <c r="U535" s="309"/>
      <c r="V535" s="311"/>
      <c r="W535" s="311"/>
      <c r="X535" s="1647"/>
      <c r="Y535" s="311"/>
      <c r="Z535" s="311"/>
      <c r="AA535" s="311"/>
      <c r="AB535" s="311"/>
      <c r="AC535" s="311"/>
      <c r="AD535" s="311"/>
      <c r="AE535" s="311"/>
      <c r="AF535" s="311"/>
      <c r="AG535" s="311"/>
      <c r="AH535" s="311"/>
      <c r="AI535" s="311"/>
      <c r="AJ535" s="311"/>
      <c r="AK535" s="311"/>
      <c r="AL535" s="311"/>
      <c r="AM535" s="311"/>
    </row>
    <row r="536" spans="1:39" ht="15.75" customHeight="1">
      <c r="A536" s="1647"/>
      <c r="B536" s="311"/>
      <c r="C536" s="1647"/>
      <c r="D536" s="2173"/>
      <c r="E536" s="1586"/>
      <c r="F536" s="1954"/>
      <c r="G536" s="1586"/>
      <c r="H536" s="1586"/>
      <c r="I536" s="1647"/>
      <c r="J536" s="1647"/>
      <c r="K536" s="1647"/>
      <c r="L536" s="1586"/>
      <c r="M536" s="2174"/>
      <c r="N536" s="2174"/>
      <c r="O536" s="836"/>
      <c r="P536" s="2174"/>
      <c r="Q536" s="836"/>
      <c r="R536" s="309"/>
      <c r="S536" s="309"/>
      <c r="T536" s="309"/>
      <c r="U536" s="309"/>
      <c r="V536" s="311"/>
      <c r="W536" s="311"/>
      <c r="X536" s="1647"/>
      <c r="Y536" s="311"/>
      <c r="Z536" s="311"/>
      <c r="AA536" s="311"/>
      <c r="AB536" s="311"/>
      <c r="AC536" s="311"/>
      <c r="AD536" s="311"/>
      <c r="AE536" s="311"/>
      <c r="AF536" s="311"/>
      <c r="AG536" s="311"/>
      <c r="AH536" s="311"/>
      <c r="AI536" s="311"/>
      <c r="AJ536" s="311"/>
      <c r="AK536" s="311"/>
      <c r="AL536" s="311"/>
      <c r="AM536" s="311"/>
    </row>
    <row r="537" spans="1:39" ht="15.75" customHeight="1">
      <c r="A537" s="1647"/>
      <c r="B537" s="311"/>
      <c r="C537" s="1647"/>
      <c r="D537" s="2173"/>
      <c r="E537" s="1586"/>
      <c r="F537" s="1954"/>
      <c r="G537" s="1586"/>
      <c r="H537" s="1586"/>
      <c r="I537" s="1647"/>
      <c r="J537" s="1647"/>
      <c r="K537" s="1647"/>
      <c r="L537" s="1586"/>
      <c r="M537" s="2174"/>
      <c r="N537" s="2174"/>
      <c r="O537" s="836"/>
      <c r="P537" s="2174"/>
      <c r="Q537" s="836"/>
      <c r="R537" s="309"/>
      <c r="S537" s="309"/>
      <c r="T537" s="309"/>
      <c r="U537" s="309"/>
      <c r="V537" s="311"/>
      <c r="W537" s="311"/>
      <c r="X537" s="1647"/>
      <c r="Y537" s="311"/>
      <c r="Z537" s="311"/>
      <c r="AA537" s="311"/>
      <c r="AB537" s="311"/>
      <c r="AC537" s="311"/>
      <c r="AD537" s="311"/>
      <c r="AE537" s="311"/>
      <c r="AF537" s="311"/>
      <c r="AG537" s="311"/>
      <c r="AH537" s="311"/>
      <c r="AI537" s="311"/>
      <c r="AJ537" s="311"/>
      <c r="AK537" s="311"/>
      <c r="AL537" s="311"/>
      <c r="AM537" s="311"/>
    </row>
    <row r="538" spans="1:39" ht="15.75" customHeight="1">
      <c r="A538" s="1647"/>
      <c r="B538" s="311"/>
      <c r="C538" s="1647"/>
      <c r="D538" s="2173"/>
      <c r="E538" s="1586"/>
      <c r="F538" s="1954"/>
      <c r="G538" s="1586"/>
      <c r="H538" s="1586"/>
      <c r="I538" s="1647"/>
      <c r="J538" s="1647"/>
      <c r="K538" s="1647"/>
      <c r="L538" s="1586"/>
      <c r="M538" s="2174"/>
      <c r="N538" s="2174"/>
      <c r="O538" s="836"/>
      <c r="P538" s="2174"/>
      <c r="Q538" s="836"/>
      <c r="R538" s="309"/>
      <c r="S538" s="309"/>
      <c r="T538" s="309"/>
      <c r="U538" s="309"/>
      <c r="V538" s="311"/>
      <c r="W538" s="311"/>
      <c r="X538" s="1647"/>
      <c r="Y538" s="311"/>
      <c r="Z538" s="311"/>
      <c r="AA538" s="311"/>
      <c r="AB538" s="311"/>
      <c r="AC538" s="311"/>
      <c r="AD538" s="311"/>
      <c r="AE538" s="311"/>
      <c r="AF538" s="311"/>
      <c r="AG538" s="311"/>
      <c r="AH538" s="311"/>
      <c r="AI538" s="311"/>
      <c r="AJ538" s="311"/>
      <c r="AK538" s="311"/>
      <c r="AL538" s="311"/>
      <c r="AM538" s="311"/>
    </row>
    <row r="539" spans="1:39" ht="15.75" customHeight="1">
      <c r="A539" s="1647"/>
      <c r="B539" s="311"/>
      <c r="C539" s="1647"/>
      <c r="D539" s="2173"/>
      <c r="E539" s="1586"/>
      <c r="F539" s="1954"/>
      <c r="G539" s="1586"/>
      <c r="H539" s="1586"/>
      <c r="I539" s="1647"/>
      <c r="J539" s="1647"/>
      <c r="K539" s="1647"/>
      <c r="L539" s="1586"/>
      <c r="M539" s="2174"/>
      <c r="N539" s="2174"/>
      <c r="O539" s="836"/>
      <c r="P539" s="2174"/>
      <c r="Q539" s="836"/>
      <c r="R539" s="309"/>
      <c r="S539" s="309"/>
      <c r="T539" s="309"/>
      <c r="U539" s="309"/>
      <c r="V539" s="311"/>
      <c r="W539" s="311"/>
      <c r="X539" s="1647"/>
      <c r="Y539" s="311"/>
      <c r="Z539" s="311"/>
      <c r="AA539" s="311"/>
      <c r="AB539" s="311"/>
      <c r="AC539" s="311"/>
      <c r="AD539" s="311"/>
      <c r="AE539" s="311"/>
      <c r="AF539" s="311"/>
      <c r="AG539" s="311"/>
      <c r="AH539" s="311"/>
      <c r="AI539" s="311"/>
      <c r="AJ539" s="311"/>
      <c r="AK539" s="311"/>
      <c r="AL539" s="311"/>
      <c r="AM539" s="311"/>
    </row>
    <row r="540" spans="1:39" ht="15.75" customHeight="1">
      <c r="A540" s="1647"/>
      <c r="B540" s="311"/>
      <c r="C540" s="1647"/>
      <c r="D540" s="2173"/>
      <c r="E540" s="1586"/>
      <c r="F540" s="1954"/>
      <c r="G540" s="1586"/>
      <c r="H540" s="1586"/>
      <c r="I540" s="1647"/>
      <c r="J540" s="1647"/>
      <c r="K540" s="1647"/>
      <c r="L540" s="1586"/>
      <c r="M540" s="2174"/>
      <c r="N540" s="2174"/>
      <c r="O540" s="836"/>
      <c r="P540" s="2174"/>
      <c r="Q540" s="836"/>
      <c r="R540" s="309"/>
      <c r="S540" s="309"/>
      <c r="T540" s="309"/>
      <c r="U540" s="309"/>
      <c r="V540" s="311"/>
      <c r="W540" s="311"/>
      <c r="X540" s="1647"/>
      <c r="Y540" s="311"/>
      <c r="Z540" s="311"/>
      <c r="AA540" s="311"/>
      <c r="AB540" s="311"/>
      <c r="AC540" s="311"/>
      <c r="AD540" s="311"/>
      <c r="AE540" s="311"/>
      <c r="AF540" s="311"/>
      <c r="AG540" s="311"/>
      <c r="AH540" s="311"/>
      <c r="AI540" s="311"/>
      <c r="AJ540" s="311"/>
      <c r="AK540" s="311"/>
      <c r="AL540" s="311"/>
      <c r="AM540" s="311"/>
    </row>
    <row r="541" spans="1:39" ht="15.75" customHeight="1">
      <c r="A541" s="1647"/>
      <c r="B541" s="311"/>
      <c r="C541" s="1647"/>
      <c r="D541" s="2173"/>
      <c r="E541" s="1586"/>
      <c r="F541" s="1954"/>
      <c r="G541" s="1586"/>
      <c r="H541" s="1586"/>
      <c r="I541" s="1647"/>
      <c r="J541" s="1647"/>
      <c r="K541" s="1647"/>
      <c r="L541" s="1586"/>
      <c r="M541" s="2174"/>
      <c r="N541" s="2174"/>
      <c r="O541" s="836"/>
      <c r="P541" s="2174"/>
      <c r="Q541" s="836"/>
      <c r="R541" s="309"/>
      <c r="S541" s="309"/>
      <c r="T541" s="309"/>
      <c r="U541" s="309"/>
      <c r="V541" s="311"/>
      <c r="W541" s="311"/>
      <c r="X541" s="1647"/>
      <c r="Y541" s="311"/>
      <c r="Z541" s="311"/>
      <c r="AA541" s="311"/>
      <c r="AB541" s="311"/>
      <c r="AC541" s="311"/>
      <c r="AD541" s="311"/>
      <c r="AE541" s="311"/>
      <c r="AF541" s="311"/>
      <c r="AG541" s="311"/>
      <c r="AH541" s="311"/>
      <c r="AI541" s="311"/>
      <c r="AJ541" s="311"/>
      <c r="AK541" s="311"/>
      <c r="AL541" s="311"/>
      <c r="AM541" s="311"/>
    </row>
    <row r="542" spans="1:39" ht="15.75" customHeight="1">
      <c r="A542" s="1647"/>
      <c r="B542" s="311"/>
      <c r="C542" s="1647"/>
      <c r="D542" s="2173"/>
      <c r="E542" s="1586"/>
      <c r="F542" s="1954"/>
      <c r="G542" s="1586"/>
      <c r="H542" s="1586"/>
      <c r="I542" s="1647"/>
      <c r="J542" s="1647"/>
      <c r="K542" s="1647"/>
      <c r="L542" s="1586"/>
      <c r="M542" s="2174"/>
      <c r="N542" s="2174"/>
      <c r="O542" s="836"/>
      <c r="P542" s="2174"/>
      <c r="Q542" s="836"/>
      <c r="R542" s="309"/>
      <c r="S542" s="309"/>
      <c r="T542" s="309"/>
      <c r="U542" s="309"/>
      <c r="V542" s="311"/>
      <c r="W542" s="311"/>
      <c r="X542" s="1647"/>
      <c r="Y542" s="311"/>
      <c r="Z542" s="311"/>
      <c r="AA542" s="311"/>
      <c r="AB542" s="311"/>
      <c r="AC542" s="311"/>
      <c r="AD542" s="311"/>
      <c r="AE542" s="311"/>
      <c r="AF542" s="311"/>
      <c r="AG542" s="311"/>
      <c r="AH542" s="311"/>
      <c r="AI542" s="311"/>
      <c r="AJ542" s="311"/>
      <c r="AK542" s="311"/>
      <c r="AL542" s="311"/>
      <c r="AM542" s="311"/>
    </row>
    <row r="543" spans="1:39" ht="15.75" customHeight="1">
      <c r="A543" s="1647"/>
      <c r="B543" s="311"/>
      <c r="C543" s="1647"/>
      <c r="D543" s="2173"/>
      <c r="E543" s="1586"/>
      <c r="F543" s="1954"/>
      <c r="G543" s="1586"/>
      <c r="H543" s="1586"/>
      <c r="I543" s="1647"/>
      <c r="J543" s="1647"/>
      <c r="K543" s="1647"/>
      <c r="L543" s="1586"/>
      <c r="M543" s="2174"/>
      <c r="N543" s="2174"/>
      <c r="O543" s="836"/>
      <c r="P543" s="2174"/>
      <c r="Q543" s="836"/>
      <c r="R543" s="309"/>
      <c r="S543" s="309"/>
      <c r="T543" s="309"/>
      <c r="U543" s="309"/>
      <c r="V543" s="311"/>
      <c r="W543" s="311"/>
      <c r="X543" s="1647"/>
      <c r="Y543" s="311"/>
      <c r="Z543" s="311"/>
      <c r="AA543" s="311"/>
      <c r="AB543" s="311"/>
      <c r="AC543" s="311"/>
      <c r="AD543" s="311"/>
      <c r="AE543" s="311"/>
      <c r="AF543" s="311"/>
      <c r="AG543" s="311"/>
      <c r="AH543" s="311"/>
      <c r="AI543" s="311"/>
      <c r="AJ543" s="311"/>
      <c r="AK543" s="311"/>
      <c r="AL543" s="311"/>
      <c r="AM543" s="311"/>
    </row>
    <row r="544" spans="1:39" ht="15.75" customHeight="1">
      <c r="A544" s="1647"/>
      <c r="B544" s="311"/>
      <c r="C544" s="1647"/>
      <c r="D544" s="2173"/>
      <c r="E544" s="1586"/>
      <c r="F544" s="1954"/>
      <c r="G544" s="1586"/>
      <c r="H544" s="1586"/>
      <c r="I544" s="1647"/>
      <c r="J544" s="1647"/>
      <c r="K544" s="1647"/>
      <c r="L544" s="1586"/>
      <c r="M544" s="2174"/>
      <c r="N544" s="2174"/>
      <c r="O544" s="836"/>
      <c r="P544" s="2174"/>
      <c r="Q544" s="836"/>
      <c r="R544" s="309"/>
      <c r="S544" s="309"/>
      <c r="T544" s="309"/>
      <c r="U544" s="309"/>
      <c r="V544" s="311"/>
      <c r="W544" s="311"/>
      <c r="X544" s="1647"/>
      <c r="Y544" s="311"/>
      <c r="Z544" s="311"/>
      <c r="AA544" s="311"/>
      <c r="AB544" s="311"/>
      <c r="AC544" s="311"/>
      <c r="AD544" s="311"/>
      <c r="AE544" s="311"/>
      <c r="AF544" s="311"/>
      <c r="AG544" s="311"/>
      <c r="AH544" s="311"/>
      <c r="AI544" s="311"/>
      <c r="AJ544" s="311"/>
      <c r="AK544" s="311"/>
      <c r="AL544" s="311"/>
      <c r="AM544" s="311"/>
    </row>
    <row r="545" spans="1:39" ht="15.75" customHeight="1">
      <c r="A545" s="1647"/>
      <c r="B545" s="311"/>
      <c r="C545" s="1647"/>
      <c r="D545" s="2173"/>
      <c r="E545" s="1586"/>
      <c r="F545" s="1954"/>
      <c r="G545" s="1586"/>
      <c r="H545" s="1586"/>
      <c r="I545" s="1647"/>
      <c r="J545" s="1647"/>
      <c r="K545" s="1647"/>
      <c r="L545" s="1586"/>
      <c r="M545" s="2174"/>
      <c r="N545" s="2174"/>
      <c r="O545" s="836"/>
      <c r="P545" s="2174"/>
      <c r="Q545" s="836"/>
      <c r="R545" s="309"/>
      <c r="S545" s="309"/>
      <c r="T545" s="309"/>
      <c r="U545" s="309"/>
      <c r="V545" s="311"/>
      <c r="W545" s="311"/>
      <c r="X545" s="1647"/>
      <c r="Y545" s="311"/>
      <c r="Z545" s="311"/>
      <c r="AA545" s="311"/>
      <c r="AB545" s="311"/>
      <c r="AC545" s="311"/>
      <c r="AD545" s="311"/>
      <c r="AE545" s="311"/>
      <c r="AF545" s="311"/>
      <c r="AG545" s="311"/>
      <c r="AH545" s="311"/>
      <c r="AI545" s="311"/>
      <c r="AJ545" s="311"/>
      <c r="AK545" s="311"/>
      <c r="AL545" s="311"/>
      <c r="AM545" s="311"/>
    </row>
    <row r="546" spans="1:39" ht="15.75" customHeight="1">
      <c r="A546" s="1647"/>
      <c r="B546" s="311"/>
      <c r="C546" s="1647"/>
      <c r="D546" s="2173"/>
      <c r="E546" s="1586"/>
      <c r="F546" s="1954"/>
      <c r="G546" s="1586"/>
      <c r="H546" s="1586"/>
      <c r="I546" s="1647"/>
      <c r="J546" s="1647"/>
      <c r="K546" s="1647"/>
      <c r="L546" s="1586"/>
      <c r="M546" s="2174"/>
      <c r="N546" s="2174"/>
      <c r="O546" s="836"/>
      <c r="P546" s="2174"/>
      <c r="Q546" s="836"/>
      <c r="R546" s="309"/>
      <c r="S546" s="309"/>
      <c r="T546" s="309"/>
      <c r="U546" s="309"/>
      <c r="V546" s="311"/>
      <c r="W546" s="311"/>
      <c r="X546" s="1647"/>
      <c r="Y546" s="311"/>
      <c r="Z546" s="311"/>
      <c r="AA546" s="311"/>
      <c r="AB546" s="311"/>
      <c r="AC546" s="311"/>
      <c r="AD546" s="311"/>
      <c r="AE546" s="311"/>
      <c r="AF546" s="311"/>
      <c r="AG546" s="311"/>
      <c r="AH546" s="311"/>
      <c r="AI546" s="311"/>
      <c r="AJ546" s="311"/>
      <c r="AK546" s="311"/>
      <c r="AL546" s="311"/>
      <c r="AM546" s="311"/>
    </row>
    <row r="547" spans="1:39" ht="15.75" customHeight="1">
      <c r="A547" s="1647"/>
      <c r="B547" s="311"/>
      <c r="C547" s="1647"/>
      <c r="D547" s="2173"/>
      <c r="E547" s="1586"/>
      <c r="F547" s="1954"/>
      <c r="G547" s="1586"/>
      <c r="H547" s="1586"/>
      <c r="I547" s="1647"/>
      <c r="J547" s="1647"/>
      <c r="K547" s="1647"/>
      <c r="L547" s="1586"/>
      <c r="M547" s="2174"/>
      <c r="N547" s="2174"/>
      <c r="O547" s="836"/>
      <c r="P547" s="2174"/>
      <c r="Q547" s="836"/>
      <c r="R547" s="309"/>
      <c r="S547" s="309"/>
      <c r="T547" s="309"/>
      <c r="U547" s="309"/>
      <c r="V547" s="311"/>
      <c r="W547" s="311"/>
      <c r="X547" s="1647"/>
      <c r="Y547" s="311"/>
      <c r="Z547" s="311"/>
      <c r="AA547" s="311"/>
      <c r="AB547" s="311"/>
      <c r="AC547" s="311"/>
      <c r="AD547" s="311"/>
      <c r="AE547" s="311"/>
      <c r="AF547" s="311"/>
      <c r="AG547" s="311"/>
      <c r="AH547" s="311"/>
      <c r="AI547" s="311"/>
      <c r="AJ547" s="311"/>
      <c r="AK547" s="311"/>
      <c r="AL547" s="311"/>
      <c r="AM547" s="311"/>
    </row>
    <row r="548" spans="1:39" ht="15.75" customHeight="1">
      <c r="A548" s="1647"/>
      <c r="B548" s="311"/>
      <c r="C548" s="1647"/>
      <c r="D548" s="2173"/>
      <c r="E548" s="1586"/>
      <c r="F548" s="1954"/>
      <c r="G548" s="1586"/>
      <c r="H548" s="1586"/>
      <c r="I548" s="1647"/>
      <c r="J548" s="1647"/>
      <c r="K548" s="1647"/>
      <c r="L548" s="1586"/>
      <c r="M548" s="2174"/>
      <c r="N548" s="2174"/>
      <c r="O548" s="836"/>
      <c r="P548" s="2174"/>
      <c r="Q548" s="836"/>
      <c r="R548" s="309"/>
      <c r="S548" s="309"/>
      <c r="T548" s="309"/>
      <c r="U548" s="309"/>
      <c r="V548" s="311"/>
      <c r="W548" s="311"/>
      <c r="X548" s="1647"/>
      <c r="Y548" s="311"/>
      <c r="Z548" s="311"/>
      <c r="AA548" s="311"/>
      <c r="AB548" s="311"/>
      <c r="AC548" s="311"/>
      <c r="AD548" s="311"/>
      <c r="AE548" s="311"/>
      <c r="AF548" s="311"/>
      <c r="AG548" s="311"/>
      <c r="AH548" s="311"/>
      <c r="AI548" s="311"/>
      <c r="AJ548" s="311"/>
      <c r="AK548" s="311"/>
      <c r="AL548" s="311"/>
      <c r="AM548" s="311"/>
    </row>
    <row r="549" spans="1:39" ht="15.75" customHeight="1">
      <c r="A549" s="1647"/>
      <c r="B549" s="311"/>
      <c r="C549" s="1647"/>
      <c r="D549" s="2173"/>
      <c r="E549" s="1586"/>
      <c r="F549" s="1954"/>
      <c r="G549" s="1586"/>
      <c r="H549" s="1586"/>
      <c r="I549" s="1647"/>
      <c r="J549" s="1647"/>
      <c r="K549" s="1647"/>
      <c r="L549" s="1586"/>
      <c r="M549" s="2174"/>
      <c r="N549" s="2174"/>
      <c r="O549" s="836"/>
      <c r="P549" s="2174"/>
      <c r="Q549" s="836"/>
      <c r="R549" s="309"/>
      <c r="S549" s="309"/>
      <c r="T549" s="309"/>
      <c r="U549" s="309"/>
      <c r="V549" s="311"/>
      <c r="W549" s="311"/>
      <c r="X549" s="1647"/>
      <c r="Y549" s="311"/>
      <c r="Z549" s="311"/>
      <c r="AA549" s="311"/>
      <c r="AB549" s="311"/>
      <c r="AC549" s="311"/>
      <c r="AD549" s="311"/>
      <c r="AE549" s="311"/>
      <c r="AF549" s="311"/>
      <c r="AG549" s="311"/>
      <c r="AH549" s="311"/>
      <c r="AI549" s="311"/>
      <c r="AJ549" s="311"/>
      <c r="AK549" s="311"/>
      <c r="AL549" s="311"/>
      <c r="AM549" s="311"/>
    </row>
    <row r="550" spans="1:39" ht="15.75" customHeight="1">
      <c r="A550" s="1647"/>
      <c r="B550" s="311"/>
      <c r="C550" s="1647"/>
      <c r="D550" s="2173"/>
      <c r="E550" s="1586"/>
      <c r="F550" s="1954"/>
      <c r="G550" s="1586"/>
      <c r="H550" s="1586"/>
      <c r="I550" s="1647"/>
      <c r="J550" s="1647"/>
      <c r="K550" s="1647"/>
      <c r="L550" s="1586"/>
      <c r="M550" s="2174"/>
      <c r="N550" s="2174"/>
      <c r="O550" s="836"/>
      <c r="P550" s="2174"/>
      <c r="Q550" s="836"/>
      <c r="R550" s="309"/>
      <c r="S550" s="309"/>
      <c r="T550" s="309"/>
      <c r="U550" s="309"/>
      <c r="V550" s="311"/>
      <c r="W550" s="311"/>
      <c r="X550" s="1647"/>
      <c r="Y550" s="311"/>
      <c r="Z550" s="311"/>
      <c r="AA550" s="311"/>
      <c r="AB550" s="311"/>
      <c r="AC550" s="311"/>
      <c r="AD550" s="311"/>
      <c r="AE550" s="311"/>
      <c r="AF550" s="311"/>
      <c r="AG550" s="311"/>
      <c r="AH550" s="311"/>
      <c r="AI550" s="311"/>
      <c r="AJ550" s="311"/>
      <c r="AK550" s="311"/>
      <c r="AL550" s="311"/>
      <c r="AM550" s="311"/>
    </row>
    <row r="551" spans="1:39" ht="15.75" customHeight="1">
      <c r="A551" s="1647"/>
      <c r="B551" s="311"/>
      <c r="C551" s="1647"/>
      <c r="D551" s="2173"/>
      <c r="E551" s="1586"/>
      <c r="F551" s="1954"/>
      <c r="G551" s="1586"/>
      <c r="H551" s="1586"/>
      <c r="I551" s="1647"/>
      <c r="J551" s="1647"/>
      <c r="K551" s="1647"/>
      <c r="L551" s="1586"/>
      <c r="M551" s="2174"/>
      <c r="N551" s="2174"/>
      <c r="O551" s="836"/>
      <c r="P551" s="2174"/>
      <c r="Q551" s="836"/>
      <c r="R551" s="309"/>
      <c r="S551" s="309"/>
      <c r="T551" s="309"/>
      <c r="U551" s="309"/>
      <c r="V551" s="311"/>
      <c r="W551" s="311"/>
      <c r="X551" s="1647"/>
      <c r="Y551" s="311"/>
      <c r="Z551" s="311"/>
      <c r="AA551" s="311"/>
      <c r="AB551" s="311"/>
      <c r="AC551" s="311"/>
      <c r="AD551" s="311"/>
      <c r="AE551" s="311"/>
      <c r="AF551" s="311"/>
      <c r="AG551" s="311"/>
      <c r="AH551" s="311"/>
      <c r="AI551" s="311"/>
      <c r="AJ551" s="311"/>
      <c r="AK551" s="311"/>
      <c r="AL551" s="311"/>
      <c r="AM551" s="311"/>
    </row>
    <row r="552" spans="1:39" ht="15.75" customHeight="1">
      <c r="A552" s="1647"/>
      <c r="B552" s="311"/>
      <c r="C552" s="1647"/>
      <c r="D552" s="2173"/>
      <c r="E552" s="1586"/>
      <c r="F552" s="1954"/>
      <c r="G552" s="1586"/>
      <c r="H552" s="1586"/>
      <c r="I552" s="1647"/>
      <c r="J552" s="1647"/>
      <c r="K552" s="1647"/>
      <c r="L552" s="1586"/>
      <c r="M552" s="2174"/>
      <c r="N552" s="2174"/>
      <c r="O552" s="836"/>
      <c r="P552" s="2174"/>
      <c r="Q552" s="836"/>
      <c r="R552" s="309"/>
      <c r="S552" s="309"/>
      <c r="T552" s="309"/>
      <c r="U552" s="309"/>
      <c r="V552" s="311"/>
      <c r="W552" s="311"/>
      <c r="X552" s="1647"/>
      <c r="Y552" s="311"/>
      <c r="Z552" s="311"/>
      <c r="AA552" s="311"/>
      <c r="AB552" s="311"/>
      <c r="AC552" s="311"/>
      <c r="AD552" s="311"/>
      <c r="AE552" s="311"/>
      <c r="AF552" s="311"/>
      <c r="AG552" s="311"/>
      <c r="AH552" s="311"/>
      <c r="AI552" s="311"/>
      <c r="AJ552" s="311"/>
      <c r="AK552" s="311"/>
      <c r="AL552" s="311"/>
      <c r="AM552" s="311"/>
    </row>
    <row r="553" spans="1:39" ht="15.75" customHeight="1">
      <c r="A553" s="1647"/>
      <c r="B553" s="311"/>
      <c r="C553" s="1647"/>
      <c r="D553" s="2173"/>
      <c r="E553" s="1586"/>
      <c r="F553" s="1954"/>
      <c r="G553" s="1586"/>
      <c r="H553" s="1586"/>
      <c r="I553" s="1647"/>
      <c r="J553" s="1647"/>
      <c r="K553" s="1647"/>
      <c r="L553" s="1586"/>
      <c r="M553" s="2174"/>
      <c r="N553" s="2174"/>
      <c r="O553" s="836"/>
      <c r="P553" s="2174"/>
      <c r="Q553" s="836"/>
      <c r="R553" s="309"/>
      <c r="S553" s="309"/>
      <c r="T553" s="309"/>
      <c r="U553" s="309"/>
      <c r="V553" s="311"/>
      <c r="W553" s="311"/>
      <c r="X553" s="1647"/>
      <c r="Y553" s="311"/>
      <c r="Z553" s="311"/>
      <c r="AA553" s="311"/>
      <c r="AB553" s="311"/>
      <c r="AC553" s="311"/>
      <c r="AD553" s="311"/>
      <c r="AE553" s="311"/>
      <c r="AF553" s="311"/>
      <c r="AG553" s="311"/>
      <c r="AH553" s="311"/>
      <c r="AI553" s="311"/>
      <c r="AJ553" s="311"/>
      <c r="AK553" s="311"/>
      <c r="AL553" s="311"/>
      <c r="AM553" s="311"/>
    </row>
    <row r="554" spans="1:39" ht="15.75" customHeight="1">
      <c r="A554" s="1647"/>
      <c r="B554" s="311"/>
      <c r="C554" s="1647"/>
      <c r="D554" s="2173"/>
      <c r="E554" s="1586"/>
      <c r="F554" s="1954"/>
      <c r="G554" s="1586"/>
      <c r="H554" s="1586"/>
      <c r="I554" s="1647"/>
      <c r="J554" s="1647"/>
      <c r="K554" s="1647"/>
      <c r="L554" s="1586"/>
      <c r="M554" s="2174"/>
      <c r="N554" s="2174"/>
      <c r="O554" s="836"/>
      <c r="P554" s="2174"/>
      <c r="Q554" s="836"/>
      <c r="R554" s="309"/>
      <c r="S554" s="309"/>
      <c r="T554" s="309"/>
      <c r="U554" s="309"/>
      <c r="V554" s="311"/>
      <c r="W554" s="311"/>
      <c r="X554" s="1647"/>
      <c r="Y554" s="311"/>
      <c r="Z554" s="311"/>
      <c r="AA554" s="311"/>
      <c r="AB554" s="311"/>
      <c r="AC554" s="311"/>
      <c r="AD554" s="311"/>
      <c r="AE554" s="311"/>
      <c r="AF554" s="311"/>
      <c r="AG554" s="311"/>
      <c r="AH554" s="311"/>
      <c r="AI554" s="311"/>
      <c r="AJ554" s="311"/>
      <c r="AK554" s="311"/>
      <c r="AL554" s="311"/>
      <c r="AM554" s="311"/>
    </row>
    <row r="555" spans="1:39" ht="15.75" customHeight="1">
      <c r="A555" s="1647"/>
      <c r="B555" s="311"/>
      <c r="C555" s="1647"/>
      <c r="D555" s="2173"/>
      <c r="E555" s="1586"/>
      <c r="F555" s="1954"/>
      <c r="G555" s="1586"/>
      <c r="H555" s="1586"/>
      <c r="I555" s="1647"/>
      <c r="J555" s="1647"/>
      <c r="K555" s="1647"/>
      <c r="L555" s="1586"/>
      <c r="M555" s="2174"/>
      <c r="N555" s="2174"/>
      <c r="O555" s="836"/>
      <c r="P555" s="2174"/>
      <c r="Q555" s="836"/>
      <c r="R555" s="309"/>
      <c r="S555" s="309"/>
      <c r="T555" s="309"/>
      <c r="U555" s="309"/>
      <c r="V555" s="311"/>
      <c r="W555" s="311"/>
      <c r="X555" s="1647"/>
      <c r="Y555" s="311"/>
      <c r="Z555" s="311"/>
      <c r="AA555" s="311"/>
      <c r="AB555" s="311"/>
      <c r="AC555" s="311"/>
      <c r="AD555" s="311"/>
      <c r="AE555" s="311"/>
      <c r="AF555" s="311"/>
      <c r="AG555" s="311"/>
      <c r="AH555" s="311"/>
      <c r="AI555" s="311"/>
      <c r="AJ555" s="311"/>
      <c r="AK555" s="311"/>
      <c r="AL555" s="311"/>
      <c r="AM555" s="311"/>
    </row>
    <row r="556" spans="1:39" ht="15.75" customHeight="1">
      <c r="A556" s="1647"/>
      <c r="B556" s="311"/>
      <c r="C556" s="1647"/>
      <c r="D556" s="2173"/>
      <c r="E556" s="1586"/>
      <c r="F556" s="1954"/>
      <c r="G556" s="1586"/>
      <c r="H556" s="1586"/>
      <c r="I556" s="1647"/>
      <c r="J556" s="1647"/>
      <c r="K556" s="1647"/>
      <c r="L556" s="1586"/>
      <c r="M556" s="2174"/>
      <c r="N556" s="2174"/>
      <c r="O556" s="836"/>
      <c r="P556" s="2174"/>
      <c r="Q556" s="836"/>
      <c r="R556" s="309"/>
      <c r="S556" s="309"/>
      <c r="T556" s="309"/>
      <c r="U556" s="309"/>
      <c r="V556" s="311"/>
      <c r="W556" s="311"/>
      <c r="X556" s="1647"/>
      <c r="Y556" s="311"/>
      <c r="Z556" s="311"/>
      <c r="AA556" s="311"/>
      <c r="AB556" s="311"/>
      <c r="AC556" s="311"/>
      <c r="AD556" s="311"/>
      <c r="AE556" s="311"/>
      <c r="AF556" s="311"/>
      <c r="AG556" s="311"/>
      <c r="AH556" s="311"/>
      <c r="AI556" s="311"/>
      <c r="AJ556" s="311"/>
      <c r="AK556" s="311"/>
      <c r="AL556" s="311"/>
      <c r="AM556" s="311"/>
    </row>
    <row r="557" spans="1:39" ht="15.75" customHeight="1">
      <c r="A557" s="1647"/>
      <c r="B557" s="311"/>
      <c r="C557" s="1647"/>
      <c r="D557" s="2173"/>
      <c r="E557" s="1586"/>
      <c r="F557" s="1954"/>
      <c r="G557" s="1586"/>
      <c r="H557" s="1586"/>
      <c r="I557" s="1647"/>
      <c r="J557" s="1647"/>
      <c r="K557" s="1647"/>
      <c r="L557" s="1586"/>
      <c r="M557" s="2174"/>
      <c r="N557" s="2174"/>
      <c r="O557" s="836"/>
      <c r="P557" s="2174"/>
      <c r="Q557" s="836"/>
      <c r="R557" s="309"/>
      <c r="S557" s="309"/>
      <c r="T557" s="309"/>
      <c r="U557" s="309"/>
      <c r="V557" s="311"/>
      <c r="W557" s="311"/>
      <c r="X557" s="1647"/>
      <c r="Y557" s="311"/>
      <c r="Z557" s="311"/>
      <c r="AA557" s="311"/>
      <c r="AB557" s="311"/>
      <c r="AC557" s="311"/>
      <c r="AD557" s="311"/>
      <c r="AE557" s="311"/>
      <c r="AF557" s="311"/>
      <c r="AG557" s="311"/>
      <c r="AH557" s="311"/>
      <c r="AI557" s="311"/>
      <c r="AJ557" s="311"/>
      <c r="AK557" s="311"/>
      <c r="AL557" s="311"/>
      <c r="AM557" s="311"/>
    </row>
    <row r="558" spans="1:39" ht="15.75" customHeight="1">
      <c r="A558" s="1647"/>
      <c r="B558" s="311"/>
      <c r="C558" s="1647"/>
      <c r="D558" s="2173"/>
      <c r="E558" s="1586"/>
      <c r="F558" s="1954"/>
      <c r="G558" s="1586"/>
      <c r="H558" s="1586"/>
      <c r="I558" s="1647"/>
      <c r="J558" s="1647"/>
      <c r="K558" s="1647"/>
      <c r="L558" s="1586"/>
      <c r="M558" s="2174"/>
      <c r="N558" s="2174"/>
      <c r="O558" s="836"/>
      <c r="P558" s="2174"/>
      <c r="Q558" s="836"/>
      <c r="R558" s="309"/>
      <c r="S558" s="309"/>
      <c r="T558" s="309"/>
      <c r="U558" s="309"/>
      <c r="V558" s="311"/>
      <c r="W558" s="311"/>
      <c r="X558" s="1647"/>
      <c r="Y558" s="311"/>
      <c r="Z558" s="311"/>
      <c r="AA558" s="311"/>
      <c r="AB558" s="311"/>
      <c r="AC558" s="311"/>
      <c r="AD558" s="311"/>
      <c r="AE558" s="311"/>
      <c r="AF558" s="311"/>
      <c r="AG558" s="311"/>
      <c r="AH558" s="311"/>
      <c r="AI558" s="311"/>
      <c r="AJ558" s="311"/>
      <c r="AK558" s="311"/>
      <c r="AL558" s="311"/>
      <c r="AM558" s="311"/>
    </row>
    <row r="559" spans="1:39" ht="15.75" customHeight="1">
      <c r="A559" s="1647"/>
      <c r="B559" s="311"/>
      <c r="C559" s="1647"/>
      <c r="D559" s="2173"/>
      <c r="E559" s="1586"/>
      <c r="F559" s="1954"/>
      <c r="G559" s="1586"/>
      <c r="H559" s="1586"/>
      <c r="I559" s="1647"/>
      <c r="J559" s="1647"/>
      <c r="K559" s="1647"/>
      <c r="L559" s="1586"/>
      <c r="M559" s="2174"/>
      <c r="N559" s="2174"/>
      <c r="O559" s="836"/>
      <c r="P559" s="2174"/>
      <c r="Q559" s="836"/>
      <c r="R559" s="309"/>
      <c r="S559" s="309"/>
      <c r="T559" s="309"/>
      <c r="U559" s="309"/>
      <c r="V559" s="311"/>
      <c r="W559" s="311"/>
      <c r="X559" s="1647"/>
      <c r="Y559" s="311"/>
      <c r="Z559" s="311"/>
      <c r="AA559" s="311"/>
      <c r="AB559" s="311"/>
      <c r="AC559" s="311"/>
      <c r="AD559" s="311"/>
      <c r="AE559" s="311"/>
      <c r="AF559" s="311"/>
      <c r="AG559" s="311"/>
      <c r="AH559" s="311"/>
      <c r="AI559" s="311"/>
      <c r="AJ559" s="311"/>
      <c r="AK559" s="311"/>
      <c r="AL559" s="311"/>
      <c r="AM559" s="311"/>
    </row>
    <row r="560" spans="1:39" ht="15.75" customHeight="1">
      <c r="A560" s="1647"/>
      <c r="B560" s="311"/>
      <c r="C560" s="1647"/>
      <c r="D560" s="2173"/>
      <c r="E560" s="1586"/>
      <c r="F560" s="1954"/>
      <c r="G560" s="1586"/>
      <c r="H560" s="1586"/>
      <c r="I560" s="1647"/>
      <c r="J560" s="1647"/>
      <c r="K560" s="1647"/>
      <c r="L560" s="1586"/>
      <c r="M560" s="2174"/>
      <c r="N560" s="2174"/>
      <c r="O560" s="836"/>
      <c r="P560" s="2174"/>
      <c r="Q560" s="836"/>
      <c r="R560" s="309"/>
      <c r="S560" s="309"/>
      <c r="T560" s="309"/>
      <c r="U560" s="309"/>
      <c r="V560" s="311"/>
      <c r="W560" s="311"/>
      <c r="X560" s="1647"/>
      <c r="Y560" s="311"/>
      <c r="Z560" s="311"/>
      <c r="AA560" s="311"/>
      <c r="AB560" s="311"/>
      <c r="AC560" s="311"/>
      <c r="AD560" s="311"/>
      <c r="AE560" s="311"/>
      <c r="AF560" s="311"/>
      <c r="AG560" s="311"/>
      <c r="AH560" s="311"/>
      <c r="AI560" s="311"/>
      <c r="AJ560" s="311"/>
      <c r="AK560" s="311"/>
      <c r="AL560" s="311"/>
      <c r="AM560" s="311"/>
    </row>
    <row r="561" spans="1:39" ht="15.75" customHeight="1">
      <c r="A561" s="1647"/>
      <c r="B561" s="311"/>
      <c r="C561" s="1647"/>
      <c r="D561" s="2173"/>
      <c r="E561" s="1586"/>
      <c r="F561" s="1954"/>
      <c r="G561" s="1586"/>
      <c r="H561" s="1586"/>
      <c r="I561" s="1647"/>
      <c r="J561" s="1647"/>
      <c r="K561" s="1647"/>
      <c r="L561" s="1586"/>
      <c r="M561" s="2174"/>
      <c r="N561" s="2174"/>
      <c r="O561" s="836"/>
      <c r="P561" s="2174"/>
      <c r="Q561" s="836"/>
      <c r="R561" s="309"/>
      <c r="S561" s="309"/>
      <c r="T561" s="309"/>
      <c r="U561" s="309"/>
      <c r="V561" s="311"/>
      <c r="W561" s="311"/>
      <c r="X561" s="1647"/>
      <c r="Y561" s="311"/>
      <c r="Z561" s="311"/>
      <c r="AA561" s="311"/>
      <c r="AB561" s="311"/>
      <c r="AC561" s="311"/>
      <c r="AD561" s="311"/>
      <c r="AE561" s="311"/>
      <c r="AF561" s="311"/>
      <c r="AG561" s="311"/>
      <c r="AH561" s="311"/>
      <c r="AI561" s="311"/>
      <c r="AJ561" s="311"/>
      <c r="AK561" s="311"/>
      <c r="AL561" s="311"/>
      <c r="AM561" s="311"/>
    </row>
    <row r="562" spans="1:39" ht="15.75" customHeight="1">
      <c r="A562" s="1647"/>
      <c r="B562" s="311"/>
      <c r="C562" s="1647"/>
      <c r="D562" s="2173"/>
      <c r="E562" s="1586"/>
      <c r="F562" s="1954"/>
      <c r="G562" s="1586"/>
      <c r="H562" s="1586"/>
      <c r="I562" s="1647"/>
      <c r="J562" s="1647"/>
      <c r="K562" s="1647"/>
      <c r="L562" s="1586"/>
      <c r="M562" s="2174"/>
      <c r="N562" s="2174"/>
      <c r="O562" s="836"/>
      <c r="P562" s="2174"/>
      <c r="Q562" s="836"/>
      <c r="R562" s="309"/>
      <c r="S562" s="309"/>
      <c r="T562" s="309"/>
      <c r="U562" s="309"/>
      <c r="V562" s="311"/>
      <c r="W562" s="311"/>
      <c r="X562" s="1647"/>
      <c r="Y562" s="311"/>
      <c r="Z562" s="311"/>
      <c r="AA562" s="311"/>
      <c r="AB562" s="311"/>
      <c r="AC562" s="311"/>
      <c r="AD562" s="311"/>
      <c r="AE562" s="311"/>
      <c r="AF562" s="311"/>
      <c r="AG562" s="311"/>
      <c r="AH562" s="311"/>
      <c r="AI562" s="311"/>
      <c r="AJ562" s="311"/>
      <c r="AK562" s="311"/>
      <c r="AL562" s="311"/>
      <c r="AM562" s="311"/>
    </row>
    <row r="563" spans="1:39" ht="15.75" customHeight="1">
      <c r="A563" s="1647"/>
      <c r="B563" s="311"/>
      <c r="C563" s="1647"/>
      <c r="D563" s="2173"/>
      <c r="E563" s="1586"/>
      <c r="F563" s="1954"/>
      <c r="G563" s="1586"/>
      <c r="H563" s="1586"/>
      <c r="I563" s="1647"/>
      <c r="J563" s="1647"/>
      <c r="K563" s="1647"/>
      <c r="L563" s="1586"/>
      <c r="M563" s="2174"/>
      <c r="N563" s="2174"/>
      <c r="O563" s="836"/>
      <c r="P563" s="2174"/>
      <c r="Q563" s="836"/>
      <c r="R563" s="309"/>
      <c r="S563" s="309"/>
      <c r="T563" s="309"/>
      <c r="U563" s="309"/>
      <c r="V563" s="311"/>
      <c r="W563" s="311"/>
      <c r="X563" s="1647"/>
      <c r="Y563" s="311"/>
      <c r="Z563" s="311"/>
      <c r="AA563" s="311"/>
      <c r="AB563" s="311"/>
      <c r="AC563" s="311"/>
      <c r="AD563" s="311"/>
      <c r="AE563" s="311"/>
      <c r="AF563" s="311"/>
      <c r="AG563" s="311"/>
      <c r="AH563" s="311"/>
      <c r="AI563" s="311"/>
      <c r="AJ563" s="311"/>
      <c r="AK563" s="311"/>
      <c r="AL563" s="311"/>
      <c r="AM563" s="311"/>
    </row>
    <row r="564" spans="1:39" ht="15.75" customHeight="1">
      <c r="A564" s="1647"/>
      <c r="B564" s="311"/>
      <c r="C564" s="1647"/>
      <c r="D564" s="2173"/>
      <c r="E564" s="1586"/>
      <c r="F564" s="1954"/>
      <c r="G564" s="1586"/>
      <c r="H564" s="1586"/>
      <c r="I564" s="1647"/>
      <c r="J564" s="1647"/>
      <c r="K564" s="1647"/>
      <c r="L564" s="1586"/>
      <c r="M564" s="2174"/>
      <c r="N564" s="2174"/>
      <c r="O564" s="836"/>
      <c r="P564" s="2174"/>
      <c r="Q564" s="836"/>
      <c r="R564" s="309"/>
      <c r="S564" s="309"/>
      <c r="T564" s="309"/>
      <c r="U564" s="309"/>
      <c r="V564" s="311"/>
      <c r="W564" s="311"/>
      <c r="X564" s="1647"/>
      <c r="Y564" s="311"/>
      <c r="Z564" s="311"/>
      <c r="AA564" s="311"/>
      <c r="AB564" s="311"/>
      <c r="AC564" s="311"/>
      <c r="AD564" s="311"/>
      <c r="AE564" s="311"/>
      <c r="AF564" s="311"/>
      <c r="AG564" s="311"/>
      <c r="AH564" s="311"/>
      <c r="AI564" s="311"/>
      <c r="AJ564" s="311"/>
      <c r="AK564" s="311"/>
      <c r="AL564" s="311"/>
      <c r="AM564" s="311"/>
    </row>
    <row r="565" spans="1:39" ht="15.75" customHeight="1">
      <c r="A565" s="1647"/>
      <c r="B565" s="311"/>
      <c r="C565" s="1647"/>
      <c r="D565" s="2173"/>
      <c r="E565" s="1586"/>
      <c r="F565" s="1954"/>
      <c r="G565" s="1586"/>
      <c r="H565" s="1586"/>
      <c r="I565" s="1647"/>
      <c r="J565" s="1647"/>
      <c r="K565" s="1647"/>
      <c r="L565" s="1586"/>
      <c r="M565" s="2174"/>
      <c r="N565" s="2174"/>
      <c r="O565" s="836"/>
      <c r="P565" s="2174"/>
      <c r="Q565" s="836"/>
      <c r="R565" s="309"/>
      <c r="S565" s="309"/>
      <c r="T565" s="309"/>
      <c r="U565" s="309"/>
      <c r="V565" s="311"/>
      <c r="W565" s="311"/>
      <c r="X565" s="1647"/>
      <c r="Y565" s="311"/>
      <c r="Z565" s="311"/>
      <c r="AA565" s="311"/>
      <c r="AB565" s="311"/>
      <c r="AC565" s="311"/>
      <c r="AD565" s="311"/>
      <c r="AE565" s="311"/>
      <c r="AF565" s="311"/>
      <c r="AG565" s="311"/>
      <c r="AH565" s="311"/>
      <c r="AI565" s="311"/>
      <c r="AJ565" s="311"/>
      <c r="AK565" s="311"/>
      <c r="AL565" s="311"/>
      <c r="AM565" s="311"/>
    </row>
    <row r="566" spans="1:39" ht="15.75" customHeight="1">
      <c r="A566" s="1647"/>
      <c r="B566" s="311"/>
      <c r="C566" s="1647"/>
      <c r="D566" s="2173"/>
      <c r="E566" s="1586"/>
      <c r="F566" s="1954"/>
      <c r="G566" s="1586"/>
      <c r="H566" s="1586"/>
      <c r="I566" s="1647"/>
      <c r="J566" s="1647"/>
      <c r="K566" s="1647"/>
      <c r="L566" s="1586"/>
      <c r="M566" s="2174"/>
      <c r="N566" s="2174"/>
      <c r="O566" s="836"/>
      <c r="P566" s="2174"/>
      <c r="Q566" s="836"/>
      <c r="R566" s="309"/>
      <c r="S566" s="309"/>
      <c r="T566" s="309"/>
      <c r="U566" s="309"/>
      <c r="V566" s="311"/>
      <c r="W566" s="311"/>
      <c r="X566" s="1647"/>
      <c r="Y566" s="311"/>
      <c r="Z566" s="311"/>
      <c r="AA566" s="311"/>
      <c r="AB566" s="311"/>
      <c r="AC566" s="311"/>
      <c r="AD566" s="311"/>
      <c r="AE566" s="311"/>
      <c r="AF566" s="311"/>
      <c r="AG566" s="311"/>
      <c r="AH566" s="311"/>
      <c r="AI566" s="311"/>
      <c r="AJ566" s="311"/>
      <c r="AK566" s="311"/>
      <c r="AL566" s="311"/>
      <c r="AM566" s="311"/>
    </row>
    <row r="567" spans="1:39" ht="15.75" customHeight="1">
      <c r="A567" s="1647"/>
      <c r="B567" s="311"/>
      <c r="C567" s="1647"/>
      <c r="D567" s="2173"/>
      <c r="E567" s="1586"/>
      <c r="F567" s="1954"/>
      <c r="G567" s="1586"/>
      <c r="H567" s="1586"/>
      <c r="I567" s="1647"/>
      <c r="J567" s="1647"/>
      <c r="K567" s="1647"/>
      <c r="L567" s="1586"/>
      <c r="M567" s="2174"/>
      <c r="N567" s="2174"/>
      <c r="O567" s="836"/>
      <c r="P567" s="2174"/>
      <c r="Q567" s="836"/>
      <c r="R567" s="309"/>
      <c r="S567" s="309"/>
      <c r="T567" s="309"/>
      <c r="U567" s="309"/>
      <c r="V567" s="311"/>
      <c r="W567" s="311"/>
      <c r="X567" s="1647"/>
      <c r="Y567" s="311"/>
      <c r="Z567" s="311"/>
      <c r="AA567" s="311"/>
      <c r="AB567" s="311"/>
      <c r="AC567" s="311"/>
      <c r="AD567" s="311"/>
      <c r="AE567" s="311"/>
      <c r="AF567" s="311"/>
      <c r="AG567" s="311"/>
      <c r="AH567" s="311"/>
      <c r="AI567" s="311"/>
      <c r="AJ567" s="311"/>
      <c r="AK567" s="311"/>
      <c r="AL567" s="311"/>
      <c r="AM567" s="311"/>
    </row>
    <row r="568" spans="1:39" ht="15.75" customHeight="1">
      <c r="A568" s="1647"/>
      <c r="B568" s="311"/>
      <c r="C568" s="1647"/>
      <c r="D568" s="2173"/>
      <c r="E568" s="1586"/>
      <c r="F568" s="1954"/>
      <c r="G568" s="1586"/>
      <c r="H568" s="1586"/>
      <c r="I568" s="1647"/>
      <c r="J568" s="1647"/>
      <c r="K568" s="1647"/>
      <c r="L568" s="1586"/>
      <c r="M568" s="2174"/>
      <c r="N568" s="2174"/>
      <c r="O568" s="836"/>
      <c r="P568" s="2174"/>
      <c r="Q568" s="836"/>
      <c r="R568" s="309"/>
      <c r="S568" s="309"/>
      <c r="T568" s="309"/>
      <c r="U568" s="309"/>
      <c r="V568" s="311"/>
      <c r="W568" s="311"/>
      <c r="X568" s="1647"/>
      <c r="Y568" s="311"/>
      <c r="Z568" s="311"/>
      <c r="AA568" s="311"/>
      <c r="AB568" s="311"/>
      <c r="AC568" s="311"/>
      <c r="AD568" s="311"/>
      <c r="AE568" s="311"/>
      <c r="AF568" s="311"/>
      <c r="AG568" s="311"/>
      <c r="AH568" s="311"/>
      <c r="AI568" s="311"/>
      <c r="AJ568" s="311"/>
      <c r="AK568" s="311"/>
      <c r="AL568" s="311"/>
      <c r="AM568" s="311"/>
    </row>
    <row r="569" spans="1:39" ht="15.75" customHeight="1">
      <c r="A569" s="1647"/>
      <c r="B569" s="311"/>
      <c r="C569" s="1647"/>
      <c r="D569" s="2173"/>
      <c r="E569" s="1586"/>
      <c r="F569" s="1954"/>
      <c r="G569" s="1586"/>
      <c r="H569" s="1586"/>
      <c r="I569" s="1647"/>
      <c r="J569" s="1647"/>
      <c r="K569" s="1647"/>
      <c r="L569" s="1586"/>
      <c r="M569" s="2174"/>
      <c r="N569" s="2174"/>
      <c r="O569" s="836"/>
      <c r="P569" s="2174"/>
      <c r="Q569" s="836"/>
      <c r="R569" s="309"/>
      <c r="S569" s="309"/>
      <c r="T569" s="309"/>
      <c r="U569" s="309"/>
      <c r="V569" s="311"/>
      <c r="W569" s="311"/>
      <c r="X569" s="1647"/>
      <c r="Y569" s="311"/>
      <c r="Z569" s="311"/>
      <c r="AA569" s="311"/>
      <c r="AB569" s="311"/>
      <c r="AC569" s="311"/>
      <c r="AD569" s="311"/>
      <c r="AE569" s="311"/>
      <c r="AF569" s="311"/>
      <c r="AG569" s="311"/>
      <c r="AH569" s="311"/>
      <c r="AI569" s="311"/>
      <c r="AJ569" s="311"/>
      <c r="AK569" s="311"/>
      <c r="AL569" s="311"/>
      <c r="AM569" s="311"/>
    </row>
    <row r="570" spans="1:39" ht="15.75" customHeight="1">
      <c r="A570" s="1647"/>
      <c r="B570" s="311"/>
      <c r="C570" s="1647"/>
      <c r="D570" s="2173"/>
      <c r="E570" s="1586"/>
      <c r="F570" s="1954"/>
      <c r="G570" s="1586"/>
      <c r="H570" s="1586"/>
      <c r="I570" s="1647"/>
      <c r="J570" s="1647"/>
      <c r="K570" s="1647"/>
      <c r="L570" s="1586"/>
      <c r="M570" s="2174"/>
      <c r="N570" s="2174"/>
      <c r="O570" s="836"/>
      <c r="P570" s="2174"/>
      <c r="Q570" s="836"/>
      <c r="R570" s="309"/>
      <c r="S570" s="309"/>
      <c r="T570" s="309"/>
      <c r="U570" s="309"/>
      <c r="V570" s="311"/>
      <c r="W570" s="311"/>
      <c r="X570" s="1647"/>
      <c r="Y570" s="311"/>
      <c r="Z570" s="311"/>
      <c r="AA570" s="311"/>
      <c r="AB570" s="311"/>
      <c r="AC570" s="311"/>
      <c r="AD570" s="311"/>
      <c r="AE570" s="311"/>
      <c r="AF570" s="311"/>
      <c r="AG570" s="311"/>
      <c r="AH570" s="311"/>
      <c r="AI570" s="311"/>
      <c r="AJ570" s="311"/>
      <c r="AK570" s="311"/>
      <c r="AL570" s="311"/>
      <c r="AM570" s="311"/>
    </row>
    <row r="571" spans="1:39" ht="15.75" customHeight="1">
      <c r="A571" s="1647"/>
      <c r="B571" s="311"/>
      <c r="C571" s="1647"/>
      <c r="D571" s="2173"/>
      <c r="E571" s="1586"/>
      <c r="F571" s="1954"/>
      <c r="G571" s="1586"/>
      <c r="H571" s="1586"/>
      <c r="I571" s="1647"/>
      <c r="J571" s="1647"/>
      <c r="K571" s="1647"/>
      <c r="L571" s="1586"/>
      <c r="M571" s="2174"/>
      <c r="N571" s="2174"/>
      <c r="O571" s="836"/>
      <c r="P571" s="2174"/>
      <c r="Q571" s="836"/>
      <c r="R571" s="309"/>
      <c r="S571" s="309"/>
      <c r="T571" s="309"/>
      <c r="U571" s="309"/>
      <c r="V571" s="311"/>
      <c r="W571" s="311"/>
      <c r="X571" s="1647"/>
      <c r="Y571" s="311"/>
      <c r="Z571" s="311"/>
      <c r="AA571" s="311"/>
      <c r="AB571" s="311"/>
      <c r="AC571" s="311"/>
      <c r="AD571" s="311"/>
      <c r="AE571" s="311"/>
      <c r="AF571" s="311"/>
      <c r="AG571" s="311"/>
      <c r="AH571" s="311"/>
      <c r="AI571" s="311"/>
      <c r="AJ571" s="311"/>
      <c r="AK571" s="311"/>
      <c r="AL571" s="311"/>
      <c r="AM571" s="311"/>
    </row>
    <row r="572" spans="1:39" ht="15.75" customHeight="1">
      <c r="A572" s="1647"/>
      <c r="B572" s="311"/>
      <c r="C572" s="1647"/>
      <c r="D572" s="2173"/>
      <c r="E572" s="1586"/>
      <c r="F572" s="1954"/>
      <c r="G572" s="1586"/>
      <c r="H572" s="1586"/>
      <c r="I572" s="1647"/>
      <c r="J572" s="1647"/>
      <c r="K572" s="1647"/>
      <c r="L572" s="1586"/>
      <c r="M572" s="2174"/>
      <c r="N572" s="2174"/>
      <c r="O572" s="836"/>
      <c r="P572" s="2174"/>
      <c r="Q572" s="836"/>
      <c r="R572" s="309"/>
      <c r="S572" s="309"/>
      <c r="T572" s="309"/>
      <c r="U572" s="309"/>
      <c r="V572" s="311"/>
      <c r="W572" s="311"/>
      <c r="X572" s="1647"/>
      <c r="Y572" s="311"/>
      <c r="Z572" s="311"/>
      <c r="AA572" s="311"/>
      <c r="AB572" s="311"/>
      <c r="AC572" s="311"/>
      <c r="AD572" s="311"/>
      <c r="AE572" s="311"/>
      <c r="AF572" s="311"/>
      <c r="AG572" s="311"/>
      <c r="AH572" s="311"/>
      <c r="AI572" s="311"/>
      <c r="AJ572" s="311"/>
      <c r="AK572" s="311"/>
      <c r="AL572" s="311"/>
      <c r="AM572" s="311"/>
    </row>
    <row r="573" spans="1:39" ht="15.75" customHeight="1">
      <c r="A573" s="1647"/>
      <c r="B573" s="311"/>
      <c r="C573" s="1647"/>
      <c r="D573" s="2173"/>
      <c r="E573" s="1586"/>
      <c r="F573" s="1954"/>
      <c r="G573" s="1586"/>
      <c r="H573" s="1586"/>
      <c r="I573" s="1647"/>
      <c r="J573" s="1647"/>
      <c r="K573" s="1647"/>
      <c r="L573" s="1586"/>
      <c r="M573" s="2174"/>
      <c r="N573" s="2174"/>
      <c r="O573" s="836"/>
      <c r="P573" s="2174"/>
      <c r="Q573" s="836"/>
      <c r="R573" s="309"/>
      <c r="S573" s="309"/>
      <c r="T573" s="309"/>
      <c r="U573" s="309"/>
      <c r="V573" s="311"/>
      <c r="W573" s="311"/>
      <c r="X573" s="1647"/>
      <c r="Y573" s="311"/>
      <c r="Z573" s="311"/>
      <c r="AA573" s="311"/>
      <c r="AB573" s="311"/>
      <c r="AC573" s="311"/>
      <c r="AD573" s="311"/>
      <c r="AE573" s="311"/>
      <c r="AF573" s="311"/>
      <c r="AG573" s="311"/>
      <c r="AH573" s="311"/>
      <c r="AI573" s="311"/>
      <c r="AJ573" s="311"/>
      <c r="AK573" s="311"/>
      <c r="AL573" s="311"/>
      <c r="AM573" s="311"/>
    </row>
    <row r="574" spans="1:39" ht="15.75" customHeight="1">
      <c r="A574" s="1647"/>
      <c r="B574" s="311"/>
      <c r="C574" s="1647"/>
      <c r="D574" s="2173"/>
      <c r="E574" s="1586"/>
      <c r="F574" s="1954"/>
      <c r="G574" s="1586"/>
      <c r="H574" s="1586"/>
      <c r="I574" s="1647"/>
      <c r="J574" s="1647"/>
      <c r="K574" s="1647"/>
      <c r="L574" s="1586"/>
      <c r="M574" s="2174"/>
      <c r="N574" s="2174"/>
      <c r="O574" s="836"/>
      <c r="P574" s="2174"/>
      <c r="Q574" s="836"/>
      <c r="R574" s="309"/>
      <c r="S574" s="309"/>
      <c r="T574" s="309"/>
      <c r="U574" s="309"/>
      <c r="V574" s="311"/>
      <c r="W574" s="311"/>
      <c r="X574" s="1647"/>
      <c r="Y574" s="311"/>
      <c r="Z574" s="311"/>
      <c r="AA574" s="311"/>
      <c r="AB574" s="311"/>
      <c r="AC574" s="311"/>
      <c r="AD574" s="311"/>
      <c r="AE574" s="311"/>
      <c r="AF574" s="311"/>
      <c r="AG574" s="311"/>
      <c r="AH574" s="311"/>
      <c r="AI574" s="311"/>
      <c r="AJ574" s="311"/>
      <c r="AK574" s="311"/>
      <c r="AL574" s="311"/>
      <c r="AM574" s="311"/>
    </row>
    <row r="575" spans="1:39" ht="15.75" customHeight="1">
      <c r="A575" s="1647"/>
      <c r="B575" s="311"/>
      <c r="C575" s="1647"/>
      <c r="D575" s="2173"/>
      <c r="E575" s="1586"/>
      <c r="F575" s="1954"/>
      <c r="G575" s="1586"/>
      <c r="H575" s="1586"/>
      <c r="I575" s="1647"/>
      <c r="J575" s="1647"/>
      <c r="K575" s="1647"/>
      <c r="L575" s="1586"/>
      <c r="M575" s="2174"/>
      <c r="N575" s="2174"/>
      <c r="O575" s="836"/>
      <c r="P575" s="2174"/>
      <c r="Q575" s="836"/>
      <c r="R575" s="309"/>
      <c r="S575" s="309"/>
      <c r="T575" s="309"/>
      <c r="U575" s="309"/>
      <c r="V575" s="311"/>
      <c r="W575" s="311"/>
      <c r="X575" s="1647"/>
      <c r="Y575" s="311"/>
      <c r="Z575" s="311"/>
      <c r="AA575" s="311"/>
      <c r="AB575" s="311"/>
      <c r="AC575" s="311"/>
      <c r="AD575" s="311"/>
      <c r="AE575" s="311"/>
      <c r="AF575" s="311"/>
      <c r="AG575" s="311"/>
      <c r="AH575" s="311"/>
      <c r="AI575" s="311"/>
      <c r="AJ575" s="311"/>
      <c r="AK575" s="311"/>
      <c r="AL575" s="311"/>
      <c r="AM575" s="311"/>
    </row>
    <row r="576" spans="1:39" ht="15.75" customHeight="1">
      <c r="A576" s="1647"/>
      <c r="B576" s="311"/>
      <c r="C576" s="1647"/>
      <c r="D576" s="2173"/>
      <c r="E576" s="1586"/>
      <c r="F576" s="1954"/>
      <c r="G576" s="1586"/>
      <c r="H576" s="1586"/>
      <c r="I576" s="1647"/>
      <c r="J576" s="1647"/>
      <c r="K576" s="1647"/>
      <c r="L576" s="1586"/>
      <c r="M576" s="2174"/>
      <c r="N576" s="2174"/>
      <c r="O576" s="836"/>
      <c r="P576" s="2174"/>
      <c r="Q576" s="836"/>
      <c r="R576" s="309"/>
      <c r="S576" s="309"/>
      <c r="T576" s="309"/>
      <c r="U576" s="309"/>
      <c r="V576" s="311"/>
      <c r="W576" s="311"/>
      <c r="X576" s="1647"/>
      <c r="Y576" s="311"/>
      <c r="Z576" s="311"/>
      <c r="AA576" s="311"/>
      <c r="AB576" s="311"/>
      <c r="AC576" s="311"/>
      <c r="AD576" s="311"/>
      <c r="AE576" s="311"/>
      <c r="AF576" s="311"/>
      <c r="AG576" s="311"/>
      <c r="AH576" s="311"/>
      <c r="AI576" s="311"/>
      <c r="AJ576" s="311"/>
      <c r="AK576" s="311"/>
      <c r="AL576" s="311"/>
      <c r="AM576" s="311"/>
    </row>
    <row r="577" spans="1:39" ht="15.75" customHeight="1">
      <c r="A577" s="1647"/>
      <c r="B577" s="311"/>
      <c r="C577" s="1647"/>
      <c r="D577" s="2173"/>
      <c r="E577" s="1586"/>
      <c r="F577" s="1954"/>
      <c r="G577" s="1586"/>
      <c r="H577" s="1586"/>
      <c r="I577" s="1647"/>
      <c r="J577" s="1647"/>
      <c r="K577" s="1647"/>
      <c r="L577" s="1586"/>
      <c r="M577" s="2174"/>
      <c r="N577" s="2174"/>
      <c r="O577" s="836"/>
      <c r="P577" s="2174"/>
      <c r="Q577" s="836"/>
      <c r="R577" s="309"/>
      <c r="S577" s="309"/>
      <c r="T577" s="309"/>
      <c r="U577" s="309"/>
      <c r="V577" s="311"/>
      <c r="W577" s="311"/>
      <c r="X577" s="1647"/>
      <c r="Y577" s="311"/>
      <c r="Z577" s="311"/>
      <c r="AA577" s="311"/>
      <c r="AB577" s="311"/>
      <c r="AC577" s="311"/>
      <c r="AD577" s="311"/>
      <c r="AE577" s="311"/>
      <c r="AF577" s="311"/>
      <c r="AG577" s="311"/>
      <c r="AH577" s="311"/>
      <c r="AI577" s="311"/>
      <c r="AJ577" s="311"/>
      <c r="AK577" s="311"/>
      <c r="AL577" s="311"/>
      <c r="AM577" s="311"/>
    </row>
    <row r="578" spans="1:39" ht="15.75" customHeight="1">
      <c r="A578" s="1647"/>
      <c r="B578" s="311"/>
      <c r="C578" s="1647"/>
      <c r="D578" s="2173"/>
      <c r="E578" s="1586"/>
      <c r="F578" s="1954"/>
      <c r="G578" s="1586"/>
      <c r="H578" s="1586"/>
      <c r="I578" s="1647"/>
      <c r="J578" s="1647"/>
      <c r="K578" s="1647"/>
      <c r="L578" s="1586"/>
      <c r="M578" s="2174"/>
      <c r="N578" s="2174"/>
      <c r="O578" s="836"/>
      <c r="P578" s="2174"/>
      <c r="Q578" s="836"/>
      <c r="R578" s="309"/>
      <c r="S578" s="309"/>
      <c r="T578" s="309"/>
      <c r="U578" s="309"/>
      <c r="V578" s="311"/>
      <c r="W578" s="311"/>
      <c r="X578" s="1647"/>
      <c r="Y578" s="311"/>
      <c r="Z578" s="311"/>
      <c r="AA578" s="311"/>
      <c r="AB578" s="311"/>
      <c r="AC578" s="311"/>
      <c r="AD578" s="311"/>
      <c r="AE578" s="311"/>
      <c r="AF578" s="311"/>
      <c r="AG578" s="311"/>
      <c r="AH578" s="311"/>
      <c r="AI578" s="311"/>
      <c r="AJ578" s="311"/>
      <c r="AK578" s="311"/>
      <c r="AL578" s="311"/>
      <c r="AM578" s="311"/>
    </row>
    <row r="579" spans="1:39" ht="15.75" customHeight="1">
      <c r="A579" s="1647"/>
      <c r="B579" s="311"/>
      <c r="C579" s="1647"/>
      <c r="D579" s="2173"/>
      <c r="E579" s="1586"/>
      <c r="F579" s="1954"/>
      <c r="G579" s="1586"/>
      <c r="H579" s="1586"/>
      <c r="I579" s="1647"/>
      <c r="J579" s="1647"/>
      <c r="K579" s="1647"/>
      <c r="L579" s="1586"/>
      <c r="M579" s="2174"/>
      <c r="N579" s="2174"/>
      <c r="O579" s="836"/>
      <c r="P579" s="2174"/>
      <c r="Q579" s="836"/>
      <c r="R579" s="309"/>
      <c r="S579" s="309"/>
      <c r="T579" s="309"/>
      <c r="U579" s="309"/>
      <c r="V579" s="311"/>
      <c r="W579" s="311"/>
      <c r="X579" s="1647"/>
      <c r="Y579" s="311"/>
      <c r="Z579" s="311"/>
      <c r="AA579" s="311"/>
      <c r="AB579" s="311"/>
      <c r="AC579" s="311"/>
      <c r="AD579" s="311"/>
      <c r="AE579" s="311"/>
      <c r="AF579" s="311"/>
      <c r="AG579" s="311"/>
      <c r="AH579" s="311"/>
      <c r="AI579" s="311"/>
      <c r="AJ579" s="311"/>
      <c r="AK579" s="311"/>
      <c r="AL579" s="311"/>
      <c r="AM579" s="311"/>
    </row>
    <row r="580" spans="1:39" ht="15.75" customHeight="1">
      <c r="A580" s="1647"/>
      <c r="B580" s="311"/>
      <c r="C580" s="1647"/>
      <c r="D580" s="2173"/>
      <c r="E580" s="1586"/>
      <c r="F580" s="1954"/>
      <c r="G580" s="1586"/>
      <c r="H580" s="1586"/>
      <c r="I580" s="1647"/>
      <c r="J580" s="1647"/>
      <c r="K580" s="1647"/>
      <c r="L580" s="1586"/>
      <c r="M580" s="2174"/>
      <c r="N580" s="2174"/>
      <c r="O580" s="836"/>
      <c r="P580" s="2174"/>
      <c r="Q580" s="836"/>
      <c r="R580" s="309"/>
      <c r="S580" s="309"/>
      <c r="T580" s="309"/>
      <c r="U580" s="309"/>
      <c r="V580" s="311"/>
      <c r="W580" s="311"/>
      <c r="X580" s="1647"/>
      <c r="Y580" s="311"/>
      <c r="Z580" s="311"/>
      <c r="AA580" s="311"/>
      <c r="AB580" s="311"/>
      <c r="AC580" s="311"/>
      <c r="AD580" s="311"/>
      <c r="AE580" s="311"/>
      <c r="AF580" s="311"/>
      <c r="AG580" s="311"/>
      <c r="AH580" s="311"/>
      <c r="AI580" s="311"/>
      <c r="AJ580" s="311"/>
      <c r="AK580" s="311"/>
      <c r="AL580" s="311"/>
      <c r="AM580" s="311"/>
    </row>
    <row r="581" spans="1:39" ht="15.75" customHeight="1">
      <c r="A581" s="1647"/>
      <c r="B581" s="311"/>
      <c r="C581" s="1647"/>
      <c r="D581" s="2173"/>
      <c r="E581" s="1586"/>
      <c r="F581" s="1954"/>
      <c r="G581" s="1586"/>
      <c r="H581" s="1586"/>
      <c r="I581" s="1647"/>
      <c r="J581" s="1647"/>
      <c r="K581" s="1647"/>
      <c r="L581" s="1586"/>
      <c r="M581" s="2174"/>
      <c r="N581" s="2174"/>
      <c r="O581" s="836"/>
      <c r="P581" s="2174"/>
      <c r="Q581" s="836"/>
      <c r="R581" s="309"/>
      <c r="S581" s="309"/>
      <c r="T581" s="309"/>
      <c r="U581" s="309"/>
      <c r="V581" s="311"/>
      <c r="W581" s="311"/>
      <c r="X581" s="1647"/>
      <c r="Y581" s="311"/>
      <c r="Z581" s="311"/>
      <c r="AA581" s="311"/>
      <c r="AB581" s="311"/>
      <c r="AC581" s="311"/>
      <c r="AD581" s="311"/>
      <c r="AE581" s="311"/>
      <c r="AF581" s="311"/>
      <c r="AG581" s="311"/>
      <c r="AH581" s="311"/>
      <c r="AI581" s="311"/>
      <c r="AJ581" s="311"/>
      <c r="AK581" s="311"/>
      <c r="AL581" s="311"/>
      <c r="AM581" s="311"/>
    </row>
    <row r="582" spans="1:39" ht="15.75" customHeight="1">
      <c r="A582" s="1647"/>
      <c r="B582" s="311"/>
      <c r="C582" s="1647"/>
      <c r="D582" s="2173"/>
      <c r="E582" s="1586"/>
      <c r="F582" s="1954"/>
      <c r="G582" s="1586"/>
      <c r="H582" s="1586"/>
      <c r="I582" s="1647"/>
      <c r="J582" s="1647"/>
      <c r="K582" s="1647"/>
      <c r="L582" s="1586"/>
      <c r="M582" s="2174"/>
      <c r="N582" s="2174"/>
      <c r="O582" s="836"/>
      <c r="P582" s="2174"/>
      <c r="Q582" s="836"/>
      <c r="R582" s="309"/>
      <c r="S582" s="309"/>
      <c r="T582" s="309"/>
      <c r="U582" s="309"/>
      <c r="V582" s="311"/>
      <c r="W582" s="311"/>
      <c r="X582" s="1647"/>
      <c r="Y582" s="311"/>
      <c r="Z582" s="311"/>
      <c r="AA582" s="311"/>
      <c r="AB582" s="311"/>
      <c r="AC582" s="311"/>
      <c r="AD582" s="311"/>
      <c r="AE582" s="311"/>
      <c r="AF582" s="311"/>
      <c r="AG582" s="311"/>
      <c r="AH582" s="311"/>
      <c r="AI582" s="311"/>
      <c r="AJ582" s="311"/>
      <c r="AK582" s="311"/>
      <c r="AL582" s="311"/>
      <c r="AM582" s="311"/>
    </row>
    <row r="583" spans="1:39" ht="15.75" customHeight="1">
      <c r="A583" s="1647"/>
      <c r="B583" s="311"/>
      <c r="C583" s="1647"/>
      <c r="D583" s="2173"/>
      <c r="E583" s="1586"/>
      <c r="F583" s="1954"/>
      <c r="G583" s="1586"/>
      <c r="H583" s="1586"/>
      <c r="I583" s="1647"/>
      <c r="J583" s="1647"/>
      <c r="K583" s="1647"/>
      <c r="L583" s="1586"/>
      <c r="M583" s="2174"/>
      <c r="N583" s="2174"/>
      <c r="O583" s="836"/>
      <c r="P583" s="2174"/>
      <c r="Q583" s="836"/>
      <c r="R583" s="309"/>
      <c r="S583" s="309"/>
      <c r="T583" s="309"/>
      <c r="U583" s="309"/>
      <c r="V583" s="311"/>
      <c r="W583" s="311"/>
      <c r="X583" s="1647"/>
      <c r="Y583" s="311"/>
      <c r="Z583" s="311"/>
      <c r="AA583" s="311"/>
      <c r="AB583" s="311"/>
      <c r="AC583" s="311"/>
      <c r="AD583" s="311"/>
      <c r="AE583" s="311"/>
      <c r="AF583" s="311"/>
      <c r="AG583" s="311"/>
      <c r="AH583" s="311"/>
      <c r="AI583" s="311"/>
      <c r="AJ583" s="311"/>
      <c r="AK583" s="311"/>
      <c r="AL583" s="311"/>
      <c r="AM583" s="311"/>
    </row>
    <row r="584" spans="1:39" ht="15.75" customHeight="1">
      <c r="A584" s="1647"/>
      <c r="B584" s="311"/>
      <c r="C584" s="1647"/>
      <c r="D584" s="2173"/>
      <c r="E584" s="1586"/>
      <c r="F584" s="1954"/>
      <c r="G584" s="1586"/>
      <c r="H584" s="1586"/>
      <c r="I584" s="1647"/>
      <c r="J584" s="1647"/>
      <c r="K584" s="1647"/>
      <c r="L584" s="1586"/>
      <c r="M584" s="2174"/>
      <c r="N584" s="2174"/>
      <c r="O584" s="836"/>
      <c r="P584" s="2174"/>
      <c r="Q584" s="836"/>
      <c r="R584" s="309"/>
      <c r="S584" s="309"/>
      <c r="T584" s="309"/>
      <c r="U584" s="309"/>
      <c r="V584" s="311"/>
      <c r="W584" s="311"/>
      <c r="X584" s="1647"/>
      <c r="Y584" s="311"/>
      <c r="Z584" s="311"/>
      <c r="AA584" s="311"/>
      <c r="AB584" s="311"/>
      <c r="AC584" s="311"/>
      <c r="AD584" s="311"/>
      <c r="AE584" s="311"/>
      <c r="AF584" s="311"/>
      <c r="AG584" s="311"/>
      <c r="AH584" s="311"/>
      <c r="AI584" s="311"/>
      <c r="AJ584" s="311"/>
      <c r="AK584" s="311"/>
      <c r="AL584" s="311"/>
      <c r="AM584" s="311"/>
    </row>
    <row r="585" spans="1:39" ht="15.75" customHeight="1">
      <c r="A585" s="1647"/>
      <c r="B585" s="311"/>
      <c r="C585" s="1647"/>
      <c r="D585" s="2173"/>
      <c r="E585" s="1586"/>
      <c r="F585" s="1954"/>
      <c r="G585" s="1586"/>
      <c r="H585" s="1586"/>
      <c r="I585" s="1647"/>
      <c r="J585" s="1647"/>
      <c r="K585" s="1647"/>
      <c r="L585" s="1586"/>
      <c r="M585" s="2174"/>
      <c r="N585" s="2174"/>
      <c r="O585" s="836"/>
      <c r="P585" s="2174"/>
      <c r="Q585" s="836"/>
      <c r="R585" s="309"/>
      <c r="S585" s="309"/>
      <c r="T585" s="309"/>
      <c r="U585" s="309"/>
      <c r="V585" s="311"/>
      <c r="W585" s="311"/>
      <c r="X585" s="1647"/>
      <c r="Y585" s="311"/>
      <c r="Z585" s="311"/>
      <c r="AA585" s="311"/>
      <c r="AB585" s="311"/>
      <c r="AC585" s="311"/>
      <c r="AD585" s="311"/>
      <c r="AE585" s="311"/>
      <c r="AF585" s="311"/>
      <c r="AG585" s="311"/>
      <c r="AH585" s="311"/>
      <c r="AI585" s="311"/>
      <c r="AJ585" s="311"/>
      <c r="AK585" s="311"/>
      <c r="AL585" s="311"/>
      <c r="AM585" s="311"/>
    </row>
    <row r="586" spans="1:39" ht="15.75" customHeight="1">
      <c r="A586" s="1647"/>
      <c r="B586" s="311"/>
      <c r="C586" s="1647"/>
      <c r="D586" s="2173"/>
      <c r="E586" s="1586"/>
      <c r="F586" s="1954"/>
      <c r="G586" s="1586"/>
      <c r="H586" s="1586"/>
      <c r="I586" s="1647"/>
      <c r="J586" s="1647"/>
      <c r="K586" s="1647"/>
      <c r="L586" s="1586"/>
      <c r="M586" s="2174"/>
      <c r="N586" s="2174"/>
      <c r="O586" s="836"/>
      <c r="P586" s="2174"/>
      <c r="Q586" s="836"/>
      <c r="R586" s="309"/>
      <c r="S586" s="309"/>
      <c r="T586" s="309"/>
      <c r="U586" s="309"/>
      <c r="V586" s="311"/>
      <c r="W586" s="311"/>
      <c r="X586" s="1647"/>
      <c r="Y586" s="311"/>
      <c r="Z586" s="311"/>
      <c r="AA586" s="311"/>
      <c r="AB586" s="311"/>
      <c r="AC586" s="311"/>
      <c r="AD586" s="311"/>
      <c r="AE586" s="311"/>
      <c r="AF586" s="311"/>
      <c r="AG586" s="311"/>
      <c r="AH586" s="311"/>
      <c r="AI586" s="311"/>
      <c r="AJ586" s="311"/>
      <c r="AK586" s="311"/>
      <c r="AL586" s="311"/>
      <c r="AM586" s="311"/>
    </row>
    <row r="587" spans="1:39" ht="15.75" customHeight="1">
      <c r="A587" s="1647"/>
      <c r="B587" s="311"/>
      <c r="C587" s="1647"/>
      <c r="D587" s="2173"/>
      <c r="E587" s="1586"/>
      <c r="F587" s="1954"/>
      <c r="G587" s="1586"/>
      <c r="H587" s="1586"/>
      <c r="I587" s="1647"/>
      <c r="J587" s="1647"/>
      <c r="K587" s="1647"/>
      <c r="L587" s="1586"/>
      <c r="M587" s="2174"/>
      <c r="N587" s="2174"/>
      <c r="O587" s="836"/>
      <c r="P587" s="2174"/>
      <c r="Q587" s="836"/>
      <c r="R587" s="309"/>
      <c r="S587" s="309"/>
      <c r="T587" s="309"/>
      <c r="U587" s="309"/>
      <c r="V587" s="311"/>
      <c r="W587" s="311"/>
      <c r="X587" s="1647"/>
      <c r="Y587" s="311"/>
      <c r="Z587" s="311"/>
      <c r="AA587" s="311"/>
      <c r="AB587" s="311"/>
      <c r="AC587" s="311"/>
      <c r="AD587" s="311"/>
      <c r="AE587" s="311"/>
      <c r="AF587" s="311"/>
      <c r="AG587" s="311"/>
      <c r="AH587" s="311"/>
      <c r="AI587" s="311"/>
      <c r="AJ587" s="311"/>
      <c r="AK587" s="311"/>
      <c r="AL587" s="311"/>
      <c r="AM587" s="311"/>
    </row>
    <row r="588" spans="1:39" ht="15.75" customHeight="1">
      <c r="A588" s="1647"/>
      <c r="B588" s="311"/>
      <c r="C588" s="1647"/>
      <c r="D588" s="2173"/>
      <c r="E588" s="1586"/>
      <c r="F588" s="1954"/>
      <c r="G588" s="1586"/>
      <c r="H588" s="1586"/>
      <c r="I588" s="1647"/>
      <c r="J588" s="1647"/>
      <c r="K588" s="1647"/>
      <c r="L588" s="1586"/>
      <c r="M588" s="2174"/>
      <c r="N588" s="2174"/>
      <c r="O588" s="836"/>
      <c r="P588" s="2174"/>
      <c r="Q588" s="836"/>
      <c r="R588" s="309"/>
      <c r="S588" s="309"/>
      <c r="T588" s="309"/>
      <c r="U588" s="309"/>
      <c r="V588" s="311"/>
      <c r="W588" s="311"/>
      <c r="X588" s="1647"/>
      <c r="Y588" s="311"/>
      <c r="Z588" s="311"/>
      <c r="AA588" s="311"/>
      <c r="AB588" s="311"/>
      <c r="AC588" s="311"/>
      <c r="AD588" s="311"/>
      <c r="AE588" s="311"/>
      <c r="AF588" s="311"/>
      <c r="AG588" s="311"/>
      <c r="AH588" s="311"/>
      <c r="AI588" s="311"/>
      <c r="AJ588" s="311"/>
      <c r="AK588" s="311"/>
      <c r="AL588" s="311"/>
      <c r="AM588" s="311"/>
    </row>
    <row r="589" spans="1:39" ht="15.75" customHeight="1">
      <c r="A589" s="1647"/>
      <c r="B589" s="311"/>
      <c r="C589" s="1647"/>
      <c r="D589" s="2173"/>
      <c r="E589" s="1586"/>
      <c r="F589" s="1954"/>
      <c r="G589" s="1586"/>
      <c r="H589" s="1586"/>
      <c r="I589" s="1647"/>
      <c r="J589" s="1647"/>
      <c r="K589" s="1647"/>
      <c r="L589" s="1586"/>
      <c r="M589" s="2174"/>
      <c r="N589" s="2174"/>
      <c r="O589" s="836"/>
      <c r="P589" s="2174"/>
      <c r="Q589" s="836"/>
      <c r="R589" s="309"/>
      <c r="S589" s="309"/>
      <c r="T589" s="309"/>
      <c r="U589" s="309"/>
      <c r="V589" s="311"/>
      <c r="W589" s="311"/>
      <c r="X589" s="1647"/>
      <c r="Y589" s="311"/>
      <c r="Z589" s="311"/>
      <c r="AA589" s="311"/>
      <c r="AB589" s="311"/>
      <c r="AC589" s="311"/>
      <c r="AD589" s="311"/>
      <c r="AE589" s="311"/>
      <c r="AF589" s="311"/>
      <c r="AG589" s="311"/>
      <c r="AH589" s="311"/>
      <c r="AI589" s="311"/>
      <c r="AJ589" s="311"/>
      <c r="AK589" s="311"/>
      <c r="AL589" s="311"/>
      <c r="AM589" s="311"/>
    </row>
    <row r="590" spans="1:39" ht="15.75" customHeight="1">
      <c r="A590" s="1647"/>
      <c r="B590" s="311"/>
      <c r="C590" s="1647"/>
      <c r="D590" s="2173"/>
      <c r="E590" s="1586"/>
      <c r="F590" s="1954"/>
      <c r="G590" s="1586"/>
      <c r="H590" s="1586"/>
      <c r="I590" s="1647"/>
      <c r="J590" s="1647"/>
      <c r="K590" s="1647"/>
      <c r="L590" s="1586"/>
      <c r="M590" s="2174"/>
      <c r="N590" s="2174"/>
      <c r="O590" s="836"/>
      <c r="P590" s="2174"/>
      <c r="Q590" s="836"/>
      <c r="R590" s="309"/>
      <c r="S590" s="309"/>
      <c r="T590" s="309"/>
      <c r="U590" s="309"/>
      <c r="V590" s="311"/>
      <c r="W590" s="311"/>
      <c r="X590" s="1647"/>
      <c r="Y590" s="311"/>
      <c r="Z590" s="311"/>
      <c r="AA590" s="311"/>
      <c r="AB590" s="311"/>
      <c r="AC590" s="311"/>
      <c r="AD590" s="311"/>
      <c r="AE590" s="311"/>
      <c r="AF590" s="311"/>
      <c r="AG590" s="311"/>
      <c r="AH590" s="311"/>
      <c r="AI590" s="311"/>
      <c r="AJ590" s="311"/>
      <c r="AK590" s="311"/>
      <c r="AL590" s="311"/>
      <c r="AM590" s="311"/>
    </row>
    <row r="591" spans="1:39" ht="15.75" customHeight="1">
      <c r="A591" s="1647"/>
      <c r="B591" s="311"/>
      <c r="C591" s="1647"/>
      <c r="D591" s="2173"/>
      <c r="E591" s="1586"/>
      <c r="F591" s="1954"/>
      <c r="G591" s="1586"/>
      <c r="H591" s="1586"/>
      <c r="I591" s="1647"/>
      <c r="J591" s="1647"/>
      <c r="K591" s="1647"/>
      <c r="L591" s="1586"/>
      <c r="M591" s="2174"/>
      <c r="N591" s="2174"/>
      <c r="O591" s="836"/>
      <c r="P591" s="2174"/>
      <c r="Q591" s="836"/>
      <c r="R591" s="309"/>
      <c r="S591" s="309"/>
      <c r="T591" s="309"/>
      <c r="U591" s="309"/>
      <c r="V591" s="311"/>
      <c r="W591" s="311"/>
      <c r="X591" s="1647"/>
      <c r="Y591" s="311"/>
      <c r="Z591" s="311"/>
      <c r="AA591" s="311"/>
      <c r="AB591" s="311"/>
      <c r="AC591" s="311"/>
      <c r="AD591" s="311"/>
      <c r="AE591" s="311"/>
      <c r="AF591" s="311"/>
      <c r="AG591" s="311"/>
      <c r="AH591" s="311"/>
      <c r="AI591" s="311"/>
      <c r="AJ591" s="311"/>
      <c r="AK591" s="311"/>
      <c r="AL591" s="311"/>
      <c r="AM591" s="311"/>
    </row>
    <row r="592" spans="1:39" ht="15.75" customHeight="1">
      <c r="A592" s="1647"/>
      <c r="B592" s="311"/>
      <c r="C592" s="1647"/>
      <c r="D592" s="2173"/>
      <c r="E592" s="1586"/>
      <c r="F592" s="1954"/>
      <c r="G592" s="1586"/>
      <c r="H592" s="1586"/>
      <c r="I592" s="1647"/>
      <c r="J592" s="1647"/>
      <c r="K592" s="1647"/>
      <c r="L592" s="1586"/>
      <c r="M592" s="2174"/>
      <c r="N592" s="2174"/>
      <c r="O592" s="836"/>
      <c r="P592" s="2174"/>
      <c r="Q592" s="836"/>
      <c r="R592" s="309"/>
      <c r="S592" s="309"/>
      <c r="T592" s="309"/>
      <c r="U592" s="309"/>
      <c r="V592" s="311"/>
      <c r="W592" s="311"/>
      <c r="X592" s="1647"/>
      <c r="Y592" s="311"/>
      <c r="Z592" s="311"/>
      <c r="AA592" s="311"/>
      <c r="AB592" s="311"/>
      <c r="AC592" s="311"/>
      <c r="AD592" s="311"/>
      <c r="AE592" s="311"/>
      <c r="AF592" s="311"/>
      <c r="AG592" s="311"/>
      <c r="AH592" s="311"/>
      <c r="AI592" s="311"/>
      <c r="AJ592" s="311"/>
      <c r="AK592" s="311"/>
      <c r="AL592" s="311"/>
      <c r="AM592" s="311"/>
    </row>
    <row r="593" spans="1:39" ht="15.75" customHeight="1">
      <c r="A593" s="1647"/>
      <c r="B593" s="311"/>
      <c r="C593" s="1647"/>
      <c r="D593" s="2173"/>
      <c r="E593" s="1586"/>
      <c r="F593" s="1954"/>
      <c r="G593" s="1586"/>
      <c r="H593" s="1586"/>
      <c r="I593" s="1647"/>
      <c r="J593" s="1647"/>
      <c r="K593" s="1647"/>
      <c r="L593" s="1586"/>
      <c r="M593" s="2174"/>
      <c r="N593" s="2174"/>
      <c r="O593" s="836"/>
      <c r="P593" s="2174"/>
      <c r="Q593" s="836"/>
      <c r="R593" s="309"/>
      <c r="S593" s="309"/>
      <c r="T593" s="309"/>
      <c r="U593" s="309"/>
      <c r="V593" s="311"/>
      <c r="W593" s="311"/>
      <c r="X593" s="1647"/>
      <c r="Y593" s="311"/>
      <c r="Z593" s="311"/>
      <c r="AA593" s="311"/>
      <c r="AB593" s="311"/>
      <c r="AC593" s="311"/>
      <c r="AD593" s="311"/>
      <c r="AE593" s="311"/>
      <c r="AF593" s="311"/>
      <c r="AG593" s="311"/>
      <c r="AH593" s="311"/>
      <c r="AI593" s="311"/>
      <c r="AJ593" s="311"/>
      <c r="AK593" s="311"/>
      <c r="AL593" s="311"/>
      <c r="AM593" s="311"/>
    </row>
    <row r="594" spans="1:39" ht="15.75" customHeight="1">
      <c r="A594" s="1647"/>
      <c r="B594" s="311"/>
      <c r="C594" s="1647"/>
      <c r="D594" s="2173"/>
      <c r="E594" s="1586"/>
      <c r="F594" s="1954"/>
      <c r="G594" s="1586"/>
      <c r="H594" s="1586"/>
      <c r="I594" s="1647"/>
      <c r="J594" s="1647"/>
      <c r="K594" s="1647"/>
      <c r="L594" s="1586"/>
      <c r="M594" s="2174"/>
      <c r="N594" s="2174"/>
      <c r="O594" s="836"/>
      <c r="P594" s="2174"/>
      <c r="Q594" s="836"/>
      <c r="R594" s="309"/>
      <c r="S594" s="309"/>
      <c r="T594" s="309"/>
      <c r="U594" s="309"/>
      <c r="V594" s="311"/>
      <c r="W594" s="311"/>
      <c r="X594" s="1647"/>
      <c r="Y594" s="311"/>
      <c r="Z594" s="311"/>
      <c r="AA594" s="311"/>
      <c r="AB594" s="311"/>
      <c r="AC594" s="311"/>
      <c r="AD594" s="311"/>
      <c r="AE594" s="311"/>
      <c r="AF594" s="311"/>
      <c r="AG594" s="311"/>
      <c r="AH594" s="311"/>
      <c r="AI594" s="311"/>
      <c r="AJ594" s="311"/>
      <c r="AK594" s="311"/>
      <c r="AL594" s="311"/>
      <c r="AM594" s="311"/>
    </row>
    <row r="595" spans="1:39" ht="15.75" customHeight="1">
      <c r="A595" s="1647"/>
      <c r="B595" s="311"/>
      <c r="C595" s="1647"/>
      <c r="D595" s="2173"/>
      <c r="E595" s="1586"/>
      <c r="F595" s="1954"/>
      <c r="G595" s="1586"/>
      <c r="H595" s="1586"/>
      <c r="I595" s="1647"/>
      <c r="J595" s="1647"/>
      <c r="K595" s="1647"/>
      <c r="L595" s="1586"/>
      <c r="M595" s="2174"/>
      <c r="N595" s="2174"/>
      <c r="O595" s="836"/>
      <c r="P595" s="2174"/>
      <c r="Q595" s="836"/>
      <c r="R595" s="309"/>
      <c r="S595" s="309"/>
      <c r="T595" s="309"/>
      <c r="U595" s="309"/>
      <c r="V595" s="311"/>
      <c r="W595" s="311"/>
      <c r="X595" s="1647"/>
      <c r="Y595" s="311"/>
      <c r="Z595" s="311"/>
      <c r="AA595" s="311"/>
      <c r="AB595" s="311"/>
      <c r="AC595" s="311"/>
      <c r="AD595" s="311"/>
      <c r="AE595" s="311"/>
      <c r="AF595" s="311"/>
      <c r="AG595" s="311"/>
      <c r="AH595" s="311"/>
      <c r="AI595" s="311"/>
      <c r="AJ595" s="311"/>
      <c r="AK595" s="311"/>
      <c r="AL595" s="311"/>
      <c r="AM595" s="311"/>
    </row>
    <row r="596" spans="1:39" ht="15.75" customHeight="1">
      <c r="A596" s="1647"/>
      <c r="B596" s="311"/>
      <c r="C596" s="1647"/>
      <c r="D596" s="2173"/>
      <c r="E596" s="1586"/>
      <c r="F596" s="1954"/>
      <c r="G596" s="1586"/>
      <c r="H596" s="1586"/>
      <c r="I596" s="1647"/>
      <c r="J596" s="1647"/>
      <c r="K596" s="1647"/>
      <c r="L596" s="1586"/>
      <c r="M596" s="2174"/>
      <c r="N596" s="2174"/>
      <c r="O596" s="836"/>
      <c r="P596" s="2174"/>
      <c r="Q596" s="836"/>
      <c r="R596" s="309"/>
      <c r="S596" s="309"/>
      <c r="T596" s="309"/>
      <c r="U596" s="309"/>
      <c r="V596" s="311"/>
      <c r="W596" s="311"/>
      <c r="X596" s="1647"/>
      <c r="Y596" s="311"/>
      <c r="Z596" s="311"/>
      <c r="AA596" s="311"/>
      <c r="AB596" s="311"/>
      <c r="AC596" s="311"/>
      <c r="AD596" s="311"/>
      <c r="AE596" s="311"/>
      <c r="AF596" s="311"/>
      <c r="AG596" s="311"/>
      <c r="AH596" s="311"/>
      <c r="AI596" s="311"/>
      <c r="AJ596" s="311"/>
      <c r="AK596" s="311"/>
      <c r="AL596" s="311"/>
      <c r="AM596" s="311"/>
    </row>
    <row r="597" spans="1:39" ht="15.75" customHeight="1">
      <c r="A597" s="1647"/>
      <c r="B597" s="311"/>
      <c r="C597" s="1647"/>
      <c r="D597" s="2173"/>
      <c r="E597" s="1586"/>
      <c r="F597" s="1954"/>
      <c r="G597" s="1586"/>
      <c r="H597" s="1586"/>
      <c r="I597" s="1647"/>
      <c r="J597" s="1647"/>
      <c r="K597" s="1647"/>
      <c r="L597" s="1586"/>
      <c r="M597" s="2174"/>
      <c r="N597" s="2174"/>
      <c r="O597" s="836"/>
      <c r="P597" s="2174"/>
      <c r="Q597" s="836"/>
      <c r="R597" s="309"/>
      <c r="S597" s="309"/>
      <c r="T597" s="309"/>
      <c r="U597" s="309"/>
      <c r="V597" s="311"/>
      <c r="W597" s="311"/>
      <c r="X597" s="1647"/>
      <c r="Y597" s="311"/>
      <c r="Z597" s="311"/>
      <c r="AA597" s="311"/>
      <c r="AB597" s="311"/>
      <c r="AC597" s="311"/>
      <c r="AD597" s="311"/>
      <c r="AE597" s="311"/>
      <c r="AF597" s="311"/>
      <c r="AG597" s="311"/>
      <c r="AH597" s="311"/>
      <c r="AI597" s="311"/>
      <c r="AJ597" s="311"/>
      <c r="AK597" s="311"/>
      <c r="AL597" s="311"/>
      <c r="AM597" s="311"/>
    </row>
    <row r="598" spans="1:39" ht="15.75" customHeight="1">
      <c r="A598" s="1647"/>
      <c r="B598" s="311"/>
      <c r="C598" s="1647"/>
      <c r="D598" s="2173"/>
      <c r="E598" s="1586"/>
      <c r="F598" s="1954"/>
      <c r="G598" s="1586"/>
      <c r="H598" s="1586"/>
      <c r="I598" s="1647"/>
      <c r="J598" s="1647"/>
      <c r="K598" s="1647"/>
      <c r="L598" s="1586"/>
      <c r="M598" s="2174"/>
      <c r="N598" s="2174"/>
      <c r="O598" s="836"/>
      <c r="P598" s="2174"/>
      <c r="Q598" s="836"/>
      <c r="R598" s="309"/>
      <c r="S598" s="309"/>
      <c r="T598" s="309"/>
      <c r="U598" s="309"/>
      <c r="V598" s="311"/>
      <c r="W598" s="311"/>
      <c r="X598" s="1647"/>
      <c r="Y598" s="311"/>
      <c r="Z598" s="311"/>
      <c r="AA598" s="311"/>
      <c r="AB598" s="311"/>
      <c r="AC598" s="311"/>
      <c r="AD598" s="311"/>
      <c r="AE598" s="311"/>
      <c r="AF598" s="311"/>
      <c r="AG598" s="311"/>
      <c r="AH598" s="311"/>
      <c r="AI598" s="311"/>
      <c r="AJ598" s="311"/>
      <c r="AK598" s="311"/>
      <c r="AL598" s="311"/>
      <c r="AM598" s="311"/>
    </row>
    <row r="599" spans="1:39" ht="15.75" customHeight="1">
      <c r="A599" s="1647"/>
      <c r="B599" s="311"/>
      <c r="C599" s="1647"/>
      <c r="D599" s="2173"/>
      <c r="E599" s="1586"/>
      <c r="F599" s="1954"/>
      <c r="G599" s="1586"/>
      <c r="H599" s="1586"/>
      <c r="I599" s="1647"/>
      <c r="J599" s="1647"/>
      <c r="K599" s="1647"/>
      <c r="L599" s="1586"/>
      <c r="M599" s="2174"/>
      <c r="N599" s="2174"/>
      <c r="O599" s="836"/>
      <c r="P599" s="2174"/>
      <c r="Q599" s="836"/>
      <c r="R599" s="309"/>
      <c r="S599" s="309"/>
      <c r="T599" s="309"/>
      <c r="U599" s="309"/>
      <c r="V599" s="311"/>
      <c r="W599" s="311"/>
      <c r="X599" s="1647"/>
      <c r="Y599" s="311"/>
      <c r="Z599" s="311"/>
      <c r="AA599" s="311"/>
      <c r="AB599" s="311"/>
      <c r="AC599" s="311"/>
      <c r="AD599" s="311"/>
      <c r="AE599" s="311"/>
      <c r="AF599" s="311"/>
      <c r="AG599" s="311"/>
      <c r="AH599" s="311"/>
      <c r="AI599" s="311"/>
      <c r="AJ599" s="311"/>
      <c r="AK599" s="311"/>
      <c r="AL599" s="311"/>
      <c r="AM599" s="311"/>
    </row>
    <row r="600" spans="1:39" ht="15.75" customHeight="1">
      <c r="A600" s="1647"/>
      <c r="B600" s="311"/>
      <c r="C600" s="1647"/>
      <c r="D600" s="2173"/>
      <c r="E600" s="1586"/>
      <c r="F600" s="1954"/>
      <c r="G600" s="1586"/>
      <c r="H600" s="1586"/>
      <c r="I600" s="1647"/>
      <c r="J600" s="1647"/>
      <c r="K600" s="1647"/>
      <c r="L600" s="1586"/>
      <c r="M600" s="2174"/>
      <c r="N600" s="2174"/>
      <c r="O600" s="836"/>
      <c r="P600" s="2174"/>
      <c r="Q600" s="836"/>
      <c r="R600" s="309"/>
      <c r="S600" s="309"/>
      <c r="T600" s="309"/>
      <c r="U600" s="309"/>
      <c r="V600" s="311"/>
      <c r="W600" s="311"/>
      <c r="X600" s="1647"/>
      <c r="Y600" s="311"/>
      <c r="Z600" s="311"/>
      <c r="AA600" s="311"/>
      <c r="AB600" s="311"/>
      <c r="AC600" s="311"/>
      <c r="AD600" s="311"/>
      <c r="AE600" s="311"/>
      <c r="AF600" s="311"/>
      <c r="AG600" s="311"/>
      <c r="AH600" s="311"/>
      <c r="AI600" s="311"/>
      <c r="AJ600" s="311"/>
      <c r="AK600" s="311"/>
      <c r="AL600" s="311"/>
      <c r="AM600" s="311"/>
    </row>
    <row r="601" spans="1:39" ht="15.75" customHeight="1">
      <c r="A601" s="1647"/>
      <c r="B601" s="311"/>
      <c r="C601" s="1647"/>
      <c r="D601" s="2173"/>
      <c r="E601" s="1586"/>
      <c r="F601" s="1954"/>
      <c r="G601" s="1586"/>
      <c r="H601" s="1586"/>
      <c r="I601" s="1647"/>
      <c r="J601" s="1647"/>
      <c r="K601" s="1647"/>
      <c r="L601" s="1586"/>
      <c r="M601" s="2174"/>
      <c r="N601" s="2174"/>
      <c r="O601" s="836"/>
      <c r="P601" s="2174"/>
      <c r="Q601" s="836"/>
      <c r="R601" s="309"/>
      <c r="S601" s="309"/>
      <c r="T601" s="309"/>
      <c r="U601" s="309"/>
      <c r="V601" s="311"/>
      <c r="W601" s="311"/>
      <c r="X601" s="1647"/>
      <c r="Y601" s="311"/>
      <c r="Z601" s="311"/>
      <c r="AA601" s="311"/>
      <c r="AB601" s="311"/>
      <c r="AC601" s="311"/>
      <c r="AD601" s="311"/>
      <c r="AE601" s="311"/>
      <c r="AF601" s="311"/>
      <c r="AG601" s="311"/>
      <c r="AH601" s="311"/>
      <c r="AI601" s="311"/>
      <c r="AJ601" s="311"/>
      <c r="AK601" s="311"/>
      <c r="AL601" s="311"/>
      <c r="AM601" s="311"/>
    </row>
    <row r="602" spans="1:39" ht="15.75" customHeight="1">
      <c r="A602" s="1647"/>
      <c r="B602" s="311"/>
      <c r="C602" s="1647"/>
      <c r="D602" s="2173"/>
      <c r="E602" s="1586"/>
      <c r="F602" s="1954"/>
      <c r="G602" s="1586"/>
      <c r="H602" s="1586"/>
      <c r="I602" s="1647"/>
      <c r="J602" s="1647"/>
      <c r="K602" s="1647"/>
      <c r="L602" s="1586"/>
      <c r="M602" s="2174"/>
      <c r="N602" s="2174"/>
      <c r="O602" s="836"/>
      <c r="P602" s="2174"/>
      <c r="Q602" s="836"/>
      <c r="R602" s="309"/>
      <c r="S602" s="309"/>
      <c r="T602" s="309"/>
      <c r="U602" s="309"/>
      <c r="V602" s="311"/>
      <c r="W602" s="311"/>
      <c r="X602" s="1647"/>
      <c r="Y602" s="311"/>
      <c r="Z602" s="311"/>
      <c r="AA602" s="311"/>
      <c r="AB602" s="311"/>
      <c r="AC602" s="311"/>
      <c r="AD602" s="311"/>
      <c r="AE602" s="311"/>
      <c r="AF602" s="311"/>
      <c r="AG602" s="311"/>
      <c r="AH602" s="311"/>
      <c r="AI602" s="311"/>
      <c r="AJ602" s="311"/>
      <c r="AK602" s="311"/>
      <c r="AL602" s="311"/>
      <c r="AM602" s="311"/>
    </row>
    <row r="603" spans="1:39" ht="15.75" customHeight="1">
      <c r="A603" s="1647"/>
      <c r="B603" s="311"/>
      <c r="C603" s="1647"/>
      <c r="D603" s="2173"/>
      <c r="E603" s="1586"/>
      <c r="F603" s="1954"/>
      <c r="G603" s="1586"/>
      <c r="H603" s="1586"/>
      <c r="I603" s="1647"/>
      <c r="J603" s="1647"/>
      <c r="K603" s="1647"/>
      <c r="L603" s="1586"/>
      <c r="M603" s="2174"/>
      <c r="N603" s="2174"/>
      <c r="O603" s="836"/>
      <c r="P603" s="2174"/>
      <c r="Q603" s="836"/>
      <c r="R603" s="309"/>
      <c r="S603" s="309"/>
      <c r="T603" s="309"/>
      <c r="U603" s="309"/>
      <c r="V603" s="311"/>
      <c r="W603" s="311"/>
      <c r="X603" s="1647"/>
      <c r="Y603" s="311"/>
      <c r="Z603" s="311"/>
      <c r="AA603" s="311"/>
      <c r="AB603" s="311"/>
      <c r="AC603" s="311"/>
      <c r="AD603" s="311"/>
      <c r="AE603" s="311"/>
      <c r="AF603" s="311"/>
      <c r="AG603" s="311"/>
      <c r="AH603" s="311"/>
      <c r="AI603" s="311"/>
      <c r="AJ603" s="311"/>
      <c r="AK603" s="311"/>
      <c r="AL603" s="311"/>
      <c r="AM603" s="311"/>
    </row>
    <row r="604" spans="1:39" ht="15.75" customHeight="1">
      <c r="A604" s="1647"/>
      <c r="B604" s="311"/>
      <c r="C604" s="1647"/>
      <c r="D604" s="2173"/>
      <c r="E604" s="1586"/>
      <c r="F604" s="1954"/>
      <c r="G604" s="1586"/>
      <c r="H604" s="1586"/>
      <c r="I604" s="1647"/>
      <c r="J604" s="1647"/>
      <c r="K604" s="1647"/>
      <c r="L604" s="1586"/>
      <c r="M604" s="2174"/>
      <c r="N604" s="2174"/>
      <c r="O604" s="836"/>
      <c r="P604" s="2174"/>
      <c r="Q604" s="836"/>
      <c r="R604" s="309"/>
      <c r="S604" s="309"/>
      <c r="T604" s="309"/>
      <c r="U604" s="309"/>
      <c r="V604" s="311"/>
      <c r="W604" s="311"/>
      <c r="X604" s="1647"/>
      <c r="Y604" s="311"/>
      <c r="Z604" s="311"/>
      <c r="AA604" s="311"/>
      <c r="AB604" s="311"/>
      <c r="AC604" s="311"/>
      <c r="AD604" s="311"/>
      <c r="AE604" s="311"/>
      <c r="AF604" s="311"/>
      <c r="AG604" s="311"/>
      <c r="AH604" s="311"/>
      <c r="AI604" s="311"/>
      <c r="AJ604" s="311"/>
      <c r="AK604" s="311"/>
      <c r="AL604" s="311"/>
      <c r="AM604" s="311"/>
    </row>
    <row r="605" spans="1:39" ht="15.75" customHeight="1">
      <c r="A605" s="1647"/>
      <c r="B605" s="311"/>
      <c r="C605" s="1647"/>
      <c r="D605" s="2173"/>
      <c r="E605" s="1586"/>
      <c r="F605" s="1954"/>
      <c r="G605" s="1586"/>
      <c r="H605" s="1586"/>
      <c r="I605" s="1647"/>
      <c r="J605" s="1647"/>
      <c r="K605" s="1647"/>
      <c r="L605" s="1586"/>
      <c r="M605" s="2174"/>
      <c r="N605" s="2174"/>
      <c r="O605" s="836"/>
      <c r="P605" s="2174"/>
      <c r="Q605" s="836"/>
      <c r="R605" s="309"/>
      <c r="S605" s="309"/>
      <c r="T605" s="309"/>
      <c r="U605" s="309"/>
      <c r="V605" s="311"/>
      <c r="W605" s="311"/>
      <c r="X605" s="1647"/>
      <c r="Y605" s="311"/>
      <c r="Z605" s="311"/>
      <c r="AA605" s="311"/>
      <c r="AB605" s="311"/>
      <c r="AC605" s="311"/>
      <c r="AD605" s="311"/>
      <c r="AE605" s="311"/>
      <c r="AF605" s="311"/>
      <c r="AG605" s="311"/>
      <c r="AH605" s="311"/>
      <c r="AI605" s="311"/>
      <c r="AJ605" s="311"/>
      <c r="AK605" s="311"/>
      <c r="AL605" s="311"/>
      <c r="AM605" s="311"/>
    </row>
    <row r="606" spans="1:39" ht="15.75" customHeight="1">
      <c r="A606" s="1647"/>
      <c r="B606" s="311"/>
      <c r="C606" s="1647"/>
      <c r="D606" s="2173"/>
      <c r="E606" s="1586"/>
      <c r="F606" s="1954"/>
      <c r="G606" s="1586"/>
      <c r="H606" s="1586"/>
      <c r="I606" s="1647"/>
      <c r="J606" s="1647"/>
      <c r="K606" s="1647"/>
      <c r="L606" s="1586"/>
      <c r="M606" s="2174"/>
      <c r="N606" s="2174"/>
      <c r="O606" s="836"/>
      <c r="P606" s="2174"/>
      <c r="Q606" s="836"/>
      <c r="R606" s="309"/>
      <c r="S606" s="309"/>
      <c r="T606" s="309"/>
      <c r="U606" s="309"/>
      <c r="V606" s="311"/>
      <c r="W606" s="311"/>
      <c r="X606" s="1647"/>
      <c r="Y606" s="311"/>
      <c r="Z606" s="311"/>
      <c r="AA606" s="311"/>
      <c r="AB606" s="311"/>
      <c r="AC606" s="311"/>
      <c r="AD606" s="311"/>
      <c r="AE606" s="311"/>
      <c r="AF606" s="311"/>
      <c r="AG606" s="311"/>
      <c r="AH606" s="311"/>
      <c r="AI606" s="311"/>
      <c r="AJ606" s="311"/>
      <c r="AK606" s="311"/>
      <c r="AL606" s="311"/>
      <c r="AM606" s="311"/>
    </row>
    <row r="607" spans="1:39" ht="15.75" customHeight="1">
      <c r="A607" s="1647"/>
      <c r="B607" s="311"/>
      <c r="C607" s="1647"/>
      <c r="D607" s="2173"/>
      <c r="E607" s="1586"/>
      <c r="F607" s="1954"/>
      <c r="G607" s="1586"/>
      <c r="H607" s="1586"/>
      <c r="I607" s="1647"/>
      <c r="J607" s="1647"/>
      <c r="K607" s="1647"/>
      <c r="L607" s="1586"/>
      <c r="M607" s="2174"/>
      <c r="N607" s="2174"/>
      <c r="O607" s="836"/>
      <c r="P607" s="2174"/>
      <c r="Q607" s="836"/>
      <c r="R607" s="309"/>
      <c r="S607" s="309"/>
      <c r="T607" s="309"/>
      <c r="U607" s="309"/>
      <c r="V607" s="311"/>
      <c r="W607" s="311"/>
      <c r="X607" s="1647"/>
      <c r="Y607" s="311"/>
      <c r="Z607" s="311"/>
      <c r="AA607" s="311"/>
      <c r="AB607" s="311"/>
      <c r="AC607" s="311"/>
      <c r="AD607" s="311"/>
      <c r="AE607" s="311"/>
      <c r="AF607" s="311"/>
      <c r="AG607" s="311"/>
      <c r="AH607" s="311"/>
      <c r="AI607" s="311"/>
      <c r="AJ607" s="311"/>
      <c r="AK607" s="311"/>
      <c r="AL607" s="311"/>
      <c r="AM607" s="311"/>
    </row>
    <row r="608" spans="1:39" ht="15.75" customHeight="1">
      <c r="A608" s="1647"/>
      <c r="B608" s="311"/>
      <c r="C608" s="1647"/>
      <c r="D608" s="2173"/>
      <c r="E608" s="1586"/>
      <c r="F608" s="1954"/>
      <c r="G608" s="1586"/>
      <c r="H608" s="1586"/>
      <c r="I608" s="1647"/>
      <c r="J608" s="1647"/>
      <c r="K608" s="1647"/>
      <c r="L608" s="1586"/>
      <c r="M608" s="2174"/>
      <c r="N608" s="2174"/>
      <c r="O608" s="836"/>
      <c r="P608" s="2174"/>
      <c r="Q608" s="836"/>
      <c r="R608" s="309"/>
      <c r="S608" s="309"/>
      <c r="T608" s="309"/>
      <c r="U608" s="309"/>
      <c r="V608" s="311"/>
      <c r="W608" s="311"/>
      <c r="X608" s="1647"/>
      <c r="Y608" s="311"/>
      <c r="Z608" s="311"/>
      <c r="AA608" s="311"/>
      <c r="AB608" s="311"/>
      <c r="AC608" s="311"/>
      <c r="AD608" s="311"/>
      <c r="AE608" s="311"/>
      <c r="AF608" s="311"/>
      <c r="AG608" s="311"/>
      <c r="AH608" s="311"/>
      <c r="AI608" s="311"/>
      <c r="AJ608" s="311"/>
      <c r="AK608" s="311"/>
      <c r="AL608" s="311"/>
      <c r="AM608" s="311"/>
    </row>
    <row r="609" spans="1:39" ht="15.75" customHeight="1">
      <c r="A609" s="1647"/>
      <c r="B609" s="311"/>
      <c r="C609" s="1647"/>
      <c r="D609" s="2173"/>
      <c r="E609" s="1586"/>
      <c r="F609" s="1954"/>
      <c r="G609" s="1586"/>
      <c r="H609" s="1586"/>
      <c r="I609" s="1647"/>
      <c r="J609" s="1647"/>
      <c r="K609" s="1647"/>
      <c r="L609" s="1586"/>
      <c r="M609" s="2174"/>
      <c r="N609" s="2174"/>
      <c r="O609" s="836"/>
      <c r="P609" s="2174"/>
      <c r="Q609" s="836"/>
      <c r="R609" s="309"/>
      <c r="S609" s="309"/>
      <c r="T609" s="309"/>
      <c r="U609" s="309"/>
      <c r="V609" s="311"/>
      <c r="W609" s="311"/>
      <c r="X609" s="1647"/>
      <c r="Y609" s="311"/>
      <c r="Z609" s="311"/>
      <c r="AA609" s="311"/>
      <c r="AB609" s="311"/>
      <c r="AC609" s="311"/>
      <c r="AD609" s="311"/>
      <c r="AE609" s="311"/>
      <c r="AF609" s="311"/>
      <c r="AG609" s="311"/>
      <c r="AH609" s="311"/>
      <c r="AI609" s="311"/>
      <c r="AJ609" s="311"/>
      <c r="AK609" s="311"/>
      <c r="AL609" s="311"/>
      <c r="AM609" s="311"/>
    </row>
    <row r="610" spans="1:39" ht="15.75" customHeight="1">
      <c r="A610" s="1647"/>
      <c r="B610" s="311"/>
      <c r="C610" s="1647"/>
      <c r="D610" s="2173"/>
      <c r="E610" s="1586"/>
      <c r="F610" s="1954"/>
      <c r="G610" s="1586"/>
      <c r="H610" s="1586"/>
      <c r="I610" s="1647"/>
      <c r="J610" s="1647"/>
      <c r="K610" s="1647"/>
      <c r="L610" s="1586"/>
      <c r="M610" s="2174"/>
      <c r="N610" s="2174"/>
      <c r="O610" s="836"/>
      <c r="P610" s="2174"/>
      <c r="Q610" s="836"/>
      <c r="R610" s="309"/>
      <c r="S610" s="309"/>
      <c r="T610" s="309"/>
      <c r="U610" s="309"/>
      <c r="V610" s="311"/>
      <c r="W610" s="311"/>
      <c r="X610" s="1647"/>
      <c r="Y610" s="311"/>
      <c r="Z610" s="311"/>
      <c r="AA610" s="311"/>
      <c r="AB610" s="311"/>
      <c r="AC610" s="311"/>
      <c r="AD610" s="311"/>
      <c r="AE610" s="311"/>
      <c r="AF610" s="311"/>
      <c r="AG610" s="311"/>
      <c r="AH610" s="311"/>
      <c r="AI610" s="311"/>
      <c r="AJ610" s="311"/>
      <c r="AK610" s="311"/>
      <c r="AL610" s="311"/>
      <c r="AM610" s="311"/>
    </row>
    <row r="611" spans="1:39" ht="15.75" customHeight="1">
      <c r="A611" s="1647"/>
      <c r="B611" s="311"/>
      <c r="C611" s="1647"/>
      <c r="D611" s="2173"/>
      <c r="E611" s="1586"/>
      <c r="F611" s="1954"/>
      <c r="G611" s="1586"/>
      <c r="H611" s="1586"/>
      <c r="I611" s="1647"/>
      <c r="J611" s="1647"/>
      <c r="K611" s="1647"/>
      <c r="L611" s="1586"/>
      <c r="M611" s="2174"/>
      <c r="N611" s="2174"/>
      <c r="O611" s="836"/>
      <c r="P611" s="2174"/>
      <c r="Q611" s="836"/>
      <c r="R611" s="309"/>
      <c r="S611" s="309"/>
      <c r="T611" s="309"/>
      <c r="U611" s="309"/>
      <c r="V611" s="311"/>
      <c r="W611" s="311"/>
      <c r="X611" s="1647"/>
      <c r="Y611" s="311"/>
      <c r="Z611" s="311"/>
      <c r="AA611" s="311"/>
      <c r="AB611" s="311"/>
      <c r="AC611" s="311"/>
      <c r="AD611" s="311"/>
      <c r="AE611" s="311"/>
      <c r="AF611" s="311"/>
      <c r="AG611" s="311"/>
      <c r="AH611" s="311"/>
      <c r="AI611" s="311"/>
      <c r="AJ611" s="311"/>
      <c r="AK611" s="311"/>
      <c r="AL611" s="311"/>
      <c r="AM611" s="311"/>
    </row>
    <row r="612" spans="1:39" ht="15.75" customHeight="1">
      <c r="A612" s="1647"/>
      <c r="B612" s="311"/>
      <c r="C612" s="1647"/>
      <c r="D612" s="2173"/>
      <c r="E612" s="1586"/>
      <c r="F612" s="1954"/>
      <c r="G612" s="1586"/>
      <c r="H612" s="1586"/>
      <c r="I612" s="1647"/>
      <c r="J612" s="1647"/>
      <c r="K612" s="1647"/>
      <c r="L612" s="1586"/>
      <c r="M612" s="2174"/>
      <c r="N612" s="2174"/>
      <c r="O612" s="836"/>
      <c r="P612" s="2174"/>
      <c r="Q612" s="836"/>
      <c r="R612" s="309"/>
      <c r="S612" s="309"/>
      <c r="T612" s="309"/>
      <c r="U612" s="309"/>
      <c r="V612" s="311"/>
      <c r="W612" s="311"/>
      <c r="X612" s="1647"/>
      <c r="Y612" s="311"/>
      <c r="Z612" s="311"/>
      <c r="AA612" s="311"/>
      <c r="AB612" s="311"/>
      <c r="AC612" s="311"/>
      <c r="AD612" s="311"/>
      <c r="AE612" s="311"/>
      <c r="AF612" s="311"/>
      <c r="AG612" s="311"/>
      <c r="AH612" s="311"/>
      <c r="AI612" s="311"/>
      <c r="AJ612" s="311"/>
      <c r="AK612" s="311"/>
      <c r="AL612" s="311"/>
      <c r="AM612" s="311"/>
    </row>
    <row r="613" spans="1:39" ht="15.75" customHeight="1">
      <c r="A613" s="1647"/>
      <c r="B613" s="311"/>
      <c r="C613" s="1647"/>
      <c r="D613" s="2173"/>
      <c r="E613" s="1586"/>
      <c r="F613" s="1954"/>
      <c r="G613" s="1586"/>
      <c r="H613" s="1586"/>
      <c r="I613" s="1647"/>
      <c r="J613" s="1647"/>
      <c r="K613" s="1647"/>
      <c r="L613" s="1586"/>
      <c r="M613" s="2174"/>
      <c r="N613" s="2174"/>
      <c r="O613" s="836"/>
      <c r="P613" s="2174"/>
      <c r="Q613" s="836"/>
      <c r="R613" s="309"/>
      <c r="S613" s="309"/>
      <c r="T613" s="309"/>
      <c r="U613" s="309"/>
      <c r="V613" s="311"/>
      <c r="W613" s="311"/>
      <c r="X613" s="1647"/>
      <c r="Y613" s="311"/>
      <c r="Z613" s="311"/>
      <c r="AA613" s="311"/>
      <c r="AB613" s="311"/>
      <c r="AC613" s="311"/>
      <c r="AD613" s="311"/>
      <c r="AE613" s="311"/>
      <c r="AF613" s="311"/>
      <c r="AG613" s="311"/>
      <c r="AH613" s="311"/>
      <c r="AI613" s="311"/>
      <c r="AJ613" s="311"/>
      <c r="AK613" s="311"/>
      <c r="AL613" s="311"/>
      <c r="AM613" s="311"/>
    </row>
    <row r="614" spans="1:39" ht="15.75" customHeight="1">
      <c r="A614" s="1647"/>
      <c r="B614" s="311"/>
      <c r="C614" s="1647"/>
      <c r="D614" s="2173"/>
      <c r="E614" s="1586"/>
      <c r="F614" s="1954"/>
      <c r="G614" s="1586"/>
      <c r="H614" s="1586"/>
      <c r="I614" s="1647"/>
      <c r="J614" s="1647"/>
      <c r="K614" s="1647"/>
      <c r="L614" s="1586"/>
      <c r="M614" s="2174"/>
      <c r="N614" s="2174"/>
      <c r="O614" s="836"/>
      <c r="P614" s="2174"/>
      <c r="Q614" s="836"/>
      <c r="R614" s="309"/>
      <c r="S614" s="309"/>
      <c r="T614" s="309"/>
      <c r="U614" s="309"/>
      <c r="V614" s="311"/>
      <c r="W614" s="311"/>
      <c r="X614" s="1647"/>
      <c r="Y614" s="311"/>
      <c r="Z614" s="311"/>
      <c r="AA614" s="311"/>
      <c r="AB614" s="311"/>
      <c r="AC614" s="311"/>
      <c r="AD614" s="311"/>
      <c r="AE614" s="311"/>
      <c r="AF614" s="311"/>
      <c r="AG614" s="311"/>
      <c r="AH614" s="311"/>
      <c r="AI614" s="311"/>
      <c r="AJ614" s="311"/>
      <c r="AK614" s="311"/>
      <c r="AL614" s="311"/>
      <c r="AM614" s="311"/>
    </row>
    <row r="615" spans="1:39" ht="15.75" customHeight="1">
      <c r="A615" s="1647"/>
      <c r="B615" s="311"/>
      <c r="C615" s="1647"/>
      <c r="D615" s="2173"/>
      <c r="E615" s="1586"/>
      <c r="F615" s="1954"/>
      <c r="G615" s="1586"/>
      <c r="H615" s="1586"/>
      <c r="I615" s="1647"/>
      <c r="J615" s="1647"/>
      <c r="K615" s="1647"/>
      <c r="L615" s="1586"/>
      <c r="M615" s="2174"/>
      <c r="N615" s="2174"/>
      <c r="O615" s="836"/>
      <c r="P615" s="2174"/>
      <c r="Q615" s="836"/>
      <c r="R615" s="309"/>
      <c r="S615" s="309"/>
      <c r="T615" s="309"/>
      <c r="U615" s="309"/>
      <c r="V615" s="311"/>
      <c r="W615" s="311"/>
      <c r="X615" s="1647"/>
      <c r="Y615" s="311"/>
      <c r="Z615" s="311"/>
      <c r="AA615" s="311"/>
      <c r="AB615" s="311"/>
      <c r="AC615" s="311"/>
      <c r="AD615" s="311"/>
      <c r="AE615" s="311"/>
      <c r="AF615" s="311"/>
      <c r="AG615" s="311"/>
      <c r="AH615" s="311"/>
      <c r="AI615" s="311"/>
      <c r="AJ615" s="311"/>
      <c r="AK615" s="311"/>
      <c r="AL615" s="311"/>
      <c r="AM615" s="311"/>
    </row>
    <row r="616" spans="1:39" ht="15.75" customHeight="1">
      <c r="A616" s="1647"/>
      <c r="B616" s="311"/>
      <c r="C616" s="1647"/>
      <c r="D616" s="2173"/>
      <c r="E616" s="1586"/>
      <c r="F616" s="1954"/>
      <c r="G616" s="1586"/>
      <c r="H616" s="1586"/>
      <c r="I616" s="1647"/>
      <c r="J616" s="1647"/>
      <c r="K616" s="1647"/>
      <c r="L616" s="1586"/>
      <c r="M616" s="2174"/>
      <c r="N616" s="2174"/>
      <c r="O616" s="836"/>
      <c r="P616" s="2174"/>
      <c r="Q616" s="836"/>
      <c r="R616" s="309"/>
      <c r="S616" s="309"/>
      <c r="T616" s="309"/>
      <c r="U616" s="309"/>
      <c r="V616" s="311"/>
      <c r="W616" s="311"/>
      <c r="X616" s="1647"/>
      <c r="Y616" s="311"/>
      <c r="Z616" s="311"/>
      <c r="AA616" s="311"/>
      <c r="AB616" s="311"/>
      <c r="AC616" s="311"/>
      <c r="AD616" s="311"/>
      <c r="AE616" s="311"/>
      <c r="AF616" s="311"/>
      <c r="AG616" s="311"/>
      <c r="AH616" s="311"/>
      <c r="AI616" s="311"/>
      <c r="AJ616" s="311"/>
      <c r="AK616" s="311"/>
      <c r="AL616" s="311"/>
      <c r="AM616" s="311"/>
    </row>
    <row r="617" spans="1:39" ht="15.75" customHeight="1">
      <c r="A617" s="1647"/>
      <c r="B617" s="311"/>
      <c r="C617" s="1647"/>
      <c r="D617" s="2173"/>
      <c r="E617" s="1586"/>
      <c r="F617" s="1954"/>
      <c r="G617" s="1586"/>
      <c r="H617" s="1586"/>
      <c r="I617" s="1647"/>
      <c r="J617" s="1647"/>
      <c r="K617" s="1647"/>
      <c r="L617" s="1586"/>
      <c r="M617" s="2174"/>
      <c r="N617" s="2174"/>
      <c r="O617" s="836"/>
      <c r="P617" s="2174"/>
      <c r="Q617" s="836"/>
      <c r="R617" s="309"/>
      <c r="S617" s="309"/>
      <c r="T617" s="309"/>
      <c r="U617" s="309"/>
      <c r="V617" s="311"/>
      <c r="W617" s="311"/>
      <c r="X617" s="1647"/>
      <c r="Y617" s="311"/>
      <c r="Z617" s="311"/>
      <c r="AA617" s="311"/>
      <c r="AB617" s="311"/>
      <c r="AC617" s="311"/>
      <c r="AD617" s="311"/>
      <c r="AE617" s="311"/>
      <c r="AF617" s="311"/>
      <c r="AG617" s="311"/>
      <c r="AH617" s="311"/>
      <c r="AI617" s="311"/>
      <c r="AJ617" s="311"/>
      <c r="AK617" s="311"/>
      <c r="AL617" s="311"/>
      <c r="AM617" s="311"/>
    </row>
    <row r="618" spans="1:39" ht="15.75" customHeight="1">
      <c r="A618" s="1647"/>
      <c r="B618" s="311"/>
      <c r="C618" s="1647"/>
      <c r="D618" s="2173"/>
      <c r="E618" s="1586"/>
      <c r="F618" s="1954"/>
      <c r="G618" s="1586"/>
      <c r="H618" s="1586"/>
      <c r="I618" s="1647"/>
      <c r="J618" s="1647"/>
      <c r="K618" s="1647"/>
      <c r="L618" s="1586"/>
      <c r="M618" s="2174"/>
      <c r="N618" s="2174"/>
      <c r="O618" s="836"/>
      <c r="P618" s="2174"/>
      <c r="Q618" s="836"/>
      <c r="R618" s="309"/>
      <c r="S618" s="309"/>
      <c r="T618" s="309"/>
      <c r="U618" s="309"/>
      <c r="V618" s="311"/>
      <c r="W618" s="311"/>
      <c r="X618" s="1647"/>
      <c r="Y618" s="311"/>
      <c r="Z618" s="311"/>
      <c r="AA618" s="311"/>
      <c r="AB618" s="311"/>
      <c r="AC618" s="311"/>
      <c r="AD618" s="311"/>
      <c r="AE618" s="311"/>
      <c r="AF618" s="311"/>
      <c r="AG618" s="311"/>
      <c r="AH618" s="311"/>
      <c r="AI618" s="311"/>
      <c r="AJ618" s="311"/>
      <c r="AK618" s="311"/>
      <c r="AL618" s="311"/>
      <c r="AM618" s="311"/>
    </row>
    <row r="619" spans="1:39" ht="15.75" customHeight="1">
      <c r="A619" s="1647"/>
      <c r="B619" s="311"/>
      <c r="C619" s="1647"/>
      <c r="D619" s="2173"/>
      <c r="E619" s="1586"/>
      <c r="F619" s="1954"/>
      <c r="G619" s="1586"/>
      <c r="H619" s="1586"/>
      <c r="I619" s="1647"/>
      <c r="J619" s="1647"/>
      <c r="K619" s="1647"/>
      <c r="L619" s="1586"/>
      <c r="M619" s="2174"/>
      <c r="N619" s="2174"/>
      <c r="O619" s="836"/>
      <c r="P619" s="2174"/>
      <c r="Q619" s="836"/>
      <c r="R619" s="309"/>
      <c r="S619" s="309"/>
      <c r="T619" s="309"/>
      <c r="U619" s="309"/>
      <c r="V619" s="311"/>
      <c r="W619" s="311"/>
      <c r="X619" s="1647"/>
      <c r="Y619" s="311"/>
      <c r="Z619" s="311"/>
      <c r="AA619" s="311"/>
      <c r="AB619" s="311"/>
      <c r="AC619" s="311"/>
      <c r="AD619" s="311"/>
      <c r="AE619" s="311"/>
      <c r="AF619" s="311"/>
      <c r="AG619" s="311"/>
      <c r="AH619" s="311"/>
      <c r="AI619" s="311"/>
      <c r="AJ619" s="311"/>
      <c r="AK619" s="311"/>
      <c r="AL619" s="311"/>
      <c r="AM619" s="311"/>
    </row>
    <row r="620" spans="1:39" ht="15.75" customHeight="1">
      <c r="A620" s="1647"/>
      <c r="B620" s="311"/>
      <c r="C620" s="1647"/>
      <c r="D620" s="2173"/>
      <c r="E620" s="1586"/>
      <c r="F620" s="1954"/>
      <c r="G620" s="1586"/>
      <c r="H620" s="1586"/>
      <c r="I620" s="1647"/>
      <c r="J620" s="1647"/>
      <c r="K620" s="1647"/>
      <c r="L620" s="1586"/>
      <c r="M620" s="2174"/>
      <c r="N620" s="2174"/>
      <c r="O620" s="836"/>
      <c r="P620" s="2174"/>
      <c r="Q620" s="836"/>
      <c r="R620" s="309"/>
      <c r="S620" s="309"/>
      <c r="T620" s="309"/>
      <c r="U620" s="309"/>
      <c r="V620" s="311"/>
      <c r="W620" s="311"/>
      <c r="X620" s="1647"/>
      <c r="Y620" s="311"/>
      <c r="Z620" s="311"/>
      <c r="AA620" s="311"/>
      <c r="AB620" s="311"/>
      <c r="AC620" s="311"/>
      <c r="AD620" s="311"/>
      <c r="AE620" s="311"/>
      <c r="AF620" s="311"/>
      <c r="AG620" s="311"/>
      <c r="AH620" s="311"/>
      <c r="AI620" s="311"/>
      <c r="AJ620" s="311"/>
      <c r="AK620" s="311"/>
      <c r="AL620" s="311"/>
      <c r="AM620" s="311"/>
    </row>
    <row r="621" spans="1:39" ht="15.75" customHeight="1">
      <c r="A621" s="1647"/>
      <c r="B621" s="311"/>
      <c r="C621" s="1647"/>
      <c r="D621" s="2173"/>
      <c r="E621" s="1586"/>
      <c r="F621" s="1954"/>
      <c r="G621" s="1586"/>
      <c r="H621" s="1586"/>
      <c r="I621" s="1647"/>
      <c r="J621" s="1647"/>
      <c r="K621" s="1647"/>
      <c r="L621" s="1586"/>
      <c r="M621" s="2174"/>
      <c r="N621" s="2174"/>
      <c r="O621" s="836"/>
      <c r="P621" s="2174"/>
      <c r="Q621" s="836"/>
      <c r="R621" s="309"/>
      <c r="S621" s="309"/>
      <c r="T621" s="309"/>
      <c r="U621" s="309"/>
      <c r="V621" s="311"/>
      <c r="W621" s="311"/>
      <c r="X621" s="1647"/>
      <c r="Y621" s="311"/>
      <c r="Z621" s="311"/>
      <c r="AA621" s="311"/>
      <c r="AB621" s="311"/>
      <c r="AC621" s="311"/>
      <c r="AD621" s="311"/>
      <c r="AE621" s="311"/>
      <c r="AF621" s="311"/>
      <c r="AG621" s="311"/>
      <c r="AH621" s="311"/>
      <c r="AI621" s="311"/>
      <c r="AJ621" s="311"/>
      <c r="AK621" s="311"/>
      <c r="AL621" s="311"/>
      <c r="AM621" s="311"/>
    </row>
    <row r="622" spans="1:39" ht="15.75" customHeight="1">
      <c r="A622" s="1647"/>
      <c r="B622" s="311"/>
      <c r="C622" s="1647"/>
      <c r="D622" s="2173"/>
      <c r="E622" s="1586"/>
      <c r="F622" s="1954"/>
      <c r="G622" s="1586"/>
      <c r="H622" s="1586"/>
      <c r="I622" s="1647"/>
      <c r="J622" s="1647"/>
      <c r="K622" s="1647"/>
      <c r="L622" s="1586"/>
      <c r="M622" s="2174"/>
      <c r="N622" s="2174"/>
      <c r="O622" s="836"/>
      <c r="P622" s="2174"/>
      <c r="Q622" s="836"/>
      <c r="R622" s="309"/>
      <c r="S622" s="309"/>
      <c r="T622" s="309"/>
      <c r="U622" s="309"/>
      <c r="V622" s="311"/>
      <c r="W622" s="311"/>
      <c r="X622" s="1647"/>
      <c r="Y622" s="311"/>
      <c r="Z622" s="311"/>
      <c r="AA622" s="311"/>
      <c r="AB622" s="311"/>
      <c r="AC622" s="311"/>
      <c r="AD622" s="311"/>
      <c r="AE622" s="311"/>
      <c r="AF622" s="311"/>
      <c r="AG622" s="311"/>
      <c r="AH622" s="311"/>
      <c r="AI622" s="311"/>
      <c r="AJ622" s="311"/>
      <c r="AK622" s="311"/>
      <c r="AL622" s="311"/>
      <c r="AM622" s="311"/>
    </row>
    <row r="623" spans="1:39" ht="15.75" customHeight="1">
      <c r="A623" s="1647"/>
      <c r="B623" s="311"/>
      <c r="C623" s="1647"/>
      <c r="D623" s="2173"/>
      <c r="E623" s="1586"/>
      <c r="F623" s="1954"/>
      <c r="G623" s="1586"/>
      <c r="H623" s="1586"/>
      <c r="I623" s="1647"/>
      <c r="J623" s="1647"/>
      <c r="K623" s="1647"/>
      <c r="L623" s="1586"/>
      <c r="M623" s="2174"/>
      <c r="N623" s="2174"/>
      <c r="O623" s="836"/>
      <c r="P623" s="2174"/>
      <c r="Q623" s="836"/>
      <c r="R623" s="309"/>
      <c r="S623" s="309"/>
      <c r="T623" s="309"/>
      <c r="U623" s="309"/>
      <c r="V623" s="311"/>
      <c r="W623" s="311"/>
      <c r="X623" s="1647"/>
      <c r="Y623" s="311"/>
      <c r="Z623" s="311"/>
      <c r="AA623" s="311"/>
      <c r="AB623" s="311"/>
      <c r="AC623" s="311"/>
      <c r="AD623" s="311"/>
      <c r="AE623" s="311"/>
      <c r="AF623" s="311"/>
      <c r="AG623" s="311"/>
      <c r="AH623" s="311"/>
      <c r="AI623" s="311"/>
      <c r="AJ623" s="311"/>
      <c r="AK623" s="311"/>
      <c r="AL623" s="311"/>
      <c r="AM623" s="311"/>
    </row>
    <row r="624" spans="1:39" ht="15.75" customHeight="1">
      <c r="A624" s="1647"/>
      <c r="B624" s="311"/>
      <c r="C624" s="1647"/>
      <c r="D624" s="2173"/>
      <c r="E624" s="1586"/>
      <c r="F624" s="1954"/>
      <c r="G624" s="1586"/>
      <c r="H624" s="1586"/>
      <c r="I624" s="1647"/>
      <c r="J624" s="1647"/>
      <c r="K624" s="1647"/>
      <c r="L624" s="1586"/>
      <c r="M624" s="2174"/>
      <c r="N624" s="2174"/>
      <c r="O624" s="836"/>
      <c r="P624" s="2174"/>
      <c r="Q624" s="836"/>
      <c r="R624" s="309"/>
      <c r="S624" s="309"/>
      <c r="T624" s="309"/>
      <c r="U624" s="309"/>
      <c r="V624" s="311"/>
      <c r="W624" s="311"/>
      <c r="X624" s="1647"/>
      <c r="Y624" s="311"/>
      <c r="Z624" s="311"/>
      <c r="AA624" s="311"/>
      <c r="AB624" s="311"/>
      <c r="AC624" s="311"/>
      <c r="AD624" s="311"/>
      <c r="AE624" s="311"/>
      <c r="AF624" s="311"/>
      <c r="AG624" s="311"/>
      <c r="AH624" s="311"/>
      <c r="AI624" s="311"/>
      <c r="AJ624" s="311"/>
      <c r="AK624" s="311"/>
      <c r="AL624" s="311"/>
      <c r="AM624" s="311"/>
    </row>
    <row r="625" spans="1:39" ht="15.75" customHeight="1">
      <c r="A625" s="1647"/>
      <c r="B625" s="311"/>
      <c r="C625" s="1647"/>
      <c r="D625" s="2173"/>
      <c r="E625" s="1586"/>
      <c r="F625" s="1954"/>
      <c r="G625" s="1586"/>
      <c r="H625" s="1586"/>
      <c r="I625" s="1647"/>
      <c r="J625" s="1647"/>
      <c r="K625" s="1647"/>
      <c r="L625" s="1586"/>
      <c r="M625" s="2174"/>
      <c r="N625" s="2174"/>
      <c r="O625" s="836"/>
      <c r="P625" s="2174"/>
      <c r="Q625" s="836"/>
      <c r="R625" s="309"/>
      <c r="S625" s="309"/>
      <c r="T625" s="309"/>
      <c r="U625" s="309"/>
      <c r="V625" s="311"/>
      <c r="W625" s="311"/>
      <c r="X625" s="1647"/>
      <c r="Y625" s="311"/>
      <c r="Z625" s="311"/>
      <c r="AA625" s="311"/>
      <c r="AB625" s="311"/>
      <c r="AC625" s="311"/>
      <c r="AD625" s="311"/>
      <c r="AE625" s="311"/>
      <c r="AF625" s="311"/>
      <c r="AG625" s="311"/>
      <c r="AH625" s="311"/>
      <c r="AI625" s="311"/>
      <c r="AJ625" s="311"/>
      <c r="AK625" s="311"/>
      <c r="AL625" s="311"/>
      <c r="AM625" s="311"/>
    </row>
    <row r="626" spans="1:39" ht="15.75" customHeight="1">
      <c r="A626" s="1647"/>
      <c r="B626" s="311"/>
      <c r="C626" s="1647"/>
      <c r="D626" s="2173"/>
      <c r="E626" s="1586"/>
      <c r="F626" s="1954"/>
      <c r="G626" s="1586"/>
      <c r="H626" s="1586"/>
      <c r="I626" s="1647"/>
      <c r="J626" s="1647"/>
      <c r="K626" s="1647"/>
      <c r="L626" s="1586"/>
      <c r="M626" s="2174"/>
      <c r="N626" s="2174"/>
      <c r="O626" s="836"/>
      <c r="P626" s="2174"/>
      <c r="Q626" s="836"/>
      <c r="R626" s="309"/>
      <c r="S626" s="309"/>
      <c r="T626" s="309"/>
      <c r="U626" s="309"/>
      <c r="V626" s="311"/>
      <c r="W626" s="311"/>
      <c r="X626" s="1647"/>
      <c r="Y626" s="311"/>
      <c r="Z626" s="311"/>
      <c r="AA626" s="311"/>
      <c r="AB626" s="311"/>
      <c r="AC626" s="311"/>
      <c r="AD626" s="311"/>
      <c r="AE626" s="311"/>
      <c r="AF626" s="311"/>
      <c r="AG626" s="311"/>
      <c r="AH626" s="311"/>
      <c r="AI626" s="311"/>
      <c r="AJ626" s="311"/>
      <c r="AK626" s="311"/>
      <c r="AL626" s="311"/>
      <c r="AM626" s="311"/>
    </row>
    <row r="627" spans="1:39" ht="15.75" customHeight="1">
      <c r="A627" s="1647"/>
      <c r="B627" s="311"/>
      <c r="C627" s="1647"/>
      <c r="D627" s="2173"/>
      <c r="E627" s="1586"/>
      <c r="F627" s="1954"/>
      <c r="G627" s="1586"/>
      <c r="H627" s="1586"/>
      <c r="I627" s="1647"/>
      <c r="J627" s="1647"/>
      <c r="K627" s="1647"/>
      <c r="L627" s="1586"/>
      <c r="M627" s="2174"/>
      <c r="N627" s="2174"/>
      <c r="O627" s="836"/>
      <c r="P627" s="2174"/>
      <c r="Q627" s="836"/>
      <c r="R627" s="309"/>
      <c r="S627" s="309"/>
      <c r="T627" s="309"/>
      <c r="U627" s="309"/>
      <c r="V627" s="311"/>
      <c r="W627" s="311"/>
      <c r="X627" s="1647"/>
      <c r="Y627" s="311"/>
      <c r="Z627" s="311"/>
      <c r="AA627" s="311"/>
      <c r="AB627" s="311"/>
      <c r="AC627" s="311"/>
      <c r="AD627" s="311"/>
      <c r="AE627" s="311"/>
      <c r="AF627" s="311"/>
      <c r="AG627" s="311"/>
      <c r="AH627" s="311"/>
      <c r="AI627" s="311"/>
      <c r="AJ627" s="311"/>
      <c r="AK627" s="311"/>
      <c r="AL627" s="311"/>
      <c r="AM627" s="311"/>
    </row>
    <row r="628" spans="1:39" ht="15.75" customHeight="1">
      <c r="A628" s="1647"/>
      <c r="B628" s="311"/>
      <c r="C628" s="1647"/>
      <c r="D628" s="2173"/>
      <c r="E628" s="1586"/>
      <c r="F628" s="1954"/>
      <c r="G628" s="1586"/>
      <c r="H628" s="1586"/>
      <c r="I628" s="1647"/>
      <c r="J628" s="1647"/>
      <c r="K628" s="1647"/>
      <c r="L628" s="1586"/>
      <c r="M628" s="2174"/>
      <c r="N628" s="2174"/>
      <c r="O628" s="836"/>
      <c r="P628" s="2174"/>
      <c r="Q628" s="836"/>
      <c r="R628" s="309"/>
      <c r="S628" s="309"/>
      <c r="T628" s="309"/>
      <c r="U628" s="309"/>
      <c r="V628" s="311"/>
      <c r="W628" s="311"/>
      <c r="X628" s="1647"/>
      <c r="Y628" s="311"/>
      <c r="Z628" s="311"/>
      <c r="AA628" s="311"/>
      <c r="AB628" s="311"/>
      <c r="AC628" s="311"/>
      <c r="AD628" s="311"/>
      <c r="AE628" s="311"/>
      <c r="AF628" s="311"/>
      <c r="AG628" s="311"/>
      <c r="AH628" s="311"/>
      <c r="AI628" s="311"/>
      <c r="AJ628" s="311"/>
      <c r="AK628" s="311"/>
      <c r="AL628" s="311"/>
      <c r="AM628" s="311"/>
    </row>
    <row r="629" spans="1:39" ht="15.75" customHeight="1">
      <c r="A629" s="1647"/>
      <c r="B629" s="311"/>
      <c r="C629" s="1647"/>
      <c r="D629" s="2173"/>
      <c r="E629" s="1586"/>
      <c r="F629" s="1954"/>
      <c r="G629" s="1586"/>
      <c r="H629" s="1586"/>
      <c r="I629" s="1647"/>
      <c r="J629" s="1647"/>
      <c r="K629" s="1647"/>
      <c r="L629" s="1586"/>
      <c r="M629" s="2174"/>
      <c r="N629" s="2174"/>
      <c r="O629" s="836"/>
      <c r="P629" s="2174"/>
      <c r="Q629" s="836"/>
      <c r="R629" s="309"/>
      <c r="S629" s="309"/>
      <c r="T629" s="309"/>
      <c r="U629" s="309"/>
      <c r="V629" s="311"/>
      <c r="W629" s="311"/>
      <c r="X629" s="1647"/>
      <c r="Y629" s="311"/>
      <c r="Z629" s="311"/>
      <c r="AA629" s="311"/>
      <c r="AB629" s="311"/>
      <c r="AC629" s="311"/>
      <c r="AD629" s="311"/>
      <c r="AE629" s="311"/>
      <c r="AF629" s="311"/>
      <c r="AG629" s="311"/>
      <c r="AH629" s="311"/>
      <c r="AI629" s="311"/>
      <c r="AJ629" s="311"/>
      <c r="AK629" s="311"/>
      <c r="AL629" s="311"/>
      <c r="AM629" s="311"/>
    </row>
    <row r="630" spans="1:39" ht="15.75" customHeight="1">
      <c r="A630" s="1647"/>
      <c r="B630" s="311"/>
      <c r="C630" s="1647"/>
      <c r="D630" s="2173"/>
      <c r="E630" s="1586"/>
      <c r="F630" s="1954"/>
      <c r="G630" s="1586"/>
      <c r="H630" s="1586"/>
      <c r="I630" s="1647"/>
      <c r="J630" s="1647"/>
      <c r="K630" s="1647"/>
      <c r="L630" s="1586"/>
      <c r="M630" s="2174"/>
      <c r="N630" s="2174"/>
      <c r="O630" s="836"/>
      <c r="P630" s="2174"/>
      <c r="Q630" s="836"/>
      <c r="R630" s="309"/>
      <c r="S630" s="309"/>
      <c r="T630" s="309"/>
      <c r="U630" s="309"/>
      <c r="V630" s="311"/>
      <c r="W630" s="311"/>
      <c r="X630" s="1647"/>
      <c r="Y630" s="311"/>
      <c r="Z630" s="311"/>
      <c r="AA630" s="311"/>
      <c r="AB630" s="311"/>
      <c r="AC630" s="311"/>
      <c r="AD630" s="311"/>
      <c r="AE630" s="311"/>
      <c r="AF630" s="311"/>
      <c r="AG630" s="311"/>
      <c r="AH630" s="311"/>
      <c r="AI630" s="311"/>
      <c r="AJ630" s="311"/>
      <c r="AK630" s="311"/>
      <c r="AL630" s="311"/>
      <c r="AM630" s="311"/>
    </row>
    <row r="631" spans="1:39" ht="15.75" customHeight="1">
      <c r="A631" s="1647"/>
      <c r="B631" s="311"/>
      <c r="C631" s="1647"/>
      <c r="D631" s="2173"/>
      <c r="E631" s="1586"/>
      <c r="F631" s="1954"/>
      <c r="G631" s="1586"/>
      <c r="H631" s="1586"/>
      <c r="I631" s="1647"/>
      <c r="J631" s="1647"/>
      <c r="K631" s="1647"/>
      <c r="L631" s="1586"/>
      <c r="M631" s="2174"/>
      <c r="N631" s="2174"/>
      <c r="O631" s="836"/>
      <c r="P631" s="2174"/>
      <c r="Q631" s="836"/>
      <c r="R631" s="309"/>
      <c r="S631" s="309"/>
      <c r="T631" s="309"/>
      <c r="U631" s="309"/>
      <c r="V631" s="311"/>
      <c r="W631" s="311"/>
      <c r="X631" s="1647"/>
      <c r="Y631" s="311"/>
      <c r="Z631" s="311"/>
      <c r="AA631" s="311"/>
      <c r="AB631" s="311"/>
      <c r="AC631" s="311"/>
      <c r="AD631" s="311"/>
      <c r="AE631" s="311"/>
      <c r="AF631" s="311"/>
      <c r="AG631" s="311"/>
      <c r="AH631" s="311"/>
      <c r="AI631" s="311"/>
      <c r="AJ631" s="311"/>
      <c r="AK631" s="311"/>
      <c r="AL631" s="311"/>
      <c r="AM631" s="311"/>
    </row>
    <row r="632" spans="1:39" ht="15.75" customHeight="1">
      <c r="A632" s="1647"/>
      <c r="B632" s="311"/>
      <c r="C632" s="1647"/>
      <c r="D632" s="2173"/>
      <c r="E632" s="1586"/>
      <c r="F632" s="1954"/>
      <c r="G632" s="1586"/>
      <c r="H632" s="1586"/>
      <c r="I632" s="1647"/>
      <c r="J632" s="1647"/>
      <c r="K632" s="1647"/>
      <c r="L632" s="1586"/>
      <c r="M632" s="2174"/>
      <c r="N632" s="2174"/>
      <c r="O632" s="836"/>
      <c r="P632" s="2174"/>
      <c r="Q632" s="836"/>
      <c r="R632" s="309"/>
      <c r="S632" s="309"/>
      <c r="T632" s="309"/>
      <c r="U632" s="309"/>
      <c r="V632" s="311"/>
      <c r="W632" s="311"/>
      <c r="X632" s="1647"/>
      <c r="Y632" s="311"/>
      <c r="Z632" s="311"/>
      <c r="AA632" s="311"/>
      <c r="AB632" s="311"/>
      <c r="AC632" s="311"/>
      <c r="AD632" s="311"/>
      <c r="AE632" s="311"/>
      <c r="AF632" s="311"/>
      <c r="AG632" s="311"/>
      <c r="AH632" s="311"/>
      <c r="AI632" s="311"/>
      <c r="AJ632" s="311"/>
      <c r="AK632" s="311"/>
      <c r="AL632" s="311"/>
      <c r="AM632" s="311"/>
    </row>
    <row r="633" spans="1:39" ht="15.75" customHeight="1">
      <c r="A633" s="1647"/>
      <c r="B633" s="311"/>
      <c r="C633" s="1647"/>
      <c r="D633" s="2173"/>
      <c r="E633" s="1586"/>
      <c r="F633" s="1954"/>
      <c r="G633" s="1586"/>
      <c r="H633" s="1586"/>
      <c r="I633" s="1647"/>
      <c r="J633" s="1647"/>
      <c r="K633" s="1647"/>
      <c r="L633" s="1586"/>
      <c r="M633" s="2174"/>
      <c r="N633" s="2174"/>
      <c r="O633" s="836"/>
      <c r="P633" s="2174"/>
      <c r="Q633" s="836"/>
      <c r="R633" s="309"/>
      <c r="S633" s="309"/>
      <c r="T633" s="309"/>
      <c r="U633" s="309"/>
      <c r="V633" s="311"/>
      <c r="W633" s="311"/>
      <c r="X633" s="1647"/>
      <c r="Y633" s="311"/>
      <c r="Z633" s="311"/>
      <c r="AA633" s="311"/>
      <c r="AB633" s="311"/>
      <c r="AC633" s="311"/>
      <c r="AD633" s="311"/>
      <c r="AE633" s="311"/>
      <c r="AF633" s="311"/>
      <c r="AG633" s="311"/>
      <c r="AH633" s="311"/>
      <c r="AI633" s="311"/>
      <c r="AJ633" s="311"/>
      <c r="AK633" s="311"/>
      <c r="AL633" s="311"/>
      <c r="AM633" s="311"/>
    </row>
    <row r="634" spans="1:39" ht="15.75" customHeight="1">
      <c r="A634" s="1647"/>
      <c r="B634" s="311"/>
      <c r="C634" s="1647"/>
      <c r="D634" s="2173"/>
      <c r="E634" s="1586"/>
      <c r="F634" s="1954"/>
      <c r="G634" s="1586"/>
      <c r="H634" s="1586"/>
      <c r="I634" s="1647"/>
      <c r="J634" s="1647"/>
      <c r="K634" s="1647"/>
      <c r="L634" s="1586"/>
      <c r="M634" s="2174"/>
      <c r="N634" s="2174"/>
      <c r="O634" s="836"/>
      <c r="P634" s="2174"/>
      <c r="Q634" s="836"/>
      <c r="R634" s="309"/>
      <c r="S634" s="309"/>
      <c r="T634" s="309"/>
      <c r="U634" s="309"/>
      <c r="V634" s="311"/>
      <c r="W634" s="311"/>
      <c r="X634" s="1647"/>
      <c r="Y634" s="311"/>
      <c r="Z634" s="311"/>
      <c r="AA634" s="311"/>
      <c r="AB634" s="311"/>
      <c r="AC634" s="311"/>
      <c r="AD634" s="311"/>
      <c r="AE634" s="311"/>
      <c r="AF634" s="311"/>
      <c r="AG634" s="311"/>
      <c r="AH634" s="311"/>
      <c r="AI634" s="311"/>
      <c r="AJ634" s="311"/>
      <c r="AK634" s="311"/>
      <c r="AL634" s="311"/>
      <c r="AM634" s="311"/>
    </row>
    <row r="635" spans="1:39" ht="15.75" customHeight="1">
      <c r="A635" s="1647"/>
      <c r="B635" s="311"/>
      <c r="C635" s="1647"/>
      <c r="D635" s="2173"/>
      <c r="E635" s="1586"/>
      <c r="F635" s="1954"/>
      <c r="G635" s="1586"/>
      <c r="H635" s="1586"/>
      <c r="I635" s="1647"/>
      <c r="J635" s="1647"/>
      <c r="K635" s="1647"/>
      <c r="L635" s="1586"/>
      <c r="M635" s="2174"/>
      <c r="N635" s="2174"/>
      <c r="O635" s="836"/>
      <c r="P635" s="2174"/>
      <c r="Q635" s="836"/>
      <c r="R635" s="309"/>
      <c r="S635" s="309"/>
      <c r="T635" s="309"/>
      <c r="U635" s="309"/>
      <c r="V635" s="311"/>
      <c r="W635" s="311"/>
      <c r="X635" s="1647"/>
      <c r="Y635" s="311"/>
      <c r="Z635" s="311"/>
      <c r="AA635" s="311"/>
      <c r="AB635" s="311"/>
      <c r="AC635" s="311"/>
      <c r="AD635" s="311"/>
      <c r="AE635" s="311"/>
      <c r="AF635" s="311"/>
      <c r="AG635" s="311"/>
      <c r="AH635" s="311"/>
      <c r="AI635" s="311"/>
      <c r="AJ635" s="311"/>
      <c r="AK635" s="311"/>
      <c r="AL635" s="311"/>
      <c r="AM635" s="311"/>
    </row>
    <row r="636" spans="1:39" ht="15.75" customHeight="1">
      <c r="A636" s="1647"/>
      <c r="B636" s="311"/>
      <c r="C636" s="1647"/>
      <c r="D636" s="2173"/>
      <c r="E636" s="1586"/>
      <c r="F636" s="1954"/>
      <c r="G636" s="1586"/>
      <c r="H636" s="1586"/>
      <c r="I636" s="1647"/>
      <c r="J636" s="1647"/>
      <c r="K636" s="1647"/>
      <c r="L636" s="1586"/>
      <c r="M636" s="2174"/>
      <c r="N636" s="2174"/>
      <c r="O636" s="836"/>
      <c r="P636" s="2174"/>
      <c r="Q636" s="836"/>
      <c r="R636" s="309"/>
      <c r="S636" s="309"/>
      <c r="T636" s="309"/>
      <c r="U636" s="309"/>
      <c r="V636" s="311"/>
      <c r="W636" s="311"/>
      <c r="X636" s="1647"/>
      <c r="Y636" s="311"/>
      <c r="Z636" s="311"/>
      <c r="AA636" s="311"/>
      <c r="AB636" s="311"/>
      <c r="AC636" s="311"/>
      <c r="AD636" s="311"/>
      <c r="AE636" s="311"/>
      <c r="AF636" s="311"/>
      <c r="AG636" s="311"/>
      <c r="AH636" s="311"/>
      <c r="AI636" s="311"/>
      <c r="AJ636" s="311"/>
      <c r="AK636" s="311"/>
      <c r="AL636" s="311"/>
      <c r="AM636" s="311"/>
    </row>
    <row r="637" spans="1:39" ht="15.75" customHeight="1">
      <c r="A637" s="1647"/>
      <c r="B637" s="311"/>
      <c r="C637" s="1647"/>
      <c r="D637" s="2173"/>
      <c r="E637" s="1586"/>
      <c r="F637" s="1954"/>
      <c r="G637" s="1586"/>
      <c r="H637" s="1586"/>
      <c r="I637" s="1647"/>
      <c r="J637" s="1647"/>
      <c r="K637" s="1647"/>
      <c r="L637" s="1586"/>
      <c r="M637" s="2174"/>
      <c r="N637" s="2174"/>
      <c r="O637" s="836"/>
      <c r="P637" s="2174"/>
      <c r="Q637" s="836"/>
      <c r="R637" s="309"/>
      <c r="S637" s="309"/>
      <c r="T637" s="309"/>
      <c r="U637" s="309"/>
      <c r="V637" s="311"/>
      <c r="W637" s="311"/>
      <c r="X637" s="1647"/>
      <c r="Y637" s="311"/>
      <c r="Z637" s="311"/>
      <c r="AA637" s="311"/>
      <c r="AB637" s="311"/>
      <c r="AC637" s="311"/>
      <c r="AD637" s="311"/>
      <c r="AE637" s="311"/>
      <c r="AF637" s="311"/>
      <c r="AG637" s="311"/>
      <c r="AH637" s="311"/>
      <c r="AI637" s="311"/>
      <c r="AJ637" s="311"/>
      <c r="AK637" s="311"/>
      <c r="AL637" s="311"/>
      <c r="AM637" s="311"/>
    </row>
    <row r="638" spans="1:39" ht="15.75" customHeight="1">
      <c r="A638" s="1647"/>
      <c r="B638" s="311"/>
      <c r="C638" s="1647"/>
      <c r="D638" s="2173"/>
      <c r="E638" s="1586"/>
      <c r="F638" s="1954"/>
      <c r="G638" s="1586"/>
      <c r="H638" s="1586"/>
      <c r="I638" s="1647"/>
      <c r="J638" s="1647"/>
      <c r="K638" s="1647"/>
      <c r="L638" s="1586"/>
      <c r="M638" s="2174"/>
      <c r="N638" s="2174"/>
      <c r="O638" s="836"/>
      <c r="P638" s="2174"/>
      <c r="Q638" s="836"/>
      <c r="R638" s="309"/>
      <c r="S638" s="309"/>
      <c r="T638" s="309"/>
      <c r="U638" s="309"/>
      <c r="V638" s="311"/>
      <c r="W638" s="311"/>
      <c r="X638" s="1647"/>
      <c r="Y638" s="311"/>
      <c r="Z638" s="311"/>
      <c r="AA638" s="311"/>
      <c r="AB638" s="311"/>
      <c r="AC638" s="311"/>
      <c r="AD638" s="311"/>
      <c r="AE638" s="311"/>
      <c r="AF638" s="311"/>
      <c r="AG638" s="311"/>
      <c r="AH638" s="311"/>
      <c r="AI638" s="311"/>
      <c r="AJ638" s="311"/>
      <c r="AK638" s="311"/>
      <c r="AL638" s="311"/>
      <c r="AM638" s="311"/>
    </row>
    <row r="639" spans="1:39" ht="15.75" customHeight="1">
      <c r="A639" s="1647"/>
      <c r="B639" s="311"/>
      <c r="C639" s="1647"/>
      <c r="D639" s="2173"/>
      <c r="E639" s="1586"/>
      <c r="F639" s="1954"/>
      <c r="G639" s="1586"/>
      <c r="H639" s="1586"/>
      <c r="I639" s="1647"/>
      <c r="J639" s="1647"/>
      <c r="K639" s="1647"/>
      <c r="L639" s="1586"/>
      <c r="M639" s="2174"/>
      <c r="N639" s="2174"/>
      <c r="O639" s="836"/>
      <c r="P639" s="2174"/>
      <c r="Q639" s="836"/>
      <c r="R639" s="309"/>
      <c r="S639" s="309"/>
      <c r="T639" s="309"/>
      <c r="U639" s="309"/>
      <c r="V639" s="311"/>
      <c r="W639" s="311"/>
      <c r="X639" s="1647"/>
      <c r="Y639" s="311"/>
      <c r="Z639" s="311"/>
      <c r="AA639" s="311"/>
      <c r="AB639" s="311"/>
      <c r="AC639" s="311"/>
      <c r="AD639" s="311"/>
      <c r="AE639" s="311"/>
      <c r="AF639" s="311"/>
      <c r="AG639" s="311"/>
      <c r="AH639" s="311"/>
      <c r="AI639" s="311"/>
      <c r="AJ639" s="311"/>
      <c r="AK639" s="311"/>
      <c r="AL639" s="311"/>
      <c r="AM639" s="311"/>
    </row>
    <row r="640" spans="1:39" ht="15.75" customHeight="1">
      <c r="A640" s="1647"/>
      <c r="B640" s="311"/>
      <c r="C640" s="1647"/>
      <c r="D640" s="2173"/>
      <c r="E640" s="1586"/>
      <c r="F640" s="1954"/>
      <c r="G640" s="1586"/>
      <c r="H640" s="1586"/>
      <c r="I640" s="1647"/>
      <c r="J640" s="1647"/>
      <c r="K640" s="1647"/>
      <c r="L640" s="1586"/>
      <c r="M640" s="2174"/>
      <c r="N640" s="2174"/>
      <c r="O640" s="836"/>
      <c r="P640" s="2174"/>
      <c r="Q640" s="836"/>
      <c r="R640" s="309"/>
      <c r="S640" s="309"/>
      <c r="T640" s="309"/>
      <c r="U640" s="309"/>
      <c r="V640" s="311"/>
      <c r="W640" s="311"/>
      <c r="X640" s="1647"/>
      <c r="Y640" s="311"/>
      <c r="Z640" s="311"/>
      <c r="AA640" s="311"/>
      <c r="AB640" s="311"/>
      <c r="AC640" s="311"/>
      <c r="AD640" s="311"/>
      <c r="AE640" s="311"/>
      <c r="AF640" s="311"/>
      <c r="AG640" s="311"/>
      <c r="AH640" s="311"/>
      <c r="AI640" s="311"/>
      <c r="AJ640" s="311"/>
      <c r="AK640" s="311"/>
      <c r="AL640" s="311"/>
      <c r="AM640" s="311"/>
    </row>
    <row r="641" spans="1:39" ht="15.75" customHeight="1">
      <c r="A641" s="1647"/>
      <c r="B641" s="311"/>
      <c r="C641" s="1647"/>
      <c r="D641" s="2173"/>
      <c r="E641" s="1586"/>
      <c r="F641" s="1954"/>
      <c r="G641" s="1586"/>
      <c r="H641" s="1586"/>
      <c r="I641" s="1647"/>
      <c r="J641" s="1647"/>
      <c r="K641" s="1647"/>
      <c r="L641" s="1586"/>
      <c r="M641" s="2174"/>
      <c r="N641" s="2174"/>
      <c r="O641" s="836"/>
      <c r="P641" s="2174"/>
      <c r="Q641" s="836"/>
      <c r="R641" s="309"/>
      <c r="S641" s="309"/>
      <c r="T641" s="309"/>
      <c r="U641" s="309"/>
      <c r="V641" s="311"/>
      <c r="W641" s="311"/>
      <c r="X641" s="1647"/>
      <c r="Y641" s="311"/>
      <c r="Z641" s="311"/>
      <c r="AA641" s="311"/>
      <c r="AB641" s="311"/>
      <c r="AC641" s="311"/>
      <c r="AD641" s="311"/>
      <c r="AE641" s="311"/>
      <c r="AF641" s="311"/>
      <c r="AG641" s="311"/>
      <c r="AH641" s="311"/>
      <c r="AI641" s="311"/>
      <c r="AJ641" s="311"/>
      <c r="AK641" s="311"/>
      <c r="AL641" s="311"/>
      <c r="AM641" s="311"/>
    </row>
    <row r="642" spans="1:39" ht="15.75" customHeight="1">
      <c r="A642" s="1647"/>
      <c r="B642" s="311"/>
      <c r="C642" s="1647"/>
      <c r="D642" s="2173"/>
      <c r="E642" s="1586"/>
      <c r="F642" s="1954"/>
      <c r="G642" s="1586"/>
      <c r="H642" s="1586"/>
      <c r="I642" s="1647"/>
      <c r="J642" s="1647"/>
      <c r="K642" s="1647"/>
      <c r="L642" s="1586"/>
      <c r="M642" s="2174"/>
      <c r="N642" s="2174"/>
      <c r="O642" s="836"/>
      <c r="P642" s="2174"/>
      <c r="Q642" s="836"/>
      <c r="R642" s="309"/>
      <c r="S642" s="309"/>
      <c r="T642" s="309"/>
      <c r="U642" s="309"/>
      <c r="V642" s="311"/>
      <c r="W642" s="311"/>
      <c r="X642" s="1647"/>
      <c r="Y642" s="311"/>
      <c r="Z642" s="311"/>
      <c r="AA642" s="311"/>
      <c r="AB642" s="311"/>
      <c r="AC642" s="311"/>
      <c r="AD642" s="311"/>
      <c r="AE642" s="311"/>
      <c r="AF642" s="311"/>
      <c r="AG642" s="311"/>
      <c r="AH642" s="311"/>
      <c r="AI642" s="311"/>
      <c r="AJ642" s="311"/>
      <c r="AK642" s="311"/>
      <c r="AL642" s="311"/>
      <c r="AM642" s="311"/>
    </row>
    <row r="643" spans="1:39" ht="15.75" customHeight="1">
      <c r="A643" s="1647"/>
      <c r="B643" s="311"/>
      <c r="C643" s="1647"/>
      <c r="D643" s="2173"/>
      <c r="E643" s="1586"/>
      <c r="F643" s="1954"/>
      <c r="G643" s="1586"/>
      <c r="H643" s="1586"/>
      <c r="I643" s="1647"/>
      <c r="J643" s="1647"/>
      <c r="K643" s="1647"/>
      <c r="L643" s="1586"/>
      <c r="M643" s="2174"/>
      <c r="N643" s="2174"/>
      <c r="O643" s="836"/>
      <c r="P643" s="2174"/>
      <c r="Q643" s="836"/>
      <c r="R643" s="309"/>
      <c r="S643" s="309"/>
      <c r="T643" s="309"/>
      <c r="U643" s="309"/>
      <c r="V643" s="311"/>
      <c r="W643" s="311"/>
      <c r="X643" s="1647"/>
      <c r="Y643" s="311"/>
      <c r="Z643" s="311"/>
      <c r="AA643" s="311"/>
      <c r="AB643" s="311"/>
      <c r="AC643" s="311"/>
      <c r="AD643" s="311"/>
      <c r="AE643" s="311"/>
      <c r="AF643" s="311"/>
      <c r="AG643" s="311"/>
      <c r="AH643" s="311"/>
      <c r="AI643" s="311"/>
      <c r="AJ643" s="311"/>
      <c r="AK643" s="311"/>
      <c r="AL643" s="311"/>
      <c r="AM643" s="311"/>
    </row>
    <row r="644" spans="1:39" ht="15.75" customHeight="1">
      <c r="A644" s="1647"/>
      <c r="B644" s="311"/>
      <c r="C644" s="1647"/>
      <c r="D644" s="2173"/>
      <c r="E644" s="1586"/>
      <c r="F644" s="1954"/>
      <c r="G644" s="1586"/>
      <c r="H644" s="1586"/>
      <c r="I644" s="1647"/>
      <c r="J644" s="1647"/>
      <c r="K644" s="1647"/>
      <c r="L644" s="1586"/>
      <c r="M644" s="2174"/>
      <c r="N644" s="2174"/>
      <c r="O644" s="836"/>
      <c r="P644" s="2174"/>
      <c r="Q644" s="836"/>
      <c r="R644" s="309"/>
      <c r="S644" s="309"/>
      <c r="T644" s="309"/>
      <c r="U644" s="309"/>
      <c r="V644" s="311"/>
      <c r="W644" s="311"/>
      <c r="X644" s="1647"/>
      <c r="Y644" s="311"/>
      <c r="Z644" s="311"/>
      <c r="AA644" s="311"/>
      <c r="AB644" s="311"/>
      <c r="AC644" s="311"/>
      <c r="AD644" s="311"/>
      <c r="AE644" s="311"/>
      <c r="AF644" s="311"/>
      <c r="AG644" s="311"/>
      <c r="AH644" s="311"/>
      <c r="AI644" s="311"/>
      <c r="AJ644" s="311"/>
      <c r="AK644" s="311"/>
      <c r="AL644" s="311"/>
      <c r="AM644" s="311"/>
    </row>
    <row r="645" spans="1:39" ht="15.75" customHeight="1">
      <c r="A645" s="1647"/>
      <c r="B645" s="311"/>
      <c r="C645" s="1647"/>
      <c r="D645" s="2173"/>
      <c r="E645" s="1586"/>
      <c r="F645" s="1954"/>
      <c r="G645" s="1586"/>
      <c r="H645" s="1586"/>
      <c r="I645" s="1647"/>
      <c r="J645" s="1647"/>
      <c r="K645" s="1647"/>
      <c r="L645" s="1586"/>
      <c r="M645" s="2174"/>
      <c r="N645" s="2174"/>
      <c r="O645" s="836"/>
      <c r="P645" s="2174"/>
      <c r="Q645" s="836"/>
      <c r="R645" s="309"/>
      <c r="S645" s="309"/>
      <c r="T645" s="309"/>
      <c r="U645" s="309"/>
      <c r="V645" s="311"/>
      <c r="W645" s="311"/>
      <c r="X645" s="1647"/>
      <c r="Y645" s="311"/>
      <c r="Z645" s="311"/>
      <c r="AA645" s="311"/>
      <c r="AB645" s="311"/>
      <c r="AC645" s="311"/>
      <c r="AD645" s="311"/>
      <c r="AE645" s="311"/>
      <c r="AF645" s="311"/>
      <c r="AG645" s="311"/>
      <c r="AH645" s="311"/>
      <c r="AI645" s="311"/>
      <c r="AJ645" s="311"/>
      <c r="AK645" s="311"/>
      <c r="AL645" s="311"/>
      <c r="AM645" s="311"/>
    </row>
    <row r="646" spans="1:39" ht="15.75" customHeight="1">
      <c r="A646" s="1647"/>
      <c r="B646" s="311"/>
      <c r="C646" s="1647"/>
      <c r="D646" s="2173"/>
      <c r="E646" s="1586"/>
      <c r="F646" s="1954"/>
      <c r="G646" s="1586"/>
      <c r="H646" s="1586"/>
      <c r="I646" s="1647"/>
      <c r="J646" s="1647"/>
      <c r="K646" s="1647"/>
      <c r="L646" s="1586"/>
      <c r="M646" s="2174"/>
      <c r="N646" s="2174"/>
      <c r="O646" s="836"/>
      <c r="P646" s="2174"/>
      <c r="Q646" s="836"/>
      <c r="R646" s="309"/>
      <c r="S646" s="309"/>
      <c r="T646" s="309"/>
      <c r="U646" s="309"/>
      <c r="V646" s="311"/>
      <c r="W646" s="311"/>
      <c r="X646" s="1647"/>
      <c r="Y646" s="311"/>
      <c r="Z646" s="311"/>
      <c r="AA646" s="311"/>
      <c r="AB646" s="311"/>
      <c r="AC646" s="311"/>
      <c r="AD646" s="311"/>
      <c r="AE646" s="311"/>
      <c r="AF646" s="311"/>
      <c r="AG646" s="311"/>
      <c r="AH646" s="311"/>
      <c r="AI646" s="311"/>
      <c r="AJ646" s="311"/>
      <c r="AK646" s="311"/>
      <c r="AL646" s="311"/>
      <c r="AM646" s="311"/>
    </row>
    <row r="647" spans="1:39" ht="15.75" customHeight="1">
      <c r="A647" s="1647"/>
      <c r="B647" s="311"/>
      <c r="C647" s="1647"/>
      <c r="D647" s="2173"/>
      <c r="E647" s="1586"/>
      <c r="F647" s="1954"/>
      <c r="G647" s="1586"/>
      <c r="H647" s="1586"/>
      <c r="I647" s="1647"/>
      <c r="J647" s="1647"/>
      <c r="K647" s="1647"/>
      <c r="L647" s="1586"/>
      <c r="M647" s="2174"/>
      <c r="N647" s="2174"/>
      <c r="O647" s="836"/>
      <c r="P647" s="2174"/>
      <c r="Q647" s="836"/>
      <c r="R647" s="309"/>
      <c r="S647" s="309"/>
      <c r="T647" s="309"/>
      <c r="U647" s="309"/>
      <c r="V647" s="311"/>
      <c r="W647" s="311"/>
      <c r="X647" s="1647"/>
      <c r="Y647" s="311"/>
      <c r="Z647" s="311"/>
      <c r="AA647" s="311"/>
      <c r="AB647" s="311"/>
      <c r="AC647" s="311"/>
      <c r="AD647" s="311"/>
      <c r="AE647" s="311"/>
      <c r="AF647" s="311"/>
      <c r="AG647" s="311"/>
      <c r="AH647" s="311"/>
      <c r="AI647" s="311"/>
      <c r="AJ647" s="311"/>
      <c r="AK647" s="311"/>
      <c r="AL647" s="311"/>
      <c r="AM647" s="311"/>
    </row>
    <row r="648" spans="1:39" ht="15.75" customHeight="1">
      <c r="A648" s="1647"/>
      <c r="B648" s="311"/>
      <c r="C648" s="1647"/>
      <c r="D648" s="2173"/>
      <c r="E648" s="1586"/>
      <c r="F648" s="1954"/>
      <c r="G648" s="1586"/>
      <c r="H648" s="1586"/>
      <c r="I648" s="1647"/>
      <c r="J648" s="1647"/>
      <c r="K648" s="1647"/>
      <c r="L648" s="1586"/>
      <c r="M648" s="2174"/>
      <c r="N648" s="2174"/>
      <c r="O648" s="836"/>
      <c r="P648" s="2174"/>
      <c r="Q648" s="836"/>
      <c r="R648" s="309"/>
      <c r="S648" s="309"/>
      <c r="T648" s="309"/>
      <c r="U648" s="309"/>
      <c r="V648" s="311"/>
      <c r="W648" s="311"/>
      <c r="X648" s="1647"/>
      <c r="Y648" s="311"/>
      <c r="Z648" s="311"/>
      <c r="AA648" s="311"/>
      <c r="AB648" s="311"/>
      <c r="AC648" s="311"/>
      <c r="AD648" s="311"/>
      <c r="AE648" s="311"/>
      <c r="AF648" s="311"/>
      <c r="AG648" s="311"/>
      <c r="AH648" s="311"/>
      <c r="AI648" s="311"/>
      <c r="AJ648" s="311"/>
      <c r="AK648" s="311"/>
      <c r="AL648" s="311"/>
      <c r="AM648" s="311"/>
    </row>
    <row r="649" spans="1:39" ht="15.75" customHeight="1">
      <c r="A649" s="1647"/>
      <c r="B649" s="311"/>
      <c r="C649" s="1647"/>
      <c r="D649" s="2173"/>
      <c r="E649" s="1586"/>
      <c r="F649" s="1954"/>
      <c r="G649" s="1586"/>
      <c r="H649" s="1586"/>
      <c r="I649" s="1647"/>
      <c r="J649" s="1647"/>
      <c r="K649" s="1647"/>
      <c r="L649" s="1586"/>
      <c r="M649" s="2174"/>
      <c r="N649" s="2174"/>
      <c r="O649" s="836"/>
      <c r="P649" s="2174"/>
      <c r="Q649" s="836"/>
      <c r="R649" s="309"/>
      <c r="S649" s="309"/>
      <c r="T649" s="309"/>
      <c r="U649" s="309"/>
      <c r="V649" s="311"/>
      <c r="W649" s="311"/>
      <c r="X649" s="1647"/>
      <c r="Y649" s="311"/>
      <c r="Z649" s="311"/>
      <c r="AA649" s="311"/>
      <c r="AB649" s="311"/>
      <c r="AC649" s="311"/>
      <c r="AD649" s="311"/>
      <c r="AE649" s="311"/>
      <c r="AF649" s="311"/>
      <c r="AG649" s="311"/>
      <c r="AH649" s="311"/>
      <c r="AI649" s="311"/>
      <c r="AJ649" s="311"/>
      <c r="AK649" s="311"/>
      <c r="AL649" s="311"/>
      <c r="AM649" s="311"/>
    </row>
    <row r="650" spans="1:39" ht="15.75" customHeight="1">
      <c r="A650" s="1647"/>
      <c r="B650" s="311"/>
      <c r="C650" s="1647"/>
      <c r="D650" s="2173"/>
      <c r="E650" s="1586"/>
      <c r="F650" s="1954"/>
      <c r="G650" s="1586"/>
      <c r="H650" s="1586"/>
      <c r="I650" s="1647"/>
      <c r="J650" s="1647"/>
      <c r="K650" s="1647"/>
      <c r="L650" s="1586"/>
      <c r="M650" s="2174"/>
      <c r="N650" s="2174"/>
      <c r="O650" s="836"/>
      <c r="P650" s="2174"/>
      <c r="Q650" s="836"/>
      <c r="R650" s="309"/>
      <c r="S650" s="309"/>
      <c r="T650" s="309"/>
      <c r="U650" s="309"/>
      <c r="V650" s="311"/>
      <c r="W650" s="311"/>
      <c r="X650" s="1647"/>
      <c r="Y650" s="311"/>
      <c r="Z650" s="311"/>
      <c r="AA650" s="311"/>
      <c r="AB650" s="311"/>
      <c r="AC650" s="311"/>
      <c r="AD650" s="311"/>
      <c r="AE650" s="311"/>
      <c r="AF650" s="311"/>
      <c r="AG650" s="311"/>
      <c r="AH650" s="311"/>
      <c r="AI650" s="311"/>
      <c r="AJ650" s="311"/>
      <c r="AK650" s="311"/>
      <c r="AL650" s="311"/>
      <c r="AM650" s="311"/>
    </row>
    <row r="651" spans="1:39" ht="15.75" customHeight="1">
      <c r="A651" s="1647"/>
      <c r="B651" s="311"/>
      <c r="C651" s="1647"/>
      <c r="D651" s="2173"/>
      <c r="E651" s="1586"/>
      <c r="F651" s="1954"/>
      <c r="G651" s="1586"/>
      <c r="H651" s="1586"/>
      <c r="I651" s="1647"/>
      <c r="J651" s="1647"/>
      <c r="K651" s="1647"/>
      <c r="L651" s="1586"/>
      <c r="M651" s="2174"/>
      <c r="N651" s="2174"/>
      <c r="O651" s="836"/>
      <c r="P651" s="2174"/>
      <c r="Q651" s="836"/>
      <c r="R651" s="309"/>
      <c r="S651" s="309"/>
      <c r="T651" s="309"/>
      <c r="U651" s="309"/>
      <c r="V651" s="311"/>
      <c r="W651" s="311"/>
      <c r="X651" s="1647"/>
      <c r="Y651" s="311"/>
      <c r="Z651" s="311"/>
      <c r="AA651" s="311"/>
      <c r="AB651" s="311"/>
      <c r="AC651" s="311"/>
      <c r="AD651" s="311"/>
      <c r="AE651" s="311"/>
      <c r="AF651" s="311"/>
      <c r="AG651" s="311"/>
      <c r="AH651" s="311"/>
      <c r="AI651" s="311"/>
      <c r="AJ651" s="311"/>
      <c r="AK651" s="311"/>
      <c r="AL651" s="311"/>
      <c r="AM651" s="311"/>
    </row>
    <row r="652" spans="1:39" ht="15.75" customHeight="1">
      <c r="A652" s="1647"/>
      <c r="B652" s="311"/>
      <c r="C652" s="1647"/>
      <c r="D652" s="2173"/>
      <c r="E652" s="1586"/>
      <c r="F652" s="1954"/>
      <c r="G652" s="1586"/>
      <c r="H652" s="1586"/>
      <c r="I652" s="1647"/>
      <c r="J652" s="1647"/>
      <c r="K652" s="1647"/>
      <c r="L652" s="1586"/>
      <c r="M652" s="2174"/>
      <c r="N652" s="2174"/>
      <c r="O652" s="836"/>
      <c r="P652" s="2174"/>
      <c r="Q652" s="836"/>
      <c r="R652" s="309"/>
      <c r="S652" s="309"/>
      <c r="T652" s="309"/>
      <c r="U652" s="309"/>
      <c r="V652" s="311"/>
      <c r="W652" s="311"/>
      <c r="X652" s="1647"/>
      <c r="Y652" s="311"/>
      <c r="Z652" s="311"/>
      <c r="AA652" s="311"/>
      <c r="AB652" s="311"/>
      <c r="AC652" s="311"/>
      <c r="AD652" s="311"/>
      <c r="AE652" s="311"/>
      <c r="AF652" s="311"/>
      <c r="AG652" s="311"/>
      <c r="AH652" s="311"/>
      <c r="AI652" s="311"/>
      <c r="AJ652" s="311"/>
      <c r="AK652" s="311"/>
      <c r="AL652" s="311"/>
      <c r="AM652" s="311"/>
    </row>
    <row r="653" spans="1:39" ht="15.75" customHeight="1">
      <c r="A653" s="1647"/>
      <c r="B653" s="311"/>
      <c r="C653" s="1647"/>
      <c r="D653" s="2173"/>
      <c r="E653" s="1586"/>
      <c r="F653" s="1954"/>
      <c r="G653" s="1586"/>
      <c r="H653" s="1586"/>
      <c r="I653" s="1647"/>
      <c r="J653" s="1647"/>
      <c r="K653" s="1647"/>
      <c r="L653" s="1586"/>
      <c r="M653" s="2174"/>
      <c r="N653" s="2174"/>
      <c r="O653" s="836"/>
      <c r="P653" s="2174"/>
      <c r="Q653" s="836"/>
      <c r="R653" s="309"/>
      <c r="S653" s="309"/>
      <c r="T653" s="309"/>
      <c r="U653" s="309"/>
      <c r="V653" s="311"/>
      <c r="W653" s="311"/>
      <c r="X653" s="1647"/>
      <c r="Y653" s="311"/>
      <c r="Z653" s="311"/>
      <c r="AA653" s="311"/>
      <c r="AB653" s="311"/>
      <c r="AC653" s="311"/>
      <c r="AD653" s="311"/>
      <c r="AE653" s="311"/>
      <c r="AF653" s="311"/>
      <c r="AG653" s="311"/>
      <c r="AH653" s="311"/>
      <c r="AI653" s="311"/>
      <c r="AJ653" s="311"/>
      <c r="AK653" s="311"/>
      <c r="AL653" s="311"/>
      <c r="AM653" s="311"/>
    </row>
    <row r="654" spans="1:39" ht="15.75" customHeight="1">
      <c r="A654" s="1647"/>
      <c r="B654" s="311"/>
      <c r="C654" s="1647"/>
      <c r="D654" s="2173"/>
      <c r="E654" s="1586"/>
      <c r="F654" s="1954"/>
      <c r="G654" s="1586"/>
      <c r="H654" s="1586"/>
      <c r="I654" s="1647"/>
      <c r="J654" s="1647"/>
      <c r="K654" s="1647"/>
      <c r="L654" s="1586"/>
      <c r="M654" s="2174"/>
      <c r="N654" s="2174"/>
      <c r="O654" s="836"/>
      <c r="P654" s="2174"/>
      <c r="Q654" s="836"/>
      <c r="R654" s="309"/>
      <c r="S654" s="309"/>
      <c r="T654" s="309"/>
      <c r="U654" s="309"/>
      <c r="V654" s="311"/>
      <c r="W654" s="311"/>
      <c r="X654" s="1647"/>
      <c r="Y654" s="311"/>
      <c r="Z654" s="311"/>
      <c r="AA654" s="311"/>
      <c r="AB654" s="311"/>
      <c r="AC654" s="311"/>
      <c r="AD654" s="311"/>
      <c r="AE654" s="311"/>
      <c r="AF654" s="311"/>
      <c r="AG654" s="311"/>
      <c r="AH654" s="311"/>
      <c r="AI654" s="311"/>
      <c r="AJ654" s="311"/>
      <c r="AK654" s="311"/>
      <c r="AL654" s="311"/>
      <c r="AM654" s="311"/>
    </row>
    <row r="655" spans="1:39" ht="15.75" customHeight="1">
      <c r="A655" s="1647"/>
      <c r="B655" s="311"/>
      <c r="C655" s="1647"/>
      <c r="D655" s="2173"/>
      <c r="E655" s="1586"/>
      <c r="F655" s="1954"/>
      <c r="G655" s="1586"/>
      <c r="H655" s="1586"/>
      <c r="I655" s="1647"/>
      <c r="J655" s="1647"/>
      <c r="K655" s="1647"/>
      <c r="L655" s="1586"/>
      <c r="M655" s="2174"/>
      <c r="N655" s="2174"/>
      <c r="O655" s="836"/>
      <c r="P655" s="2174"/>
      <c r="Q655" s="836"/>
      <c r="R655" s="309"/>
      <c r="S655" s="309"/>
      <c r="T655" s="309"/>
      <c r="U655" s="309"/>
      <c r="V655" s="311"/>
      <c r="W655" s="311"/>
      <c r="X655" s="1647"/>
      <c r="Y655" s="311"/>
      <c r="Z655" s="311"/>
      <c r="AA655" s="311"/>
      <c r="AB655" s="311"/>
      <c r="AC655" s="311"/>
      <c r="AD655" s="311"/>
      <c r="AE655" s="311"/>
      <c r="AF655" s="311"/>
      <c r="AG655" s="311"/>
      <c r="AH655" s="311"/>
      <c r="AI655" s="311"/>
      <c r="AJ655" s="311"/>
      <c r="AK655" s="311"/>
      <c r="AL655" s="311"/>
      <c r="AM655" s="311"/>
    </row>
    <row r="656" spans="1:39" ht="15.75" customHeight="1">
      <c r="A656" s="1647"/>
      <c r="B656" s="311"/>
      <c r="C656" s="1647"/>
      <c r="D656" s="2173"/>
      <c r="E656" s="1586"/>
      <c r="F656" s="1954"/>
      <c r="G656" s="1586"/>
      <c r="H656" s="1586"/>
      <c r="I656" s="1647"/>
      <c r="J656" s="1647"/>
      <c r="K656" s="1647"/>
      <c r="L656" s="1586"/>
      <c r="M656" s="2174"/>
      <c r="N656" s="2174"/>
      <c r="O656" s="836"/>
      <c r="P656" s="2174"/>
      <c r="Q656" s="836"/>
      <c r="R656" s="309"/>
      <c r="S656" s="309"/>
      <c r="T656" s="309"/>
      <c r="U656" s="309"/>
      <c r="V656" s="311"/>
      <c r="W656" s="311"/>
      <c r="X656" s="1647"/>
      <c r="Y656" s="311"/>
      <c r="Z656" s="311"/>
      <c r="AA656" s="311"/>
      <c r="AB656" s="311"/>
      <c r="AC656" s="311"/>
      <c r="AD656" s="311"/>
      <c r="AE656" s="311"/>
      <c r="AF656" s="311"/>
      <c r="AG656" s="311"/>
      <c r="AH656" s="311"/>
      <c r="AI656" s="311"/>
      <c r="AJ656" s="311"/>
      <c r="AK656" s="311"/>
      <c r="AL656" s="311"/>
      <c r="AM656" s="311"/>
    </row>
    <row r="657" spans="1:39" ht="15.75" customHeight="1">
      <c r="A657" s="1647"/>
      <c r="B657" s="311"/>
      <c r="C657" s="1647"/>
      <c r="D657" s="2173"/>
      <c r="E657" s="1586"/>
      <c r="F657" s="1954"/>
      <c r="G657" s="1586"/>
      <c r="H657" s="1586"/>
      <c r="I657" s="1647"/>
      <c r="J657" s="1647"/>
      <c r="K657" s="1647"/>
      <c r="L657" s="1586"/>
      <c r="M657" s="2174"/>
      <c r="N657" s="2174"/>
      <c r="O657" s="836"/>
      <c r="P657" s="2174"/>
      <c r="Q657" s="836"/>
      <c r="R657" s="309"/>
      <c r="S657" s="309"/>
      <c r="T657" s="309"/>
      <c r="U657" s="309"/>
      <c r="V657" s="311"/>
      <c r="W657" s="311"/>
      <c r="X657" s="1647"/>
      <c r="Y657" s="311"/>
      <c r="Z657" s="311"/>
      <c r="AA657" s="311"/>
      <c r="AB657" s="311"/>
      <c r="AC657" s="311"/>
      <c r="AD657" s="311"/>
      <c r="AE657" s="311"/>
      <c r="AF657" s="311"/>
      <c r="AG657" s="311"/>
      <c r="AH657" s="311"/>
      <c r="AI657" s="311"/>
      <c r="AJ657" s="311"/>
      <c r="AK657" s="311"/>
      <c r="AL657" s="311"/>
      <c r="AM657" s="311"/>
    </row>
    <row r="658" spans="1:39" ht="15.75" customHeight="1">
      <c r="A658" s="1647"/>
      <c r="B658" s="311"/>
      <c r="C658" s="1647"/>
      <c r="D658" s="2173"/>
      <c r="E658" s="1586"/>
      <c r="F658" s="1954"/>
      <c r="G658" s="1586"/>
      <c r="H658" s="1586"/>
      <c r="I658" s="1647"/>
      <c r="J658" s="1647"/>
      <c r="K658" s="1647"/>
      <c r="L658" s="1586"/>
      <c r="M658" s="2174"/>
      <c r="N658" s="2174"/>
      <c r="O658" s="836"/>
      <c r="P658" s="2174"/>
      <c r="Q658" s="836"/>
      <c r="R658" s="309"/>
      <c r="S658" s="309"/>
      <c r="T658" s="309"/>
      <c r="U658" s="309"/>
      <c r="V658" s="311"/>
      <c r="W658" s="311"/>
      <c r="X658" s="1647"/>
      <c r="Y658" s="311"/>
      <c r="Z658" s="311"/>
      <c r="AA658" s="311"/>
      <c r="AB658" s="311"/>
      <c r="AC658" s="311"/>
      <c r="AD658" s="311"/>
      <c r="AE658" s="311"/>
      <c r="AF658" s="311"/>
      <c r="AG658" s="311"/>
      <c r="AH658" s="311"/>
      <c r="AI658" s="311"/>
      <c r="AJ658" s="311"/>
      <c r="AK658" s="311"/>
      <c r="AL658" s="311"/>
      <c r="AM658" s="311"/>
    </row>
    <row r="659" spans="1:39" ht="15.75" customHeight="1">
      <c r="A659" s="1647"/>
      <c r="B659" s="311"/>
      <c r="C659" s="1647"/>
      <c r="D659" s="2173"/>
      <c r="E659" s="1586"/>
      <c r="F659" s="1954"/>
      <c r="G659" s="1586"/>
      <c r="H659" s="1586"/>
      <c r="I659" s="1647"/>
      <c r="J659" s="1647"/>
      <c r="K659" s="1647"/>
      <c r="L659" s="1586"/>
      <c r="M659" s="2174"/>
      <c r="N659" s="2174"/>
      <c r="O659" s="836"/>
      <c r="P659" s="2174"/>
      <c r="Q659" s="836"/>
      <c r="R659" s="309"/>
      <c r="S659" s="309"/>
      <c r="T659" s="309"/>
      <c r="U659" s="309"/>
      <c r="V659" s="311"/>
      <c r="W659" s="311"/>
      <c r="X659" s="1647"/>
      <c r="Y659" s="311"/>
      <c r="Z659" s="311"/>
      <c r="AA659" s="311"/>
      <c r="AB659" s="311"/>
      <c r="AC659" s="311"/>
      <c r="AD659" s="311"/>
      <c r="AE659" s="311"/>
      <c r="AF659" s="311"/>
      <c r="AG659" s="311"/>
      <c r="AH659" s="311"/>
      <c r="AI659" s="311"/>
      <c r="AJ659" s="311"/>
      <c r="AK659" s="311"/>
      <c r="AL659" s="311"/>
      <c r="AM659" s="311"/>
    </row>
    <row r="660" spans="1:39" ht="15.75" customHeight="1">
      <c r="A660" s="1647"/>
      <c r="B660" s="311"/>
      <c r="C660" s="1647"/>
      <c r="D660" s="2173"/>
      <c r="E660" s="1586"/>
      <c r="F660" s="1954"/>
      <c r="G660" s="1586"/>
      <c r="H660" s="1586"/>
      <c r="I660" s="1647"/>
      <c r="J660" s="1647"/>
      <c r="K660" s="1647"/>
      <c r="L660" s="1586"/>
      <c r="M660" s="2174"/>
      <c r="N660" s="2174"/>
      <c r="O660" s="836"/>
      <c r="P660" s="2174"/>
      <c r="Q660" s="836"/>
      <c r="R660" s="309"/>
      <c r="S660" s="309"/>
      <c r="T660" s="309"/>
      <c r="U660" s="309"/>
      <c r="V660" s="311"/>
      <c r="W660" s="311"/>
      <c r="X660" s="1647"/>
      <c r="Y660" s="311"/>
      <c r="Z660" s="311"/>
      <c r="AA660" s="311"/>
      <c r="AB660" s="311"/>
      <c r="AC660" s="311"/>
      <c r="AD660" s="311"/>
      <c r="AE660" s="311"/>
      <c r="AF660" s="311"/>
      <c r="AG660" s="311"/>
      <c r="AH660" s="311"/>
      <c r="AI660" s="311"/>
      <c r="AJ660" s="311"/>
      <c r="AK660" s="311"/>
      <c r="AL660" s="311"/>
      <c r="AM660" s="311"/>
    </row>
    <row r="661" spans="1:39" ht="15.75" customHeight="1">
      <c r="A661" s="1647"/>
      <c r="B661" s="311"/>
      <c r="C661" s="1647"/>
      <c r="D661" s="2173"/>
      <c r="E661" s="1586"/>
      <c r="F661" s="1954"/>
      <c r="G661" s="1586"/>
      <c r="H661" s="1586"/>
      <c r="I661" s="1647"/>
      <c r="J661" s="1647"/>
      <c r="K661" s="1647"/>
      <c r="L661" s="1586"/>
      <c r="M661" s="2174"/>
      <c r="N661" s="2174"/>
      <c r="O661" s="836"/>
      <c r="P661" s="2174"/>
      <c r="Q661" s="836"/>
      <c r="R661" s="309"/>
      <c r="S661" s="309"/>
      <c r="T661" s="309"/>
      <c r="U661" s="309"/>
      <c r="V661" s="311"/>
      <c r="W661" s="311"/>
      <c r="X661" s="1647"/>
      <c r="Y661" s="311"/>
      <c r="Z661" s="311"/>
      <c r="AA661" s="311"/>
      <c r="AB661" s="311"/>
      <c r="AC661" s="311"/>
      <c r="AD661" s="311"/>
      <c r="AE661" s="311"/>
      <c r="AF661" s="311"/>
      <c r="AG661" s="311"/>
      <c r="AH661" s="311"/>
      <c r="AI661" s="311"/>
      <c r="AJ661" s="311"/>
      <c r="AK661" s="311"/>
      <c r="AL661" s="311"/>
      <c r="AM661" s="311"/>
    </row>
    <row r="662" spans="1:39" ht="15.75" customHeight="1">
      <c r="A662" s="1647"/>
      <c r="B662" s="311"/>
      <c r="C662" s="1647"/>
      <c r="D662" s="2173"/>
      <c r="E662" s="1586"/>
      <c r="F662" s="1954"/>
      <c r="G662" s="1586"/>
      <c r="H662" s="1586"/>
      <c r="I662" s="1647"/>
      <c r="J662" s="1647"/>
      <c r="K662" s="1647"/>
      <c r="L662" s="1586"/>
      <c r="M662" s="2174"/>
      <c r="N662" s="2174"/>
      <c r="O662" s="836"/>
      <c r="P662" s="2174"/>
      <c r="Q662" s="836"/>
      <c r="R662" s="309"/>
      <c r="S662" s="309"/>
      <c r="T662" s="309"/>
      <c r="U662" s="309"/>
      <c r="V662" s="311"/>
      <c r="W662" s="311"/>
      <c r="X662" s="1647"/>
      <c r="Y662" s="311"/>
      <c r="Z662" s="311"/>
      <c r="AA662" s="311"/>
      <c r="AB662" s="311"/>
      <c r="AC662" s="311"/>
      <c r="AD662" s="311"/>
      <c r="AE662" s="311"/>
      <c r="AF662" s="311"/>
      <c r="AG662" s="311"/>
      <c r="AH662" s="311"/>
      <c r="AI662" s="311"/>
      <c r="AJ662" s="311"/>
      <c r="AK662" s="311"/>
      <c r="AL662" s="311"/>
      <c r="AM662" s="311"/>
    </row>
    <row r="663" spans="1:39" ht="15.75" customHeight="1">
      <c r="A663" s="1647"/>
      <c r="B663" s="311"/>
      <c r="C663" s="1647"/>
      <c r="D663" s="2173"/>
      <c r="E663" s="1586"/>
      <c r="F663" s="1954"/>
      <c r="G663" s="1586"/>
      <c r="H663" s="1586"/>
      <c r="I663" s="1647"/>
      <c r="J663" s="1647"/>
      <c r="K663" s="1647"/>
      <c r="L663" s="1586"/>
      <c r="M663" s="2174"/>
      <c r="N663" s="2174"/>
      <c r="O663" s="836"/>
      <c r="P663" s="2174"/>
      <c r="Q663" s="836"/>
      <c r="R663" s="309"/>
      <c r="S663" s="309"/>
      <c r="T663" s="309"/>
      <c r="U663" s="309"/>
      <c r="V663" s="311"/>
      <c r="W663" s="311"/>
      <c r="X663" s="1647"/>
      <c r="Y663" s="311"/>
      <c r="Z663" s="311"/>
      <c r="AA663" s="311"/>
      <c r="AB663" s="311"/>
      <c r="AC663" s="311"/>
      <c r="AD663" s="311"/>
      <c r="AE663" s="311"/>
      <c r="AF663" s="311"/>
      <c r="AG663" s="311"/>
      <c r="AH663" s="311"/>
      <c r="AI663" s="311"/>
      <c r="AJ663" s="311"/>
      <c r="AK663" s="311"/>
      <c r="AL663" s="311"/>
      <c r="AM663" s="311"/>
    </row>
    <row r="664" spans="1:39" ht="15.75" customHeight="1">
      <c r="A664" s="1647"/>
      <c r="B664" s="311"/>
      <c r="C664" s="1647"/>
      <c r="D664" s="2173"/>
      <c r="E664" s="1586"/>
      <c r="F664" s="1954"/>
      <c r="G664" s="1586"/>
      <c r="H664" s="1586"/>
      <c r="I664" s="1647"/>
      <c r="J664" s="1647"/>
      <c r="K664" s="1647"/>
      <c r="L664" s="1586"/>
      <c r="M664" s="2174"/>
      <c r="N664" s="2174"/>
      <c r="O664" s="836"/>
      <c r="P664" s="2174"/>
      <c r="Q664" s="836"/>
      <c r="R664" s="309"/>
      <c r="S664" s="309"/>
      <c r="T664" s="309"/>
      <c r="U664" s="309"/>
      <c r="V664" s="311"/>
      <c r="W664" s="311"/>
      <c r="X664" s="1647"/>
      <c r="Y664" s="311"/>
      <c r="Z664" s="311"/>
      <c r="AA664" s="311"/>
      <c r="AB664" s="311"/>
      <c r="AC664" s="311"/>
      <c r="AD664" s="311"/>
      <c r="AE664" s="311"/>
      <c r="AF664" s="311"/>
      <c r="AG664" s="311"/>
      <c r="AH664" s="311"/>
      <c r="AI664" s="311"/>
      <c r="AJ664" s="311"/>
      <c r="AK664" s="311"/>
      <c r="AL664" s="311"/>
      <c r="AM664" s="311"/>
    </row>
    <row r="665" spans="1:39" ht="15.75" customHeight="1">
      <c r="A665" s="1647"/>
      <c r="B665" s="311"/>
      <c r="C665" s="1647"/>
      <c r="D665" s="2173"/>
      <c r="E665" s="1586"/>
      <c r="F665" s="1954"/>
      <c r="G665" s="1586"/>
      <c r="H665" s="1586"/>
      <c r="I665" s="1647"/>
      <c r="J665" s="1647"/>
      <c r="K665" s="1647"/>
      <c r="L665" s="1586"/>
      <c r="M665" s="2174"/>
      <c r="N665" s="2174"/>
      <c r="O665" s="836"/>
      <c r="P665" s="2174"/>
      <c r="Q665" s="836"/>
      <c r="R665" s="309"/>
      <c r="S665" s="309"/>
      <c r="T665" s="309"/>
      <c r="U665" s="309"/>
      <c r="V665" s="311"/>
      <c r="W665" s="311"/>
      <c r="X665" s="1647"/>
      <c r="Y665" s="311"/>
      <c r="Z665" s="311"/>
      <c r="AA665" s="311"/>
      <c r="AB665" s="311"/>
      <c r="AC665" s="311"/>
      <c r="AD665" s="311"/>
      <c r="AE665" s="311"/>
      <c r="AF665" s="311"/>
      <c r="AG665" s="311"/>
      <c r="AH665" s="311"/>
      <c r="AI665" s="311"/>
      <c r="AJ665" s="311"/>
      <c r="AK665" s="311"/>
      <c r="AL665" s="311"/>
      <c r="AM665" s="311"/>
    </row>
    <row r="666" spans="1:39" ht="15.75" customHeight="1">
      <c r="A666" s="1647"/>
      <c r="B666" s="311"/>
      <c r="C666" s="1647"/>
      <c r="D666" s="2173"/>
      <c r="E666" s="1586"/>
      <c r="F666" s="1954"/>
      <c r="G666" s="1586"/>
      <c r="H666" s="1586"/>
      <c r="I666" s="1647"/>
      <c r="J666" s="1647"/>
      <c r="K666" s="1647"/>
      <c r="L666" s="1586"/>
      <c r="M666" s="2174"/>
      <c r="N666" s="2174"/>
      <c r="O666" s="836"/>
      <c r="P666" s="2174"/>
      <c r="Q666" s="836"/>
      <c r="R666" s="309"/>
      <c r="S666" s="309"/>
      <c r="T666" s="309"/>
      <c r="U666" s="309"/>
      <c r="V666" s="311"/>
      <c r="W666" s="311"/>
      <c r="X666" s="1647"/>
      <c r="Y666" s="311"/>
      <c r="Z666" s="311"/>
      <c r="AA666" s="311"/>
      <c r="AB666" s="311"/>
      <c r="AC666" s="311"/>
      <c r="AD666" s="311"/>
      <c r="AE666" s="311"/>
      <c r="AF666" s="311"/>
      <c r="AG666" s="311"/>
      <c r="AH666" s="311"/>
      <c r="AI666" s="311"/>
      <c r="AJ666" s="311"/>
      <c r="AK666" s="311"/>
      <c r="AL666" s="311"/>
      <c r="AM666" s="311"/>
    </row>
    <row r="667" spans="1:39" ht="15.75" customHeight="1">
      <c r="A667" s="1647"/>
      <c r="B667" s="311"/>
      <c r="C667" s="1647"/>
      <c r="D667" s="2173"/>
      <c r="E667" s="1586"/>
      <c r="F667" s="1954"/>
      <c r="G667" s="1586"/>
      <c r="H667" s="1586"/>
      <c r="I667" s="1647"/>
      <c r="J667" s="1647"/>
      <c r="K667" s="1647"/>
      <c r="L667" s="1586"/>
      <c r="M667" s="2174"/>
      <c r="N667" s="2174"/>
      <c r="O667" s="836"/>
      <c r="P667" s="2174"/>
      <c r="Q667" s="836"/>
      <c r="R667" s="309"/>
      <c r="S667" s="309"/>
      <c r="T667" s="309"/>
      <c r="U667" s="309"/>
      <c r="V667" s="311"/>
      <c r="W667" s="311"/>
      <c r="X667" s="1647"/>
      <c r="Y667" s="311"/>
      <c r="Z667" s="311"/>
      <c r="AA667" s="311"/>
      <c r="AB667" s="311"/>
      <c r="AC667" s="311"/>
      <c r="AD667" s="311"/>
      <c r="AE667" s="311"/>
      <c r="AF667" s="311"/>
      <c r="AG667" s="311"/>
      <c r="AH667" s="311"/>
      <c r="AI667" s="311"/>
      <c r="AJ667" s="311"/>
      <c r="AK667" s="311"/>
      <c r="AL667" s="311"/>
      <c r="AM667" s="311"/>
    </row>
    <row r="668" spans="1:39" ht="15.75" customHeight="1">
      <c r="A668" s="1647"/>
      <c r="B668" s="311"/>
      <c r="C668" s="1647"/>
      <c r="D668" s="2173"/>
      <c r="E668" s="1586"/>
      <c r="F668" s="1954"/>
      <c r="G668" s="1586"/>
      <c r="H668" s="1586"/>
      <c r="I668" s="1647"/>
      <c r="J668" s="1647"/>
      <c r="K668" s="1647"/>
      <c r="L668" s="1586"/>
      <c r="M668" s="2174"/>
      <c r="N668" s="2174"/>
      <c r="O668" s="836"/>
      <c r="P668" s="2174"/>
      <c r="Q668" s="836"/>
      <c r="R668" s="309"/>
      <c r="S668" s="309"/>
      <c r="T668" s="309"/>
      <c r="U668" s="309"/>
      <c r="V668" s="311"/>
      <c r="W668" s="311"/>
      <c r="X668" s="1647"/>
      <c r="Y668" s="311"/>
      <c r="Z668" s="311"/>
      <c r="AA668" s="311"/>
      <c r="AB668" s="311"/>
      <c r="AC668" s="311"/>
      <c r="AD668" s="311"/>
      <c r="AE668" s="311"/>
      <c r="AF668" s="311"/>
      <c r="AG668" s="311"/>
      <c r="AH668" s="311"/>
      <c r="AI668" s="311"/>
      <c r="AJ668" s="311"/>
      <c r="AK668" s="311"/>
      <c r="AL668" s="311"/>
      <c r="AM668" s="311"/>
    </row>
    <row r="669" spans="1:39" ht="15.75" customHeight="1">
      <c r="A669" s="1647"/>
      <c r="B669" s="311"/>
      <c r="C669" s="1647"/>
      <c r="D669" s="2173"/>
      <c r="E669" s="1586"/>
      <c r="F669" s="1954"/>
      <c r="G669" s="1586"/>
      <c r="H669" s="1586"/>
      <c r="I669" s="1647"/>
      <c r="J669" s="1647"/>
      <c r="K669" s="1647"/>
      <c r="L669" s="1586"/>
      <c r="M669" s="2174"/>
      <c r="N669" s="2174"/>
      <c r="O669" s="836"/>
      <c r="P669" s="2174"/>
      <c r="Q669" s="836"/>
      <c r="R669" s="309"/>
      <c r="S669" s="309"/>
      <c r="T669" s="309"/>
      <c r="U669" s="309"/>
      <c r="V669" s="311"/>
      <c r="W669" s="311"/>
      <c r="X669" s="1647"/>
      <c r="Y669" s="311"/>
      <c r="Z669" s="311"/>
      <c r="AA669" s="311"/>
      <c r="AB669" s="311"/>
      <c r="AC669" s="311"/>
      <c r="AD669" s="311"/>
      <c r="AE669" s="311"/>
      <c r="AF669" s="311"/>
      <c r="AG669" s="311"/>
      <c r="AH669" s="311"/>
      <c r="AI669" s="311"/>
      <c r="AJ669" s="311"/>
      <c r="AK669" s="311"/>
      <c r="AL669" s="311"/>
      <c r="AM669" s="311"/>
    </row>
    <row r="670" spans="1:39" ht="15.75" customHeight="1">
      <c r="A670" s="1647"/>
      <c r="B670" s="311"/>
      <c r="C670" s="1647"/>
      <c r="D670" s="2173"/>
      <c r="E670" s="1586"/>
      <c r="F670" s="1954"/>
      <c r="G670" s="1586"/>
      <c r="H670" s="1586"/>
      <c r="I670" s="1647"/>
      <c r="J670" s="1647"/>
      <c r="K670" s="1647"/>
      <c r="L670" s="1586"/>
      <c r="M670" s="2174"/>
      <c r="N670" s="2174"/>
      <c r="O670" s="836"/>
      <c r="P670" s="2174"/>
      <c r="Q670" s="836"/>
      <c r="R670" s="309"/>
      <c r="S670" s="309"/>
      <c r="T670" s="309"/>
      <c r="U670" s="309"/>
      <c r="V670" s="311"/>
      <c r="W670" s="311"/>
      <c r="X670" s="1647"/>
      <c r="Y670" s="311"/>
      <c r="Z670" s="311"/>
      <c r="AA670" s="311"/>
      <c r="AB670" s="311"/>
      <c r="AC670" s="311"/>
      <c r="AD670" s="311"/>
      <c r="AE670" s="311"/>
      <c r="AF670" s="311"/>
      <c r="AG670" s="311"/>
      <c r="AH670" s="311"/>
      <c r="AI670" s="311"/>
      <c r="AJ670" s="311"/>
      <c r="AK670" s="311"/>
      <c r="AL670" s="311"/>
      <c r="AM670" s="311"/>
    </row>
    <row r="671" spans="1:39" ht="15.75" customHeight="1">
      <c r="A671" s="1647"/>
      <c r="B671" s="311"/>
      <c r="C671" s="1647"/>
      <c r="D671" s="2173"/>
      <c r="E671" s="1586"/>
      <c r="F671" s="1954"/>
      <c r="G671" s="1586"/>
      <c r="H671" s="1586"/>
      <c r="I671" s="1647"/>
      <c r="J671" s="1647"/>
      <c r="K671" s="1647"/>
      <c r="L671" s="1586"/>
      <c r="M671" s="2174"/>
      <c r="N671" s="2174"/>
      <c r="O671" s="836"/>
      <c r="P671" s="2174"/>
      <c r="Q671" s="836"/>
      <c r="R671" s="309"/>
      <c r="S671" s="309"/>
      <c r="T671" s="309"/>
      <c r="U671" s="309"/>
      <c r="V671" s="311"/>
      <c r="W671" s="311"/>
      <c r="X671" s="1647"/>
      <c r="Y671" s="311"/>
      <c r="Z671" s="311"/>
      <c r="AA671" s="311"/>
      <c r="AB671" s="311"/>
      <c r="AC671" s="311"/>
      <c r="AD671" s="311"/>
      <c r="AE671" s="311"/>
      <c r="AF671" s="311"/>
      <c r="AG671" s="311"/>
      <c r="AH671" s="311"/>
      <c r="AI671" s="311"/>
      <c r="AJ671" s="311"/>
      <c r="AK671" s="311"/>
      <c r="AL671" s="311"/>
      <c r="AM671" s="311"/>
    </row>
    <row r="672" spans="1:39" ht="15.75" customHeight="1">
      <c r="A672" s="1647"/>
      <c r="B672" s="311"/>
      <c r="C672" s="1647"/>
      <c r="D672" s="2173"/>
      <c r="E672" s="1586"/>
      <c r="F672" s="1954"/>
      <c r="G672" s="1586"/>
      <c r="H672" s="1586"/>
      <c r="I672" s="1647"/>
      <c r="J672" s="1647"/>
      <c r="K672" s="1647"/>
      <c r="L672" s="1586"/>
      <c r="M672" s="2174"/>
      <c r="N672" s="2174"/>
      <c r="O672" s="836"/>
      <c r="P672" s="2174"/>
      <c r="Q672" s="836"/>
      <c r="R672" s="309"/>
      <c r="S672" s="309"/>
      <c r="T672" s="309"/>
      <c r="U672" s="309"/>
      <c r="V672" s="311"/>
      <c r="W672" s="311"/>
      <c r="X672" s="1647"/>
      <c r="Y672" s="311"/>
      <c r="Z672" s="311"/>
      <c r="AA672" s="311"/>
      <c r="AB672" s="311"/>
      <c r="AC672" s="311"/>
      <c r="AD672" s="311"/>
      <c r="AE672" s="311"/>
      <c r="AF672" s="311"/>
      <c r="AG672" s="311"/>
      <c r="AH672" s="311"/>
      <c r="AI672" s="311"/>
      <c r="AJ672" s="311"/>
      <c r="AK672" s="311"/>
      <c r="AL672" s="311"/>
      <c r="AM672" s="311"/>
    </row>
    <row r="673" spans="1:39" ht="15.75" customHeight="1">
      <c r="A673" s="1647"/>
      <c r="B673" s="311"/>
      <c r="C673" s="1647"/>
      <c r="D673" s="2173"/>
      <c r="E673" s="1586"/>
      <c r="F673" s="1954"/>
      <c r="G673" s="1586"/>
      <c r="H673" s="1586"/>
      <c r="I673" s="1647"/>
      <c r="J673" s="1647"/>
      <c r="K673" s="1647"/>
      <c r="L673" s="1586"/>
      <c r="M673" s="2174"/>
      <c r="N673" s="2174"/>
      <c r="O673" s="836"/>
      <c r="P673" s="2174"/>
      <c r="Q673" s="836"/>
      <c r="R673" s="309"/>
      <c r="S673" s="309"/>
      <c r="T673" s="309"/>
      <c r="U673" s="309"/>
      <c r="V673" s="311"/>
      <c r="W673" s="311"/>
      <c r="X673" s="1647"/>
      <c r="Y673" s="311"/>
      <c r="Z673" s="311"/>
      <c r="AA673" s="311"/>
      <c r="AB673" s="311"/>
      <c r="AC673" s="311"/>
      <c r="AD673" s="311"/>
      <c r="AE673" s="311"/>
      <c r="AF673" s="311"/>
      <c r="AG673" s="311"/>
      <c r="AH673" s="311"/>
      <c r="AI673" s="311"/>
      <c r="AJ673" s="311"/>
      <c r="AK673" s="311"/>
      <c r="AL673" s="311"/>
      <c r="AM673" s="311"/>
    </row>
    <row r="674" spans="1:39" ht="15.75" customHeight="1">
      <c r="A674" s="1647"/>
      <c r="B674" s="311"/>
      <c r="C674" s="1647"/>
      <c r="D674" s="2173"/>
      <c r="E674" s="1586"/>
      <c r="F674" s="1954"/>
      <c r="G674" s="1586"/>
      <c r="H674" s="1586"/>
      <c r="I674" s="1647"/>
      <c r="J674" s="1647"/>
      <c r="K674" s="1647"/>
      <c r="L674" s="1586"/>
      <c r="M674" s="2174"/>
      <c r="N674" s="2174"/>
      <c r="O674" s="836"/>
      <c r="P674" s="2174"/>
      <c r="Q674" s="836"/>
      <c r="R674" s="309"/>
      <c r="S674" s="309"/>
      <c r="T674" s="309"/>
      <c r="U674" s="309"/>
      <c r="V674" s="311"/>
      <c r="W674" s="311"/>
      <c r="X674" s="1647"/>
      <c r="Y674" s="311"/>
      <c r="Z674" s="311"/>
      <c r="AA674" s="311"/>
      <c r="AB674" s="311"/>
      <c r="AC674" s="311"/>
      <c r="AD674" s="311"/>
      <c r="AE674" s="311"/>
      <c r="AF674" s="311"/>
      <c r="AG674" s="311"/>
      <c r="AH674" s="311"/>
      <c r="AI674" s="311"/>
      <c r="AJ674" s="311"/>
      <c r="AK674" s="311"/>
      <c r="AL674" s="311"/>
      <c r="AM674" s="311"/>
    </row>
    <row r="675" spans="1:39" ht="15.75" customHeight="1">
      <c r="A675" s="1647"/>
      <c r="B675" s="311"/>
      <c r="C675" s="1647"/>
      <c r="D675" s="2173"/>
      <c r="E675" s="1586"/>
      <c r="F675" s="1954"/>
      <c r="G675" s="1586"/>
      <c r="H675" s="1586"/>
      <c r="I675" s="1647"/>
      <c r="J675" s="1647"/>
      <c r="K675" s="1647"/>
      <c r="L675" s="1586"/>
      <c r="M675" s="2174"/>
      <c r="N675" s="2174"/>
      <c r="O675" s="836"/>
      <c r="P675" s="2174"/>
      <c r="Q675" s="836"/>
      <c r="R675" s="309"/>
      <c r="S675" s="309"/>
      <c r="T675" s="309"/>
      <c r="U675" s="309"/>
      <c r="V675" s="311"/>
      <c r="W675" s="311"/>
      <c r="X675" s="1647"/>
      <c r="Y675" s="311"/>
      <c r="Z675" s="311"/>
      <c r="AA675" s="311"/>
      <c r="AB675" s="311"/>
      <c r="AC675" s="311"/>
      <c r="AD675" s="311"/>
      <c r="AE675" s="311"/>
      <c r="AF675" s="311"/>
      <c r="AG675" s="311"/>
      <c r="AH675" s="311"/>
      <c r="AI675" s="311"/>
      <c r="AJ675" s="311"/>
      <c r="AK675" s="311"/>
      <c r="AL675" s="311"/>
      <c r="AM675" s="311"/>
    </row>
    <row r="676" spans="1:39" ht="15.75" customHeight="1">
      <c r="A676" s="1647"/>
      <c r="B676" s="311"/>
      <c r="C676" s="1647"/>
      <c r="D676" s="2173"/>
      <c r="E676" s="1586"/>
      <c r="F676" s="1954"/>
      <c r="G676" s="1586"/>
      <c r="H676" s="1586"/>
      <c r="I676" s="1647"/>
      <c r="J676" s="1647"/>
      <c r="K676" s="1647"/>
      <c r="L676" s="1586"/>
      <c r="M676" s="2174"/>
      <c r="N676" s="2174"/>
      <c r="O676" s="836"/>
      <c r="P676" s="2174"/>
      <c r="Q676" s="836"/>
      <c r="R676" s="309"/>
      <c r="S676" s="309"/>
      <c r="T676" s="309"/>
      <c r="U676" s="309"/>
      <c r="V676" s="311"/>
      <c r="W676" s="311"/>
      <c r="X676" s="1647"/>
      <c r="Y676" s="311"/>
      <c r="Z676" s="311"/>
      <c r="AA676" s="311"/>
      <c r="AB676" s="311"/>
      <c r="AC676" s="311"/>
      <c r="AD676" s="311"/>
      <c r="AE676" s="311"/>
      <c r="AF676" s="311"/>
      <c r="AG676" s="311"/>
      <c r="AH676" s="311"/>
      <c r="AI676" s="311"/>
      <c r="AJ676" s="311"/>
      <c r="AK676" s="311"/>
      <c r="AL676" s="311"/>
      <c r="AM676" s="311"/>
    </row>
    <row r="677" spans="1:39" ht="15.75" customHeight="1">
      <c r="A677" s="1647"/>
      <c r="B677" s="311"/>
      <c r="C677" s="1647"/>
      <c r="D677" s="2173"/>
      <c r="E677" s="1586"/>
      <c r="F677" s="1954"/>
      <c r="G677" s="1586"/>
      <c r="H677" s="1586"/>
      <c r="I677" s="1647"/>
      <c r="J677" s="1647"/>
      <c r="K677" s="1647"/>
      <c r="L677" s="1586"/>
      <c r="M677" s="2174"/>
      <c r="N677" s="2174"/>
      <c r="O677" s="836"/>
      <c r="P677" s="2174"/>
      <c r="Q677" s="836"/>
      <c r="R677" s="309"/>
      <c r="S677" s="309"/>
      <c r="T677" s="309"/>
      <c r="U677" s="309"/>
      <c r="V677" s="311"/>
      <c r="W677" s="311"/>
      <c r="X677" s="1647"/>
      <c r="Y677" s="311"/>
      <c r="Z677" s="311"/>
      <c r="AA677" s="311"/>
      <c r="AB677" s="311"/>
      <c r="AC677" s="311"/>
      <c r="AD677" s="311"/>
      <c r="AE677" s="311"/>
      <c r="AF677" s="311"/>
      <c r="AG677" s="311"/>
      <c r="AH677" s="311"/>
      <c r="AI677" s="311"/>
      <c r="AJ677" s="311"/>
      <c r="AK677" s="311"/>
      <c r="AL677" s="311"/>
      <c r="AM677" s="311"/>
    </row>
    <row r="678" spans="1:39" ht="15.75" customHeight="1">
      <c r="A678" s="1647"/>
      <c r="B678" s="311"/>
      <c r="C678" s="1647"/>
      <c r="D678" s="2173"/>
      <c r="E678" s="1586"/>
      <c r="F678" s="1954"/>
      <c r="G678" s="1586"/>
      <c r="H678" s="1586"/>
      <c r="I678" s="1647"/>
      <c r="J678" s="1647"/>
      <c r="K678" s="1647"/>
      <c r="L678" s="1586"/>
      <c r="M678" s="2174"/>
      <c r="N678" s="2174"/>
      <c r="O678" s="836"/>
      <c r="P678" s="2174"/>
      <c r="Q678" s="836"/>
      <c r="R678" s="309"/>
      <c r="S678" s="309"/>
      <c r="T678" s="309"/>
      <c r="U678" s="309"/>
      <c r="V678" s="311"/>
      <c r="W678" s="311"/>
      <c r="X678" s="1647"/>
      <c r="Y678" s="311"/>
      <c r="Z678" s="311"/>
      <c r="AA678" s="311"/>
      <c r="AB678" s="311"/>
      <c r="AC678" s="311"/>
      <c r="AD678" s="311"/>
      <c r="AE678" s="311"/>
      <c r="AF678" s="311"/>
      <c r="AG678" s="311"/>
      <c r="AH678" s="311"/>
      <c r="AI678" s="311"/>
      <c r="AJ678" s="311"/>
      <c r="AK678" s="311"/>
      <c r="AL678" s="311"/>
      <c r="AM678" s="311"/>
    </row>
    <row r="679" spans="1:39" ht="15.75" customHeight="1">
      <c r="A679" s="1647"/>
      <c r="B679" s="311"/>
      <c r="C679" s="1647"/>
      <c r="D679" s="2173"/>
      <c r="E679" s="1586"/>
      <c r="F679" s="1954"/>
      <c r="G679" s="1586"/>
      <c r="H679" s="1586"/>
      <c r="I679" s="1647"/>
      <c r="J679" s="1647"/>
      <c r="K679" s="1647"/>
      <c r="L679" s="1586"/>
      <c r="M679" s="2174"/>
      <c r="N679" s="2174"/>
      <c r="O679" s="836"/>
      <c r="P679" s="2174"/>
      <c r="Q679" s="836"/>
      <c r="R679" s="309"/>
      <c r="S679" s="309"/>
      <c r="T679" s="309"/>
      <c r="U679" s="309"/>
      <c r="V679" s="311"/>
      <c r="W679" s="311"/>
      <c r="X679" s="1647"/>
      <c r="Y679" s="311"/>
      <c r="Z679" s="311"/>
      <c r="AA679" s="311"/>
      <c r="AB679" s="311"/>
      <c r="AC679" s="311"/>
      <c r="AD679" s="311"/>
      <c r="AE679" s="311"/>
      <c r="AF679" s="311"/>
      <c r="AG679" s="311"/>
      <c r="AH679" s="311"/>
      <c r="AI679" s="311"/>
      <c r="AJ679" s="311"/>
      <c r="AK679" s="311"/>
      <c r="AL679" s="311"/>
      <c r="AM679" s="311"/>
    </row>
    <row r="680" spans="1:39" ht="15.75" customHeight="1">
      <c r="A680" s="1647"/>
      <c r="B680" s="311"/>
      <c r="C680" s="1647"/>
      <c r="D680" s="2173"/>
      <c r="E680" s="1586"/>
      <c r="F680" s="1954"/>
      <c r="G680" s="1586"/>
      <c r="H680" s="1586"/>
      <c r="I680" s="1647"/>
      <c r="J680" s="1647"/>
      <c r="K680" s="1647"/>
      <c r="L680" s="1586"/>
      <c r="M680" s="2174"/>
      <c r="N680" s="2174"/>
      <c r="O680" s="836"/>
      <c r="P680" s="2174"/>
      <c r="Q680" s="836"/>
      <c r="R680" s="309"/>
      <c r="S680" s="309"/>
      <c r="T680" s="309"/>
      <c r="U680" s="309"/>
      <c r="V680" s="311"/>
      <c r="W680" s="311"/>
      <c r="X680" s="1647"/>
      <c r="Y680" s="311"/>
      <c r="Z680" s="311"/>
      <c r="AA680" s="311"/>
      <c r="AB680" s="311"/>
      <c r="AC680" s="311"/>
      <c r="AD680" s="311"/>
      <c r="AE680" s="311"/>
      <c r="AF680" s="311"/>
      <c r="AG680" s="311"/>
      <c r="AH680" s="311"/>
      <c r="AI680" s="311"/>
      <c r="AJ680" s="311"/>
      <c r="AK680" s="311"/>
      <c r="AL680" s="311"/>
      <c r="AM680" s="311"/>
    </row>
    <row r="681" spans="1:39" ht="15.75" customHeight="1">
      <c r="A681" s="1647"/>
      <c r="B681" s="311"/>
      <c r="C681" s="1647"/>
      <c r="D681" s="2173"/>
      <c r="E681" s="1586"/>
      <c r="F681" s="1954"/>
      <c r="G681" s="1586"/>
      <c r="H681" s="1586"/>
      <c r="I681" s="1647"/>
      <c r="J681" s="1647"/>
      <c r="K681" s="1647"/>
      <c r="L681" s="1586"/>
      <c r="M681" s="2174"/>
      <c r="N681" s="2174"/>
      <c r="O681" s="836"/>
      <c r="P681" s="2174"/>
      <c r="Q681" s="836"/>
      <c r="R681" s="309"/>
      <c r="S681" s="309"/>
      <c r="T681" s="309"/>
      <c r="U681" s="309"/>
      <c r="V681" s="311"/>
      <c r="W681" s="311"/>
      <c r="X681" s="1647"/>
      <c r="Y681" s="311"/>
      <c r="Z681" s="311"/>
      <c r="AA681" s="311"/>
      <c r="AB681" s="311"/>
      <c r="AC681" s="311"/>
      <c r="AD681" s="311"/>
      <c r="AE681" s="311"/>
      <c r="AF681" s="311"/>
      <c r="AG681" s="311"/>
      <c r="AH681" s="311"/>
      <c r="AI681" s="311"/>
      <c r="AJ681" s="311"/>
      <c r="AK681" s="311"/>
      <c r="AL681" s="311"/>
      <c r="AM681" s="311"/>
    </row>
    <row r="682" spans="1:39" ht="15.75" customHeight="1">
      <c r="A682" s="1647"/>
      <c r="B682" s="311"/>
      <c r="C682" s="1647"/>
      <c r="D682" s="2173"/>
      <c r="E682" s="1586"/>
      <c r="F682" s="1954"/>
      <c r="G682" s="1586"/>
      <c r="H682" s="1586"/>
      <c r="I682" s="1647"/>
      <c r="J682" s="1647"/>
      <c r="K682" s="1647"/>
      <c r="L682" s="1586"/>
      <c r="M682" s="2174"/>
      <c r="N682" s="2174"/>
      <c r="O682" s="836"/>
      <c r="P682" s="2174"/>
      <c r="Q682" s="836"/>
      <c r="R682" s="309"/>
      <c r="S682" s="309"/>
      <c r="T682" s="309"/>
      <c r="U682" s="309"/>
      <c r="V682" s="311"/>
      <c r="W682" s="311"/>
      <c r="X682" s="1647"/>
      <c r="Y682" s="311"/>
      <c r="Z682" s="311"/>
      <c r="AA682" s="311"/>
      <c r="AB682" s="311"/>
      <c r="AC682" s="311"/>
      <c r="AD682" s="311"/>
      <c r="AE682" s="311"/>
      <c r="AF682" s="311"/>
      <c r="AG682" s="311"/>
      <c r="AH682" s="311"/>
      <c r="AI682" s="311"/>
      <c r="AJ682" s="311"/>
      <c r="AK682" s="311"/>
      <c r="AL682" s="311"/>
      <c r="AM682" s="311"/>
    </row>
    <row r="683" spans="1:39" ht="15.75" customHeight="1">
      <c r="A683" s="1647"/>
      <c r="B683" s="311"/>
      <c r="C683" s="1647"/>
      <c r="D683" s="2173"/>
      <c r="E683" s="1586"/>
      <c r="F683" s="1954"/>
      <c r="G683" s="1586"/>
      <c r="H683" s="1586"/>
      <c r="I683" s="1647"/>
      <c r="J683" s="1647"/>
      <c r="K683" s="1647"/>
      <c r="L683" s="1586"/>
      <c r="M683" s="2174"/>
      <c r="N683" s="2174"/>
      <c r="O683" s="836"/>
      <c r="P683" s="2174"/>
      <c r="Q683" s="836"/>
      <c r="R683" s="309"/>
      <c r="S683" s="309"/>
      <c r="T683" s="309"/>
      <c r="U683" s="309"/>
      <c r="V683" s="311"/>
      <c r="W683" s="311"/>
      <c r="X683" s="1647"/>
      <c r="Y683" s="311"/>
      <c r="Z683" s="311"/>
      <c r="AA683" s="311"/>
      <c r="AB683" s="311"/>
      <c r="AC683" s="311"/>
      <c r="AD683" s="311"/>
      <c r="AE683" s="311"/>
      <c r="AF683" s="311"/>
      <c r="AG683" s="311"/>
      <c r="AH683" s="311"/>
      <c r="AI683" s="311"/>
      <c r="AJ683" s="311"/>
      <c r="AK683" s="311"/>
      <c r="AL683" s="311"/>
      <c r="AM683" s="311"/>
    </row>
    <row r="684" spans="1:39" ht="15.75" customHeight="1">
      <c r="A684" s="1647"/>
      <c r="B684" s="311"/>
      <c r="C684" s="1647"/>
      <c r="D684" s="2173"/>
      <c r="E684" s="1586"/>
      <c r="F684" s="1954"/>
      <c r="G684" s="1586"/>
      <c r="H684" s="1586"/>
      <c r="I684" s="1647"/>
      <c r="J684" s="1647"/>
      <c r="K684" s="1647"/>
      <c r="L684" s="1586"/>
      <c r="M684" s="2174"/>
      <c r="N684" s="2174"/>
      <c r="O684" s="836"/>
      <c r="P684" s="2174"/>
      <c r="Q684" s="836"/>
      <c r="R684" s="309"/>
      <c r="S684" s="309"/>
      <c r="T684" s="309"/>
      <c r="U684" s="309"/>
      <c r="V684" s="311"/>
      <c r="W684" s="311"/>
      <c r="X684" s="1647"/>
      <c r="Y684" s="311"/>
      <c r="Z684" s="311"/>
      <c r="AA684" s="311"/>
      <c r="AB684" s="311"/>
      <c r="AC684" s="311"/>
      <c r="AD684" s="311"/>
      <c r="AE684" s="311"/>
      <c r="AF684" s="311"/>
      <c r="AG684" s="311"/>
      <c r="AH684" s="311"/>
      <c r="AI684" s="311"/>
      <c r="AJ684" s="311"/>
      <c r="AK684" s="311"/>
      <c r="AL684" s="311"/>
      <c r="AM684" s="311"/>
    </row>
    <row r="685" spans="1:39" ht="15.75" customHeight="1">
      <c r="A685" s="1647"/>
      <c r="B685" s="311"/>
      <c r="C685" s="1647"/>
      <c r="D685" s="2173"/>
      <c r="E685" s="1586"/>
      <c r="F685" s="1954"/>
      <c r="G685" s="1586"/>
      <c r="H685" s="1586"/>
      <c r="I685" s="1647"/>
      <c r="J685" s="1647"/>
      <c r="K685" s="1647"/>
      <c r="L685" s="1586"/>
      <c r="M685" s="2174"/>
      <c r="N685" s="2174"/>
      <c r="O685" s="836"/>
      <c r="P685" s="2174"/>
      <c r="Q685" s="836"/>
      <c r="R685" s="309"/>
      <c r="S685" s="309"/>
      <c r="T685" s="309"/>
      <c r="U685" s="309"/>
      <c r="V685" s="311"/>
      <c r="W685" s="311"/>
      <c r="X685" s="1647"/>
      <c r="Y685" s="311"/>
      <c r="Z685" s="311"/>
      <c r="AA685" s="311"/>
      <c r="AB685" s="311"/>
      <c r="AC685" s="311"/>
      <c r="AD685" s="311"/>
      <c r="AE685" s="311"/>
      <c r="AF685" s="311"/>
      <c r="AG685" s="311"/>
      <c r="AH685" s="311"/>
      <c r="AI685" s="311"/>
      <c r="AJ685" s="311"/>
      <c r="AK685" s="311"/>
      <c r="AL685" s="311"/>
      <c r="AM685" s="311"/>
    </row>
    <row r="686" spans="1:39" ht="15.75" customHeight="1">
      <c r="A686" s="1647"/>
      <c r="B686" s="311"/>
      <c r="C686" s="1647"/>
      <c r="D686" s="2173"/>
      <c r="E686" s="1586"/>
      <c r="F686" s="1954"/>
      <c r="G686" s="1586"/>
      <c r="H686" s="1586"/>
      <c r="I686" s="1647"/>
      <c r="J686" s="1647"/>
      <c r="K686" s="1647"/>
      <c r="L686" s="1586"/>
      <c r="M686" s="2174"/>
      <c r="N686" s="2174"/>
      <c r="O686" s="836"/>
      <c r="P686" s="2174"/>
      <c r="Q686" s="836"/>
      <c r="R686" s="309"/>
      <c r="S686" s="309"/>
      <c r="T686" s="309"/>
      <c r="U686" s="309"/>
      <c r="V686" s="311"/>
      <c r="W686" s="311"/>
      <c r="X686" s="1647"/>
      <c r="Y686" s="311"/>
      <c r="Z686" s="311"/>
      <c r="AA686" s="311"/>
      <c r="AB686" s="311"/>
      <c r="AC686" s="311"/>
      <c r="AD686" s="311"/>
      <c r="AE686" s="311"/>
      <c r="AF686" s="311"/>
      <c r="AG686" s="311"/>
      <c r="AH686" s="311"/>
      <c r="AI686" s="311"/>
      <c r="AJ686" s="311"/>
      <c r="AK686" s="311"/>
      <c r="AL686" s="311"/>
      <c r="AM686" s="311"/>
    </row>
    <row r="687" spans="1:39" ht="15.75" customHeight="1">
      <c r="A687" s="1647"/>
      <c r="B687" s="311"/>
      <c r="C687" s="1647"/>
      <c r="D687" s="2173"/>
      <c r="E687" s="1586"/>
      <c r="F687" s="1954"/>
      <c r="G687" s="1586"/>
      <c r="H687" s="1586"/>
      <c r="I687" s="1647"/>
      <c r="J687" s="1647"/>
      <c r="K687" s="1647"/>
      <c r="L687" s="1586"/>
      <c r="M687" s="2174"/>
      <c r="N687" s="2174"/>
      <c r="O687" s="836"/>
      <c r="P687" s="2174"/>
      <c r="Q687" s="836"/>
      <c r="R687" s="309"/>
      <c r="S687" s="309"/>
      <c r="T687" s="309"/>
      <c r="U687" s="309"/>
      <c r="V687" s="311"/>
      <c r="W687" s="311"/>
      <c r="X687" s="1647"/>
      <c r="Y687" s="311"/>
      <c r="Z687" s="311"/>
      <c r="AA687" s="311"/>
      <c r="AB687" s="311"/>
      <c r="AC687" s="311"/>
      <c r="AD687" s="311"/>
      <c r="AE687" s="311"/>
      <c r="AF687" s="311"/>
      <c r="AG687" s="311"/>
      <c r="AH687" s="311"/>
      <c r="AI687" s="311"/>
      <c r="AJ687" s="311"/>
      <c r="AK687" s="311"/>
      <c r="AL687" s="311"/>
      <c r="AM687" s="311"/>
    </row>
    <row r="688" spans="1:39" ht="15.75" customHeight="1">
      <c r="A688" s="1647"/>
      <c r="B688" s="311"/>
      <c r="C688" s="1647"/>
      <c r="D688" s="2173"/>
      <c r="E688" s="1586"/>
      <c r="F688" s="1954"/>
      <c r="G688" s="1586"/>
      <c r="H688" s="1586"/>
      <c r="I688" s="1647"/>
      <c r="J688" s="1647"/>
      <c r="K688" s="1647"/>
      <c r="L688" s="1586"/>
      <c r="M688" s="2174"/>
      <c r="N688" s="2174"/>
      <c r="O688" s="836"/>
      <c r="P688" s="2174"/>
      <c r="Q688" s="836"/>
      <c r="R688" s="309"/>
      <c r="S688" s="309"/>
      <c r="T688" s="309"/>
      <c r="U688" s="309"/>
      <c r="V688" s="311"/>
      <c r="W688" s="311"/>
      <c r="X688" s="1647"/>
      <c r="Y688" s="311"/>
      <c r="Z688" s="311"/>
      <c r="AA688" s="311"/>
      <c r="AB688" s="311"/>
      <c r="AC688" s="311"/>
      <c r="AD688" s="311"/>
      <c r="AE688" s="311"/>
      <c r="AF688" s="311"/>
      <c r="AG688" s="311"/>
      <c r="AH688" s="311"/>
      <c r="AI688" s="311"/>
      <c r="AJ688" s="311"/>
      <c r="AK688" s="311"/>
      <c r="AL688" s="311"/>
      <c r="AM688" s="311"/>
    </row>
    <row r="689" spans="1:39" ht="15.75" customHeight="1">
      <c r="A689" s="1647"/>
      <c r="B689" s="311"/>
      <c r="C689" s="1647"/>
      <c r="D689" s="2173"/>
      <c r="E689" s="1586"/>
      <c r="F689" s="1954"/>
      <c r="G689" s="1586"/>
      <c r="H689" s="1586"/>
      <c r="I689" s="1647"/>
      <c r="J689" s="1647"/>
      <c r="K689" s="1647"/>
      <c r="L689" s="1586"/>
      <c r="M689" s="2174"/>
      <c r="N689" s="2174"/>
      <c r="O689" s="836"/>
      <c r="P689" s="2174"/>
      <c r="Q689" s="836"/>
      <c r="R689" s="309"/>
      <c r="S689" s="309"/>
      <c r="T689" s="309"/>
      <c r="U689" s="309"/>
      <c r="V689" s="311"/>
      <c r="W689" s="311"/>
      <c r="X689" s="1647"/>
      <c r="Y689" s="311"/>
      <c r="Z689" s="311"/>
      <c r="AA689" s="311"/>
      <c r="AB689" s="311"/>
      <c r="AC689" s="311"/>
      <c r="AD689" s="311"/>
      <c r="AE689" s="311"/>
      <c r="AF689" s="311"/>
      <c r="AG689" s="311"/>
      <c r="AH689" s="311"/>
      <c r="AI689" s="311"/>
      <c r="AJ689" s="311"/>
      <c r="AK689" s="311"/>
      <c r="AL689" s="311"/>
      <c r="AM689" s="311"/>
    </row>
    <row r="690" spans="1:39" ht="15.75" customHeight="1">
      <c r="A690" s="1647"/>
      <c r="B690" s="311"/>
      <c r="C690" s="1647"/>
      <c r="D690" s="2173"/>
      <c r="E690" s="1586"/>
      <c r="F690" s="1954"/>
      <c r="G690" s="1586"/>
      <c r="H690" s="1586"/>
      <c r="I690" s="1647"/>
      <c r="J690" s="1647"/>
      <c r="K690" s="1647"/>
      <c r="L690" s="1586"/>
      <c r="M690" s="2174"/>
      <c r="N690" s="2174"/>
      <c r="O690" s="836"/>
      <c r="P690" s="2174"/>
      <c r="Q690" s="836"/>
      <c r="R690" s="309"/>
      <c r="S690" s="309"/>
      <c r="T690" s="309"/>
      <c r="U690" s="309"/>
      <c r="V690" s="311"/>
      <c r="W690" s="311"/>
      <c r="X690" s="1647"/>
      <c r="Y690" s="311"/>
      <c r="Z690" s="311"/>
      <c r="AA690" s="311"/>
      <c r="AB690" s="311"/>
      <c r="AC690" s="311"/>
      <c r="AD690" s="311"/>
      <c r="AE690" s="311"/>
      <c r="AF690" s="311"/>
      <c r="AG690" s="311"/>
      <c r="AH690" s="311"/>
      <c r="AI690" s="311"/>
      <c r="AJ690" s="311"/>
      <c r="AK690" s="311"/>
      <c r="AL690" s="311"/>
      <c r="AM690" s="311"/>
    </row>
    <row r="691" spans="1:39" ht="15.75" customHeight="1">
      <c r="A691" s="1647"/>
      <c r="B691" s="311"/>
      <c r="C691" s="1647"/>
      <c r="D691" s="2173"/>
      <c r="E691" s="1586"/>
      <c r="F691" s="1954"/>
      <c r="G691" s="1586"/>
      <c r="H691" s="1586"/>
      <c r="I691" s="1647"/>
      <c r="J691" s="1647"/>
      <c r="K691" s="1647"/>
      <c r="L691" s="1586"/>
      <c r="M691" s="2174"/>
      <c r="N691" s="2174"/>
      <c r="O691" s="836"/>
      <c r="P691" s="2174"/>
      <c r="Q691" s="836"/>
      <c r="R691" s="309"/>
      <c r="S691" s="309"/>
      <c r="T691" s="309"/>
      <c r="U691" s="309"/>
      <c r="V691" s="311"/>
      <c r="W691" s="311"/>
      <c r="X691" s="1647"/>
      <c r="Y691" s="311"/>
      <c r="Z691" s="311"/>
      <c r="AA691" s="311"/>
      <c r="AB691" s="311"/>
      <c r="AC691" s="311"/>
      <c r="AD691" s="311"/>
      <c r="AE691" s="311"/>
      <c r="AF691" s="311"/>
      <c r="AG691" s="311"/>
      <c r="AH691" s="311"/>
      <c r="AI691" s="311"/>
      <c r="AJ691" s="311"/>
      <c r="AK691" s="311"/>
      <c r="AL691" s="311"/>
      <c r="AM691" s="311"/>
    </row>
    <row r="692" spans="1:39" ht="15.75" customHeight="1">
      <c r="A692" s="1647"/>
      <c r="B692" s="311"/>
      <c r="C692" s="1647"/>
      <c r="D692" s="2173"/>
      <c r="E692" s="1586"/>
      <c r="F692" s="1954"/>
      <c r="G692" s="1586"/>
      <c r="H692" s="1586"/>
      <c r="I692" s="1647"/>
      <c r="J692" s="1647"/>
      <c r="K692" s="1647"/>
      <c r="L692" s="1586"/>
      <c r="M692" s="2174"/>
      <c r="N692" s="2174"/>
      <c r="O692" s="836"/>
      <c r="P692" s="2174"/>
      <c r="Q692" s="836"/>
      <c r="R692" s="309"/>
      <c r="S692" s="309"/>
      <c r="T692" s="309"/>
      <c r="U692" s="309"/>
      <c r="V692" s="311"/>
      <c r="W692" s="311"/>
      <c r="X692" s="1647"/>
      <c r="Y692" s="311"/>
      <c r="Z692" s="311"/>
      <c r="AA692" s="311"/>
      <c r="AB692" s="311"/>
      <c r="AC692" s="311"/>
      <c r="AD692" s="311"/>
      <c r="AE692" s="311"/>
      <c r="AF692" s="311"/>
      <c r="AG692" s="311"/>
      <c r="AH692" s="311"/>
      <c r="AI692" s="311"/>
      <c r="AJ692" s="311"/>
      <c r="AK692" s="311"/>
      <c r="AL692" s="311"/>
      <c r="AM692" s="311"/>
    </row>
    <row r="693" spans="1:39" ht="15.75" customHeight="1">
      <c r="A693" s="1647"/>
      <c r="B693" s="311"/>
      <c r="C693" s="1647"/>
      <c r="D693" s="2173"/>
      <c r="E693" s="1586"/>
      <c r="F693" s="1954"/>
      <c r="G693" s="1586"/>
      <c r="H693" s="1586"/>
      <c r="I693" s="1647"/>
      <c r="J693" s="1647"/>
      <c r="K693" s="1647"/>
      <c r="L693" s="1586"/>
      <c r="M693" s="2174"/>
      <c r="N693" s="2174"/>
      <c r="O693" s="836"/>
      <c r="P693" s="2174"/>
      <c r="Q693" s="836"/>
      <c r="R693" s="309"/>
      <c r="S693" s="309"/>
      <c r="T693" s="309"/>
      <c r="U693" s="309"/>
      <c r="V693" s="311"/>
      <c r="W693" s="311"/>
      <c r="X693" s="1647"/>
      <c r="Y693" s="311"/>
      <c r="Z693" s="311"/>
      <c r="AA693" s="311"/>
      <c r="AB693" s="311"/>
      <c r="AC693" s="311"/>
      <c r="AD693" s="311"/>
      <c r="AE693" s="311"/>
      <c r="AF693" s="311"/>
      <c r="AG693" s="311"/>
      <c r="AH693" s="311"/>
      <c r="AI693" s="311"/>
      <c r="AJ693" s="311"/>
      <c r="AK693" s="311"/>
      <c r="AL693" s="311"/>
      <c r="AM693" s="311"/>
    </row>
    <row r="694" spans="1:39" ht="15.75" customHeight="1">
      <c r="A694" s="1647"/>
      <c r="B694" s="311"/>
      <c r="C694" s="1647"/>
      <c r="D694" s="2173"/>
      <c r="E694" s="1586"/>
      <c r="F694" s="1954"/>
      <c r="G694" s="1586"/>
      <c r="H694" s="1586"/>
      <c r="I694" s="1647"/>
      <c r="J694" s="1647"/>
      <c r="K694" s="1647"/>
      <c r="L694" s="1586"/>
      <c r="M694" s="2174"/>
      <c r="N694" s="2174"/>
      <c r="O694" s="836"/>
      <c r="P694" s="2174"/>
      <c r="Q694" s="836"/>
      <c r="R694" s="309"/>
      <c r="S694" s="309"/>
      <c r="T694" s="309"/>
      <c r="U694" s="309"/>
      <c r="V694" s="311"/>
      <c r="W694" s="311"/>
      <c r="X694" s="1647"/>
      <c r="Y694" s="311"/>
      <c r="Z694" s="311"/>
      <c r="AA694" s="311"/>
      <c r="AB694" s="311"/>
      <c r="AC694" s="311"/>
      <c r="AD694" s="311"/>
      <c r="AE694" s="311"/>
      <c r="AF694" s="311"/>
      <c r="AG694" s="311"/>
      <c r="AH694" s="311"/>
      <c r="AI694" s="311"/>
      <c r="AJ694" s="311"/>
      <c r="AK694" s="311"/>
      <c r="AL694" s="311"/>
      <c r="AM694" s="311"/>
    </row>
    <row r="695" spans="1:39" ht="15.75" customHeight="1">
      <c r="A695" s="1647"/>
      <c r="B695" s="311"/>
      <c r="C695" s="1647"/>
      <c r="D695" s="2173"/>
      <c r="E695" s="1586"/>
      <c r="F695" s="1954"/>
      <c r="G695" s="1586"/>
      <c r="H695" s="1586"/>
      <c r="I695" s="1647"/>
      <c r="J695" s="1647"/>
      <c r="K695" s="1647"/>
      <c r="L695" s="1586"/>
      <c r="M695" s="2174"/>
      <c r="N695" s="2174"/>
      <c r="O695" s="836"/>
      <c r="P695" s="2174"/>
      <c r="Q695" s="836"/>
      <c r="R695" s="309"/>
      <c r="S695" s="309"/>
      <c r="T695" s="309"/>
      <c r="U695" s="309"/>
      <c r="V695" s="311"/>
      <c r="W695" s="311"/>
      <c r="X695" s="1647"/>
      <c r="Y695" s="311"/>
      <c r="Z695" s="311"/>
      <c r="AA695" s="311"/>
      <c r="AB695" s="311"/>
      <c r="AC695" s="311"/>
      <c r="AD695" s="311"/>
      <c r="AE695" s="311"/>
      <c r="AF695" s="311"/>
      <c r="AG695" s="311"/>
      <c r="AH695" s="311"/>
      <c r="AI695" s="311"/>
      <c r="AJ695" s="311"/>
      <c r="AK695" s="311"/>
      <c r="AL695" s="311"/>
      <c r="AM695" s="311"/>
    </row>
    <row r="696" spans="1:39" ht="15.75" customHeight="1">
      <c r="A696" s="1647"/>
      <c r="B696" s="311"/>
      <c r="C696" s="1647"/>
      <c r="D696" s="2173"/>
      <c r="E696" s="1586"/>
      <c r="F696" s="1954"/>
      <c r="G696" s="1586"/>
      <c r="H696" s="1586"/>
      <c r="I696" s="1647"/>
      <c r="J696" s="1647"/>
      <c r="K696" s="1647"/>
      <c r="L696" s="1586"/>
      <c r="M696" s="2174"/>
      <c r="N696" s="2174"/>
      <c r="O696" s="836"/>
      <c r="P696" s="2174"/>
      <c r="Q696" s="836"/>
      <c r="R696" s="309"/>
      <c r="S696" s="309"/>
      <c r="T696" s="309"/>
      <c r="U696" s="309"/>
      <c r="V696" s="311"/>
      <c r="W696" s="311"/>
      <c r="X696" s="1647"/>
      <c r="Y696" s="311"/>
      <c r="Z696" s="311"/>
      <c r="AA696" s="311"/>
      <c r="AB696" s="311"/>
      <c r="AC696" s="311"/>
      <c r="AD696" s="311"/>
      <c r="AE696" s="311"/>
      <c r="AF696" s="311"/>
      <c r="AG696" s="311"/>
      <c r="AH696" s="311"/>
      <c r="AI696" s="311"/>
      <c r="AJ696" s="311"/>
      <c r="AK696" s="311"/>
      <c r="AL696" s="311"/>
      <c r="AM696" s="311"/>
    </row>
    <row r="697" spans="1:39" ht="15.75" customHeight="1">
      <c r="A697" s="1647"/>
      <c r="B697" s="311"/>
      <c r="C697" s="1647"/>
      <c r="D697" s="2173"/>
      <c r="E697" s="1586"/>
      <c r="F697" s="1954"/>
      <c r="G697" s="1586"/>
      <c r="H697" s="1586"/>
      <c r="I697" s="1647"/>
      <c r="J697" s="1647"/>
      <c r="K697" s="1647"/>
      <c r="L697" s="1586"/>
      <c r="M697" s="2174"/>
      <c r="N697" s="2174"/>
      <c r="O697" s="836"/>
      <c r="P697" s="2174"/>
      <c r="Q697" s="836"/>
      <c r="R697" s="309"/>
      <c r="S697" s="309"/>
      <c r="T697" s="309"/>
      <c r="U697" s="309"/>
      <c r="V697" s="311"/>
      <c r="W697" s="311"/>
      <c r="X697" s="1647"/>
      <c r="Y697" s="311"/>
      <c r="Z697" s="311"/>
      <c r="AA697" s="311"/>
      <c r="AB697" s="311"/>
      <c r="AC697" s="311"/>
      <c r="AD697" s="311"/>
      <c r="AE697" s="311"/>
      <c r="AF697" s="311"/>
      <c r="AG697" s="311"/>
      <c r="AH697" s="311"/>
      <c r="AI697" s="311"/>
      <c r="AJ697" s="311"/>
      <c r="AK697" s="311"/>
      <c r="AL697" s="311"/>
      <c r="AM697" s="311"/>
    </row>
    <row r="698" spans="1:39" ht="15.75" customHeight="1">
      <c r="A698" s="1647"/>
      <c r="B698" s="311"/>
      <c r="C698" s="1647"/>
      <c r="D698" s="2173"/>
      <c r="E698" s="1586"/>
      <c r="F698" s="1954"/>
      <c r="G698" s="1586"/>
      <c r="H698" s="1586"/>
      <c r="I698" s="1647"/>
      <c r="J698" s="1647"/>
      <c r="K698" s="1647"/>
      <c r="L698" s="1586"/>
      <c r="M698" s="2174"/>
      <c r="N698" s="2174"/>
      <c r="O698" s="836"/>
      <c r="P698" s="2174"/>
      <c r="Q698" s="836"/>
      <c r="R698" s="309"/>
      <c r="S698" s="309"/>
      <c r="T698" s="309"/>
      <c r="U698" s="309"/>
      <c r="V698" s="311"/>
      <c r="W698" s="311"/>
      <c r="X698" s="1647"/>
      <c r="Y698" s="311"/>
      <c r="Z698" s="311"/>
      <c r="AA698" s="311"/>
      <c r="AB698" s="311"/>
      <c r="AC698" s="311"/>
      <c r="AD698" s="311"/>
      <c r="AE698" s="311"/>
      <c r="AF698" s="311"/>
      <c r="AG698" s="311"/>
      <c r="AH698" s="311"/>
      <c r="AI698" s="311"/>
      <c r="AJ698" s="311"/>
      <c r="AK698" s="311"/>
      <c r="AL698" s="311"/>
      <c r="AM698" s="311"/>
    </row>
    <row r="699" spans="1:39" ht="15.75" customHeight="1">
      <c r="A699" s="1647"/>
      <c r="B699" s="311"/>
      <c r="C699" s="1647"/>
      <c r="D699" s="2173"/>
      <c r="E699" s="1586"/>
      <c r="F699" s="1954"/>
      <c r="G699" s="1586"/>
      <c r="H699" s="1586"/>
      <c r="I699" s="1647"/>
      <c r="J699" s="1647"/>
      <c r="K699" s="1647"/>
      <c r="L699" s="1586"/>
      <c r="M699" s="2174"/>
      <c r="N699" s="2174"/>
      <c r="O699" s="836"/>
      <c r="P699" s="2174"/>
      <c r="Q699" s="836"/>
      <c r="R699" s="309"/>
      <c r="S699" s="309"/>
      <c r="T699" s="309"/>
      <c r="U699" s="309"/>
      <c r="V699" s="311"/>
      <c r="W699" s="311"/>
      <c r="X699" s="1647"/>
      <c r="Y699" s="311"/>
      <c r="Z699" s="311"/>
      <c r="AA699" s="311"/>
      <c r="AB699" s="311"/>
      <c r="AC699" s="311"/>
      <c r="AD699" s="311"/>
      <c r="AE699" s="311"/>
      <c r="AF699" s="311"/>
      <c r="AG699" s="311"/>
      <c r="AH699" s="311"/>
      <c r="AI699" s="311"/>
      <c r="AJ699" s="311"/>
      <c r="AK699" s="311"/>
      <c r="AL699" s="311"/>
      <c r="AM699" s="311"/>
    </row>
    <row r="700" spans="1:39" ht="15.75" customHeight="1">
      <c r="A700" s="1647"/>
      <c r="B700" s="311"/>
      <c r="C700" s="1647"/>
      <c r="D700" s="2173"/>
      <c r="E700" s="1586"/>
      <c r="F700" s="1954"/>
      <c r="G700" s="1586"/>
      <c r="H700" s="1586"/>
      <c r="I700" s="1647"/>
      <c r="J700" s="1647"/>
      <c r="K700" s="1647"/>
      <c r="L700" s="1586"/>
      <c r="M700" s="2174"/>
      <c r="N700" s="2174"/>
      <c r="O700" s="836"/>
      <c r="P700" s="2174"/>
      <c r="Q700" s="836"/>
      <c r="R700" s="309"/>
      <c r="S700" s="309"/>
      <c r="T700" s="309"/>
      <c r="U700" s="309"/>
      <c r="V700" s="311"/>
      <c r="W700" s="311"/>
      <c r="X700" s="1647"/>
      <c r="Y700" s="311"/>
      <c r="Z700" s="311"/>
      <c r="AA700" s="311"/>
      <c r="AB700" s="311"/>
      <c r="AC700" s="311"/>
      <c r="AD700" s="311"/>
      <c r="AE700" s="311"/>
      <c r="AF700" s="311"/>
      <c r="AG700" s="311"/>
      <c r="AH700" s="311"/>
      <c r="AI700" s="311"/>
      <c r="AJ700" s="311"/>
      <c r="AK700" s="311"/>
      <c r="AL700" s="311"/>
      <c r="AM700" s="311"/>
    </row>
    <row r="701" spans="1:39" ht="15.75" customHeight="1">
      <c r="A701" s="1647"/>
      <c r="B701" s="311"/>
      <c r="C701" s="1647"/>
      <c r="D701" s="2173"/>
      <c r="E701" s="1586"/>
      <c r="F701" s="1954"/>
      <c r="G701" s="1586"/>
      <c r="H701" s="1586"/>
      <c r="I701" s="1647"/>
      <c r="J701" s="1647"/>
      <c r="K701" s="1647"/>
      <c r="L701" s="1586"/>
      <c r="M701" s="2174"/>
      <c r="N701" s="2174"/>
      <c r="O701" s="836"/>
      <c r="P701" s="2174"/>
      <c r="Q701" s="836"/>
      <c r="R701" s="309"/>
      <c r="S701" s="309"/>
      <c r="T701" s="309"/>
      <c r="U701" s="309"/>
      <c r="V701" s="311"/>
      <c r="W701" s="311"/>
      <c r="X701" s="1647"/>
      <c r="Y701" s="311"/>
      <c r="Z701" s="311"/>
      <c r="AA701" s="311"/>
      <c r="AB701" s="311"/>
      <c r="AC701" s="311"/>
      <c r="AD701" s="311"/>
      <c r="AE701" s="311"/>
      <c r="AF701" s="311"/>
      <c r="AG701" s="311"/>
      <c r="AH701" s="311"/>
      <c r="AI701" s="311"/>
      <c r="AJ701" s="311"/>
      <c r="AK701" s="311"/>
      <c r="AL701" s="311"/>
      <c r="AM701" s="311"/>
    </row>
    <row r="702" spans="1:39" ht="15.75" customHeight="1">
      <c r="A702" s="1647"/>
      <c r="B702" s="311"/>
      <c r="C702" s="1647"/>
      <c r="D702" s="2173"/>
      <c r="E702" s="1586"/>
      <c r="F702" s="1954"/>
      <c r="G702" s="1586"/>
      <c r="H702" s="1586"/>
      <c r="I702" s="1647"/>
      <c r="J702" s="1647"/>
      <c r="K702" s="1647"/>
      <c r="L702" s="1586"/>
      <c r="M702" s="2174"/>
      <c r="N702" s="2174"/>
      <c r="O702" s="836"/>
      <c r="P702" s="2174"/>
      <c r="Q702" s="836"/>
      <c r="R702" s="309"/>
      <c r="S702" s="309"/>
      <c r="T702" s="309"/>
      <c r="U702" s="309"/>
      <c r="V702" s="311"/>
      <c r="W702" s="311"/>
      <c r="X702" s="1647"/>
      <c r="Y702" s="311"/>
      <c r="Z702" s="311"/>
      <c r="AA702" s="311"/>
      <c r="AB702" s="311"/>
      <c r="AC702" s="311"/>
      <c r="AD702" s="311"/>
      <c r="AE702" s="311"/>
      <c r="AF702" s="311"/>
      <c r="AG702" s="311"/>
      <c r="AH702" s="311"/>
      <c r="AI702" s="311"/>
      <c r="AJ702" s="311"/>
      <c r="AK702" s="311"/>
      <c r="AL702" s="311"/>
      <c r="AM702" s="311"/>
    </row>
    <row r="703" spans="1:39" ht="15.75" customHeight="1">
      <c r="A703" s="1647"/>
      <c r="B703" s="311"/>
      <c r="C703" s="1647"/>
      <c r="D703" s="2173"/>
      <c r="E703" s="1586"/>
      <c r="F703" s="1954"/>
      <c r="G703" s="1586"/>
      <c r="H703" s="1586"/>
      <c r="I703" s="1647"/>
      <c r="J703" s="1647"/>
      <c r="K703" s="1647"/>
      <c r="L703" s="1586"/>
      <c r="M703" s="2174"/>
      <c r="N703" s="2174"/>
      <c r="O703" s="836"/>
      <c r="P703" s="2174"/>
      <c r="Q703" s="836"/>
      <c r="R703" s="309"/>
      <c r="S703" s="309"/>
      <c r="T703" s="309"/>
      <c r="U703" s="309"/>
      <c r="V703" s="311"/>
      <c r="W703" s="311"/>
      <c r="X703" s="1647"/>
      <c r="Y703" s="311"/>
      <c r="Z703" s="311"/>
      <c r="AA703" s="311"/>
      <c r="AB703" s="311"/>
      <c r="AC703" s="311"/>
      <c r="AD703" s="311"/>
      <c r="AE703" s="311"/>
      <c r="AF703" s="311"/>
      <c r="AG703" s="311"/>
      <c r="AH703" s="311"/>
      <c r="AI703" s="311"/>
      <c r="AJ703" s="311"/>
      <c r="AK703" s="311"/>
      <c r="AL703" s="311"/>
      <c r="AM703" s="311"/>
    </row>
    <row r="704" spans="1:39" ht="15.75" customHeight="1">
      <c r="A704" s="1647"/>
      <c r="B704" s="311"/>
      <c r="C704" s="1647"/>
      <c r="D704" s="2173"/>
      <c r="E704" s="1586"/>
      <c r="F704" s="1954"/>
      <c r="G704" s="1586"/>
      <c r="H704" s="1586"/>
      <c r="I704" s="1647"/>
      <c r="J704" s="1647"/>
      <c r="K704" s="1647"/>
      <c r="L704" s="1586"/>
      <c r="M704" s="2174"/>
      <c r="N704" s="2174"/>
      <c r="O704" s="836"/>
      <c r="P704" s="2174"/>
      <c r="Q704" s="836"/>
      <c r="R704" s="309"/>
      <c r="S704" s="309"/>
      <c r="T704" s="309"/>
      <c r="U704" s="309"/>
      <c r="V704" s="311"/>
      <c r="W704" s="311"/>
      <c r="X704" s="1647"/>
      <c r="Y704" s="311"/>
      <c r="Z704" s="311"/>
      <c r="AA704" s="311"/>
      <c r="AB704" s="311"/>
      <c r="AC704" s="311"/>
      <c r="AD704" s="311"/>
      <c r="AE704" s="311"/>
      <c r="AF704" s="311"/>
      <c r="AG704" s="311"/>
      <c r="AH704" s="311"/>
      <c r="AI704" s="311"/>
      <c r="AJ704" s="311"/>
      <c r="AK704" s="311"/>
      <c r="AL704" s="311"/>
      <c r="AM704" s="311"/>
    </row>
    <row r="705" spans="1:39" ht="15.75" customHeight="1">
      <c r="A705" s="1647"/>
      <c r="B705" s="311"/>
      <c r="C705" s="1647"/>
      <c r="D705" s="2173"/>
      <c r="E705" s="1586"/>
      <c r="F705" s="1954"/>
      <c r="G705" s="1586"/>
      <c r="H705" s="1586"/>
      <c r="I705" s="1647"/>
      <c r="J705" s="1647"/>
      <c r="K705" s="1647"/>
      <c r="L705" s="1586"/>
      <c r="M705" s="2174"/>
      <c r="N705" s="2174"/>
      <c r="O705" s="836"/>
      <c r="P705" s="2174"/>
      <c r="Q705" s="836"/>
      <c r="R705" s="309"/>
      <c r="S705" s="309"/>
      <c r="T705" s="309"/>
      <c r="U705" s="309"/>
      <c r="V705" s="311"/>
      <c r="W705" s="311"/>
      <c r="X705" s="1647"/>
      <c r="Y705" s="311"/>
      <c r="Z705" s="311"/>
      <c r="AA705" s="311"/>
      <c r="AB705" s="311"/>
      <c r="AC705" s="311"/>
      <c r="AD705" s="311"/>
      <c r="AE705" s="311"/>
      <c r="AF705" s="311"/>
      <c r="AG705" s="311"/>
      <c r="AH705" s="311"/>
      <c r="AI705" s="311"/>
      <c r="AJ705" s="311"/>
      <c r="AK705" s="311"/>
      <c r="AL705" s="311"/>
      <c r="AM705" s="311"/>
    </row>
    <row r="706" spans="1:39" ht="15.75" customHeight="1">
      <c r="A706" s="1647"/>
      <c r="B706" s="311"/>
      <c r="C706" s="1647"/>
      <c r="D706" s="2173"/>
      <c r="E706" s="1586"/>
      <c r="F706" s="1954"/>
      <c r="G706" s="1586"/>
      <c r="H706" s="1586"/>
      <c r="I706" s="1647"/>
      <c r="J706" s="1647"/>
      <c r="K706" s="1647"/>
      <c r="L706" s="1586"/>
      <c r="M706" s="2174"/>
      <c r="N706" s="2174"/>
      <c r="O706" s="836"/>
      <c r="P706" s="2174"/>
      <c r="Q706" s="836"/>
      <c r="R706" s="309"/>
      <c r="S706" s="309"/>
      <c r="T706" s="309"/>
      <c r="U706" s="309"/>
      <c r="V706" s="311"/>
      <c r="W706" s="311"/>
      <c r="X706" s="1647"/>
      <c r="Y706" s="311"/>
      <c r="Z706" s="311"/>
      <c r="AA706" s="311"/>
      <c r="AB706" s="311"/>
      <c r="AC706" s="311"/>
      <c r="AD706" s="311"/>
      <c r="AE706" s="311"/>
      <c r="AF706" s="311"/>
      <c r="AG706" s="311"/>
      <c r="AH706" s="311"/>
      <c r="AI706" s="311"/>
      <c r="AJ706" s="311"/>
      <c r="AK706" s="311"/>
      <c r="AL706" s="311"/>
      <c r="AM706" s="311"/>
    </row>
    <row r="707" spans="1:39" ht="15.75" customHeight="1">
      <c r="A707" s="1647"/>
      <c r="B707" s="311"/>
      <c r="C707" s="1647"/>
      <c r="D707" s="2173"/>
      <c r="E707" s="1586"/>
      <c r="F707" s="1954"/>
      <c r="G707" s="1586"/>
      <c r="H707" s="1586"/>
      <c r="I707" s="1647"/>
      <c r="J707" s="1647"/>
      <c r="K707" s="1647"/>
      <c r="L707" s="1586"/>
      <c r="M707" s="2174"/>
      <c r="N707" s="2174"/>
      <c r="O707" s="836"/>
      <c r="P707" s="2174"/>
      <c r="Q707" s="836"/>
      <c r="R707" s="309"/>
      <c r="S707" s="309"/>
      <c r="T707" s="309"/>
      <c r="U707" s="309"/>
      <c r="V707" s="311"/>
      <c r="W707" s="311"/>
      <c r="X707" s="1647"/>
      <c r="Y707" s="311"/>
      <c r="Z707" s="311"/>
      <c r="AA707" s="311"/>
      <c r="AB707" s="311"/>
      <c r="AC707" s="311"/>
      <c r="AD707" s="311"/>
      <c r="AE707" s="311"/>
      <c r="AF707" s="311"/>
      <c r="AG707" s="311"/>
      <c r="AH707" s="311"/>
      <c r="AI707" s="311"/>
      <c r="AJ707" s="311"/>
      <c r="AK707" s="311"/>
      <c r="AL707" s="311"/>
      <c r="AM707" s="311"/>
    </row>
    <row r="708" spans="1:39" ht="15.75" customHeight="1">
      <c r="A708" s="1647"/>
      <c r="B708" s="311"/>
      <c r="C708" s="1647"/>
      <c r="D708" s="2173"/>
      <c r="E708" s="1586"/>
      <c r="F708" s="1954"/>
      <c r="G708" s="1586"/>
      <c r="H708" s="1586"/>
      <c r="I708" s="1647"/>
      <c r="J708" s="1647"/>
      <c r="K708" s="1647"/>
      <c r="L708" s="1586"/>
      <c r="M708" s="2174"/>
      <c r="N708" s="2174"/>
      <c r="O708" s="836"/>
      <c r="P708" s="2174"/>
      <c r="Q708" s="836"/>
      <c r="R708" s="309"/>
      <c r="S708" s="309"/>
      <c r="T708" s="309"/>
      <c r="U708" s="309"/>
      <c r="V708" s="311"/>
      <c r="W708" s="311"/>
      <c r="X708" s="1647"/>
      <c r="Y708" s="311"/>
      <c r="Z708" s="311"/>
      <c r="AA708" s="311"/>
      <c r="AB708" s="311"/>
      <c r="AC708" s="311"/>
      <c r="AD708" s="311"/>
      <c r="AE708" s="311"/>
      <c r="AF708" s="311"/>
      <c r="AG708" s="311"/>
      <c r="AH708" s="311"/>
      <c r="AI708" s="311"/>
      <c r="AJ708" s="311"/>
      <c r="AK708" s="311"/>
      <c r="AL708" s="311"/>
      <c r="AM708" s="311"/>
    </row>
    <row r="709" spans="1:39" ht="15.75" customHeight="1">
      <c r="A709" s="1647"/>
      <c r="B709" s="311"/>
      <c r="C709" s="1647"/>
      <c r="D709" s="2173"/>
      <c r="E709" s="1586"/>
      <c r="F709" s="1954"/>
      <c r="G709" s="1586"/>
      <c r="H709" s="1586"/>
      <c r="I709" s="1647"/>
      <c r="J709" s="1647"/>
      <c r="K709" s="1647"/>
      <c r="L709" s="1586"/>
      <c r="M709" s="2174"/>
      <c r="N709" s="2174"/>
      <c r="O709" s="836"/>
      <c r="P709" s="2174"/>
      <c r="Q709" s="836"/>
      <c r="R709" s="309"/>
      <c r="S709" s="309"/>
      <c r="T709" s="309"/>
      <c r="U709" s="309"/>
      <c r="V709" s="311"/>
      <c r="W709" s="311"/>
      <c r="X709" s="1647"/>
      <c r="Y709" s="311"/>
      <c r="Z709" s="311"/>
      <c r="AA709" s="311"/>
      <c r="AB709" s="311"/>
      <c r="AC709" s="311"/>
      <c r="AD709" s="311"/>
      <c r="AE709" s="311"/>
      <c r="AF709" s="311"/>
      <c r="AG709" s="311"/>
      <c r="AH709" s="311"/>
      <c r="AI709" s="311"/>
      <c r="AJ709" s="311"/>
      <c r="AK709" s="311"/>
      <c r="AL709" s="311"/>
      <c r="AM709" s="311"/>
    </row>
    <row r="710" spans="1:39" ht="15.75" customHeight="1">
      <c r="A710" s="1647"/>
      <c r="B710" s="311"/>
      <c r="C710" s="1647"/>
      <c r="D710" s="2173"/>
      <c r="E710" s="1586"/>
      <c r="F710" s="1954"/>
      <c r="G710" s="1586"/>
      <c r="H710" s="1586"/>
      <c r="I710" s="1647"/>
      <c r="J710" s="1647"/>
      <c r="K710" s="1647"/>
      <c r="L710" s="1586"/>
      <c r="M710" s="2174"/>
      <c r="N710" s="2174"/>
      <c r="O710" s="836"/>
      <c r="P710" s="2174"/>
      <c r="Q710" s="836"/>
      <c r="R710" s="309"/>
      <c r="S710" s="309"/>
      <c r="T710" s="309"/>
      <c r="U710" s="309"/>
      <c r="V710" s="311"/>
      <c r="W710" s="311"/>
      <c r="X710" s="1647"/>
      <c r="Y710" s="311"/>
      <c r="Z710" s="311"/>
      <c r="AA710" s="311"/>
      <c r="AB710" s="311"/>
      <c r="AC710" s="311"/>
      <c r="AD710" s="311"/>
      <c r="AE710" s="311"/>
      <c r="AF710" s="311"/>
      <c r="AG710" s="311"/>
      <c r="AH710" s="311"/>
      <c r="AI710" s="311"/>
      <c r="AJ710" s="311"/>
      <c r="AK710" s="311"/>
      <c r="AL710" s="311"/>
      <c r="AM710" s="311"/>
    </row>
    <row r="711" spans="1:39" ht="15.75" customHeight="1">
      <c r="A711" s="1647"/>
      <c r="B711" s="311"/>
      <c r="C711" s="1647"/>
      <c r="D711" s="2173"/>
      <c r="E711" s="1586"/>
      <c r="F711" s="1954"/>
      <c r="G711" s="1586"/>
      <c r="H711" s="1586"/>
      <c r="I711" s="1647"/>
      <c r="J711" s="1647"/>
      <c r="K711" s="1647"/>
      <c r="L711" s="1586"/>
      <c r="M711" s="2174"/>
      <c r="N711" s="2174"/>
      <c r="O711" s="836"/>
      <c r="P711" s="2174"/>
      <c r="Q711" s="836"/>
      <c r="R711" s="309"/>
      <c r="S711" s="309"/>
      <c r="T711" s="309"/>
      <c r="U711" s="309"/>
      <c r="V711" s="311"/>
      <c r="W711" s="311"/>
      <c r="X711" s="1647"/>
      <c r="Y711" s="311"/>
      <c r="Z711" s="311"/>
      <c r="AA711" s="311"/>
      <c r="AB711" s="311"/>
      <c r="AC711" s="311"/>
      <c r="AD711" s="311"/>
      <c r="AE711" s="311"/>
      <c r="AF711" s="311"/>
      <c r="AG711" s="311"/>
      <c r="AH711" s="311"/>
      <c r="AI711" s="311"/>
      <c r="AJ711" s="311"/>
      <c r="AK711" s="311"/>
      <c r="AL711" s="311"/>
      <c r="AM711" s="311"/>
    </row>
    <row r="712" spans="1:39" ht="15.75" customHeight="1">
      <c r="A712" s="1647"/>
      <c r="B712" s="311"/>
      <c r="C712" s="1647"/>
      <c r="D712" s="2173"/>
      <c r="E712" s="1586"/>
      <c r="F712" s="1954"/>
      <c r="G712" s="1586"/>
      <c r="H712" s="1586"/>
      <c r="I712" s="1647"/>
      <c r="J712" s="1647"/>
      <c r="K712" s="1647"/>
      <c r="L712" s="1586"/>
      <c r="M712" s="2174"/>
      <c r="N712" s="2174"/>
      <c r="O712" s="836"/>
      <c r="P712" s="2174"/>
      <c r="Q712" s="836"/>
      <c r="R712" s="309"/>
      <c r="S712" s="309"/>
      <c r="T712" s="309"/>
      <c r="U712" s="309"/>
      <c r="V712" s="311"/>
      <c r="W712" s="311"/>
      <c r="X712" s="1647"/>
      <c r="Y712" s="311"/>
      <c r="Z712" s="311"/>
      <c r="AA712" s="311"/>
      <c r="AB712" s="311"/>
      <c r="AC712" s="311"/>
      <c r="AD712" s="311"/>
      <c r="AE712" s="311"/>
      <c r="AF712" s="311"/>
      <c r="AG712" s="311"/>
      <c r="AH712" s="311"/>
      <c r="AI712" s="311"/>
      <c r="AJ712" s="311"/>
      <c r="AK712" s="311"/>
      <c r="AL712" s="311"/>
      <c r="AM712" s="311"/>
    </row>
    <row r="713" spans="1:39" ht="15.75" customHeight="1">
      <c r="A713" s="1647"/>
      <c r="B713" s="311"/>
      <c r="C713" s="1647"/>
      <c r="D713" s="2173"/>
      <c r="E713" s="1586"/>
      <c r="F713" s="1954"/>
      <c r="G713" s="1586"/>
      <c r="H713" s="1586"/>
      <c r="I713" s="1647"/>
      <c r="J713" s="1647"/>
      <c r="K713" s="1647"/>
      <c r="L713" s="1586"/>
      <c r="M713" s="2174"/>
      <c r="N713" s="2174"/>
      <c r="O713" s="836"/>
      <c r="P713" s="2174"/>
      <c r="Q713" s="836"/>
      <c r="R713" s="309"/>
      <c r="S713" s="309"/>
      <c r="T713" s="309"/>
      <c r="U713" s="309"/>
      <c r="V713" s="311"/>
      <c r="W713" s="311"/>
      <c r="X713" s="1647"/>
      <c r="Y713" s="311"/>
      <c r="Z713" s="311"/>
      <c r="AA713" s="311"/>
      <c r="AB713" s="311"/>
      <c r="AC713" s="311"/>
      <c r="AD713" s="311"/>
      <c r="AE713" s="311"/>
      <c r="AF713" s="311"/>
      <c r="AG713" s="311"/>
      <c r="AH713" s="311"/>
      <c r="AI713" s="311"/>
      <c r="AJ713" s="311"/>
      <c r="AK713" s="311"/>
      <c r="AL713" s="311"/>
      <c r="AM713" s="311"/>
    </row>
    <row r="714" spans="1:39" ht="15.75" customHeight="1">
      <c r="A714" s="1647"/>
      <c r="B714" s="311"/>
      <c r="C714" s="1647"/>
      <c r="D714" s="2173"/>
      <c r="E714" s="1586"/>
      <c r="F714" s="1954"/>
      <c r="G714" s="1586"/>
      <c r="H714" s="1586"/>
      <c r="I714" s="1647"/>
      <c r="J714" s="1647"/>
      <c r="K714" s="1647"/>
      <c r="L714" s="1586"/>
      <c r="M714" s="2174"/>
      <c r="N714" s="2174"/>
      <c r="O714" s="836"/>
      <c r="P714" s="2174"/>
      <c r="Q714" s="836"/>
      <c r="R714" s="309"/>
      <c r="S714" s="309"/>
      <c r="T714" s="309"/>
      <c r="U714" s="309"/>
      <c r="V714" s="311"/>
      <c r="W714" s="311"/>
      <c r="X714" s="1647"/>
      <c r="Y714" s="311"/>
      <c r="Z714" s="311"/>
      <c r="AA714" s="311"/>
      <c r="AB714" s="311"/>
      <c r="AC714" s="311"/>
      <c r="AD714" s="311"/>
      <c r="AE714" s="311"/>
      <c r="AF714" s="311"/>
      <c r="AG714" s="311"/>
      <c r="AH714" s="311"/>
      <c r="AI714" s="311"/>
      <c r="AJ714" s="311"/>
      <c r="AK714" s="311"/>
      <c r="AL714" s="311"/>
      <c r="AM714" s="311"/>
    </row>
    <row r="715" spans="1:39" ht="15.75" customHeight="1">
      <c r="A715" s="1647"/>
      <c r="B715" s="311"/>
      <c r="C715" s="1647"/>
      <c r="D715" s="2173"/>
      <c r="E715" s="1586"/>
      <c r="F715" s="1954"/>
      <c r="G715" s="1586"/>
      <c r="H715" s="1586"/>
      <c r="I715" s="1647"/>
      <c r="J715" s="1647"/>
      <c r="K715" s="1647"/>
      <c r="L715" s="1586"/>
      <c r="M715" s="2174"/>
      <c r="N715" s="2174"/>
      <c r="O715" s="836"/>
      <c r="P715" s="2174"/>
      <c r="Q715" s="836"/>
      <c r="R715" s="309"/>
      <c r="S715" s="309"/>
      <c r="T715" s="309"/>
      <c r="U715" s="309"/>
      <c r="V715" s="311"/>
      <c r="W715" s="311"/>
      <c r="X715" s="1647"/>
      <c r="Y715" s="311"/>
      <c r="Z715" s="311"/>
      <c r="AA715" s="311"/>
      <c r="AB715" s="311"/>
      <c r="AC715" s="311"/>
      <c r="AD715" s="311"/>
      <c r="AE715" s="311"/>
      <c r="AF715" s="311"/>
      <c r="AG715" s="311"/>
      <c r="AH715" s="311"/>
      <c r="AI715" s="311"/>
      <c r="AJ715" s="311"/>
      <c r="AK715" s="311"/>
      <c r="AL715" s="311"/>
      <c r="AM715" s="311"/>
    </row>
    <row r="716" spans="1:39" ht="15.75" customHeight="1">
      <c r="A716" s="1647"/>
      <c r="B716" s="311"/>
      <c r="C716" s="1647"/>
      <c r="D716" s="2173"/>
      <c r="E716" s="1586"/>
      <c r="F716" s="1954"/>
      <c r="G716" s="1586"/>
      <c r="H716" s="1586"/>
      <c r="I716" s="1647"/>
      <c r="J716" s="1647"/>
      <c r="K716" s="1647"/>
      <c r="L716" s="1586"/>
      <c r="M716" s="2174"/>
      <c r="N716" s="2174"/>
      <c r="O716" s="836"/>
      <c r="P716" s="2174"/>
      <c r="Q716" s="836"/>
      <c r="R716" s="309"/>
      <c r="S716" s="309"/>
      <c r="T716" s="309"/>
      <c r="U716" s="309"/>
      <c r="V716" s="311"/>
      <c r="W716" s="311"/>
      <c r="X716" s="1647"/>
      <c r="Y716" s="311"/>
      <c r="Z716" s="311"/>
      <c r="AA716" s="311"/>
      <c r="AB716" s="311"/>
      <c r="AC716" s="311"/>
      <c r="AD716" s="311"/>
      <c r="AE716" s="311"/>
      <c r="AF716" s="311"/>
      <c r="AG716" s="311"/>
      <c r="AH716" s="311"/>
      <c r="AI716" s="311"/>
      <c r="AJ716" s="311"/>
      <c r="AK716" s="311"/>
      <c r="AL716" s="311"/>
      <c r="AM716" s="311"/>
    </row>
    <row r="717" spans="1:39" ht="15.75" customHeight="1">
      <c r="A717" s="1647"/>
      <c r="B717" s="311"/>
      <c r="C717" s="1647"/>
      <c r="D717" s="2173"/>
      <c r="E717" s="1586"/>
      <c r="F717" s="1954"/>
      <c r="G717" s="1586"/>
      <c r="H717" s="1586"/>
      <c r="I717" s="1647"/>
      <c r="J717" s="1647"/>
      <c r="K717" s="1647"/>
      <c r="L717" s="1586"/>
      <c r="M717" s="2174"/>
      <c r="N717" s="2174"/>
      <c r="O717" s="836"/>
      <c r="P717" s="2174"/>
      <c r="Q717" s="836"/>
      <c r="R717" s="309"/>
      <c r="S717" s="309"/>
      <c r="T717" s="309"/>
      <c r="U717" s="309"/>
      <c r="V717" s="311"/>
      <c r="W717" s="311"/>
      <c r="X717" s="1647"/>
      <c r="Y717" s="311"/>
      <c r="Z717" s="311"/>
      <c r="AA717" s="311"/>
      <c r="AB717" s="311"/>
      <c r="AC717" s="311"/>
      <c r="AD717" s="311"/>
      <c r="AE717" s="311"/>
      <c r="AF717" s="311"/>
      <c r="AG717" s="311"/>
      <c r="AH717" s="311"/>
      <c r="AI717" s="311"/>
      <c r="AJ717" s="311"/>
      <c r="AK717" s="311"/>
      <c r="AL717" s="311"/>
      <c r="AM717" s="311"/>
    </row>
    <row r="718" spans="1:39" ht="15.75" customHeight="1">
      <c r="A718" s="1647"/>
      <c r="B718" s="311"/>
      <c r="C718" s="1647"/>
      <c r="D718" s="2173"/>
      <c r="E718" s="1586"/>
      <c r="F718" s="1954"/>
      <c r="G718" s="1586"/>
      <c r="H718" s="1586"/>
      <c r="I718" s="1647"/>
      <c r="J718" s="1647"/>
      <c r="K718" s="1647"/>
      <c r="L718" s="1586"/>
      <c r="M718" s="2174"/>
      <c r="N718" s="2174"/>
      <c r="O718" s="836"/>
      <c r="P718" s="2174"/>
      <c r="Q718" s="836"/>
      <c r="R718" s="309"/>
      <c r="S718" s="309"/>
      <c r="T718" s="309"/>
      <c r="U718" s="309"/>
      <c r="V718" s="311"/>
      <c r="W718" s="311"/>
      <c r="X718" s="1647"/>
      <c r="Y718" s="311"/>
      <c r="Z718" s="311"/>
      <c r="AA718" s="311"/>
      <c r="AB718" s="311"/>
      <c r="AC718" s="311"/>
      <c r="AD718" s="311"/>
      <c r="AE718" s="311"/>
      <c r="AF718" s="311"/>
      <c r="AG718" s="311"/>
      <c r="AH718" s="311"/>
      <c r="AI718" s="311"/>
      <c r="AJ718" s="311"/>
      <c r="AK718" s="311"/>
      <c r="AL718" s="311"/>
      <c r="AM718" s="311"/>
    </row>
    <row r="719" spans="1:39" ht="15.75" customHeight="1">
      <c r="A719" s="1647"/>
      <c r="B719" s="311"/>
      <c r="C719" s="1647"/>
      <c r="D719" s="2173"/>
      <c r="E719" s="1586"/>
      <c r="F719" s="1954"/>
      <c r="G719" s="1586"/>
      <c r="H719" s="1586"/>
      <c r="I719" s="1647"/>
      <c r="J719" s="1647"/>
      <c r="K719" s="1647"/>
      <c r="L719" s="1586"/>
      <c r="M719" s="2174"/>
      <c r="N719" s="2174"/>
      <c r="O719" s="836"/>
      <c r="P719" s="2174"/>
      <c r="Q719" s="836"/>
      <c r="R719" s="309"/>
      <c r="S719" s="309"/>
      <c r="T719" s="309"/>
      <c r="U719" s="309"/>
      <c r="V719" s="311"/>
      <c r="W719" s="311"/>
      <c r="X719" s="1647"/>
      <c r="Y719" s="311"/>
      <c r="Z719" s="311"/>
      <c r="AA719" s="311"/>
      <c r="AB719" s="311"/>
      <c r="AC719" s="311"/>
      <c r="AD719" s="311"/>
      <c r="AE719" s="311"/>
      <c r="AF719" s="311"/>
      <c r="AG719" s="311"/>
      <c r="AH719" s="311"/>
      <c r="AI719" s="311"/>
      <c r="AJ719" s="311"/>
      <c r="AK719" s="311"/>
      <c r="AL719" s="311"/>
      <c r="AM719" s="311"/>
    </row>
    <row r="720" spans="1:39" ht="15.75" customHeight="1">
      <c r="A720" s="1647"/>
      <c r="B720" s="311"/>
      <c r="C720" s="1647"/>
      <c r="D720" s="2173"/>
      <c r="E720" s="1586"/>
      <c r="F720" s="1954"/>
      <c r="G720" s="1586"/>
      <c r="H720" s="1586"/>
      <c r="I720" s="1647"/>
      <c r="J720" s="1647"/>
      <c r="K720" s="1647"/>
      <c r="L720" s="1586"/>
      <c r="M720" s="2174"/>
      <c r="N720" s="2174"/>
      <c r="O720" s="836"/>
      <c r="P720" s="2174"/>
      <c r="Q720" s="836"/>
      <c r="R720" s="309"/>
      <c r="S720" s="309"/>
      <c r="T720" s="309"/>
      <c r="U720" s="309"/>
      <c r="V720" s="311"/>
      <c r="W720" s="311"/>
      <c r="X720" s="1647"/>
      <c r="Y720" s="311"/>
      <c r="Z720" s="311"/>
      <c r="AA720" s="311"/>
      <c r="AB720" s="311"/>
      <c r="AC720" s="311"/>
      <c r="AD720" s="311"/>
      <c r="AE720" s="311"/>
      <c r="AF720" s="311"/>
      <c r="AG720" s="311"/>
      <c r="AH720" s="311"/>
      <c r="AI720" s="311"/>
      <c r="AJ720" s="311"/>
      <c r="AK720" s="311"/>
      <c r="AL720" s="311"/>
      <c r="AM720" s="311"/>
    </row>
    <row r="721" spans="1:39" ht="15.75" customHeight="1">
      <c r="A721" s="1647"/>
      <c r="B721" s="311"/>
      <c r="C721" s="1647"/>
      <c r="D721" s="2173"/>
      <c r="E721" s="1586"/>
      <c r="F721" s="1954"/>
      <c r="G721" s="1586"/>
      <c r="H721" s="1586"/>
      <c r="I721" s="1647"/>
      <c r="J721" s="1647"/>
      <c r="K721" s="1647"/>
      <c r="L721" s="1586"/>
      <c r="M721" s="2174"/>
      <c r="N721" s="2174"/>
      <c r="O721" s="836"/>
      <c r="P721" s="2174"/>
      <c r="Q721" s="836"/>
      <c r="R721" s="309"/>
      <c r="S721" s="309"/>
      <c r="T721" s="309"/>
      <c r="U721" s="309"/>
      <c r="V721" s="311"/>
      <c r="W721" s="311"/>
      <c r="X721" s="1647"/>
      <c r="Y721" s="311"/>
      <c r="Z721" s="311"/>
      <c r="AA721" s="311"/>
      <c r="AB721" s="311"/>
      <c r="AC721" s="311"/>
      <c r="AD721" s="311"/>
      <c r="AE721" s="311"/>
      <c r="AF721" s="311"/>
      <c r="AG721" s="311"/>
      <c r="AH721" s="311"/>
      <c r="AI721" s="311"/>
      <c r="AJ721" s="311"/>
      <c r="AK721" s="311"/>
      <c r="AL721" s="311"/>
      <c r="AM721" s="311"/>
    </row>
    <row r="722" spans="1:39" ht="15.75" customHeight="1">
      <c r="A722" s="1647"/>
      <c r="B722" s="311"/>
      <c r="C722" s="1647"/>
      <c r="D722" s="2173"/>
      <c r="E722" s="1586"/>
      <c r="F722" s="1954"/>
      <c r="G722" s="1586"/>
      <c r="H722" s="1586"/>
      <c r="I722" s="1647"/>
      <c r="J722" s="1647"/>
      <c r="K722" s="1647"/>
      <c r="L722" s="1586"/>
      <c r="M722" s="2174"/>
      <c r="N722" s="2174"/>
      <c r="O722" s="836"/>
      <c r="P722" s="2174"/>
      <c r="Q722" s="836"/>
      <c r="R722" s="309"/>
      <c r="S722" s="309"/>
      <c r="T722" s="309"/>
      <c r="U722" s="309"/>
      <c r="V722" s="311"/>
      <c r="W722" s="311"/>
      <c r="X722" s="1647"/>
      <c r="Y722" s="311"/>
      <c r="Z722" s="311"/>
      <c r="AA722" s="311"/>
      <c r="AB722" s="311"/>
      <c r="AC722" s="311"/>
      <c r="AD722" s="311"/>
      <c r="AE722" s="311"/>
      <c r="AF722" s="311"/>
      <c r="AG722" s="311"/>
      <c r="AH722" s="311"/>
      <c r="AI722" s="311"/>
      <c r="AJ722" s="311"/>
      <c r="AK722" s="311"/>
      <c r="AL722" s="311"/>
      <c r="AM722" s="311"/>
    </row>
    <row r="723" spans="1:39" ht="15.75" customHeight="1">
      <c r="A723" s="1647"/>
      <c r="B723" s="311"/>
      <c r="C723" s="1647"/>
      <c r="D723" s="2173"/>
      <c r="E723" s="1586"/>
      <c r="F723" s="1954"/>
      <c r="G723" s="1586"/>
      <c r="H723" s="1586"/>
      <c r="I723" s="1647"/>
      <c r="J723" s="1647"/>
      <c r="K723" s="1647"/>
      <c r="L723" s="1586"/>
      <c r="M723" s="2174"/>
      <c r="N723" s="2174"/>
      <c r="O723" s="836"/>
      <c r="P723" s="2174"/>
      <c r="Q723" s="836"/>
      <c r="R723" s="309"/>
      <c r="S723" s="309"/>
      <c r="T723" s="309"/>
      <c r="U723" s="309"/>
      <c r="V723" s="311"/>
      <c r="W723" s="311"/>
      <c r="X723" s="1647"/>
      <c r="Y723" s="311"/>
      <c r="Z723" s="311"/>
      <c r="AA723" s="311"/>
      <c r="AB723" s="311"/>
      <c r="AC723" s="311"/>
      <c r="AD723" s="311"/>
      <c r="AE723" s="311"/>
      <c r="AF723" s="311"/>
      <c r="AG723" s="311"/>
      <c r="AH723" s="311"/>
      <c r="AI723" s="311"/>
      <c r="AJ723" s="311"/>
      <c r="AK723" s="311"/>
      <c r="AL723" s="311"/>
      <c r="AM723" s="311"/>
    </row>
    <row r="724" spans="1:39" ht="15.75" customHeight="1">
      <c r="A724" s="1647"/>
      <c r="B724" s="311"/>
      <c r="C724" s="1647"/>
      <c r="D724" s="2173"/>
      <c r="E724" s="1586"/>
      <c r="F724" s="1954"/>
      <c r="G724" s="1586"/>
      <c r="H724" s="1586"/>
      <c r="I724" s="1647"/>
      <c r="J724" s="1647"/>
      <c r="K724" s="1647"/>
      <c r="L724" s="1586"/>
      <c r="M724" s="2174"/>
      <c r="N724" s="2174"/>
      <c r="O724" s="836"/>
      <c r="P724" s="2174"/>
      <c r="Q724" s="836"/>
      <c r="R724" s="309"/>
      <c r="S724" s="309"/>
      <c r="T724" s="309"/>
      <c r="U724" s="309"/>
      <c r="V724" s="311"/>
      <c r="W724" s="311"/>
      <c r="X724" s="1647"/>
      <c r="Y724" s="311"/>
      <c r="Z724" s="311"/>
      <c r="AA724" s="311"/>
      <c r="AB724" s="311"/>
      <c r="AC724" s="311"/>
      <c r="AD724" s="311"/>
      <c r="AE724" s="311"/>
      <c r="AF724" s="311"/>
      <c r="AG724" s="311"/>
      <c r="AH724" s="311"/>
      <c r="AI724" s="311"/>
      <c r="AJ724" s="311"/>
      <c r="AK724" s="311"/>
      <c r="AL724" s="311"/>
      <c r="AM724" s="311"/>
    </row>
    <row r="725" spans="1:39" ht="15.75" customHeight="1">
      <c r="A725" s="1647"/>
      <c r="B725" s="311"/>
      <c r="C725" s="1647"/>
      <c r="D725" s="2173"/>
      <c r="E725" s="1586"/>
      <c r="F725" s="1954"/>
      <c r="G725" s="1586"/>
      <c r="H725" s="1586"/>
      <c r="I725" s="1647"/>
      <c r="J725" s="1647"/>
      <c r="K725" s="1647"/>
      <c r="L725" s="1586"/>
      <c r="M725" s="2174"/>
      <c r="N725" s="2174"/>
      <c r="O725" s="836"/>
      <c r="P725" s="2174"/>
      <c r="Q725" s="836"/>
      <c r="R725" s="309"/>
      <c r="S725" s="309"/>
      <c r="T725" s="309"/>
      <c r="U725" s="309"/>
      <c r="V725" s="311"/>
      <c r="W725" s="311"/>
      <c r="X725" s="1647"/>
      <c r="Y725" s="311"/>
      <c r="Z725" s="311"/>
      <c r="AA725" s="311"/>
      <c r="AB725" s="311"/>
      <c r="AC725" s="311"/>
      <c r="AD725" s="311"/>
      <c r="AE725" s="311"/>
      <c r="AF725" s="311"/>
      <c r="AG725" s="311"/>
      <c r="AH725" s="311"/>
      <c r="AI725" s="311"/>
      <c r="AJ725" s="311"/>
      <c r="AK725" s="311"/>
      <c r="AL725" s="311"/>
      <c r="AM725" s="311"/>
    </row>
    <row r="726" spans="1:39" ht="15.75" customHeight="1">
      <c r="A726" s="1647"/>
      <c r="B726" s="311"/>
      <c r="C726" s="1647"/>
      <c r="D726" s="2173"/>
      <c r="E726" s="1586"/>
      <c r="F726" s="1954"/>
      <c r="G726" s="1586"/>
      <c r="H726" s="1586"/>
      <c r="I726" s="1647"/>
      <c r="J726" s="1647"/>
      <c r="K726" s="1647"/>
      <c r="L726" s="1586"/>
      <c r="M726" s="2174"/>
      <c r="N726" s="2174"/>
      <c r="O726" s="836"/>
      <c r="P726" s="2174"/>
      <c r="Q726" s="836"/>
      <c r="R726" s="309"/>
      <c r="S726" s="309"/>
      <c r="T726" s="309"/>
      <c r="U726" s="309"/>
      <c r="V726" s="311"/>
      <c r="W726" s="311"/>
      <c r="X726" s="1647"/>
      <c r="Y726" s="311"/>
      <c r="Z726" s="311"/>
      <c r="AA726" s="311"/>
      <c r="AB726" s="311"/>
      <c r="AC726" s="311"/>
      <c r="AD726" s="311"/>
      <c r="AE726" s="311"/>
      <c r="AF726" s="311"/>
      <c r="AG726" s="311"/>
      <c r="AH726" s="311"/>
      <c r="AI726" s="311"/>
      <c r="AJ726" s="311"/>
      <c r="AK726" s="311"/>
      <c r="AL726" s="311"/>
      <c r="AM726" s="311"/>
    </row>
    <row r="727" spans="1:39" ht="15.75" customHeight="1">
      <c r="A727" s="1647"/>
      <c r="B727" s="311"/>
      <c r="C727" s="1647"/>
      <c r="D727" s="2173"/>
      <c r="E727" s="1586"/>
      <c r="F727" s="1954"/>
      <c r="G727" s="1586"/>
      <c r="H727" s="1586"/>
      <c r="I727" s="1647"/>
      <c r="J727" s="1647"/>
      <c r="K727" s="1647"/>
      <c r="L727" s="1586"/>
      <c r="M727" s="2174"/>
      <c r="N727" s="2174"/>
      <c r="O727" s="836"/>
      <c r="P727" s="2174"/>
      <c r="Q727" s="836"/>
      <c r="R727" s="309"/>
      <c r="S727" s="309"/>
      <c r="T727" s="309"/>
      <c r="U727" s="309"/>
      <c r="V727" s="311"/>
      <c r="W727" s="311"/>
      <c r="X727" s="1647"/>
      <c r="Y727" s="311"/>
      <c r="Z727" s="311"/>
      <c r="AA727" s="311"/>
      <c r="AB727" s="311"/>
      <c r="AC727" s="311"/>
      <c r="AD727" s="311"/>
      <c r="AE727" s="311"/>
      <c r="AF727" s="311"/>
      <c r="AG727" s="311"/>
      <c r="AH727" s="311"/>
      <c r="AI727" s="311"/>
      <c r="AJ727" s="311"/>
      <c r="AK727" s="311"/>
      <c r="AL727" s="311"/>
      <c r="AM727" s="311"/>
    </row>
    <row r="728" spans="1:39" ht="15.75" customHeight="1">
      <c r="A728" s="1647"/>
      <c r="B728" s="311"/>
      <c r="C728" s="1647"/>
      <c r="D728" s="2173"/>
      <c r="E728" s="1586"/>
      <c r="F728" s="1954"/>
      <c r="G728" s="1586"/>
      <c r="H728" s="1586"/>
      <c r="I728" s="1647"/>
      <c r="J728" s="1647"/>
      <c r="K728" s="1647"/>
      <c r="L728" s="1586"/>
      <c r="M728" s="2174"/>
      <c r="N728" s="2174"/>
      <c r="O728" s="836"/>
      <c r="P728" s="2174"/>
      <c r="Q728" s="836"/>
      <c r="R728" s="309"/>
      <c r="S728" s="309"/>
      <c r="T728" s="309"/>
      <c r="U728" s="309"/>
      <c r="V728" s="311"/>
      <c r="W728" s="311"/>
      <c r="X728" s="1647"/>
      <c r="Y728" s="311"/>
      <c r="Z728" s="311"/>
      <c r="AA728" s="311"/>
      <c r="AB728" s="311"/>
      <c r="AC728" s="311"/>
      <c r="AD728" s="311"/>
      <c r="AE728" s="311"/>
      <c r="AF728" s="311"/>
      <c r="AG728" s="311"/>
      <c r="AH728" s="311"/>
      <c r="AI728" s="311"/>
      <c r="AJ728" s="311"/>
      <c r="AK728" s="311"/>
      <c r="AL728" s="311"/>
      <c r="AM728" s="311"/>
    </row>
    <row r="729" spans="1:39" ht="15.75" customHeight="1">
      <c r="A729" s="1647"/>
      <c r="B729" s="311"/>
      <c r="C729" s="1647"/>
      <c r="D729" s="2173"/>
      <c r="E729" s="1586"/>
      <c r="F729" s="1954"/>
      <c r="G729" s="1586"/>
      <c r="H729" s="1586"/>
      <c r="I729" s="1647"/>
      <c r="J729" s="1647"/>
      <c r="K729" s="1647"/>
      <c r="L729" s="1586"/>
      <c r="M729" s="2174"/>
      <c r="N729" s="2174"/>
      <c r="O729" s="836"/>
      <c r="P729" s="2174"/>
      <c r="Q729" s="836"/>
      <c r="R729" s="309"/>
      <c r="S729" s="309"/>
      <c r="T729" s="309"/>
      <c r="U729" s="309"/>
      <c r="V729" s="311"/>
      <c r="W729" s="311"/>
      <c r="X729" s="1647"/>
      <c r="Y729" s="311"/>
      <c r="Z729" s="311"/>
      <c r="AA729" s="311"/>
      <c r="AB729" s="311"/>
      <c r="AC729" s="311"/>
      <c r="AD729" s="311"/>
      <c r="AE729" s="311"/>
      <c r="AF729" s="311"/>
      <c r="AG729" s="311"/>
      <c r="AH729" s="311"/>
      <c r="AI729" s="311"/>
      <c r="AJ729" s="311"/>
      <c r="AK729" s="311"/>
      <c r="AL729" s="311"/>
      <c r="AM729" s="311"/>
    </row>
    <row r="730" spans="1:39" ht="15.75" customHeight="1">
      <c r="A730" s="1647"/>
      <c r="B730" s="311"/>
      <c r="C730" s="1647"/>
      <c r="D730" s="2173"/>
      <c r="E730" s="1586"/>
      <c r="F730" s="1954"/>
      <c r="G730" s="1586"/>
      <c r="H730" s="1586"/>
      <c r="I730" s="1647"/>
      <c r="J730" s="1647"/>
      <c r="K730" s="1647"/>
      <c r="L730" s="1586"/>
      <c r="M730" s="2174"/>
      <c r="N730" s="2174"/>
      <c r="O730" s="836"/>
      <c r="P730" s="2174"/>
      <c r="Q730" s="836"/>
      <c r="R730" s="309"/>
      <c r="S730" s="309"/>
      <c r="T730" s="309"/>
      <c r="U730" s="309"/>
      <c r="V730" s="311"/>
      <c r="W730" s="311"/>
      <c r="X730" s="1647"/>
      <c r="Y730" s="311"/>
      <c r="Z730" s="311"/>
      <c r="AA730" s="311"/>
      <c r="AB730" s="311"/>
      <c r="AC730" s="311"/>
      <c r="AD730" s="311"/>
      <c r="AE730" s="311"/>
      <c r="AF730" s="311"/>
      <c r="AG730" s="311"/>
      <c r="AH730" s="311"/>
      <c r="AI730" s="311"/>
      <c r="AJ730" s="311"/>
      <c r="AK730" s="311"/>
      <c r="AL730" s="311"/>
      <c r="AM730" s="311"/>
    </row>
    <row r="731" spans="1:39" ht="15.75" customHeight="1">
      <c r="A731" s="1647"/>
      <c r="B731" s="311"/>
      <c r="C731" s="1647"/>
      <c r="D731" s="2173"/>
      <c r="E731" s="1586"/>
      <c r="F731" s="1954"/>
      <c r="G731" s="1586"/>
      <c r="H731" s="1586"/>
      <c r="I731" s="1647"/>
      <c r="J731" s="1647"/>
      <c r="K731" s="1647"/>
      <c r="L731" s="1586"/>
      <c r="M731" s="2174"/>
      <c r="N731" s="2174"/>
      <c r="O731" s="836"/>
      <c r="P731" s="2174"/>
      <c r="Q731" s="836"/>
      <c r="R731" s="309"/>
      <c r="S731" s="309"/>
      <c r="T731" s="309"/>
      <c r="U731" s="309"/>
      <c r="V731" s="311"/>
      <c r="W731" s="311"/>
      <c r="X731" s="1647"/>
      <c r="Y731" s="311"/>
      <c r="Z731" s="311"/>
      <c r="AA731" s="311"/>
      <c r="AB731" s="311"/>
      <c r="AC731" s="311"/>
      <c r="AD731" s="311"/>
      <c r="AE731" s="311"/>
      <c r="AF731" s="311"/>
      <c r="AG731" s="311"/>
      <c r="AH731" s="311"/>
      <c r="AI731" s="311"/>
      <c r="AJ731" s="311"/>
      <c r="AK731" s="311"/>
      <c r="AL731" s="311"/>
      <c r="AM731" s="311"/>
    </row>
    <row r="732" spans="1:39" ht="15.75" customHeight="1">
      <c r="A732" s="1647"/>
      <c r="B732" s="311"/>
      <c r="C732" s="1647"/>
      <c r="D732" s="2173"/>
      <c r="E732" s="1586"/>
      <c r="F732" s="1954"/>
      <c r="G732" s="1586"/>
      <c r="H732" s="1586"/>
      <c r="I732" s="1647"/>
      <c r="J732" s="1647"/>
      <c r="K732" s="1647"/>
      <c r="L732" s="1586"/>
      <c r="M732" s="2174"/>
      <c r="N732" s="2174"/>
      <c r="O732" s="836"/>
      <c r="P732" s="2174"/>
      <c r="Q732" s="836"/>
      <c r="R732" s="309"/>
      <c r="S732" s="309"/>
      <c r="T732" s="309"/>
      <c r="U732" s="309"/>
      <c r="V732" s="311"/>
      <c r="W732" s="311"/>
      <c r="X732" s="1647"/>
      <c r="Y732" s="311"/>
      <c r="Z732" s="311"/>
      <c r="AA732" s="311"/>
      <c r="AB732" s="311"/>
      <c r="AC732" s="311"/>
      <c r="AD732" s="311"/>
      <c r="AE732" s="311"/>
      <c r="AF732" s="311"/>
      <c r="AG732" s="311"/>
      <c r="AH732" s="311"/>
      <c r="AI732" s="311"/>
      <c r="AJ732" s="311"/>
      <c r="AK732" s="311"/>
      <c r="AL732" s="311"/>
      <c r="AM732" s="311"/>
    </row>
    <row r="733" spans="1:39" ht="15.75" customHeight="1">
      <c r="A733" s="1647"/>
      <c r="B733" s="311"/>
      <c r="C733" s="1647"/>
      <c r="D733" s="2173"/>
      <c r="E733" s="1586"/>
      <c r="F733" s="1954"/>
      <c r="G733" s="1586"/>
      <c r="H733" s="1586"/>
      <c r="I733" s="1647"/>
      <c r="J733" s="1647"/>
      <c r="K733" s="1647"/>
      <c r="L733" s="1586"/>
      <c r="M733" s="2174"/>
      <c r="N733" s="2174"/>
      <c r="O733" s="836"/>
      <c r="P733" s="2174"/>
      <c r="Q733" s="836"/>
      <c r="R733" s="309"/>
      <c r="S733" s="309"/>
      <c r="T733" s="309"/>
      <c r="U733" s="309"/>
      <c r="V733" s="311"/>
      <c r="W733" s="311"/>
      <c r="X733" s="1647"/>
      <c r="Y733" s="311"/>
      <c r="Z733" s="311"/>
      <c r="AA733" s="311"/>
      <c r="AB733" s="311"/>
      <c r="AC733" s="311"/>
      <c r="AD733" s="311"/>
      <c r="AE733" s="311"/>
      <c r="AF733" s="311"/>
      <c r="AG733" s="311"/>
      <c r="AH733" s="311"/>
      <c r="AI733" s="311"/>
      <c r="AJ733" s="311"/>
      <c r="AK733" s="311"/>
      <c r="AL733" s="311"/>
      <c r="AM733" s="311"/>
    </row>
    <row r="734" spans="1:39" ht="15.75" customHeight="1">
      <c r="A734" s="1647"/>
      <c r="B734" s="311"/>
      <c r="C734" s="1647"/>
      <c r="D734" s="2173"/>
      <c r="E734" s="1586"/>
      <c r="F734" s="1954"/>
      <c r="G734" s="1586"/>
      <c r="H734" s="1586"/>
      <c r="I734" s="1647"/>
      <c r="J734" s="1647"/>
      <c r="K734" s="1647"/>
      <c r="L734" s="1586"/>
      <c r="M734" s="2174"/>
      <c r="N734" s="2174"/>
      <c r="O734" s="836"/>
      <c r="P734" s="2174"/>
      <c r="Q734" s="836"/>
      <c r="R734" s="309"/>
      <c r="S734" s="309"/>
      <c r="T734" s="309"/>
      <c r="U734" s="309"/>
      <c r="V734" s="311"/>
      <c r="W734" s="311"/>
      <c r="X734" s="1647"/>
      <c r="Y734" s="311"/>
      <c r="Z734" s="311"/>
      <c r="AA734" s="311"/>
      <c r="AB734" s="311"/>
      <c r="AC734" s="311"/>
      <c r="AD734" s="311"/>
      <c r="AE734" s="311"/>
      <c r="AF734" s="311"/>
      <c r="AG734" s="311"/>
      <c r="AH734" s="311"/>
      <c r="AI734" s="311"/>
      <c r="AJ734" s="311"/>
      <c r="AK734" s="311"/>
      <c r="AL734" s="311"/>
      <c r="AM734" s="311"/>
    </row>
    <row r="735" spans="1:39" ht="15.75" customHeight="1">
      <c r="A735" s="1647"/>
      <c r="B735" s="311"/>
      <c r="C735" s="1647"/>
      <c r="D735" s="2173"/>
      <c r="E735" s="1586"/>
      <c r="F735" s="1954"/>
      <c r="G735" s="1586"/>
      <c r="H735" s="1586"/>
      <c r="I735" s="1647"/>
      <c r="J735" s="1647"/>
      <c r="K735" s="1647"/>
      <c r="L735" s="1586"/>
      <c r="M735" s="2174"/>
      <c r="N735" s="2174"/>
      <c r="O735" s="836"/>
      <c r="P735" s="2174"/>
      <c r="Q735" s="836"/>
      <c r="R735" s="309"/>
      <c r="S735" s="309"/>
      <c r="T735" s="309"/>
      <c r="U735" s="309"/>
      <c r="V735" s="311"/>
      <c r="W735" s="311"/>
      <c r="X735" s="1647"/>
      <c r="Y735" s="311"/>
      <c r="Z735" s="311"/>
      <c r="AA735" s="311"/>
      <c r="AB735" s="311"/>
      <c r="AC735" s="311"/>
      <c r="AD735" s="311"/>
      <c r="AE735" s="311"/>
      <c r="AF735" s="311"/>
      <c r="AG735" s="311"/>
      <c r="AH735" s="311"/>
      <c r="AI735" s="311"/>
      <c r="AJ735" s="311"/>
      <c r="AK735" s="311"/>
      <c r="AL735" s="311"/>
      <c r="AM735" s="311"/>
    </row>
    <row r="736" spans="1:39" ht="15.75" customHeight="1">
      <c r="A736" s="1647"/>
      <c r="B736" s="311"/>
      <c r="C736" s="1647"/>
      <c r="D736" s="2173"/>
      <c r="E736" s="1586"/>
      <c r="F736" s="1954"/>
      <c r="G736" s="1586"/>
      <c r="H736" s="1586"/>
      <c r="I736" s="1647"/>
      <c r="J736" s="1647"/>
      <c r="K736" s="1647"/>
      <c r="L736" s="1586"/>
      <c r="M736" s="2174"/>
      <c r="N736" s="2174"/>
      <c r="O736" s="836"/>
      <c r="P736" s="2174"/>
      <c r="Q736" s="836"/>
      <c r="R736" s="309"/>
      <c r="S736" s="309"/>
      <c r="T736" s="309"/>
      <c r="U736" s="309"/>
      <c r="V736" s="311"/>
      <c r="W736" s="311"/>
      <c r="X736" s="1647"/>
      <c r="Y736" s="311"/>
      <c r="Z736" s="311"/>
      <c r="AA736" s="311"/>
      <c r="AB736" s="311"/>
      <c r="AC736" s="311"/>
      <c r="AD736" s="311"/>
      <c r="AE736" s="311"/>
      <c r="AF736" s="311"/>
      <c r="AG736" s="311"/>
      <c r="AH736" s="311"/>
      <c r="AI736" s="311"/>
      <c r="AJ736" s="311"/>
      <c r="AK736" s="311"/>
      <c r="AL736" s="311"/>
      <c r="AM736" s="311"/>
    </row>
    <row r="737" spans="1:39" ht="15.75" customHeight="1">
      <c r="A737" s="1647"/>
      <c r="B737" s="311"/>
      <c r="C737" s="1647"/>
      <c r="D737" s="2173"/>
      <c r="E737" s="1586"/>
      <c r="F737" s="1954"/>
      <c r="G737" s="1586"/>
      <c r="H737" s="1586"/>
      <c r="I737" s="1647"/>
      <c r="J737" s="1647"/>
      <c r="K737" s="1647"/>
      <c r="L737" s="1586"/>
      <c r="M737" s="2174"/>
      <c r="N737" s="2174"/>
      <c r="O737" s="836"/>
      <c r="P737" s="2174"/>
      <c r="Q737" s="836"/>
      <c r="R737" s="309"/>
      <c r="S737" s="309"/>
      <c r="T737" s="309"/>
      <c r="U737" s="309"/>
      <c r="V737" s="311"/>
      <c r="W737" s="311"/>
      <c r="X737" s="1647"/>
      <c r="Y737" s="311"/>
      <c r="Z737" s="311"/>
      <c r="AA737" s="311"/>
      <c r="AB737" s="311"/>
      <c r="AC737" s="311"/>
      <c r="AD737" s="311"/>
      <c r="AE737" s="311"/>
      <c r="AF737" s="311"/>
      <c r="AG737" s="311"/>
      <c r="AH737" s="311"/>
      <c r="AI737" s="311"/>
      <c r="AJ737" s="311"/>
      <c r="AK737" s="311"/>
      <c r="AL737" s="311"/>
      <c r="AM737" s="311"/>
    </row>
    <row r="738" spans="1:39" ht="15.75" customHeight="1">
      <c r="A738" s="1647"/>
      <c r="B738" s="311"/>
      <c r="C738" s="1647"/>
      <c r="D738" s="2173"/>
      <c r="E738" s="1586"/>
      <c r="F738" s="1954"/>
      <c r="G738" s="1586"/>
      <c r="H738" s="1586"/>
      <c r="I738" s="1647"/>
      <c r="J738" s="1647"/>
      <c r="K738" s="1647"/>
      <c r="L738" s="1586"/>
      <c r="M738" s="2174"/>
      <c r="N738" s="2174"/>
      <c r="O738" s="836"/>
      <c r="P738" s="2174"/>
      <c r="Q738" s="836"/>
      <c r="R738" s="309"/>
      <c r="S738" s="309"/>
      <c r="T738" s="309"/>
      <c r="U738" s="309"/>
      <c r="V738" s="311"/>
      <c r="W738" s="311"/>
      <c r="X738" s="1647"/>
      <c r="Y738" s="311"/>
      <c r="Z738" s="311"/>
      <c r="AA738" s="311"/>
      <c r="AB738" s="311"/>
      <c r="AC738" s="311"/>
      <c r="AD738" s="311"/>
      <c r="AE738" s="311"/>
      <c r="AF738" s="311"/>
      <c r="AG738" s="311"/>
      <c r="AH738" s="311"/>
      <c r="AI738" s="311"/>
      <c r="AJ738" s="311"/>
      <c r="AK738" s="311"/>
      <c r="AL738" s="311"/>
      <c r="AM738" s="311"/>
    </row>
    <row r="739" spans="1:39" ht="15.75" customHeight="1">
      <c r="A739" s="1647"/>
      <c r="B739" s="311"/>
      <c r="C739" s="1647"/>
      <c r="D739" s="2173"/>
      <c r="E739" s="1586"/>
      <c r="F739" s="1954"/>
      <c r="G739" s="1586"/>
      <c r="H739" s="1586"/>
      <c r="I739" s="1647"/>
      <c r="J739" s="1647"/>
      <c r="K739" s="1647"/>
      <c r="L739" s="1586"/>
      <c r="M739" s="2174"/>
      <c r="N739" s="2174"/>
      <c r="O739" s="836"/>
      <c r="P739" s="2174"/>
      <c r="Q739" s="836"/>
      <c r="R739" s="309"/>
      <c r="S739" s="309"/>
      <c r="T739" s="309"/>
      <c r="U739" s="309"/>
      <c r="V739" s="311"/>
      <c r="W739" s="311"/>
      <c r="X739" s="1647"/>
      <c r="Y739" s="311"/>
      <c r="Z739" s="311"/>
      <c r="AA739" s="311"/>
      <c r="AB739" s="311"/>
      <c r="AC739" s="311"/>
      <c r="AD739" s="311"/>
      <c r="AE739" s="311"/>
      <c r="AF739" s="311"/>
      <c r="AG739" s="311"/>
      <c r="AH739" s="311"/>
      <c r="AI739" s="311"/>
      <c r="AJ739" s="311"/>
      <c r="AK739" s="311"/>
      <c r="AL739" s="311"/>
      <c r="AM739" s="311"/>
    </row>
    <row r="740" spans="1:39" ht="15.75" customHeight="1">
      <c r="A740" s="1647"/>
      <c r="B740" s="311"/>
      <c r="C740" s="1647"/>
      <c r="D740" s="2173"/>
      <c r="E740" s="1586"/>
      <c r="F740" s="1954"/>
      <c r="G740" s="1586"/>
      <c r="H740" s="1586"/>
      <c r="I740" s="1647"/>
      <c r="J740" s="1647"/>
      <c r="K740" s="1647"/>
      <c r="L740" s="1586"/>
      <c r="M740" s="2174"/>
      <c r="N740" s="2174"/>
      <c r="O740" s="836"/>
      <c r="P740" s="2174"/>
      <c r="Q740" s="836"/>
      <c r="R740" s="309"/>
      <c r="S740" s="309"/>
      <c r="T740" s="309"/>
      <c r="U740" s="309"/>
      <c r="V740" s="311"/>
      <c r="W740" s="311"/>
      <c r="X740" s="1647"/>
      <c r="Y740" s="311"/>
      <c r="Z740" s="311"/>
      <c r="AA740" s="311"/>
      <c r="AB740" s="311"/>
      <c r="AC740" s="311"/>
      <c r="AD740" s="311"/>
      <c r="AE740" s="311"/>
      <c r="AF740" s="311"/>
      <c r="AG740" s="311"/>
      <c r="AH740" s="311"/>
      <c r="AI740" s="311"/>
      <c r="AJ740" s="311"/>
      <c r="AK740" s="311"/>
      <c r="AL740" s="311"/>
      <c r="AM740" s="311"/>
    </row>
    <row r="741" spans="1:39" ht="15.75" customHeight="1">
      <c r="A741" s="1647"/>
      <c r="B741" s="311"/>
      <c r="C741" s="1647"/>
      <c r="D741" s="2173"/>
      <c r="E741" s="1586"/>
      <c r="F741" s="1954"/>
      <c r="G741" s="1586"/>
      <c r="H741" s="1586"/>
      <c r="I741" s="1647"/>
      <c r="J741" s="1647"/>
      <c r="K741" s="1647"/>
      <c r="L741" s="1586"/>
      <c r="M741" s="2174"/>
      <c r="N741" s="2174"/>
      <c r="O741" s="836"/>
      <c r="P741" s="2174"/>
      <c r="Q741" s="836"/>
      <c r="R741" s="309"/>
      <c r="S741" s="309"/>
      <c r="T741" s="309"/>
      <c r="U741" s="309"/>
      <c r="V741" s="311"/>
      <c r="W741" s="311"/>
      <c r="X741" s="1647"/>
      <c r="Y741" s="311"/>
      <c r="Z741" s="311"/>
      <c r="AA741" s="311"/>
      <c r="AB741" s="311"/>
      <c r="AC741" s="311"/>
      <c r="AD741" s="311"/>
      <c r="AE741" s="311"/>
      <c r="AF741" s="311"/>
      <c r="AG741" s="311"/>
      <c r="AH741" s="311"/>
      <c r="AI741" s="311"/>
      <c r="AJ741" s="311"/>
      <c r="AK741" s="311"/>
      <c r="AL741" s="311"/>
      <c r="AM741" s="311"/>
    </row>
    <row r="742" spans="1:39" ht="15.75" customHeight="1">
      <c r="A742" s="1647"/>
      <c r="B742" s="311"/>
      <c r="C742" s="1647"/>
      <c r="D742" s="2173"/>
      <c r="E742" s="1586"/>
      <c r="F742" s="1954"/>
      <c r="G742" s="1586"/>
      <c r="H742" s="1586"/>
      <c r="I742" s="1647"/>
      <c r="J742" s="1647"/>
      <c r="K742" s="1647"/>
      <c r="L742" s="1586"/>
      <c r="M742" s="2174"/>
      <c r="N742" s="2174"/>
      <c r="O742" s="836"/>
      <c r="P742" s="2174"/>
      <c r="Q742" s="836"/>
      <c r="R742" s="309"/>
      <c r="S742" s="309"/>
      <c r="T742" s="309"/>
      <c r="U742" s="309"/>
      <c r="V742" s="311"/>
      <c r="W742" s="311"/>
      <c r="X742" s="1647"/>
      <c r="Y742" s="311"/>
      <c r="Z742" s="311"/>
      <c r="AA742" s="311"/>
      <c r="AB742" s="311"/>
      <c r="AC742" s="311"/>
      <c r="AD742" s="311"/>
      <c r="AE742" s="311"/>
      <c r="AF742" s="311"/>
      <c r="AG742" s="311"/>
      <c r="AH742" s="311"/>
      <c r="AI742" s="311"/>
      <c r="AJ742" s="311"/>
      <c r="AK742" s="311"/>
      <c r="AL742" s="311"/>
      <c r="AM742" s="311"/>
    </row>
    <row r="743" spans="1:39" ht="15.75" customHeight="1">
      <c r="A743" s="1647"/>
      <c r="B743" s="311"/>
      <c r="C743" s="1647"/>
      <c r="D743" s="2173"/>
      <c r="E743" s="1586"/>
      <c r="F743" s="1954"/>
      <c r="G743" s="1586"/>
      <c r="H743" s="1586"/>
      <c r="I743" s="1647"/>
      <c r="J743" s="1647"/>
      <c r="K743" s="1647"/>
      <c r="L743" s="1586"/>
      <c r="M743" s="2174"/>
      <c r="N743" s="2174"/>
      <c r="O743" s="836"/>
      <c r="P743" s="2174"/>
      <c r="Q743" s="836"/>
      <c r="R743" s="309"/>
      <c r="S743" s="309"/>
      <c r="T743" s="309"/>
      <c r="U743" s="309"/>
      <c r="V743" s="311"/>
      <c r="W743" s="311"/>
      <c r="X743" s="1647"/>
      <c r="Y743" s="311"/>
      <c r="Z743" s="311"/>
      <c r="AA743" s="311"/>
      <c r="AB743" s="311"/>
      <c r="AC743" s="311"/>
      <c r="AD743" s="311"/>
      <c r="AE743" s="311"/>
      <c r="AF743" s="311"/>
      <c r="AG743" s="311"/>
      <c r="AH743" s="311"/>
      <c r="AI743" s="311"/>
      <c r="AJ743" s="311"/>
      <c r="AK743" s="311"/>
      <c r="AL743" s="311"/>
      <c r="AM743" s="311"/>
    </row>
    <row r="744" spans="1:39" ht="15.75" customHeight="1">
      <c r="A744" s="1647"/>
      <c r="B744" s="311"/>
      <c r="C744" s="1647"/>
      <c r="D744" s="2173"/>
      <c r="E744" s="1586"/>
      <c r="F744" s="1954"/>
      <c r="G744" s="1586"/>
      <c r="H744" s="1586"/>
      <c r="I744" s="1647"/>
      <c r="J744" s="1647"/>
      <c r="K744" s="1647"/>
      <c r="L744" s="1586"/>
      <c r="M744" s="2174"/>
      <c r="N744" s="2174"/>
      <c r="O744" s="836"/>
      <c r="P744" s="2174"/>
      <c r="Q744" s="836"/>
      <c r="R744" s="309"/>
      <c r="S744" s="309"/>
      <c r="T744" s="309"/>
      <c r="U744" s="309"/>
      <c r="V744" s="311"/>
      <c r="W744" s="311"/>
      <c r="X744" s="1647"/>
      <c r="Y744" s="311"/>
      <c r="Z744" s="311"/>
      <c r="AA744" s="311"/>
      <c r="AB744" s="311"/>
      <c r="AC744" s="311"/>
      <c r="AD744" s="311"/>
      <c r="AE744" s="311"/>
      <c r="AF744" s="311"/>
      <c r="AG744" s="311"/>
      <c r="AH744" s="311"/>
      <c r="AI744" s="311"/>
      <c r="AJ744" s="311"/>
      <c r="AK744" s="311"/>
      <c r="AL744" s="311"/>
      <c r="AM744" s="311"/>
    </row>
    <row r="745" spans="1:39" ht="15.75" customHeight="1">
      <c r="A745" s="1647"/>
      <c r="B745" s="311"/>
      <c r="C745" s="1647"/>
      <c r="D745" s="2173"/>
      <c r="E745" s="1586"/>
      <c r="F745" s="1954"/>
      <c r="G745" s="1586"/>
      <c r="H745" s="1586"/>
      <c r="I745" s="1647"/>
      <c r="J745" s="1647"/>
      <c r="K745" s="1647"/>
      <c r="L745" s="1586"/>
      <c r="M745" s="2174"/>
      <c r="N745" s="2174"/>
      <c r="O745" s="836"/>
      <c r="P745" s="2174"/>
      <c r="Q745" s="836"/>
      <c r="R745" s="309"/>
      <c r="S745" s="309"/>
      <c r="T745" s="309"/>
      <c r="U745" s="309"/>
      <c r="V745" s="311"/>
      <c r="W745" s="311"/>
      <c r="X745" s="1647"/>
      <c r="Y745" s="311"/>
      <c r="Z745" s="311"/>
      <c r="AA745" s="311"/>
      <c r="AB745" s="311"/>
      <c r="AC745" s="311"/>
      <c r="AD745" s="311"/>
      <c r="AE745" s="311"/>
      <c r="AF745" s="311"/>
      <c r="AG745" s="311"/>
      <c r="AH745" s="311"/>
      <c r="AI745" s="311"/>
      <c r="AJ745" s="311"/>
      <c r="AK745" s="311"/>
      <c r="AL745" s="311"/>
      <c r="AM745" s="311"/>
    </row>
    <row r="746" spans="1:39" ht="15.75" customHeight="1">
      <c r="A746" s="1647"/>
      <c r="B746" s="311"/>
      <c r="C746" s="1647"/>
      <c r="D746" s="2173"/>
      <c r="E746" s="1586"/>
      <c r="F746" s="1954"/>
      <c r="G746" s="1586"/>
      <c r="H746" s="1586"/>
      <c r="I746" s="1647"/>
      <c r="J746" s="1647"/>
      <c r="K746" s="1647"/>
      <c r="L746" s="1586"/>
      <c r="M746" s="2174"/>
      <c r="N746" s="2174"/>
      <c r="O746" s="836"/>
      <c r="P746" s="2174"/>
      <c r="Q746" s="836"/>
      <c r="R746" s="309"/>
      <c r="S746" s="309"/>
      <c r="T746" s="309"/>
      <c r="U746" s="309"/>
      <c r="V746" s="311"/>
      <c r="W746" s="311"/>
      <c r="X746" s="1647"/>
      <c r="Y746" s="311"/>
      <c r="Z746" s="311"/>
      <c r="AA746" s="311"/>
      <c r="AB746" s="311"/>
      <c r="AC746" s="311"/>
      <c r="AD746" s="311"/>
      <c r="AE746" s="311"/>
      <c r="AF746" s="311"/>
      <c r="AG746" s="311"/>
      <c r="AH746" s="311"/>
      <c r="AI746" s="311"/>
      <c r="AJ746" s="311"/>
      <c r="AK746" s="311"/>
      <c r="AL746" s="311"/>
      <c r="AM746" s="311"/>
    </row>
    <row r="747" spans="1:39" ht="15.75" customHeight="1">
      <c r="A747" s="1647"/>
      <c r="B747" s="311"/>
      <c r="C747" s="1647"/>
      <c r="D747" s="2173"/>
      <c r="E747" s="1586"/>
      <c r="F747" s="1954"/>
      <c r="G747" s="1586"/>
      <c r="H747" s="1586"/>
      <c r="I747" s="1647"/>
      <c r="J747" s="1647"/>
      <c r="K747" s="1647"/>
      <c r="L747" s="1586"/>
      <c r="M747" s="2174"/>
      <c r="N747" s="2174"/>
      <c r="O747" s="836"/>
      <c r="P747" s="2174"/>
      <c r="Q747" s="836"/>
      <c r="R747" s="309"/>
      <c r="S747" s="309"/>
      <c r="T747" s="309"/>
      <c r="U747" s="309"/>
      <c r="V747" s="311"/>
      <c r="W747" s="311"/>
      <c r="X747" s="1647"/>
      <c r="Y747" s="311"/>
      <c r="Z747" s="311"/>
      <c r="AA747" s="311"/>
      <c r="AB747" s="311"/>
      <c r="AC747" s="311"/>
      <c r="AD747" s="311"/>
      <c r="AE747" s="311"/>
      <c r="AF747" s="311"/>
      <c r="AG747" s="311"/>
      <c r="AH747" s="311"/>
      <c r="AI747" s="311"/>
      <c r="AJ747" s="311"/>
      <c r="AK747" s="311"/>
      <c r="AL747" s="311"/>
      <c r="AM747" s="311"/>
    </row>
    <row r="748" spans="1:39" ht="15.75" customHeight="1">
      <c r="A748" s="1647"/>
      <c r="B748" s="311"/>
      <c r="C748" s="1647"/>
      <c r="D748" s="2173"/>
      <c r="E748" s="1586"/>
      <c r="F748" s="1954"/>
      <c r="G748" s="1586"/>
      <c r="H748" s="1586"/>
      <c r="I748" s="1647"/>
      <c r="J748" s="1647"/>
      <c r="K748" s="1647"/>
      <c r="L748" s="1586"/>
      <c r="M748" s="2174"/>
      <c r="N748" s="2174"/>
      <c r="O748" s="836"/>
      <c r="P748" s="2174"/>
      <c r="Q748" s="836"/>
      <c r="R748" s="309"/>
      <c r="S748" s="309"/>
      <c r="T748" s="309"/>
      <c r="U748" s="309"/>
      <c r="V748" s="311"/>
      <c r="W748" s="311"/>
      <c r="X748" s="1647"/>
      <c r="Y748" s="311"/>
      <c r="Z748" s="311"/>
      <c r="AA748" s="311"/>
      <c r="AB748" s="311"/>
      <c r="AC748" s="311"/>
      <c r="AD748" s="311"/>
      <c r="AE748" s="311"/>
      <c r="AF748" s="311"/>
      <c r="AG748" s="311"/>
      <c r="AH748" s="311"/>
      <c r="AI748" s="311"/>
      <c r="AJ748" s="311"/>
      <c r="AK748" s="311"/>
      <c r="AL748" s="311"/>
      <c r="AM748" s="311"/>
    </row>
    <row r="749" spans="1:39" ht="15.75" customHeight="1">
      <c r="A749" s="1647"/>
      <c r="B749" s="311"/>
      <c r="C749" s="1647"/>
      <c r="D749" s="2173"/>
      <c r="E749" s="1586"/>
      <c r="F749" s="1954"/>
      <c r="G749" s="1586"/>
      <c r="H749" s="1586"/>
      <c r="I749" s="1647"/>
      <c r="J749" s="1647"/>
      <c r="K749" s="1647"/>
      <c r="L749" s="1586"/>
      <c r="M749" s="2174"/>
      <c r="N749" s="2174"/>
      <c r="O749" s="836"/>
      <c r="P749" s="2174"/>
      <c r="Q749" s="836"/>
      <c r="R749" s="309"/>
      <c r="S749" s="309"/>
      <c r="T749" s="309"/>
      <c r="U749" s="309"/>
      <c r="V749" s="311"/>
      <c r="W749" s="311"/>
      <c r="X749" s="1647"/>
      <c r="Y749" s="311"/>
      <c r="Z749" s="311"/>
      <c r="AA749" s="311"/>
      <c r="AB749" s="311"/>
      <c r="AC749" s="311"/>
      <c r="AD749" s="311"/>
      <c r="AE749" s="311"/>
      <c r="AF749" s="311"/>
      <c r="AG749" s="311"/>
      <c r="AH749" s="311"/>
      <c r="AI749" s="311"/>
      <c r="AJ749" s="311"/>
      <c r="AK749" s="311"/>
      <c r="AL749" s="311"/>
      <c r="AM749" s="311"/>
    </row>
    <row r="750" spans="1:39" ht="15.75" customHeight="1">
      <c r="A750" s="1647"/>
      <c r="B750" s="311"/>
      <c r="C750" s="1647"/>
      <c r="D750" s="2173"/>
      <c r="E750" s="1586"/>
      <c r="F750" s="1954"/>
      <c r="G750" s="1586"/>
      <c r="H750" s="1586"/>
      <c r="I750" s="1647"/>
      <c r="J750" s="1647"/>
      <c r="K750" s="1647"/>
      <c r="L750" s="1586"/>
      <c r="M750" s="2174"/>
      <c r="N750" s="2174"/>
      <c r="O750" s="836"/>
      <c r="P750" s="2174"/>
      <c r="Q750" s="836"/>
      <c r="R750" s="309"/>
      <c r="S750" s="309"/>
      <c r="T750" s="309"/>
      <c r="U750" s="309"/>
      <c r="V750" s="311"/>
      <c r="W750" s="311"/>
      <c r="X750" s="1647"/>
      <c r="Y750" s="311"/>
      <c r="Z750" s="311"/>
      <c r="AA750" s="311"/>
      <c r="AB750" s="311"/>
      <c r="AC750" s="311"/>
      <c r="AD750" s="311"/>
      <c r="AE750" s="311"/>
      <c r="AF750" s="311"/>
      <c r="AG750" s="311"/>
      <c r="AH750" s="311"/>
      <c r="AI750" s="311"/>
      <c r="AJ750" s="311"/>
      <c r="AK750" s="311"/>
      <c r="AL750" s="311"/>
      <c r="AM750" s="311"/>
    </row>
    <row r="751" spans="1:39" ht="15.75" customHeight="1">
      <c r="A751" s="1647"/>
      <c r="B751" s="311"/>
      <c r="C751" s="1647"/>
      <c r="D751" s="2173"/>
      <c r="E751" s="1586"/>
      <c r="F751" s="1954"/>
      <c r="G751" s="1586"/>
      <c r="H751" s="1586"/>
      <c r="I751" s="1647"/>
      <c r="J751" s="1647"/>
      <c r="K751" s="1647"/>
      <c r="L751" s="1586"/>
      <c r="M751" s="2174"/>
      <c r="N751" s="2174"/>
      <c r="O751" s="836"/>
      <c r="P751" s="2174"/>
      <c r="Q751" s="836"/>
      <c r="R751" s="309"/>
      <c r="S751" s="309"/>
      <c r="T751" s="309"/>
      <c r="U751" s="309"/>
      <c r="V751" s="311"/>
      <c r="W751" s="311"/>
      <c r="X751" s="1647"/>
      <c r="Y751" s="311"/>
      <c r="Z751" s="311"/>
      <c r="AA751" s="311"/>
      <c r="AB751" s="311"/>
      <c r="AC751" s="311"/>
      <c r="AD751" s="311"/>
      <c r="AE751" s="311"/>
      <c r="AF751" s="311"/>
      <c r="AG751" s="311"/>
      <c r="AH751" s="311"/>
      <c r="AI751" s="311"/>
      <c r="AJ751" s="311"/>
      <c r="AK751" s="311"/>
      <c r="AL751" s="311"/>
      <c r="AM751" s="311"/>
    </row>
    <row r="752" spans="1:39" ht="15.75" customHeight="1">
      <c r="A752" s="1647"/>
      <c r="B752" s="311"/>
      <c r="C752" s="1647"/>
      <c r="D752" s="2173"/>
      <c r="E752" s="1586"/>
      <c r="F752" s="1954"/>
      <c r="G752" s="1586"/>
      <c r="H752" s="1586"/>
      <c r="I752" s="1647"/>
      <c r="J752" s="1647"/>
      <c r="K752" s="1647"/>
      <c r="L752" s="1586"/>
      <c r="M752" s="2174"/>
      <c r="N752" s="2174"/>
      <c r="O752" s="836"/>
      <c r="P752" s="2174"/>
      <c r="Q752" s="836"/>
      <c r="R752" s="309"/>
      <c r="S752" s="309"/>
      <c r="T752" s="309"/>
      <c r="U752" s="309"/>
      <c r="V752" s="311"/>
      <c r="W752" s="311"/>
      <c r="X752" s="1647"/>
      <c r="Y752" s="311"/>
      <c r="Z752" s="311"/>
      <c r="AA752" s="311"/>
      <c r="AB752" s="311"/>
      <c r="AC752" s="311"/>
      <c r="AD752" s="311"/>
      <c r="AE752" s="311"/>
      <c r="AF752" s="311"/>
      <c r="AG752" s="311"/>
      <c r="AH752" s="311"/>
      <c r="AI752" s="311"/>
      <c r="AJ752" s="311"/>
      <c r="AK752" s="311"/>
      <c r="AL752" s="311"/>
      <c r="AM752" s="311"/>
    </row>
    <row r="753" spans="1:39" ht="15.75" customHeight="1">
      <c r="A753" s="1647"/>
      <c r="B753" s="311"/>
      <c r="C753" s="1647"/>
      <c r="D753" s="2173"/>
      <c r="E753" s="1586"/>
      <c r="F753" s="1954"/>
      <c r="G753" s="1586"/>
      <c r="H753" s="1586"/>
      <c r="I753" s="1647"/>
      <c r="J753" s="1647"/>
      <c r="K753" s="1647"/>
      <c r="L753" s="1586"/>
      <c r="M753" s="2174"/>
      <c r="N753" s="2174"/>
      <c r="O753" s="836"/>
      <c r="P753" s="2174"/>
      <c r="Q753" s="836"/>
      <c r="R753" s="309"/>
      <c r="S753" s="309"/>
      <c r="T753" s="309"/>
      <c r="U753" s="309"/>
      <c r="V753" s="311"/>
      <c r="W753" s="311"/>
      <c r="X753" s="1647"/>
      <c r="Y753" s="311"/>
      <c r="Z753" s="311"/>
      <c r="AA753" s="311"/>
      <c r="AB753" s="311"/>
      <c r="AC753" s="311"/>
      <c r="AD753" s="311"/>
      <c r="AE753" s="311"/>
      <c r="AF753" s="311"/>
      <c r="AG753" s="311"/>
      <c r="AH753" s="311"/>
      <c r="AI753" s="311"/>
      <c r="AJ753" s="311"/>
      <c r="AK753" s="311"/>
      <c r="AL753" s="311"/>
      <c r="AM753" s="311"/>
    </row>
    <row r="754" spans="1:39" ht="15.75" customHeight="1">
      <c r="A754" s="1647"/>
      <c r="B754" s="311"/>
      <c r="C754" s="1647"/>
      <c r="D754" s="2173"/>
      <c r="E754" s="1586"/>
      <c r="F754" s="1954"/>
      <c r="G754" s="1586"/>
      <c r="H754" s="1586"/>
      <c r="I754" s="1647"/>
      <c r="J754" s="1647"/>
      <c r="K754" s="1647"/>
      <c r="L754" s="1586"/>
      <c r="M754" s="2174"/>
      <c r="N754" s="2174"/>
      <c r="O754" s="836"/>
      <c r="P754" s="2174"/>
      <c r="Q754" s="836"/>
      <c r="R754" s="309"/>
      <c r="S754" s="309"/>
      <c r="T754" s="309"/>
      <c r="U754" s="309"/>
      <c r="V754" s="311"/>
      <c r="W754" s="311"/>
      <c r="X754" s="1647"/>
      <c r="Y754" s="311"/>
      <c r="Z754" s="311"/>
      <c r="AA754" s="311"/>
      <c r="AB754" s="311"/>
      <c r="AC754" s="311"/>
      <c r="AD754" s="311"/>
      <c r="AE754" s="311"/>
      <c r="AF754" s="311"/>
      <c r="AG754" s="311"/>
      <c r="AH754" s="311"/>
      <c r="AI754" s="311"/>
      <c r="AJ754" s="311"/>
      <c r="AK754" s="311"/>
      <c r="AL754" s="311"/>
      <c r="AM754" s="311"/>
    </row>
    <row r="755" spans="1:39" ht="15.75" customHeight="1">
      <c r="A755" s="1647"/>
      <c r="B755" s="311"/>
      <c r="C755" s="1647"/>
      <c r="D755" s="2173"/>
      <c r="E755" s="1586"/>
      <c r="F755" s="1954"/>
      <c r="G755" s="1586"/>
      <c r="H755" s="1586"/>
      <c r="I755" s="1647"/>
      <c r="J755" s="1647"/>
      <c r="K755" s="1647"/>
      <c r="L755" s="1586"/>
      <c r="M755" s="2174"/>
      <c r="N755" s="2174"/>
      <c r="O755" s="836"/>
      <c r="P755" s="2174"/>
      <c r="Q755" s="836"/>
      <c r="R755" s="309"/>
      <c r="S755" s="309"/>
      <c r="T755" s="309"/>
      <c r="U755" s="309"/>
      <c r="V755" s="311"/>
      <c r="W755" s="311"/>
      <c r="X755" s="1647"/>
      <c r="Y755" s="311"/>
      <c r="Z755" s="311"/>
      <c r="AA755" s="311"/>
      <c r="AB755" s="311"/>
      <c r="AC755" s="311"/>
      <c r="AD755" s="311"/>
      <c r="AE755" s="311"/>
      <c r="AF755" s="311"/>
      <c r="AG755" s="311"/>
      <c r="AH755" s="311"/>
      <c r="AI755" s="311"/>
      <c r="AJ755" s="311"/>
      <c r="AK755" s="311"/>
      <c r="AL755" s="311"/>
      <c r="AM755" s="311"/>
    </row>
    <row r="756" spans="1:39" ht="15.75" customHeight="1">
      <c r="A756" s="1647"/>
      <c r="B756" s="311"/>
      <c r="C756" s="1647"/>
      <c r="D756" s="2173"/>
      <c r="E756" s="1586"/>
      <c r="F756" s="1954"/>
      <c r="G756" s="1586"/>
      <c r="H756" s="1586"/>
      <c r="I756" s="1647"/>
      <c r="J756" s="1647"/>
      <c r="K756" s="1647"/>
      <c r="L756" s="1586"/>
      <c r="M756" s="2174"/>
      <c r="N756" s="2174"/>
      <c r="O756" s="836"/>
      <c r="P756" s="2174"/>
      <c r="Q756" s="836"/>
      <c r="R756" s="309"/>
      <c r="S756" s="309"/>
      <c r="T756" s="309"/>
      <c r="U756" s="309"/>
      <c r="V756" s="311"/>
      <c r="W756" s="311"/>
      <c r="X756" s="1647"/>
      <c r="Y756" s="311"/>
      <c r="Z756" s="311"/>
      <c r="AA756" s="311"/>
      <c r="AB756" s="311"/>
      <c r="AC756" s="311"/>
      <c r="AD756" s="311"/>
      <c r="AE756" s="311"/>
      <c r="AF756" s="311"/>
      <c r="AG756" s="311"/>
      <c r="AH756" s="311"/>
      <c r="AI756" s="311"/>
      <c r="AJ756" s="311"/>
      <c r="AK756" s="311"/>
      <c r="AL756" s="311"/>
      <c r="AM756" s="311"/>
    </row>
    <row r="757" spans="1:39" ht="15.75" customHeight="1">
      <c r="A757" s="1647"/>
      <c r="B757" s="311"/>
      <c r="C757" s="1647"/>
      <c r="D757" s="2173"/>
      <c r="E757" s="1586"/>
      <c r="F757" s="1954"/>
      <c r="G757" s="1586"/>
      <c r="H757" s="1586"/>
      <c r="I757" s="1647"/>
      <c r="J757" s="1647"/>
      <c r="K757" s="1647"/>
      <c r="L757" s="1586"/>
      <c r="M757" s="2174"/>
      <c r="N757" s="2174"/>
      <c r="O757" s="836"/>
      <c r="P757" s="2174"/>
      <c r="Q757" s="836"/>
      <c r="R757" s="309"/>
      <c r="S757" s="309"/>
      <c r="T757" s="309"/>
      <c r="U757" s="309"/>
      <c r="V757" s="311"/>
      <c r="W757" s="311"/>
      <c r="X757" s="1647"/>
      <c r="Y757" s="311"/>
      <c r="Z757" s="311"/>
      <c r="AA757" s="311"/>
      <c r="AB757" s="311"/>
      <c r="AC757" s="311"/>
      <c r="AD757" s="311"/>
      <c r="AE757" s="311"/>
      <c r="AF757" s="311"/>
      <c r="AG757" s="311"/>
      <c r="AH757" s="311"/>
      <c r="AI757" s="311"/>
      <c r="AJ757" s="311"/>
      <c r="AK757" s="311"/>
      <c r="AL757" s="311"/>
      <c r="AM757" s="311"/>
    </row>
    <row r="758" spans="1:39" ht="15.75" customHeight="1">
      <c r="A758" s="1647"/>
      <c r="B758" s="311"/>
      <c r="C758" s="1647"/>
      <c r="D758" s="2173"/>
      <c r="E758" s="1586"/>
      <c r="F758" s="1954"/>
      <c r="G758" s="1586"/>
      <c r="H758" s="1586"/>
      <c r="I758" s="1647"/>
      <c r="J758" s="1647"/>
      <c r="K758" s="1647"/>
      <c r="L758" s="1586"/>
      <c r="M758" s="2174"/>
      <c r="N758" s="2174"/>
      <c r="O758" s="836"/>
      <c r="P758" s="2174"/>
      <c r="Q758" s="836"/>
      <c r="R758" s="309"/>
      <c r="S758" s="309"/>
      <c r="T758" s="309"/>
      <c r="U758" s="309"/>
      <c r="V758" s="311"/>
      <c r="W758" s="311"/>
      <c r="X758" s="1647"/>
      <c r="Y758" s="311"/>
      <c r="Z758" s="311"/>
      <c r="AA758" s="311"/>
      <c r="AB758" s="311"/>
      <c r="AC758" s="311"/>
      <c r="AD758" s="311"/>
      <c r="AE758" s="311"/>
      <c r="AF758" s="311"/>
      <c r="AG758" s="311"/>
      <c r="AH758" s="311"/>
      <c r="AI758" s="311"/>
      <c r="AJ758" s="311"/>
      <c r="AK758" s="311"/>
      <c r="AL758" s="311"/>
      <c r="AM758" s="311"/>
    </row>
    <row r="759" spans="1:39" ht="15.75" customHeight="1">
      <c r="A759" s="1647"/>
      <c r="B759" s="311"/>
      <c r="C759" s="1647"/>
      <c r="D759" s="2173"/>
      <c r="E759" s="1586"/>
      <c r="F759" s="1954"/>
      <c r="G759" s="1586"/>
      <c r="H759" s="1586"/>
      <c r="I759" s="1647"/>
      <c r="J759" s="1647"/>
      <c r="K759" s="1647"/>
      <c r="L759" s="1586"/>
      <c r="M759" s="2174"/>
      <c r="N759" s="2174"/>
      <c r="O759" s="836"/>
      <c r="P759" s="2174"/>
      <c r="Q759" s="836"/>
      <c r="R759" s="309"/>
      <c r="S759" s="309"/>
      <c r="T759" s="309"/>
      <c r="U759" s="309"/>
      <c r="V759" s="311"/>
      <c r="W759" s="311"/>
      <c r="X759" s="1647"/>
      <c r="Y759" s="311"/>
      <c r="Z759" s="311"/>
      <c r="AA759" s="311"/>
      <c r="AB759" s="311"/>
      <c r="AC759" s="311"/>
      <c r="AD759" s="311"/>
      <c r="AE759" s="311"/>
      <c r="AF759" s="311"/>
      <c r="AG759" s="311"/>
      <c r="AH759" s="311"/>
      <c r="AI759" s="311"/>
      <c r="AJ759" s="311"/>
      <c r="AK759" s="311"/>
      <c r="AL759" s="311"/>
      <c r="AM759" s="311"/>
    </row>
    <row r="760" spans="1:39" ht="15.75" customHeight="1">
      <c r="A760" s="1647"/>
      <c r="B760" s="311"/>
      <c r="C760" s="1647"/>
      <c r="D760" s="2173"/>
      <c r="E760" s="1586"/>
      <c r="F760" s="1954"/>
      <c r="G760" s="1586"/>
      <c r="H760" s="1586"/>
      <c r="I760" s="1647"/>
      <c r="J760" s="1647"/>
      <c r="K760" s="1647"/>
      <c r="L760" s="1586"/>
      <c r="M760" s="2174"/>
      <c r="N760" s="2174"/>
      <c r="O760" s="836"/>
      <c r="P760" s="2174"/>
      <c r="Q760" s="836"/>
      <c r="R760" s="309"/>
      <c r="S760" s="309"/>
      <c r="T760" s="309"/>
      <c r="U760" s="309"/>
      <c r="V760" s="311"/>
      <c r="W760" s="311"/>
      <c r="X760" s="1647"/>
      <c r="Y760" s="311"/>
      <c r="Z760" s="311"/>
      <c r="AA760" s="311"/>
      <c r="AB760" s="311"/>
      <c r="AC760" s="311"/>
      <c r="AD760" s="311"/>
      <c r="AE760" s="311"/>
      <c r="AF760" s="311"/>
      <c r="AG760" s="311"/>
      <c r="AH760" s="311"/>
      <c r="AI760" s="311"/>
      <c r="AJ760" s="311"/>
      <c r="AK760" s="311"/>
      <c r="AL760" s="311"/>
      <c r="AM760" s="311"/>
    </row>
    <row r="761" spans="1:39" ht="15.75" customHeight="1">
      <c r="A761" s="1647"/>
      <c r="B761" s="311"/>
      <c r="C761" s="1647"/>
      <c r="D761" s="2173"/>
      <c r="E761" s="1586"/>
      <c r="F761" s="1954"/>
      <c r="G761" s="1586"/>
      <c r="H761" s="1586"/>
      <c r="I761" s="1647"/>
      <c r="J761" s="1647"/>
      <c r="K761" s="1647"/>
      <c r="L761" s="1586"/>
      <c r="M761" s="2174"/>
      <c r="N761" s="2174"/>
      <c r="O761" s="836"/>
      <c r="P761" s="2174"/>
      <c r="Q761" s="836"/>
      <c r="R761" s="309"/>
      <c r="S761" s="309"/>
      <c r="T761" s="309"/>
      <c r="U761" s="309"/>
      <c r="V761" s="311"/>
      <c r="W761" s="311"/>
      <c r="X761" s="1647"/>
      <c r="Y761" s="311"/>
      <c r="Z761" s="311"/>
      <c r="AA761" s="311"/>
      <c r="AB761" s="311"/>
      <c r="AC761" s="311"/>
      <c r="AD761" s="311"/>
      <c r="AE761" s="311"/>
      <c r="AF761" s="311"/>
      <c r="AG761" s="311"/>
      <c r="AH761" s="311"/>
      <c r="AI761" s="311"/>
      <c r="AJ761" s="311"/>
      <c r="AK761" s="311"/>
      <c r="AL761" s="311"/>
      <c r="AM761" s="311"/>
    </row>
    <row r="762" spans="1:39" ht="15.75" customHeight="1">
      <c r="A762" s="1647"/>
      <c r="B762" s="311"/>
      <c r="C762" s="1647"/>
      <c r="D762" s="2173"/>
      <c r="E762" s="1586"/>
      <c r="F762" s="1954"/>
      <c r="G762" s="1586"/>
      <c r="H762" s="1586"/>
      <c r="I762" s="1647"/>
      <c r="J762" s="1647"/>
      <c r="K762" s="1647"/>
      <c r="L762" s="1586"/>
      <c r="M762" s="2174"/>
      <c r="N762" s="2174"/>
      <c r="O762" s="836"/>
      <c r="P762" s="2174"/>
      <c r="Q762" s="836"/>
      <c r="R762" s="309"/>
      <c r="S762" s="309"/>
      <c r="T762" s="309"/>
      <c r="U762" s="309"/>
      <c r="V762" s="311"/>
      <c r="W762" s="311"/>
      <c r="X762" s="1647"/>
      <c r="Y762" s="311"/>
      <c r="Z762" s="311"/>
      <c r="AA762" s="311"/>
      <c r="AB762" s="311"/>
      <c r="AC762" s="311"/>
      <c r="AD762" s="311"/>
      <c r="AE762" s="311"/>
      <c r="AF762" s="311"/>
      <c r="AG762" s="311"/>
      <c r="AH762" s="311"/>
      <c r="AI762" s="311"/>
      <c r="AJ762" s="311"/>
      <c r="AK762" s="311"/>
      <c r="AL762" s="311"/>
      <c r="AM762" s="311"/>
    </row>
    <row r="763" spans="1:39" ht="15.75" customHeight="1">
      <c r="A763" s="1647"/>
      <c r="B763" s="311"/>
      <c r="C763" s="1647"/>
      <c r="D763" s="2173"/>
      <c r="E763" s="1586"/>
      <c r="F763" s="1954"/>
      <c r="G763" s="1586"/>
      <c r="H763" s="1586"/>
      <c r="I763" s="1647"/>
      <c r="J763" s="1647"/>
      <c r="K763" s="1647"/>
      <c r="L763" s="1586"/>
      <c r="M763" s="2174"/>
      <c r="N763" s="2174"/>
      <c r="O763" s="836"/>
      <c r="P763" s="2174"/>
      <c r="Q763" s="836"/>
      <c r="R763" s="309"/>
      <c r="S763" s="309"/>
      <c r="T763" s="309"/>
      <c r="U763" s="309"/>
      <c r="V763" s="311"/>
      <c r="W763" s="311"/>
      <c r="X763" s="1647"/>
      <c r="Y763" s="311"/>
      <c r="Z763" s="311"/>
      <c r="AA763" s="311"/>
      <c r="AB763" s="311"/>
      <c r="AC763" s="311"/>
      <c r="AD763" s="311"/>
      <c r="AE763" s="311"/>
      <c r="AF763" s="311"/>
      <c r="AG763" s="311"/>
      <c r="AH763" s="311"/>
      <c r="AI763" s="311"/>
      <c r="AJ763" s="311"/>
      <c r="AK763" s="311"/>
      <c r="AL763" s="311"/>
      <c r="AM763" s="311"/>
    </row>
    <row r="764" spans="1:39" ht="15.75" customHeight="1">
      <c r="A764" s="1647"/>
      <c r="B764" s="311"/>
      <c r="C764" s="1647"/>
      <c r="D764" s="2173"/>
      <c r="E764" s="1586"/>
      <c r="F764" s="1954"/>
      <c r="G764" s="1586"/>
      <c r="H764" s="1586"/>
      <c r="I764" s="1647"/>
      <c r="J764" s="1647"/>
      <c r="K764" s="1647"/>
      <c r="L764" s="1586"/>
      <c r="M764" s="2174"/>
      <c r="N764" s="2174"/>
      <c r="O764" s="836"/>
      <c r="P764" s="2174"/>
      <c r="Q764" s="836"/>
      <c r="R764" s="309"/>
      <c r="S764" s="309"/>
      <c r="T764" s="309"/>
      <c r="U764" s="309"/>
      <c r="V764" s="311"/>
      <c r="W764" s="311"/>
      <c r="X764" s="1647"/>
      <c r="Y764" s="311"/>
      <c r="Z764" s="311"/>
      <c r="AA764" s="311"/>
      <c r="AB764" s="311"/>
      <c r="AC764" s="311"/>
      <c r="AD764" s="311"/>
      <c r="AE764" s="311"/>
      <c r="AF764" s="311"/>
      <c r="AG764" s="311"/>
      <c r="AH764" s="311"/>
      <c r="AI764" s="311"/>
      <c r="AJ764" s="311"/>
      <c r="AK764" s="311"/>
      <c r="AL764" s="311"/>
      <c r="AM764" s="311"/>
    </row>
    <row r="765" spans="1:39" ht="15.75" customHeight="1">
      <c r="A765" s="1647"/>
      <c r="B765" s="311"/>
      <c r="C765" s="1647"/>
      <c r="D765" s="2173"/>
      <c r="E765" s="1586"/>
      <c r="F765" s="1954"/>
      <c r="G765" s="1586"/>
      <c r="H765" s="1586"/>
      <c r="I765" s="1647"/>
      <c r="J765" s="1647"/>
      <c r="K765" s="1647"/>
      <c r="L765" s="1586"/>
      <c r="M765" s="2174"/>
      <c r="N765" s="2174"/>
      <c r="O765" s="836"/>
      <c r="P765" s="2174"/>
      <c r="Q765" s="836"/>
      <c r="R765" s="309"/>
      <c r="S765" s="309"/>
      <c r="T765" s="309"/>
      <c r="U765" s="309"/>
      <c r="V765" s="311"/>
      <c r="W765" s="311"/>
      <c r="X765" s="1647"/>
      <c r="Y765" s="311"/>
      <c r="Z765" s="311"/>
      <c r="AA765" s="311"/>
      <c r="AB765" s="311"/>
      <c r="AC765" s="311"/>
      <c r="AD765" s="311"/>
      <c r="AE765" s="311"/>
      <c r="AF765" s="311"/>
      <c r="AG765" s="311"/>
      <c r="AH765" s="311"/>
      <c r="AI765" s="311"/>
      <c r="AJ765" s="311"/>
      <c r="AK765" s="311"/>
      <c r="AL765" s="311"/>
      <c r="AM765" s="311"/>
    </row>
    <row r="766" spans="1:39" ht="15.75" customHeight="1">
      <c r="A766" s="1647"/>
      <c r="B766" s="311"/>
      <c r="C766" s="1647"/>
      <c r="D766" s="2173"/>
      <c r="E766" s="1586"/>
      <c r="F766" s="1954"/>
      <c r="G766" s="1586"/>
      <c r="H766" s="1586"/>
      <c r="I766" s="1647"/>
      <c r="J766" s="1647"/>
      <c r="K766" s="1647"/>
      <c r="L766" s="1586"/>
      <c r="M766" s="2174"/>
      <c r="N766" s="2174"/>
      <c r="O766" s="836"/>
      <c r="P766" s="2174"/>
      <c r="Q766" s="836"/>
      <c r="R766" s="309"/>
      <c r="S766" s="309"/>
      <c r="T766" s="309"/>
      <c r="U766" s="309"/>
      <c r="V766" s="311"/>
      <c r="W766" s="311"/>
      <c r="X766" s="1647"/>
      <c r="Y766" s="311"/>
      <c r="Z766" s="311"/>
      <c r="AA766" s="311"/>
      <c r="AB766" s="311"/>
      <c r="AC766" s="311"/>
      <c r="AD766" s="311"/>
      <c r="AE766" s="311"/>
      <c r="AF766" s="311"/>
      <c r="AG766" s="311"/>
      <c r="AH766" s="311"/>
      <c r="AI766" s="311"/>
      <c r="AJ766" s="311"/>
      <c r="AK766" s="311"/>
      <c r="AL766" s="311"/>
      <c r="AM766" s="311"/>
    </row>
    <row r="767" spans="1:39" ht="15.75" customHeight="1">
      <c r="A767" s="1647"/>
      <c r="B767" s="311"/>
      <c r="C767" s="1647"/>
      <c r="D767" s="2173"/>
      <c r="E767" s="1586"/>
      <c r="F767" s="1954"/>
      <c r="G767" s="1586"/>
      <c r="H767" s="1586"/>
      <c r="I767" s="1647"/>
      <c r="J767" s="1647"/>
      <c r="K767" s="1647"/>
      <c r="L767" s="1586"/>
      <c r="M767" s="2174"/>
      <c r="N767" s="2174"/>
      <c r="O767" s="836"/>
      <c r="P767" s="2174"/>
      <c r="Q767" s="836"/>
      <c r="R767" s="309"/>
      <c r="S767" s="309"/>
      <c r="T767" s="309"/>
      <c r="U767" s="309"/>
      <c r="V767" s="311"/>
      <c r="W767" s="311"/>
      <c r="X767" s="1647"/>
      <c r="Y767" s="311"/>
      <c r="Z767" s="311"/>
      <c r="AA767" s="311"/>
      <c r="AB767" s="311"/>
      <c r="AC767" s="311"/>
      <c r="AD767" s="311"/>
      <c r="AE767" s="311"/>
      <c r="AF767" s="311"/>
      <c r="AG767" s="311"/>
      <c r="AH767" s="311"/>
      <c r="AI767" s="311"/>
      <c r="AJ767" s="311"/>
      <c r="AK767" s="311"/>
      <c r="AL767" s="311"/>
      <c r="AM767" s="311"/>
    </row>
    <row r="768" spans="1:39" ht="15.75" customHeight="1">
      <c r="A768" s="1647"/>
      <c r="B768" s="311"/>
      <c r="C768" s="1647"/>
      <c r="D768" s="2173"/>
      <c r="E768" s="1586"/>
      <c r="F768" s="1954"/>
      <c r="G768" s="1586"/>
      <c r="H768" s="1586"/>
      <c r="I768" s="1647"/>
      <c r="J768" s="1647"/>
      <c r="K768" s="1647"/>
      <c r="L768" s="1586"/>
      <c r="M768" s="2174"/>
      <c r="N768" s="2174"/>
      <c r="O768" s="836"/>
      <c r="P768" s="2174"/>
      <c r="Q768" s="836"/>
      <c r="R768" s="309"/>
      <c r="S768" s="309"/>
      <c r="T768" s="309"/>
      <c r="U768" s="309"/>
      <c r="V768" s="311"/>
      <c r="W768" s="311"/>
      <c r="X768" s="1647"/>
      <c r="Y768" s="311"/>
      <c r="Z768" s="311"/>
      <c r="AA768" s="311"/>
      <c r="AB768" s="311"/>
      <c r="AC768" s="311"/>
      <c r="AD768" s="311"/>
      <c r="AE768" s="311"/>
      <c r="AF768" s="311"/>
      <c r="AG768" s="311"/>
      <c r="AH768" s="311"/>
      <c r="AI768" s="311"/>
      <c r="AJ768" s="311"/>
      <c r="AK768" s="311"/>
      <c r="AL768" s="311"/>
      <c r="AM768" s="311"/>
    </row>
    <row r="769" spans="1:39" ht="15.75" customHeight="1">
      <c r="A769" s="1647"/>
      <c r="B769" s="311"/>
      <c r="C769" s="1647"/>
      <c r="D769" s="2173"/>
      <c r="E769" s="1586"/>
      <c r="F769" s="1954"/>
      <c r="G769" s="1586"/>
      <c r="H769" s="1586"/>
      <c r="I769" s="1647"/>
      <c r="J769" s="1647"/>
      <c r="K769" s="1647"/>
      <c r="L769" s="1586"/>
      <c r="M769" s="2174"/>
      <c r="N769" s="2174"/>
      <c r="O769" s="836"/>
      <c r="P769" s="2174"/>
      <c r="Q769" s="836"/>
      <c r="R769" s="309"/>
      <c r="S769" s="309"/>
      <c r="T769" s="309"/>
      <c r="U769" s="309"/>
      <c r="V769" s="311"/>
      <c r="W769" s="311"/>
      <c r="X769" s="1647"/>
      <c r="Y769" s="311"/>
      <c r="Z769" s="311"/>
      <c r="AA769" s="311"/>
      <c r="AB769" s="311"/>
      <c r="AC769" s="311"/>
      <c r="AD769" s="311"/>
      <c r="AE769" s="311"/>
      <c r="AF769" s="311"/>
      <c r="AG769" s="311"/>
      <c r="AH769" s="311"/>
      <c r="AI769" s="311"/>
      <c r="AJ769" s="311"/>
      <c r="AK769" s="311"/>
      <c r="AL769" s="311"/>
      <c r="AM769" s="311"/>
    </row>
    <row r="770" spans="1:39" ht="15.75" customHeight="1">
      <c r="A770" s="1647"/>
      <c r="B770" s="311"/>
      <c r="C770" s="1647"/>
      <c r="D770" s="2173"/>
      <c r="E770" s="1586"/>
      <c r="F770" s="1954"/>
      <c r="G770" s="1586"/>
      <c r="H770" s="1586"/>
      <c r="I770" s="1647"/>
      <c r="J770" s="1647"/>
      <c r="K770" s="1647"/>
      <c r="L770" s="1586"/>
      <c r="M770" s="2174"/>
      <c r="N770" s="2174"/>
      <c r="O770" s="836"/>
      <c r="P770" s="2174"/>
      <c r="Q770" s="836"/>
      <c r="R770" s="309"/>
      <c r="S770" s="309"/>
      <c r="T770" s="309"/>
      <c r="U770" s="309"/>
      <c r="V770" s="311"/>
      <c r="W770" s="311"/>
      <c r="X770" s="1647"/>
      <c r="Y770" s="311"/>
      <c r="Z770" s="311"/>
      <c r="AA770" s="311"/>
      <c r="AB770" s="311"/>
      <c r="AC770" s="311"/>
      <c r="AD770" s="311"/>
      <c r="AE770" s="311"/>
      <c r="AF770" s="311"/>
      <c r="AG770" s="311"/>
      <c r="AH770" s="311"/>
      <c r="AI770" s="311"/>
      <c r="AJ770" s="311"/>
      <c r="AK770" s="311"/>
      <c r="AL770" s="311"/>
      <c r="AM770" s="311"/>
    </row>
    <row r="771" spans="1:39" ht="15.75" customHeight="1">
      <c r="A771" s="1647"/>
      <c r="B771" s="311"/>
      <c r="C771" s="1647"/>
      <c r="D771" s="2173"/>
      <c r="E771" s="1586"/>
      <c r="F771" s="1954"/>
      <c r="G771" s="1586"/>
      <c r="H771" s="1586"/>
      <c r="I771" s="1647"/>
      <c r="J771" s="1647"/>
      <c r="K771" s="1647"/>
      <c r="L771" s="1586"/>
      <c r="M771" s="2174"/>
      <c r="N771" s="2174"/>
      <c r="O771" s="836"/>
      <c r="P771" s="2174"/>
      <c r="Q771" s="836"/>
      <c r="R771" s="309"/>
      <c r="S771" s="309"/>
      <c r="T771" s="309"/>
      <c r="U771" s="309"/>
      <c r="V771" s="311"/>
      <c r="W771" s="311"/>
      <c r="X771" s="1647"/>
      <c r="Y771" s="311"/>
      <c r="Z771" s="311"/>
      <c r="AA771" s="311"/>
      <c r="AB771" s="311"/>
      <c r="AC771" s="311"/>
      <c r="AD771" s="311"/>
      <c r="AE771" s="311"/>
      <c r="AF771" s="311"/>
      <c r="AG771" s="311"/>
      <c r="AH771" s="311"/>
      <c r="AI771" s="311"/>
      <c r="AJ771" s="311"/>
      <c r="AK771" s="311"/>
      <c r="AL771" s="311"/>
      <c r="AM771" s="311"/>
    </row>
    <row r="772" spans="1:39" ht="15.75" customHeight="1">
      <c r="A772" s="1647"/>
      <c r="B772" s="311"/>
      <c r="C772" s="1647"/>
      <c r="D772" s="2173"/>
      <c r="E772" s="1586"/>
      <c r="F772" s="1954"/>
      <c r="G772" s="1586"/>
      <c r="H772" s="1586"/>
      <c r="I772" s="1647"/>
      <c r="J772" s="1647"/>
      <c r="K772" s="1647"/>
      <c r="L772" s="1586"/>
      <c r="M772" s="2174"/>
      <c r="N772" s="2174"/>
      <c r="O772" s="836"/>
      <c r="P772" s="2174"/>
      <c r="Q772" s="836"/>
      <c r="R772" s="309"/>
      <c r="S772" s="309"/>
      <c r="T772" s="309"/>
      <c r="U772" s="309"/>
      <c r="V772" s="311"/>
      <c r="W772" s="311"/>
      <c r="X772" s="1647"/>
      <c r="Y772" s="311"/>
      <c r="Z772" s="311"/>
      <c r="AA772" s="311"/>
      <c r="AB772" s="311"/>
      <c r="AC772" s="311"/>
      <c r="AD772" s="311"/>
      <c r="AE772" s="311"/>
      <c r="AF772" s="311"/>
      <c r="AG772" s="311"/>
      <c r="AH772" s="311"/>
      <c r="AI772" s="311"/>
      <c r="AJ772" s="311"/>
      <c r="AK772" s="311"/>
      <c r="AL772" s="311"/>
      <c r="AM772" s="311"/>
    </row>
    <row r="773" spans="1:39" ht="15.75" customHeight="1">
      <c r="A773" s="1647"/>
      <c r="B773" s="311"/>
      <c r="C773" s="1647"/>
      <c r="D773" s="2173"/>
      <c r="E773" s="1586"/>
      <c r="F773" s="1954"/>
      <c r="G773" s="1586"/>
      <c r="H773" s="1586"/>
      <c r="I773" s="1647"/>
      <c r="J773" s="1647"/>
      <c r="K773" s="1647"/>
      <c r="L773" s="1586"/>
      <c r="M773" s="2174"/>
      <c r="N773" s="2174"/>
      <c r="O773" s="836"/>
      <c r="P773" s="2174"/>
      <c r="Q773" s="836"/>
      <c r="R773" s="309"/>
      <c r="S773" s="309"/>
      <c r="T773" s="309"/>
      <c r="U773" s="309"/>
      <c r="V773" s="311"/>
      <c r="W773" s="311"/>
      <c r="X773" s="1647"/>
      <c r="Y773" s="311"/>
      <c r="Z773" s="311"/>
      <c r="AA773" s="311"/>
      <c r="AB773" s="311"/>
      <c r="AC773" s="311"/>
      <c r="AD773" s="311"/>
      <c r="AE773" s="311"/>
      <c r="AF773" s="311"/>
      <c r="AG773" s="311"/>
      <c r="AH773" s="311"/>
      <c r="AI773" s="311"/>
      <c r="AJ773" s="311"/>
      <c r="AK773" s="311"/>
      <c r="AL773" s="311"/>
      <c r="AM773" s="311"/>
    </row>
    <row r="774" spans="1:39" ht="15.75" customHeight="1">
      <c r="A774" s="1647"/>
      <c r="B774" s="311"/>
      <c r="C774" s="1647"/>
      <c r="D774" s="2173"/>
      <c r="E774" s="1586"/>
      <c r="F774" s="1954"/>
      <c r="G774" s="1586"/>
      <c r="H774" s="1586"/>
      <c r="I774" s="1647"/>
      <c r="J774" s="1647"/>
      <c r="K774" s="1647"/>
      <c r="L774" s="1586"/>
      <c r="M774" s="2174"/>
      <c r="N774" s="2174"/>
      <c r="O774" s="836"/>
      <c r="P774" s="2174"/>
      <c r="Q774" s="836"/>
      <c r="R774" s="309"/>
      <c r="S774" s="309"/>
      <c r="T774" s="309"/>
      <c r="U774" s="309"/>
      <c r="V774" s="311"/>
      <c r="W774" s="311"/>
      <c r="X774" s="1647"/>
      <c r="Y774" s="311"/>
      <c r="Z774" s="311"/>
      <c r="AA774" s="311"/>
      <c r="AB774" s="311"/>
      <c r="AC774" s="311"/>
      <c r="AD774" s="311"/>
      <c r="AE774" s="311"/>
      <c r="AF774" s="311"/>
      <c r="AG774" s="311"/>
      <c r="AH774" s="311"/>
      <c r="AI774" s="311"/>
      <c r="AJ774" s="311"/>
      <c r="AK774" s="311"/>
      <c r="AL774" s="311"/>
      <c r="AM774" s="311"/>
    </row>
    <row r="775" spans="1:39" ht="15.75" customHeight="1">
      <c r="A775" s="1647"/>
      <c r="B775" s="311"/>
      <c r="C775" s="1647"/>
      <c r="D775" s="2173"/>
      <c r="E775" s="1586"/>
      <c r="F775" s="1954"/>
      <c r="G775" s="1586"/>
      <c r="H775" s="1586"/>
      <c r="I775" s="1647"/>
      <c r="J775" s="1647"/>
      <c r="K775" s="1647"/>
      <c r="L775" s="1586"/>
      <c r="M775" s="2174"/>
      <c r="N775" s="2174"/>
      <c r="O775" s="836"/>
      <c r="P775" s="2174"/>
      <c r="Q775" s="836"/>
      <c r="R775" s="309"/>
      <c r="S775" s="309"/>
      <c r="T775" s="309"/>
      <c r="U775" s="309"/>
      <c r="V775" s="311"/>
      <c r="W775" s="311"/>
      <c r="X775" s="1647"/>
      <c r="Y775" s="311"/>
      <c r="Z775" s="311"/>
      <c r="AA775" s="311"/>
      <c r="AB775" s="311"/>
      <c r="AC775" s="311"/>
      <c r="AD775" s="311"/>
      <c r="AE775" s="311"/>
      <c r="AF775" s="311"/>
      <c r="AG775" s="311"/>
      <c r="AH775" s="311"/>
      <c r="AI775" s="311"/>
      <c r="AJ775" s="311"/>
      <c r="AK775" s="311"/>
      <c r="AL775" s="311"/>
      <c r="AM775" s="311"/>
    </row>
    <row r="776" spans="1:39" ht="15.75" customHeight="1">
      <c r="A776" s="1647"/>
      <c r="B776" s="311"/>
      <c r="C776" s="1647"/>
      <c r="D776" s="2175"/>
      <c r="E776" s="1647"/>
      <c r="F776" s="1954"/>
      <c r="G776" s="1647"/>
      <c r="H776" s="1647"/>
      <c r="I776" s="1647"/>
      <c r="J776" s="1647"/>
      <c r="K776" s="1647"/>
      <c r="L776" s="1586"/>
      <c r="M776" s="2174"/>
      <c r="N776" s="2174"/>
      <c r="O776" s="836"/>
      <c r="P776" s="2174"/>
      <c r="Q776" s="836"/>
      <c r="R776" s="309"/>
      <c r="S776" s="309"/>
      <c r="T776" s="309"/>
      <c r="U776" s="309"/>
      <c r="V776" s="311"/>
      <c r="W776" s="311"/>
      <c r="X776" s="1647"/>
      <c r="Y776" s="311"/>
      <c r="Z776" s="311"/>
      <c r="AA776" s="311"/>
      <c r="AB776" s="311"/>
      <c r="AC776" s="311"/>
      <c r="AD776" s="311"/>
      <c r="AE776" s="311"/>
      <c r="AF776" s="311"/>
      <c r="AG776" s="311"/>
      <c r="AH776" s="311"/>
      <c r="AI776" s="311"/>
      <c r="AJ776" s="311"/>
      <c r="AK776" s="311"/>
      <c r="AL776" s="311"/>
      <c r="AM776" s="311"/>
    </row>
    <row r="777" spans="1:39" ht="15.75" customHeight="1">
      <c r="A777" s="1647"/>
      <c r="B777" s="311"/>
      <c r="C777" s="1647"/>
      <c r="D777" s="2175"/>
      <c r="E777" s="1647"/>
      <c r="F777" s="1954"/>
      <c r="G777" s="1647"/>
      <c r="H777" s="1647"/>
      <c r="I777" s="1647"/>
      <c r="J777" s="1647"/>
      <c r="K777" s="1647"/>
      <c r="L777" s="1586"/>
      <c r="M777" s="2174"/>
      <c r="N777" s="2174"/>
      <c r="O777" s="836"/>
      <c r="P777" s="2174"/>
      <c r="Q777" s="836"/>
      <c r="R777" s="309"/>
      <c r="S777" s="309"/>
      <c r="T777" s="309"/>
      <c r="U777" s="309"/>
      <c r="V777" s="311"/>
      <c r="W777" s="311"/>
      <c r="X777" s="1647"/>
      <c r="Y777" s="311"/>
      <c r="Z777" s="311"/>
      <c r="AA777" s="311"/>
      <c r="AB777" s="311"/>
      <c r="AC777" s="311"/>
      <c r="AD777" s="311"/>
      <c r="AE777" s="311"/>
      <c r="AF777" s="311"/>
      <c r="AG777" s="311"/>
      <c r="AH777" s="311"/>
      <c r="AI777" s="311"/>
      <c r="AJ777" s="311"/>
      <c r="AK777" s="311"/>
      <c r="AL777" s="311"/>
      <c r="AM777" s="311"/>
    </row>
    <row r="778" spans="1:39" ht="15.75" customHeight="1">
      <c r="A778" s="1647"/>
      <c r="B778" s="311"/>
      <c r="C778" s="1647"/>
      <c r="D778" s="2175"/>
      <c r="E778" s="1647"/>
      <c r="F778" s="1954"/>
      <c r="G778" s="1647"/>
      <c r="H778" s="1647"/>
      <c r="I778" s="1647"/>
      <c r="J778" s="1647"/>
      <c r="K778" s="1647"/>
      <c r="L778" s="1586"/>
      <c r="M778" s="2174"/>
      <c r="N778" s="2174"/>
      <c r="O778" s="836"/>
      <c r="P778" s="2174"/>
      <c r="Q778" s="836"/>
      <c r="R778" s="309"/>
      <c r="S778" s="309"/>
      <c r="T778" s="309"/>
      <c r="U778" s="309"/>
      <c r="V778" s="311"/>
      <c r="W778" s="311"/>
      <c r="X778" s="1647"/>
      <c r="Y778" s="311"/>
      <c r="Z778" s="311"/>
      <c r="AA778" s="311"/>
      <c r="AB778" s="311"/>
      <c r="AC778" s="311"/>
      <c r="AD778" s="311"/>
      <c r="AE778" s="311"/>
      <c r="AF778" s="311"/>
      <c r="AG778" s="311"/>
      <c r="AH778" s="311"/>
      <c r="AI778" s="311"/>
      <c r="AJ778" s="311"/>
      <c r="AK778" s="311"/>
      <c r="AL778" s="311"/>
      <c r="AM778" s="311"/>
    </row>
    <row r="779" spans="1:39" ht="15.75" customHeight="1">
      <c r="A779" s="1647"/>
      <c r="B779" s="311"/>
      <c r="C779" s="1647"/>
      <c r="D779" s="2175"/>
      <c r="E779" s="1647"/>
      <c r="F779" s="1954"/>
      <c r="G779" s="1647"/>
      <c r="H779" s="1647"/>
      <c r="I779" s="1647"/>
      <c r="J779" s="1647"/>
      <c r="K779" s="1647"/>
      <c r="L779" s="1586"/>
      <c r="M779" s="2174"/>
      <c r="N779" s="2174"/>
      <c r="O779" s="836"/>
      <c r="P779" s="2174"/>
      <c r="Q779" s="836"/>
      <c r="R779" s="309"/>
      <c r="S779" s="309"/>
      <c r="T779" s="309"/>
      <c r="U779" s="309"/>
      <c r="V779" s="311"/>
      <c r="W779" s="311"/>
      <c r="X779" s="1647"/>
      <c r="Y779" s="311"/>
      <c r="Z779" s="311"/>
      <c r="AA779" s="311"/>
      <c r="AB779" s="311"/>
      <c r="AC779" s="311"/>
      <c r="AD779" s="311"/>
      <c r="AE779" s="311"/>
      <c r="AF779" s="311"/>
      <c r="AG779" s="311"/>
      <c r="AH779" s="311"/>
      <c r="AI779" s="311"/>
      <c r="AJ779" s="311"/>
      <c r="AK779" s="311"/>
      <c r="AL779" s="311"/>
      <c r="AM779" s="311"/>
    </row>
    <row r="780" spans="1:39" ht="15.75" customHeight="1">
      <c r="A780" s="1647"/>
      <c r="B780" s="311"/>
      <c r="C780" s="1647"/>
      <c r="D780" s="2175"/>
      <c r="E780" s="1647"/>
      <c r="F780" s="1954"/>
      <c r="G780" s="1647"/>
      <c r="H780" s="1647"/>
      <c r="I780" s="1647"/>
      <c r="J780" s="1647"/>
      <c r="K780" s="1647"/>
      <c r="L780" s="1586"/>
      <c r="M780" s="2174"/>
      <c r="N780" s="2174"/>
      <c r="O780" s="836"/>
      <c r="P780" s="2174"/>
      <c r="Q780" s="836"/>
      <c r="R780" s="309"/>
      <c r="S780" s="309"/>
      <c r="T780" s="309"/>
      <c r="U780" s="309"/>
      <c r="V780" s="311"/>
      <c r="W780" s="311"/>
      <c r="X780" s="1647"/>
      <c r="Y780" s="311"/>
      <c r="Z780" s="311"/>
      <c r="AA780" s="311"/>
      <c r="AB780" s="311"/>
      <c r="AC780" s="311"/>
      <c r="AD780" s="311"/>
      <c r="AE780" s="311"/>
      <c r="AF780" s="311"/>
      <c r="AG780" s="311"/>
      <c r="AH780" s="311"/>
      <c r="AI780" s="311"/>
      <c r="AJ780" s="311"/>
      <c r="AK780" s="311"/>
      <c r="AL780" s="311"/>
      <c r="AM780" s="311"/>
    </row>
    <row r="781" spans="1:39" ht="15.75" customHeight="1">
      <c r="A781" s="1647"/>
      <c r="B781" s="311"/>
      <c r="C781" s="1647"/>
      <c r="D781" s="2175"/>
      <c r="E781" s="1647"/>
      <c r="F781" s="1954"/>
      <c r="G781" s="1647"/>
      <c r="H781" s="1647"/>
      <c r="I781" s="1647"/>
      <c r="J781" s="1647"/>
      <c r="K781" s="1647"/>
      <c r="L781" s="1586"/>
      <c r="M781" s="2174"/>
      <c r="N781" s="2174"/>
      <c r="O781" s="836"/>
      <c r="P781" s="2174"/>
      <c r="Q781" s="836"/>
      <c r="R781" s="309"/>
      <c r="S781" s="309"/>
      <c r="T781" s="309"/>
      <c r="U781" s="309"/>
      <c r="V781" s="311"/>
      <c r="W781" s="311"/>
      <c r="X781" s="1647"/>
      <c r="Y781" s="311"/>
      <c r="Z781" s="311"/>
      <c r="AA781" s="311"/>
      <c r="AB781" s="311"/>
      <c r="AC781" s="311"/>
      <c r="AD781" s="311"/>
      <c r="AE781" s="311"/>
      <c r="AF781" s="311"/>
      <c r="AG781" s="311"/>
      <c r="AH781" s="311"/>
      <c r="AI781" s="311"/>
      <c r="AJ781" s="311"/>
      <c r="AK781" s="311"/>
      <c r="AL781" s="311"/>
      <c r="AM781" s="311"/>
    </row>
    <row r="782" spans="1:39" ht="15.75" customHeight="1">
      <c r="A782" s="1647"/>
      <c r="B782" s="311"/>
      <c r="C782" s="1647"/>
      <c r="D782" s="2175"/>
      <c r="E782" s="1647"/>
      <c r="F782" s="1954"/>
      <c r="G782" s="1647"/>
      <c r="H782" s="1647"/>
      <c r="I782" s="1647"/>
      <c r="J782" s="1647"/>
      <c r="K782" s="1647"/>
      <c r="L782" s="1586"/>
      <c r="M782" s="2174"/>
      <c r="N782" s="2174"/>
      <c r="O782" s="836"/>
      <c r="P782" s="2174"/>
      <c r="Q782" s="836"/>
      <c r="R782" s="309"/>
      <c r="S782" s="309"/>
      <c r="T782" s="309"/>
      <c r="U782" s="309"/>
      <c r="V782" s="311"/>
      <c r="W782" s="311"/>
      <c r="X782" s="1647"/>
      <c r="Y782" s="311"/>
      <c r="Z782" s="311"/>
      <c r="AA782" s="311"/>
      <c r="AB782" s="311"/>
      <c r="AC782" s="311"/>
      <c r="AD782" s="311"/>
      <c r="AE782" s="311"/>
      <c r="AF782" s="311"/>
      <c r="AG782" s="311"/>
      <c r="AH782" s="311"/>
      <c r="AI782" s="311"/>
      <c r="AJ782" s="311"/>
      <c r="AK782" s="311"/>
      <c r="AL782" s="311"/>
      <c r="AM782" s="311"/>
    </row>
    <row r="783" spans="1:39" ht="15.75" customHeight="1">
      <c r="A783" s="1647"/>
      <c r="B783" s="311"/>
      <c r="C783" s="1647"/>
      <c r="D783" s="2175"/>
      <c r="E783" s="1647"/>
      <c r="F783" s="1954"/>
      <c r="G783" s="1647"/>
      <c r="H783" s="1647"/>
      <c r="I783" s="1647"/>
      <c r="J783" s="1647"/>
      <c r="K783" s="1647"/>
      <c r="L783" s="1586"/>
      <c r="M783" s="2174"/>
      <c r="N783" s="2174"/>
      <c r="O783" s="836"/>
      <c r="P783" s="2174"/>
      <c r="Q783" s="836"/>
      <c r="R783" s="309"/>
      <c r="S783" s="309"/>
      <c r="T783" s="309"/>
      <c r="U783" s="309"/>
      <c r="V783" s="311"/>
      <c r="W783" s="311"/>
      <c r="X783" s="1647"/>
      <c r="Y783" s="311"/>
      <c r="Z783" s="311"/>
      <c r="AA783" s="311"/>
      <c r="AB783" s="311"/>
      <c r="AC783" s="311"/>
      <c r="AD783" s="311"/>
      <c r="AE783" s="311"/>
      <c r="AF783" s="311"/>
      <c r="AG783" s="311"/>
      <c r="AH783" s="311"/>
      <c r="AI783" s="311"/>
      <c r="AJ783" s="311"/>
      <c r="AK783" s="311"/>
      <c r="AL783" s="311"/>
      <c r="AM783" s="311"/>
    </row>
    <row r="784" spans="1:39" ht="15.75" customHeight="1">
      <c r="A784" s="1647"/>
      <c r="B784" s="311"/>
      <c r="C784" s="1647"/>
      <c r="D784" s="2175"/>
      <c r="E784" s="1647"/>
      <c r="F784" s="1954"/>
      <c r="G784" s="1647"/>
      <c r="H784" s="1647"/>
      <c r="I784" s="1647"/>
      <c r="J784" s="1647"/>
      <c r="K784" s="1647"/>
      <c r="L784" s="1586"/>
      <c r="M784" s="2174"/>
      <c r="N784" s="2174"/>
      <c r="O784" s="836"/>
      <c r="P784" s="2174"/>
      <c r="Q784" s="836"/>
      <c r="R784" s="309"/>
      <c r="S784" s="309"/>
      <c r="T784" s="309"/>
      <c r="U784" s="309"/>
      <c r="V784" s="311"/>
      <c r="W784" s="311"/>
      <c r="X784" s="1647"/>
      <c r="Y784" s="311"/>
      <c r="Z784" s="311"/>
      <c r="AA784" s="311"/>
      <c r="AB784" s="311"/>
      <c r="AC784" s="311"/>
      <c r="AD784" s="311"/>
      <c r="AE784" s="311"/>
      <c r="AF784" s="311"/>
      <c r="AG784" s="311"/>
      <c r="AH784" s="311"/>
      <c r="AI784" s="311"/>
      <c r="AJ784" s="311"/>
      <c r="AK784" s="311"/>
      <c r="AL784" s="311"/>
      <c r="AM784" s="311"/>
    </row>
    <row r="785" spans="1:39" ht="15.75" customHeight="1">
      <c r="A785" s="1647"/>
      <c r="B785" s="311"/>
      <c r="C785" s="1647"/>
      <c r="D785" s="2175"/>
      <c r="E785" s="1647"/>
      <c r="F785" s="1954"/>
      <c r="G785" s="1647"/>
      <c r="H785" s="1647"/>
      <c r="I785" s="1647"/>
      <c r="J785" s="1647"/>
      <c r="K785" s="1647"/>
      <c r="L785" s="1586"/>
      <c r="M785" s="2174"/>
      <c r="N785" s="2174"/>
      <c r="O785" s="836"/>
      <c r="P785" s="2174"/>
      <c r="Q785" s="836"/>
      <c r="R785" s="309"/>
      <c r="S785" s="309"/>
      <c r="T785" s="309"/>
      <c r="U785" s="309"/>
      <c r="V785" s="311"/>
      <c r="W785" s="311"/>
      <c r="X785" s="1647"/>
      <c r="Y785" s="311"/>
      <c r="Z785" s="311"/>
      <c r="AA785" s="311"/>
      <c r="AB785" s="311"/>
      <c r="AC785" s="311"/>
      <c r="AD785" s="311"/>
      <c r="AE785" s="311"/>
      <c r="AF785" s="311"/>
      <c r="AG785" s="311"/>
      <c r="AH785" s="311"/>
      <c r="AI785" s="311"/>
      <c r="AJ785" s="311"/>
      <c r="AK785" s="311"/>
      <c r="AL785" s="311"/>
      <c r="AM785" s="311"/>
    </row>
    <row r="786" spans="1:39" ht="15.75" customHeight="1">
      <c r="A786" s="1647"/>
      <c r="B786" s="311"/>
      <c r="C786" s="1647"/>
      <c r="D786" s="2175"/>
      <c r="E786" s="1647"/>
      <c r="F786" s="1954"/>
      <c r="G786" s="1647"/>
      <c r="H786" s="1647"/>
      <c r="I786" s="1647"/>
      <c r="J786" s="1647"/>
      <c r="K786" s="1647"/>
      <c r="L786" s="1586"/>
      <c r="M786" s="2174"/>
      <c r="N786" s="2174"/>
      <c r="O786" s="836"/>
      <c r="P786" s="2174"/>
      <c r="Q786" s="836"/>
      <c r="R786" s="309"/>
      <c r="S786" s="309"/>
      <c r="T786" s="309"/>
      <c r="U786" s="309"/>
      <c r="V786" s="311"/>
      <c r="W786" s="311"/>
      <c r="X786" s="1647"/>
      <c r="Y786" s="311"/>
      <c r="Z786" s="311"/>
      <c r="AA786" s="311"/>
      <c r="AB786" s="311"/>
      <c r="AC786" s="311"/>
      <c r="AD786" s="311"/>
      <c r="AE786" s="311"/>
      <c r="AF786" s="311"/>
      <c r="AG786" s="311"/>
      <c r="AH786" s="311"/>
      <c r="AI786" s="311"/>
      <c r="AJ786" s="311"/>
      <c r="AK786" s="311"/>
      <c r="AL786" s="311"/>
      <c r="AM786" s="311"/>
    </row>
    <row r="787" spans="1:39" ht="15.75" customHeight="1">
      <c r="A787" s="1647"/>
      <c r="B787" s="311"/>
      <c r="C787" s="1647"/>
      <c r="D787" s="2175"/>
      <c r="E787" s="1647"/>
      <c r="F787" s="1954"/>
      <c r="G787" s="1647"/>
      <c r="H787" s="1647"/>
      <c r="I787" s="1647"/>
      <c r="J787" s="1647"/>
      <c r="K787" s="1647"/>
      <c r="L787" s="1586"/>
      <c r="M787" s="2174"/>
      <c r="N787" s="2174"/>
      <c r="O787" s="836"/>
      <c r="P787" s="2174"/>
      <c r="Q787" s="836"/>
      <c r="R787" s="309"/>
      <c r="S787" s="309"/>
      <c r="T787" s="309"/>
      <c r="U787" s="309"/>
      <c r="V787" s="311"/>
      <c r="W787" s="311"/>
      <c r="X787" s="1647"/>
      <c r="Y787" s="311"/>
      <c r="Z787" s="311"/>
      <c r="AA787" s="311"/>
      <c r="AB787" s="311"/>
      <c r="AC787" s="311"/>
      <c r="AD787" s="311"/>
      <c r="AE787" s="311"/>
      <c r="AF787" s="311"/>
      <c r="AG787" s="311"/>
      <c r="AH787" s="311"/>
      <c r="AI787" s="311"/>
      <c r="AJ787" s="311"/>
      <c r="AK787" s="311"/>
      <c r="AL787" s="311"/>
      <c r="AM787" s="311"/>
    </row>
    <row r="788" spans="1:39" ht="15.75" customHeight="1">
      <c r="A788" s="1647"/>
      <c r="B788" s="311"/>
      <c r="C788" s="1647"/>
      <c r="D788" s="2175"/>
      <c r="E788" s="1647"/>
      <c r="F788" s="1954"/>
      <c r="G788" s="1647"/>
      <c r="H788" s="1647"/>
      <c r="I788" s="1647"/>
      <c r="J788" s="1647"/>
      <c r="K788" s="1647"/>
      <c r="L788" s="1586"/>
      <c r="M788" s="2174"/>
      <c r="N788" s="2174"/>
      <c r="O788" s="836"/>
      <c r="P788" s="2174"/>
      <c r="Q788" s="836"/>
      <c r="R788" s="309"/>
      <c r="S788" s="309"/>
      <c r="T788" s="309"/>
      <c r="U788" s="309"/>
      <c r="V788" s="311"/>
      <c r="W788" s="311"/>
      <c r="X788" s="1647"/>
      <c r="Y788" s="311"/>
      <c r="Z788" s="311"/>
      <c r="AA788" s="311"/>
      <c r="AB788" s="311"/>
      <c r="AC788" s="311"/>
      <c r="AD788" s="311"/>
      <c r="AE788" s="311"/>
      <c r="AF788" s="311"/>
      <c r="AG788" s="311"/>
      <c r="AH788" s="311"/>
      <c r="AI788" s="311"/>
      <c r="AJ788" s="311"/>
      <c r="AK788" s="311"/>
      <c r="AL788" s="311"/>
      <c r="AM788" s="311"/>
    </row>
    <row r="789" spans="1:39" ht="15.75" customHeight="1">
      <c r="A789" s="1647"/>
      <c r="B789" s="311"/>
      <c r="C789" s="1647"/>
      <c r="D789" s="2175"/>
      <c r="E789" s="1647"/>
      <c r="F789" s="1954"/>
      <c r="G789" s="1647"/>
      <c r="H789" s="1647"/>
      <c r="I789" s="1647"/>
      <c r="J789" s="1647"/>
      <c r="K789" s="1647"/>
      <c r="L789" s="1586"/>
      <c r="M789" s="2174"/>
      <c r="N789" s="2174"/>
      <c r="O789" s="836"/>
      <c r="P789" s="2174"/>
      <c r="Q789" s="836"/>
      <c r="R789" s="309"/>
      <c r="S789" s="309"/>
      <c r="T789" s="309"/>
      <c r="U789" s="309"/>
      <c r="V789" s="311"/>
      <c r="W789" s="311"/>
      <c r="X789" s="1647"/>
      <c r="Y789" s="311"/>
      <c r="Z789" s="311"/>
      <c r="AA789" s="311"/>
      <c r="AB789" s="311"/>
      <c r="AC789" s="311"/>
      <c r="AD789" s="311"/>
      <c r="AE789" s="311"/>
      <c r="AF789" s="311"/>
      <c r="AG789" s="311"/>
      <c r="AH789" s="311"/>
      <c r="AI789" s="311"/>
      <c r="AJ789" s="311"/>
      <c r="AK789" s="311"/>
      <c r="AL789" s="311"/>
      <c r="AM789" s="311"/>
    </row>
    <row r="790" spans="1:39" ht="15.75" customHeight="1">
      <c r="A790" s="1647"/>
      <c r="B790" s="311"/>
      <c r="C790" s="1647"/>
      <c r="D790" s="2175"/>
      <c r="E790" s="1647"/>
      <c r="F790" s="1954"/>
      <c r="G790" s="1647"/>
      <c r="H790" s="1647"/>
      <c r="I790" s="1647"/>
      <c r="J790" s="1647"/>
      <c r="K790" s="1647"/>
      <c r="L790" s="1586"/>
      <c r="M790" s="2174"/>
      <c r="N790" s="2174"/>
      <c r="O790" s="836"/>
      <c r="P790" s="2174"/>
      <c r="Q790" s="836"/>
      <c r="R790" s="309"/>
      <c r="S790" s="309"/>
      <c r="T790" s="309"/>
      <c r="U790" s="309"/>
      <c r="V790" s="311"/>
      <c r="W790" s="311"/>
      <c r="X790" s="1647"/>
      <c r="Y790" s="311"/>
      <c r="Z790" s="311"/>
      <c r="AA790" s="311"/>
      <c r="AB790" s="311"/>
      <c r="AC790" s="311"/>
      <c r="AD790" s="311"/>
      <c r="AE790" s="311"/>
      <c r="AF790" s="311"/>
      <c r="AG790" s="311"/>
      <c r="AH790" s="311"/>
      <c r="AI790" s="311"/>
      <c r="AJ790" s="311"/>
      <c r="AK790" s="311"/>
      <c r="AL790" s="311"/>
      <c r="AM790" s="311"/>
    </row>
    <row r="791" spans="1:39" ht="15.75" customHeight="1">
      <c r="A791" s="1647"/>
      <c r="B791" s="311"/>
      <c r="C791" s="1647"/>
      <c r="D791" s="2175"/>
      <c r="E791" s="1647"/>
      <c r="F791" s="1954"/>
      <c r="G791" s="1647"/>
      <c r="H791" s="1647"/>
      <c r="I791" s="1647"/>
      <c r="J791" s="1647"/>
      <c r="K791" s="1647"/>
      <c r="L791" s="1586"/>
      <c r="M791" s="2174"/>
      <c r="N791" s="2174"/>
      <c r="O791" s="836"/>
      <c r="P791" s="2174"/>
      <c r="Q791" s="836"/>
      <c r="R791" s="309"/>
      <c r="S791" s="309"/>
      <c r="T791" s="309"/>
      <c r="U791" s="309"/>
      <c r="V791" s="311"/>
      <c r="W791" s="311"/>
      <c r="X791" s="1647"/>
      <c r="Y791" s="311"/>
      <c r="Z791" s="311"/>
      <c r="AA791" s="311"/>
      <c r="AB791" s="311"/>
      <c r="AC791" s="311"/>
      <c r="AD791" s="311"/>
      <c r="AE791" s="311"/>
      <c r="AF791" s="311"/>
      <c r="AG791" s="311"/>
      <c r="AH791" s="311"/>
      <c r="AI791" s="311"/>
      <c r="AJ791" s="311"/>
      <c r="AK791" s="311"/>
      <c r="AL791" s="311"/>
      <c r="AM791" s="311"/>
    </row>
    <row r="792" spans="1:39" ht="15.75" customHeight="1">
      <c r="A792" s="1647"/>
      <c r="B792" s="311"/>
      <c r="C792" s="1647"/>
      <c r="D792" s="2175"/>
      <c r="E792" s="1647"/>
      <c r="F792" s="1954"/>
      <c r="G792" s="1647"/>
      <c r="H792" s="1647"/>
      <c r="I792" s="1647"/>
      <c r="J792" s="1647"/>
      <c r="K792" s="1647"/>
      <c r="L792" s="1586"/>
      <c r="M792" s="2174"/>
      <c r="N792" s="2174"/>
      <c r="O792" s="836"/>
      <c r="P792" s="2174"/>
      <c r="Q792" s="836"/>
      <c r="R792" s="309"/>
      <c r="S792" s="309"/>
      <c r="T792" s="309"/>
      <c r="U792" s="309"/>
      <c r="V792" s="311"/>
      <c r="W792" s="311"/>
      <c r="X792" s="1647"/>
      <c r="Y792" s="311"/>
      <c r="Z792" s="311"/>
      <c r="AA792" s="311"/>
      <c r="AB792" s="311"/>
      <c r="AC792" s="311"/>
      <c r="AD792" s="311"/>
      <c r="AE792" s="311"/>
      <c r="AF792" s="311"/>
      <c r="AG792" s="311"/>
      <c r="AH792" s="311"/>
      <c r="AI792" s="311"/>
      <c r="AJ792" s="311"/>
      <c r="AK792" s="311"/>
      <c r="AL792" s="311"/>
      <c r="AM792" s="311"/>
    </row>
    <row r="793" spans="1:39" ht="15.75" customHeight="1">
      <c r="A793" s="1647"/>
      <c r="B793" s="311"/>
      <c r="C793" s="1647"/>
      <c r="D793" s="2175"/>
      <c r="E793" s="1647"/>
      <c r="F793" s="1954"/>
      <c r="G793" s="1647"/>
      <c r="H793" s="1647"/>
      <c r="I793" s="1647"/>
      <c r="J793" s="1647"/>
      <c r="K793" s="1647"/>
      <c r="L793" s="1586"/>
      <c r="M793" s="2174"/>
      <c r="N793" s="2174"/>
      <c r="O793" s="836"/>
      <c r="P793" s="2174"/>
      <c r="Q793" s="836"/>
      <c r="R793" s="309"/>
      <c r="S793" s="309"/>
      <c r="T793" s="309"/>
      <c r="U793" s="309"/>
      <c r="V793" s="311"/>
      <c r="W793" s="311"/>
      <c r="X793" s="1647"/>
      <c r="Y793" s="311"/>
      <c r="Z793" s="311"/>
      <c r="AA793" s="311"/>
      <c r="AB793" s="311"/>
      <c r="AC793" s="311"/>
      <c r="AD793" s="311"/>
      <c r="AE793" s="311"/>
      <c r="AF793" s="311"/>
      <c r="AG793" s="311"/>
      <c r="AH793" s="311"/>
      <c r="AI793" s="311"/>
      <c r="AJ793" s="311"/>
      <c r="AK793" s="311"/>
      <c r="AL793" s="311"/>
      <c r="AM793" s="311"/>
    </row>
    <row r="794" spans="1:39" ht="15.75" customHeight="1">
      <c r="A794" s="1647"/>
      <c r="B794" s="311"/>
      <c r="C794" s="1647"/>
      <c r="D794" s="2175"/>
      <c r="E794" s="1647"/>
      <c r="F794" s="1954"/>
      <c r="G794" s="1647"/>
      <c r="H794" s="1647"/>
      <c r="I794" s="1647"/>
      <c r="J794" s="1647"/>
      <c r="K794" s="1647"/>
      <c r="L794" s="1586"/>
      <c r="M794" s="2174"/>
      <c r="N794" s="2174"/>
      <c r="O794" s="836"/>
      <c r="P794" s="2174"/>
      <c r="Q794" s="836"/>
      <c r="R794" s="309"/>
      <c r="S794" s="309"/>
      <c r="T794" s="309"/>
      <c r="U794" s="309"/>
      <c r="V794" s="311"/>
      <c r="W794" s="311"/>
      <c r="X794" s="1647"/>
      <c r="Y794" s="311"/>
      <c r="Z794" s="311"/>
      <c r="AA794" s="311"/>
      <c r="AB794" s="311"/>
      <c r="AC794" s="311"/>
      <c r="AD794" s="311"/>
      <c r="AE794" s="311"/>
      <c r="AF794" s="311"/>
      <c r="AG794" s="311"/>
      <c r="AH794" s="311"/>
      <c r="AI794" s="311"/>
      <c r="AJ794" s="311"/>
      <c r="AK794" s="311"/>
      <c r="AL794" s="311"/>
      <c r="AM794" s="311"/>
    </row>
    <row r="795" spans="1:39" ht="15.75" customHeight="1">
      <c r="A795" s="1647"/>
      <c r="B795" s="311"/>
      <c r="C795" s="1647"/>
      <c r="D795" s="2175"/>
      <c r="E795" s="1647"/>
      <c r="F795" s="1954"/>
      <c r="G795" s="1647"/>
      <c r="H795" s="1647"/>
      <c r="I795" s="1647"/>
      <c r="J795" s="1647"/>
      <c r="K795" s="1647"/>
      <c r="L795" s="1586"/>
      <c r="M795" s="2174"/>
      <c r="N795" s="2174"/>
      <c r="O795" s="836"/>
      <c r="P795" s="2174"/>
      <c r="Q795" s="836"/>
      <c r="R795" s="309"/>
      <c r="S795" s="309"/>
      <c r="T795" s="309"/>
      <c r="U795" s="309"/>
      <c r="V795" s="311"/>
      <c r="W795" s="311"/>
      <c r="X795" s="1647"/>
      <c r="Y795" s="311"/>
      <c r="Z795" s="311"/>
      <c r="AA795" s="311"/>
      <c r="AB795" s="311"/>
      <c r="AC795" s="311"/>
      <c r="AD795" s="311"/>
      <c r="AE795" s="311"/>
      <c r="AF795" s="311"/>
      <c r="AG795" s="311"/>
      <c r="AH795" s="311"/>
      <c r="AI795" s="311"/>
      <c r="AJ795" s="311"/>
      <c r="AK795" s="311"/>
      <c r="AL795" s="311"/>
      <c r="AM795" s="311"/>
    </row>
    <row r="796" spans="1:39" ht="15.75" customHeight="1">
      <c r="A796" s="1647"/>
      <c r="B796" s="311"/>
      <c r="C796" s="1647"/>
      <c r="D796" s="2175"/>
      <c r="E796" s="1647"/>
      <c r="F796" s="1954"/>
      <c r="G796" s="1647"/>
      <c r="H796" s="1647"/>
      <c r="I796" s="1647"/>
      <c r="J796" s="1647"/>
      <c r="K796" s="1647"/>
      <c r="L796" s="1586"/>
      <c r="M796" s="2174"/>
      <c r="N796" s="2174"/>
      <c r="O796" s="836"/>
      <c r="P796" s="2174"/>
      <c r="Q796" s="836"/>
      <c r="R796" s="309"/>
      <c r="S796" s="309"/>
      <c r="T796" s="309"/>
      <c r="U796" s="309"/>
      <c r="V796" s="311"/>
      <c r="W796" s="311"/>
      <c r="X796" s="1647"/>
      <c r="Y796" s="311"/>
      <c r="Z796" s="311"/>
      <c r="AA796" s="311"/>
      <c r="AB796" s="311"/>
      <c r="AC796" s="311"/>
      <c r="AD796" s="311"/>
      <c r="AE796" s="311"/>
      <c r="AF796" s="311"/>
      <c r="AG796" s="311"/>
      <c r="AH796" s="311"/>
      <c r="AI796" s="311"/>
      <c r="AJ796" s="311"/>
      <c r="AK796" s="311"/>
      <c r="AL796" s="311"/>
      <c r="AM796" s="311"/>
    </row>
    <row r="797" spans="1:39" ht="15.75" customHeight="1">
      <c r="A797" s="1647"/>
      <c r="B797" s="311"/>
      <c r="C797" s="1647"/>
      <c r="D797" s="2175"/>
      <c r="E797" s="1647"/>
      <c r="F797" s="1954"/>
      <c r="G797" s="1647"/>
      <c r="H797" s="1647"/>
      <c r="I797" s="1647"/>
      <c r="J797" s="1647"/>
      <c r="K797" s="1647"/>
      <c r="L797" s="1586"/>
      <c r="M797" s="2174"/>
      <c r="N797" s="2174"/>
      <c r="O797" s="836"/>
      <c r="P797" s="2174"/>
      <c r="Q797" s="836"/>
      <c r="R797" s="309"/>
      <c r="S797" s="309"/>
      <c r="T797" s="309"/>
      <c r="U797" s="309"/>
      <c r="V797" s="311"/>
      <c r="W797" s="311"/>
      <c r="X797" s="1647"/>
      <c r="Y797" s="311"/>
      <c r="Z797" s="311"/>
      <c r="AA797" s="311"/>
      <c r="AB797" s="311"/>
      <c r="AC797" s="311"/>
      <c r="AD797" s="311"/>
      <c r="AE797" s="311"/>
      <c r="AF797" s="311"/>
      <c r="AG797" s="311"/>
      <c r="AH797" s="311"/>
      <c r="AI797" s="311"/>
      <c r="AJ797" s="311"/>
      <c r="AK797" s="311"/>
      <c r="AL797" s="311"/>
      <c r="AM797" s="311"/>
    </row>
  </sheetData>
  <customSheetViews>
    <customSheetView guid="{E35DC7DC-3457-48C8-A5BC-48210E8789BE}" filter="1" showAutoFilter="1">
      <pageMargins left="0.7" right="0.7" top="0.75" bottom="0.75" header="0.3" footer="0.3"/>
      <autoFilter ref="O1:O775"/>
    </customSheetView>
    <customSheetView guid="{33EFB045-6F18-44EF-AF30-A70FBA4175CB}" filter="1" showAutoFilter="1">
      <pageMargins left="0.7" right="0.7" top="0.75" bottom="0.75" header="0.3" footer="0.3"/>
      <autoFilter ref="A1:W797"/>
    </customSheetView>
  </customSheetViews>
  <conditionalFormatting sqref="F58">
    <cfRule type="containsText" dxfId="274" priority="1" operator="containsText" text="F">
      <formula>NOT(ISERROR(SEARCH(("F"),(F58))))</formula>
    </cfRule>
  </conditionalFormatting>
  <conditionalFormatting sqref="O58:Q58">
    <cfRule type="expression" dxfId="273" priority="2">
      <formula>AND(ISNUMBER(O58),TRUNC(O58)&lt;TODAY())</formula>
    </cfRule>
  </conditionalFormatting>
  <conditionalFormatting sqref="Q68">
    <cfRule type="expression" dxfId="272" priority="3">
      <formula>AND(ISNUMBER(Q68),TRUNC(Q68)&lt;TODAY())</formula>
    </cfRule>
  </conditionalFormatting>
  <conditionalFormatting sqref="F68">
    <cfRule type="containsText" dxfId="271" priority="4" operator="containsText" text="F">
      <formula>NOT(ISERROR(SEARCH(("F"),(F68))))</formula>
    </cfRule>
  </conditionalFormatting>
  <conditionalFormatting sqref="O68">
    <cfRule type="expression" dxfId="270" priority="5">
      <formula>AND(ISNUMBER(O68),TRUNC(O68)&lt;TODAY())</formula>
    </cfRule>
  </conditionalFormatting>
  <conditionalFormatting sqref="P68">
    <cfRule type="expression" dxfId="269" priority="6">
      <formula>AND(ISNUMBER(P68),TRUNC(P68)&lt;TODAY())</formula>
    </cfRule>
  </conditionalFormatting>
  <conditionalFormatting sqref="F81">
    <cfRule type="containsText" dxfId="268" priority="7" operator="containsText" text="F">
      <formula>NOT(ISERROR(SEARCH(("F"),(F81))))</formula>
    </cfRule>
  </conditionalFormatting>
  <conditionalFormatting sqref="O81:Q81">
    <cfRule type="expression" dxfId="267" priority="8">
      <formula>AND(ISNUMBER(O81),TRUNC(O81)&lt;TODAY())</formula>
    </cfRule>
  </conditionalFormatting>
  <conditionalFormatting sqref="O80:Q80">
    <cfRule type="expression" dxfId="266" priority="9">
      <formula>AND(ISNUMBER(O80),TRUNC(O80)&lt;TODAY())</formula>
    </cfRule>
  </conditionalFormatting>
  <conditionalFormatting sqref="F80">
    <cfRule type="containsText" dxfId="265" priority="10" operator="containsText" text="F">
      <formula>NOT(ISERROR(SEARCH(("F"),(F80))))</formula>
    </cfRule>
  </conditionalFormatting>
  <conditionalFormatting sqref="F108">
    <cfRule type="containsText" dxfId="264" priority="11" operator="containsText" text="F">
      <formula>NOT(ISERROR(SEARCH(("F"),(F108))))</formula>
    </cfRule>
  </conditionalFormatting>
  <conditionalFormatting sqref="O108:Q108">
    <cfRule type="expression" dxfId="263" priority="12">
      <formula>AND(ISNUMBER(O108),TRUNC(O108)&lt;TODAY())</formula>
    </cfRule>
  </conditionalFormatting>
  <conditionalFormatting sqref="F87">
    <cfRule type="containsText" dxfId="262" priority="13" operator="containsText" text="F">
      <formula>NOT(ISERROR(SEARCH(("F"),(F87))))</formula>
    </cfRule>
  </conditionalFormatting>
  <conditionalFormatting sqref="O87:Q87">
    <cfRule type="expression" dxfId="261" priority="14">
      <formula>AND(ISNUMBER(O87),TRUNC(O87)&lt;TODAY())</formula>
    </cfRule>
  </conditionalFormatting>
  <conditionalFormatting sqref="O88:Q88">
    <cfRule type="expression" dxfId="260" priority="15">
      <formula>AND(ISNUMBER(O88),TRUNC(O88)&lt;TODAY())</formula>
    </cfRule>
  </conditionalFormatting>
  <conditionalFormatting sqref="F92">
    <cfRule type="containsText" dxfId="259" priority="16" operator="containsText" text="F">
      <formula>NOT(ISERROR(SEARCH(("F"),(F92))))</formula>
    </cfRule>
  </conditionalFormatting>
  <conditionalFormatting sqref="O92:Q92">
    <cfRule type="expression" dxfId="258" priority="17">
      <formula>AND(ISNUMBER(O92),TRUNC(O92)&lt;TODAY())</formula>
    </cfRule>
  </conditionalFormatting>
  <conditionalFormatting sqref="F91">
    <cfRule type="containsText" dxfId="257" priority="18" operator="containsText" text="F">
      <formula>NOT(ISERROR(SEARCH(("F"),(F91))))</formula>
    </cfRule>
  </conditionalFormatting>
  <conditionalFormatting sqref="O91:Q91">
    <cfRule type="expression" dxfId="256" priority="19">
      <formula>AND(ISNUMBER(O91),TRUNC(O91)&lt;TODAY())</formula>
    </cfRule>
  </conditionalFormatting>
  <conditionalFormatting sqref="F89">
    <cfRule type="containsText" dxfId="255" priority="20" operator="containsText" text="F">
      <formula>NOT(ISERROR(SEARCH(("F"),(F89))))</formula>
    </cfRule>
  </conditionalFormatting>
  <conditionalFormatting sqref="Q69">
    <cfRule type="expression" dxfId="254" priority="21">
      <formula>AND(ISNUMBER(Q69),TRUNC(Q69)&lt;TODAY())</formula>
    </cfRule>
  </conditionalFormatting>
  <conditionalFormatting sqref="P69">
    <cfRule type="expression" dxfId="253" priority="22">
      <formula>AND(ISNUMBER(P69),TRUNC(P69)&lt;TODAY())</formula>
    </cfRule>
  </conditionalFormatting>
  <conditionalFormatting sqref="O69">
    <cfRule type="expression" dxfId="252" priority="23">
      <formula>AND(ISNUMBER(O69),TRUNC(O69)&lt;TODAY())</formula>
    </cfRule>
  </conditionalFormatting>
  <conditionalFormatting sqref="F69">
    <cfRule type="containsText" dxfId="251" priority="24" operator="containsText" text="F">
      <formula>NOT(ISERROR(SEARCH(("F"),(F69))))</formula>
    </cfRule>
  </conditionalFormatting>
  <conditionalFormatting sqref="O77:Q77">
    <cfRule type="expression" dxfId="250" priority="25">
      <formula>AND(ISNUMBER(O77),TRUNC(O77)&lt;TODAY())</formula>
    </cfRule>
  </conditionalFormatting>
  <conditionalFormatting sqref="F77">
    <cfRule type="containsText" dxfId="249" priority="26" operator="containsText" text="F">
      <formula>NOT(ISERROR(SEARCH(("F"),(F77))))</formula>
    </cfRule>
  </conditionalFormatting>
  <conditionalFormatting sqref="O57:Q57">
    <cfRule type="expression" dxfId="248" priority="27">
      <formula>AND(ISNUMBER(O57),TRUNC(O57)&lt;TODAY())</formula>
    </cfRule>
  </conditionalFormatting>
  <conditionalFormatting sqref="F57">
    <cfRule type="containsText" dxfId="247" priority="28" operator="containsText" text="F">
      <formula>NOT(ISERROR(SEARCH(("F"),(F57))))</formula>
    </cfRule>
  </conditionalFormatting>
  <conditionalFormatting sqref="F76">
    <cfRule type="containsText" dxfId="246" priority="29" operator="containsText" text="F">
      <formula>NOT(ISERROR(SEARCH(("F"),(F76))))</formula>
    </cfRule>
  </conditionalFormatting>
  <conditionalFormatting sqref="O76:Q76">
    <cfRule type="expression" dxfId="245" priority="30">
      <formula>AND(ISNUMBER(O76),TRUNC(O76)&lt;TODAY())</formula>
    </cfRule>
  </conditionalFormatting>
  <conditionalFormatting sqref="F75">
    <cfRule type="containsText" dxfId="244" priority="31" operator="containsText" text="F">
      <formula>NOT(ISERROR(SEARCH(("F"),(F75))))</formula>
    </cfRule>
  </conditionalFormatting>
  <conditionalFormatting sqref="Q75">
    <cfRule type="expression" dxfId="243" priority="32">
      <formula>AND(ISNUMBER(Q75),TRUNC(Q75)&lt;TODAY())</formula>
    </cfRule>
  </conditionalFormatting>
  <conditionalFormatting sqref="O75">
    <cfRule type="expression" dxfId="242" priority="33">
      <formula>AND(ISNUMBER(O75),TRUNC(O75)&lt;TODAY())</formula>
    </cfRule>
  </conditionalFormatting>
  <conditionalFormatting sqref="P75">
    <cfRule type="expression" dxfId="241" priority="34">
      <formula>AND(ISNUMBER(P75),TRUNC(P75)&lt;TODAY())</formula>
    </cfRule>
  </conditionalFormatting>
  <conditionalFormatting sqref="P75">
    <cfRule type="expression" dxfId="240" priority="35">
      <formula>P75&lt;44043</formula>
    </cfRule>
  </conditionalFormatting>
  <conditionalFormatting sqref="P75">
    <cfRule type="expression" dxfId="239" priority="36">
      <formula>AND(ISNUMBER(P75),TRUNC(P75)&lt;TODAY())</formula>
    </cfRule>
  </conditionalFormatting>
  <conditionalFormatting sqref="Q75">
    <cfRule type="expression" dxfId="238" priority="37">
      <formula>AND(ISNUMBER(Q75),TRUNC(Q75)&lt;TODAY())</formula>
    </cfRule>
  </conditionalFormatting>
  <conditionalFormatting sqref="F86">
    <cfRule type="containsText" dxfId="237" priority="38" operator="containsText" text="F">
      <formula>NOT(ISERROR(SEARCH(("F"),(F86))))</formula>
    </cfRule>
  </conditionalFormatting>
  <conditionalFormatting sqref="O85:Q85">
    <cfRule type="expression" dxfId="236" priority="39">
      <formula>AND(ISNUMBER(O85),TRUNC(O85)&lt;TODAY())</formula>
    </cfRule>
  </conditionalFormatting>
  <conditionalFormatting sqref="F85">
    <cfRule type="containsText" dxfId="235" priority="40" operator="containsText" text="F">
      <formula>NOT(ISERROR(SEARCH(("F"),(F85))))</formula>
    </cfRule>
  </conditionalFormatting>
  <conditionalFormatting sqref="O84:Q84">
    <cfRule type="expression" dxfId="234" priority="41">
      <formula>AND(ISNUMBER(O84),TRUNC(O84)&lt;TODAY())</formula>
    </cfRule>
  </conditionalFormatting>
  <conditionalFormatting sqref="F84">
    <cfRule type="containsText" dxfId="233" priority="42" operator="containsText" text="F">
      <formula>NOT(ISERROR(SEARCH(("F"),(F84))))</formula>
    </cfRule>
  </conditionalFormatting>
  <conditionalFormatting sqref="O83:Q83">
    <cfRule type="expression" dxfId="232" priority="43">
      <formula>AND(ISNUMBER(O83),TRUNC(O83)&lt;TODAY())</formula>
    </cfRule>
  </conditionalFormatting>
  <conditionalFormatting sqref="F83">
    <cfRule type="containsText" dxfId="231" priority="44" operator="containsText" text="F">
      <formula>NOT(ISERROR(SEARCH(("F"),(F83))))</formula>
    </cfRule>
  </conditionalFormatting>
  <conditionalFormatting sqref="F79">
    <cfRule type="containsText" dxfId="230" priority="45" operator="containsText" text="F">
      <formula>NOT(ISERROR(SEARCH(("F"),(F79))))</formula>
    </cfRule>
  </conditionalFormatting>
  <conditionalFormatting sqref="V79">
    <cfRule type="notContainsBlanks" dxfId="229" priority="46">
      <formula>LEN(TRIM(V79))&gt;0</formula>
    </cfRule>
  </conditionalFormatting>
  <conditionalFormatting sqref="P79">
    <cfRule type="expression" dxfId="228" priority="47">
      <formula>AND(ISNUMBER(P79),TRUNC(P79)&lt;TODAY())</formula>
    </cfRule>
  </conditionalFormatting>
  <conditionalFormatting sqref="O79">
    <cfRule type="expression" dxfId="227" priority="48">
      <formula>AND(ISNUMBER(O79),TRUNC(O79)&lt;TODAY())</formula>
    </cfRule>
  </conditionalFormatting>
  <conditionalFormatting sqref="Q79">
    <cfRule type="expression" dxfId="226" priority="49">
      <formula>AND(ISNUMBER(Q79),TRUNC(Q79)&lt;TODAY())</formula>
    </cfRule>
  </conditionalFormatting>
  <conditionalFormatting sqref="P74">
    <cfRule type="expression" dxfId="225" priority="50">
      <formula>AND(ISNUMBER(P74),TRUNC(P74)&lt;TODAY())</formula>
    </cfRule>
  </conditionalFormatting>
  <conditionalFormatting sqref="O74">
    <cfRule type="expression" dxfId="224" priority="51">
      <formula>AND(ISNUMBER(O74),TRUNC(O74)&lt;TODAY())</formula>
    </cfRule>
  </conditionalFormatting>
  <conditionalFormatting sqref="O74 Q74">
    <cfRule type="expression" dxfId="223" priority="52">
      <formula>AND(ISNUMBER(O74),TRUNC(O74)&lt;TODAY())</formula>
    </cfRule>
  </conditionalFormatting>
  <conditionalFormatting sqref="Q74">
    <cfRule type="expression" dxfId="222" priority="53">
      <formula>AND(ISNUMBER(Q74),TRUNC(Q74)&lt;TODAY())</formula>
    </cfRule>
  </conditionalFormatting>
  <conditionalFormatting sqref="F74">
    <cfRule type="containsText" dxfId="221" priority="54" operator="containsText" text="F">
      <formula>NOT(ISERROR(SEARCH(("F"),(F74))))</formula>
    </cfRule>
  </conditionalFormatting>
  <conditionalFormatting sqref="V73">
    <cfRule type="notContainsBlanks" dxfId="220" priority="55">
      <formula>LEN(TRIM(V73))&gt;0</formula>
    </cfRule>
  </conditionalFormatting>
  <conditionalFormatting sqref="Q73">
    <cfRule type="expression" dxfId="219" priority="56">
      <formula>AND(ISNUMBER(Q73),TRUNC(Q73)&lt;TODAY())</formula>
    </cfRule>
  </conditionalFormatting>
  <conditionalFormatting sqref="O73">
    <cfRule type="expression" dxfId="218" priority="57">
      <formula>AND(ISNUMBER(O73),TRUNC(O73)&lt;TODAY())</formula>
    </cfRule>
  </conditionalFormatting>
  <conditionalFormatting sqref="F73">
    <cfRule type="containsText" dxfId="217" priority="58" operator="containsText" text="F">
      <formula>NOT(ISERROR(SEARCH(("F"),(F73))))</formula>
    </cfRule>
  </conditionalFormatting>
  <conditionalFormatting sqref="P73">
    <cfRule type="expression" dxfId="216" priority="59">
      <formula>AND(ISNUMBER(P73),TRUNC(P73)&lt;TODAY())</formula>
    </cfRule>
  </conditionalFormatting>
  <conditionalFormatting sqref="O72:Q72">
    <cfRule type="expression" dxfId="215" priority="60">
      <formula>AND(ISNUMBER(O72),TRUNC(O72)&lt;TODAY())</formula>
    </cfRule>
  </conditionalFormatting>
  <conditionalFormatting sqref="F72">
    <cfRule type="containsText" dxfId="214" priority="61" operator="containsText" text="F">
      <formula>NOT(ISERROR(SEARCH(("F"),(F72))))</formula>
    </cfRule>
  </conditionalFormatting>
  <conditionalFormatting sqref="V72">
    <cfRule type="notContainsBlanks" dxfId="213" priority="62">
      <formula>LEN(TRIM(V72))&gt;0</formula>
    </cfRule>
  </conditionalFormatting>
  <conditionalFormatting sqref="F71">
    <cfRule type="containsText" dxfId="212" priority="63" operator="containsText" text="F">
      <formula>NOT(ISERROR(SEARCH(("F"),(F71))))</formula>
    </cfRule>
  </conditionalFormatting>
  <conditionalFormatting sqref="Q71">
    <cfRule type="expression" dxfId="211" priority="64">
      <formula>AND(ISNUMBER(Q71),TRUNC(Q71)&lt;TODAY())</formula>
    </cfRule>
  </conditionalFormatting>
  <conditionalFormatting sqref="P71">
    <cfRule type="expression" dxfId="210" priority="65">
      <formula>AND(ISNUMBER(P71),TRUNC(P71)&lt;TODAY())</formula>
    </cfRule>
  </conditionalFormatting>
  <conditionalFormatting sqref="O71">
    <cfRule type="expression" dxfId="209" priority="66">
      <formula>AND(ISNUMBER(O71),TRUNC(O71)&lt;TODAY())</formula>
    </cfRule>
  </conditionalFormatting>
  <conditionalFormatting sqref="F78">
    <cfRule type="containsText" dxfId="208" priority="67" operator="containsText" text="F">
      <formula>NOT(ISERROR(SEARCH(("F"),(F78))))</formula>
    </cfRule>
  </conditionalFormatting>
  <conditionalFormatting sqref="O78:Q78">
    <cfRule type="expression" dxfId="207" priority="68">
      <formula>AND(ISNUMBER(O78),TRUNC(O78)&lt;TODAY())</formula>
    </cfRule>
  </conditionalFormatting>
  <conditionalFormatting sqref="Q70">
    <cfRule type="expression" dxfId="206" priority="69">
      <formula>AND(ISNUMBER(Q70),TRUNC(Q70)&lt;TODAY())</formula>
    </cfRule>
  </conditionalFormatting>
  <conditionalFormatting sqref="O70">
    <cfRule type="expression" dxfId="205" priority="70">
      <formula>AND(ISNUMBER(O70),TRUNC(O70)&lt;TODAY())</formula>
    </cfRule>
  </conditionalFormatting>
  <conditionalFormatting sqref="F70">
    <cfRule type="containsText" dxfId="204" priority="71" operator="containsText" text="F">
      <formula>NOT(ISERROR(SEARCH(("F"),(F70))))</formula>
    </cfRule>
  </conditionalFormatting>
  <conditionalFormatting sqref="V70">
    <cfRule type="notContainsBlanks" dxfId="203" priority="72">
      <formula>LEN(TRIM(V70))&gt;0</formula>
    </cfRule>
  </conditionalFormatting>
  <conditionalFormatting sqref="P70">
    <cfRule type="expression" dxfId="202" priority="73">
      <formula>AND(ISNUMBER(P70),TRUNC(P70)&lt;TODAY())</formula>
    </cfRule>
  </conditionalFormatting>
  <conditionalFormatting sqref="P70">
    <cfRule type="expression" dxfId="201" priority="74">
      <formula>AND(ISNUMBER(P70),TRUNC(P70)&lt;TODAY())</formula>
    </cfRule>
  </conditionalFormatting>
  <conditionalFormatting sqref="O55">
    <cfRule type="expression" dxfId="200" priority="75">
      <formula>AND(ISNUMBER(O55),TRUNC(O55)&lt;TODAY())</formula>
    </cfRule>
  </conditionalFormatting>
  <conditionalFormatting sqref="P55">
    <cfRule type="expression" dxfId="199" priority="76">
      <formula>AND(ISNUMBER(P55),TRUNC(P55)&lt;TODAY())</formula>
    </cfRule>
  </conditionalFormatting>
  <conditionalFormatting sqref="Q55">
    <cfRule type="expression" dxfId="198" priority="77">
      <formula>AND(ISNUMBER(Q55),TRUNC(Q55)&lt;TODAY())</formula>
    </cfRule>
  </conditionalFormatting>
  <conditionalFormatting sqref="O82:Q82">
    <cfRule type="expression" dxfId="197" priority="78">
      <formula>AND(ISNUMBER(O82),TRUNC(O82)&lt;TODAY())</formula>
    </cfRule>
  </conditionalFormatting>
  <conditionalFormatting sqref="F82">
    <cfRule type="containsText" dxfId="196" priority="79" operator="containsText" text="F">
      <formula>NOT(ISERROR(SEARCH(("F"),(F82))))</formula>
    </cfRule>
  </conditionalFormatting>
  <conditionalFormatting sqref="O36:Q36">
    <cfRule type="expression" dxfId="195" priority="80">
      <formula>AND(ISNUMBER(O36),TRUNC(O36)&lt;TODAY())</formula>
    </cfRule>
  </conditionalFormatting>
  <conditionalFormatting sqref="F36">
    <cfRule type="containsText" dxfId="194" priority="81" operator="containsText" text="F">
      <formula>NOT(ISERROR(SEARCH(("F"),(F36))))</formula>
    </cfRule>
  </conditionalFormatting>
  <conditionalFormatting sqref="P35">
    <cfRule type="expression" dxfId="193" priority="82">
      <formula>AND(ISNUMBER(P35),TRUNC(P35)&lt;TODAY())</formula>
    </cfRule>
  </conditionalFormatting>
  <conditionalFormatting sqref="Q35">
    <cfRule type="expression" dxfId="192" priority="83">
      <formula>AND(ISNUMBER(Q35),TRUNC(Q35)&lt;TODAY())</formula>
    </cfRule>
  </conditionalFormatting>
  <conditionalFormatting sqref="O35">
    <cfRule type="expression" dxfId="191" priority="84">
      <formula>AND(ISNUMBER(O35),TRUNC(O35)&lt;TODAY())</formula>
    </cfRule>
  </conditionalFormatting>
  <conditionalFormatting sqref="F35">
    <cfRule type="containsText" dxfId="190" priority="85" operator="containsText" text="F">
      <formula>NOT(ISERROR(SEARCH(("F"),(F35))))</formula>
    </cfRule>
  </conditionalFormatting>
  <conditionalFormatting sqref="P34">
    <cfRule type="expression" dxfId="189" priority="86">
      <formula>AND(ISNUMBER(P34),TRUNC(P34)&lt;TODAY())</formula>
    </cfRule>
  </conditionalFormatting>
  <conditionalFormatting sqref="Q34">
    <cfRule type="expression" dxfId="188" priority="87">
      <formula>AND(ISNUMBER(Q34),TRUNC(Q34)&lt;TODAY())</formula>
    </cfRule>
  </conditionalFormatting>
  <conditionalFormatting sqref="F34">
    <cfRule type="containsText" dxfId="187" priority="88" operator="containsText" text="F">
      <formula>NOT(ISERROR(SEARCH(("F"),(F34))))</formula>
    </cfRule>
  </conditionalFormatting>
  <conditionalFormatting sqref="O34">
    <cfRule type="expression" dxfId="186" priority="89">
      <formula>AND(ISNUMBER(O34),TRUNC(O34)&lt;TODAY())</formula>
    </cfRule>
  </conditionalFormatting>
  <conditionalFormatting sqref="O66:Q66">
    <cfRule type="expression" dxfId="185" priority="90">
      <formula>AND(ISNUMBER(O66),TRUNC(O66)&lt;TODAY())</formula>
    </cfRule>
  </conditionalFormatting>
  <conditionalFormatting sqref="F66">
    <cfRule type="containsText" dxfId="184" priority="91" operator="containsText" text="F">
      <formula>NOT(ISERROR(SEARCH(("F"),(F66))))</formula>
    </cfRule>
  </conditionalFormatting>
  <conditionalFormatting sqref="O65:Q65">
    <cfRule type="expression" dxfId="183" priority="92">
      <formula>AND(ISNUMBER(O65),TRUNC(O65)&lt;TODAY())</formula>
    </cfRule>
  </conditionalFormatting>
  <conditionalFormatting sqref="F65">
    <cfRule type="containsText" dxfId="182" priority="93" operator="containsText" text="F">
      <formula>NOT(ISERROR(SEARCH(("F"),(F65))))</formula>
    </cfRule>
  </conditionalFormatting>
  <conditionalFormatting sqref="O64:Q64">
    <cfRule type="expression" dxfId="181" priority="94">
      <formula>AND(ISNUMBER(O64),TRUNC(O64)&lt;TODAY())</formula>
    </cfRule>
  </conditionalFormatting>
  <conditionalFormatting sqref="F64">
    <cfRule type="containsText" dxfId="180" priority="95" operator="containsText" text="F">
      <formula>NOT(ISERROR(SEARCH(("F"),(F64))))</formula>
    </cfRule>
  </conditionalFormatting>
  <conditionalFormatting sqref="F63">
    <cfRule type="containsText" dxfId="179" priority="96" operator="containsText" text="F">
      <formula>NOT(ISERROR(SEARCH(("F"),(F63))))</formula>
    </cfRule>
  </conditionalFormatting>
  <conditionalFormatting sqref="O63:Q63">
    <cfRule type="expression" dxfId="178" priority="97">
      <formula>AND(ISNUMBER(O63),TRUNC(O63)&lt;TODAY())</formula>
    </cfRule>
  </conditionalFormatting>
  <conditionalFormatting sqref="F62">
    <cfRule type="containsText" dxfId="177" priority="98" operator="containsText" text="F">
      <formula>NOT(ISERROR(SEARCH(("F"),(F62))))</formula>
    </cfRule>
  </conditionalFormatting>
  <conditionalFormatting sqref="O62:Q62">
    <cfRule type="expression" dxfId="176" priority="99">
      <formula>AND(ISNUMBER(O62),TRUNC(O62)&lt;TODAY())</formula>
    </cfRule>
  </conditionalFormatting>
  <conditionalFormatting sqref="F33">
    <cfRule type="containsText" dxfId="175" priority="100" operator="containsText" text="F">
      <formula>NOT(ISERROR(SEARCH(("F"),(F33))))</formula>
    </cfRule>
  </conditionalFormatting>
  <conditionalFormatting sqref="O33:Q33">
    <cfRule type="expression" dxfId="174" priority="101">
      <formula>AND(ISNUMBER(O33),TRUNC(O33)&lt;TODAY())</formula>
    </cfRule>
  </conditionalFormatting>
  <conditionalFormatting sqref="F32">
    <cfRule type="containsText" dxfId="173" priority="102" operator="containsText" text="F">
      <formula>NOT(ISERROR(SEARCH(("F"),(F32))))</formula>
    </cfRule>
  </conditionalFormatting>
  <conditionalFormatting sqref="O32:Q32">
    <cfRule type="expression" dxfId="172" priority="103">
      <formula>AND(ISNUMBER(O32),TRUNC(O32)&lt;TODAY())</formula>
    </cfRule>
  </conditionalFormatting>
  <conditionalFormatting sqref="O61:Q61">
    <cfRule type="expression" dxfId="171" priority="104">
      <formula>AND(ISNUMBER(O61),TRUNC(O61)&lt;TODAY())</formula>
    </cfRule>
  </conditionalFormatting>
  <conditionalFormatting sqref="F61">
    <cfRule type="containsText" dxfId="170" priority="105" operator="containsText" text="F">
      <formula>NOT(ISERROR(SEARCH(("F"),(F61))))</formula>
    </cfRule>
  </conditionalFormatting>
  <conditionalFormatting sqref="O60:Q60">
    <cfRule type="expression" dxfId="169" priority="106">
      <formula>AND(ISNUMBER(O60),TRUNC(O60)&lt;TODAY())</formula>
    </cfRule>
  </conditionalFormatting>
  <conditionalFormatting sqref="F60">
    <cfRule type="containsText" dxfId="168" priority="107" operator="containsText" text="F">
      <formula>NOT(ISERROR(SEARCH(("F"),(F60))))</formula>
    </cfRule>
  </conditionalFormatting>
  <conditionalFormatting sqref="O31:Q31">
    <cfRule type="expression" dxfId="167" priority="108">
      <formula>AND(ISNUMBER(O31),TRUNC(O31)&lt;TODAY())</formula>
    </cfRule>
  </conditionalFormatting>
  <conditionalFormatting sqref="F31">
    <cfRule type="containsText" dxfId="166" priority="109" operator="containsText" text="F">
      <formula>NOT(ISERROR(SEARCH(("F"),(F31))))</formula>
    </cfRule>
  </conditionalFormatting>
  <conditionalFormatting sqref="O30:Q30">
    <cfRule type="expression" dxfId="165" priority="110">
      <formula>AND(ISNUMBER(O30),TRUNC(O30)&lt;TODAY())</formula>
    </cfRule>
  </conditionalFormatting>
  <conditionalFormatting sqref="F30">
    <cfRule type="containsText" dxfId="164" priority="111" operator="containsText" text="F">
      <formula>NOT(ISERROR(SEARCH(("F"),(F30))))</formula>
    </cfRule>
  </conditionalFormatting>
  <conditionalFormatting sqref="F29">
    <cfRule type="containsText" dxfId="163" priority="112" operator="containsText" text="F">
      <formula>NOT(ISERROR(SEARCH(("F"),(F29))))</formula>
    </cfRule>
  </conditionalFormatting>
  <conditionalFormatting sqref="O29:Q29">
    <cfRule type="expression" dxfId="162" priority="113">
      <formula>AND(ISNUMBER(O29),TRUNC(O29)&lt;TODAY())</formula>
    </cfRule>
  </conditionalFormatting>
  <conditionalFormatting sqref="F28">
    <cfRule type="containsText" dxfId="161" priority="114" operator="containsText" text="F">
      <formula>NOT(ISERROR(SEARCH(("F"),(F28))))</formula>
    </cfRule>
  </conditionalFormatting>
  <conditionalFormatting sqref="O28:Q28">
    <cfRule type="expression" dxfId="160" priority="115">
      <formula>AND(ISNUMBER(O28),TRUNC(O28)&lt;TODAY())</formula>
    </cfRule>
  </conditionalFormatting>
  <conditionalFormatting sqref="F27">
    <cfRule type="containsText" dxfId="159" priority="116" operator="containsText" text="F">
      <formula>NOT(ISERROR(SEARCH(("F"),(F27))))</formula>
    </cfRule>
  </conditionalFormatting>
  <conditionalFormatting sqref="O27:Q27">
    <cfRule type="expression" dxfId="158" priority="117">
      <formula>AND(ISNUMBER(O27),TRUNC(O27)&lt;TODAY())</formula>
    </cfRule>
  </conditionalFormatting>
  <conditionalFormatting sqref="F26">
    <cfRule type="containsText" dxfId="157" priority="118" operator="containsText" text="F">
      <formula>NOT(ISERROR(SEARCH(("F"),(F26))))</formula>
    </cfRule>
  </conditionalFormatting>
  <conditionalFormatting sqref="O26:Q26">
    <cfRule type="expression" dxfId="156" priority="119">
      <formula>AND(ISNUMBER(O26),TRUNC(O26)&lt;TODAY())</formula>
    </cfRule>
  </conditionalFormatting>
  <conditionalFormatting sqref="F25">
    <cfRule type="containsText" dxfId="155" priority="120" operator="containsText" text="F">
      <formula>NOT(ISERROR(SEARCH(("F"),(F25))))</formula>
    </cfRule>
  </conditionalFormatting>
  <conditionalFormatting sqref="O25:Q25">
    <cfRule type="expression" dxfId="154" priority="121">
      <formula>AND(ISNUMBER(O25),TRUNC(O25)&lt;TODAY())</formula>
    </cfRule>
  </conditionalFormatting>
  <conditionalFormatting sqref="F24">
    <cfRule type="containsText" dxfId="153" priority="122" operator="containsText" text="F">
      <formula>NOT(ISERROR(SEARCH(("F"),(F24))))</formula>
    </cfRule>
  </conditionalFormatting>
  <conditionalFormatting sqref="O24:Q24">
    <cfRule type="expression" dxfId="152" priority="123">
      <formula>AND(ISNUMBER(O24),TRUNC(O24)&lt;TODAY())</formula>
    </cfRule>
  </conditionalFormatting>
  <conditionalFormatting sqref="O23:Q23">
    <cfRule type="expression" dxfId="151" priority="124">
      <formula>AND(ISNUMBER(O23),TRUNC(O23)&lt;TODAY())</formula>
    </cfRule>
  </conditionalFormatting>
  <conditionalFormatting sqref="F23">
    <cfRule type="containsText" dxfId="150" priority="125" operator="containsText" text="F">
      <formula>NOT(ISERROR(SEARCH(("F"),(F23))))</formula>
    </cfRule>
  </conditionalFormatting>
  <conditionalFormatting sqref="O22:Q22">
    <cfRule type="expression" dxfId="149" priority="126">
      <formula>AND(ISNUMBER(O22),TRUNC(O22)&lt;TODAY())</formula>
    </cfRule>
  </conditionalFormatting>
  <conditionalFormatting sqref="F22">
    <cfRule type="containsText" dxfId="148" priority="127" operator="containsText" text="F">
      <formula>NOT(ISERROR(SEARCH(("F"),(F22))))</formula>
    </cfRule>
  </conditionalFormatting>
  <conditionalFormatting sqref="O21:Q21">
    <cfRule type="expression" dxfId="147" priority="128">
      <formula>AND(ISNUMBER(O21),TRUNC(O21)&lt;TODAY())</formula>
    </cfRule>
  </conditionalFormatting>
  <conditionalFormatting sqref="F21">
    <cfRule type="containsText" dxfId="146" priority="129" operator="containsText" text="F">
      <formula>NOT(ISERROR(SEARCH(("F"),(F21))))</formula>
    </cfRule>
  </conditionalFormatting>
  <conditionalFormatting sqref="O20:Q20">
    <cfRule type="expression" dxfId="145" priority="130">
      <formula>AND(ISNUMBER(O20),TRUNC(O20)&lt;TODAY())</formula>
    </cfRule>
  </conditionalFormatting>
  <conditionalFormatting sqref="F20">
    <cfRule type="containsText" dxfId="144" priority="131" operator="containsText" text="F">
      <formula>NOT(ISERROR(SEARCH(("F"),(F20))))</formula>
    </cfRule>
  </conditionalFormatting>
  <conditionalFormatting sqref="F19">
    <cfRule type="containsText" dxfId="143" priority="132" operator="containsText" text="F">
      <formula>NOT(ISERROR(SEARCH(("F"),(F19))))</formula>
    </cfRule>
  </conditionalFormatting>
  <conditionalFormatting sqref="F7">
    <cfRule type="containsText" dxfId="142" priority="133" operator="containsText" text="F">
      <formula>NOT(ISERROR(SEARCH(("F"),(F7))))</formula>
    </cfRule>
  </conditionalFormatting>
  <conditionalFormatting sqref="F5">
    <cfRule type="containsText" dxfId="141" priority="134" operator="containsText" text="F">
      <formula>NOT(ISERROR(SEARCH(("F"),(F5))))</formula>
    </cfRule>
  </conditionalFormatting>
  <conditionalFormatting sqref="F56">
    <cfRule type="containsText" dxfId="140" priority="135" operator="containsText" text="F">
      <formula>NOT(ISERROR(SEARCH(("F"),(F56))))</formula>
    </cfRule>
  </conditionalFormatting>
  <conditionalFormatting sqref="F18">
    <cfRule type="containsText" dxfId="139" priority="136" operator="containsText" text="F">
      <formula>NOT(ISERROR(SEARCH(("F"),(F18))))</formula>
    </cfRule>
  </conditionalFormatting>
  <conditionalFormatting sqref="F17">
    <cfRule type="containsText" dxfId="138" priority="137" operator="containsText" text="F">
      <formula>NOT(ISERROR(SEARCH(("F"),(F17))))</formula>
    </cfRule>
  </conditionalFormatting>
  <conditionalFormatting sqref="F16">
    <cfRule type="containsText" dxfId="137" priority="138" operator="containsText" text="F">
      <formula>NOT(ISERROR(SEARCH(("F"),(F16))))</formula>
    </cfRule>
  </conditionalFormatting>
  <conditionalFormatting sqref="F15">
    <cfRule type="containsText" dxfId="136" priority="139" operator="containsText" text="F">
      <formula>NOT(ISERROR(SEARCH(("F"),(F15))))</formula>
    </cfRule>
  </conditionalFormatting>
  <conditionalFormatting sqref="F14">
    <cfRule type="containsText" dxfId="135" priority="140" operator="containsText" text="F">
      <formula>NOT(ISERROR(SEARCH(("F"),(F14))))</formula>
    </cfRule>
  </conditionalFormatting>
  <conditionalFormatting sqref="F13">
    <cfRule type="containsText" dxfId="134" priority="141" operator="containsText" text="F">
      <formula>NOT(ISERROR(SEARCH(("F"),(F13))))</formula>
    </cfRule>
  </conditionalFormatting>
  <conditionalFormatting sqref="F59">
    <cfRule type="containsText" dxfId="133" priority="142" operator="containsText" text="F">
      <formula>NOT(ISERROR(SEARCH(("F"),(F59))))</formula>
    </cfRule>
  </conditionalFormatting>
  <conditionalFormatting sqref="F54:F55">
    <cfRule type="containsText" dxfId="132" priority="143" operator="containsText" text="F">
      <formula>NOT(ISERROR(SEARCH(("F"),(F54))))</formula>
    </cfRule>
  </conditionalFormatting>
  <conditionalFormatting sqref="F53">
    <cfRule type="containsText" dxfId="131" priority="144" operator="containsText" text="F">
      <formula>NOT(ISERROR(SEARCH(("F"),(F53))))</formula>
    </cfRule>
  </conditionalFormatting>
  <conditionalFormatting sqref="F52">
    <cfRule type="containsText" dxfId="130" priority="145" operator="containsText" text="F">
      <formula>NOT(ISERROR(SEARCH(("F"),(F52))))</formula>
    </cfRule>
  </conditionalFormatting>
  <conditionalFormatting sqref="F51">
    <cfRule type="containsText" dxfId="129" priority="146" operator="containsText" text="F">
      <formula>NOT(ISERROR(SEARCH(("F"),(F51))))</formula>
    </cfRule>
  </conditionalFormatting>
  <conditionalFormatting sqref="F50">
    <cfRule type="containsText" dxfId="128" priority="147" operator="containsText" text="F">
      <formula>NOT(ISERROR(SEARCH(("F"),(F50))))</formula>
    </cfRule>
  </conditionalFormatting>
  <conditionalFormatting sqref="F1:F4 F6 F8:F12 F37:F49 F67 F89:F91 F93:F107 F109:F797">
    <cfRule type="containsText" dxfId="127" priority="148" operator="containsText" text="F">
      <formula>NOT(ISERROR(SEARCH(("F"),(F1))))</formula>
    </cfRule>
  </conditionalFormatting>
  <conditionalFormatting sqref="O1:Q19 O37:Q54 O56:Q56 O59:Q59 O67:Q67 O89:Q90 O93:Q107 O109:Q797">
    <cfRule type="expression" dxfId="126" priority="149">
      <formula>AND(ISNUMBER(O1),TRUNC(O1)&lt;TODAY())</formula>
    </cfRule>
  </conditionalFormatting>
  <dataValidations count="7">
    <dataValidation type="list" allowBlank="1" sqref="H2:H67 H69:H88 H91:H92 H108">
      <formula1>"A,B,C"</formula1>
    </dataValidation>
    <dataValidation type="list" allowBlank="1" showInputMessage="1" showErrorMessage="1" prompt="Either M or F" sqref="F1:F67 F69:F797">
      <formula1>"M,F"</formula1>
    </dataValidation>
    <dataValidation type="custom" allowBlank="1" showDropDown="1" showInputMessage="1" showErrorMessage="1" prompt="Enter a valid date" sqref="M1:Q3 M4:O5 Q4:Q5 M6:Q13 M14:O14 Q14 P15:Q15 M15:M16 Q16 M17:Q25 M26:O26 Q26 M27:Q27 M28:O28 Q28 M29:Q38 M39 Q39 M40:Q41 M42:O43 Q42:Q43 M44:Q44 M45:O46 Q45:Q46 M47:Q51 M52:O52 Q52 M53:Q53 M54 P54:Q54 M55:Q56 M57:O57 Q57 M58:Q78 M79:O79 Q79 M80:Q85 N86 M87:Q88 O89:Q90 Q91 P92:Q92 O93:Q107 P108:Q108 M89:M111 O109:Q111 M112:Q797">
      <formula1>OR(NOT(ISERROR(DATEVALUE(M1))), AND(ISNUMBER(M1), LEFT(CELL("format", M1))="D"))</formula1>
    </dataValidation>
    <dataValidation type="list" allowBlank="1" sqref="G1 G4 G7:G9 G11 G21 G27 G29 G33:G34 G36:G38 G44 G47 G49 G51 G53 G58:G62 G64:G66 G68:G88 G105:G107 G109:G797">
      <formula1>"UR,SC,ST"</formula1>
    </dataValidation>
    <dataValidation type="list" allowBlank="1" sqref="V54 V70:V71 V73 V81 V92">
      <formula1>"YES,NO,DW"</formula1>
    </dataValidation>
    <dataValidation type="list" allowBlank="1" showErrorMessage="1" sqref="G2:G3 G5:G6 G10 G12:G20 G22:G26 G28 G30:G32 G35 G39:G43 G45:G46 G48 G50 G52 G54:G57 G63 G67 G108">
      <formula1>"UR,SC,ST"</formula1>
    </dataValidation>
    <dataValidation type="custom" allowBlank="1" showDropDown="1" showErrorMessage="1" sqref="P4:P5 P14 N15:O15 N16:P16 P26 P28 N39:P39 P42:P43 P45:P46 P52 N54:O54 P57 P79 N89:N90 N91:P91 N92:O92 N93:N107 N108:O108 N109:N111">
      <formula1>OR(NOT(ISERROR(DATEVALUE(N4))), AND(ISNUMBER(N4), LEFT(CELL("format", N4))="D"))</formula1>
    </dataValidation>
  </dataValidations>
  <hyperlinks>
    <hyperlink ref="T2" r:id="rId1"/>
    <hyperlink ref="U2" r:id="rId2"/>
    <hyperlink ref="T3" r:id="rId3"/>
    <hyperlink ref="U3" r:id="rId4"/>
    <hyperlink ref="T4" r:id="rId5"/>
    <hyperlink ref="U4" r:id="rId6"/>
    <hyperlink ref="T5" r:id="rId7"/>
    <hyperlink ref="U5" r:id="rId8"/>
    <hyperlink ref="U6" r:id="rId9"/>
    <hyperlink ref="T7" r:id="rId10"/>
    <hyperlink ref="U7" r:id="rId11"/>
    <hyperlink ref="T8" r:id="rId12"/>
    <hyperlink ref="U8" r:id="rId13"/>
    <hyperlink ref="T9" r:id="rId14"/>
    <hyperlink ref="U9" r:id="rId15"/>
    <hyperlink ref="U10" r:id="rId16"/>
    <hyperlink ref="T11" r:id="rId17"/>
    <hyperlink ref="U11" r:id="rId18"/>
    <hyperlink ref="T12" r:id="rId19"/>
    <hyperlink ref="U12" r:id="rId20"/>
    <hyperlink ref="T13" r:id="rId21"/>
    <hyperlink ref="U13" r:id="rId22"/>
    <hyperlink ref="T14" r:id="rId23"/>
    <hyperlink ref="U14" r:id="rId24"/>
    <hyperlink ref="T15" r:id="rId25"/>
    <hyperlink ref="U15" r:id="rId26"/>
    <hyperlink ref="U16" r:id="rId27"/>
    <hyperlink ref="T17" r:id="rId28"/>
    <hyperlink ref="U17" r:id="rId29"/>
    <hyperlink ref="T18" r:id="rId30"/>
    <hyperlink ref="U18" r:id="rId31"/>
    <hyperlink ref="T19" r:id="rId32"/>
    <hyperlink ref="U19" r:id="rId33"/>
    <hyperlink ref="T20" r:id="rId34"/>
    <hyperlink ref="U20" r:id="rId35"/>
    <hyperlink ref="T21" r:id="rId36"/>
    <hyperlink ref="U21" r:id="rId37"/>
    <hyperlink ref="T22" r:id="rId38"/>
    <hyperlink ref="U22" r:id="rId39"/>
    <hyperlink ref="T23" r:id="rId40"/>
    <hyperlink ref="U23" r:id="rId41"/>
    <hyperlink ref="T24" r:id="rId42"/>
    <hyperlink ref="U24" r:id="rId43"/>
    <hyperlink ref="T25" r:id="rId44"/>
    <hyperlink ref="U25" r:id="rId45"/>
    <hyperlink ref="T26" r:id="rId46"/>
    <hyperlink ref="U26" r:id="rId47"/>
    <hyperlink ref="T27" r:id="rId48"/>
    <hyperlink ref="U27" r:id="rId49"/>
    <hyperlink ref="T28" r:id="rId50"/>
    <hyperlink ref="U28" r:id="rId51"/>
    <hyperlink ref="T29" r:id="rId52"/>
    <hyperlink ref="U29" r:id="rId53"/>
    <hyperlink ref="T30" r:id="rId54"/>
    <hyperlink ref="U30" r:id="rId55"/>
    <hyperlink ref="T31" r:id="rId56"/>
    <hyperlink ref="U31" r:id="rId57"/>
    <hyperlink ref="T32" r:id="rId58"/>
    <hyperlink ref="U32" r:id="rId59"/>
    <hyperlink ref="T33" r:id="rId60"/>
    <hyperlink ref="U33" r:id="rId61"/>
    <hyperlink ref="U34" r:id="rId62"/>
    <hyperlink ref="U35" r:id="rId63"/>
    <hyperlink ref="T36" r:id="rId64"/>
    <hyperlink ref="U36" r:id="rId65"/>
    <hyperlink ref="T37" r:id="rId66"/>
    <hyperlink ref="U37" r:id="rId67"/>
    <hyperlink ref="T38" r:id="rId68"/>
    <hyperlink ref="U38" r:id="rId69"/>
    <hyperlink ref="U39" r:id="rId70"/>
    <hyperlink ref="T40" r:id="rId71"/>
    <hyperlink ref="U40" r:id="rId72"/>
    <hyperlink ref="T41" r:id="rId73"/>
    <hyperlink ref="U41" r:id="rId74"/>
    <hyperlink ref="U42" r:id="rId75"/>
    <hyperlink ref="T43" r:id="rId76"/>
    <hyperlink ref="U43" r:id="rId77"/>
    <hyperlink ref="U44" r:id="rId78"/>
    <hyperlink ref="T45" r:id="rId79"/>
    <hyperlink ref="U45" r:id="rId80"/>
    <hyperlink ref="T46" r:id="rId81"/>
    <hyperlink ref="U46" r:id="rId82"/>
    <hyperlink ref="T47" r:id="rId83"/>
    <hyperlink ref="U47" r:id="rId84"/>
    <hyperlink ref="T48" r:id="rId85"/>
    <hyperlink ref="U48" r:id="rId86"/>
    <hyperlink ref="T49" r:id="rId87"/>
    <hyperlink ref="U49" r:id="rId88"/>
    <hyperlink ref="T50" r:id="rId89"/>
    <hyperlink ref="U50" r:id="rId90"/>
    <hyperlink ref="T51" r:id="rId91"/>
    <hyperlink ref="U51" r:id="rId92"/>
    <hyperlink ref="U52" r:id="rId93"/>
    <hyperlink ref="T53" r:id="rId94"/>
    <hyperlink ref="U53" r:id="rId95"/>
    <hyperlink ref="U54" r:id="rId96"/>
    <hyperlink ref="T55" r:id="rId97"/>
    <hyperlink ref="T56" r:id="rId98"/>
    <hyperlink ref="U56" r:id="rId99"/>
    <hyperlink ref="T57" r:id="rId100"/>
    <hyperlink ref="U57" r:id="rId101"/>
    <hyperlink ref="R58" r:id="rId102"/>
    <hyperlink ref="R59" r:id="rId103"/>
    <hyperlink ref="S59" r:id="rId104"/>
    <hyperlink ref="S60" r:id="rId105"/>
    <hyperlink ref="S61" r:id="rId106"/>
    <hyperlink ref="R62" r:id="rId107"/>
    <hyperlink ref="S62" r:id="rId108"/>
    <hyperlink ref="S63" r:id="rId109"/>
    <hyperlink ref="R64" r:id="rId110"/>
    <hyperlink ref="S64" r:id="rId111"/>
    <hyperlink ref="S65" r:id="rId112"/>
    <hyperlink ref="R66" r:id="rId113"/>
    <hyperlink ref="S66" r:id="rId114"/>
    <hyperlink ref="S67" r:id="rId115"/>
    <hyperlink ref="R68" r:id="rId116"/>
    <hyperlink ref="S68" r:id="rId117"/>
    <hyperlink ref="R69" r:id="rId118"/>
    <hyperlink ref="S69" r:id="rId119"/>
    <hyperlink ref="R70" r:id="rId120"/>
    <hyperlink ref="S70" r:id="rId121"/>
    <hyperlink ref="T70" r:id="rId122"/>
    <hyperlink ref="R71" r:id="rId123"/>
    <hyperlink ref="S71" r:id="rId124"/>
    <hyperlink ref="T71" r:id="rId125"/>
    <hyperlink ref="R72" r:id="rId126"/>
    <hyperlink ref="S72" r:id="rId127"/>
    <hyperlink ref="T72" r:id="rId128"/>
    <hyperlink ref="R73" r:id="rId129"/>
    <hyperlink ref="S73" r:id="rId130"/>
    <hyperlink ref="R74" r:id="rId131"/>
    <hyperlink ref="R75" r:id="rId132"/>
    <hyperlink ref="S75" r:id="rId133"/>
    <hyperlink ref="R76" r:id="rId134"/>
    <hyperlink ref="R77" r:id="rId135"/>
    <hyperlink ref="S77" r:id="rId136"/>
    <hyperlink ref="S78" r:id="rId137"/>
    <hyperlink ref="T78" r:id="rId138"/>
    <hyperlink ref="R79" r:id="rId139"/>
    <hyperlink ref="S79" r:id="rId140"/>
    <hyperlink ref="T79" r:id="rId141"/>
    <hyperlink ref="R80" r:id="rId142"/>
    <hyperlink ref="S80" r:id="rId143"/>
    <hyperlink ref="R81" r:id="rId144"/>
    <hyperlink ref="S81" r:id="rId145"/>
    <hyperlink ref="R82" r:id="rId146"/>
    <hyperlink ref="R83" r:id="rId147"/>
    <hyperlink ref="R85" r:id="rId148"/>
    <hyperlink ref="R88" r:id="rId149"/>
    <hyperlink ref="R90" r:id="rId150"/>
    <hyperlink ref="R93" r:id="rId151"/>
    <hyperlink ref="R94" r:id="rId152"/>
    <hyperlink ref="R95" r:id="rId153"/>
    <hyperlink ref="R96" r:id="rId154"/>
    <hyperlink ref="R97" r:id="rId155"/>
    <hyperlink ref="R98" r:id="rId156"/>
    <hyperlink ref="R99" r:id="rId157"/>
    <hyperlink ref="R100" r:id="rId158"/>
    <hyperlink ref="R102" r:id="rId159"/>
    <hyperlink ref="R103" r:id="rId160"/>
    <hyperlink ref="R104" r:id="rId161"/>
    <hyperlink ref="R105" r:id="rId162"/>
    <hyperlink ref="R106" r:id="rId163"/>
    <hyperlink ref="R107" r:id="rId164"/>
    <hyperlink ref="R109" r:id="rId165"/>
  </hyperlinks>
  <pageMargins left="1.2393410501106719" right="0" top="0.75" bottom="0.75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M97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ColWidth="14.42578125" defaultRowHeight="15" customHeight="1"/>
  <cols>
    <col min="1" max="1" width="8.7109375" customWidth="1"/>
    <col min="2" max="2" width="30.42578125" customWidth="1"/>
    <col min="3" max="3" width="15" customWidth="1"/>
    <col min="4" max="4" width="15.5703125" customWidth="1"/>
    <col min="5" max="5" width="12.28515625" customWidth="1"/>
    <col min="6" max="6" width="10.5703125" customWidth="1"/>
    <col min="7" max="7" width="12.28515625" customWidth="1"/>
    <col min="8" max="8" width="12.140625" customWidth="1"/>
    <col min="9" max="9" width="14.42578125" customWidth="1"/>
    <col min="10" max="10" width="14" customWidth="1"/>
    <col min="11" max="11" width="13.85546875" customWidth="1"/>
    <col min="12" max="12" width="29.42578125" customWidth="1"/>
    <col min="13" max="13" width="13" customWidth="1"/>
    <col min="14" max="16" width="18.85546875" customWidth="1"/>
    <col min="17" max="17" width="19.28515625" customWidth="1"/>
    <col min="18" max="18" width="11.5703125" customWidth="1"/>
    <col min="19" max="20" width="8.7109375" customWidth="1"/>
    <col min="21" max="21" width="10.7109375" customWidth="1"/>
    <col min="22" max="39" width="8.7109375" customWidth="1"/>
  </cols>
  <sheetData>
    <row r="1" spans="1:39" ht="21" customHeight="1">
      <c r="A1" s="2176" t="s">
        <v>8164</v>
      </c>
      <c r="B1" s="1908" t="s">
        <v>430</v>
      </c>
      <c r="C1" s="1908" t="s">
        <v>431</v>
      </c>
      <c r="D1" s="2177" t="s">
        <v>432</v>
      </c>
      <c r="E1" s="467" t="s">
        <v>433</v>
      </c>
      <c r="F1" s="1904" t="s">
        <v>2759</v>
      </c>
      <c r="G1" s="2178" t="s">
        <v>15</v>
      </c>
      <c r="H1" s="1754" t="s">
        <v>2760</v>
      </c>
      <c r="I1" s="2179" t="s">
        <v>2761</v>
      </c>
      <c r="J1" s="2180" t="s">
        <v>1006</v>
      </c>
      <c r="K1" s="1908" t="s">
        <v>678</v>
      </c>
      <c r="L1" s="1908" t="s">
        <v>23</v>
      </c>
      <c r="M1" s="2181" t="s">
        <v>435</v>
      </c>
      <c r="N1" s="2181" t="s">
        <v>130</v>
      </c>
      <c r="O1" s="2181" t="s">
        <v>1007</v>
      </c>
      <c r="P1" s="602" t="s">
        <v>1008</v>
      </c>
      <c r="Q1" s="2181" t="s">
        <v>1009</v>
      </c>
      <c r="R1" s="2182" t="s">
        <v>5626</v>
      </c>
      <c r="S1" s="2182" t="s">
        <v>5627</v>
      </c>
      <c r="T1" s="2182" t="s">
        <v>2764</v>
      </c>
      <c r="U1" s="2182" t="s">
        <v>2765</v>
      </c>
      <c r="V1" s="388"/>
      <c r="W1" s="1908"/>
      <c r="X1" s="1908"/>
      <c r="Y1" s="1908"/>
      <c r="Z1" s="1908"/>
      <c r="AA1" s="1908"/>
      <c r="AB1" s="1908"/>
      <c r="AC1" s="1908"/>
      <c r="AD1" s="1908"/>
      <c r="AE1" s="1908"/>
      <c r="AF1" s="1908"/>
      <c r="AG1" s="1908"/>
      <c r="AH1" s="1908"/>
      <c r="AI1" s="1908"/>
      <c r="AJ1" s="1908"/>
      <c r="AK1" s="1908"/>
      <c r="AL1" s="1908"/>
      <c r="AM1" s="1908"/>
    </row>
    <row r="2" spans="1:39">
      <c r="A2" s="1001">
        <v>1</v>
      </c>
      <c r="B2" s="293" t="s">
        <v>8165</v>
      </c>
      <c r="C2" s="275" t="s">
        <v>31</v>
      </c>
      <c r="D2" s="1448" t="s">
        <v>8166</v>
      </c>
      <c r="E2" s="303" t="s">
        <v>8167</v>
      </c>
      <c r="F2" s="284" t="s">
        <v>759</v>
      </c>
      <c r="G2" s="385" t="s">
        <v>76</v>
      </c>
      <c r="H2" s="274" t="s">
        <v>279</v>
      </c>
      <c r="I2" s="284">
        <v>9002079035</v>
      </c>
      <c r="J2" s="306">
        <v>9002079035</v>
      </c>
      <c r="K2" s="275" t="s">
        <v>330</v>
      </c>
      <c r="L2" s="274" t="s">
        <v>64</v>
      </c>
      <c r="M2" s="289">
        <v>27729</v>
      </c>
      <c r="N2" s="272">
        <v>49643</v>
      </c>
      <c r="O2" s="272">
        <v>45628</v>
      </c>
      <c r="P2" s="279">
        <v>45501</v>
      </c>
      <c r="Q2" s="302">
        <v>45481</v>
      </c>
      <c r="R2" s="309"/>
      <c r="S2" s="309"/>
      <c r="T2" s="310" t="s">
        <v>8168</v>
      </c>
      <c r="U2" s="310" t="s">
        <v>8169</v>
      </c>
      <c r="V2" s="388">
        <f t="shared" ref="V2:V29" ca="1" si="0">INT((TODAY()-M2)/365)</f>
        <v>50</v>
      </c>
      <c r="W2" s="311"/>
      <c r="X2" s="311"/>
      <c r="Y2" s="311"/>
      <c r="Z2" s="311"/>
      <c r="AA2" s="311"/>
      <c r="AB2" s="311"/>
      <c r="AC2" s="311"/>
      <c r="AD2" s="311"/>
      <c r="AE2" s="311"/>
      <c r="AF2" s="311"/>
      <c r="AG2" s="311"/>
      <c r="AH2" s="311"/>
      <c r="AI2" s="311"/>
      <c r="AJ2" s="311"/>
      <c r="AK2" s="311"/>
      <c r="AL2" s="311"/>
      <c r="AM2" s="311"/>
    </row>
    <row r="3" spans="1:39">
      <c r="A3" s="1001">
        <v>3</v>
      </c>
      <c r="B3" s="293" t="s">
        <v>8170</v>
      </c>
      <c r="C3" s="275" t="s">
        <v>31</v>
      </c>
      <c r="D3" s="833" t="s">
        <v>8171</v>
      </c>
      <c r="E3" s="274" t="s">
        <v>8172</v>
      </c>
      <c r="F3" s="284" t="s">
        <v>759</v>
      </c>
      <c r="G3" s="1124" t="s">
        <v>77</v>
      </c>
      <c r="H3" s="274" t="s">
        <v>279</v>
      </c>
      <c r="I3" s="275">
        <v>9002071772</v>
      </c>
      <c r="J3" s="690">
        <v>9002071772</v>
      </c>
      <c r="K3" s="275" t="s">
        <v>330</v>
      </c>
      <c r="L3" s="274" t="s">
        <v>43</v>
      </c>
      <c r="M3" s="289">
        <v>29221</v>
      </c>
      <c r="N3" s="272">
        <v>51135</v>
      </c>
      <c r="O3" s="272">
        <v>45658</v>
      </c>
      <c r="P3" s="678">
        <v>45115</v>
      </c>
      <c r="Q3" s="272">
        <v>45145</v>
      </c>
      <c r="S3" s="309"/>
      <c r="T3" s="310" t="s">
        <v>8173</v>
      </c>
      <c r="U3" s="310" t="s">
        <v>8173</v>
      </c>
      <c r="V3" s="388">
        <f t="shared" ca="1" si="0"/>
        <v>46</v>
      </c>
      <c r="W3" s="311"/>
      <c r="X3" s="311"/>
      <c r="Y3" s="311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  <c r="AM3" s="311"/>
    </row>
    <row r="4" spans="1:39" ht="15.75" customHeight="1">
      <c r="A4" s="1001">
        <v>4</v>
      </c>
      <c r="B4" s="293" t="s">
        <v>8174</v>
      </c>
      <c r="C4" s="275" t="s">
        <v>31</v>
      </c>
      <c r="D4" s="1448" t="s">
        <v>8175</v>
      </c>
      <c r="E4" s="303" t="s">
        <v>8176</v>
      </c>
      <c r="F4" s="284" t="s">
        <v>759</v>
      </c>
      <c r="G4" s="385" t="s">
        <v>76</v>
      </c>
      <c r="H4" s="274" t="s">
        <v>279</v>
      </c>
      <c r="I4" s="275">
        <v>9002079039</v>
      </c>
      <c r="J4" s="690">
        <v>9002079039</v>
      </c>
      <c r="K4" s="275" t="s">
        <v>330</v>
      </c>
      <c r="L4" s="274" t="s">
        <v>43</v>
      </c>
      <c r="M4" s="289">
        <v>26996</v>
      </c>
      <c r="N4" s="272">
        <v>48913</v>
      </c>
      <c r="O4" s="272">
        <v>45488</v>
      </c>
      <c r="P4" s="315">
        <v>45222</v>
      </c>
      <c r="Q4" s="272">
        <v>45258</v>
      </c>
      <c r="S4" s="485"/>
      <c r="T4" s="486" t="s">
        <v>8177</v>
      </c>
      <c r="U4" s="486" t="s">
        <v>8177</v>
      </c>
      <c r="V4" s="1189">
        <f t="shared" ca="1" si="0"/>
        <v>52</v>
      </c>
      <c r="W4" s="3"/>
      <c r="X4" s="3"/>
      <c r="Y4" s="79"/>
      <c r="Z4" s="79"/>
      <c r="AB4" s="79"/>
      <c r="AC4" s="79"/>
      <c r="AD4" s="79"/>
    </row>
    <row r="5" spans="1:39">
      <c r="A5" s="1191">
        <v>5</v>
      </c>
      <c r="B5" s="293" t="s">
        <v>8178</v>
      </c>
      <c r="C5" s="275" t="s">
        <v>31</v>
      </c>
      <c r="D5" s="1448" t="s">
        <v>8179</v>
      </c>
      <c r="E5" s="274" t="s">
        <v>8180</v>
      </c>
      <c r="F5" s="284" t="s">
        <v>759</v>
      </c>
      <c r="G5" s="1124" t="s">
        <v>77</v>
      </c>
      <c r="H5" s="274" t="s">
        <v>279</v>
      </c>
      <c r="I5" s="275">
        <v>9002071819</v>
      </c>
      <c r="J5" s="415">
        <v>9002071819</v>
      </c>
      <c r="K5" s="275" t="s">
        <v>330</v>
      </c>
      <c r="L5" s="274" t="s">
        <v>43</v>
      </c>
      <c r="M5" s="289">
        <v>26500</v>
      </c>
      <c r="N5" s="272">
        <v>48426</v>
      </c>
      <c r="O5" s="272">
        <v>45204</v>
      </c>
      <c r="P5" s="279">
        <v>45274</v>
      </c>
      <c r="Q5" s="279">
        <v>45200</v>
      </c>
      <c r="R5" s="309"/>
      <c r="S5" s="309"/>
      <c r="T5" s="310" t="s">
        <v>8181</v>
      </c>
      <c r="U5" s="894" t="s">
        <v>8182</v>
      </c>
      <c r="V5" s="388">
        <f t="shared" ca="1" si="0"/>
        <v>53</v>
      </c>
      <c r="W5" s="90"/>
      <c r="X5" s="90"/>
    </row>
    <row r="6" spans="1:39" ht="15.75" customHeight="1">
      <c r="A6" s="1001">
        <v>7</v>
      </c>
      <c r="B6" s="293" t="s">
        <v>8183</v>
      </c>
      <c r="C6" s="275" t="s">
        <v>31</v>
      </c>
      <c r="D6" s="1448" t="s">
        <v>8184</v>
      </c>
      <c r="E6" s="303" t="s">
        <v>8185</v>
      </c>
      <c r="F6" s="284" t="s">
        <v>759</v>
      </c>
      <c r="G6" s="385" t="s">
        <v>76</v>
      </c>
      <c r="H6" s="274" t="s">
        <v>279</v>
      </c>
      <c r="I6" s="275">
        <v>9002079049</v>
      </c>
      <c r="J6" s="690">
        <v>9002079049</v>
      </c>
      <c r="K6" s="275" t="s">
        <v>330</v>
      </c>
      <c r="L6" s="274" t="s">
        <v>55</v>
      </c>
      <c r="M6" s="289">
        <v>25324</v>
      </c>
      <c r="N6" s="272">
        <v>47238</v>
      </c>
      <c r="O6" s="272">
        <v>45413</v>
      </c>
      <c r="P6" s="302">
        <v>45481</v>
      </c>
      <c r="Q6" s="279">
        <v>45481</v>
      </c>
      <c r="T6" s="310" t="s">
        <v>8186</v>
      </c>
      <c r="U6" s="310" t="s">
        <v>8187</v>
      </c>
      <c r="V6" s="388">
        <f t="shared" ca="1" si="0"/>
        <v>56</v>
      </c>
      <c r="W6" s="311"/>
      <c r="X6" s="311"/>
      <c r="Y6" s="311"/>
      <c r="Z6" s="311"/>
      <c r="AA6" s="311"/>
      <c r="AB6" s="311"/>
      <c r="AC6" s="311"/>
      <c r="AD6" s="311"/>
      <c r="AE6" s="311"/>
      <c r="AF6" s="311"/>
      <c r="AG6" s="311"/>
      <c r="AH6" s="311"/>
      <c r="AI6" s="311"/>
      <c r="AJ6" s="311"/>
      <c r="AK6" s="311"/>
      <c r="AL6" s="311"/>
      <c r="AM6" s="311"/>
    </row>
    <row r="7" spans="1:39" ht="15.75" customHeight="1">
      <c r="A7" s="1001">
        <v>9</v>
      </c>
      <c r="B7" s="293" t="s">
        <v>8188</v>
      </c>
      <c r="C7" s="275" t="s">
        <v>31</v>
      </c>
      <c r="D7" s="1448" t="s">
        <v>8189</v>
      </c>
      <c r="E7" s="274" t="s">
        <v>8190</v>
      </c>
      <c r="F7" s="284" t="s">
        <v>759</v>
      </c>
      <c r="G7" s="1124" t="s">
        <v>77</v>
      </c>
      <c r="H7" s="274" t="s">
        <v>279</v>
      </c>
      <c r="I7" s="275">
        <v>8420320014</v>
      </c>
      <c r="J7" s="415">
        <v>8420320014</v>
      </c>
      <c r="K7" s="275" t="s">
        <v>330</v>
      </c>
      <c r="L7" s="275" t="s">
        <v>43</v>
      </c>
      <c r="M7" s="272">
        <v>28781</v>
      </c>
      <c r="N7" s="272">
        <v>50709</v>
      </c>
      <c r="O7" s="272">
        <v>45529</v>
      </c>
      <c r="P7" s="279">
        <v>45891</v>
      </c>
      <c r="Q7" s="272">
        <v>45509</v>
      </c>
      <c r="T7" s="310" t="s">
        <v>8191</v>
      </c>
      <c r="U7" s="429" t="s">
        <v>8192</v>
      </c>
      <c r="V7" s="388">
        <f t="shared" ca="1" si="0"/>
        <v>47</v>
      </c>
      <c r="W7" s="311"/>
      <c r="X7" s="311"/>
      <c r="Y7" s="311"/>
      <c r="Z7" s="311"/>
      <c r="AA7" s="311"/>
      <c r="AB7" s="311"/>
      <c r="AC7" s="311"/>
      <c r="AD7" s="311"/>
      <c r="AE7" s="311"/>
      <c r="AF7" s="311"/>
      <c r="AG7" s="311"/>
      <c r="AH7" s="311"/>
      <c r="AI7" s="311"/>
      <c r="AJ7" s="311"/>
      <c r="AK7" s="311"/>
      <c r="AL7" s="311"/>
      <c r="AM7" s="311"/>
    </row>
    <row r="8" spans="1:39" ht="15.75" customHeight="1">
      <c r="A8" s="1001">
        <v>10</v>
      </c>
      <c r="B8" s="293" t="s">
        <v>8193</v>
      </c>
      <c r="C8" s="275" t="s">
        <v>31</v>
      </c>
      <c r="D8" s="1448" t="s">
        <v>8194</v>
      </c>
      <c r="E8" s="274" t="s">
        <v>8195</v>
      </c>
      <c r="F8" s="284" t="s">
        <v>759</v>
      </c>
      <c r="G8" s="1124" t="s">
        <v>77</v>
      </c>
      <c r="H8" s="274" t="s">
        <v>266</v>
      </c>
      <c r="I8" s="275">
        <v>8420320015</v>
      </c>
      <c r="J8" s="690"/>
      <c r="K8" s="275" t="s">
        <v>330</v>
      </c>
      <c r="L8" s="284" t="s">
        <v>664</v>
      </c>
      <c r="M8" s="272">
        <v>25001</v>
      </c>
      <c r="N8" s="272">
        <v>46934</v>
      </c>
      <c r="O8" s="272">
        <v>45458</v>
      </c>
      <c r="P8" s="278">
        <v>45115</v>
      </c>
      <c r="Q8" s="279">
        <v>46175</v>
      </c>
      <c r="R8" s="485"/>
      <c r="T8" s="310" t="s">
        <v>8196</v>
      </c>
      <c r="U8" s="310" t="s">
        <v>8197</v>
      </c>
      <c r="V8" s="388">
        <f t="shared" ca="1" si="0"/>
        <v>57</v>
      </c>
      <c r="W8" s="311"/>
      <c r="X8" s="311"/>
      <c r="Y8" s="311"/>
      <c r="Z8" s="311"/>
      <c r="AA8" s="311"/>
      <c r="AB8" s="311"/>
      <c r="AC8" s="311"/>
      <c r="AD8" s="311"/>
      <c r="AE8" s="311"/>
      <c r="AF8" s="311"/>
      <c r="AG8" s="311"/>
      <c r="AH8" s="311"/>
      <c r="AI8" s="311"/>
      <c r="AJ8" s="311"/>
      <c r="AK8" s="311"/>
      <c r="AL8" s="311"/>
      <c r="AM8" s="311"/>
    </row>
    <row r="9" spans="1:39">
      <c r="A9" s="1001">
        <v>12</v>
      </c>
      <c r="B9" s="293" t="s">
        <v>8198</v>
      </c>
      <c r="C9" s="275" t="s">
        <v>31</v>
      </c>
      <c r="D9" s="1448" t="s">
        <v>8199</v>
      </c>
      <c r="E9" s="274" t="s">
        <v>8200</v>
      </c>
      <c r="F9" s="284" t="s">
        <v>759</v>
      </c>
      <c r="G9" s="1124" t="s">
        <v>77</v>
      </c>
      <c r="H9" s="274" t="s">
        <v>279</v>
      </c>
      <c r="I9" s="275">
        <v>9002071069</v>
      </c>
      <c r="J9" s="690"/>
      <c r="K9" s="275" t="s">
        <v>330</v>
      </c>
      <c r="L9" s="274" t="s">
        <v>55</v>
      </c>
      <c r="M9" s="272">
        <v>26829</v>
      </c>
      <c r="N9" s="272">
        <v>48760</v>
      </c>
      <c r="O9" s="272">
        <v>45362</v>
      </c>
      <c r="P9" s="279">
        <v>45527</v>
      </c>
      <c r="Q9" s="272">
        <v>45509</v>
      </c>
      <c r="T9" s="486" t="s">
        <v>787</v>
      </c>
      <c r="U9" s="486" t="s">
        <v>787</v>
      </c>
      <c r="V9" s="388">
        <f t="shared" ca="1" si="0"/>
        <v>52</v>
      </c>
      <c r="W9" s="311"/>
      <c r="X9" s="311"/>
      <c r="Y9" s="311"/>
      <c r="Z9" s="311"/>
      <c r="AA9" s="311"/>
      <c r="AB9" s="311"/>
      <c r="AC9" s="311"/>
      <c r="AD9" s="311"/>
      <c r="AE9" s="311"/>
      <c r="AF9" s="311"/>
      <c r="AG9" s="311"/>
      <c r="AH9" s="311"/>
      <c r="AI9" s="311"/>
      <c r="AJ9" s="311"/>
      <c r="AK9" s="311"/>
      <c r="AL9" s="311"/>
      <c r="AM9" s="311"/>
    </row>
    <row r="10" spans="1:39" ht="15.75" customHeight="1">
      <c r="A10" s="1001">
        <v>13</v>
      </c>
      <c r="B10" s="293" t="s">
        <v>8201</v>
      </c>
      <c r="C10" s="275" t="s">
        <v>31</v>
      </c>
      <c r="D10" s="1448" t="s">
        <v>8202</v>
      </c>
      <c r="E10" s="284" t="s">
        <v>8203</v>
      </c>
      <c r="F10" s="284" t="s">
        <v>759</v>
      </c>
      <c r="G10" s="306" t="s">
        <v>77</v>
      </c>
      <c r="H10" s="274" t="s">
        <v>279</v>
      </c>
      <c r="I10" s="284">
        <v>8420320024</v>
      </c>
      <c r="J10" s="306">
        <v>8420320024</v>
      </c>
      <c r="K10" s="275" t="s">
        <v>330</v>
      </c>
      <c r="L10" s="274" t="s">
        <v>56</v>
      </c>
      <c r="M10" s="272">
        <v>27698</v>
      </c>
      <c r="N10" s="272">
        <v>49613</v>
      </c>
      <c r="O10" s="272">
        <v>45596</v>
      </c>
      <c r="P10" s="279">
        <v>45527</v>
      </c>
      <c r="Q10" s="272">
        <v>45509</v>
      </c>
      <c r="R10" s="309"/>
      <c r="S10" s="309"/>
      <c r="T10" s="309"/>
      <c r="U10" s="310" t="s">
        <v>8204</v>
      </c>
      <c r="V10" s="388">
        <f t="shared" ca="1" si="0"/>
        <v>50</v>
      </c>
      <c r="W10" s="311"/>
      <c r="X10" s="311"/>
      <c r="Y10" s="311"/>
      <c r="Z10" s="311"/>
      <c r="AA10" s="311"/>
      <c r="AB10" s="311"/>
      <c r="AC10" s="311"/>
      <c r="AD10" s="311"/>
      <c r="AE10" s="311"/>
      <c r="AF10" s="311"/>
      <c r="AG10" s="311"/>
      <c r="AH10" s="311"/>
      <c r="AI10" s="311"/>
      <c r="AJ10" s="311"/>
      <c r="AK10" s="311"/>
      <c r="AL10" s="311"/>
      <c r="AM10" s="311"/>
    </row>
    <row r="11" spans="1:39" ht="15.75" customHeight="1">
      <c r="A11" s="1191">
        <v>14</v>
      </c>
      <c r="B11" s="276" t="s">
        <v>8205</v>
      </c>
      <c r="C11" s="405" t="s">
        <v>31</v>
      </c>
      <c r="D11" s="1458" t="s">
        <v>8206</v>
      </c>
      <c r="E11" s="586" t="s">
        <v>8207</v>
      </c>
      <c r="F11" s="284" t="s">
        <v>759</v>
      </c>
      <c r="G11" s="385" t="s">
        <v>76</v>
      </c>
      <c r="H11" s="274" t="s">
        <v>279</v>
      </c>
      <c r="I11" s="307">
        <v>8420320027</v>
      </c>
      <c r="J11" s="307">
        <v>8420320027</v>
      </c>
      <c r="K11" s="275" t="s">
        <v>330</v>
      </c>
      <c r="L11" s="274" t="s">
        <v>256</v>
      </c>
      <c r="M11" s="921">
        <v>29922</v>
      </c>
      <c r="N11" s="315">
        <v>51866</v>
      </c>
      <c r="O11" s="278">
        <v>46060</v>
      </c>
      <c r="P11" s="278">
        <v>45115</v>
      </c>
      <c r="Q11" s="272">
        <v>45145</v>
      </c>
      <c r="S11" s="309"/>
      <c r="T11" s="285"/>
      <c r="U11" s="318" t="s">
        <v>8208</v>
      </c>
      <c r="V11" s="388">
        <f t="shared" ca="1" si="0"/>
        <v>44</v>
      </c>
      <c r="W11" s="382"/>
      <c r="X11" s="382"/>
      <c r="Y11" s="382"/>
      <c r="Z11" s="382"/>
      <c r="AA11" s="311"/>
      <c r="AB11" s="311"/>
      <c r="AC11" s="311"/>
      <c r="AD11" s="311"/>
      <c r="AE11" s="311"/>
      <c r="AF11" s="311"/>
      <c r="AG11" s="311"/>
      <c r="AH11" s="311"/>
      <c r="AI11" s="311"/>
      <c r="AJ11" s="311"/>
      <c r="AK11" s="311"/>
      <c r="AL11" s="311"/>
      <c r="AM11" s="311"/>
    </row>
    <row r="12" spans="1:39" ht="15.75" customHeight="1">
      <c r="A12" s="1191">
        <v>17</v>
      </c>
      <c r="B12" s="293" t="s">
        <v>8209</v>
      </c>
      <c r="C12" s="275" t="s">
        <v>31</v>
      </c>
      <c r="D12" s="1448" t="s">
        <v>8210</v>
      </c>
      <c r="E12" s="303" t="s">
        <v>8211</v>
      </c>
      <c r="F12" s="284" t="s">
        <v>759</v>
      </c>
      <c r="G12" s="385" t="s">
        <v>76</v>
      </c>
      <c r="H12" s="274" t="s">
        <v>279</v>
      </c>
      <c r="I12" s="275">
        <v>9002071855</v>
      </c>
      <c r="J12" s="2183">
        <v>9735451889</v>
      </c>
      <c r="K12" s="275" t="s">
        <v>330</v>
      </c>
      <c r="L12" s="398" t="s">
        <v>43</v>
      </c>
      <c r="M12" s="272">
        <v>25618</v>
      </c>
      <c r="N12" s="272">
        <v>47542</v>
      </c>
      <c r="O12" s="272">
        <v>45707</v>
      </c>
      <c r="P12" s="278">
        <v>45662</v>
      </c>
      <c r="Q12" s="302">
        <v>45622</v>
      </c>
      <c r="R12" s="309"/>
      <c r="S12" s="485"/>
      <c r="T12" s="310" t="s">
        <v>8212</v>
      </c>
      <c r="U12" s="310" t="s">
        <v>8213</v>
      </c>
      <c r="V12" s="388">
        <f t="shared" ca="1" si="0"/>
        <v>56</v>
      </c>
      <c r="W12" s="311"/>
      <c r="X12" s="311"/>
      <c r="Y12" s="311"/>
      <c r="Z12" s="311"/>
      <c r="AA12" s="311"/>
      <c r="AB12" s="311"/>
      <c r="AC12" s="311"/>
      <c r="AD12" s="311"/>
      <c r="AE12" s="311"/>
      <c r="AF12" s="311"/>
      <c r="AG12" s="311"/>
      <c r="AH12" s="311"/>
      <c r="AI12" s="311"/>
      <c r="AJ12" s="311"/>
      <c r="AK12" s="311"/>
      <c r="AL12" s="311"/>
      <c r="AM12" s="311"/>
    </row>
    <row r="13" spans="1:39" ht="15.75" customHeight="1">
      <c r="A13" s="1001">
        <v>18</v>
      </c>
      <c r="B13" s="276" t="s">
        <v>8214</v>
      </c>
      <c r="C13" s="307" t="s">
        <v>31</v>
      </c>
      <c r="D13" s="1458" t="s">
        <v>8215</v>
      </c>
      <c r="E13" s="674" t="s">
        <v>8216</v>
      </c>
      <c r="F13" s="284" t="s">
        <v>759</v>
      </c>
      <c r="G13" s="385" t="s">
        <v>76</v>
      </c>
      <c r="H13" s="274" t="s">
        <v>279</v>
      </c>
      <c r="I13" s="307">
        <v>8420320056</v>
      </c>
      <c r="J13" s="307"/>
      <c r="K13" s="275" t="s">
        <v>330</v>
      </c>
      <c r="L13" s="274" t="s">
        <v>43</v>
      </c>
      <c r="M13" s="921">
        <v>29649</v>
      </c>
      <c r="N13" s="315">
        <v>51621</v>
      </c>
      <c r="O13" s="278">
        <v>46142</v>
      </c>
      <c r="P13" s="279">
        <v>45361</v>
      </c>
      <c r="Q13" s="302">
        <v>45369</v>
      </c>
      <c r="R13" s="309"/>
      <c r="S13" s="425"/>
      <c r="T13" s="339" t="s">
        <v>8217</v>
      </c>
      <c r="U13" s="339" t="s">
        <v>8218</v>
      </c>
      <c r="V13" s="388">
        <f t="shared" ca="1" si="0"/>
        <v>45</v>
      </c>
      <c r="W13" s="90"/>
      <c r="X13" s="90"/>
    </row>
    <row r="14" spans="1:39" ht="15.75" customHeight="1">
      <c r="A14" s="1001">
        <v>19</v>
      </c>
      <c r="B14" s="293" t="s">
        <v>8219</v>
      </c>
      <c r="C14" s="275" t="s">
        <v>31</v>
      </c>
      <c r="D14" s="1448" t="s">
        <v>8220</v>
      </c>
      <c r="E14" s="274" t="s">
        <v>8221</v>
      </c>
      <c r="F14" s="284" t="s">
        <v>759</v>
      </c>
      <c r="G14" s="1124" t="s">
        <v>77</v>
      </c>
      <c r="H14" s="274" t="s">
        <v>279</v>
      </c>
      <c r="I14" s="275">
        <v>9002071860</v>
      </c>
      <c r="J14" s="854"/>
      <c r="K14" s="275" t="s">
        <v>330</v>
      </c>
      <c r="L14" s="274" t="s">
        <v>55</v>
      </c>
      <c r="M14" s="272">
        <v>26667</v>
      </c>
      <c r="N14" s="272">
        <v>48610</v>
      </c>
      <c r="O14" s="272">
        <v>45290</v>
      </c>
      <c r="P14" s="279">
        <v>46132</v>
      </c>
      <c r="Q14" s="279">
        <v>46114</v>
      </c>
      <c r="R14" s="862"/>
      <c r="S14" s="309"/>
      <c r="T14" s="310" t="s">
        <v>8222</v>
      </c>
      <c r="U14" s="310" t="s">
        <v>8223</v>
      </c>
      <c r="V14" s="388">
        <f t="shared" ca="1" si="0"/>
        <v>53</v>
      </c>
      <c r="W14" s="311"/>
      <c r="X14" s="311"/>
      <c r="Y14" s="311"/>
      <c r="Z14" s="311"/>
      <c r="AA14" s="311"/>
      <c r="AB14" s="311"/>
      <c r="AC14" s="311"/>
      <c r="AD14" s="311"/>
      <c r="AE14" s="311"/>
      <c r="AF14" s="311"/>
      <c r="AG14" s="311"/>
      <c r="AH14" s="311"/>
      <c r="AI14" s="311"/>
      <c r="AJ14" s="311"/>
      <c r="AK14" s="311"/>
      <c r="AL14" s="311"/>
      <c r="AM14" s="311"/>
    </row>
    <row r="15" spans="1:39" ht="15.75" customHeight="1">
      <c r="A15" s="1001">
        <v>21</v>
      </c>
      <c r="B15" s="293" t="s">
        <v>8224</v>
      </c>
      <c r="C15" s="275" t="s">
        <v>31</v>
      </c>
      <c r="D15" s="1448" t="s">
        <v>8225</v>
      </c>
      <c r="E15" s="274" t="s">
        <v>8226</v>
      </c>
      <c r="F15" s="284" t="s">
        <v>759</v>
      </c>
      <c r="G15" s="1124" t="s">
        <v>77</v>
      </c>
      <c r="H15" s="274" t="s">
        <v>279</v>
      </c>
      <c r="I15" s="275">
        <v>9002071164</v>
      </c>
      <c r="J15" s="690"/>
      <c r="K15" s="275" t="s">
        <v>330</v>
      </c>
      <c r="L15" s="275" t="s">
        <v>43</v>
      </c>
      <c r="M15" s="272">
        <v>29009</v>
      </c>
      <c r="N15" s="272">
        <v>50951</v>
      </c>
      <c r="O15" s="272">
        <v>45829</v>
      </c>
      <c r="P15" s="279">
        <v>45720</v>
      </c>
      <c r="Q15" s="302">
        <v>45705</v>
      </c>
      <c r="R15" s="430"/>
      <c r="S15" s="309"/>
      <c r="T15" s="310" t="s">
        <v>8227</v>
      </c>
      <c r="U15" s="310" t="s">
        <v>8227</v>
      </c>
      <c r="V15" s="388">
        <f t="shared" ca="1" si="0"/>
        <v>46</v>
      </c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  <c r="AG15" s="311"/>
      <c r="AH15" s="311"/>
      <c r="AI15" s="311"/>
      <c r="AJ15" s="311"/>
      <c r="AK15" s="311"/>
      <c r="AL15" s="311"/>
      <c r="AM15" s="311"/>
    </row>
    <row r="16" spans="1:39" ht="15.75" customHeight="1">
      <c r="A16" s="1191">
        <v>23</v>
      </c>
      <c r="B16" s="293" t="s">
        <v>8228</v>
      </c>
      <c r="C16" s="275" t="s">
        <v>31</v>
      </c>
      <c r="D16" s="1448" t="s">
        <v>8229</v>
      </c>
      <c r="E16" s="303" t="s">
        <v>8230</v>
      </c>
      <c r="F16" s="284" t="s">
        <v>759</v>
      </c>
      <c r="G16" s="385" t="s">
        <v>76</v>
      </c>
      <c r="H16" s="274" t="s">
        <v>279</v>
      </c>
      <c r="I16" s="275">
        <v>9002071373</v>
      </c>
      <c r="J16" s="306">
        <v>8478828733</v>
      </c>
      <c r="K16" s="275" t="s">
        <v>330</v>
      </c>
      <c r="L16" s="502" t="s">
        <v>55</v>
      </c>
      <c r="M16" s="272">
        <v>24635</v>
      </c>
      <c r="N16" s="272">
        <v>46568</v>
      </c>
      <c r="O16" s="272">
        <v>45230</v>
      </c>
      <c r="P16" s="278">
        <v>45662</v>
      </c>
      <c r="Q16" s="300">
        <v>45591</v>
      </c>
      <c r="R16" s="309"/>
      <c r="S16" s="309"/>
      <c r="T16" s="310" t="s">
        <v>1149</v>
      </c>
      <c r="U16" s="310" t="s">
        <v>8231</v>
      </c>
      <c r="V16" s="388">
        <f t="shared" ca="1" si="0"/>
        <v>58</v>
      </c>
      <c r="W16" s="311"/>
      <c r="X16" s="311"/>
      <c r="Y16" s="311"/>
      <c r="Z16" s="311"/>
      <c r="AA16" s="311"/>
      <c r="AB16" s="311"/>
      <c r="AC16" s="311"/>
      <c r="AD16" s="311"/>
      <c r="AE16" s="311"/>
      <c r="AF16" s="311"/>
      <c r="AG16" s="311"/>
      <c r="AH16" s="311"/>
      <c r="AI16" s="311"/>
      <c r="AJ16" s="311"/>
      <c r="AK16" s="311"/>
      <c r="AL16" s="311"/>
      <c r="AM16" s="311"/>
    </row>
    <row r="17" spans="1:39" ht="15.75" customHeight="1">
      <c r="A17" s="1001">
        <v>24</v>
      </c>
      <c r="B17" s="276" t="s">
        <v>8232</v>
      </c>
      <c r="C17" s="307" t="s">
        <v>31</v>
      </c>
      <c r="D17" s="1460" t="s">
        <v>8233</v>
      </c>
      <c r="E17" s="303" t="s">
        <v>8234</v>
      </c>
      <c r="F17" s="284" t="s">
        <v>759</v>
      </c>
      <c r="G17" s="385" t="s">
        <v>76</v>
      </c>
      <c r="H17" s="274" t="s">
        <v>279</v>
      </c>
      <c r="I17" s="307">
        <v>9002071032</v>
      </c>
      <c r="J17" s="307"/>
      <c r="K17" s="275" t="s">
        <v>330</v>
      </c>
      <c r="L17" s="18" t="s">
        <v>64</v>
      </c>
      <c r="M17" s="278">
        <v>29231</v>
      </c>
      <c r="N17" s="315">
        <v>51470</v>
      </c>
      <c r="O17" s="278">
        <v>45962</v>
      </c>
      <c r="P17" s="279">
        <v>45212</v>
      </c>
      <c r="Q17" s="302">
        <v>45177</v>
      </c>
      <c r="R17" s="425"/>
      <c r="S17" s="425"/>
      <c r="T17" s="425"/>
      <c r="U17" s="339" t="s">
        <v>8235</v>
      </c>
      <c r="V17" s="388">
        <f t="shared" ca="1" si="0"/>
        <v>46</v>
      </c>
      <c r="W17" s="311"/>
      <c r="X17" s="311"/>
      <c r="Y17" s="311"/>
      <c r="Z17" s="311"/>
      <c r="AA17" s="311"/>
      <c r="AB17" s="311"/>
      <c r="AC17" s="311"/>
      <c r="AD17" s="311"/>
      <c r="AE17" s="311"/>
      <c r="AF17" s="311"/>
      <c r="AG17" s="311"/>
      <c r="AH17" s="311"/>
      <c r="AI17" s="311"/>
      <c r="AJ17" s="311"/>
      <c r="AK17" s="311"/>
      <c r="AL17" s="311"/>
      <c r="AM17" s="311"/>
    </row>
    <row r="18" spans="1:39" ht="15.75" customHeight="1">
      <c r="A18" s="1191">
        <v>26</v>
      </c>
      <c r="B18" s="293" t="s">
        <v>8236</v>
      </c>
      <c r="C18" s="275" t="s">
        <v>31</v>
      </c>
      <c r="D18" s="1448" t="s">
        <v>8237</v>
      </c>
      <c r="E18" s="303" t="s">
        <v>8238</v>
      </c>
      <c r="F18" s="284" t="s">
        <v>759</v>
      </c>
      <c r="G18" s="385" t="s">
        <v>76</v>
      </c>
      <c r="H18" s="274" t="s">
        <v>279</v>
      </c>
      <c r="I18" s="275">
        <v>9002079611</v>
      </c>
      <c r="J18" s="690">
        <v>9002079611</v>
      </c>
      <c r="K18" s="275" t="s">
        <v>330</v>
      </c>
      <c r="L18" s="398" t="s">
        <v>43</v>
      </c>
      <c r="M18" s="272">
        <v>27570</v>
      </c>
      <c r="N18" s="272">
        <v>49490</v>
      </c>
      <c r="O18" s="272">
        <v>45463</v>
      </c>
      <c r="P18" s="315">
        <v>45222</v>
      </c>
      <c r="Q18" s="272">
        <v>45258</v>
      </c>
      <c r="R18" s="309"/>
      <c r="S18" s="309"/>
      <c r="T18" s="310" t="s">
        <v>8239</v>
      </c>
      <c r="U18" s="310" t="s">
        <v>8240</v>
      </c>
      <c r="V18" s="388">
        <f t="shared" ca="1" si="0"/>
        <v>50</v>
      </c>
      <c r="W18" s="311"/>
      <c r="X18" s="311"/>
      <c r="Y18" s="311"/>
      <c r="Z18" s="311"/>
      <c r="AA18" s="311"/>
      <c r="AB18" s="311"/>
      <c r="AC18" s="311"/>
      <c r="AD18" s="311"/>
      <c r="AE18" s="311"/>
      <c r="AF18" s="311"/>
      <c r="AG18" s="311"/>
      <c r="AH18" s="311"/>
      <c r="AI18" s="311"/>
      <c r="AJ18" s="311"/>
      <c r="AK18" s="311"/>
      <c r="AL18" s="311"/>
      <c r="AM18" s="311"/>
    </row>
    <row r="19" spans="1:39" ht="15.75" customHeight="1">
      <c r="A19" s="1001">
        <v>28</v>
      </c>
      <c r="B19" s="293" t="s">
        <v>8241</v>
      </c>
      <c r="C19" s="275" t="s">
        <v>31</v>
      </c>
      <c r="D19" s="1448" t="s">
        <v>8242</v>
      </c>
      <c r="E19" s="303" t="s">
        <v>8243</v>
      </c>
      <c r="F19" s="284" t="s">
        <v>759</v>
      </c>
      <c r="G19" s="385" t="s">
        <v>76</v>
      </c>
      <c r="H19" s="274" t="s">
        <v>279</v>
      </c>
      <c r="I19" s="275">
        <v>9002079754</v>
      </c>
      <c r="J19" s="415">
        <v>9002079754</v>
      </c>
      <c r="K19" s="275" t="s">
        <v>330</v>
      </c>
      <c r="L19" s="275" t="s">
        <v>43</v>
      </c>
      <c r="M19" s="272">
        <v>27900</v>
      </c>
      <c r="N19" s="272">
        <v>49826</v>
      </c>
      <c r="O19" s="272">
        <v>45105</v>
      </c>
      <c r="P19" s="278">
        <v>45330</v>
      </c>
      <c r="Q19" s="302">
        <v>45346</v>
      </c>
      <c r="R19" s="309"/>
      <c r="S19" s="309"/>
      <c r="T19" s="310" t="s">
        <v>8244</v>
      </c>
      <c r="U19" s="310" t="s">
        <v>8245</v>
      </c>
      <c r="V19" s="388">
        <f t="shared" ca="1" si="0"/>
        <v>49</v>
      </c>
      <c r="W19" s="311"/>
      <c r="X19" s="311"/>
      <c r="Y19" s="311"/>
      <c r="Z19" s="311"/>
      <c r="AA19" s="311"/>
      <c r="AB19" s="311"/>
      <c r="AC19" s="311"/>
      <c r="AD19" s="311"/>
      <c r="AE19" s="311"/>
      <c r="AF19" s="311"/>
      <c r="AG19" s="311"/>
      <c r="AH19" s="311"/>
      <c r="AI19" s="311"/>
      <c r="AJ19" s="311"/>
      <c r="AK19" s="311"/>
      <c r="AL19" s="311"/>
      <c r="AM19" s="311"/>
    </row>
    <row r="20" spans="1:39" ht="15.75" customHeight="1">
      <c r="A20" s="1001">
        <v>30</v>
      </c>
      <c r="B20" s="293" t="s">
        <v>8246</v>
      </c>
      <c r="C20" s="275" t="s">
        <v>31</v>
      </c>
      <c r="D20" s="1448" t="s">
        <v>8247</v>
      </c>
      <c r="E20" s="303" t="s">
        <v>8248</v>
      </c>
      <c r="F20" s="284" t="s">
        <v>759</v>
      </c>
      <c r="G20" s="385" t="s">
        <v>76</v>
      </c>
      <c r="H20" s="274" t="s">
        <v>279</v>
      </c>
      <c r="I20" s="275">
        <v>9002071031</v>
      </c>
      <c r="J20" s="963">
        <v>7003480449</v>
      </c>
      <c r="K20" s="275" t="s">
        <v>330</v>
      </c>
      <c r="L20" s="274" t="s">
        <v>56</v>
      </c>
      <c r="M20" s="272">
        <v>28858</v>
      </c>
      <c r="N20" s="272">
        <v>50801</v>
      </c>
      <c r="O20" s="272">
        <v>45294</v>
      </c>
      <c r="P20" s="279">
        <v>45807</v>
      </c>
      <c r="Q20" s="279">
        <v>45814</v>
      </c>
      <c r="R20" s="309"/>
      <c r="S20" s="309"/>
      <c r="T20" s="310" t="s">
        <v>310</v>
      </c>
      <c r="U20" s="310" t="s">
        <v>2198</v>
      </c>
      <c r="V20" s="388">
        <f t="shared" ca="1" si="0"/>
        <v>47</v>
      </c>
      <c r="W20" s="311"/>
      <c r="X20" s="311"/>
      <c r="Y20" s="311"/>
      <c r="Z20" s="311"/>
      <c r="AA20" s="311"/>
      <c r="AB20" s="311"/>
      <c r="AC20" s="311"/>
      <c r="AD20" s="311"/>
      <c r="AE20" s="311"/>
      <c r="AF20" s="311"/>
      <c r="AG20" s="311"/>
      <c r="AH20" s="311"/>
      <c r="AI20" s="311"/>
      <c r="AJ20" s="311"/>
      <c r="AK20" s="311"/>
      <c r="AL20" s="311"/>
      <c r="AM20" s="311"/>
    </row>
    <row r="21" spans="1:39" ht="15.75" customHeight="1">
      <c r="A21" s="1001">
        <v>31</v>
      </c>
      <c r="B21" s="293" t="s">
        <v>8249</v>
      </c>
      <c r="C21" s="275" t="s">
        <v>31</v>
      </c>
      <c r="D21" s="1448" t="s">
        <v>8250</v>
      </c>
      <c r="E21" s="303" t="s">
        <v>8251</v>
      </c>
      <c r="F21" s="284" t="s">
        <v>759</v>
      </c>
      <c r="G21" s="385" t="s">
        <v>76</v>
      </c>
      <c r="H21" s="274" t="s">
        <v>279</v>
      </c>
      <c r="I21" s="275">
        <v>9002071680</v>
      </c>
      <c r="J21" s="1013"/>
      <c r="K21" s="275" t="s">
        <v>330</v>
      </c>
      <c r="L21" s="274" t="s">
        <v>43</v>
      </c>
      <c r="M21" s="272">
        <v>24700</v>
      </c>
      <c r="N21" s="272">
        <v>46630</v>
      </c>
      <c r="O21" s="272">
        <v>45464</v>
      </c>
      <c r="P21" s="272">
        <v>45863</v>
      </c>
      <c r="Q21" s="279">
        <v>45727</v>
      </c>
      <c r="R21" s="309"/>
      <c r="S21" s="309"/>
      <c r="T21" s="310" t="s">
        <v>8252</v>
      </c>
      <c r="U21" s="310" t="s">
        <v>8252</v>
      </c>
      <c r="V21" s="388">
        <f t="shared" ca="1" si="0"/>
        <v>58</v>
      </c>
      <c r="W21" s="90"/>
      <c r="X21" s="90"/>
    </row>
    <row r="22" spans="1:39" ht="15.75" customHeight="1">
      <c r="A22" s="1001">
        <v>33</v>
      </c>
      <c r="B22" s="293" t="s">
        <v>8253</v>
      </c>
      <c r="C22" s="275" t="s">
        <v>31</v>
      </c>
      <c r="D22" s="562" t="s">
        <v>8254</v>
      </c>
      <c r="E22" s="303" t="s">
        <v>8255</v>
      </c>
      <c r="F22" s="284" t="s">
        <v>759</v>
      </c>
      <c r="G22" s="385" t="s">
        <v>76</v>
      </c>
      <c r="H22" s="274" t="s">
        <v>279</v>
      </c>
      <c r="I22" s="275">
        <v>9002071748</v>
      </c>
      <c r="J22" s="306">
        <v>9830463502</v>
      </c>
      <c r="K22" s="275" t="s">
        <v>330</v>
      </c>
      <c r="L22" s="274" t="s">
        <v>55</v>
      </c>
      <c r="M22" s="272">
        <v>24998</v>
      </c>
      <c r="N22" s="272">
        <v>46934</v>
      </c>
      <c r="O22" s="272">
        <v>45459</v>
      </c>
      <c r="P22" s="687">
        <v>45487</v>
      </c>
      <c r="Q22" s="272">
        <v>45258</v>
      </c>
      <c r="S22" s="309"/>
      <c r="T22" s="894" t="s">
        <v>8256</v>
      </c>
      <c r="U22" s="894" t="s">
        <v>8256</v>
      </c>
      <c r="V22" s="388">
        <f t="shared" ca="1" si="0"/>
        <v>57</v>
      </c>
      <c r="W22" s="311"/>
      <c r="X22" s="311"/>
      <c r="Y22" s="311"/>
      <c r="Z22" s="311"/>
      <c r="AA22" s="311"/>
      <c r="AB22" s="311"/>
      <c r="AC22" s="311"/>
      <c r="AD22" s="311"/>
      <c r="AE22" s="311"/>
      <c r="AF22" s="311"/>
      <c r="AG22" s="311"/>
      <c r="AH22" s="311"/>
      <c r="AI22" s="311"/>
      <c r="AJ22" s="311"/>
      <c r="AK22" s="311"/>
      <c r="AL22" s="311"/>
      <c r="AM22" s="311"/>
    </row>
    <row r="23" spans="1:39" ht="15.75" customHeight="1">
      <c r="A23" s="1001">
        <v>34</v>
      </c>
      <c r="B23" s="293" t="s">
        <v>8257</v>
      </c>
      <c r="C23" s="275" t="s">
        <v>31</v>
      </c>
      <c r="D23" s="1448" t="s">
        <v>8258</v>
      </c>
      <c r="E23" s="303" t="s">
        <v>8259</v>
      </c>
      <c r="F23" s="284" t="s">
        <v>759</v>
      </c>
      <c r="G23" s="385" t="s">
        <v>76</v>
      </c>
      <c r="H23" s="274" t="s">
        <v>279</v>
      </c>
      <c r="I23" s="275">
        <v>9002071776</v>
      </c>
      <c r="J23" s="690"/>
      <c r="K23" s="275" t="s">
        <v>330</v>
      </c>
      <c r="L23" s="18" t="s">
        <v>55</v>
      </c>
      <c r="M23" s="272">
        <v>28887</v>
      </c>
      <c r="N23" s="272">
        <v>50801</v>
      </c>
      <c r="O23" s="272">
        <v>45386</v>
      </c>
      <c r="P23" s="687">
        <v>45212</v>
      </c>
      <c r="Q23" s="302">
        <v>45177</v>
      </c>
      <c r="R23" s="309"/>
      <c r="T23" s="309"/>
      <c r="U23" s="310" t="s">
        <v>8260</v>
      </c>
      <c r="V23" s="388">
        <f t="shared" ca="1" si="0"/>
        <v>47</v>
      </c>
      <c r="X23" s="311"/>
      <c r="Y23" s="311"/>
      <c r="Z23" s="311"/>
      <c r="AA23" s="311"/>
      <c r="AB23" s="311"/>
      <c r="AC23" s="311"/>
      <c r="AD23" s="311"/>
      <c r="AE23" s="311"/>
      <c r="AF23" s="311"/>
      <c r="AG23" s="311"/>
      <c r="AH23" s="311"/>
      <c r="AI23" s="311"/>
      <c r="AJ23" s="311"/>
      <c r="AK23" s="311"/>
      <c r="AL23" s="311"/>
      <c r="AM23" s="311"/>
    </row>
    <row r="24" spans="1:39" ht="15.75" customHeight="1">
      <c r="A24" s="1191">
        <v>35</v>
      </c>
      <c r="B24" s="293" t="s">
        <v>8261</v>
      </c>
      <c r="C24" s="275" t="s">
        <v>31</v>
      </c>
      <c r="D24" s="1448" t="s">
        <v>8262</v>
      </c>
      <c r="E24" s="274" t="s">
        <v>8263</v>
      </c>
      <c r="F24" s="284" t="s">
        <v>759</v>
      </c>
      <c r="G24" s="1124" t="s">
        <v>77</v>
      </c>
      <c r="H24" s="274" t="s">
        <v>279</v>
      </c>
      <c r="I24" s="275">
        <v>9002079769</v>
      </c>
      <c r="J24" s="690"/>
      <c r="K24" s="275" t="s">
        <v>330</v>
      </c>
      <c r="L24" s="274" t="s">
        <v>43</v>
      </c>
      <c r="M24" s="272">
        <v>26680</v>
      </c>
      <c r="N24" s="272">
        <v>48610</v>
      </c>
      <c r="O24" s="272">
        <v>45308</v>
      </c>
      <c r="P24" s="279">
        <v>45527</v>
      </c>
      <c r="Q24" s="272">
        <v>45509</v>
      </c>
      <c r="R24" s="309"/>
      <c r="S24" s="309"/>
      <c r="T24" s="486" t="s">
        <v>8264</v>
      </c>
      <c r="U24" s="486" t="s">
        <v>8264</v>
      </c>
      <c r="V24" s="388">
        <f t="shared" ca="1" si="0"/>
        <v>53</v>
      </c>
      <c r="W24" s="382"/>
      <c r="X24" s="382"/>
      <c r="Y24" s="382"/>
      <c r="Z24" s="382"/>
      <c r="AA24" s="311"/>
      <c r="AB24" s="311"/>
      <c r="AC24" s="311"/>
      <c r="AD24" s="311"/>
      <c r="AE24" s="311"/>
      <c r="AF24" s="311"/>
      <c r="AG24" s="311"/>
      <c r="AH24" s="311"/>
      <c r="AI24" s="311"/>
      <c r="AJ24" s="311"/>
      <c r="AK24" s="311"/>
      <c r="AL24" s="311"/>
      <c r="AM24" s="311"/>
    </row>
    <row r="25" spans="1:39" ht="15.75" customHeight="1">
      <c r="A25" s="1001">
        <v>36</v>
      </c>
      <c r="B25" s="293" t="s">
        <v>8265</v>
      </c>
      <c r="C25" s="275" t="s">
        <v>31</v>
      </c>
      <c r="D25" s="1448" t="s">
        <v>8266</v>
      </c>
      <c r="E25" s="274" t="s">
        <v>8267</v>
      </c>
      <c r="F25" s="284" t="s">
        <v>759</v>
      </c>
      <c r="G25" s="1124" t="s">
        <v>77</v>
      </c>
      <c r="H25" s="274" t="s">
        <v>279</v>
      </c>
      <c r="I25" s="275">
        <v>8420320046</v>
      </c>
      <c r="J25" s="690"/>
      <c r="K25" s="275" t="s">
        <v>330</v>
      </c>
      <c r="L25" s="274" t="s">
        <v>43</v>
      </c>
      <c r="M25" s="272">
        <v>26778</v>
      </c>
      <c r="N25" s="272">
        <v>48699</v>
      </c>
      <c r="O25" s="272">
        <v>45329</v>
      </c>
      <c r="P25" s="279">
        <v>45835</v>
      </c>
      <c r="Q25" s="279">
        <v>45842</v>
      </c>
      <c r="S25" s="309"/>
      <c r="T25" s="486" t="s">
        <v>8268</v>
      </c>
      <c r="U25" s="486" t="s">
        <v>8269</v>
      </c>
      <c r="V25" s="388">
        <f t="shared" ca="1" si="0"/>
        <v>52</v>
      </c>
      <c r="W25" s="382"/>
      <c r="X25" s="382"/>
      <c r="Y25" s="382"/>
      <c r="Z25" s="382"/>
      <c r="AA25" s="311"/>
      <c r="AB25" s="311"/>
      <c r="AC25" s="311"/>
      <c r="AD25" s="311"/>
      <c r="AE25" s="311"/>
      <c r="AF25" s="311"/>
      <c r="AG25" s="311"/>
      <c r="AH25" s="311"/>
      <c r="AI25" s="311"/>
      <c r="AJ25" s="311"/>
      <c r="AK25" s="311"/>
      <c r="AL25" s="311"/>
      <c r="AM25" s="311"/>
    </row>
    <row r="26" spans="1:39" ht="15.75" customHeight="1">
      <c r="A26" s="1001">
        <v>37</v>
      </c>
      <c r="B26" s="293" t="s">
        <v>2433</v>
      </c>
      <c r="C26" s="275" t="s">
        <v>31</v>
      </c>
      <c r="D26" s="1448" t="s">
        <v>8270</v>
      </c>
      <c r="E26" s="303" t="s">
        <v>8271</v>
      </c>
      <c r="F26" s="284" t="s">
        <v>759</v>
      </c>
      <c r="G26" s="385" t="s">
        <v>76</v>
      </c>
      <c r="H26" s="274" t="s">
        <v>279</v>
      </c>
      <c r="I26" s="284">
        <v>9002071750</v>
      </c>
      <c r="J26" s="1011">
        <v>9002071750</v>
      </c>
      <c r="K26" s="275" t="s">
        <v>330</v>
      </c>
      <c r="L26" s="274" t="s">
        <v>256</v>
      </c>
      <c r="M26" s="272">
        <v>24442</v>
      </c>
      <c r="N26" s="272">
        <v>46356</v>
      </c>
      <c r="O26" s="272">
        <v>45267</v>
      </c>
      <c r="P26" s="279">
        <v>46132</v>
      </c>
      <c r="Q26" s="279">
        <v>45004</v>
      </c>
      <c r="R26" s="309"/>
      <c r="S26" s="309"/>
      <c r="T26" s="310" t="s">
        <v>8272</v>
      </c>
      <c r="U26" s="310" t="s">
        <v>8272</v>
      </c>
      <c r="V26" s="388">
        <f t="shared" ca="1" si="0"/>
        <v>59</v>
      </c>
      <c r="W26" s="311"/>
      <c r="X26" s="311"/>
      <c r="Y26" s="311"/>
      <c r="Z26" s="311"/>
      <c r="AA26" s="311"/>
      <c r="AB26" s="311"/>
      <c r="AC26" s="311"/>
      <c r="AD26" s="311"/>
      <c r="AE26" s="311"/>
      <c r="AF26" s="311"/>
      <c r="AG26" s="311"/>
      <c r="AH26" s="311"/>
      <c r="AI26" s="311"/>
      <c r="AJ26" s="311"/>
      <c r="AK26" s="311"/>
      <c r="AL26" s="311"/>
      <c r="AM26" s="311"/>
    </row>
    <row r="27" spans="1:39" ht="15.75" customHeight="1">
      <c r="A27" s="1001">
        <v>39</v>
      </c>
      <c r="B27" s="293" t="s">
        <v>8273</v>
      </c>
      <c r="C27" s="275" t="s">
        <v>31</v>
      </c>
      <c r="D27" s="1448" t="s">
        <v>8274</v>
      </c>
      <c r="E27" s="303" t="s">
        <v>8275</v>
      </c>
      <c r="F27" s="284" t="s">
        <v>759</v>
      </c>
      <c r="G27" s="385" t="s">
        <v>76</v>
      </c>
      <c r="H27" s="274" t="s">
        <v>279</v>
      </c>
      <c r="I27" s="275">
        <v>9002079787</v>
      </c>
      <c r="J27" s="690">
        <v>9002079787</v>
      </c>
      <c r="K27" s="275" t="s">
        <v>330</v>
      </c>
      <c r="L27" s="274" t="s">
        <v>44</v>
      </c>
      <c r="M27" s="272">
        <v>26667</v>
      </c>
      <c r="N27" s="272">
        <v>48610</v>
      </c>
      <c r="O27" s="272">
        <v>45309</v>
      </c>
      <c r="P27" s="279">
        <v>45501</v>
      </c>
      <c r="Q27" s="302">
        <v>45481</v>
      </c>
      <c r="R27" s="309"/>
      <c r="S27" s="309"/>
      <c r="T27" s="310" t="s">
        <v>8276</v>
      </c>
      <c r="U27" s="310" t="s">
        <v>8277</v>
      </c>
      <c r="V27" s="388">
        <f t="shared" ca="1" si="0"/>
        <v>53</v>
      </c>
      <c r="W27" s="208"/>
      <c r="X27" s="298"/>
      <c r="Y27" s="298"/>
      <c r="Z27" s="298"/>
    </row>
    <row r="28" spans="1:39" ht="15.75" customHeight="1">
      <c r="A28" s="1001">
        <v>40</v>
      </c>
      <c r="B28" s="293" t="s">
        <v>8278</v>
      </c>
      <c r="C28" s="275" t="s">
        <v>31</v>
      </c>
      <c r="D28" s="562" t="s">
        <v>8279</v>
      </c>
      <c r="E28" s="303" t="s">
        <v>8280</v>
      </c>
      <c r="F28" s="284" t="s">
        <v>759</v>
      </c>
      <c r="G28" s="385" t="s">
        <v>76</v>
      </c>
      <c r="H28" s="274" t="s">
        <v>279</v>
      </c>
      <c r="I28" s="275">
        <v>9002079789</v>
      </c>
      <c r="J28" s="690">
        <v>9002079789</v>
      </c>
      <c r="K28" s="275" t="s">
        <v>330</v>
      </c>
      <c r="L28" s="274" t="s">
        <v>256</v>
      </c>
      <c r="M28" s="272">
        <v>28140</v>
      </c>
      <c r="N28" s="272">
        <v>50071</v>
      </c>
      <c r="O28" s="272">
        <v>45305</v>
      </c>
      <c r="P28" s="279">
        <v>45748</v>
      </c>
      <c r="Q28" s="279">
        <v>45786</v>
      </c>
      <c r="R28" s="309"/>
      <c r="S28" s="309"/>
      <c r="T28" s="310" t="s">
        <v>8281</v>
      </c>
      <c r="U28" s="310" t="s">
        <v>8281</v>
      </c>
      <c r="V28" s="388">
        <f t="shared" ca="1" si="0"/>
        <v>49</v>
      </c>
      <c r="W28" s="208"/>
      <c r="X28" s="208"/>
      <c r="Y28" s="199"/>
      <c r="Z28" s="199"/>
    </row>
    <row r="29" spans="1:39" ht="15.75" customHeight="1">
      <c r="A29" s="1001">
        <v>42</v>
      </c>
      <c r="B29" s="293" t="s">
        <v>8282</v>
      </c>
      <c r="C29" s="275" t="s">
        <v>31</v>
      </c>
      <c r="D29" s="1448" t="s">
        <v>8283</v>
      </c>
      <c r="E29" s="274" t="s">
        <v>8284</v>
      </c>
      <c r="F29" s="284" t="s">
        <v>759</v>
      </c>
      <c r="G29" s="1124" t="s">
        <v>77</v>
      </c>
      <c r="H29" s="274" t="s">
        <v>279</v>
      </c>
      <c r="I29" s="275">
        <v>9002079795</v>
      </c>
      <c r="J29" s="690">
        <v>9002079795</v>
      </c>
      <c r="K29" s="275" t="s">
        <v>330</v>
      </c>
      <c r="L29" s="274" t="s">
        <v>43</v>
      </c>
      <c r="M29" s="272">
        <v>25761</v>
      </c>
      <c r="N29" s="272">
        <v>47695</v>
      </c>
      <c r="O29" s="272">
        <v>45725</v>
      </c>
      <c r="P29" s="279">
        <v>45487</v>
      </c>
      <c r="Q29" s="279">
        <v>45450</v>
      </c>
      <c r="R29" s="309"/>
      <c r="S29" s="309"/>
      <c r="T29" s="310" t="s">
        <v>8285</v>
      </c>
      <c r="U29" s="310" t="s">
        <v>8286</v>
      </c>
      <c r="V29" s="388">
        <f t="shared" ca="1" si="0"/>
        <v>55</v>
      </c>
      <c r="W29" s="208"/>
      <c r="X29" s="90"/>
      <c r="AA29" s="384"/>
      <c r="AB29" s="384"/>
      <c r="AC29" s="384"/>
      <c r="AD29" s="384"/>
      <c r="AE29" s="384"/>
      <c r="AF29" s="384"/>
      <c r="AG29" s="384"/>
      <c r="AH29" s="384"/>
      <c r="AI29" s="384"/>
      <c r="AJ29" s="384"/>
      <c r="AK29" s="384"/>
      <c r="AL29" s="384"/>
      <c r="AM29" s="384"/>
    </row>
    <row r="30" spans="1:39" ht="15.75" customHeight="1">
      <c r="A30" s="1001">
        <v>43</v>
      </c>
      <c r="B30" s="276" t="s">
        <v>8287</v>
      </c>
      <c r="C30" s="307" t="s">
        <v>31</v>
      </c>
      <c r="D30" s="1458" t="s">
        <v>8288</v>
      </c>
      <c r="E30" s="674" t="s">
        <v>8289</v>
      </c>
      <c r="F30" s="685" t="s">
        <v>759</v>
      </c>
      <c r="G30" s="385" t="s">
        <v>76</v>
      </c>
      <c r="H30" s="303" t="s">
        <v>279</v>
      </c>
      <c r="I30" s="307">
        <v>9002071836</v>
      </c>
      <c r="J30" s="703">
        <v>9002071836</v>
      </c>
      <c r="K30" s="275" t="s">
        <v>330</v>
      </c>
      <c r="L30" s="18" t="s">
        <v>43</v>
      </c>
      <c r="M30" s="278">
        <v>30986</v>
      </c>
      <c r="N30" s="315">
        <v>52901</v>
      </c>
      <c r="O30" s="921">
        <v>45211</v>
      </c>
      <c r="P30" s="279">
        <v>45527</v>
      </c>
      <c r="Q30" s="915">
        <v>45453</v>
      </c>
      <c r="R30" s="425"/>
      <c r="S30" s="425"/>
      <c r="T30" s="339" t="s">
        <v>8290</v>
      </c>
      <c r="U30" s="339" t="s">
        <v>8291</v>
      </c>
      <c r="V30" s="90"/>
      <c r="W30" s="90"/>
      <c r="X30" s="90"/>
      <c r="AA30" s="311">
        <f ca="1">INT((TODAY()-M30)/365)</f>
        <v>41</v>
      </c>
    </row>
    <row r="31" spans="1:39" ht="15.75" customHeight="1">
      <c r="A31" s="1191">
        <v>44</v>
      </c>
      <c r="B31" s="293" t="s">
        <v>8292</v>
      </c>
      <c r="C31" s="275" t="s">
        <v>31</v>
      </c>
      <c r="D31" s="1448" t="s">
        <v>8293</v>
      </c>
      <c r="E31" s="303" t="s">
        <v>8294</v>
      </c>
      <c r="F31" s="674" t="s">
        <v>759</v>
      </c>
      <c r="G31" s="385" t="s">
        <v>76</v>
      </c>
      <c r="H31" s="274" t="s">
        <v>279</v>
      </c>
      <c r="I31" s="275">
        <v>9002079033</v>
      </c>
      <c r="J31" s="690">
        <v>9002079033</v>
      </c>
      <c r="K31" s="275" t="s">
        <v>330</v>
      </c>
      <c r="L31" s="18" t="s">
        <v>43</v>
      </c>
      <c r="M31" s="272">
        <v>26912</v>
      </c>
      <c r="N31" s="272">
        <v>48852</v>
      </c>
      <c r="O31" s="272">
        <v>45106</v>
      </c>
      <c r="P31" s="302">
        <v>45695</v>
      </c>
      <c r="Q31" s="302">
        <v>45705</v>
      </c>
      <c r="S31" s="309"/>
      <c r="T31" s="310" t="s">
        <v>8295</v>
      </c>
      <c r="U31" s="310" t="s">
        <v>8295</v>
      </c>
      <c r="V31" s="311"/>
      <c r="W31" s="208">
        <f ca="1">INT((TODAY()-M31)/365)</f>
        <v>52</v>
      </c>
      <c r="AE31" s="311"/>
      <c r="AF31" s="311"/>
      <c r="AG31" s="311"/>
      <c r="AH31" s="311"/>
      <c r="AI31" s="311"/>
      <c r="AJ31" s="311"/>
      <c r="AK31" s="311"/>
      <c r="AL31" s="311"/>
      <c r="AM31" s="311"/>
    </row>
    <row r="32" spans="1:39" ht="15.75" customHeight="1">
      <c r="A32" s="1001">
        <v>45</v>
      </c>
      <c r="B32" s="276" t="s">
        <v>8296</v>
      </c>
      <c r="C32" s="307" t="s">
        <v>31</v>
      </c>
      <c r="D32" s="1460" t="s">
        <v>8297</v>
      </c>
      <c r="E32" s="303" t="s">
        <v>8298</v>
      </c>
      <c r="F32" s="685" t="s">
        <v>759</v>
      </c>
      <c r="G32" s="385" t="s">
        <v>77</v>
      </c>
      <c r="H32" s="303" t="s">
        <v>279</v>
      </c>
      <c r="I32" s="307">
        <v>9002071135</v>
      </c>
      <c r="J32" s="703">
        <v>9051557719</v>
      </c>
      <c r="K32" s="275" t="s">
        <v>330</v>
      </c>
      <c r="L32" s="125" t="s">
        <v>67</v>
      </c>
      <c r="M32" s="278">
        <v>28718</v>
      </c>
      <c r="N32" s="278">
        <v>50648</v>
      </c>
      <c r="O32" s="278">
        <v>45154</v>
      </c>
      <c r="P32" s="279">
        <v>45527</v>
      </c>
      <c r="Q32" s="915">
        <v>45453</v>
      </c>
      <c r="R32" s="425"/>
      <c r="S32" s="425"/>
      <c r="T32" s="339" t="s">
        <v>8299</v>
      </c>
      <c r="U32" s="339" t="s">
        <v>8300</v>
      </c>
      <c r="V32" s="425"/>
      <c r="W32" s="90"/>
      <c r="X32" s="90"/>
      <c r="Y32" s="90"/>
      <c r="AB32" s="311">
        <f t="shared" ref="AB32:AB36" ca="1" si="1">INT((TODAY()-M32)/365)</f>
        <v>47</v>
      </c>
      <c r="AC32" s="311"/>
      <c r="AD32" s="311"/>
      <c r="AE32" s="311"/>
      <c r="AF32" s="311"/>
      <c r="AG32" s="311"/>
      <c r="AH32" s="311"/>
      <c r="AI32" s="311"/>
      <c r="AJ32" s="311"/>
      <c r="AK32" s="311"/>
      <c r="AL32" s="311"/>
      <c r="AM32" s="311"/>
    </row>
    <row r="33" spans="1:39" ht="15.75" customHeight="1">
      <c r="A33" s="1001">
        <v>46</v>
      </c>
      <c r="B33" s="276" t="s">
        <v>8301</v>
      </c>
      <c r="C33" s="307" t="s">
        <v>31</v>
      </c>
      <c r="D33" s="1460" t="s">
        <v>8302</v>
      </c>
      <c r="E33" s="303" t="s">
        <v>8303</v>
      </c>
      <c r="F33" s="685" t="s">
        <v>759</v>
      </c>
      <c r="G33" s="337" t="s">
        <v>76</v>
      </c>
      <c r="H33" s="303" t="s">
        <v>279</v>
      </c>
      <c r="I33" s="307">
        <v>9002071795</v>
      </c>
      <c r="J33" s="405"/>
      <c r="K33" s="275" t="s">
        <v>330</v>
      </c>
      <c r="L33" s="303" t="s">
        <v>43</v>
      </c>
      <c r="M33" s="278">
        <v>29377</v>
      </c>
      <c r="N33" s="315">
        <v>51317</v>
      </c>
      <c r="O33" s="278">
        <v>45813</v>
      </c>
      <c r="P33" s="279">
        <v>45487</v>
      </c>
      <c r="Q33" s="424">
        <v>45509</v>
      </c>
      <c r="R33" s="842"/>
      <c r="S33" s="425"/>
      <c r="T33" s="339" t="s">
        <v>8304</v>
      </c>
      <c r="U33" s="339" t="s">
        <v>8305</v>
      </c>
      <c r="V33" s="425">
        <f t="shared" ref="V33:V36" si="2">LEN(D33)</f>
        <v>11</v>
      </c>
      <c r="W33" s="90"/>
      <c r="X33" s="90"/>
      <c r="Y33" s="90"/>
      <c r="AB33" s="311">
        <f t="shared" ca="1" si="1"/>
        <v>45</v>
      </c>
      <c r="AC33" s="311"/>
      <c r="AD33" s="311"/>
      <c r="AE33" s="311"/>
      <c r="AF33" s="311"/>
      <c r="AG33" s="311"/>
      <c r="AH33" s="311"/>
      <c r="AI33" s="311"/>
      <c r="AJ33" s="311"/>
      <c r="AK33" s="311"/>
      <c r="AL33" s="311"/>
      <c r="AM33" s="311"/>
    </row>
    <row r="34" spans="1:39" ht="15.75" customHeight="1">
      <c r="A34" s="1191">
        <v>47</v>
      </c>
      <c r="B34" s="276" t="s">
        <v>8306</v>
      </c>
      <c r="C34" s="307" t="s">
        <v>31</v>
      </c>
      <c r="D34" s="1460" t="s">
        <v>8307</v>
      </c>
      <c r="E34" s="303" t="s">
        <v>8308</v>
      </c>
      <c r="F34" s="685" t="s">
        <v>759</v>
      </c>
      <c r="G34" s="337" t="s">
        <v>76</v>
      </c>
      <c r="H34" s="303" t="s">
        <v>279</v>
      </c>
      <c r="I34" s="307">
        <v>9002071266</v>
      </c>
      <c r="J34" s="307"/>
      <c r="K34" s="275" t="s">
        <v>330</v>
      </c>
      <c r="L34" s="303" t="s">
        <v>43</v>
      </c>
      <c r="M34" s="278">
        <v>29526</v>
      </c>
      <c r="N34" s="278">
        <v>51440</v>
      </c>
      <c r="O34" s="278">
        <v>45962</v>
      </c>
      <c r="P34" s="279">
        <v>45487</v>
      </c>
      <c r="Q34" s="424">
        <v>45509</v>
      </c>
      <c r="R34" s="842"/>
      <c r="S34" s="425"/>
      <c r="T34" s="339" t="s">
        <v>8309</v>
      </c>
      <c r="U34" s="339" t="s">
        <v>8310</v>
      </c>
      <c r="V34" s="425">
        <f t="shared" si="2"/>
        <v>11</v>
      </c>
      <c r="W34" s="90"/>
      <c r="X34" s="90"/>
      <c r="Y34" s="90"/>
      <c r="AB34" s="311">
        <f t="shared" ca="1" si="1"/>
        <v>45</v>
      </c>
    </row>
    <row r="35" spans="1:39" ht="15.75" customHeight="1">
      <c r="A35" s="1001">
        <v>48</v>
      </c>
      <c r="B35" s="276" t="s">
        <v>8311</v>
      </c>
      <c r="C35" s="307" t="s">
        <v>31</v>
      </c>
      <c r="D35" s="1460" t="s">
        <v>8312</v>
      </c>
      <c r="E35" s="303" t="s">
        <v>8313</v>
      </c>
      <c r="F35" s="685" t="s">
        <v>759</v>
      </c>
      <c r="G35" s="337" t="s">
        <v>77</v>
      </c>
      <c r="H35" s="303" t="s">
        <v>279</v>
      </c>
      <c r="I35" s="307">
        <v>9002071646</v>
      </c>
      <c r="J35" s="307"/>
      <c r="K35" s="275" t="s">
        <v>330</v>
      </c>
      <c r="L35" s="18" t="s">
        <v>43</v>
      </c>
      <c r="M35" s="278">
        <v>31964</v>
      </c>
      <c r="N35" s="315">
        <v>53904</v>
      </c>
      <c r="O35" s="278">
        <v>46012</v>
      </c>
      <c r="P35" s="279">
        <v>45487</v>
      </c>
      <c r="Q35" s="424">
        <v>45509</v>
      </c>
      <c r="R35" s="842"/>
      <c r="S35" s="425"/>
      <c r="T35" s="339" t="s">
        <v>8314</v>
      </c>
      <c r="U35" s="339" t="s">
        <v>8315</v>
      </c>
      <c r="V35" s="425">
        <f t="shared" si="2"/>
        <v>11</v>
      </c>
      <c r="W35" s="90"/>
      <c r="X35" s="90"/>
      <c r="Y35" s="90"/>
      <c r="AB35" s="311">
        <f t="shared" ca="1" si="1"/>
        <v>38</v>
      </c>
    </row>
    <row r="36" spans="1:39" ht="15.75" customHeight="1">
      <c r="A36" s="1191">
        <v>50</v>
      </c>
      <c r="B36" s="276" t="s">
        <v>8316</v>
      </c>
      <c r="C36" s="307" t="s">
        <v>31</v>
      </c>
      <c r="D36" s="1460" t="s">
        <v>8317</v>
      </c>
      <c r="E36" s="620" t="s">
        <v>8318</v>
      </c>
      <c r="F36" s="685" t="s">
        <v>759</v>
      </c>
      <c r="G36" s="337" t="s">
        <v>77</v>
      </c>
      <c r="H36" s="303" t="s">
        <v>279</v>
      </c>
      <c r="I36" s="307">
        <v>9002071018</v>
      </c>
      <c r="J36" s="307">
        <v>9002071018</v>
      </c>
      <c r="K36" s="275" t="s">
        <v>330</v>
      </c>
      <c r="L36" s="274" t="s">
        <v>55</v>
      </c>
      <c r="M36" s="278">
        <v>29295</v>
      </c>
      <c r="N36" s="315">
        <v>51226</v>
      </c>
      <c r="O36" s="278">
        <v>45719</v>
      </c>
      <c r="P36" s="279">
        <v>45552</v>
      </c>
      <c r="Q36" s="424">
        <v>45509</v>
      </c>
      <c r="R36" s="425"/>
      <c r="S36" s="425"/>
      <c r="T36" s="339" t="s">
        <v>8319</v>
      </c>
      <c r="U36" s="339" t="s">
        <v>8319</v>
      </c>
      <c r="V36" s="425">
        <f t="shared" si="2"/>
        <v>11</v>
      </c>
      <c r="W36" s="90"/>
      <c r="X36" s="90"/>
      <c r="Y36" s="90"/>
      <c r="AB36" s="311">
        <f t="shared" ca="1" si="1"/>
        <v>46</v>
      </c>
    </row>
    <row r="37" spans="1:39" ht="15.75" customHeight="1">
      <c r="A37" s="1191">
        <v>53</v>
      </c>
      <c r="B37" s="293" t="s">
        <v>8320</v>
      </c>
      <c r="C37" s="275" t="s">
        <v>31</v>
      </c>
      <c r="D37" s="1466" t="s">
        <v>8321</v>
      </c>
      <c r="E37" s="303" t="s">
        <v>8322</v>
      </c>
      <c r="F37" s="274" t="s">
        <v>759</v>
      </c>
      <c r="G37" s="303" t="s">
        <v>76</v>
      </c>
      <c r="H37" s="274" t="s">
        <v>279</v>
      </c>
      <c r="I37" s="275">
        <v>9002079759</v>
      </c>
      <c r="J37" s="275"/>
      <c r="K37" s="275" t="s">
        <v>330</v>
      </c>
      <c r="L37" s="274" t="s">
        <v>43</v>
      </c>
      <c r="M37" s="289">
        <v>29984</v>
      </c>
      <c r="N37" s="289">
        <v>51925</v>
      </c>
      <c r="O37" s="272">
        <v>46075</v>
      </c>
      <c r="P37" s="272">
        <v>45748</v>
      </c>
      <c r="Q37" s="302">
        <v>45705</v>
      </c>
      <c r="R37" s="603" t="s">
        <v>8323</v>
      </c>
      <c r="S37" s="295"/>
      <c r="T37" s="296" t="s">
        <v>8324</v>
      </c>
      <c r="U37" s="296" t="s">
        <v>8325</v>
      </c>
      <c r="V37" s="297">
        <f>LEN(TEXT(D37,0))</f>
        <v>11</v>
      </c>
      <c r="W37" s="208">
        <f ca="1">INT((TODAY()-M37)/365)</f>
        <v>44</v>
      </c>
      <c r="X37" s="298"/>
      <c r="Y37" s="298"/>
      <c r="Z37" s="298"/>
      <c r="AA37" s="298"/>
      <c r="AB37" s="298"/>
      <c r="AC37" s="298"/>
      <c r="AD37" s="298"/>
      <c r="AE37" s="298"/>
      <c r="AF37" s="298"/>
      <c r="AG37" s="298"/>
      <c r="AH37" s="298"/>
      <c r="AI37" s="298"/>
      <c r="AJ37" s="298"/>
      <c r="AK37" s="298"/>
      <c r="AL37" s="298"/>
      <c r="AM37" s="298"/>
    </row>
    <row r="38" spans="1:39" ht="18.75">
      <c r="A38" s="1001">
        <v>54</v>
      </c>
      <c r="B38" s="276" t="s">
        <v>8326</v>
      </c>
      <c r="C38" s="307" t="s">
        <v>31</v>
      </c>
      <c r="D38" s="1458" t="s">
        <v>8327</v>
      </c>
      <c r="E38" s="303" t="s">
        <v>8328</v>
      </c>
      <c r="F38" s="685" t="s">
        <v>759</v>
      </c>
      <c r="G38" s="337" t="s">
        <v>76</v>
      </c>
      <c r="H38" s="303" t="s">
        <v>279</v>
      </c>
      <c r="I38" s="307">
        <v>9002071208</v>
      </c>
      <c r="J38" s="307"/>
      <c r="K38" s="275" t="s">
        <v>330</v>
      </c>
      <c r="L38" s="398" t="s">
        <v>56</v>
      </c>
      <c r="M38" s="278">
        <v>31787</v>
      </c>
      <c r="N38" s="315">
        <v>53723</v>
      </c>
      <c r="O38" s="278">
        <v>45762</v>
      </c>
      <c r="P38" s="278">
        <v>45608</v>
      </c>
      <c r="Q38" s="300">
        <v>45591</v>
      </c>
      <c r="R38" s="285"/>
      <c r="S38" s="285"/>
      <c r="T38" s="318" t="s">
        <v>8329</v>
      </c>
      <c r="U38" s="318" t="s">
        <v>8330</v>
      </c>
      <c r="V38" s="285">
        <f t="shared" ref="V38:V41" si="3">LEN(D38)</f>
        <v>11</v>
      </c>
      <c r="W38" s="90"/>
      <c r="X38" s="3"/>
      <c r="Y38" s="3"/>
      <c r="Z38" s="79"/>
      <c r="AA38" s="79"/>
      <c r="AB38" s="382">
        <f t="shared" ref="AB38:AB39" ca="1" si="4">INT((TODAY()-M38)/365)</f>
        <v>39</v>
      </c>
      <c r="AC38" s="297"/>
      <c r="AD38" s="297"/>
      <c r="AE38" s="297"/>
      <c r="AF38" s="297"/>
      <c r="AG38" s="297"/>
      <c r="AH38" s="297"/>
      <c r="AI38" s="298"/>
      <c r="AJ38" s="298"/>
      <c r="AK38" s="298"/>
      <c r="AL38" s="298"/>
      <c r="AM38" s="298"/>
    </row>
    <row r="39" spans="1:39" ht="15.75" customHeight="1">
      <c r="A39" s="1001">
        <v>55</v>
      </c>
      <c r="B39" s="351" t="s">
        <v>8331</v>
      </c>
      <c r="C39" s="274" t="s">
        <v>31</v>
      </c>
      <c r="D39" s="1640" t="s">
        <v>8332</v>
      </c>
      <c r="E39" s="620" t="s">
        <v>8333</v>
      </c>
      <c r="F39" s="685" t="s">
        <v>759</v>
      </c>
      <c r="G39" s="274" t="s">
        <v>77</v>
      </c>
      <c r="H39" s="274" t="s">
        <v>266</v>
      </c>
      <c r="I39" s="275">
        <v>9002071020</v>
      </c>
      <c r="J39" s="284">
        <v>9804663288</v>
      </c>
      <c r="K39" s="275" t="s">
        <v>330</v>
      </c>
      <c r="L39" s="274" t="s">
        <v>43</v>
      </c>
      <c r="M39" s="272">
        <v>30701</v>
      </c>
      <c r="N39" s="272">
        <v>52627</v>
      </c>
      <c r="O39" s="320">
        <v>46153</v>
      </c>
      <c r="P39" s="278">
        <v>45391</v>
      </c>
      <c r="Q39" s="279">
        <v>45373</v>
      </c>
      <c r="R39" s="280"/>
      <c r="S39" s="280"/>
      <c r="T39" s="281" t="s">
        <v>8334</v>
      </c>
      <c r="U39" s="281" t="s">
        <v>8335</v>
      </c>
      <c r="V39" s="79">
        <f t="shared" si="3"/>
        <v>11</v>
      </c>
      <c r="AB39" s="311">
        <f t="shared" ca="1" si="4"/>
        <v>42</v>
      </c>
    </row>
    <row r="40" spans="1:39" ht="15.75" customHeight="1">
      <c r="A40" s="1191">
        <v>56</v>
      </c>
      <c r="B40" s="351" t="s">
        <v>8336</v>
      </c>
      <c r="C40" s="1121" t="s">
        <v>31</v>
      </c>
      <c r="D40" s="1820" t="s">
        <v>8337</v>
      </c>
      <c r="E40" s="1004" t="s">
        <v>8338</v>
      </c>
      <c r="F40" s="274" t="s">
        <v>759</v>
      </c>
      <c r="G40" s="274" t="s">
        <v>77</v>
      </c>
      <c r="H40" s="274" t="s">
        <v>279</v>
      </c>
      <c r="I40" s="274">
        <v>9002071007</v>
      </c>
      <c r="K40" s="275" t="s">
        <v>330</v>
      </c>
      <c r="L40" s="274" t="s">
        <v>55</v>
      </c>
      <c r="M40" s="272">
        <v>33139</v>
      </c>
      <c r="N40" s="272">
        <v>55061</v>
      </c>
      <c r="O40" s="320">
        <v>46074</v>
      </c>
      <c r="P40" s="278">
        <v>45559</v>
      </c>
      <c r="Q40" s="279">
        <v>45527</v>
      </c>
      <c r="R40" s="280"/>
      <c r="S40" s="280"/>
      <c r="T40" s="281" t="s">
        <v>8339</v>
      </c>
      <c r="U40" s="281" t="s">
        <v>8340</v>
      </c>
      <c r="V40" s="280">
        <f t="shared" si="3"/>
        <v>11</v>
      </c>
      <c r="W40" s="282">
        <f t="shared" ref="W40:W45" ca="1" si="5">INT((TODAY()-M40)/365)</f>
        <v>35</v>
      </c>
      <c r="X40" s="79"/>
      <c r="Y40" s="79"/>
      <c r="Z40" s="79"/>
      <c r="AA40" s="79"/>
    </row>
    <row r="41" spans="1:39" ht="15.75" customHeight="1">
      <c r="A41" s="1001">
        <v>57</v>
      </c>
      <c r="B41" s="351" t="s">
        <v>8341</v>
      </c>
      <c r="C41" s="18" t="s">
        <v>31</v>
      </c>
      <c r="D41" s="1820" t="s">
        <v>8342</v>
      </c>
      <c r="E41" s="303" t="s">
        <v>8343</v>
      </c>
      <c r="F41" s="274" t="s">
        <v>759</v>
      </c>
      <c r="G41" s="274" t="s">
        <v>77</v>
      </c>
      <c r="H41" s="274" t="s">
        <v>279</v>
      </c>
      <c r="I41" s="275">
        <v>9002071110</v>
      </c>
      <c r="J41" s="275"/>
      <c r="K41" s="275" t="s">
        <v>330</v>
      </c>
      <c r="L41" s="274" t="s">
        <v>69</v>
      </c>
      <c r="M41" s="272">
        <v>29965</v>
      </c>
      <c r="N41" s="272">
        <v>51897</v>
      </c>
      <c r="O41" s="320">
        <v>45916</v>
      </c>
      <c r="P41" s="278">
        <v>45559</v>
      </c>
      <c r="Q41" s="279">
        <v>45527</v>
      </c>
      <c r="R41" s="280"/>
      <c r="T41" s="429" t="s">
        <v>310</v>
      </c>
      <c r="U41" s="281" t="s">
        <v>8344</v>
      </c>
      <c r="V41" s="430">
        <f t="shared" si="3"/>
        <v>11</v>
      </c>
      <c r="W41" s="208">
        <f t="shared" ca="1" si="5"/>
        <v>44</v>
      </c>
    </row>
    <row r="42" spans="1:39">
      <c r="A42" s="1191">
        <v>58</v>
      </c>
      <c r="B42" s="351" t="s">
        <v>8345</v>
      </c>
      <c r="C42" s="1121" t="s">
        <v>31</v>
      </c>
      <c r="D42" s="1820" t="s">
        <v>8346</v>
      </c>
      <c r="E42" s="421" t="s">
        <v>8347</v>
      </c>
      <c r="F42" s="274" t="s">
        <v>759</v>
      </c>
      <c r="G42" s="274" t="s">
        <v>76</v>
      </c>
      <c r="H42" s="274" t="s">
        <v>279</v>
      </c>
      <c r="I42" s="275">
        <v>9002071167</v>
      </c>
      <c r="J42" s="79"/>
      <c r="K42" s="275" t="s">
        <v>330</v>
      </c>
      <c r="L42" s="125" t="s">
        <v>69</v>
      </c>
      <c r="M42" s="272">
        <v>30404</v>
      </c>
      <c r="N42" s="272">
        <v>52321</v>
      </c>
      <c r="O42" s="320">
        <v>45921</v>
      </c>
      <c r="P42" s="272">
        <v>45691</v>
      </c>
      <c r="Q42" s="272">
        <v>45691</v>
      </c>
      <c r="R42" s="280"/>
      <c r="S42" s="280"/>
      <c r="T42" s="281" t="s">
        <v>8348</v>
      </c>
      <c r="U42" s="281" t="s">
        <v>8349</v>
      </c>
      <c r="V42" s="280"/>
      <c r="W42" s="282">
        <f t="shared" ca="1" si="5"/>
        <v>43</v>
      </c>
      <c r="X42" s="79"/>
      <c r="Y42" s="79"/>
      <c r="Z42" s="79"/>
      <c r="AA42" s="79"/>
    </row>
    <row r="43" spans="1:39" ht="15.75" customHeight="1">
      <c r="A43" s="1051">
        <v>4</v>
      </c>
      <c r="B43" s="293" t="s">
        <v>8350</v>
      </c>
      <c r="C43" s="1121" t="s">
        <v>31</v>
      </c>
      <c r="D43" s="1448" t="s">
        <v>8351</v>
      </c>
      <c r="E43" s="491" t="s">
        <v>8352</v>
      </c>
      <c r="F43" s="274" t="s">
        <v>759</v>
      </c>
      <c r="G43" s="274" t="s">
        <v>77</v>
      </c>
      <c r="H43" s="284" t="s">
        <v>266</v>
      </c>
      <c r="I43" s="275">
        <v>9007564515</v>
      </c>
      <c r="J43" s="690"/>
      <c r="K43" s="275" t="s">
        <v>330</v>
      </c>
      <c r="L43" s="274" t="s">
        <v>43</v>
      </c>
      <c r="M43" s="272">
        <v>31855</v>
      </c>
      <c r="N43" s="272">
        <v>53782</v>
      </c>
      <c r="O43" s="272">
        <v>45838</v>
      </c>
      <c r="P43" s="279">
        <v>45552</v>
      </c>
      <c r="Q43" s="316">
        <v>45468</v>
      </c>
      <c r="R43" s="952"/>
      <c r="S43" s="952"/>
      <c r="T43" s="1160" t="s">
        <v>4958</v>
      </c>
      <c r="U43" s="486" t="s">
        <v>8353</v>
      </c>
      <c r="V43" s="485">
        <f t="shared" ref="V43:V44" si="6">LEN(TEXT(D43,0))</f>
        <v>11</v>
      </c>
      <c r="W43" s="208">
        <f t="shared" ca="1" si="5"/>
        <v>39</v>
      </c>
      <c r="X43" s="382"/>
      <c r="Y43" s="79"/>
      <c r="Z43" s="79"/>
      <c r="AA43" s="79"/>
      <c r="AB43" s="79"/>
      <c r="AC43" s="79"/>
      <c r="AD43" s="79"/>
      <c r="AE43" s="79"/>
      <c r="AF43" s="79"/>
      <c r="AG43" s="79"/>
      <c r="AH43" s="79"/>
    </row>
    <row r="44" spans="1:39" ht="15.75">
      <c r="A44" s="1051">
        <v>13</v>
      </c>
      <c r="B44" s="399" t="s">
        <v>8354</v>
      </c>
      <c r="C44" s="1121" t="s">
        <v>31</v>
      </c>
      <c r="D44" s="564" t="s">
        <v>8355</v>
      </c>
      <c r="E44" s="565" t="s">
        <v>8356</v>
      </c>
      <c r="F44" s="274" t="s">
        <v>759</v>
      </c>
      <c r="G44" s="284" t="s">
        <v>77</v>
      </c>
      <c r="H44" s="284" t="s">
        <v>266</v>
      </c>
      <c r="I44" s="391">
        <v>7980452364</v>
      </c>
      <c r="J44" s="284">
        <v>7980452364</v>
      </c>
      <c r="K44" s="275" t="s">
        <v>330</v>
      </c>
      <c r="L44" s="398" t="s">
        <v>43</v>
      </c>
      <c r="M44" s="289">
        <v>31902</v>
      </c>
      <c r="N44" s="289">
        <v>53843</v>
      </c>
      <c r="O44" s="400">
        <v>46189</v>
      </c>
      <c r="P44" s="272">
        <v>45628</v>
      </c>
      <c r="Q44" s="316">
        <v>45468</v>
      </c>
      <c r="R44" s="394" t="s">
        <v>8357</v>
      </c>
      <c r="S44" s="79"/>
      <c r="T44" s="394" t="s">
        <v>8358</v>
      </c>
      <c r="U44" s="394" t="s">
        <v>8359</v>
      </c>
      <c r="V44" s="383">
        <f t="shared" si="6"/>
        <v>11</v>
      </c>
      <c r="W44" s="208">
        <f t="shared" ca="1" si="5"/>
        <v>38</v>
      </c>
      <c r="Y44" s="199"/>
      <c r="Z44" s="199"/>
      <c r="AA44" s="199"/>
      <c r="AB44" s="311">
        <f ca="1">INT((TODAY()-M44)/365)</f>
        <v>38</v>
      </c>
    </row>
    <row r="45" spans="1:39" ht="15.75" customHeight="1">
      <c r="A45" s="898">
        <v>144</v>
      </c>
      <c r="B45" s="351" t="s">
        <v>8360</v>
      </c>
      <c r="C45" s="275" t="s">
        <v>31</v>
      </c>
      <c r="D45" s="1820" t="s">
        <v>8361</v>
      </c>
      <c r="E45" s="565" t="s">
        <v>8362</v>
      </c>
      <c r="F45" s="900" t="s">
        <v>759</v>
      </c>
      <c r="G45" s="284" t="s">
        <v>77</v>
      </c>
      <c r="H45" s="274" t="s">
        <v>279</v>
      </c>
      <c r="I45" s="284">
        <v>9734341605</v>
      </c>
      <c r="J45" s="284">
        <v>9734341605</v>
      </c>
      <c r="K45" s="275" t="s">
        <v>330</v>
      </c>
      <c r="L45" s="18" t="s">
        <v>55</v>
      </c>
      <c r="M45" s="272">
        <v>33036</v>
      </c>
      <c r="N45" s="272">
        <v>54969</v>
      </c>
      <c r="O45" s="320">
        <v>46075</v>
      </c>
      <c r="P45" s="272">
        <v>45825</v>
      </c>
      <c r="Q45" s="272">
        <v>45842</v>
      </c>
      <c r="R45" s="280"/>
      <c r="S45" s="280"/>
      <c r="T45" s="281" t="s">
        <v>8363</v>
      </c>
      <c r="U45" s="281" t="s">
        <v>8364</v>
      </c>
      <c r="V45" s="280">
        <f>LEN(D45)</f>
        <v>11</v>
      </c>
      <c r="W45" s="208">
        <f t="shared" ca="1" si="5"/>
        <v>35</v>
      </c>
      <c r="X45" s="79"/>
      <c r="Y45" s="79"/>
      <c r="Z45" s="79"/>
      <c r="AA45" s="79"/>
      <c r="AB45" s="79"/>
      <c r="AC45" s="79"/>
      <c r="AD45" s="79"/>
      <c r="AE45" s="79"/>
    </row>
    <row r="46" spans="1:39" ht="15.75" customHeight="1">
      <c r="A46" s="1162">
        <v>167</v>
      </c>
      <c r="B46" s="293" t="s">
        <v>8365</v>
      </c>
      <c r="C46" s="1301" t="s">
        <v>31</v>
      </c>
      <c r="D46" s="1448" t="s">
        <v>8366</v>
      </c>
      <c r="E46" s="274" t="s">
        <v>8367</v>
      </c>
      <c r="F46" s="274" t="s">
        <v>759</v>
      </c>
      <c r="G46" s="274" t="s">
        <v>77</v>
      </c>
      <c r="H46" s="274" t="s">
        <v>266</v>
      </c>
      <c r="I46" s="275">
        <v>9732829498</v>
      </c>
      <c r="J46" s="275"/>
      <c r="K46" s="275" t="s">
        <v>330</v>
      </c>
      <c r="L46" s="18" t="s">
        <v>55</v>
      </c>
      <c r="M46" s="272">
        <v>33102</v>
      </c>
      <c r="N46" s="272">
        <v>55031</v>
      </c>
      <c r="O46" s="272">
        <v>46152</v>
      </c>
      <c r="P46" s="278">
        <v>45499</v>
      </c>
      <c r="Q46" s="419">
        <v>45385</v>
      </c>
      <c r="R46" s="485"/>
      <c r="S46" s="486" t="s">
        <v>8368</v>
      </c>
      <c r="T46" s="486" t="s">
        <v>8369</v>
      </c>
      <c r="U46" s="485"/>
      <c r="V46" s="485">
        <f>LEN(TEXT(D46,0))</f>
        <v>11</v>
      </c>
      <c r="W46" s="382"/>
      <c r="X46" s="282">
        <f t="shared" ref="X46:X47" ca="1" si="7">INT((TODAY()-M46)/365)</f>
        <v>35</v>
      </c>
      <c r="Y46" s="3"/>
      <c r="Z46" s="79"/>
      <c r="AA46" s="79"/>
    </row>
    <row r="47" spans="1:39" ht="15.75" customHeight="1">
      <c r="A47" s="1162">
        <v>116</v>
      </c>
      <c r="B47" s="351" t="s">
        <v>8370</v>
      </c>
      <c r="C47" s="275" t="s">
        <v>31</v>
      </c>
      <c r="D47" s="1820" t="s">
        <v>8371</v>
      </c>
      <c r="E47" s="274" t="s">
        <v>8372</v>
      </c>
      <c r="F47" s="18" t="s">
        <v>759</v>
      </c>
      <c r="G47" s="274" t="s">
        <v>76</v>
      </c>
      <c r="H47" s="274" t="s">
        <v>279</v>
      </c>
      <c r="I47" s="275">
        <v>8250281232</v>
      </c>
      <c r="J47" s="284">
        <v>9088237481</v>
      </c>
      <c r="K47" s="275" t="s">
        <v>330</v>
      </c>
      <c r="L47" s="125" t="s">
        <v>67</v>
      </c>
      <c r="M47" s="272">
        <v>33338</v>
      </c>
      <c r="N47" s="272">
        <v>55273</v>
      </c>
      <c r="O47" s="320">
        <v>46047</v>
      </c>
      <c r="P47" s="315">
        <v>45825</v>
      </c>
      <c r="Q47" s="272">
        <v>45842</v>
      </c>
      <c r="R47" s="430"/>
      <c r="S47" s="430"/>
      <c r="T47" s="429" t="s">
        <v>8373</v>
      </c>
      <c r="U47" s="1892" t="s">
        <v>8374</v>
      </c>
      <c r="V47" s="79">
        <f>LEN(D47)</f>
        <v>11</v>
      </c>
      <c r="X47" s="208">
        <f t="shared" ca="1" si="7"/>
        <v>34</v>
      </c>
      <c r="Y47" s="311"/>
      <c r="Z47" s="311"/>
      <c r="AA47" s="311"/>
      <c r="AB47" s="311"/>
      <c r="AC47" s="311"/>
      <c r="AD47" s="311"/>
      <c r="AE47" s="311"/>
      <c r="AF47" s="311"/>
      <c r="AG47" s="311"/>
      <c r="AH47" s="311"/>
      <c r="AI47" s="311"/>
      <c r="AJ47" s="311"/>
      <c r="AK47" s="311"/>
      <c r="AL47" s="311"/>
      <c r="AM47" s="311"/>
    </row>
    <row r="48" spans="1:39" ht="15.75" customHeight="1">
      <c r="A48" s="1162">
        <v>30</v>
      </c>
      <c r="B48" s="293" t="s">
        <v>8375</v>
      </c>
      <c r="C48" s="405" t="s">
        <v>31</v>
      </c>
      <c r="D48" s="562" t="s">
        <v>8376</v>
      </c>
      <c r="E48" s="491" t="s">
        <v>8377</v>
      </c>
      <c r="F48" s="274" t="s">
        <v>759</v>
      </c>
      <c r="G48" s="274" t="s">
        <v>77</v>
      </c>
      <c r="H48" s="274" t="s">
        <v>266</v>
      </c>
      <c r="I48" s="275">
        <v>9800973191</v>
      </c>
      <c r="J48" s="935">
        <v>9800973191</v>
      </c>
      <c r="K48" s="275" t="s">
        <v>330</v>
      </c>
      <c r="L48" s="275" t="s">
        <v>43</v>
      </c>
      <c r="M48" s="272">
        <v>30176</v>
      </c>
      <c r="N48" s="272">
        <v>52109</v>
      </c>
      <c r="O48" s="272">
        <v>46067</v>
      </c>
      <c r="P48" s="279">
        <v>45337</v>
      </c>
      <c r="Q48" s="302">
        <v>45284</v>
      </c>
      <c r="R48" s="281" t="s">
        <v>8378</v>
      </c>
      <c r="S48" s="485"/>
      <c r="T48" s="1160" t="s">
        <v>8379</v>
      </c>
      <c r="U48" s="486" t="s">
        <v>8380</v>
      </c>
      <c r="V48" s="485">
        <f>LEN(TEXT(D48,0))</f>
        <v>11</v>
      </c>
      <c r="W48" s="208">
        <f t="shared" ref="W48:W50" ca="1" si="8">INT((TODAY()-M48)/365)</f>
        <v>43</v>
      </c>
      <c r="X48" s="311"/>
      <c r="Y48" s="311"/>
      <c r="Z48" s="311"/>
      <c r="AA48" s="311"/>
      <c r="AB48" s="311"/>
      <c r="AC48" s="311"/>
      <c r="AD48" s="311"/>
    </row>
    <row r="49" spans="1:39" ht="15.75" customHeight="1">
      <c r="A49" s="1162">
        <v>41</v>
      </c>
      <c r="B49" s="276" t="s">
        <v>8381</v>
      </c>
      <c r="C49" s="303" t="s">
        <v>31</v>
      </c>
      <c r="D49" s="1460" t="s">
        <v>8382</v>
      </c>
      <c r="E49" s="1564" t="s">
        <v>8383</v>
      </c>
      <c r="F49" s="274" t="s">
        <v>759</v>
      </c>
      <c r="G49" s="875" t="s">
        <v>76</v>
      </c>
      <c r="H49" s="274" t="s">
        <v>266</v>
      </c>
      <c r="I49" s="1851">
        <v>9002071809</v>
      </c>
      <c r="J49" s="703">
        <v>9800025414</v>
      </c>
      <c r="K49" s="275" t="s">
        <v>330</v>
      </c>
      <c r="L49" s="1217" t="s">
        <v>256</v>
      </c>
      <c r="M49" s="278">
        <v>29509</v>
      </c>
      <c r="N49" s="315">
        <v>51440</v>
      </c>
      <c r="O49" s="921">
        <v>45211</v>
      </c>
      <c r="P49" s="278">
        <v>45375</v>
      </c>
      <c r="Q49" s="302">
        <v>45316</v>
      </c>
      <c r="R49" s="280"/>
      <c r="S49" s="318" t="s">
        <v>8384</v>
      </c>
      <c r="T49" s="318" t="s">
        <v>8385</v>
      </c>
      <c r="U49" s="281" t="s">
        <v>8386</v>
      </c>
      <c r="V49" s="285">
        <f>LEN(D49)</f>
        <v>11</v>
      </c>
      <c r="W49" s="208">
        <f t="shared" ca="1" si="8"/>
        <v>45</v>
      </c>
      <c r="X49" s="90"/>
      <c r="Y49" s="563"/>
      <c r="AA49" s="384"/>
      <c r="AB49" s="311">
        <f t="shared" ref="AB49:AB50" ca="1" si="9">INT((TODAY()-M49)/365)</f>
        <v>45</v>
      </c>
    </row>
    <row r="50" spans="1:39" ht="15.75" customHeight="1">
      <c r="A50" s="1162">
        <v>118</v>
      </c>
      <c r="B50" s="293" t="s">
        <v>8387</v>
      </c>
      <c r="C50" s="1301" t="s">
        <v>31</v>
      </c>
      <c r="D50" s="1448" t="s">
        <v>8388</v>
      </c>
      <c r="E50" s="540" t="s">
        <v>8389</v>
      </c>
      <c r="F50" s="18" t="s">
        <v>759</v>
      </c>
      <c r="G50" s="274" t="s">
        <v>77</v>
      </c>
      <c r="H50" s="274" t="s">
        <v>266</v>
      </c>
      <c r="I50" s="275">
        <v>8207242315</v>
      </c>
      <c r="J50" s="306">
        <v>7551867297</v>
      </c>
      <c r="K50" s="275" t="s">
        <v>330</v>
      </c>
      <c r="L50" s="274" t="s">
        <v>664</v>
      </c>
      <c r="M50" s="272">
        <v>30439</v>
      </c>
      <c r="N50" s="272">
        <v>52382</v>
      </c>
      <c r="O50" s="272">
        <v>46019</v>
      </c>
      <c r="P50" s="278">
        <v>45499</v>
      </c>
      <c r="Q50" s="419">
        <v>45356</v>
      </c>
      <c r="R50" s="485"/>
      <c r="S50" s="486" t="s">
        <v>8390</v>
      </c>
      <c r="T50" s="486" t="s">
        <v>8391</v>
      </c>
      <c r="U50" s="485"/>
      <c r="V50" s="485">
        <f>LEN(TEXT(D50,0))</f>
        <v>11</v>
      </c>
      <c r="W50" s="282">
        <f t="shared" ca="1" si="8"/>
        <v>42</v>
      </c>
      <c r="X50" s="382"/>
      <c r="Y50" s="395"/>
      <c r="Z50" s="79"/>
      <c r="AA50" s="383"/>
      <c r="AB50" s="208">
        <f t="shared" ca="1" si="9"/>
        <v>42</v>
      </c>
      <c r="AC50" s="384"/>
      <c r="AD50" s="384"/>
      <c r="AE50" s="384"/>
      <c r="AF50" s="384"/>
      <c r="AG50" s="384"/>
      <c r="AH50" s="384"/>
      <c r="AI50" s="384"/>
      <c r="AJ50" s="384"/>
      <c r="AK50" s="384"/>
      <c r="AL50" s="384"/>
      <c r="AM50" s="384"/>
    </row>
    <row r="51" spans="1:39" ht="15.75" customHeight="1">
      <c r="A51" s="1131">
        <v>7</v>
      </c>
      <c r="B51" s="401" t="s">
        <v>8392</v>
      </c>
      <c r="C51" s="274" t="s">
        <v>21</v>
      </c>
      <c r="D51" s="2100" t="s">
        <v>8393</v>
      </c>
      <c r="E51" s="703" t="s">
        <v>8394</v>
      </c>
      <c r="F51" s="286" t="s">
        <v>759</v>
      </c>
      <c r="G51" s="284" t="s">
        <v>76</v>
      </c>
      <c r="H51" s="2098"/>
      <c r="I51" s="275">
        <v>9614131432</v>
      </c>
      <c r="J51" s="1099">
        <v>9614610126</v>
      </c>
      <c r="K51" s="275" t="s">
        <v>330</v>
      </c>
      <c r="L51" s="18" t="s">
        <v>62</v>
      </c>
      <c r="M51" s="272">
        <v>32889</v>
      </c>
      <c r="N51" s="272">
        <v>54819</v>
      </c>
      <c r="O51" s="272">
        <v>45347</v>
      </c>
      <c r="P51" s="279">
        <v>46001</v>
      </c>
      <c r="Q51" s="279">
        <v>45959</v>
      </c>
      <c r="R51" s="603" t="s">
        <v>8395</v>
      </c>
      <c r="S51" s="485"/>
      <c r="T51" s="280"/>
      <c r="U51" s="485"/>
      <c r="V51" s="382">
        <f>LEN(D51)</f>
        <v>11</v>
      </c>
      <c r="W51" s="382"/>
      <c r="X51" s="282">
        <f ca="1">INT((TODAY()-M51)/365)</f>
        <v>36</v>
      </c>
      <c r="Y51" s="382"/>
      <c r="Z51" s="382"/>
      <c r="AA51" s="382"/>
      <c r="AB51" s="311"/>
      <c r="AC51" s="311"/>
      <c r="AD51" s="311"/>
      <c r="AE51" s="311"/>
      <c r="AF51" s="311"/>
      <c r="AG51" s="311"/>
      <c r="AH51" s="311"/>
      <c r="AI51" s="311"/>
      <c r="AJ51" s="311"/>
      <c r="AK51" s="311"/>
      <c r="AL51" s="311"/>
      <c r="AM51" s="311"/>
    </row>
    <row r="52" spans="1:39" ht="15.75" customHeight="1">
      <c r="A52" s="1263">
        <v>2</v>
      </c>
      <c r="B52" s="293" t="s">
        <v>8396</v>
      </c>
      <c r="C52" s="275" t="s">
        <v>21</v>
      </c>
      <c r="D52" s="562" t="s">
        <v>8397</v>
      </c>
      <c r="E52" s="274" t="s">
        <v>8398</v>
      </c>
      <c r="F52" s="274" t="s">
        <v>759</v>
      </c>
      <c r="G52" s="1124" t="s">
        <v>77</v>
      </c>
      <c r="H52" s="275"/>
      <c r="I52" s="275">
        <v>8420320049</v>
      </c>
      <c r="J52" s="690"/>
      <c r="K52" s="275" t="s">
        <v>330</v>
      </c>
      <c r="L52" s="274" t="s">
        <v>50</v>
      </c>
      <c r="M52" s="272">
        <v>31610</v>
      </c>
      <c r="N52" s="272">
        <v>53539</v>
      </c>
      <c r="O52" s="272">
        <v>45845</v>
      </c>
      <c r="P52" s="279">
        <v>45522</v>
      </c>
      <c r="Q52" s="302">
        <v>45160</v>
      </c>
      <c r="R52" s="310" t="s">
        <v>8399</v>
      </c>
      <c r="S52" s="310" t="s">
        <v>8399</v>
      </c>
      <c r="T52" s="309"/>
      <c r="U52" s="309"/>
      <c r="V52" s="388">
        <f t="shared" ref="V52:V58" ca="1" si="10">INT((TODAY()-M52)/365)</f>
        <v>39</v>
      </c>
      <c r="W52" s="311"/>
      <c r="X52" s="311"/>
      <c r="Y52" s="311"/>
      <c r="Z52" s="311"/>
      <c r="AA52" s="311"/>
      <c r="AB52" s="311"/>
      <c r="AC52" s="311"/>
      <c r="AD52" s="311"/>
      <c r="AE52" s="311"/>
      <c r="AF52" s="311"/>
      <c r="AG52" s="311"/>
      <c r="AH52" s="311"/>
      <c r="AI52" s="311"/>
      <c r="AJ52" s="311"/>
      <c r="AK52" s="311"/>
      <c r="AL52" s="311"/>
      <c r="AM52" s="311"/>
    </row>
    <row r="53" spans="1:39" ht="15.75" customHeight="1">
      <c r="A53" s="1263">
        <v>3</v>
      </c>
      <c r="B53" s="293" t="s">
        <v>8400</v>
      </c>
      <c r="C53" s="539" t="s">
        <v>21</v>
      </c>
      <c r="D53" s="1448" t="s">
        <v>8401</v>
      </c>
      <c r="E53" s="1004" t="s">
        <v>8402</v>
      </c>
      <c r="F53" s="284" t="s">
        <v>759</v>
      </c>
      <c r="G53" s="385" t="s">
        <v>76</v>
      </c>
      <c r="H53" s="275"/>
      <c r="I53" s="275">
        <v>8609411589</v>
      </c>
      <c r="J53" s="690"/>
      <c r="K53" s="275" t="s">
        <v>330</v>
      </c>
      <c r="L53" s="18" t="s">
        <v>64</v>
      </c>
      <c r="M53" s="272">
        <v>25965</v>
      </c>
      <c r="N53" s="272">
        <v>47879</v>
      </c>
      <c r="O53" s="272">
        <v>45393</v>
      </c>
      <c r="P53" s="279">
        <v>45402</v>
      </c>
      <c r="Q53" s="419">
        <v>45296</v>
      </c>
      <c r="R53" s="486" t="s">
        <v>8403</v>
      </c>
      <c r="S53" s="486" t="s">
        <v>8404</v>
      </c>
      <c r="T53" s="952"/>
      <c r="U53" s="485"/>
      <c r="V53" s="388">
        <f t="shared" ca="1" si="10"/>
        <v>55</v>
      </c>
      <c r="W53" s="382"/>
      <c r="X53" s="382"/>
      <c r="Y53" s="382"/>
      <c r="Z53" s="382"/>
      <c r="AA53" s="311"/>
      <c r="AB53" s="311"/>
      <c r="AC53" s="311"/>
      <c r="AD53" s="311"/>
      <c r="AE53" s="311"/>
      <c r="AF53" s="311"/>
      <c r="AG53" s="311"/>
      <c r="AH53" s="311"/>
      <c r="AI53" s="311"/>
      <c r="AJ53" s="311"/>
      <c r="AK53" s="311"/>
      <c r="AL53" s="311"/>
      <c r="AM53" s="311"/>
    </row>
    <row r="54" spans="1:39" ht="15.75" customHeight="1">
      <c r="A54" s="1263">
        <v>4</v>
      </c>
      <c r="B54" s="293" t="s">
        <v>8405</v>
      </c>
      <c r="C54" s="539" t="s">
        <v>21</v>
      </c>
      <c r="D54" s="1448" t="s">
        <v>8406</v>
      </c>
      <c r="E54" s="1004" t="s">
        <v>8407</v>
      </c>
      <c r="F54" s="284" t="s">
        <v>759</v>
      </c>
      <c r="G54" s="385" t="s">
        <v>76</v>
      </c>
      <c r="H54" s="275"/>
      <c r="I54" s="275">
        <v>9002079095</v>
      </c>
      <c r="J54" s="690"/>
      <c r="K54" s="275" t="s">
        <v>330</v>
      </c>
      <c r="L54" s="274" t="s">
        <v>50</v>
      </c>
      <c r="M54" s="272">
        <v>25979</v>
      </c>
      <c r="N54" s="272">
        <v>47907</v>
      </c>
      <c r="O54" s="272">
        <v>45726</v>
      </c>
      <c r="P54" s="279">
        <v>45204</v>
      </c>
      <c r="Q54" s="302">
        <v>45160</v>
      </c>
      <c r="R54" s="485"/>
      <c r="S54" s="486" t="s">
        <v>8408</v>
      </c>
      <c r="T54" s="485"/>
      <c r="U54" s="485"/>
      <c r="V54" s="388">
        <f t="shared" ca="1" si="10"/>
        <v>55</v>
      </c>
      <c r="W54" s="311"/>
      <c r="X54" s="382"/>
      <c r="Y54" s="382"/>
      <c r="Z54" s="382"/>
      <c r="AA54" s="311"/>
      <c r="AB54" s="311"/>
      <c r="AC54" s="311"/>
      <c r="AD54" s="311"/>
      <c r="AE54" s="311"/>
      <c r="AF54" s="311"/>
      <c r="AG54" s="311"/>
      <c r="AH54" s="311"/>
      <c r="AI54" s="311"/>
      <c r="AJ54" s="311"/>
      <c r="AK54" s="311"/>
      <c r="AL54" s="311"/>
      <c r="AM54" s="311"/>
    </row>
    <row r="55" spans="1:39">
      <c r="A55" s="1263">
        <v>7</v>
      </c>
      <c r="B55" s="293" t="s">
        <v>8409</v>
      </c>
      <c r="C55" s="539" t="s">
        <v>21</v>
      </c>
      <c r="D55" s="1448" t="s">
        <v>8410</v>
      </c>
      <c r="E55" s="344" t="s">
        <v>8411</v>
      </c>
      <c r="F55" s="624" t="s">
        <v>759</v>
      </c>
      <c r="G55" s="306" t="s">
        <v>77</v>
      </c>
      <c r="H55" s="275"/>
      <c r="I55" s="284">
        <v>9002079617</v>
      </c>
      <c r="J55" s="306">
        <v>9002079617</v>
      </c>
      <c r="K55" s="275" t="s">
        <v>330</v>
      </c>
      <c r="L55" s="303" t="s">
        <v>52</v>
      </c>
      <c r="M55" s="272">
        <v>27759</v>
      </c>
      <c r="N55" s="272">
        <v>49674</v>
      </c>
      <c r="O55" s="272">
        <v>45295</v>
      </c>
      <c r="P55" s="279">
        <v>45377</v>
      </c>
      <c r="Q55" s="302">
        <v>45160</v>
      </c>
      <c r="R55" s="485"/>
      <c r="S55" s="486" t="s">
        <v>8412</v>
      </c>
      <c r="T55" s="952"/>
      <c r="U55" s="485"/>
      <c r="V55" s="388">
        <f t="shared" ca="1" si="10"/>
        <v>50</v>
      </c>
      <c r="W55" s="311"/>
      <c r="X55" s="382"/>
      <c r="Y55" s="382"/>
      <c r="Z55" s="382"/>
      <c r="AA55" s="311"/>
      <c r="AB55" s="311"/>
      <c r="AC55" s="311"/>
      <c r="AD55" s="311"/>
      <c r="AE55" s="311"/>
      <c r="AF55" s="311"/>
      <c r="AG55" s="311"/>
      <c r="AH55" s="311"/>
      <c r="AI55" s="311"/>
      <c r="AJ55" s="311"/>
      <c r="AK55" s="311"/>
      <c r="AL55" s="311"/>
      <c r="AM55" s="311"/>
    </row>
    <row r="56" spans="1:39" ht="15.75" customHeight="1">
      <c r="A56" s="1263">
        <v>8</v>
      </c>
      <c r="B56" s="293" t="s">
        <v>8413</v>
      </c>
      <c r="C56" s="539" t="s">
        <v>21</v>
      </c>
      <c r="D56" s="1448" t="s">
        <v>8414</v>
      </c>
      <c r="E56" s="1004" t="s">
        <v>8415</v>
      </c>
      <c r="F56" s="624" t="s">
        <v>759</v>
      </c>
      <c r="G56" s="385" t="s">
        <v>76</v>
      </c>
      <c r="H56" s="275"/>
      <c r="I56" s="275">
        <v>9002071359</v>
      </c>
      <c r="J56" s="690"/>
      <c r="K56" s="275" t="s">
        <v>330</v>
      </c>
      <c r="L56" s="18" t="s">
        <v>64</v>
      </c>
      <c r="M56" s="272">
        <v>26312</v>
      </c>
      <c r="N56" s="272">
        <v>48244</v>
      </c>
      <c r="O56" s="272">
        <v>45667</v>
      </c>
      <c r="P56" s="279">
        <v>45377</v>
      </c>
      <c r="Q56" s="387">
        <v>45160</v>
      </c>
      <c r="R56" s="485"/>
      <c r="S56" s="486" t="s">
        <v>8416</v>
      </c>
      <c r="T56" s="485"/>
      <c r="U56" s="485"/>
      <c r="V56" s="1189">
        <f t="shared" ca="1" si="10"/>
        <v>54</v>
      </c>
      <c r="W56" s="382"/>
      <c r="X56" s="382"/>
      <c r="Y56" s="382"/>
      <c r="Z56" s="382"/>
      <c r="AA56" s="311"/>
      <c r="AB56" s="311"/>
      <c r="AC56" s="311"/>
      <c r="AD56" s="311"/>
      <c r="AE56" s="311"/>
      <c r="AF56" s="311"/>
      <c r="AG56" s="311"/>
      <c r="AH56" s="311"/>
      <c r="AI56" s="311"/>
      <c r="AJ56" s="311"/>
      <c r="AK56" s="311"/>
      <c r="AL56" s="311"/>
      <c r="AM56" s="311"/>
    </row>
    <row r="57" spans="1:39" ht="15.75" customHeight="1">
      <c r="A57" s="1263">
        <v>9</v>
      </c>
      <c r="B57" s="293" t="s">
        <v>8417</v>
      </c>
      <c r="C57" s="275" t="s">
        <v>21</v>
      </c>
      <c r="D57" s="833" t="s">
        <v>8418</v>
      </c>
      <c r="E57" s="274" t="s">
        <v>8419</v>
      </c>
      <c r="F57" s="624" t="s">
        <v>759</v>
      </c>
      <c r="G57" s="1124" t="s">
        <v>77</v>
      </c>
      <c r="H57" s="275"/>
      <c r="I57" s="275">
        <v>9002079020</v>
      </c>
      <c r="J57" s="690">
        <v>9002079020</v>
      </c>
      <c r="K57" s="275" t="s">
        <v>330</v>
      </c>
      <c r="L57" s="1217" t="s">
        <v>57</v>
      </c>
      <c r="M57" s="272">
        <v>29905</v>
      </c>
      <c r="N57" s="272">
        <v>51835</v>
      </c>
      <c r="O57" s="272">
        <v>46000</v>
      </c>
      <c r="P57" s="315">
        <v>46172</v>
      </c>
      <c r="Q57" s="302">
        <v>45160</v>
      </c>
      <c r="R57" s="309"/>
      <c r="S57" s="486" t="s">
        <v>4704</v>
      </c>
      <c r="T57" s="485"/>
      <c r="U57" s="485"/>
      <c r="V57" s="388">
        <f t="shared" ca="1" si="10"/>
        <v>44</v>
      </c>
      <c r="W57" s="311"/>
      <c r="X57" s="311"/>
      <c r="Y57" s="311"/>
      <c r="Z57" s="311"/>
      <c r="AA57" s="311"/>
      <c r="AB57" s="311"/>
      <c r="AC57" s="311"/>
      <c r="AD57" s="311"/>
      <c r="AE57" s="311"/>
      <c r="AF57" s="311"/>
      <c r="AG57" s="311"/>
      <c r="AH57" s="311"/>
      <c r="AI57" s="311"/>
      <c r="AJ57" s="311"/>
      <c r="AK57" s="311"/>
      <c r="AL57" s="311"/>
      <c r="AM57" s="311"/>
    </row>
    <row r="58" spans="1:39" ht="15.75" customHeight="1">
      <c r="A58" s="1263">
        <v>11</v>
      </c>
      <c r="B58" s="293" t="s">
        <v>6714</v>
      </c>
      <c r="C58" s="275" t="s">
        <v>21</v>
      </c>
      <c r="D58" s="1448" t="s">
        <v>8420</v>
      </c>
      <c r="E58" s="303" t="s">
        <v>8421</v>
      </c>
      <c r="F58" s="284" t="s">
        <v>759</v>
      </c>
      <c r="G58" s="385" t="s">
        <v>76</v>
      </c>
      <c r="H58" s="275"/>
      <c r="I58" s="275">
        <v>9733590619</v>
      </c>
      <c r="J58" s="890">
        <v>9733590619</v>
      </c>
      <c r="K58" s="275" t="s">
        <v>330</v>
      </c>
      <c r="L58" s="275" t="s">
        <v>43</v>
      </c>
      <c r="M58" s="272">
        <v>28560</v>
      </c>
      <c r="N58" s="272">
        <v>50495</v>
      </c>
      <c r="O58" s="272">
        <v>45732</v>
      </c>
      <c r="P58" s="272">
        <v>45541</v>
      </c>
      <c r="Q58" s="302">
        <v>45160</v>
      </c>
      <c r="R58" s="486" t="s">
        <v>8422</v>
      </c>
      <c r="S58" s="281" t="s">
        <v>8423</v>
      </c>
      <c r="T58" s="862"/>
      <c r="U58" s="309"/>
      <c r="V58" s="388">
        <f t="shared" ca="1" si="10"/>
        <v>48</v>
      </c>
      <c r="W58" s="311"/>
      <c r="X58" s="311"/>
      <c r="Y58" s="311"/>
      <c r="Z58" s="311"/>
      <c r="AA58" s="311"/>
      <c r="AB58" s="311"/>
      <c r="AC58" s="311"/>
      <c r="AD58" s="311"/>
      <c r="AE58" s="311"/>
      <c r="AF58" s="311"/>
      <c r="AG58" s="311"/>
      <c r="AH58" s="311"/>
      <c r="AI58" s="311"/>
      <c r="AJ58" s="311"/>
      <c r="AK58" s="311"/>
      <c r="AL58" s="311"/>
      <c r="AM58" s="311"/>
    </row>
    <row r="59" spans="1:39" ht="15.75" customHeight="1">
      <c r="A59" s="1263">
        <v>22</v>
      </c>
      <c r="B59" s="688" t="s">
        <v>8424</v>
      </c>
      <c r="C59" s="274" t="s">
        <v>21</v>
      </c>
      <c r="D59" s="2184" t="s">
        <v>8425</v>
      </c>
      <c r="E59" s="303" t="s">
        <v>8426</v>
      </c>
      <c r="F59" s="274" t="s">
        <v>759</v>
      </c>
      <c r="G59" s="274" t="s">
        <v>76</v>
      </c>
      <c r="H59" s="275"/>
      <c r="I59" s="275">
        <v>9830528264</v>
      </c>
      <c r="J59" s="690"/>
      <c r="K59" s="275" t="s">
        <v>330</v>
      </c>
      <c r="L59" s="303" t="s">
        <v>59</v>
      </c>
      <c r="M59" s="272">
        <v>35026</v>
      </c>
      <c r="N59" s="272">
        <v>56948</v>
      </c>
      <c r="O59" s="272">
        <v>46538</v>
      </c>
      <c r="P59" s="279">
        <v>45996</v>
      </c>
      <c r="Q59" s="1920">
        <v>45913</v>
      </c>
      <c r="R59" s="377" t="s">
        <v>8427</v>
      </c>
      <c r="S59" s="309"/>
      <c r="T59" s="430"/>
      <c r="U59" s="309"/>
      <c r="V59" s="311">
        <f t="shared" ref="V59:V61" si="11">LEN(D59)</f>
        <v>11</v>
      </c>
      <c r="W59" s="311"/>
      <c r="X59" s="208">
        <f ca="1">INT((TODAY()-M59)/365)</f>
        <v>30</v>
      </c>
      <c r="Y59" s="311"/>
      <c r="Z59" s="311"/>
      <c r="AA59" s="311"/>
      <c r="AB59" s="311"/>
    </row>
    <row r="60" spans="1:39" ht="15.75" customHeight="1">
      <c r="A60" s="944">
        <v>78</v>
      </c>
      <c r="B60" s="351" t="s">
        <v>8428</v>
      </c>
      <c r="C60" s="274" t="s">
        <v>21</v>
      </c>
      <c r="D60" s="1781" t="s">
        <v>8429</v>
      </c>
      <c r="E60" s="491" t="s">
        <v>8430</v>
      </c>
      <c r="F60" s="674" t="s">
        <v>759</v>
      </c>
      <c r="G60" s="274" t="s">
        <v>76</v>
      </c>
      <c r="H60" s="275"/>
      <c r="I60" s="275">
        <v>8240640385</v>
      </c>
      <c r="J60" s="275"/>
      <c r="K60" s="275" t="s">
        <v>330</v>
      </c>
      <c r="L60" s="398" t="s">
        <v>64</v>
      </c>
      <c r="M60" s="272">
        <v>34854</v>
      </c>
      <c r="N60" s="272">
        <v>56795</v>
      </c>
      <c r="O60" s="320">
        <v>45123</v>
      </c>
      <c r="P60" s="272">
        <v>46137</v>
      </c>
      <c r="Q60" s="419">
        <v>45980</v>
      </c>
      <c r="R60" s="281" t="s">
        <v>8431</v>
      </c>
      <c r="S60" s="281" t="s">
        <v>8432</v>
      </c>
      <c r="T60" s="280"/>
      <c r="U60" s="280"/>
      <c r="V60" s="280">
        <f t="shared" si="11"/>
        <v>11</v>
      </c>
      <c r="W60" s="208">
        <f t="shared" ref="W60:W65" ca="1" si="12">INT((TODAY()-M60)/365)</f>
        <v>30</v>
      </c>
      <c r="X60" s="79"/>
      <c r="Y60" s="395"/>
      <c r="Z60" s="79"/>
      <c r="AA60" s="383"/>
      <c r="AB60" s="282"/>
      <c r="AC60" s="383"/>
      <c r="AD60" s="383"/>
      <c r="AE60" s="383"/>
      <c r="AF60" s="383"/>
      <c r="AG60" s="383"/>
      <c r="AH60" s="383"/>
      <c r="AI60" s="384"/>
      <c r="AJ60" s="384"/>
      <c r="AK60" s="384"/>
      <c r="AL60" s="384"/>
      <c r="AM60" s="384"/>
    </row>
    <row r="61" spans="1:39" ht="15.75" customHeight="1">
      <c r="A61" s="944">
        <v>66</v>
      </c>
      <c r="B61" s="426" t="s">
        <v>8433</v>
      </c>
      <c r="C61" s="274" t="s">
        <v>21</v>
      </c>
      <c r="D61" s="427" t="s">
        <v>8434</v>
      </c>
      <c r="E61" s="620" t="s">
        <v>8435</v>
      </c>
      <c r="F61" s="674" t="s">
        <v>759</v>
      </c>
      <c r="G61" s="18" t="s">
        <v>76</v>
      </c>
      <c r="H61" s="275"/>
      <c r="I61" s="18">
        <v>8001369396</v>
      </c>
      <c r="J61" s="18">
        <v>8001369396</v>
      </c>
      <c r="K61" s="275" t="s">
        <v>330</v>
      </c>
      <c r="L61" s="303" t="s">
        <v>61</v>
      </c>
      <c r="M61" s="272">
        <v>31352</v>
      </c>
      <c r="N61" s="272">
        <v>53296</v>
      </c>
      <c r="O61" s="320">
        <v>45935</v>
      </c>
      <c r="P61" s="272">
        <v>46040</v>
      </c>
      <c r="Q61" s="272">
        <v>46035</v>
      </c>
      <c r="R61" s="281" t="s">
        <v>8436</v>
      </c>
      <c r="S61" s="281" t="s">
        <v>8437</v>
      </c>
      <c r="T61" s="280"/>
      <c r="U61" s="280"/>
      <c r="V61" s="280">
        <f t="shared" si="11"/>
        <v>11</v>
      </c>
      <c r="W61" s="282">
        <f t="shared" ca="1" si="12"/>
        <v>40</v>
      </c>
      <c r="X61" s="79"/>
      <c r="Y61" s="79"/>
      <c r="Z61" s="79"/>
      <c r="AA61" s="79"/>
      <c r="AC61" s="384"/>
      <c r="AD61" s="384"/>
      <c r="AE61" s="384"/>
      <c r="AF61" s="384"/>
      <c r="AG61" s="384"/>
      <c r="AH61" s="384"/>
      <c r="AI61" s="384"/>
      <c r="AJ61" s="384"/>
      <c r="AK61" s="384"/>
      <c r="AL61" s="384"/>
      <c r="AM61" s="384"/>
    </row>
    <row r="62" spans="1:39" ht="15.75" customHeight="1">
      <c r="A62" s="944">
        <v>24</v>
      </c>
      <c r="B62" s="426" t="s">
        <v>8438</v>
      </c>
      <c r="C62" s="274" t="s">
        <v>20</v>
      </c>
      <c r="D62" s="427" t="s">
        <v>8439</v>
      </c>
      <c r="E62" s="681" t="s">
        <v>8440</v>
      </c>
      <c r="F62" s="674" t="s">
        <v>759</v>
      </c>
      <c r="G62" s="18" t="s">
        <v>77</v>
      </c>
      <c r="H62" s="275"/>
      <c r="I62" s="432">
        <v>6294374199</v>
      </c>
      <c r="J62" s="3"/>
      <c r="K62" s="275" t="s">
        <v>330</v>
      </c>
      <c r="L62" s="18" t="s">
        <v>55</v>
      </c>
      <c r="M62" s="418">
        <v>33305</v>
      </c>
      <c r="N62" s="418">
        <v>55243</v>
      </c>
      <c r="O62" s="320">
        <v>45145</v>
      </c>
      <c r="P62" s="272">
        <v>46178</v>
      </c>
      <c r="Q62" s="272">
        <v>46007</v>
      </c>
      <c r="R62" s="281" t="s">
        <v>8441</v>
      </c>
      <c r="S62" s="280"/>
      <c r="T62" s="280"/>
      <c r="U62" s="280"/>
      <c r="V62" s="280"/>
      <c r="W62" s="282">
        <f t="shared" ca="1" si="12"/>
        <v>35</v>
      </c>
    </row>
    <row r="63" spans="1:39" ht="15.75" customHeight="1">
      <c r="A63" s="944">
        <v>30</v>
      </c>
      <c r="B63" s="426" t="s">
        <v>8442</v>
      </c>
      <c r="C63" s="274" t="s">
        <v>20</v>
      </c>
      <c r="D63" s="427" t="s">
        <v>8443</v>
      </c>
      <c r="E63" s="1053" t="s">
        <v>8444</v>
      </c>
      <c r="F63" s="674" t="s">
        <v>759</v>
      </c>
      <c r="G63" s="18" t="s">
        <v>76</v>
      </c>
      <c r="H63" s="275"/>
      <c r="I63" s="432">
        <v>8910321025</v>
      </c>
      <c r="J63" s="3"/>
      <c r="K63" s="275" t="s">
        <v>330</v>
      </c>
      <c r="L63" s="39" t="s">
        <v>664</v>
      </c>
      <c r="M63" s="418">
        <v>33623</v>
      </c>
      <c r="N63" s="418">
        <v>55549</v>
      </c>
      <c r="O63" s="428">
        <v>45362</v>
      </c>
      <c r="P63" s="418">
        <v>45905</v>
      </c>
      <c r="Q63" s="418">
        <v>45125</v>
      </c>
      <c r="R63" s="281" t="s">
        <v>8445</v>
      </c>
      <c r="S63" s="281" t="s">
        <v>8446</v>
      </c>
      <c r="T63" s="280"/>
      <c r="U63" s="280"/>
      <c r="V63" s="280"/>
      <c r="W63" s="282">
        <f t="shared" ca="1" si="12"/>
        <v>34</v>
      </c>
      <c r="X63" s="79"/>
      <c r="Y63" s="79"/>
      <c r="Z63" s="79"/>
      <c r="AA63" s="79"/>
    </row>
    <row r="64" spans="1:39" ht="15.75" customHeight="1">
      <c r="A64" s="944">
        <v>35</v>
      </c>
      <c r="B64" s="426" t="s">
        <v>8447</v>
      </c>
      <c r="C64" s="274" t="s">
        <v>20</v>
      </c>
      <c r="D64" s="427" t="s">
        <v>8448</v>
      </c>
      <c r="E64" s="681" t="s">
        <v>8449</v>
      </c>
      <c r="F64" s="970" t="s">
        <v>759</v>
      </c>
      <c r="G64" s="18" t="s">
        <v>77</v>
      </c>
      <c r="H64" s="275"/>
      <c r="I64" s="432">
        <v>7908028537</v>
      </c>
      <c r="J64" s="3"/>
      <c r="K64" s="275" t="s">
        <v>330</v>
      </c>
      <c r="L64" s="125" t="s">
        <v>67</v>
      </c>
      <c r="M64" s="418">
        <v>30919</v>
      </c>
      <c r="N64" s="418">
        <v>52840</v>
      </c>
      <c r="O64" s="428">
        <v>45969</v>
      </c>
      <c r="P64" s="418">
        <v>45709</v>
      </c>
      <c r="Q64" s="418">
        <v>45748</v>
      </c>
      <c r="R64" s="281" t="s">
        <v>8450</v>
      </c>
      <c r="S64" s="429" t="s">
        <v>8451</v>
      </c>
      <c r="T64" s="280"/>
      <c r="U64" s="280"/>
      <c r="V64" s="280"/>
      <c r="W64" s="282">
        <f t="shared" ca="1" si="12"/>
        <v>41</v>
      </c>
      <c r="AC64" s="311"/>
      <c r="AD64" s="311"/>
      <c r="AE64" s="311"/>
      <c r="AF64" s="311"/>
      <c r="AG64" s="311"/>
      <c r="AH64" s="311"/>
      <c r="AI64" s="311"/>
      <c r="AJ64" s="311"/>
      <c r="AK64" s="311"/>
      <c r="AL64" s="311"/>
      <c r="AM64" s="311"/>
    </row>
    <row r="65" spans="1:39" ht="15.75" customHeight="1">
      <c r="A65" s="944">
        <v>10</v>
      </c>
      <c r="B65" s="971" t="s">
        <v>8452</v>
      </c>
      <c r="C65" s="274" t="s">
        <v>20</v>
      </c>
      <c r="D65" s="427" t="s">
        <v>8453</v>
      </c>
      <c r="E65" s="2185" t="s">
        <v>8454</v>
      </c>
      <c r="F65" s="970" t="s">
        <v>759</v>
      </c>
      <c r="G65" s="18" t="s">
        <v>78</v>
      </c>
      <c r="H65" s="275"/>
      <c r="I65" s="18">
        <v>9932327994</v>
      </c>
      <c r="J65" s="18">
        <v>9932327994</v>
      </c>
      <c r="K65" s="275" t="s">
        <v>330</v>
      </c>
      <c r="L65" s="274" t="s">
        <v>64</v>
      </c>
      <c r="M65" s="418">
        <v>33910</v>
      </c>
      <c r="N65" s="418">
        <v>55853</v>
      </c>
      <c r="O65" s="428">
        <v>46522</v>
      </c>
      <c r="P65" s="418">
        <v>45459</v>
      </c>
      <c r="Q65" s="418">
        <v>45382</v>
      </c>
      <c r="R65" s="281" t="s">
        <v>8455</v>
      </c>
      <c r="S65" s="281" t="s">
        <v>8456</v>
      </c>
      <c r="T65" s="280"/>
      <c r="U65" s="280"/>
      <c r="V65" s="280"/>
      <c r="W65" s="282">
        <f t="shared" ca="1" si="12"/>
        <v>33</v>
      </c>
      <c r="X65" s="79"/>
      <c r="Y65" s="79"/>
      <c r="Z65" s="79"/>
      <c r="AA65" s="79"/>
    </row>
    <row r="66" spans="1:39" ht="15.75" customHeight="1">
      <c r="A66" s="980">
        <v>6</v>
      </c>
      <c r="B66" s="305" t="s">
        <v>8457</v>
      </c>
      <c r="C66" s="274" t="s">
        <v>20</v>
      </c>
      <c r="D66" s="420" t="s">
        <v>8458</v>
      </c>
      <c r="E66" s="681" t="s">
        <v>8459</v>
      </c>
      <c r="F66" s="946" t="s">
        <v>759</v>
      </c>
      <c r="G66" s="337" t="s">
        <v>78</v>
      </c>
      <c r="H66" s="307"/>
      <c r="I66" s="303">
        <v>7980605695</v>
      </c>
      <c r="J66" s="303">
        <v>7501209501</v>
      </c>
      <c r="K66" s="275" t="s">
        <v>330</v>
      </c>
      <c r="L66" s="274" t="s">
        <v>664</v>
      </c>
      <c r="M66" s="315">
        <v>32926</v>
      </c>
      <c r="N66" s="315">
        <v>54847</v>
      </c>
      <c r="O66" s="315">
        <v>46039</v>
      </c>
      <c r="P66" s="272">
        <v>45791</v>
      </c>
      <c r="Q66" s="272">
        <v>45802</v>
      </c>
      <c r="R66" s="441"/>
      <c r="S66" s="339" t="s">
        <v>8460</v>
      </c>
      <c r="T66" s="441"/>
      <c r="U66" s="425"/>
      <c r="V66" s="425"/>
      <c r="W66" s="90"/>
      <c r="X66" s="90"/>
    </row>
    <row r="67" spans="1:39" ht="15.75" customHeight="1">
      <c r="A67" s="980">
        <v>76</v>
      </c>
      <c r="B67" s="301" t="s">
        <v>8461</v>
      </c>
      <c r="C67" s="274" t="s">
        <v>20</v>
      </c>
      <c r="D67" s="420" t="s">
        <v>8462</v>
      </c>
      <c r="E67" s="595" t="s">
        <v>8463</v>
      </c>
      <c r="F67" s="274" t="s">
        <v>759</v>
      </c>
      <c r="G67" s="284" t="s">
        <v>78</v>
      </c>
      <c r="H67" s="391"/>
      <c r="I67" s="1295">
        <v>7278040340</v>
      </c>
      <c r="J67" s="284"/>
      <c r="K67" s="275" t="s">
        <v>330</v>
      </c>
      <c r="L67" s="274" t="s">
        <v>60</v>
      </c>
      <c r="M67" s="272">
        <v>33651</v>
      </c>
      <c r="N67" s="272">
        <v>55578</v>
      </c>
      <c r="O67" s="400"/>
      <c r="P67" s="279"/>
      <c r="Q67" s="302"/>
      <c r="R67" s="394" t="s">
        <v>8464</v>
      </c>
      <c r="S67" s="394" t="s">
        <v>3564</v>
      </c>
      <c r="T67" s="403"/>
      <c r="U67" s="393"/>
      <c r="V67" s="383"/>
      <c r="W67" s="563"/>
      <c r="X67" s="79"/>
      <c r="Y67" s="395"/>
      <c r="Z67" s="79"/>
      <c r="AA67" s="383"/>
      <c r="AB67" s="282"/>
      <c r="AC67" s="383"/>
      <c r="AD67" s="383"/>
      <c r="AE67" s="383"/>
      <c r="AF67" s="383"/>
      <c r="AG67" s="383"/>
      <c r="AH67" s="383"/>
      <c r="AI67" s="384"/>
      <c r="AJ67" s="384"/>
      <c r="AK67" s="384"/>
      <c r="AL67" s="384"/>
      <c r="AM67" s="384"/>
    </row>
    <row r="68" spans="1:39" ht="15.75" customHeight="1">
      <c r="A68" s="944">
        <v>14</v>
      </c>
      <c r="B68" s="2186" t="s">
        <v>8465</v>
      </c>
      <c r="C68" s="274" t="s">
        <v>20</v>
      </c>
      <c r="D68" s="1645" t="s">
        <v>8466</v>
      </c>
      <c r="E68" s="1062" t="s">
        <v>8467</v>
      </c>
      <c r="F68" s="970" t="s">
        <v>759</v>
      </c>
      <c r="G68" s="18" t="s">
        <v>76</v>
      </c>
      <c r="H68" s="275"/>
      <c r="I68" s="432">
        <v>9038370160</v>
      </c>
      <c r="J68" s="3"/>
      <c r="K68" s="275" t="s">
        <v>330</v>
      </c>
      <c r="L68" s="284" t="s">
        <v>64</v>
      </c>
      <c r="M68" s="418">
        <v>31418</v>
      </c>
      <c r="N68" s="418">
        <v>53358</v>
      </c>
      <c r="O68" s="428">
        <v>46259</v>
      </c>
      <c r="P68" s="418">
        <v>45709</v>
      </c>
      <c r="Q68" s="418">
        <v>45552</v>
      </c>
      <c r="R68" s="281" t="s">
        <v>8468</v>
      </c>
      <c r="S68" s="281" t="s">
        <v>8469</v>
      </c>
      <c r="T68" s="280"/>
      <c r="U68" s="280"/>
      <c r="V68" s="280"/>
      <c r="W68" s="282">
        <f ca="1">INT((TODAY()-M68)/365)</f>
        <v>40</v>
      </c>
      <c r="X68" s="79"/>
      <c r="Y68" s="79"/>
      <c r="Z68" s="79"/>
      <c r="AA68" s="79"/>
      <c r="AC68" s="311"/>
      <c r="AD68" s="311"/>
      <c r="AE68" s="311"/>
      <c r="AF68" s="311"/>
      <c r="AG68" s="311"/>
      <c r="AH68" s="311"/>
      <c r="AI68" s="311"/>
      <c r="AJ68" s="311"/>
      <c r="AK68" s="311"/>
      <c r="AL68" s="311"/>
      <c r="AM68" s="311"/>
    </row>
    <row r="71" spans="1:39" ht="15.75" customHeight="1">
      <c r="A71" s="382"/>
      <c r="B71" s="311"/>
      <c r="C71" s="1647"/>
      <c r="D71" s="2173"/>
      <c r="E71" s="1586"/>
      <c r="F71" s="965"/>
      <c r="G71" s="1846"/>
      <c r="H71" s="1586"/>
      <c r="I71" s="1647"/>
      <c r="J71" s="2187"/>
      <c r="K71" s="1647"/>
      <c r="L71" s="1647"/>
      <c r="M71" s="836"/>
      <c r="N71" s="836"/>
      <c r="O71" s="836"/>
      <c r="P71" s="836"/>
      <c r="Q71" s="836"/>
      <c r="R71" s="309"/>
      <c r="S71" s="309"/>
      <c r="T71" s="309"/>
      <c r="U71" s="309"/>
      <c r="V71" s="311"/>
      <c r="W71" s="311"/>
      <c r="X71" s="311"/>
      <c r="Y71" s="311"/>
      <c r="Z71" s="311"/>
      <c r="AA71" s="311"/>
      <c r="AB71" s="311"/>
      <c r="AC71" s="311"/>
      <c r="AD71" s="311"/>
      <c r="AE71" s="311"/>
      <c r="AF71" s="311"/>
      <c r="AG71" s="311"/>
      <c r="AH71" s="311"/>
      <c r="AI71" s="311"/>
      <c r="AJ71" s="311"/>
      <c r="AK71" s="311"/>
      <c r="AL71" s="311"/>
      <c r="AM71" s="311"/>
    </row>
    <row r="72" spans="1:39" ht="15.75" customHeight="1">
      <c r="A72" s="382"/>
      <c r="B72" s="311"/>
      <c r="C72" s="1647"/>
      <c r="D72" s="2173"/>
      <c r="E72" s="1586"/>
      <c r="F72" s="137"/>
      <c r="G72" s="1846"/>
      <c r="H72" s="1586"/>
      <c r="I72" s="1647"/>
      <c r="J72" s="2187"/>
      <c r="K72" s="1647"/>
      <c r="L72" s="1647"/>
      <c r="M72" s="836"/>
      <c r="N72" s="836"/>
      <c r="O72" s="836"/>
      <c r="P72" s="836"/>
      <c r="Q72" s="836"/>
      <c r="R72" s="309"/>
      <c r="S72" s="309"/>
      <c r="T72" s="309"/>
      <c r="U72" s="309"/>
      <c r="V72" s="311"/>
      <c r="W72" s="311"/>
      <c r="X72" s="311"/>
      <c r="Y72" s="311"/>
      <c r="Z72" s="311"/>
      <c r="AA72" s="311"/>
      <c r="AB72" s="311"/>
      <c r="AC72" s="311"/>
      <c r="AD72" s="311"/>
      <c r="AE72" s="311"/>
      <c r="AF72" s="311"/>
      <c r="AG72" s="311"/>
      <c r="AH72" s="311"/>
      <c r="AI72" s="311"/>
      <c r="AJ72" s="311"/>
      <c r="AK72" s="311"/>
      <c r="AL72" s="311"/>
      <c r="AM72" s="311"/>
    </row>
    <row r="73" spans="1:39" ht="15.75" customHeight="1">
      <c r="A73" s="382"/>
      <c r="B73" s="311"/>
      <c r="C73" s="1647"/>
      <c r="D73" s="2173"/>
      <c r="E73" s="1586"/>
      <c r="F73" s="686"/>
      <c r="G73" s="1846"/>
      <c r="H73" s="1586"/>
      <c r="I73" s="1647"/>
      <c r="J73" s="2187"/>
      <c r="K73" s="1647"/>
      <c r="L73" s="1647"/>
      <c r="M73" s="836"/>
      <c r="N73" s="836"/>
      <c r="O73" s="836"/>
      <c r="P73" s="836"/>
      <c r="Q73" s="836"/>
      <c r="R73" s="309"/>
      <c r="S73" s="309"/>
      <c r="T73" s="309"/>
      <c r="U73" s="309"/>
      <c r="V73" s="311"/>
      <c r="W73" s="311"/>
      <c r="X73" s="311"/>
      <c r="Y73" s="311"/>
      <c r="Z73" s="311"/>
      <c r="AA73" s="311"/>
      <c r="AB73" s="311"/>
      <c r="AC73" s="311"/>
      <c r="AD73" s="311"/>
      <c r="AE73" s="311"/>
      <c r="AF73" s="311"/>
      <c r="AG73" s="311"/>
      <c r="AH73" s="311"/>
      <c r="AI73" s="311"/>
      <c r="AJ73" s="311"/>
      <c r="AK73" s="311"/>
      <c r="AL73" s="311"/>
      <c r="AM73" s="311"/>
    </row>
    <row r="74" spans="1:39" ht="15.75" customHeight="1">
      <c r="A74" s="382"/>
      <c r="B74" s="311"/>
      <c r="C74" s="1647"/>
      <c r="D74" s="2173"/>
      <c r="E74" s="1586"/>
      <c r="F74" s="137"/>
      <c r="G74" s="1846"/>
      <c r="H74" s="1586"/>
      <c r="I74" s="1647"/>
      <c r="J74" s="2187"/>
      <c r="K74" s="1647"/>
      <c r="L74" s="1647"/>
      <c r="M74" s="836"/>
      <c r="N74" s="836"/>
      <c r="O74" s="836"/>
      <c r="P74" s="836"/>
      <c r="Q74" s="836"/>
      <c r="R74" s="309"/>
      <c r="S74" s="309"/>
      <c r="T74" s="309"/>
      <c r="U74" s="309"/>
      <c r="V74" s="311"/>
      <c r="W74" s="311"/>
      <c r="X74" s="311"/>
      <c r="Y74" s="311"/>
      <c r="Z74" s="311"/>
      <c r="AA74" s="311"/>
      <c r="AB74" s="311"/>
      <c r="AC74" s="311"/>
      <c r="AD74" s="311"/>
      <c r="AE74" s="311"/>
      <c r="AF74" s="311"/>
      <c r="AG74" s="311"/>
      <c r="AH74" s="311"/>
      <c r="AI74" s="311"/>
      <c r="AJ74" s="311"/>
      <c r="AK74" s="311"/>
      <c r="AL74" s="311"/>
      <c r="AM74" s="311"/>
    </row>
    <row r="75" spans="1:39" ht="15.75" customHeight="1">
      <c r="A75" s="382"/>
      <c r="B75" s="311"/>
      <c r="C75" s="1647"/>
      <c r="D75" s="2173"/>
      <c r="E75" s="1586"/>
      <c r="F75" s="965"/>
      <c r="G75" s="1846"/>
      <c r="H75" s="1586"/>
      <c r="I75" s="1647"/>
      <c r="J75" s="2187"/>
      <c r="K75" s="1647"/>
      <c r="L75" s="1647"/>
      <c r="M75" s="836"/>
      <c r="N75" s="836"/>
      <c r="O75" s="836"/>
      <c r="P75" s="836"/>
      <c r="Q75" s="836"/>
      <c r="R75" s="309"/>
      <c r="S75" s="309"/>
      <c r="T75" s="309"/>
      <c r="U75" s="309"/>
      <c r="V75" s="311"/>
      <c r="W75" s="311"/>
      <c r="X75" s="311"/>
      <c r="Y75" s="311"/>
      <c r="Z75" s="311"/>
      <c r="AA75" s="311"/>
      <c r="AB75" s="311"/>
      <c r="AC75" s="311"/>
      <c r="AD75" s="311"/>
      <c r="AE75" s="311"/>
      <c r="AF75" s="311"/>
      <c r="AG75" s="311"/>
      <c r="AH75" s="311"/>
      <c r="AI75" s="311"/>
      <c r="AJ75" s="311"/>
      <c r="AK75" s="311"/>
      <c r="AL75" s="311"/>
      <c r="AM75" s="311"/>
    </row>
    <row r="76" spans="1:39" ht="15.75" customHeight="1">
      <c r="A76" s="382"/>
      <c r="B76" s="311"/>
      <c r="C76" s="1647"/>
      <c r="D76" s="2173"/>
      <c r="E76" s="1586"/>
      <c r="F76" s="965"/>
      <c r="G76" s="1846"/>
      <c r="H76" s="1586"/>
      <c r="I76" s="1647"/>
      <c r="J76" s="2187"/>
      <c r="K76" s="1647"/>
      <c r="L76" s="1647"/>
      <c r="M76" s="836"/>
      <c r="N76" s="836"/>
      <c r="O76" s="836"/>
      <c r="P76" s="836"/>
      <c r="Q76" s="836"/>
      <c r="R76" s="309"/>
      <c r="S76" s="309"/>
      <c r="T76" s="309"/>
      <c r="U76" s="309"/>
      <c r="V76" s="311"/>
      <c r="W76" s="311"/>
      <c r="X76" s="311"/>
      <c r="Y76" s="311"/>
      <c r="Z76" s="311"/>
      <c r="AA76" s="311"/>
      <c r="AB76" s="311"/>
      <c r="AC76" s="311"/>
      <c r="AD76" s="311"/>
      <c r="AE76" s="311"/>
      <c r="AF76" s="311"/>
      <c r="AG76" s="311"/>
      <c r="AH76" s="311"/>
      <c r="AI76" s="311"/>
      <c r="AJ76" s="311"/>
      <c r="AK76" s="311"/>
      <c r="AL76" s="311"/>
      <c r="AM76" s="311"/>
    </row>
    <row r="77" spans="1:39" ht="15.75" customHeight="1">
      <c r="A77" s="382"/>
      <c r="B77" s="311"/>
      <c r="C77" s="1647"/>
      <c r="D77" s="2173"/>
      <c r="E77" s="1586"/>
      <c r="F77" s="137"/>
      <c r="G77" s="1846"/>
      <c r="H77" s="1586"/>
      <c r="I77" s="1647"/>
      <c r="J77" s="2187"/>
      <c r="K77" s="1647"/>
      <c r="L77" s="1647"/>
      <c r="M77" s="836"/>
      <c r="N77" s="836"/>
      <c r="O77" s="836"/>
      <c r="P77" s="836"/>
      <c r="Q77" s="836"/>
      <c r="R77" s="309"/>
      <c r="S77" s="309"/>
      <c r="T77" s="309"/>
      <c r="U77" s="309"/>
      <c r="V77" s="311"/>
      <c r="W77" s="311"/>
      <c r="X77" s="311"/>
      <c r="Y77" s="311"/>
      <c r="Z77" s="311"/>
      <c r="AA77" s="311"/>
      <c r="AB77" s="311"/>
      <c r="AC77" s="311"/>
      <c r="AD77" s="311"/>
      <c r="AE77" s="311"/>
      <c r="AF77" s="311"/>
      <c r="AG77" s="311"/>
      <c r="AH77" s="311"/>
      <c r="AI77" s="311"/>
      <c r="AJ77" s="311"/>
      <c r="AK77" s="311"/>
      <c r="AL77" s="311"/>
      <c r="AM77" s="311"/>
    </row>
    <row r="78" spans="1:39" ht="15.75" customHeight="1">
      <c r="A78" s="382"/>
      <c r="B78" s="311"/>
      <c r="C78" s="1647"/>
      <c r="D78" s="2173"/>
      <c r="E78" s="1586"/>
      <c r="F78" s="137"/>
      <c r="G78" s="1846"/>
      <c r="H78" s="1586"/>
      <c r="I78" s="1647"/>
      <c r="J78" s="2187"/>
      <c r="K78" s="1647"/>
      <c r="L78" s="1647"/>
      <c r="M78" s="836"/>
      <c r="N78" s="836"/>
      <c r="O78" s="836"/>
      <c r="P78" s="836"/>
      <c r="Q78" s="836"/>
      <c r="R78" s="309"/>
      <c r="S78" s="309"/>
      <c r="T78" s="309"/>
      <c r="U78" s="309"/>
      <c r="V78" s="311"/>
      <c r="W78" s="311"/>
      <c r="X78" s="311"/>
      <c r="Y78" s="311"/>
      <c r="Z78" s="311"/>
      <c r="AA78" s="311"/>
      <c r="AB78" s="311"/>
      <c r="AC78" s="311"/>
      <c r="AD78" s="311"/>
      <c r="AE78" s="311"/>
      <c r="AF78" s="311"/>
      <c r="AG78" s="311"/>
      <c r="AH78" s="311"/>
      <c r="AI78" s="311"/>
      <c r="AJ78" s="311"/>
      <c r="AK78" s="311"/>
      <c r="AL78" s="311"/>
      <c r="AM78" s="311"/>
    </row>
    <row r="79" spans="1:39" ht="15.75" customHeight="1">
      <c r="A79" s="382"/>
      <c r="B79" s="311"/>
      <c r="C79" s="1647"/>
      <c r="D79" s="2173"/>
      <c r="E79" s="1586"/>
      <c r="F79" s="137"/>
      <c r="G79" s="1846"/>
      <c r="H79" s="1586"/>
      <c r="I79" s="1647"/>
      <c r="J79" s="2187"/>
      <c r="K79" s="1647"/>
      <c r="L79" s="1647"/>
      <c r="M79" s="836"/>
      <c r="N79" s="836"/>
      <c r="O79" s="836"/>
      <c r="P79" s="836"/>
      <c r="Q79" s="836"/>
      <c r="R79" s="309"/>
      <c r="S79" s="309"/>
      <c r="T79" s="309"/>
      <c r="U79" s="309"/>
      <c r="V79" s="311"/>
      <c r="W79" s="311"/>
      <c r="X79" s="311"/>
      <c r="Y79" s="311"/>
      <c r="Z79" s="311"/>
      <c r="AA79" s="311"/>
      <c r="AB79" s="311"/>
      <c r="AC79" s="311"/>
      <c r="AD79" s="311"/>
      <c r="AE79" s="311"/>
      <c r="AF79" s="311"/>
      <c r="AG79" s="311"/>
      <c r="AH79" s="311"/>
      <c r="AI79" s="311"/>
      <c r="AJ79" s="311"/>
      <c r="AK79" s="311"/>
      <c r="AL79" s="311"/>
      <c r="AM79" s="311"/>
    </row>
    <row r="80" spans="1:39" ht="15.75" customHeight="1">
      <c r="A80" s="382"/>
      <c r="B80" s="311"/>
      <c r="C80" s="1647"/>
      <c r="D80" s="2173"/>
      <c r="E80" s="1586"/>
      <c r="F80" s="965"/>
      <c r="G80" s="1846"/>
      <c r="H80" s="1586"/>
      <c r="I80" s="1647"/>
      <c r="J80" s="2187"/>
      <c r="K80" s="1647"/>
      <c r="L80" s="1647"/>
      <c r="M80" s="836"/>
      <c r="N80" s="836"/>
      <c r="O80" s="836"/>
      <c r="P80" s="836"/>
      <c r="Q80" s="836"/>
      <c r="R80" s="309"/>
      <c r="S80" s="309"/>
      <c r="T80" s="309"/>
      <c r="U80" s="309"/>
      <c r="V80" s="311"/>
      <c r="W80" s="311"/>
      <c r="X80" s="311"/>
      <c r="Y80" s="311"/>
      <c r="Z80" s="311"/>
      <c r="AA80" s="311"/>
      <c r="AB80" s="311"/>
      <c r="AC80" s="311"/>
      <c r="AD80" s="311"/>
      <c r="AE80" s="311"/>
      <c r="AF80" s="311"/>
      <c r="AG80" s="311"/>
      <c r="AH80" s="311"/>
      <c r="AI80" s="311"/>
      <c r="AJ80" s="311"/>
      <c r="AK80" s="311"/>
      <c r="AL80" s="311"/>
      <c r="AM80" s="311"/>
    </row>
    <row r="81" spans="1:39" ht="15.75" customHeight="1">
      <c r="A81" s="382"/>
      <c r="B81" s="311"/>
      <c r="C81" s="1647"/>
      <c r="D81" s="2173"/>
      <c r="E81" s="1586"/>
      <c r="F81" s="965"/>
      <c r="G81" s="1846"/>
      <c r="H81" s="1586"/>
      <c r="I81" s="1647"/>
      <c r="J81" s="2187"/>
      <c r="K81" s="1647"/>
      <c r="L81" s="1647"/>
      <c r="M81" s="836"/>
      <c r="N81" s="836"/>
      <c r="O81" s="836"/>
      <c r="P81" s="836"/>
      <c r="Q81" s="836"/>
      <c r="R81" s="309"/>
      <c r="S81" s="309"/>
      <c r="T81" s="309"/>
      <c r="U81" s="309"/>
      <c r="V81" s="311"/>
      <c r="W81" s="311"/>
      <c r="X81" s="311"/>
      <c r="Y81" s="311"/>
      <c r="Z81" s="311"/>
      <c r="AA81" s="311"/>
      <c r="AB81" s="311"/>
      <c r="AC81" s="311"/>
      <c r="AD81" s="311"/>
      <c r="AE81" s="311"/>
      <c r="AF81" s="311"/>
      <c r="AG81" s="311"/>
      <c r="AH81" s="311"/>
      <c r="AI81" s="311"/>
      <c r="AJ81" s="311"/>
      <c r="AK81" s="311"/>
      <c r="AL81" s="311"/>
      <c r="AM81" s="311"/>
    </row>
    <row r="82" spans="1:39" ht="15.75" customHeight="1">
      <c r="A82" s="382"/>
      <c r="B82" s="311"/>
      <c r="C82" s="1647"/>
      <c r="D82" s="2173"/>
      <c r="E82" s="1586"/>
      <c r="F82" s="137"/>
      <c r="G82" s="1846"/>
      <c r="H82" s="1586"/>
      <c r="I82" s="1647"/>
      <c r="J82" s="2187"/>
      <c r="K82" s="1647"/>
      <c r="L82" s="1647"/>
      <c r="M82" s="836"/>
      <c r="N82" s="836"/>
      <c r="O82" s="836"/>
      <c r="P82" s="836"/>
      <c r="Q82" s="836"/>
      <c r="R82" s="309"/>
      <c r="S82" s="309"/>
      <c r="T82" s="309"/>
      <c r="U82" s="309"/>
      <c r="V82" s="311"/>
      <c r="W82" s="311"/>
      <c r="X82" s="311"/>
      <c r="Y82" s="311"/>
      <c r="Z82" s="311"/>
      <c r="AA82" s="311"/>
      <c r="AB82" s="311"/>
      <c r="AC82" s="311"/>
      <c r="AD82" s="311"/>
      <c r="AE82" s="311"/>
      <c r="AF82" s="311"/>
      <c r="AG82" s="311"/>
      <c r="AH82" s="311"/>
      <c r="AI82" s="311"/>
      <c r="AJ82" s="311"/>
      <c r="AK82" s="311"/>
      <c r="AL82" s="311"/>
      <c r="AM82" s="311"/>
    </row>
    <row r="83" spans="1:39" ht="15.75" customHeight="1">
      <c r="A83" s="382"/>
      <c r="B83" s="311"/>
      <c r="C83" s="1647"/>
      <c r="D83" s="2173"/>
      <c r="E83" s="1586"/>
      <c r="F83" s="1889"/>
      <c r="G83" s="1846"/>
      <c r="H83" s="1586"/>
      <c r="I83" s="1647"/>
      <c r="J83" s="2187"/>
      <c r="K83" s="1647"/>
      <c r="L83" s="1647"/>
      <c r="M83" s="836"/>
      <c r="N83" s="836"/>
      <c r="O83" s="836"/>
      <c r="P83" s="836"/>
      <c r="Q83" s="836"/>
      <c r="R83" s="309"/>
      <c r="S83" s="309"/>
      <c r="T83" s="309"/>
      <c r="U83" s="309"/>
      <c r="V83" s="311"/>
      <c r="W83" s="311"/>
      <c r="X83" s="311"/>
      <c r="Y83" s="311"/>
      <c r="Z83" s="311"/>
      <c r="AA83" s="311"/>
      <c r="AB83" s="311"/>
      <c r="AC83" s="311"/>
      <c r="AD83" s="311"/>
      <c r="AE83" s="311"/>
      <c r="AF83" s="311"/>
      <c r="AG83" s="311"/>
      <c r="AH83" s="311"/>
      <c r="AI83" s="311"/>
      <c r="AJ83" s="311"/>
      <c r="AK83" s="311"/>
      <c r="AL83" s="311"/>
      <c r="AM83" s="311"/>
    </row>
    <row r="84" spans="1:39" ht="15.75" customHeight="1">
      <c r="A84" s="382"/>
      <c r="B84" s="311"/>
      <c r="C84" s="1647"/>
      <c r="D84" s="2173"/>
      <c r="E84" s="1586"/>
      <c r="F84" s="137"/>
      <c r="G84" s="1846"/>
      <c r="H84" s="1586"/>
      <c r="I84" s="1647"/>
      <c r="J84" s="2187"/>
      <c r="K84" s="1647"/>
      <c r="L84" s="1647"/>
      <c r="M84" s="836"/>
      <c r="N84" s="836"/>
      <c r="O84" s="836"/>
      <c r="P84" s="836"/>
      <c r="Q84" s="836"/>
      <c r="R84" s="309"/>
      <c r="S84" s="309"/>
      <c r="T84" s="309"/>
      <c r="U84" s="309"/>
      <c r="V84" s="311"/>
      <c r="W84" s="311"/>
      <c r="X84" s="311"/>
      <c r="Y84" s="311"/>
      <c r="Z84" s="311"/>
      <c r="AA84" s="311"/>
      <c r="AB84" s="311"/>
      <c r="AC84" s="311"/>
      <c r="AD84" s="311"/>
      <c r="AE84" s="311"/>
      <c r="AF84" s="311"/>
      <c r="AG84" s="311"/>
      <c r="AH84" s="311"/>
      <c r="AI84" s="311"/>
      <c r="AJ84" s="311"/>
      <c r="AK84" s="311"/>
      <c r="AL84" s="311"/>
      <c r="AM84" s="311"/>
    </row>
    <row r="85" spans="1:39" ht="15.75" customHeight="1">
      <c r="A85" s="382"/>
      <c r="B85" s="311"/>
      <c r="C85" s="1647"/>
      <c r="D85" s="2173"/>
      <c r="E85" s="1586"/>
      <c r="F85" s="965"/>
      <c r="G85" s="1846"/>
      <c r="H85" s="1586"/>
      <c r="I85" s="1647"/>
      <c r="J85" s="2187"/>
      <c r="K85" s="1647"/>
      <c r="L85" s="1647"/>
      <c r="M85" s="836"/>
      <c r="N85" s="836"/>
      <c r="O85" s="836"/>
      <c r="P85" s="836"/>
      <c r="Q85" s="836"/>
      <c r="R85" s="309"/>
      <c r="S85" s="309"/>
      <c r="T85" s="309"/>
      <c r="U85" s="309"/>
      <c r="V85" s="311"/>
      <c r="W85" s="311"/>
      <c r="X85" s="311"/>
      <c r="Y85" s="311"/>
      <c r="Z85" s="311"/>
      <c r="AA85" s="311"/>
      <c r="AB85" s="311"/>
      <c r="AC85" s="311"/>
      <c r="AD85" s="311"/>
      <c r="AE85" s="311"/>
      <c r="AF85" s="311"/>
      <c r="AG85" s="311"/>
      <c r="AH85" s="311"/>
      <c r="AI85" s="311"/>
      <c r="AJ85" s="311"/>
      <c r="AK85" s="311"/>
      <c r="AL85" s="311"/>
      <c r="AM85" s="311"/>
    </row>
    <row r="86" spans="1:39" ht="15.75" customHeight="1">
      <c r="A86" s="382"/>
      <c r="B86" s="311"/>
      <c r="C86" s="1647"/>
      <c r="D86" s="2173"/>
      <c r="E86" s="1586"/>
      <c r="F86" s="2001"/>
      <c r="G86" s="1846"/>
      <c r="H86" s="1586"/>
      <c r="I86" s="1647"/>
      <c r="J86" s="2187"/>
      <c r="K86" s="1647"/>
      <c r="L86" s="1647"/>
      <c r="M86" s="836"/>
      <c r="N86" s="836"/>
      <c r="O86" s="836"/>
      <c r="P86" s="836"/>
      <c r="Q86" s="836"/>
      <c r="R86" s="309"/>
      <c r="S86" s="309"/>
      <c r="T86" s="309"/>
      <c r="U86" s="309"/>
      <c r="V86" s="311"/>
      <c r="W86" s="311"/>
      <c r="X86" s="311"/>
      <c r="Y86" s="311"/>
      <c r="Z86" s="311"/>
      <c r="AA86" s="311"/>
      <c r="AB86" s="311"/>
      <c r="AC86" s="311"/>
      <c r="AD86" s="311"/>
      <c r="AE86" s="311"/>
      <c r="AF86" s="311"/>
      <c r="AG86" s="311"/>
      <c r="AH86" s="311"/>
      <c r="AI86" s="311"/>
      <c r="AJ86" s="311"/>
      <c r="AK86" s="311"/>
      <c r="AL86" s="311"/>
      <c r="AM86" s="311"/>
    </row>
    <row r="87" spans="1:39" ht="15.75" customHeight="1">
      <c r="A87" s="382"/>
      <c r="B87" s="311"/>
      <c r="C87" s="1647"/>
      <c r="D87" s="2173"/>
      <c r="E87" s="1586"/>
      <c r="F87" s="943"/>
      <c r="G87" s="1846"/>
      <c r="H87" s="1586"/>
      <c r="I87" s="1647"/>
      <c r="J87" s="2187"/>
      <c r="K87" s="1647"/>
      <c r="L87" s="1647"/>
      <c r="M87" s="836"/>
      <c r="N87" s="836"/>
      <c r="O87" s="836"/>
      <c r="P87" s="836"/>
      <c r="Q87" s="836"/>
      <c r="R87" s="309"/>
      <c r="S87" s="309"/>
      <c r="T87" s="309"/>
      <c r="U87" s="309"/>
      <c r="V87" s="311"/>
      <c r="W87" s="311"/>
      <c r="X87" s="311"/>
      <c r="Y87" s="311"/>
      <c r="Z87" s="311"/>
      <c r="AA87" s="311"/>
      <c r="AB87" s="311"/>
      <c r="AC87" s="311"/>
      <c r="AD87" s="311"/>
      <c r="AE87" s="311"/>
      <c r="AF87" s="311"/>
      <c r="AG87" s="311"/>
      <c r="AH87" s="311"/>
      <c r="AI87" s="311"/>
      <c r="AJ87" s="311"/>
      <c r="AK87" s="311"/>
      <c r="AL87" s="311"/>
      <c r="AM87" s="311"/>
    </row>
    <row r="88" spans="1:39" ht="15.75" customHeight="1">
      <c r="A88" s="382"/>
      <c r="B88" s="311"/>
      <c r="C88" s="1647"/>
      <c r="D88" s="2173"/>
      <c r="E88" s="1586"/>
      <c r="F88" s="137"/>
      <c r="G88" s="1846"/>
      <c r="H88" s="1586"/>
      <c r="I88" s="1647"/>
      <c r="J88" s="2187"/>
      <c r="K88" s="1647"/>
      <c r="L88" s="1647"/>
      <c r="M88" s="836"/>
      <c r="N88" s="836"/>
      <c r="O88" s="836"/>
      <c r="P88" s="836"/>
      <c r="Q88" s="836"/>
      <c r="R88" s="309"/>
      <c r="S88" s="309"/>
      <c r="T88" s="309"/>
      <c r="U88" s="309"/>
      <c r="V88" s="311"/>
      <c r="W88" s="311"/>
      <c r="X88" s="311"/>
      <c r="Y88" s="311"/>
      <c r="Z88" s="311"/>
      <c r="AA88" s="311"/>
      <c r="AB88" s="311"/>
      <c r="AC88" s="311"/>
      <c r="AD88" s="311"/>
      <c r="AE88" s="311"/>
      <c r="AF88" s="311"/>
      <c r="AG88" s="311"/>
      <c r="AH88" s="311"/>
      <c r="AI88" s="311"/>
      <c r="AJ88" s="311"/>
      <c r="AK88" s="311"/>
      <c r="AL88" s="311"/>
      <c r="AM88" s="311"/>
    </row>
    <row r="89" spans="1:39" ht="15.75" customHeight="1">
      <c r="A89" s="382"/>
      <c r="B89" s="311"/>
      <c r="C89" s="1647"/>
      <c r="D89" s="2173"/>
      <c r="E89" s="1586"/>
      <c r="F89" s="965"/>
      <c r="G89" s="1846"/>
      <c r="H89" s="1586"/>
      <c r="I89" s="1647"/>
      <c r="J89" s="2187"/>
      <c r="K89" s="1647"/>
      <c r="L89" s="1647"/>
      <c r="M89" s="836"/>
      <c r="N89" s="836"/>
      <c r="O89" s="836"/>
      <c r="P89" s="836"/>
      <c r="Q89" s="836"/>
      <c r="R89" s="309"/>
      <c r="S89" s="309"/>
      <c r="T89" s="309"/>
      <c r="U89" s="309"/>
      <c r="V89" s="311"/>
      <c r="W89" s="311"/>
      <c r="X89" s="311"/>
      <c r="Y89" s="311"/>
      <c r="Z89" s="311"/>
      <c r="AA89" s="311"/>
      <c r="AB89" s="311"/>
      <c r="AC89" s="311"/>
      <c r="AD89" s="311"/>
      <c r="AE89" s="311"/>
      <c r="AF89" s="311"/>
      <c r="AG89" s="311"/>
      <c r="AH89" s="311"/>
      <c r="AI89" s="311"/>
      <c r="AJ89" s="311"/>
      <c r="AK89" s="311"/>
      <c r="AL89" s="311"/>
      <c r="AM89" s="311"/>
    </row>
    <row r="90" spans="1:39" ht="15.75" customHeight="1">
      <c r="A90" s="382"/>
      <c r="B90" s="311"/>
      <c r="C90" s="1647"/>
      <c r="D90" s="2173"/>
      <c r="E90" s="1586"/>
      <c r="F90" s="1948"/>
      <c r="G90" s="1846"/>
      <c r="H90" s="1586"/>
      <c r="I90" s="1647"/>
      <c r="J90" s="2187"/>
      <c r="K90" s="1647"/>
      <c r="L90" s="1647"/>
      <c r="M90" s="836"/>
      <c r="N90" s="836"/>
      <c r="O90" s="836"/>
      <c r="P90" s="836"/>
      <c r="Q90" s="836"/>
      <c r="R90" s="309"/>
      <c r="S90" s="309"/>
      <c r="T90" s="309"/>
      <c r="U90" s="309"/>
      <c r="V90" s="311"/>
      <c r="W90" s="311"/>
      <c r="X90" s="311"/>
      <c r="Y90" s="311"/>
      <c r="Z90" s="311"/>
      <c r="AA90" s="311"/>
      <c r="AB90" s="311"/>
      <c r="AC90" s="311"/>
      <c r="AD90" s="311"/>
      <c r="AE90" s="311"/>
      <c r="AF90" s="311"/>
      <c r="AG90" s="311"/>
      <c r="AH90" s="311"/>
      <c r="AI90" s="311"/>
      <c r="AJ90" s="311"/>
      <c r="AK90" s="311"/>
      <c r="AL90" s="311"/>
      <c r="AM90" s="311"/>
    </row>
    <row r="91" spans="1:39" ht="15.75" customHeight="1">
      <c r="A91" s="382"/>
      <c r="B91" s="311"/>
      <c r="C91" s="1647"/>
      <c r="D91" s="2173"/>
      <c r="E91" s="1586"/>
      <c r="F91" s="943"/>
      <c r="G91" s="1846"/>
      <c r="H91" s="1586"/>
      <c r="I91" s="1647"/>
      <c r="J91" s="2187"/>
      <c r="K91" s="1647"/>
      <c r="L91" s="1647"/>
      <c r="M91" s="836"/>
      <c r="N91" s="836"/>
      <c r="O91" s="836"/>
      <c r="P91" s="836"/>
      <c r="Q91" s="836"/>
      <c r="R91" s="309"/>
      <c r="S91" s="309"/>
      <c r="T91" s="309"/>
      <c r="U91" s="309"/>
      <c r="V91" s="311"/>
      <c r="W91" s="311"/>
      <c r="X91" s="311"/>
      <c r="Y91" s="311"/>
      <c r="Z91" s="311"/>
      <c r="AA91" s="311"/>
      <c r="AB91" s="311"/>
      <c r="AC91" s="311"/>
      <c r="AD91" s="311"/>
      <c r="AE91" s="311"/>
      <c r="AF91" s="311"/>
      <c r="AG91" s="311"/>
      <c r="AH91" s="311"/>
      <c r="AI91" s="311"/>
      <c r="AJ91" s="311"/>
      <c r="AK91" s="311"/>
      <c r="AL91" s="311"/>
      <c r="AM91" s="311"/>
    </row>
    <row r="92" spans="1:39" ht="15.75" customHeight="1">
      <c r="A92" s="382"/>
      <c r="B92" s="311"/>
      <c r="C92" s="1647"/>
      <c r="D92" s="2173"/>
      <c r="E92" s="1586"/>
      <c r="F92" s="2001"/>
      <c r="G92" s="1846"/>
      <c r="H92" s="1586"/>
      <c r="I92" s="1647"/>
      <c r="J92" s="2187"/>
      <c r="K92" s="1647"/>
      <c r="L92" s="1647"/>
      <c r="M92" s="836"/>
      <c r="N92" s="836"/>
      <c r="O92" s="836"/>
      <c r="P92" s="836"/>
      <c r="Q92" s="836"/>
      <c r="R92" s="309"/>
      <c r="S92" s="309"/>
      <c r="T92" s="309"/>
      <c r="U92" s="309"/>
      <c r="V92" s="311"/>
      <c r="W92" s="311"/>
      <c r="X92" s="311"/>
      <c r="Y92" s="311"/>
      <c r="Z92" s="311"/>
      <c r="AA92" s="311"/>
      <c r="AB92" s="311"/>
      <c r="AC92" s="311"/>
      <c r="AD92" s="311"/>
      <c r="AE92" s="311"/>
      <c r="AF92" s="311"/>
      <c r="AG92" s="311"/>
      <c r="AH92" s="311"/>
      <c r="AI92" s="311"/>
      <c r="AJ92" s="311"/>
      <c r="AK92" s="311"/>
      <c r="AL92" s="311"/>
      <c r="AM92" s="311"/>
    </row>
    <row r="93" spans="1:39" ht="15.75" customHeight="1">
      <c r="A93" s="382"/>
      <c r="B93" s="311"/>
      <c r="C93" s="1647"/>
      <c r="D93" s="2173"/>
      <c r="E93" s="1586"/>
      <c r="F93" s="137"/>
      <c r="G93" s="1846"/>
      <c r="H93" s="1586"/>
      <c r="I93" s="1647"/>
      <c r="J93" s="2187"/>
      <c r="K93" s="1647"/>
      <c r="L93" s="1647"/>
      <c r="M93" s="836"/>
      <c r="N93" s="836"/>
      <c r="O93" s="836"/>
      <c r="P93" s="836"/>
      <c r="Q93" s="836"/>
      <c r="R93" s="309"/>
      <c r="S93" s="309"/>
      <c r="T93" s="309"/>
      <c r="U93" s="309"/>
      <c r="V93" s="311"/>
      <c r="W93" s="311"/>
      <c r="X93" s="311"/>
      <c r="Y93" s="311"/>
      <c r="Z93" s="311"/>
      <c r="AA93" s="311"/>
      <c r="AB93" s="311"/>
      <c r="AC93" s="311"/>
      <c r="AD93" s="311"/>
      <c r="AE93" s="311"/>
      <c r="AF93" s="311"/>
      <c r="AG93" s="311"/>
      <c r="AH93" s="311"/>
      <c r="AI93" s="311"/>
      <c r="AJ93" s="311"/>
      <c r="AK93" s="311"/>
      <c r="AL93" s="311"/>
      <c r="AM93" s="311"/>
    </row>
    <row r="94" spans="1:39" ht="15.75" customHeight="1">
      <c r="A94" s="382"/>
      <c r="B94" s="311"/>
      <c r="C94" s="1647"/>
      <c r="D94" s="2173"/>
      <c r="E94" s="1586"/>
      <c r="F94" s="1948"/>
      <c r="G94" s="1846"/>
      <c r="H94" s="1586"/>
      <c r="I94" s="1647"/>
      <c r="J94" s="2187"/>
      <c r="K94" s="1647"/>
      <c r="L94" s="1647"/>
      <c r="M94" s="836"/>
      <c r="N94" s="836"/>
      <c r="O94" s="836"/>
      <c r="P94" s="836"/>
      <c r="Q94" s="836"/>
      <c r="R94" s="309"/>
      <c r="S94" s="309"/>
      <c r="T94" s="309"/>
      <c r="U94" s="309"/>
      <c r="V94" s="311"/>
      <c r="W94" s="311"/>
      <c r="X94" s="311"/>
      <c r="Y94" s="311"/>
      <c r="Z94" s="311"/>
      <c r="AA94" s="311"/>
      <c r="AB94" s="311"/>
      <c r="AC94" s="311"/>
      <c r="AD94" s="311"/>
      <c r="AE94" s="311"/>
      <c r="AF94" s="311"/>
      <c r="AG94" s="311"/>
      <c r="AH94" s="311"/>
      <c r="AI94" s="311"/>
      <c r="AJ94" s="311"/>
      <c r="AK94" s="311"/>
      <c r="AL94" s="311"/>
      <c r="AM94" s="311"/>
    </row>
    <row r="95" spans="1:39" ht="15.75" customHeight="1">
      <c r="A95" s="382"/>
      <c r="B95" s="311"/>
      <c r="C95" s="1647"/>
      <c r="D95" s="2173"/>
      <c r="E95" s="1586"/>
      <c r="F95" s="943"/>
      <c r="G95" s="1846"/>
      <c r="H95" s="1586"/>
      <c r="I95" s="1647"/>
      <c r="J95" s="2187"/>
      <c r="K95" s="1647"/>
      <c r="L95" s="1647"/>
      <c r="M95" s="836"/>
      <c r="N95" s="836"/>
      <c r="O95" s="836"/>
      <c r="P95" s="836"/>
      <c r="Q95" s="836"/>
      <c r="R95" s="309"/>
      <c r="S95" s="309"/>
      <c r="T95" s="309"/>
      <c r="U95" s="309"/>
      <c r="V95" s="311"/>
      <c r="W95" s="311"/>
      <c r="X95" s="311"/>
      <c r="Y95" s="311"/>
      <c r="Z95" s="311"/>
      <c r="AA95" s="311"/>
      <c r="AB95" s="311"/>
      <c r="AC95" s="311"/>
      <c r="AD95" s="311"/>
      <c r="AE95" s="311"/>
      <c r="AF95" s="311"/>
      <c r="AG95" s="311"/>
      <c r="AH95" s="311"/>
      <c r="AI95" s="311"/>
      <c r="AJ95" s="311"/>
      <c r="AK95" s="311"/>
      <c r="AL95" s="311"/>
      <c r="AM95" s="311"/>
    </row>
    <row r="96" spans="1:39" ht="15.75" customHeight="1">
      <c r="A96" s="382"/>
      <c r="B96" s="311"/>
      <c r="C96" s="1647"/>
      <c r="D96" s="2173"/>
      <c r="E96" s="1586"/>
      <c r="F96" s="965"/>
      <c r="G96" s="1846"/>
      <c r="H96" s="1586"/>
      <c r="I96" s="1647"/>
      <c r="J96" s="2187"/>
      <c r="K96" s="1647"/>
      <c r="L96" s="1647"/>
      <c r="M96" s="836"/>
      <c r="N96" s="836"/>
      <c r="O96" s="836"/>
      <c r="P96" s="836"/>
      <c r="Q96" s="836"/>
      <c r="R96" s="309"/>
      <c r="S96" s="309"/>
      <c r="T96" s="309"/>
      <c r="U96" s="309"/>
      <c r="V96" s="311"/>
      <c r="W96" s="311"/>
      <c r="X96" s="311"/>
      <c r="Y96" s="311"/>
      <c r="Z96" s="311"/>
      <c r="AA96" s="311"/>
      <c r="AB96" s="311"/>
      <c r="AC96" s="311"/>
      <c r="AD96" s="311"/>
      <c r="AE96" s="311"/>
      <c r="AF96" s="311"/>
      <c r="AG96" s="311"/>
      <c r="AH96" s="311"/>
      <c r="AI96" s="311"/>
      <c r="AJ96" s="311"/>
      <c r="AK96" s="311"/>
      <c r="AL96" s="311"/>
      <c r="AM96" s="311"/>
    </row>
    <row r="97" spans="1:39" ht="15.75" customHeight="1">
      <c r="A97" s="382"/>
      <c r="B97" s="311"/>
      <c r="C97" s="1647"/>
      <c r="D97" s="2173"/>
      <c r="E97" s="1586"/>
      <c r="F97" s="965"/>
      <c r="G97" s="1846"/>
      <c r="H97" s="1586"/>
      <c r="I97" s="1647"/>
      <c r="J97" s="2187"/>
      <c r="K97" s="1647"/>
      <c r="L97" s="1647"/>
      <c r="M97" s="836"/>
      <c r="N97" s="836"/>
      <c r="O97" s="836"/>
      <c r="P97" s="836"/>
      <c r="Q97" s="836"/>
      <c r="R97" s="309"/>
      <c r="S97" s="309"/>
      <c r="T97" s="309"/>
      <c r="U97" s="309"/>
      <c r="V97" s="311"/>
      <c r="W97" s="311"/>
      <c r="X97" s="311"/>
      <c r="Y97" s="311"/>
      <c r="Z97" s="311"/>
      <c r="AA97" s="311"/>
      <c r="AB97" s="311"/>
      <c r="AC97" s="311"/>
      <c r="AD97" s="311"/>
      <c r="AE97" s="311"/>
      <c r="AF97" s="311"/>
      <c r="AG97" s="311"/>
      <c r="AH97" s="311"/>
      <c r="AI97" s="311"/>
      <c r="AJ97" s="311"/>
      <c r="AK97" s="311"/>
      <c r="AL97" s="311"/>
      <c r="AM97" s="311"/>
    </row>
    <row r="98" spans="1:39" ht="15.75" customHeight="1">
      <c r="A98" s="382"/>
      <c r="B98" s="311"/>
      <c r="C98" s="1647"/>
      <c r="D98" s="2173"/>
      <c r="E98" s="1586"/>
      <c r="F98" s="624"/>
      <c r="G98" s="1846"/>
      <c r="H98" s="1586"/>
      <c r="I98" s="1647"/>
      <c r="J98" s="2187"/>
      <c r="K98" s="1647"/>
      <c r="L98" s="1647"/>
      <c r="M98" s="836"/>
      <c r="N98" s="836"/>
      <c r="O98" s="836"/>
      <c r="P98" s="836"/>
      <c r="Q98" s="836"/>
      <c r="R98" s="309"/>
      <c r="S98" s="309"/>
      <c r="T98" s="309"/>
      <c r="U98" s="309"/>
      <c r="V98" s="311"/>
      <c r="W98" s="311"/>
      <c r="X98" s="311"/>
      <c r="Y98" s="311"/>
      <c r="Z98" s="311"/>
      <c r="AA98" s="311"/>
      <c r="AB98" s="311"/>
      <c r="AC98" s="311"/>
      <c r="AD98" s="311"/>
      <c r="AE98" s="311"/>
      <c r="AF98" s="311"/>
      <c r="AG98" s="311"/>
      <c r="AH98" s="311"/>
      <c r="AI98" s="311"/>
      <c r="AJ98" s="311"/>
      <c r="AK98" s="311"/>
      <c r="AL98" s="311"/>
      <c r="AM98" s="311"/>
    </row>
    <row r="99" spans="1:39" ht="15.75" customHeight="1">
      <c r="A99" s="382"/>
      <c r="B99" s="311"/>
      <c r="C99" s="1647"/>
      <c r="D99" s="2173"/>
      <c r="E99" s="1586"/>
      <c r="F99" s="965"/>
      <c r="G99" s="1846"/>
      <c r="H99" s="1586"/>
      <c r="I99" s="1647"/>
      <c r="J99" s="2187"/>
      <c r="K99" s="1647"/>
      <c r="L99" s="1647"/>
      <c r="M99" s="836"/>
      <c r="N99" s="836"/>
      <c r="O99" s="836"/>
      <c r="P99" s="836"/>
      <c r="Q99" s="836"/>
      <c r="R99" s="309"/>
      <c r="S99" s="309"/>
      <c r="T99" s="309"/>
      <c r="U99" s="309"/>
      <c r="V99" s="311"/>
      <c r="W99" s="311"/>
      <c r="X99" s="311"/>
      <c r="Y99" s="311"/>
      <c r="Z99" s="311"/>
      <c r="AA99" s="311"/>
      <c r="AB99" s="311"/>
      <c r="AC99" s="311"/>
      <c r="AD99" s="311"/>
      <c r="AE99" s="311"/>
      <c r="AF99" s="311"/>
      <c r="AG99" s="311"/>
      <c r="AH99" s="311"/>
      <c r="AI99" s="311"/>
      <c r="AJ99" s="311"/>
      <c r="AK99" s="311"/>
      <c r="AL99" s="311"/>
      <c r="AM99" s="311"/>
    </row>
    <row r="100" spans="1:39" ht="15.75" customHeight="1">
      <c r="A100" s="382"/>
      <c r="B100" s="311"/>
      <c r="C100" s="1647"/>
      <c r="D100" s="2173"/>
      <c r="E100" s="1586"/>
      <c r="F100" s="137"/>
      <c r="G100" s="1846"/>
      <c r="H100" s="1586"/>
      <c r="I100" s="1647"/>
      <c r="J100" s="2187"/>
      <c r="K100" s="1647"/>
      <c r="L100" s="1647"/>
      <c r="M100" s="836"/>
      <c r="N100" s="836"/>
      <c r="O100" s="836"/>
      <c r="P100" s="836"/>
      <c r="Q100" s="836"/>
      <c r="R100" s="309"/>
      <c r="S100" s="309"/>
      <c r="T100" s="309"/>
      <c r="U100" s="309"/>
      <c r="V100" s="311"/>
      <c r="W100" s="311"/>
      <c r="X100" s="311"/>
      <c r="Y100" s="311"/>
      <c r="Z100" s="311"/>
      <c r="AA100" s="311"/>
      <c r="AB100" s="311"/>
      <c r="AC100" s="311"/>
      <c r="AD100" s="311"/>
      <c r="AE100" s="311"/>
      <c r="AF100" s="311"/>
      <c r="AG100" s="311"/>
      <c r="AH100" s="311"/>
      <c r="AI100" s="311"/>
      <c r="AJ100" s="311"/>
      <c r="AK100" s="311"/>
      <c r="AL100" s="311"/>
      <c r="AM100" s="311"/>
    </row>
    <row r="101" spans="1:39" ht="15.75" customHeight="1">
      <c r="A101" s="382"/>
      <c r="B101" s="311"/>
      <c r="C101" s="1647"/>
      <c r="D101" s="2173"/>
      <c r="E101" s="1586"/>
      <c r="F101" s="965"/>
      <c r="G101" s="1846"/>
      <c r="H101" s="1586"/>
      <c r="I101" s="1647"/>
      <c r="J101" s="2187"/>
      <c r="K101" s="1647"/>
      <c r="L101" s="1647"/>
      <c r="M101" s="836"/>
      <c r="N101" s="836"/>
      <c r="O101" s="836"/>
      <c r="P101" s="836"/>
      <c r="Q101" s="836"/>
      <c r="R101" s="309"/>
      <c r="S101" s="309"/>
      <c r="T101" s="309"/>
      <c r="U101" s="309"/>
      <c r="V101" s="311"/>
      <c r="W101" s="311"/>
      <c r="X101" s="311"/>
      <c r="Y101" s="311"/>
      <c r="Z101" s="311"/>
      <c r="AA101" s="311"/>
      <c r="AB101" s="311"/>
      <c r="AC101" s="311"/>
      <c r="AD101" s="311"/>
      <c r="AE101" s="311"/>
      <c r="AF101" s="311"/>
      <c r="AG101" s="311"/>
      <c r="AH101" s="311"/>
      <c r="AI101" s="311"/>
      <c r="AJ101" s="311"/>
      <c r="AK101" s="311"/>
      <c r="AL101" s="311"/>
      <c r="AM101" s="311"/>
    </row>
    <row r="102" spans="1:39" ht="15.75" customHeight="1">
      <c r="A102" s="382"/>
      <c r="B102" s="311"/>
      <c r="C102" s="1647"/>
      <c r="D102" s="2173"/>
      <c r="E102" s="1586"/>
      <c r="F102" s="965"/>
      <c r="G102" s="1846"/>
      <c r="H102" s="1586"/>
      <c r="I102" s="1647"/>
      <c r="J102" s="2187"/>
      <c r="K102" s="1647"/>
      <c r="L102" s="1647"/>
      <c r="M102" s="836"/>
      <c r="N102" s="836"/>
      <c r="O102" s="836"/>
      <c r="P102" s="836"/>
      <c r="Q102" s="836"/>
      <c r="R102" s="309"/>
      <c r="S102" s="309"/>
      <c r="T102" s="309"/>
      <c r="U102" s="309"/>
      <c r="V102" s="311"/>
      <c r="W102" s="311"/>
      <c r="X102" s="311"/>
      <c r="Y102" s="311"/>
      <c r="Z102" s="311"/>
      <c r="AA102" s="311"/>
      <c r="AB102" s="311"/>
      <c r="AC102" s="311"/>
      <c r="AD102" s="311"/>
      <c r="AE102" s="311"/>
      <c r="AF102" s="311"/>
      <c r="AG102" s="311"/>
      <c r="AH102" s="311"/>
      <c r="AI102" s="311"/>
      <c r="AJ102" s="311"/>
      <c r="AK102" s="311"/>
      <c r="AL102" s="311"/>
      <c r="AM102" s="311"/>
    </row>
    <row r="103" spans="1:39" ht="15.75" customHeight="1">
      <c r="A103" s="382"/>
      <c r="B103" s="311"/>
      <c r="C103" s="1647"/>
      <c r="D103" s="2173"/>
      <c r="E103" s="1586"/>
      <c r="F103" s="965"/>
      <c r="G103" s="1846"/>
      <c r="H103" s="1586"/>
      <c r="I103" s="1647"/>
      <c r="J103" s="2187"/>
      <c r="K103" s="1647"/>
      <c r="L103" s="1647"/>
      <c r="M103" s="836"/>
      <c r="N103" s="836"/>
      <c r="O103" s="836"/>
      <c r="P103" s="836"/>
      <c r="Q103" s="836"/>
      <c r="R103" s="309"/>
      <c r="S103" s="309"/>
      <c r="T103" s="309"/>
      <c r="U103" s="309"/>
      <c r="V103" s="311"/>
      <c r="W103" s="311"/>
      <c r="X103" s="311"/>
      <c r="Y103" s="311"/>
      <c r="Z103" s="311"/>
      <c r="AA103" s="311"/>
      <c r="AB103" s="311"/>
      <c r="AC103" s="311"/>
      <c r="AD103" s="311"/>
      <c r="AE103" s="311"/>
      <c r="AF103" s="311"/>
      <c r="AG103" s="311"/>
      <c r="AH103" s="311"/>
      <c r="AI103" s="311"/>
      <c r="AJ103" s="311"/>
      <c r="AK103" s="311"/>
      <c r="AL103" s="311"/>
      <c r="AM103" s="311"/>
    </row>
    <row r="104" spans="1:39" ht="15.75" customHeight="1">
      <c r="A104" s="382"/>
      <c r="B104" s="311"/>
      <c r="C104" s="1647"/>
      <c r="D104" s="2173"/>
      <c r="E104" s="1586"/>
      <c r="F104" s="943"/>
      <c r="G104" s="1846"/>
      <c r="H104" s="1586"/>
      <c r="I104" s="1647"/>
      <c r="J104" s="2187"/>
      <c r="K104" s="1647"/>
      <c r="L104" s="1647"/>
      <c r="M104" s="836"/>
      <c r="N104" s="836"/>
      <c r="O104" s="836"/>
      <c r="P104" s="836"/>
      <c r="Q104" s="836"/>
      <c r="R104" s="309"/>
      <c r="S104" s="309"/>
      <c r="T104" s="309"/>
      <c r="U104" s="309"/>
      <c r="V104" s="311"/>
      <c r="W104" s="311"/>
      <c r="X104" s="311"/>
      <c r="Y104" s="311"/>
      <c r="Z104" s="311"/>
      <c r="AA104" s="311"/>
      <c r="AB104" s="311"/>
      <c r="AC104" s="311"/>
      <c r="AD104" s="311"/>
      <c r="AE104" s="311"/>
      <c r="AF104" s="311"/>
      <c r="AG104" s="311"/>
      <c r="AH104" s="311"/>
      <c r="AI104" s="311"/>
      <c r="AJ104" s="311"/>
      <c r="AK104" s="311"/>
      <c r="AL104" s="311"/>
      <c r="AM104" s="311"/>
    </row>
    <row r="105" spans="1:39" ht="15.75" customHeight="1">
      <c r="A105" s="382"/>
      <c r="B105" s="311"/>
      <c r="C105" s="1647"/>
      <c r="D105" s="2173"/>
      <c r="E105" s="1586"/>
      <c r="F105" s="137"/>
      <c r="G105" s="1846"/>
      <c r="H105" s="1586"/>
      <c r="I105" s="1647"/>
      <c r="J105" s="2187"/>
      <c r="K105" s="1647"/>
      <c r="L105" s="1647"/>
      <c r="M105" s="836"/>
      <c r="N105" s="836"/>
      <c r="O105" s="836"/>
      <c r="P105" s="836"/>
      <c r="Q105" s="836"/>
      <c r="R105" s="309"/>
      <c r="S105" s="309"/>
      <c r="T105" s="309"/>
      <c r="U105" s="309"/>
      <c r="V105" s="311"/>
      <c r="W105" s="311"/>
      <c r="X105" s="311"/>
      <c r="Y105" s="311"/>
      <c r="Z105" s="311"/>
      <c r="AA105" s="311"/>
      <c r="AB105" s="311"/>
      <c r="AC105" s="311"/>
      <c r="AD105" s="311"/>
      <c r="AE105" s="311"/>
      <c r="AF105" s="311"/>
      <c r="AG105" s="311"/>
      <c r="AH105" s="311"/>
      <c r="AI105" s="311"/>
      <c r="AJ105" s="311"/>
      <c r="AK105" s="311"/>
      <c r="AL105" s="311"/>
      <c r="AM105" s="311"/>
    </row>
    <row r="106" spans="1:39" ht="15.75" customHeight="1">
      <c r="A106" s="382"/>
      <c r="B106" s="311"/>
      <c r="C106" s="1647"/>
      <c r="D106" s="2173"/>
      <c r="E106" s="1586"/>
      <c r="F106" s="943"/>
      <c r="G106" s="1846"/>
      <c r="H106" s="1586"/>
      <c r="I106" s="1647"/>
      <c r="J106" s="2187"/>
      <c r="K106" s="1647"/>
      <c r="L106" s="1647"/>
      <c r="M106" s="836"/>
      <c r="N106" s="836"/>
      <c r="O106" s="836"/>
      <c r="P106" s="836"/>
      <c r="Q106" s="836"/>
      <c r="R106" s="309"/>
      <c r="S106" s="309"/>
      <c r="T106" s="309"/>
      <c r="U106" s="309"/>
      <c r="V106" s="311"/>
      <c r="W106" s="311"/>
      <c r="X106" s="311"/>
      <c r="Y106" s="311"/>
      <c r="Z106" s="311"/>
      <c r="AA106" s="311"/>
      <c r="AB106" s="311"/>
      <c r="AC106" s="311"/>
      <c r="AD106" s="311"/>
      <c r="AE106" s="311"/>
      <c r="AF106" s="311"/>
      <c r="AG106" s="311"/>
      <c r="AH106" s="311"/>
      <c r="AI106" s="311"/>
      <c r="AJ106" s="311"/>
      <c r="AK106" s="311"/>
      <c r="AL106" s="311"/>
      <c r="AM106" s="311"/>
    </row>
    <row r="107" spans="1:39" ht="15.75" customHeight="1">
      <c r="A107" s="382"/>
      <c r="B107" s="311"/>
      <c r="C107" s="1647"/>
      <c r="D107" s="2173"/>
      <c r="E107" s="1586"/>
      <c r="F107" s="137"/>
      <c r="G107" s="1846"/>
      <c r="H107" s="1586"/>
      <c r="I107" s="1647"/>
      <c r="J107" s="2187"/>
      <c r="K107" s="1647"/>
      <c r="L107" s="1647"/>
      <c r="M107" s="836"/>
      <c r="N107" s="836"/>
      <c r="O107" s="836"/>
      <c r="P107" s="836"/>
      <c r="Q107" s="836"/>
      <c r="R107" s="309"/>
      <c r="S107" s="309"/>
      <c r="T107" s="309"/>
      <c r="U107" s="309"/>
      <c r="V107" s="311"/>
      <c r="W107" s="311"/>
      <c r="X107" s="311"/>
      <c r="Y107" s="311"/>
      <c r="Z107" s="311"/>
      <c r="AA107" s="311"/>
      <c r="AB107" s="311"/>
      <c r="AC107" s="311"/>
      <c r="AD107" s="311"/>
      <c r="AE107" s="311"/>
      <c r="AF107" s="311"/>
      <c r="AG107" s="311"/>
      <c r="AH107" s="311"/>
      <c r="AI107" s="311"/>
      <c r="AJ107" s="311"/>
      <c r="AK107" s="311"/>
      <c r="AL107" s="311"/>
      <c r="AM107" s="311"/>
    </row>
    <row r="108" spans="1:39" ht="15.75" customHeight="1">
      <c r="A108" s="382"/>
      <c r="B108" s="311"/>
      <c r="C108" s="1647"/>
      <c r="D108" s="2173"/>
      <c r="E108" s="1586"/>
      <c r="F108" s="137"/>
      <c r="G108" s="1846"/>
      <c r="H108" s="1586"/>
      <c r="I108" s="1647"/>
      <c r="J108" s="2187"/>
      <c r="K108" s="1647"/>
      <c r="L108" s="1647"/>
      <c r="M108" s="836"/>
      <c r="N108" s="836"/>
      <c r="O108" s="836"/>
      <c r="P108" s="836"/>
      <c r="Q108" s="836"/>
      <c r="R108" s="309"/>
      <c r="S108" s="309"/>
      <c r="T108" s="309"/>
      <c r="U108" s="309"/>
      <c r="V108" s="311"/>
      <c r="W108" s="311"/>
      <c r="X108" s="311"/>
      <c r="Y108" s="311"/>
      <c r="Z108" s="311"/>
      <c r="AA108" s="311"/>
      <c r="AB108" s="311"/>
      <c r="AC108" s="311"/>
      <c r="AD108" s="311"/>
      <c r="AE108" s="311"/>
      <c r="AF108" s="311"/>
      <c r="AG108" s="311"/>
      <c r="AH108" s="311"/>
      <c r="AI108" s="311"/>
      <c r="AJ108" s="311"/>
      <c r="AK108" s="311"/>
      <c r="AL108" s="311"/>
      <c r="AM108" s="311"/>
    </row>
    <row r="109" spans="1:39" ht="15.75" customHeight="1">
      <c r="A109" s="382"/>
      <c r="B109" s="311"/>
      <c r="C109" s="1647"/>
      <c r="D109" s="2173"/>
      <c r="E109" s="1586"/>
      <c r="F109" s="965"/>
      <c r="G109" s="1846"/>
      <c r="H109" s="1586"/>
      <c r="I109" s="1647"/>
      <c r="J109" s="2187"/>
      <c r="K109" s="1647"/>
      <c r="L109" s="1647"/>
      <c r="M109" s="836"/>
      <c r="N109" s="836"/>
      <c r="O109" s="836"/>
      <c r="P109" s="836"/>
      <c r="Q109" s="836"/>
      <c r="R109" s="309"/>
      <c r="S109" s="309"/>
      <c r="T109" s="309"/>
      <c r="U109" s="309"/>
      <c r="V109" s="311"/>
      <c r="W109" s="311"/>
      <c r="X109" s="311"/>
      <c r="Y109" s="311"/>
      <c r="Z109" s="311"/>
      <c r="AA109" s="311"/>
      <c r="AB109" s="311"/>
      <c r="AC109" s="311"/>
      <c r="AD109" s="311"/>
      <c r="AE109" s="311"/>
      <c r="AF109" s="311"/>
      <c r="AG109" s="311"/>
      <c r="AH109" s="311"/>
      <c r="AI109" s="311"/>
      <c r="AJ109" s="311"/>
      <c r="AK109" s="311"/>
      <c r="AL109" s="311"/>
      <c r="AM109" s="311"/>
    </row>
    <row r="110" spans="1:39" ht="15.75" customHeight="1">
      <c r="A110" s="382"/>
      <c r="B110" s="311"/>
      <c r="C110" s="1647"/>
      <c r="D110" s="2173"/>
      <c r="E110" s="1586"/>
      <c r="F110" s="965"/>
      <c r="G110" s="1846"/>
      <c r="H110" s="1586"/>
      <c r="I110" s="1647"/>
      <c r="J110" s="2187"/>
      <c r="K110" s="1647"/>
      <c r="L110" s="1647"/>
      <c r="M110" s="836"/>
      <c r="N110" s="836"/>
      <c r="O110" s="836"/>
      <c r="P110" s="836"/>
      <c r="Q110" s="836"/>
      <c r="R110" s="309"/>
      <c r="S110" s="309"/>
      <c r="T110" s="309"/>
      <c r="U110" s="309"/>
      <c r="V110" s="311"/>
      <c r="W110" s="311"/>
      <c r="X110" s="311"/>
      <c r="Y110" s="311"/>
      <c r="Z110" s="311"/>
      <c r="AA110" s="311"/>
      <c r="AB110" s="311"/>
      <c r="AC110" s="311"/>
      <c r="AD110" s="311"/>
      <c r="AE110" s="311"/>
      <c r="AF110" s="311"/>
      <c r="AG110" s="311"/>
      <c r="AH110" s="311"/>
      <c r="AI110" s="311"/>
      <c r="AJ110" s="311"/>
      <c r="AK110" s="311"/>
      <c r="AL110" s="311"/>
      <c r="AM110" s="311"/>
    </row>
    <row r="111" spans="1:39" ht="15.75" customHeight="1">
      <c r="A111" s="382"/>
      <c r="B111" s="311"/>
      <c r="C111" s="1647"/>
      <c r="D111" s="2173"/>
      <c r="E111" s="1586"/>
      <c r="F111" s="197"/>
      <c r="G111" s="1846"/>
      <c r="H111" s="1586"/>
      <c r="I111" s="1647"/>
      <c r="J111" s="2187"/>
      <c r="K111" s="1647"/>
      <c r="L111" s="1647"/>
      <c r="M111" s="836"/>
      <c r="N111" s="836"/>
      <c r="O111" s="836"/>
      <c r="P111" s="836"/>
      <c r="Q111" s="836"/>
      <c r="R111" s="309"/>
      <c r="S111" s="309"/>
      <c r="T111" s="309"/>
      <c r="U111" s="309"/>
      <c r="V111" s="311"/>
      <c r="W111" s="311"/>
      <c r="X111" s="311"/>
      <c r="Y111" s="311"/>
      <c r="Z111" s="311"/>
      <c r="AA111" s="311"/>
      <c r="AB111" s="311"/>
      <c r="AC111" s="311"/>
      <c r="AD111" s="311"/>
      <c r="AE111" s="311"/>
      <c r="AF111" s="311"/>
      <c r="AG111" s="311"/>
      <c r="AH111" s="311"/>
      <c r="AI111" s="311"/>
      <c r="AJ111" s="311"/>
      <c r="AK111" s="311"/>
      <c r="AL111" s="311"/>
      <c r="AM111" s="311"/>
    </row>
    <row r="112" spans="1:39" ht="15.75" customHeight="1">
      <c r="A112" s="382"/>
      <c r="B112" s="311"/>
      <c r="C112" s="1647"/>
      <c r="D112" s="2173"/>
      <c r="E112" s="1586"/>
      <c r="F112" s="18"/>
      <c r="G112" s="1846"/>
      <c r="H112" s="1586"/>
      <c r="I112" s="1647"/>
      <c r="J112" s="2187"/>
      <c r="K112" s="1647"/>
      <c r="L112" s="1647"/>
      <c r="M112" s="836"/>
      <c r="N112" s="836"/>
      <c r="O112" s="836"/>
      <c r="P112" s="836"/>
      <c r="Q112" s="836"/>
      <c r="R112" s="309"/>
      <c r="S112" s="309"/>
      <c r="T112" s="309"/>
      <c r="U112" s="309"/>
      <c r="V112" s="311"/>
      <c r="W112" s="311"/>
      <c r="X112" s="311"/>
      <c r="Y112" s="311"/>
      <c r="Z112" s="311"/>
      <c r="AA112" s="311"/>
      <c r="AB112" s="311"/>
      <c r="AC112" s="311"/>
      <c r="AD112" s="311"/>
      <c r="AE112" s="311"/>
      <c r="AF112" s="311"/>
      <c r="AG112" s="311"/>
      <c r="AH112" s="311"/>
      <c r="AI112" s="311"/>
      <c r="AJ112" s="311"/>
      <c r="AK112" s="311"/>
      <c r="AL112" s="311"/>
      <c r="AM112" s="311"/>
    </row>
    <row r="113" spans="1:39" ht="15.75" customHeight="1">
      <c r="A113" s="382"/>
      <c r="B113" s="311"/>
      <c r="C113" s="1647"/>
      <c r="D113" s="2173"/>
      <c r="E113" s="1586"/>
      <c r="F113" s="965"/>
      <c r="G113" s="1846"/>
      <c r="H113" s="1586"/>
      <c r="I113" s="1647"/>
      <c r="J113" s="2187"/>
      <c r="K113" s="1647"/>
      <c r="L113" s="1647"/>
      <c r="M113" s="836"/>
      <c r="N113" s="836"/>
      <c r="O113" s="836"/>
      <c r="P113" s="836"/>
      <c r="Q113" s="836"/>
      <c r="R113" s="309"/>
      <c r="S113" s="309"/>
      <c r="T113" s="309"/>
      <c r="U113" s="309"/>
      <c r="V113" s="311"/>
      <c r="W113" s="311"/>
      <c r="X113" s="311"/>
      <c r="Y113" s="311"/>
      <c r="Z113" s="311"/>
      <c r="AA113" s="311"/>
      <c r="AB113" s="311"/>
      <c r="AC113" s="311"/>
      <c r="AD113" s="311"/>
      <c r="AE113" s="311"/>
      <c r="AF113" s="311"/>
      <c r="AG113" s="311"/>
      <c r="AH113" s="311"/>
      <c r="AI113" s="311"/>
      <c r="AJ113" s="311"/>
      <c r="AK113" s="311"/>
      <c r="AL113" s="311"/>
      <c r="AM113" s="311"/>
    </row>
    <row r="114" spans="1:39" ht="15.75" customHeight="1">
      <c r="A114" s="382"/>
      <c r="B114" s="311"/>
      <c r="C114" s="1647"/>
      <c r="D114" s="2173"/>
      <c r="E114" s="1586"/>
      <c r="F114" s="965"/>
      <c r="G114" s="1846"/>
      <c r="H114" s="1586"/>
      <c r="I114" s="1647"/>
      <c r="J114" s="2187"/>
      <c r="K114" s="1647"/>
      <c r="L114" s="1647"/>
      <c r="M114" s="836"/>
      <c r="N114" s="836"/>
      <c r="O114" s="836"/>
      <c r="P114" s="836"/>
      <c r="Q114" s="836"/>
      <c r="R114" s="309"/>
      <c r="S114" s="309"/>
      <c r="T114" s="309"/>
      <c r="U114" s="309"/>
      <c r="V114" s="311"/>
      <c r="W114" s="311"/>
      <c r="X114" s="311"/>
      <c r="Y114" s="311"/>
      <c r="Z114" s="311"/>
      <c r="AA114" s="311"/>
      <c r="AB114" s="311"/>
      <c r="AC114" s="311"/>
      <c r="AD114" s="311"/>
      <c r="AE114" s="311"/>
      <c r="AF114" s="311"/>
      <c r="AG114" s="311"/>
      <c r="AH114" s="311"/>
      <c r="AI114" s="311"/>
      <c r="AJ114" s="311"/>
      <c r="AK114" s="311"/>
      <c r="AL114" s="311"/>
      <c r="AM114" s="311"/>
    </row>
    <row r="115" spans="1:39" ht="15.75" customHeight="1">
      <c r="A115" s="382"/>
      <c r="B115" s="311"/>
      <c r="C115" s="1647"/>
      <c r="D115" s="2173"/>
      <c r="E115" s="1586"/>
      <c r="F115" s="137"/>
      <c r="G115" s="1846"/>
      <c r="H115" s="1586"/>
      <c r="I115" s="1647"/>
      <c r="J115" s="2187"/>
      <c r="K115" s="1647"/>
      <c r="L115" s="1647"/>
      <c r="M115" s="836"/>
      <c r="N115" s="836"/>
      <c r="O115" s="836"/>
      <c r="P115" s="836"/>
      <c r="Q115" s="836"/>
      <c r="R115" s="309"/>
      <c r="S115" s="309"/>
      <c r="T115" s="309"/>
      <c r="U115" s="309"/>
      <c r="V115" s="311"/>
      <c r="W115" s="311"/>
      <c r="X115" s="311"/>
      <c r="Y115" s="311"/>
      <c r="Z115" s="311"/>
      <c r="AA115" s="311"/>
      <c r="AB115" s="311"/>
      <c r="AC115" s="311"/>
      <c r="AD115" s="311"/>
      <c r="AE115" s="311"/>
      <c r="AF115" s="311"/>
      <c r="AG115" s="311"/>
      <c r="AH115" s="311"/>
      <c r="AI115" s="311"/>
      <c r="AJ115" s="311"/>
      <c r="AK115" s="311"/>
      <c r="AL115" s="311"/>
      <c r="AM115" s="311"/>
    </row>
    <row r="116" spans="1:39" ht="15.75" customHeight="1">
      <c r="A116" s="382"/>
      <c r="B116" s="311"/>
      <c r="C116" s="1647"/>
      <c r="D116" s="2173"/>
      <c r="E116" s="1586"/>
      <c r="F116" s="137"/>
      <c r="G116" s="1846"/>
      <c r="H116" s="1586"/>
      <c r="I116" s="1647"/>
      <c r="J116" s="2187"/>
      <c r="K116" s="1647"/>
      <c r="L116" s="1647"/>
      <c r="M116" s="836"/>
      <c r="N116" s="836"/>
      <c r="O116" s="836"/>
      <c r="P116" s="836"/>
      <c r="Q116" s="836"/>
      <c r="R116" s="309"/>
      <c r="S116" s="309"/>
      <c r="T116" s="309"/>
      <c r="U116" s="309"/>
      <c r="V116" s="311"/>
      <c r="W116" s="311"/>
      <c r="X116" s="311"/>
      <c r="Y116" s="311"/>
      <c r="Z116" s="311"/>
      <c r="AA116" s="311"/>
      <c r="AB116" s="311"/>
      <c r="AC116" s="311"/>
      <c r="AD116" s="311"/>
      <c r="AE116" s="311"/>
      <c r="AF116" s="311"/>
      <c r="AG116" s="311"/>
      <c r="AH116" s="311"/>
      <c r="AI116" s="311"/>
      <c r="AJ116" s="311"/>
      <c r="AK116" s="311"/>
      <c r="AL116" s="311"/>
      <c r="AM116" s="311"/>
    </row>
    <row r="117" spans="1:39" ht="15.75" customHeight="1">
      <c r="A117" s="382"/>
      <c r="B117" s="311"/>
      <c r="C117" s="1647"/>
      <c r="D117" s="2173"/>
      <c r="E117" s="1586"/>
      <c r="F117" s="137"/>
      <c r="G117" s="1846"/>
      <c r="H117" s="1586"/>
      <c r="I117" s="1647"/>
      <c r="J117" s="2187"/>
      <c r="K117" s="1647"/>
      <c r="L117" s="1647"/>
      <c r="M117" s="836"/>
      <c r="N117" s="836"/>
      <c r="O117" s="836"/>
      <c r="P117" s="836"/>
      <c r="Q117" s="836"/>
      <c r="R117" s="309"/>
      <c r="S117" s="309"/>
      <c r="T117" s="309"/>
      <c r="U117" s="309"/>
      <c r="V117" s="311"/>
      <c r="W117" s="311"/>
      <c r="X117" s="311"/>
      <c r="Y117" s="311"/>
      <c r="Z117" s="311"/>
      <c r="AA117" s="311"/>
      <c r="AB117" s="311"/>
      <c r="AC117" s="311"/>
      <c r="AD117" s="311"/>
      <c r="AE117" s="311"/>
      <c r="AF117" s="311"/>
      <c r="AG117" s="311"/>
      <c r="AH117" s="311"/>
      <c r="AI117" s="311"/>
      <c r="AJ117" s="311"/>
      <c r="AK117" s="311"/>
      <c r="AL117" s="311"/>
      <c r="AM117" s="311"/>
    </row>
    <row r="118" spans="1:39" ht="15.75" customHeight="1">
      <c r="A118" s="382"/>
      <c r="B118" s="311"/>
      <c r="C118" s="1647"/>
      <c r="D118" s="2173"/>
      <c r="E118" s="1586"/>
      <c r="F118" s="965"/>
      <c r="G118" s="1846"/>
      <c r="H118" s="1586"/>
      <c r="I118" s="1647"/>
      <c r="J118" s="2187"/>
      <c r="K118" s="1647"/>
      <c r="L118" s="1647"/>
      <c r="M118" s="836"/>
      <c r="N118" s="836"/>
      <c r="O118" s="836"/>
      <c r="P118" s="836"/>
      <c r="Q118" s="836"/>
      <c r="R118" s="309"/>
      <c r="S118" s="309"/>
      <c r="T118" s="309"/>
      <c r="U118" s="309"/>
      <c r="V118" s="311"/>
      <c r="W118" s="311"/>
      <c r="X118" s="311"/>
      <c r="Y118" s="311"/>
      <c r="Z118" s="311"/>
      <c r="AA118" s="311"/>
      <c r="AB118" s="311"/>
      <c r="AC118" s="311"/>
      <c r="AD118" s="311"/>
      <c r="AE118" s="311"/>
      <c r="AF118" s="311"/>
      <c r="AG118" s="311"/>
      <c r="AH118" s="311"/>
      <c r="AI118" s="311"/>
      <c r="AJ118" s="311"/>
      <c r="AK118" s="311"/>
      <c r="AL118" s="311"/>
      <c r="AM118" s="311"/>
    </row>
    <row r="119" spans="1:39" ht="15.75" customHeight="1">
      <c r="A119" s="382"/>
      <c r="B119" s="311"/>
      <c r="C119" s="1647"/>
      <c r="D119" s="2173"/>
      <c r="E119" s="1586"/>
      <c r="F119" s="965"/>
      <c r="G119" s="1846"/>
      <c r="H119" s="1586"/>
      <c r="I119" s="1647"/>
      <c r="J119" s="2187"/>
      <c r="K119" s="1647"/>
      <c r="L119" s="1647"/>
      <c r="M119" s="836"/>
      <c r="N119" s="836"/>
      <c r="O119" s="836"/>
      <c r="P119" s="836"/>
      <c r="Q119" s="836"/>
      <c r="R119" s="309"/>
      <c r="S119" s="309"/>
      <c r="T119" s="309"/>
      <c r="U119" s="309"/>
      <c r="V119" s="311"/>
      <c r="W119" s="311"/>
      <c r="X119" s="311"/>
      <c r="Y119" s="311"/>
      <c r="Z119" s="311"/>
      <c r="AA119" s="311"/>
      <c r="AB119" s="311"/>
      <c r="AC119" s="311"/>
      <c r="AD119" s="311"/>
      <c r="AE119" s="311"/>
      <c r="AF119" s="311"/>
      <c r="AG119" s="311"/>
      <c r="AH119" s="311"/>
      <c r="AI119" s="311"/>
      <c r="AJ119" s="311"/>
      <c r="AK119" s="311"/>
      <c r="AL119" s="311"/>
      <c r="AM119" s="311"/>
    </row>
    <row r="120" spans="1:39" ht="15.75" customHeight="1">
      <c r="A120" s="382"/>
      <c r="B120" s="311"/>
      <c r="C120" s="1647"/>
      <c r="D120" s="2173"/>
      <c r="E120" s="1586"/>
      <c r="F120" s="137"/>
      <c r="G120" s="1846"/>
      <c r="H120" s="1586"/>
      <c r="I120" s="1647"/>
      <c r="J120" s="2187"/>
      <c r="K120" s="1647"/>
      <c r="L120" s="1647"/>
      <c r="M120" s="836"/>
      <c r="N120" s="836"/>
      <c r="O120" s="836"/>
      <c r="P120" s="836"/>
      <c r="Q120" s="836"/>
      <c r="R120" s="309"/>
      <c r="S120" s="309"/>
      <c r="T120" s="309"/>
      <c r="U120" s="309"/>
      <c r="V120" s="311"/>
      <c r="W120" s="311"/>
      <c r="X120" s="311"/>
      <c r="Y120" s="311"/>
      <c r="Z120" s="311"/>
      <c r="AA120" s="311"/>
      <c r="AB120" s="311"/>
      <c r="AC120" s="311"/>
      <c r="AD120" s="311"/>
      <c r="AE120" s="311"/>
      <c r="AF120" s="311"/>
      <c r="AG120" s="311"/>
      <c r="AH120" s="311"/>
      <c r="AI120" s="311"/>
      <c r="AJ120" s="311"/>
      <c r="AK120" s="311"/>
      <c r="AL120" s="311"/>
      <c r="AM120" s="311"/>
    </row>
    <row r="121" spans="1:39" ht="15.75" customHeight="1">
      <c r="A121" s="382"/>
      <c r="B121" s="311"/>
      <c r="C121" s="1647"/>
      <c r="D121" s="2173"/>
      <c r="E121" s="1586"/>
      <c r="F121" s="965"/>
      <c r="G121" s="1846"/>
      <c r="H121" s="1586"/>
      <c r="I121" s="1647"/>
      <c r="J121" s="2187"/>
      <c r="K121" s="1647"/>
      <c r="L121" s="1647"/>
      <c r="M121" s="836"/>
      <c r="N121" s="836"/>
      <c r="O121" s="836"/>
      <c r="P121" s="836"/>
      <c r="Q121" s="836"/>
      <c r="R121" s="309"/>
      <c r="S121" s="309"/>
      <c r="T121" s="309"/>
      <c r="U121" s="309"/>
      <c r="V121" s="311"/>
      <c r="W121" s="311"/>
      <c r="X121" s="311"/>
      <c r="Y121" s="311"/>
      <c r="Z121" s="311"/>
      <c r="AA121" s="311"/>
      <c r="AB121" s="311"/>
      <c r="AC121" s="311"/>
      <c r="AD121" s="311"/>
      <c r="AE121" s="311"/>
      <c r="AF121" s="311"/>
      <c r="AG121" s="311"/>
      <c r="AH121" s="311"/>
      <c r="AI121" s="311"/>
      <c r="AJ121" s="311"/>
      <c r="AK121" s="311"/>
      <c r="AL121" s="311"/>
      <c r="AM121" s="311"/>
    </row>
    <row r="122" spans="1:39" ht="15.75" customHeight="1">
      <c r="A122" s="382"/>
      <c r="B122" s="311"/>
      <c r="C122" s="1647"/>
      <c r="D122" s="2173"/>
      <c r="E122" s="1586"/>
      <c r="F122" s="137"/>
      <c r="G122" s="1846"/>
      <c r="H122" s="1586"/>
      <c r="I122" s="1647"/>
      <c r="J122" s="2187"/>
      <c r="K122" s="1647"/>
      <c r="L122" s="1647"/>
      <c r="M122" s="836"/>
      <c r="N122" s="836"/>
      <c r="O122" s="836"/>
      <c r="P122" s="836"/>
      <c r="Q122" s="836"/>
      <c r="R122" s="309"/>
      <c r="S122" s="309"/>
      <c r="T122" s="309"/>
      <c r="U122" s="309"/>
      <c r="V122" s="311"/>
      <c r="W122" s="311"/>
      <c r="X122" s="311"/>
      <c r="Y122" s="311"/>
      <c r="Z122" s="311"/>
      <c r="AA122" s="311"/>
      <c r="AB122" s="311"/>
      <c r="AC122" s="311"/>
      <c r="AD122" s="311"/>
      <c r="AE122" s="311"/>
      <c r="AF122" s="311"/>
      <c r="AG122" s="311"/>
      <c r="AH122" s="311"/>
      <c r="AI122" s="311"/>
      <c r="AJ122" s="311"/>
      <c r="AK122" s="311"/>
      <c r="AL122" s="311"/>
      <c r="AM122" s="311"/>
    </row>
    <row r="123" spans="1:39" ht="15.75" customHeight="1">
      <c r="A123" s="382"/>
      <c r="B123" s="311"/>
      <c r="C123" s="1647"/>
      <c r="D123" s="2173"/>
      <c r="E123" s="1586"/>
      <c r="F123" s="965"/>
      <c r="G123" s="1846"/>
      <c r="H123" s="1586"/>
      <c r="I123" s="1647"/>
      <c r="J123" s="2187"/>
      <c r="K123" s="1647"/>
      <c r="L123" s="1647"/>
      <c r="M123" s="836"/>
      <c r="N123" s="836"/>
      <c r="O123" s="836"/>
      <c r="P123" s="836"/>
      <c r="Q123" s="836"/>
      <c r="R123" s="309"/>
      <c r="S123" s="309"/>
      <c r="T123" s="309"/>
      <c r="U123" s="309"/>
      <c r="V123" s="311"/>
      <c r="W123" s="311"/>
      <c r="X123" s="311"/>
      <c r="Y123" s="311"/>
      <c r="Z123" s="311"/>
      <c r="AA123" s="31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1"/>
      <c r="AM123" s="311"/>
    </row>
    <row r="124" spans="1:39" ht="15.75" customHeight="1">
      <c r="A124" s="382"/>
      <c r="B124" s="311"/>
      <c r="C124" s="1647"/>
      <c r="D124" s="2173"/>
      <c r="E124" s="1586"/>
      <c r="F124" s="965"/>
      <c r="G124" s="1846"/>
      <c r="H124" s="1586"/>
      <c r="I124" s="1647"/>
      <c r="J124" s="2187"/>
      <c r="K124" s="1647"/>
      <c r="L124" s="1647"/>
      <c r="M124" s="836"/>
      <c r="N124" s="836"/>
      <c r="O124" s="836"/>
      <c r="P124" s="836"/>
      <c r="Q124" s="836"/>
      <c r="R124" s="309"/>
      <c r="S124" s="309"/>
      <c r="T124" s="309"/>
      <c r="U124" s="309"/>
      <c r="V124" s="311"/>
      <c r="W124" s="311"/>
      <c r="X124" s="311"/>
      <c r="Y124" s="311"/>
      <c r="Z124" s="311"/>
      <c r="AA124" s="311"/>
      <c r="AB124" s="311"/>
      <c r="AC124" s="311"/>
      <c r="AD124" s="311"/>
      <c r="AE124" s="311"/>
      <c r="AF124" s="311"/>
      <c r="AG124" s="311"/>
      <c r="AH124" s="311"/>
      <c r="AI124" s="311"/>
      <c r="AJ124" s="311"/>
      <c r="AK124" s="311"/>
      <c r="AL124" s="311"/>
      <c r="AM124" s="311"/>
    </row>
    <row r="125" spans="1:39" ht="15.75" customHeight="1">
      <c r="A125" s="382"/>
      <c r="B125" s="311"/>
      <c r="C125" s="1647"/>
      <c r="D125" s="2173"/>
      <c r="E125" s="1586"/>
      <c r="F125" s="1065"/>
      <c r="G125" s="1846"/>
      <c r="H125" s="1586"/>
      <c r="I125" s="1647"/>
      <c r="J125" s="2187"/>
      <c r="K125" s="1647"/>
      <c r="L125" s="1647"/>
      <c r="M125" s="836"/>
      <c r="N125" s="836"/>
      <c r="O125" s="836"/>
      <c r="P125" s="836"/>
      <c r="Q125" s="836"/>
      <c r="R125" s="309"/>
      <c r="S125" s="309"/>
      <c r="T125" s="309"/>
      <c r="U125" s="309"/>
      <c r="V125" s="311"/>
      <c r="W125" s="311"/>
      <c r="X125" s="311"/>
      <c r="Y125" s="311"/>
      <c r="Z125" s="311"/>
      <c r="AA125" s="311"/>
      <c r="AB125" s="311"/>
      <c r="AC125" s="311"/>
      <c r="AD125" s="311"/>
      <c r="AE125" s="311"/>
      <c r="AF125" s="311"/>
      <c r="AG125" s="311"/>
      <c r="AH125" s="311"/>
      <c r="AI125" s="311"/>
      <c r="AJ125" s="311"/>
      <c r="AK125" s="311"/>
      <c r="AL125" s="311"/>
      <c r="AM125" s="311"/>
    </row>
    <row r="126" spans="1:39" ht="15.75" customHeight="1">
      <c r="A126" s="382"/>
      <c r="B126" s="311"/>
      <c r="C126" s="1647"/>
      <c r="D126" s="2173"/>
      <c r="E126" s="1586"/>
      <c r="F126" s="965"/>
      <c r="G126" s="1846"/>
      <c r="H126" s="1586"/>
      <c r="I126" s="1647"/>
      <c r="J126" s="2187"/>
      <c r="K126" s="1647"/>
      <c r="L126" s="1647"/>
      <c r="M126" s="836"/>
      <c r="N126" s="836"/>
      <c r="O126" s="836"/>
      <c r="P126" s="836"/>
      <c r="Q126" s="836"/>
      <c r="R126" s="309"/>
      <c r="S126" s="309"/>
      <c r="T126" s="309"/>
      <c r="U126" s="309"/>
      <c r="V126" s="311"/>
      <c r="W126" s="311"/>
      <c r="X126" s="311"/>
      <c r="Y126" s="311"/>
      <c r="Z126" s="311"/>
      <c r="AA126" s="311"/>
      <c r="AB126" s="311"/>
      <c r="AC126" s="311"/>
      <c r="AD126" s="311"/>
      <c r="AE126" s="311"/>
      <c r="AF126" s="311"/>
      <c r="AG126" s="311"/>
      <c r="AH126" s="311"/>
      <c r="AI126" s="311"/>
      <c r="AJ126" s="311"/>
      <c r="AK126" s="311"/>
      <c r="AL126" s="311"/>
      <c r="AM126" s="311"/>
    </row>
    <row r="127" spans="1:39" ht="15.75" customHeight="1">
      <c r="A127" s="382"/>
      <c r="B127" s="311"/>
      <c r="C127" s="1647"/>
      <c r="D127" s="2173"/>
      <c r="E127" s="1586"/>
      <c r="F127" s="965"/>
      <c r="G127" s="1846"/>
      <c r="H127" s="1586"/>
      <c r="I127" s="1647"/>
      <c r="J127" s="2187"/>
      <c r="K127" s="1647"/>
      <c r="L127" s="1647"/>
      <c r="M127" s="836"/>
      <c r="N127" s="836"/>
      <c r="O127" s="836"/>
      <c r="P127" s="836"/>
      <c r="Q127" s="836"/>
      <c r="R127" s="309"/>
      <c r="S127" s="309"/>
      <c r="T127" s="309"/>
      <c r="U127" s="309"/>
      <c r="V127" s="311"/>
      <c r="W127" s="311"/>
      <c r="X127" s="311"/>
      <c r="Y127" s="311"/>
      <c r="Z127" s="311"/>
      <c r="AA127" s="311"/>
      <c r="AB127" s="311"/>
      <c r="AC127" s="311"/>
      <c r="AD127" s="311"/>
      <c r="AE127" s="311"/>
      <c r="AF127" s="311"/>
      <c r="AG127" s="311"/>
      <c r="AH127" s="311"/>
      <c r="AI127" s="311"/>
      <c r="AJ127" s="311"/>
      <c r="AK127" s="311"/>
      <c r="AL127" s="311"/>
      <c r="AM127" s="311"/>
    </row>
    <row r="128" spans="1:39" ht="15.75" customHeight="1">
      <c r="A128" s="382"/>
      <c r="B128" s="311"/>
      <c r="C128" s="1647"/>
      <c r="D128" s="2173"/>
      <c r="E128" s="1586"/>
      <c r="F128" s="674"/>
      <c r="G128" s="1846"/>
      <c r="H128" s="1586"/>
      <c r="I128" s="1647"/>
      <c r="J128" s="2187"/>
      <c r="K128" s="1647"/>
      <c r="L128" s="1647"/>
      <c r="M128" s="836"/>
      <c r="N128" s="836"/>
      <c r="O128" s="836"/>
      <c r="P128" s="836"/>
      <c r="Q128" s="836"/>
      <c r="R128" s="309"/>
      <c r="S128" s="309"/>
      <c r="T128" s="309"/>
      <c r="U128" s="309"/>
      <c r="V128" s="311"/>
      <c r="W128" s="311"/>
      <c r="X128" s="311"/>
      <c r="Y128" s="311"/>
      <c r="Z128" s="311"/>
      <c r="AA128" s="311"/>
      <c r="AB128" s="311"/>
      <c r="AC128" s="311"/>
      <c r="AD128" s="311"/>
      <c r="AE128" s="311"/>
      <c r="AF128" s="311"/>
      <c r="AG128" s="311"/>
      <c r="AH128" s="311"/>
      <c r="AI128" s="311"/>
      <c r="AJ128" s="311"/>
      <c r="AK128" s="311"/>
      <c r="AL128" s="311"/>
      <c r="AM128" s="311"/>
    </row>
    <row r="129" spans="1:39" ht="15.75" customHeight="1">
      <c r="A129" s="382"/>
      <c r="B129" s="311"/>
      <c r="C129" s="1647"/>
      <c r="D129" s="2173"/>
      <c r="E129" s="1586"/>
      <c r="F129" s="965"/>
      <c r="G129" s="1846"/>
      <c r="H129" s="1586"/>
      <c r="I129" s="1647"/>
      <c r="J129" s="2187"/>
      <c r="K129" s="1647"/>
      <c r="L129" s="1647"/>
      <c r="M129" s="836"/>
      <c r="N129" s="836"/>
      <c r="O129" s="836"/>
      <c r="P129" s="836"/>
      <c r="Q129" s="836"/>
      <c r="R129" s="309"/>
      <c r="S129" s="309"/>
      <c r="T129" s="309"/>
      <c r="U129" s="309"/>
      <c r="V129" s="311"/>
      <c r="W129" s="311"/>
      <c r="X129" s="311"/>
      <c r="Y129" s="311"/>
      <c r="Z129" s="311"/>
      <c r="AA129" s="311"/>
      <c r="AB129" s="311"/>
      <c r="AC129" s="311"/>
      <c r="AD129" s="311"/>
      <c r="AE129" s="311"/>
      <c r="AF129" s="311"/>
      <c r="AG129" s="311"/>
      <c r="AH129" s="311"/>
      <c r="AI129" s="311"/>
      <c r="AJ129" s="311"/>
      <c r="AK129" s="311"/>
      <c r="AL129" s="311"/>
      <c r="AM129" s="311"/>
    </row>
    <row r="130" spans="1:39" ht="15.75" customHeight="1">
      <c r="A130" s="382"/>
      <c r="B130" s="311"/>
      <c r="C130" s="1647"/>
      <c r="D130" s="2173"/>
      <c r="E130" s="1586"/>
      <c r="F130" s="965"/>
      <c r="G130" s="1846"/>
      <c r="H130" s="1586"/>
      <c r="I130" s="1647"/>
      <c r="J130" s="2187"/>
      <c r="K130" s="1647"/>
      <c r="L130" s="1647"/>
      <c r="M130" s="836"/>
      <c r="N130" s="836"/>
      <c r="O130" s="836"/>
      <c r="P130" s="836"/>
      <c r="Q130" s="836"/>
      <c r="R130" s="309"/>
      <c r="S130" s="309"/>
      <c r="T130" s="309"/>
      <c r="U130" s="309"/>
      <c r="V130" s="311"/>
      <c r="W130" s="311"/>
      <c r="X130" s="311"/>
      <c r="Y130" s="311"/>
      <c r="Z130" s="311"/>
      <c r="AA130" s="311"/>
      <c r="AB130" s="311"/>
      <c r="AC130" s="311"/>
      <c r="AD130" s="311"/>
      <c r="AE130" s="311"/>
      <c r="AF130" s="311"/>
      <c r="AG130" s="311"/>
      <c r="AH130" s="311"/>
      <c r="AI130" s="311"/>
      <c r="AJ130" s="311"/>
      <c r="AK130" s="311"/>
      <c r="AL130" s="311"/>
      <c r="AM130" s="311"/>
    </row>
    <row r="131" spans="1:39" ht="15.75" customHeight="1">
      <c r="A131" s="382"/>
      <c r="B131" s="311"/>
      <c r="C131" s="1647"/>
      <c r="D131" s="2173"/>
      <c r="E131" s="1586"/>
      <c r="F131" s="1065"/>
      <c r="G131" s="1846"/>
      <c r="H131" s="1586"/>
      <c r="I131" s="1647"/>
      <c r="J131" s="2187"/>
      <c r="K131" s="1647"/>
      <c r="L131" s="1647"/>
      <c r="M131" s="836"/>
      <c r="N131" s="836"/>
      <c r="O131" s="836"/>
      <c r="P131" s="836"/>
      <c r="Q131" s="836"/>
      <c r="R131" s="309"/>
      <c r="S131" s="309"/>
      <c r="T131" s="309"/>
      <c r="U131" s="309"/>
      <c r="V131" s="311"/>
      <c r="W131" s="311"/>
      <c r="X131" s="311"/>
      <c r="Y131" s="311"/>
      <c r="Z131" s="311"/>
      <c r="AA131" s="311"/>
      <c r="AB131" s="311"/>
      <c r="AC131" s="311"/>
      <c r="AD131" s="311"/>
      <c r="AE131" s="311"/>
      <c r="AF131" s="311"/>
      <c r="AG131" s="311"/>
      <c r="AH131" s="311"/>
      <c r="AI131" s="311"/>
      <c r="AJ131" s="311"/>
      <c r="AK131" s="311"/>
      <c r="AL131" s="311"/>
      <c r="AM131" s="311"/>
    </row>
    <row r="132" spans="1:39" ht="15.75" customHeight="1">
      <c r="A132" s="382"/>
      <c r="B132" s="311"/>
      <c r="C132" s="1647"/>
      <c r="D132" s="2173"/>
      <c r="E132" s="1586"/>
      <c r="F132" s="674"/>
      <c r="G132" s="1846"/>
      <c r="H132" s="1586"/>
      <c r="I132" s="1647"/>
      <c r="J132" s="2187"/>
      <c r="K132" s="1647"/>
      <c r="L132" s="1647"/>
      <c r="M132" s="836"/>
      <c r="N132" s="836"/>
      <c r="O132" s="836"/>
      <c r="P132" s="836"/>
      <c r="Q132" s="836"/>
      <c r="R132" s="309"/>
      <c r="S132" s="309"/>
      <c r="T132" s="309"/>
      <c r="U132" s="309"/>
      <c r="V132" s="311"/>
      <c r="W132" s="311"/>
      <c r="X132" s="311"/>
      <c r="Y132" s="311"/>
      <c r="Z132" s="311"/>
      <c r="AA132" s="311"/>
      <c r="AB132" s="311"/>
      <c r="AC132" s="311"/>
      <c r="AD132" s="311"/>
      <c r="AE132" s="311"/>
      <c r="AF132" s="311"/>
      <c r="AG132" s="311"/>
      <c r="AH132" s="311"/>
      <c r="AI132" s="311"/>
      <c r="AJ132" s="311"/>
      <c r="AK132" s="311"/>
      <c r="AL132" s="311"/>
      <c r="AM132" s="311"/>
    </row>
    <row r="133" spans="1:39" ht="15.75" customHeight="1">
      <c r="A133" s="382"/>
      <c r="B133" s="311"/>
      <c r="C133" s="1647"/>
      <c r="D133" s="2173"/>
      <c r="E133" s="1586"/>
      <c r="F133" s="674"/>
      <c r="G133" s="1846"/>
      <c r="H133" s="1586"/>
      <c r="I133" s="1647"/>
      <c r="J133" s="2187"/>
      <c r="K133" s="1647"/>
      <c r="L133" s="1647"/>
      <c r="M133" s="836"/>
      <c r="N133" s="836"/>
      <c r="O133" s="836"/>
      <c r="P133" s="836"/>
      <c r="Q133" s="836"/>
      <c r="R133" s="309"/>
      <c r="S133" s="309"/>
      <c r="T133" s="309"/>
      <c r="U133" s="309"/>
      <c r="V133" s="311"/>
      <c r="W133" s="311"/>
      <c r="X133" s="311"/>
      <c r="Y133" s="311"/>
      <c r="Z133" s="311"/>
      <c r="AA133" s="311"/>
      <c r="AB133" s="311"/>
      <c r="AC133" s="311"/>
      <c r="AD133" s="311"/>
      <c r="AE133" s="311"/>
      <c r="AF133" s="311"/>
      <c r="AG133" s="311"/>
      <c r="AH133" s="311"/>
      <c r="AI133" s="311"/>
      <c r="AJ133" s="311"/>
      <c r="AK133" s="311"/>
      <c r="AL133" s="311"/>
      <c r="AM133" s="311"/>
    </row>
    <row r="134" spans="1:39" ht="15.75" customHeight="1">
      <c r="A134" s="382"/>
      <c r="B134" s="311"/>
      <c r="C134" s="1647"/>
      <c r="D134" s="2173"/>
      <c r="E134" s="1586"/>
      <c r="F134" s="943"/>
      <c r="G134" s="1846"/>
      <c r="H134" s="1586"/>
      <c r="I134" s="1647"/>
      <c r="J134" s="2187"/>
      <c r="K134" s="1647"/>
      <c r="L134" s="1647"/>
      <c r="M134" s="836"/>
      <c r="N134" s="836"/>
      <c r="O134" s="836"/>
      <c r="P134" s="836"/>
      <c r="Q134" s="836"/>
      <c r="R134" s="309"/>
      <c r="S134" s="309"/>
      <c r="T134" s="309"/>
      <c r="U134" s="309"/>
      <c r="V134" s="311"/>
      <c r="W134" s="311"/>
      <c r="X134" s="311"/>
      <c r="Y134" s="311"/>
      <c r="Z134" s="311"/>
      <c r="AA134" s="311"/>
      <c r="AB134" s="311"/>
      <c r="AC134" s="311"/>
      <c r="AD134" s="311"/>
      <c r="AE134" s="311"/>
      <c r="AF134" s="311"/>
      <c r="AG134" s="311"/>
      <c r="AH134" s="311"/>
      <c r="AI134" s="311"/>
      <c r="AJ134" s="311"/>
      <c r="AK134" s="311"/>
      <c r="AL134" s="311"/>
      <c r="AM134" s="311"/>
    </row>
    <row r="135" spans="1:39" ht="15.75" customHeight="1">
      <c r="A135" s="382"/>
      <c r="B135" s="311"/>
      <c r="C135" s="1647"/>
      <c r="D135" s="2173"/>
      <c r="E135" s="1586"/>
      <c r="F135" s="943"/>
      <c r="G135" s="1846"/>
      <c r="H135" s="1586"/>
      <c r="I135" s="1647"/>
      <c r="J135" s="2187"/>
      <c r="K135" s="1647"/>
      <c r="L135" s="1647"/>
      <c r="M135" s="836"/>
      <c r="N135" s="836"/>
      <c r="O135" s="836"/>
      <c r="P135" s="836"/>
      <c r="Q135" s="836"/>
      <c r="R135" s="309"/>
      <c r="S135" s="309"/>
      <c r="T135" s="309"/>
      <c r="U135" s="309"/>
      <c r="V135" s="311"/>
      <c r="W135" s="311"/>
      <c r="X135" s="311"/>
      <c r="Y135" s="311"/>
      <c r="Z135" s="311"/>
      <c r="AA135" s="311"/>
      <c r="AB135" s="311"/>
      <c r="AC135" s="311"/>
      <c r="AD135" s="311"/>
      <c r="AE135" s="311"/>
      <c r="AF135" s="311"/>
      <c r="AG135" s="311"/>
      <c r="AH135" s="311"/>
      <c r="AI135" s="311"/>
      <c r="AJ135" s="311"/>
      <c r="AK135" s="311"/>
      <c r="AL135" s="311"/>
      <c r="AM135" s="311"/>
    </row>
    <row r="136" spans="1:39" ht="15.75" customHeight="1">
      <c r="A136" s="382"/>
      <c r="B136" s="311"/>
      <c r="C136" s="1647"/>
      <c r="D136" s="2173"/>
      <c r="E136" s="1586"/>
      <c r="F136" s="943"/>
      <c r="G136" s="1846"/>
      <c r="H136" s="1586"/>
      <c r="I136" s="1647"/>
      <c r="J136" s="2187"/>
      <c r="K136" s="1647"/>
      <c r="L136" s="1647"/>
      <c r="M136" s="836"/>
      <c r="N136" s="836"/>
      <c r="O136" s="836"/>
      <c r="P136" s="836"/>
      <c r="Q136" s="836"/>
      <c r="R136" s="309"/>
      <c r="S136" s="309"/>
      <c r="T136" s="309"/>
      <c r="U136" s="309"/>
      <c r="V136" s="311"/>
      <c r="W136" s="311"/>
      <c r="X136" s="311"/>
      <c r="Y136" s="311"/>
      <c r="Z136" s="311"/>
      <c r="AA136" s="311"/>
      <c r="AB136" s="311"/>
      <c r="AC136" s="311"/>
      <c r="AD136" s="311"/>
      <c r="AE136" s="311"/>
      <c r="AF136" s="311"/>
      <c r="AG136" s="311"/>
      <c r="AH136" s="311"/>
      <c r="AI136" s="311"/>
      <c r="AJ136" s="311"/>
      <c r="AK136" s="311"/>
      <c r="AL136" s="311"/>
      <c r="AM136" s="311"/>
    </row>
    <row r="137" spans="1:39" ht="15.75" customHeight="1">
      <c r="A137" s="382"/>
      <c r="B137" s="311"/>
      <c r="C137" s="1647"/>
      <c r="D137" s="2173"/>
      <c r="E137" s="1586"/>
      <c r="F137" s="943"/>
      <c r="G137" s="1846"/>
      <c r="H137" s="1586"/>
      <c r="I137" s="1647"/>
      <c r="J137" s="2187"/>
      <c r="K137" s="1647"/>
      <c r="L137" s="1647"/>
      <c r="M137" s="836"/>
      <c r="N137" s="836"/>
      <c r="O137" s="836"/>
      <c r="P137" s="836"/>
      <c r="Q137" s="836"/>
      <c r="R137" s="309"/>
      <c r="S137" s="309"/>
      <c r="T137" s="309"/>
      <c r="U137" s="309"/>
      <c r="V137" s="311"/>
      <c r="W137" s="311"/>
      <c r="X137" s="311"/>
      <c r="Y137" s="311"/>
      <c r="Z137" s="311"/>
      <c r="AA137" s="311"/>
      <c r="AB137" s="311"/>
      <c r="AC137" s="311"/>
      <c r="AD137" s="311"/>
      <c r="AE137" s="311"/>
      <c r="AF137" s="311"/>
      <c r="AG137" s="311"/>
      <c r="AH137" s="311"/>
      <c r="AI137" s="311"/>
      <c r="AJ137" s="311"/>
      <c r="AK137" s="311"/>
      <c r="AL137" s="311"/>
      <c r="AM137" s="311"/>
    </row>
    <row r="138" spans="1:39" ht="15.75" customHeight="1">
      <c r="A138" s="382"/>
      <c r="B138" s="311"/>
      <c r="C138" s="1647"/>
      <c r="D138" s="2173"/>
      <c r="E138" s="1586"/>
      <c r="F138" s="943"/>
      <c r="G138" s="1846"/>
      <c r="H138" s="1586"/>
      <c r="I138" s="1647"/>
      <c r="J138" s="2187"/>
      <c r="K138" s="1647"/>
      <c r="L138" s="1647"/>
      <c r="M138" s="836"/>
      <c r="N138" s="836"/>
      <c r="O138" s="836"/>
      <c r="P138" s="836"/>
      <c r="Q138" s="836"/>
      <c r="R138" s="309"/>
      <c r="S138" s="309"/>
      <c r="T138" s="309"/>
      <c r="U138" s="309"/>
      <c r="V138" s="311"/>
      <c r="W138" s="311"/>
      <c r="X138" s="311"/>
      <c r="Y138" s="311"/>
      <c r="Z138" s="311"/>
      <c r="AA138" s="311"/>
      <c r="AB138" s="311"/>
      <c r="AC138" s="311"/>
      <c r="AD138" s="311"/>
      <c r="AE138" s="311"/>
      <c r="AF138" s="311"/>
      <c r="AG138" s="311"/>
      <c r="AH138" s="311"/>
      <c r="AI138" s="311"/>
      <c r="AJ138" s="311"/>
      <c r="AK138" s="311"/>
      <c r="AL138" s="311"/>
      <c r="AM138" s="311"/>
    </row>
    <row r="139" spans="1:39" ht="15.75" customHeight="1">
      <c r="A139" s="382"/>
      <c r="B139" s="311"/>
      <c r="C139" s="1647"/>
      <c r="D139" s="2173"/>
      <c r="E139" s="1586"/>
      <c r="F139" s="943"/>
      <c r="G139" s="1846"/>
      <c r="H139" s="1586"/>
      <c r="I139" s="1647"/>
      <c r="J139" s="2187"/>
      <c r="K139" s="1647"/>
      <c r="L139" s="1647"/>
      <c r="M139" s="836"/>
      <c r="N139" s="836"/>
      <c r="O139" s="836"/>
      <c r="P139" s="836"/>
      <c r="Q139" s="836"/>
      <c r="R139" s="309"/>
      <c r="S139" s="309"/>
      <c r="T139" s="309"/>
      <c r="U139" s="309"/>
      <c r="V139" s="311"/>
      <c r="W139" s="311"/>
      <c r="X139" s="311"/>
      <c r="Y139" s="311"/>
      <c r="Z139" s="311"/>
      <c r="AA139" s="311"/>
      <c r="AB139" s="311"/>
      <c r="AC139" s="311"/>
      <c r="AD139" s="311"/>
      <c r="AE139" s="311"/>
      <c r="AF139" s="311"/>
      <c r="AG139" s="311"/>
      <c r="AH139" s="311"/>
      <c r="AI139" s="311"/>
      <c r="AJ139" s="311"/>
      <c r="AK139" s="311"/>
      <c r="AL139" s="311"/>
      <c r="AM139" s="311"/>
    </row>
    <row r="140" spans="1:39" ht="15.75" customHeight="1">
      <c r="A140" s="382"/>
      <c r="B140" s="311"/>
      <c r="C140" s="1647"/>
      <c r="D140" s="2173"/>
      <c r="E140" s="1586"/>
      <c r="F140" s="943"/>
      <c r="G140" s="1846"/>
      <c r="H140" s="1586"/>
      <c r="I140" s="1647"/>
      <c r="J140" s="2187"/>
      <c r="K140" s="1647"/>
      <c r="L140" s="1647"/>
      <c r="M140" s="836"/>
      <c r="N140" s="836"/>
      <c r="O140" s="836"/>
      <c r="P140" s="836"/>
      <c r="Q140" s="836"/>
      <c r="R140" s="309"/>
      <c r="S140" s="309"/>
      <c r="T140" s="309"/>
      <c r="U140" s="309"/>
      <c r="V140" s="311"/>
      <c r="W140" s="311"/>
      <c r="X140" s="311"/>
      <c r="Y140" s="311"/>
      <c r="Z140" s="311"/>
      <c r="AA140" s="311"/>
      <c r="AB140" s="311"/>
      <c r="AC140" s="311"/>
      <c r="AD140" s="311"/>
      <c r="AE140" s="311"/>
      <c r="AF140" s="311"/>
      <c r="AG140" s="311"/>
      <c r="AH140" s="311"/>
      <c r="AI140" s="311"/>
      <c r="AJ140" s="311"/>
      <c r="AK140" s="311"/>
      <c r="AL140" s="311"/>
      <c r="AM140" s="311"/>
    </row>
    <row r="141" spans="1:39" ht="15.75" customHeight="1">
      <c r="A141" s="382"/>
      <c r="B141" s="311"/>
      <c r="C141" s="1647"/>
      <c r="D141" s="2173"/>
      <c r="E141" s="1586"/>
      <c r="F141" s="137"/>
      <c r="G141" s="1846"/>
      <c r="H141" s="1586"/>
      <c r="I141" s="1647"/>
      <c r="J141" s="2187"/>
      <c r="K141" s="1647"/>
      <c r="L141" s="1647"/>
      <c r="M141" s="836"/>
      <c r="N141" s="836"/>
      <c r="O141" s="836"/>
      <c r="P141" s="836"/>
      <c r="Q141" s="836"/>
      <c r="R141" s="309"/>
      <c r="S141" s="309"/>
      <c r="T141" s="309"/>
      <c r="U141" s="309"/>
      <c r="V141" s="311"/>
      <c r="W141" s="311"/>
      <c r="X141" s="311"/>
      <c r="Y141" s="311"/>
      <c r="Z141" s="311"/>
      <c r="AA141" s="311"/>
      <c r="AB141" s="311"/>
      <c r="AC141" s="311"/>
      <c r="AD141" s="311"/>
      <c r="AE141" s="311"/>
      <c r="AF141" s="311"/>
      <c r="AG141" s="311"/>
      <c r="AH141" s="311"/>
      <c r="AI141" s="311"/>
      <c r="AJ141" s="311"/>
      <c r="AK141" s="311"/>
      <c r="AL141" s="311"/>
      <c r="AM141" s="311"/>
    </row>
    <row r="142" spans="1:39" ht="15.75" customHeight="1">
      <c r="A142" s="382"/>
      <c r="B142" s="311"/>
      <c r="C142" s="1647"/>
      <c r="D142" s="2173"/>
      <c r="E142" s="1586"/>
      <c r="F142" s="943"/>
      <c r="G142" s="1846"/>
      <c r="H142" s="1586"/>
      <c r="I142" s="1647"/>
      <c r="J142" s="2187"/>
      <c r="K142" s="1647"/>
      <c r="L142" s="1647"/>
      <c r="M142" s="836"/>
      <c r="N142" s="836"/>
      <c r="O142" s="836"/>
      <c r="P142" s="836"/>
      <c r="Q142" s="836"/>
      <c r="R142" s="309"/>
      <c r="S142" s="309"/>
      <c r="T142" s="309"/>
      <c r="U142" s="309"/>
      <c r="V142" s="311"/>
      <c r="W142" s="311"/>
      <c r="X142" s="311"/>
      <c r="Y142" s="311"/>
      <c r="Z142" s="311"/>
      <c r="AA142" s="311"/>
      <c r="AB142" s="311"/>
      <c r="AC142" s="311"/>
      <c r="AD142" s="311"/>
      <c r="AE142" s="311"/>
      <c r="AF142" s="311"/>
      <c r="AG142" s="311"/>
      <c r="AH142" s="311"/>
      <c r="AI142" s="311"/>
      <c r="AJ142" s="311"/>
      <c r="AK142" s="311"/>
      <c r="AL142" s="311"/>
      <c r="AM142" s="311"/>
    </row>
    <row r="143" spans="1:39" ht="15.75" customHeight="1">
      <c r="A143" s="382"/>
      <c r="B143" s="311"/>
      <c r="C143" s="1647"/>
      <c r="D143" s="2173"/>
      <c r="E143" s="1586"/>
      <c r="F143" s="943"/>
      <c r="G143" s="1846"/>
      <c r="H143" s="1586"/>
      <c r="I143" s="1647"/>
      <c r="J143" s="2187"/>
      <c r="K143" s="1647"/>
      <c r="L143" s="1647"/>
      <c r="M143" s="836"/>
      <c r="N143" s="836"/>
      <c r="O143" s="836"/>
      <c r="P143" s="836"/>
      <c r="Q143" s="836"/>
      <c r="R143" s="309"/>
      <c r="S143" s="309"/>
      <c r="T143" s="309"/>
      <c r="U143" s="309"/>
      <c r="V143" s="311"/>
      <c r="W143" s="311"/>
      <c r="X143" s="311"/>
      <c r="Y143" s="311"/>
      <c r="Z143" s="311"/>
      <c r="AA143" s="311"/>
      <c r="AB143" s="311"/>
      <c r="AC143" s="311"/>
      <c r="AD143" s="311"/>
      <c r="AE143" s="311"/>
      <c r="AF143" s="311"/>
      <c r="AG143" s="311"/>
      <c r="AH143" s="311"/>
      <c r="AI143" s="311"/>
      <c r="AJ143" s="311"/>
      <c r="AK143" s="311"/>
      <c r="AL143" s="311"/>
      <c r="AM143" s="311"/>
    </row>
    <row r="144" spans="1:39" ht="15.75" customHeight="1">
      <c r="A144" s="382"/>
      <c r="B144" s="311"/>
      <c r="C144" s="1647"/>
      <c r="D144" s="2173"/>
      <c r="E144" s="1586"/>
      <c r="F144" s="943"/>
      <c r="G144" s="1846"/>
      <c r="H144" s="1586"/>
      <c r="I144" s="1647"/>
      <c r="J144" s="2187"/>
      <c r="K144" s="1647"/>
      <c r="L144" s="1647"/>
      <c r="M144" s="836"/>
      <c r="N144" s="836"/>
      <c r="O144" s="836"/>
      <c r="P144" s="836"/>
      <c r="Q144" s="836"/>
      <c r="R144" s="309"/>
      <c r="S144" s="309"/>
      <c r="T144" s="309"/>
      <c r="U144" s="309"/>
      <c r="V144" s="311"/>
      <c r="W144" s="311"/>
      <c r="X144" s="311"/>
      <c r="Y144" s="311"/>
      <c r="Z144" s="311"/>
      <c r="AA144" s="311"/>
      <c r="AB144" s="311"/>
      <c r="AC144" s="311"/>
      <c r="AD144" s="311"/>
      <c r="AE144" s="311"/>
      <c r="AF144" s="311"/>
      <c r="AG144" s="311"/>
      <c r="AH144" s="311"/>
      <c r="AI144" s="311"/>
      <c r="AJ144" s="311"/>
      <c r="AK144" s="311"/>
      <c r="AL144" s="311"/>
      <c r="AM144" s="311"/>
    </row>
    <row r="145" spans="1:39" ht="15.75" customHeight="1">
      <c r="A145" s="382"/>
      <c r="B145" s="311"/>
      <c r="C145" s="1647"/>
      <c r="D145" s="2173"/>
      <c r="E145" s="1586"/>
      <c r="F145" s="1948"/>
      <c r="G145" s="1846"/>
      <c r="H145" s="1586"/>
      <c r="I145" s="1647"/>
      <c r="J145" s="2187"/>
      <c r="K145" s="1647"/>
      <c r="L145" s="1647"/>
      <c r="M145" s="836"/>
      <c r="N145" s="836"/>
      <c r="O145" s="836"/>
      <c r="P145" s="836"/>
      <c r="Q145" s="836"/>
      <c r="R145" s="309"/>
      <c r="S145" s="309"/>
      <c r="T145" s="309"/>
      <c r="U145" s="309"/>
      <c r="V145" s="311"/>
      <c r="W145" s="311"/>
      <c r="X145" s="311"/>
      <c r="Y145" s="311"/>
      <c r="Z145" s="311"/>
      <c r="AA145" s="311"/>
      <c r="AB145" s="311"/>
      <c r="AC145" s="311"/>
      <c r="AD145" s="311"/>
      <c r="AE145" s="311"/>
      <c r="AF145" s="311"/>
      <c r="AG145" s="311"/>
      <c r="AH145" s="311"/>
      <c r="AI145" s="311"/>
      <c r="AJ145" s="311"/>
      <c r="AK145" s="311"/>
      <c r="AL145" s="311"/>
      <c r="AM145" s="311"/>
    </row>
    <row r="146" spans="1:39" ht="15.75" customHeight="1">
      <c r="A146" s="382"/>
      <c r="B146" s="311"/>
      <c r="C146" s="1647"/>
      <c r="D146" s="2173"/>
      <c r="E146" s="1586"/>
      <c r="F146" s="943"/>
      <c r="G146" s="1846"/>
      <c r="H146" s="1586"/>
      <c r="I146" s="1647"/>
      <c r="J146" s="2187"/>
      <c r="K146" s="1647"/>
      <c r="L146" s="1647"/>
      <c r="M146" s="836"/>
      <c r="N146" s="836"/>
      <c r="O146" s="836"/>
      <c r="P146" s="836"/>
      <c r="Q146" s="836"/>
      <c r="R146" s="309"/>
      <c r="S146" s="309"/>
      <c r="T146" s="309"/>
      <c r="U146" s="309"/>
      <c r="V146" s="311"/>
      <c r="W146" s="311"/>
      <c r="X146" s="311"/>
      <c r="Y146" s="311"/>
      <c r="Z146" s="311"/>
      <c r="AA146" s="311"/>
      <c r="AB146" s="311"/>
      <c r="AC146" s="311"/>
      <c r="AD146" s="311"/>
      <c r="AE146" s="311"/>
      <c r="AF146" s="311"/>
      <c r="AG146" s="311"/>
      <c r="AH146" s="311"/>
      <c r="AI146" s="311"/>
      <c r="AJ146" s="311"/>
      <c r="AK146" s="311"/>
      <c r="AL146" s="311"/>
      <c r="AM146" s="311"/>
    </row>
    <row r="147" spans="1:39" ht="15.75" customHeight="1">
      <c r="A147" s="382"/>
      <c r="B147" s="311"/>
      <c r="C147" s="1647"/>
      <c r="D147" s="2173"/>
      <c r="E147" s="1586"/>
      <c r="F147" s="943"/>
      <c r="G147" s="1846"/>
      <c r="H147" s="1586"/>
      <c r="I147" s="1647"/>
      <c r="J147" s="2187"/>
      <c r="K147" s="1647"/>
      <c r="L147" s="1647"/>
      <c r="M147" s="836"/>
      <c r="N147" s="836"/>
      <c r="O147" s="836"/>
      <c r="P147" s="836"/>
      <c r="Q147" s="836"/>
      <c r="R147" s="309"/>
      <c r="S147" s="309"/>
      <c r="T147" s="309"/>
      <c r="U147" s="309"/>
      <c r="V147" s="311"/>
      <c r="W147" s="311"/>
      <c r="X147" s="311"/>
      <c r="Y147" s="311"/>
      <c r="Z147" s="311"/>
      <c r="AA147" s="311"/>
      <c r="AB147" s="311"/>
      <c r="AC147" s="311"/>
      <c r="AD147" s="311"/>
      <c r="AE147" s="311"/>
      <c r="AF147" s="311"/>
      <c r="AG147" s="311"/>
      <c r="AH147" s="311"/>
      <c r="AI147" s="311"/>
      <c r="AJ147" s="311"/>
      <c r="AK147" s="311"/>
      <c r="AL147" s="311"/>
      <c r="AM147" s="311"/>
    </row>
    <row r="148" spans="1:39" ht="15.75" customHeight="1">
      <c r="A148" s="382"/>
      <c r="B148" s="311"/>
      <c r="C148" s="1647"/>
      <c r="D148" s="2173"/>
      <c r="E148" s="1586"/>
      <c r="F148" s="137"/>
      <c r="G148" s="1846"/>
      <c r="H148" s="1586"/>
      <c r="I148" s="1647"/>
      <c r="J148" s="2187"/>
      <c r="K148" s="1647"/>
      <c r="L148" s="1647"/>
      <c r="M148" s="836"/>
      <c r="N148" s="836"/>
      <c r="O148" s="836"/>
      <c r="P148" s="836"/>
      <c r="Q148" s="836"/>
      <c r="R148" s="309"/>
      <c r="S148" s="309"/>
      <c r="T148" s="309"/>
      <c r="U148" s="309"/>
      <c r="V148" s="311"/>
      <c r="W148" s="311"/>
      <c r="X148" s="311"/>
      <c r="Y148" s="311"/>
      <c r="Z148" s="311"/>
      <c r="AA148" s="311"/>
      <c r="AB148" s="311"/>
      <c r="AC148" s="311"/>
      <c r="AD148" s="311"/>
      <c r="AE148" s="311"/>
      <c r="AF148" s="311"/>
      <c r="AG148" s="311"/>
      <c r="AH148" s="311"/>
      <c r="AI148" s="311"/>
      <c r="AJ148" s="311"/>
      <c r="AK148" s="311"/>
      <c r="AL148" s="311"/>
      <c r="AM148" s="311"/>
    </row>
    <row r="149" spans="1:39" ht="15.75" customHeight="1">
      <c r="A149" s="382"/>
      <c r="B149" s="311"/>
      <c r="C149" s="1647"/>
      <c r="D149" s="2173"/>
      <c r="E149" s="1586"/>
      <c r="F149" s="137"/>
      <c r="G149" s="1846"/>
      <c r="H149" s="1586"/>
      <c r="I149" s="1647"/>
      <c r="J149" s="2187"/>
      <c r="K149" s="1647"/>
      <c r="L149" s="1647"/>
      <c r="M149" s="836"/>
      <c r="N149" s="836"/>
      <c r="O149" s="836"/>
      <c r="P149" s="836"/>
      <c r="Q149" s="836"/>
      <c r="R149" s="309"/>
      <c r="S149" s="309"/>
      <c r="T149" s="309"/>
      <c r="U149" s="309"/>
      <c r="V149" s="311"/>
      <c r="W149" s="311"/>
      <c r="X149" s="311"/>
      <c r="Y149" s="311"/>
      <c r="Z149" s="311"/>
      <c r="AA149" s="311"/>
      <c r="AB149" s="311"/>
      <c r="AC149" s="311"/>
      <c r="AD149" s="311"/>
      <c r="AE149" s="311"/>
      <c r="AF149" s="311"/>
      <c r="AG149" s="311"/>
      <c r="AH149" s="311"/>
      <c r="AI149" s="311"/>
      <c r="AJ149" s="311"/>
      <c r="AK149" s="311"/>
      <c r="AL149" s="311"/>
      <c r="AM149" s="311"/>
    </row>
    <row r="150" spans="1:39" ht="15.75" customHeight="1">
      <c r="A150" s="382"/>
      <c r="B150" s="311"/>
      <c r="C150" s="1647"/>
      <c r="D150" s="2173"/>
      <c r="E150" s="1586"/>
      <c r="F150" s="1948"/>
      <c r="G150" s="1846"/>
      <c r="H150" s="1586"/>
      <c r="I150" s="1647"/>
      <c r="J150" s="2187"/>
      <c r="K150" s="1647"/>
      <c r="L150" s="1647"/>
      <c r="M150" s="836"/>
      <c r="N150" s="836"/>
      <c r="O150" s="836"/>
      <c r="P150" s="836"/>
      <c r="Q150" s="836"/>
      <c r="R150" s="309"/>
      <c r="S150" s="309"/>
      <c r="T150" s="309"/>
      <c r="U150" s="309"/>
      <c r="V150" s="311"/>
      <c r="W150" s="311"/>
      <c r="X150" s="311"/>
      <c r="Y150" s="311"/>
      <c r="Z150" s="311"/>
      <c r="AA150" s="311"/>
      <c r="AB150" s="311"/>
      <c r="AC150" s="311"/>
      <c r="AD150" s="311"/>
      <c r="AE150" s="311"/>
      <c r="AF150" s="311"/>
      <c r="AG150" s="311"/>
      <c r="AH150" s="311"/>
      <c r="AI150" s="311"/>
      <c r="AJ150" s="311"/>
      <c r="AK150" s="311"/>
      <c r="AL150" s="311"/>
      <c r="AM150" s="311"/>
    </row>
    <row r="151" spans="1:39" ht="15.75" customHeight="1">
      <c r="A151" s="382"/>
      <c r="B151" s="311"/>
      <c r="C151" s="1647"/>
      <c r="D151" s="2173"/>
      <c r="E151" s="1586"/>
      <c r="F151" s="943"/>
      <c r="G151" s="1846"/>
      <c r="H151" s="1586"/>
      <c r="I151" s="1647"/>
      <c r="J151" s="2187"/>
      <c r="K151" s="1647"/>
      <c r="L151" s="1647"/>
      <c r="M151" s="836"/>
      <c r="N151" s="836"/>
      <c r="O151" s="836"/>
      <c r="P151" s="836"/>
      <c r="Q151" s="836"/>
      <c r="R151" s="309"/>
      <c r="S151" s="309"/>
      <c r="T151" s="309"/>
      <c r="U151" s="309"/>
      <c r="V151" s="311"/>
      <c r="W151" s="311"/>
      <c r="X151" s="311"/>
      <c r="Y151" s="311"/>
      <c r="Z151" s="311"/>
      <c r="AA151" s="311"/>
      <c r="AB151" s="311"/>
      <c r="AC151" s="311"/>
      <c r="AD151" s="311"/>
      <c r="AE151" s="311"/>
      <c r="AF151" s="311"/>
      <c r="AG151" s="311"/>
      <c r="AH151" s="311"/>
      <c r="AI151" s="311"/>
      <c r="AJ151" s="311"/>
      <c r="AK151" s="311"/>
      <c r="AL151" s="311"/>
      <c r="AM151" s="311"/>
    </row>
    <row r="152" spans="1:39" ht="15.75" customHeight="1">
      <c r="A152" s="382"/>
      <c r="B152" s="311"/>
      <c r="C152" s="1647"/>
      <c r="D152" s="2173"/>
      <c r="E152" s="1586"/>
      <c r="F152" s="943"/>
      <c r="G152" s="1846"/>
      <c r="H152" s="1586"/>
      <c r="I152" s="1647"/>
      <c r="J152" s="2187"/>
      <c r="K152" s="1647"/>
      <c r="L152" s="1647"/>
      <c r="M152" s="836"/>
      <c r="N152" s="836"/>
      <c r="O152" s="836"/>
      <c r="P152" s="836"/>
      <c r="Q152" s="836"/>
      <c r="R152" s="309"/>
      <c r="S152" s="309"/>
      <c r="T152" s="309"/>
      <c r="U152" s="309"/>
      <c r="V152" s="311"/>
      <c r="W152" s="311"/>
      <c r="X152" s="311"/>
      <c r="Y152" s="311"/>
      <c r="Z152" s="311"/>
      <c r="AA152" s="311"/>
      <c r="AB152" s="311"/>
      <c r="AC152" s="311"/>
      <c r="AD152" s="311"/>
      <c r="AE152" s="311"/>
      <c r="AF152" s="311"/>
      <c r="AG152" s="311"/>
      <c r="AH152" s="311"/>
      <c r="AI152" s="311"/>
      <c r="AJ152" s="311"/>
      <c r="AK152" s="311"/>
      <c r="AL152" s="311"/>
      <c r="AM152" s="311"/>
    </row>
    <row r="153" spans="1:39" ht="15.75" customHeight="1">
      <c r="A153" s="382"/>
      <c r="B153" s="311"/>
      <c r="C153" s="1647"/>
      <c r="D153" s="2173"/>
      <c r="E153" s="1586"/>
      <c r="F153" s="137"/>
      <c r="G153" s="1846"/>
      <c r="H153" s="1586"/>
      <c r="I153" s="1647"/>
      <c r="J153" s="2187"/>
      <c r="K153" s="1647"/>
      <c r="L153" s="1647"/>
      <c r="M153" s="836"/>
      <c r="N153" s="836"/>
      <c r="O153" s="836"/>
      <c r="P153" s="836"/>
      <c r="Q153" s="836"/>
      <c r="R153" s="309"/>
      <c r="S153" s="309"/>
      <c r="T153" s="309"/>
      <c r="U153" s="309"/>
      <c r="V153" s="311"/>
      <c r="W153" s="311"/>
      <c r="X153" s="311"/>
      <c r="Y153" s="311"/>
      <c r="Z153" s="311"/>
      <c r="AA153" s="311"/>
      <c r="AB153" s="311"/>
      <c r="AC153" s="311"/>
      <c r="AD153" s="311"/>
      <c r="AE153" s="311"/>
      <c r="AF153" s="311"/>
      <c r="AG153" s="311"/>
      <c r="AH153" s="311"/>
      <c r="AI153" s="311"/>
      <c r="AJ153" s="311"/>
      <c r="AK153" s="311"/>
      <c r="AL153" s="311"/>
      <c r="AM153" s="311"/>
    </row>
    <row r="154" spans="1:39" ht="15.75" customHeight="1">
      <c r="A154" s="382"/>
      <c r="B154" s="311"/>
      <c r="C154" s="1647"/>
      <c r="D154" s="2173"/>
      <c r="E154" s="1586"/>
      <c r="F154" s="943"/>
      <c r="G154" s="1846"/>
      <c r="H154" s="1586"/>
      <c r="I154" s="1647"/>
      <c r="J154" s="2187"/>
      <c r="K154" s="1647"/>
      <c r="L154" s="1647"/>
      <c r="M154" s="836"/>
      <c r="N154" s="836"/>
      <c r="O154" s="836"/>
      <c r="P154" s="836"/>
      <c r="Q154" s="836"/>
      <c r="R154" s="309"/>
      <c r="S154" s="309"/>
      <c r="T154" s="309"/>
      <c r="U154" s="309"/>
      <c r="V154" s="311"/>
      <c r="W154" s="311"/>
      <c r="X154" s="311"/>
      <c r="Y154" s="311"/>
      <c r="Z154" s="311"/>
      <c r="AA154" s="311"/>
      <c r="AB154" s="311"/>
      <c r="AC154" s="311"/>
      <c r="AD154" s="311"/>
      <c r="AE154" s="311"/>
      <c r="AF154" s="311"/>
      <c r="AG154" s="311"/>
      <c r="AH154" s="311"/>
      <c r="AI154" s="311"/>
      <c r="AJ154" s="311"/>
      <c r="AK154" s="311"/>
      <c r="AL154" s="311"/>
      <c r="AM154" s="311"/>
    </row>
    <row r="155" spans="1:39" ht="15.75" customHeight="1">
      <c r="A155" s="382"/>
      <c r="B155" s="311"/>
      <c r="C155" s="1647"/>
      <c r="D155" s="2173"/>
      <c r="E155" s="1586"/>
      <c r="F155" s="137"/>
      <c r="G155" s="1846"/>
      <c r="H155" s="1586"/>
      <c r="I155" s="1647"/>
      <c r="J155" s="2187"/>
      <c r="K155" s="1647"/>
      <c r="L155" s="1647"/>
      <c r="M155" s="836"/>
      <c r="N155" s="836"/>
      <c r="O155" s="836"/>
      <c r="P155" s="836"/>
      <c r="Q155" s="836"/>
      <c r="R155" s="309"/>
      <c r="S155" s="309"/>
      <c r="T155" s="309"/>
      <c r="U155" s="309"/>
      <c r="V155" s="311"/>
      <c r="W155" s="311"/>
      <c r="X155" s="311"/>
      <c r="Y155" s="311"/>
      <c r="Z155" s="311"/>
      <c r="AA155" s="311"/>
      <c r="AB155" s="311"/>
      <c r="AC155" s="311"/>
      <c r="AD155" s="311"/>
      <c r="AE155" s="311"/>
      <c r="AF155" s="311"/>
      <c r="AG155" s="311"/>
      <c r="AH155" s="311"/>
      <c r="AI155" s="311"/>
      <c r="AJ155" s="311"/>
      <c r="AK155" s="311"/>
      <c r="AL155" s="311"/>
      <c r="AM155" s="311"/>
    </row>
    <row r="156" spans="1:39" ht="15.75" customHeight="1">
      <c r="A156" s="382"/>
      <c r="B156" s="311"/>
      <c r="C156" s="1647"/>
      <c r="D156" s="2173"/>
      <c r="E156" s="1586"/>
      <c r="F156" s="943"/>
      <c r="G156" s="1846"/>
      <c r="H156" s="1586"/>
      <c r="I156" s="1647"/>
      <c r="J156" s="2187"/>
      <c r="K156" s="1647"/>
      <c r="L156" s="1647"/>
      <c r="M156" s="836"/>
      <c r="N156" s="836"/>
      <c r="O156" s="836"/>
      <c r="P156" s="836"/>
      <c r="Q156" s="836"/>
      <c r="R156" s="309"/>
      <c r="S156" s="309"/>
      <c r="T156" s="309"/>
      <c r="U156" s="309"/>
      <c r="V156" s="311"/>
      <c r="W156" s="311"/>
      <c r="X156" s="311"/>
      <c r="Y156" s="311"/>
      <c r="Z156" s="311"/>
      <c r="AA156" s="311"/>
      <c r="AB156" s="311"/>
      <c r="AC156" s="311"/>
      <c r="AD156" s="311"/>
      <c r="AE156" s="311"/>
      <c r="AF156" s="311"/>
      <c r="AG156" s="311"/>
      <c r="AH156" s="311"/>
      <c r="AI156" s="311"/>
      <c r="AJ156" s="311"/>
      <c r="AK156" s="311"/>
      <c r="AL156" s="311"/>
      <c r="AM156" s="311"/>
    </row>
    <row r="157" spans="1:39" ht="15.75" customHeight="1">
      <c r="A157" s="382"/>
      <c r="B157" s="311"/>
      <c r="C157" s="1647"/>
      <c r="D157" s="2173"/>
      <c r="E157" s="1586"/>
      <c r="F157" s="943"/>
      <c r="G157" s="1846"/>
      <c r="H157" s="1586"/>
      <c r="I157" s="1647"/>
      <c r="J157" s="2187"/>
      <c r="K157" s="1647"/>
      <c r="L157" s="1647"/>
      <c r="M157" s="836"/>
      <c r="N157" s="836"/>
      <c r="O157" s="836"/>
      <c r="P157" s="836"/>
      <c r="Q157" s="836"/>
      <c r="R157" s="309"/>
      <c r="S157" s="309"/>
      <c r="T157" s="309"/>
      <c r="U157" s="309"/>
      <c r="V157" s="311"/>
      <c r="W157" s="311"/>
      <c r="X157" s="311"/>
      <c r="Y157" s="311"/>
      <c r="Z157" s="311"/>
      <c r="AA157" s="311"/>
      <c r="AB157" s="311"/>
      <c r="AC157" s="311"/>
      <c r="AD157" s="311"/>
      <c r="AE157" s="311"/>
      <c r="AF157" s="311"/>
      <c r="AG157" s="311"/>
      <c r="AH157" s="311"/>
      <c r="AI157" s="311"/>
      <c r="AJ157" s="311"/>
      <c r="AK157" s="311"/>
      <c r="AL157" s="311"/>
      <c r="AM157" s="311"/>
    </row>
    <row r="158" spans="1:39" ht="15.75" customHeight="1">
      <c r="A158" s="382"/>
      <c r="B158" s="311"/>
      <c r="C158" s="1647"/>
      <c r="D158" s="2173"/>
      <c r="E158" s="1586"/>
      <c r="F158" s="943"/>
      <c r="G158" s="1846"/>
      <c r="H158" s="1586"/>
      <c r="I158" s="1647"/>
      <c r="J158" s="2187"/>
      <c r="K158" s="1647"/>
      <c r="L158" s="1647"/>
      <c r="M158" s="836"/>
      <c r="N158" s="836"/>
      <c r="O158" s="836"/>
      <c r="P158" s="836"/>
      <c r="Q158" s="836"/>
      <c r="R158" s="309"/>
      <c r="S158" s="309"/>
      <c r="T158" s="309"/>
      <c r="U158" s="309"/>
      <c r="V158" s="311"/>
      <c r="W158" s="311"/>
      <c r="X158" s="311"/>
      <c r="Y158" s="311"/>
      <c r="Z158" s="311"/>
      <c r="AA158" s="311"/>
      <c r="AB158" s="311"/>
      <c r="AC158" s="311"/>
      <c r="AD158" s="311"/>
      <c r="AE158" s="311"/>
      <c r="AF158" s="311"/>
      <c r="AG158" s="311"/>
      <c r="AH158" s="311"/>
      <c r="AI158" s="311"/>
      <c r="AJ158" s="311"/>
      <c r="AK158" s="311"/>
      <c r="AL158" s="311"/>
      <c r="AM158" s="311"/>
    </row>
    <row r="159" spans="1:39" ht="15.75" customHeight="1">
      <c r="A159" s="382"/>
      <c r="B159" s="311"/>
      <c r="C159" s="1647"/>
      <c r="D159" s="2173"/>
      <c r="E159" s="1586"/>
      <c r="F159" s="943"/>
      <c r="G159" s="1846"/>
      <c r="H159" s="1586"/>
      <c r="I159" s="1647"/>
      <c r="J159" s="2187"/>
      <c r="K159" s="1647"/>
      <c r="L159" s="1647"/>
      <c r="M159" s="836"/>
      <c r="N159" s="836"/>
      <c r="O159" s="836"/>
      <c r="P159" s="836"/>
      <c r="Q159" s="836"/>
      <c r="R159" s="309"/>
      <c r="S159" s="309"/>
      <c r="T159" s="309"/>
      <c r="U159" s="309"/>
      <c r="V159" s="311"/>
      <c r="W159" s="311"/>
      <c r="X159" s="311"/>
      <c r="Y159" s="311"/>
      <c r="Z159" s="311"/>
      <c r="AA159" s="311"/>
      <c r="AB159" s="311"/>
      <c r="AC159" s="311"/>
      <c r="AD159" s="311"/>
      <c r="AE159" s="311"/>
      <c r="AF159" s="311"/>
      <c r="AG159" s="311"/>
      <c r="AH159" s="311"/>
      <c r="AI159" s="311"/>
      <c r="AJ159" s="311"/>
      <c r="AK159" s="311"/>
      <c r="AL159" s="311"/>
      <c r="AM159" s="311"/>
    </row>
    <row r="160" spans="1:39" ht="15.75" customHeight="1">
      <c r="A160" s="382"/>
      <c r="B160" s="311"/>
      <c r="C160" s="1647"/>
      <c r="D160" s="2173"/>
      <c r="E160" s="1586"/>
      <c r="F160" s="137"/>
      <c r="G160" s="1846"/>
      <c r="H160" s="1586"/>
      <c r="I160" s="1647"/>
      <c r="J160" s="2187"/>
      <c r="K160" s="1647"/>
      <c r="L160" s="1647"/>
      <c r="M160" s="836"/>
      <c r="N160" s="836"/>
      <c r="O160" s="836"/>
      <c r="P160" s="836"/>
      <c r="Q160" s="836"/>
      <c r="R160" s="309"/>
      <c r="S160" s="309"/>
      <c r="T160" s="309"/>
      <c r="U160" s="309"/>
      <c r="V160" s="311"/>
      <c r="W160" s="311"/>
      <c r="X160" s="311"/>
      <c r="Y160" s="311"/>
      <c r="Z160" s="311"/>
      <c r="AA160" s="311"/>
      <c r="AB160" s="311"/>
      <c r="AC160" s="311"/>
      <c r="AD160" s="311"/>
      <c r="AE160" s="311"/>
      <c r="AF160" s="311"/>
      <c r="AG160" s="311"/>
      <c r="AH160" s="311"/>
      <c r="AI160" s="311"/>
      <c r="AJ160" s="311"/>
      <c r="AK160" s="311"/>
      <c r="AL160" s="311"/>
      <c r="AM160" s="311"/>
    </row>
    <row r="161" spans="1:39" ht="15.75" customHeight="1">
      <c r="A161" s="382"/>
      <c r="B161" s="311"/>
      <c r="C161" s="1647"/>
      <c r="D161" s="2173"/>
      <c r="E161" s="1586"/>
      <c r="F161" s="943"/>
      <c r="G161" s="1846"/>
      <c r="H161" s="1586"/>
      <c r="I161" s="1647"/>
      <c r="J161" s="2187"/>
      <c r="K161" s="1647"/>
      <c r="L161" s="1647"/>
      <c r="M161" s="836"/>
      <c r="N161" s="836"/>
      <c r="O161" s="836"/>
      <c r="P161" s="836"/>
      <c r="Q161" s="836"/>
      <c r="R161" s="309"/>
      <c r="S161" s="309"/>
      <c r="T161" s="309"/>
      <c r="U161" s="309"/>
      <c r="V161" s="311"/>
      <c r="W161" s="311"/>
      <c r="X161" s="311"/>
      <c r="Y161" s="311"/>
      <c r="Z161" s="311"/>
      <c r="AA161" s="311"/>
      <c r="AB161" s="311"/>
      <c r="AC161" s="311"/>
      <c r="AD161" s="311"/>
      <c r="AE161" s="311"/>
      <c r="AF161" s="311"/>
      <c r="AG161" s="311"/>
      <c r="AH161" s="311"/>
      <c r="AI161" s="311"/>
      <c r="AJ161" s="311"/>
      <c r="AK161" s="311"/>
      <c r="AL161" s="311"/>
      <c r="AM161" s="311"/>
    </row>
    <row r="162" spans="1:39" ht="15.75" customHeight="1">
      <c r="A162" s="382"/>
      <c r="B162" s="311"/>
      <c r="C162" s="1647"/>
      <c r="D162" s="2173"/>
      <c r="E162" s="1586"/>
      <c r="F162" s="943"/>
      <c r="G162" s="1846"/>
      <c r="H162" s="1586"/>
      <c r="I162" s="1647"/>
      <c r="J162" s="2187"/>
      <c r="K162" s="1647"/>
      <c r="L162" s="1647"/>
      <c r="M162" s="836"/>
      <c r="N162" s="836"/>
      <c r="O162" s="836"/>
      <c r="P162" s="836"/>
      <c r="Q162" s="836"/>
      <c r="R162" s="309"/>
      <c r="S162" s="309"/>
      <c r="T162" s="309"/>
      <c r="U162" s="309"/>
      <c r="V162" s="311"/>
      <c r="W162" s="311"/>
      <c r="X162" s="311"/>
      <c r="Y162" s="311"/>
      <c r="Z162" s="311"/>
      <c r="AA162" s="311"/>
      <c r="AB162" s="311"/>
      <c r="AC162" s="311"/>
      <c r="AD162" s="311"/>
      <c r="AE162" s="311"/>
      <c r="AF162" s="311"/>
      <c r="AG162" s="311"/>
      <c r="AH162" s="311"/>
      <c r="AI162" s="311"/>
      <c r="AJ162" s="311"/>
      <c r="AK162" s="311"/>
      <c r="AL162" s="311"/>
      <c r="AM162" s="311"/>
    </row>
    <row r="163" spans="1:39" ht="15.75" customHeight="1">
      <c r="A163" s="382"/>
      <c r="B163" s="311"/>
      <c r="C163" s="1647"/>
      <c r="D163" s="2173"/>
      <c r="E163" s="1586"/>
      <c r="F163" s="943"/>
      <c r="G163" s="1846"/>
      <c r="H163" s="1586"/>
      <c r="I163" s="1647"/>
      <c r="J163" s="2187"/>
      <c r="K163" s="1647"/>
      <c r="L163" s="1647"/>
      <c r="M163" s="836"/>
      <c r="N163" s="836"/>
      <c r="O163" s="836"/>
      <c r="P163" s="836"/>
      <c r="Q163" s="836"/>
      <c r="R163" s="309"/>
      <c r="S163" s="309"/>
      <c r="T163" s="309"/>
      <c r="U163" s="309"/>
      <c r="V163" s="311"/>
      <c r="W163" s="311"/>
      <c r="X163" s="311"/>
      <c r="Y163" s="311"/>
      <c r="Z163" s="311"/>
      <c r="AA163" s="311"/>
      <c r="AB163" s="311"/>
      <c r="AC163" s="311"/>
      <c r="AD163" s="311"/>
      <c r="AE163" s="311"/>
      <c r="AF163" s="311"/>
      <c r="AG163" s="311"/>
      <c r="AH163" s="311"/>
      <c r="AI163" s="311"/>
      <c r="AJ163" s="311"/>
      <c r="AK163" s="311"/>
      <c r="AL163" s="311"/>
      <c r="AM163" s="311"/>
    </row>
    <row r="164" spans="1:39" ht="15.75" customHeight="1">
      <c r="A164" s="382"/>
      <c r="B164" s="311"/>
      <c r="C164" s="1647"/>
      <c r="D164" s="2173"/>
      <c r="E164" s="1586"/>
      <c r="F164" s="137"/>
      <c r="G164" s="1846"/>
      <c r="H164" s="1586"/>
      <c r="I164" s="1647"/>
      <c r="J164" s="2187"/>
      <c r="K164" s="1647"/>
      <c r="L164" s="1647"/>
      <c r="M164" s="836"/>
      <c r="N164" s="836"/>
      <c r="O164" s="836"/>
      <c r="P164" s="836"/>
      <c r="Q164" s="836"/>
      <c r="R164" s="309"/>
      <c r="S164" s="309"/>
      <c r="T164" s="309"/>
      <c r="U164" s="309"/>
      <c r="V164" s="311"/>
      <c r="W164" s="311"/>
      <c r="X164" s="311"/>
      <c r="Y164" s="311"/>
      <c r="Z164" s="311"/>
      <c r="AA164" s="311"/>
      <c r="AB164" s="311"/>
      <c r="AC164" s="311"/>
      <c r="AD164" s="311"/>
      <c r="AE164" s="311"/>
      <c r="AF164" s="311"/>
      <c r="AG164" s="311"/>
      <c r="AH164" s="311"/>
      <c r="AI164" s="311"/>
      <c r="AJ164" s="311"/>
      <c r="AK164" s="311"/>
      <c r="AL164" s="311"/>
      <c r="AM164" s="311"/>
    </row>
    <row r="165" spans="1:39" ht="15.75" customHeight="1">
      <c r="A165" s="382"/>
      <c r="B165" s="311"/>
      <c r="C165" s="1647"/>
      <c r="D165" s="2173"/>
      <c r="E165" s="1586"/>
      <c r="F165" s="943"/>
      <c r="G165" s="1846"/>
      <c r="H165" s="1586"/>
      <c r="I165" s="1647"/>
      <c r="J165" s="2187"/>
      <c r="K165" s="1647"/>
      <c r="L165" s="1647"/>
      <c r="M165" s="836"/>
      <c r="N165" s="836"/>
      <c r="O165" s="836"/>
      <c r="P165" s="836"/>
      <c r="Q165" s="836"/>
      <c r="R165" s="309"/>
      <c r="S165" s="309"/>
      <c r="T165" s="309"/>
      <c r="U165" s="309"/>
      <c r="V165" s="311"/>
      <c r="W165" s="311"/>
      <c r="X165" s="311"/>
      <c r="Y165" s="311"/>
      <c r="Z165" s="311"/>
      <c r="AA165" s="311"/>
      <c r="AB165" s="311"/>
      <c r="AC165" s="311"/>
      <c r="AD165" s="311"/>
      <c r="AE165" s="311"/>
      <c r="AF165" s="311"/>
      <c r="AG165" s="311"/>
      <c r="AH165" s="311"/>
      <c r="AI165" s="311"/>
      <c r="AJ165" s="311"/>
      <c r="AK165" s="311"/>
      <c r="AL165" s="311"/>
      <c r="AM165" s="311"/>
    </row>
    <row r="166" spans="1:39" ht="15.75" customHeight="1">
      <c r="A166" s="382"/>
      <c r="B166" s="311"/>
      <c r="C166" s="1647"/>
      <c r="D166" s="2173"/>
      <c r="E166" s="1586"/>
      <c r="F166" s="943"/>
      <c r="G166" s="1846"/>
      <c r="H166" s="1586"/>
      <c r="I166" s="1647"/>
      <c r="J166" s="2187"/>
      <c r="K166" s="1647"/>
      <c r="L166" s="1647"/>
      <c r="M166" s="836"/>
      <c r="N166" s="836"/>
      <c r="O166" s="836"/>
      <c r="P166" s="836"/>
      <c r="Q166" s="836"/>
      <c r="R166" s="309"/>
      <c r="S166" s="309"/>
      <c r="T166" s="309"/>
      <c r="U166" s="309"/>
      <c r="V166" s="311"/>
      <c r="W166" s="311"/>
      <c r="X166" s="311"/>
      <c r="Y166" s="311"/>
      <c r="Z166" s="311"/>
      <c r="AA166" s="311"/>
      <c r="AB166" s="311"/>
      <c r="AC166" s="311"/>
      <c r="AD166" s="311"/>
      <c r="AE166" s="311"/>
      <c r="AF166" s="311"/>
      <c r="AG166" s="311"/>
      <c r="AH166" s="311"/>
      <c r="AI166" s="311"/>
      <c r="AJ166" s="311"/>
      <c r="AK166" s="311"/>
      <c r="AL166" s="311"/>
      <c r="AM166" s="311"/>
    </row>
    <row r="167" spans="1:39" ht="15.75" customHeight="1">
      <c r="A167" s="382"/>
      <c r="B167" s="311"/>
      <c r="C167" s="1647"/>
      <c r="D167" s="2173"/>
      <c r="E167" s="1586"/>
      <c r="F167" s="943"/>
      <c r="G167" s="1846"/>
      <c r="H167" s="1586"/>
      <c r="I167" s="1647"/>
      <c r="J167" s="2187"/>
      <c r="K167" s="1647"/>
      <c r="L167" s="1647"/>
      <c r="M167" s="836"/>
      <c r="N167" s="836"/>
      <c r="O167" s="836"/>
      <c r="P167" s="836"/>
      <c r="Q167" s="836"/>
      <c r="R167" s="309"/>
      <c r="S167" s="309"/>
      <c r="T167" s="309"/>
      <c r="U167" s="309"/>
      <c r="V167" s="311"/>
      <c r="W167" s="311"/>
      <c r="X167" s="311"/>
      <c r="Y167" s="311"/>
      <c r="Z167" s="311"/>
      <c r="AA167" s="311"/>
      <c r="AB167" s="311"/>
      <c r="AC167" s="311"/>
      <c r="AD167" s="311"/>
      <c r="AE167" s="311"/>
      <c r="AF167" s="311"/>
      <c r="AG167" s="311"/>
      <c r="AH167" s="311"/>
      <c r="AI167" s="311"/>
      <c r="AJ167" s="311"/>
      <c r="AK167" s="311"/>
      <c r="AL167" s="311"/>
      <c r="AM167" s="311"/>
    </row>
    <row r="168" spans="1:39" ht="15.75" customHeight="1">
      <c r="A168" s="382"/>
      <c r="B168" s="311"/>
      <c r="C168" s="1647"/>
      <c r="D168" s="2173"/>
      <c r="E168" s="1586"/>
      <c r="F168" s="1948"/>
      <c r="G168" s="1846"/>
      <c r="H168" s="1586"/>
      <c r="I168" s="1647"/>
      <c r="J168" s="2187"/>
      <c r="K168" s="1647"/>
      <c r="L168" s="1647"/>
      <c r="M168" s="836"/>
      <c r="N168" s="836"/>
      <c r="O168" s="836"/>
      <c r="P168" s="836"/>
      <c r="Q168" s="836"/>
      <c r="R168" s="309"/>
      <c r="S168" s="309"/>
      <c r="T168" s="309"/>
      <c r="U168" s="309"/>
      <c r="V168" s="311"/>
      <c r="W168" s="311"/>
      <c r="X168" s="311"/>
      <c r="Y168" s="311"/>
      <c r="Z168" s="311"/>
      <c r="AA168" s="311"/>
      <c r="AB168" s="311"/>
      <c r="AC168" s="311"/>
      <c r="AD168" s="311"/>
      <c r="AE168" s="311"/>
      <c r="AF168" s="311"/>
      <c r="AG168" s="311"/>
      <c r="AH168" s="311"/>
      <c r="AI168" s="311"/>
      <c r="AJ168" s="311"/>
      <c r="AK168" s="311"/>
      <c r="AL168" s="311"/>
      <c r="AM168" s="311"/>
    </row>
    <row r="169" spans="1:39" ht="15.75" customHeight="1">
      <c r="A169" s="382"/>
      <c r="B169" s="311"/>
      <c r="C169" s="1647"/>
      <c r="D169" s="2173"/>
      <c r="E169" s="1586"/>
      <c r="F169" s="943"/>
      <c r="G169" s="1846"/>
      <c r="H169" s="1586"/>
      <c r="I169" s="1647"/>
      <c r="J169" s="2187"/>
      <c r="K169" s="1647"/>
      <c r="L169" s="1647"/>
      <c r="M169" s="836"/>
      <c r="N169" s="836"/>
      <c r="O169" s="836"/>
      <c r="P169" s="836"/>
      <c r="Q169" s="836"/>
      <c r="R169" s="309"/>
      <c r="S169" s="309"/>
      <c r="T169" s="309"/>
      <c r="U169" s="309"/>
      <c r="V169" s="311"/>
      <c r="W169" s="311"/>
      <c r="X169" s="311"/>
      <c r="Y169" s="311"/>
      <c r="Z169" s="311"/>
      <c r="AA169" s="311"/>
      <c r="AB169" s="311"/>
      <c r="AC169" s="311"/>
      <c r="AD169" s="311"/>
      <c r="AE169" s="311"/>
      <c r="AF169" s="311"/>
      <c r="AG169" s="311"/>
      <c r="AH169" s="311"/>
      <c r="AI169" s="311"/>
      <c r="AJ169" s="311"/>
      <c r="AK169" s="311"/>
      <c r="AL169" s="311"/>
      <c r="AM169" s="311"/>
    </row>
    <row r="170" spans="1:39" ht="15.75" customHeight="1">
      <c r="A170" s="382"/>
      <c r="B170" s="311"/>
      <c r="C170" s="1647"/>
      <c r="D170" s="2173"/>
      <c r="E170" s="1586"/>
      <c r="F170" s="943"/>
      <c r="G170" s="1846"/>
      <c r="H170" s="1586"/>
      <c r="I170" s="1647"/>
      <c r="J170" s="2187"/>
      <c r="K170" s="1647"/>
      <c r="L170" s="1647"/>
      <c r="M170" s="836"/>
      <c r="N170" s="836"/>
      <c r="O170" s="836"/>
      <c r="P170" s="836"/>
      <c r="Q170" s="836"/>
      <c r="R170" s="309"/>
      <c r="S170" s="309"/>
      <c r="T170" s="309"/>
      <c r="U170" s="309"/>
      <c r="V170" s="311"/>
      <c r="W170" s="311"/>
      <c r="X170" s="311"/>
      <c r="Y170" s="311"/>
      <c r="Z170" s="311"/>
      <c r="AA170" s="311"/>
      <c r="AB170" s="311"/>
      <c r="AC170" s="311"/>
      <c r="AD170" s="311"/>
      <c r="AE170" s="311"/>
      <c r="AF170" s="311"/>
      <c r="AG170" s="311"/>
      <c r="AH170" s="311"/>
      <c r="AI170" s="311"/>
      <c r="AJ170" s="311"/>
      <c r="AK170" s="311"/>
      <c r="AL170" s="311"/>
      <c r="AM170" s="311"/>
    </row>
    <row r="171" spans="1:39" ht="15.75" customHeight="1">
      <c r="A171" s="382"/>
      <c r="B171" s="311"/>
      <c r="C171" s="1647"/>
      <c r="D171" s="2173"/>
      <c r="E171" s="1586"/>
      <c r="F171" s="943"/>
      <c r="G171" s="1846"/>
      <c r="H171" s="1586"/>
      <c r="I171" s="1647"/>
      <c r="J171" s="2187"/>
      <c r="K171" s="1647"/>
      <c r="L171" s="1647"/>
      <c r="M171" s="836"/>
      <c r="N171" s="836"/>
      <c r="O171" s="836"/>
      <c r="P171" s="836"/>
      <c r="Q171" s="836"/>
      <c r="R171" s="309"/>
      <c r="S171" s="309"/>
      <c r="T171" s="309"/>
      <c r="U171" s="309"/>
      <c r="V171" s="311"/>
      <c r="W171" s="311"/>
      <c r="X171" s="311"/>
      <c r="Y171" s="311"/>
      <c r="Z171" s="311"/>
      <c r="AA171" s="311"/>
      <c r="AB171" s="311"/>
      <c r="AC171" s="311"/>
      <c r="AD171" s="311"/>
      <c r="AE171" s="311"/>
      <c r="AF171" s="311"/>
      <c r="AG171" s="311"/>
      <c r="AH171" s="311"/>
      <c r="AI171" s="311"/>
      <c r="AJ171" s="311"/>
      <c r="AK171" s="311"/>
      <c r="AL171" s="311"/>
      <c r="AM171" s="311"/>
    </row>
    <row r="172" spans="1:39" ht="15.75" customHeight="1">
      <c r="A172" s="382"/>
      <c r="B172" s="311"/>
      <c r="C172" s="1647"/>
      <c r="D172" s="2173"/>
      <c r="E172" s="1586"/>
      <c r="F172" s="943"/>
      <c r="G172" s="1846"/>
      <c r="H172" s="1586"/>
      <c r="I172" s="1647"/>
      <c r="J172" s="2187"/>
      <c r="K172" s="1647"/>
      <c r="L172" s="1647"/>
      <c r="M172" s="836"/>
      <c r="N172" s="836"/>
      <c r="O172" s="836"/>
      <c r="P172" s="836"/>
      <c r="Q172" s="836"/>
      <c r="R172" s="309"/>
      <c r="S172" s="309"/>
      <c r="T172" s="309"/>
      <c r="U172" s="309"/>
      <c r="V172" s="311"/>
      <c r="W172" s="311"/>
      <c r="X172" s="311"/>
      <c r="Y172" s="311"/>
      <c r="Z172" s="311"/>
      <c r="AA172" s="311"/>
      <c r="AB172" s="311"/>
      <c r="AC172" s="311"/>
      <c r="AD172" s="311"/>
      <c r="AE172" s="311"/>
      <c r="AF172" s="311"/>
      <c r="AG172" s="311"/>
      <c r="AH172" s="311"/>
      <c r="AI172" s="311"/>
      <c r="AJ172" s="311"/>
      <c r="AK172" s="311"/>
      <c r="AL172" s="311"/>
      <c r="AM172" s="311"/>
    </row>
    <row r="173" spans="1:39" ht="15.75" customHeight="1">
      <c r="A173" s="382"/>
      <c r="B173" s="311"/>
      <c r="C173" s="1647"/>
      <c r="D173" s="2173"/>
      <c r="E173" s="1586"/>
      <c r="F173" s="943"/>
      <c r="G173" s="1846"/>
      <c r="H173" s="1586"/>
      <c r="I173" s="1647"/>
      <c r="J173" s="2187"/>
      <c r="K173" s="1647"/>
      <c r="L173" s="1647"/>
      <c r="M173" s="836"/>
      <c r="N173" s="836"/>
      <c r="O173" s="836"/>
      <c r="P173" s="836"/>
      <c r="Q173" s="836"/>
      <c r="R173" s="309"/>
      <c r="S173" s="309"/>
      <c r="T173" s="309"/>
      <c r="U173" s="309"/>
      <c r="V173" s="311"/>
      <c r="W173" s="311"/>
      <c r="X173" s="311"/>
      <c r="Y173" s="311"/>
      <c r="Z173" s="311"/>
      <c r="AA173" s="311"/>
      <c r="AB173" s="311"/>
      <c r="AC173" s="311"/>
      <c r="AD173" s="311"/>
      <c r="AE173" s="311"/>
      <c r="AF173" s="311"/>
      <c r="AG173" s="311"/>
      <c r="AH173" s="311"/>
      <c r="AI173" s="311"/>
      <c r="AJ173" s="311"/>
      <c r="AK173" s="311"/>
      <c r="AL173" s="311"/>
      <c r="AM173" s="311"/>
    </row>
    <row r="174" spans="1:39" ht="15.75" customHeight="1">
      <c r="A174" s="382"/>
      <c r="B174" s="311"/>
      <c r="C174" s="1647"/>
      <c r="D174" s="2173"/>
      <c r="E174" s="1586"/>
      <c r="F174" s="943"/>
      <c r="G174" s="1846"/>
      <c r="H174" s="1586"/>
      <c r="I174" s="1647"/>
      <c r="J174" s="2187"/>
      <c r="K174" s="1647"/>
      <c r="L174" s="1647"/>
      <c r="M174" s="836"/>
      <c r="N174" s="836"/>
      <c r="O174" s="836"/>
      <c r="P174" s="836"/>
      <c r="Q174" s="836"/>
      <c r="R174" s="309"/>
      <c r="S174" s="309"/>
      <c r="T174" s="309"/>
      <c r="U174" s="309"/>
      <c r="V174" s="311"/>
      <c r="W174" s="311"/>
      <c r="X174" s="311"/>
      <c r="Y174" s="311"/>
      <c r="Z174" s="311"/>
      <c r="AA174" s="311"/>
      <c r="AB174" s="311"/>
      <c r="AC174" s="311"/>
      <c r="AD174" s="311"/>
      <c r="AE174" s="311"/>
      <c r="AF174" s="311"/>
      <c r="AG174" s="311"/>
      <c r="AH174" s="311"/>
      <c r="AI174" s="311"/>
      <c r="AJ174" s="311"/>
      <c r="AK174" s="311"/>
      <c r="AL174" s="311"/>
      <c r="AM174" s="311"/>
    </row>
    <row r="175" spans="1:39" ht="15.75" customHeight="1">
      <c r="A175" s="382"/>
      <c r="B175" s="311"/>
      <c r="C175" s="1647"/>
      <c r="D175" s="2173"/>
      <c r="E175" s="1586"/>
      <c r="F175" s="943"/>
      <c r="G175" s="1846"/>
      <c r="H175" s="1586"/>
      <c r="I175" s="1647"/>
      <c r="J175" s="2187"/>
      <c r="K175" s="1647"/>
      <c r="L175" s="1647"/>
      <c r="M175" s="836"/>
      <c r="N175" s="836"/>
      <c r="O175" s="836"/>
      <c r="P175" s="836"/>
      <c r="Q175" s="836"/>
      <c r="R175" s="309"/>
      <c r="S175" s="309"/>
      <c r="T175" s="309"/>
      <c r="U175" s="309"/>
      <c r="V175" s="311"/>
      <c r="W175" s="311"/>
      <c r="X175" s="311"/>
      <c r="Y175" s="311"/>
      <c r="Z175" s="311"/>
      <c r="AA175" s="311"/>
      <c r="AB175" s="311"/>
      <c r="AC175" s="311"/>
      <c r="AD175" s="311"/>
      <c r="AE175" s="311"/>
      <c r="AF175" s="311"/>
      <c r="AG175" s="311"/>
      <c r="AH175" s="311"/>
      <c r="AI175" s="311"/>
      <c r="AJ175" s="311"/>
      <c r="AK175" s="311"/>
      <c r="AL175" s="311"/>
      <c r="AM175" s="311"/>
    </row>
    <row r="176" spans="1:39" ht="15.75" customHeight="1">
      <c r="A176" s="382"/>
      <c r="B176" s="311"/>
      <c r="C176" s="1647"/>
      <c r="D176" s="2173"/>
      <c r="E176" s="1586"/>
      <c r="F176" s="943"/>
      <c r="G176" s="1846"/>
      <c r="H176" s="1586"/>
      <c r="I176" s="1647"/>
      <c r="J176" s="2187"/>
      <c r="K176" s="1647"/>
      <c r="L176" s="1647"/>
      <c r="M176" s="836"/>
      <c r="N176" s="836"/>
      <c r="O176" s="836"/>
      <c r="P176" s="836"/>
      <c r="Q176" s="836"/>
      <c r="R176" s="309"/>
      <c r="S176" s="309"/>
      <c r="T176" s="309"/>
      <c r="U176" s="309"/>
      <c r="V176" s="311"/>
      <c r="W176" s="311"/>
      <c r="X176" s="311"/>
      <c r="Y176" s="311"/>
      <c r="Z176" s="311"/>
      <c r="AA176" s="311"/>
      <c r="AB176" s="311"/>
      <c r="AC176" s="311"/>
      <c r="AD176" s="311"/>
      <c r="AE176" s="311"/>
      <c r="AF176" s="311"/>
      <c r="AG176" s="311"/>
      <c r="AH176" s="311"/>
      <c r="AI176" s="311"/>
      <c r="AJ176" s="311"/>
      <c r="AK176" s="311"/>
      <c r="AL176" s="311"/>
      <c r="AM176" s="311"/>
    </row>
    <row r="177" spans="1:39" ht="15.75" customHeight="1">
      <c r="A177" s="382"/>
      <c r="B177" s="311"/>
      <c r="C177" s="1647"/>
      <c r="D177" s="2173"/>
      <c r="E177" s="1586"/>
      <c r="F177" s="943"/>
      <c r="G177" s="1846"/>
      <c r="H177" s="1586"/>
      <c r="I177" s="1647"/>
      <c r="J177" s="2187"/>
      <c r="K177" s="1647"/>
      <c r="L177" s="1647"/>
      <c r="M177" s="836"/>
      <c r="N177" s="836"/>
      <c r="O177" s="836"/>
      <c r="P177" s="836"/>
      <c r="Q177" s="836"/>
      <c r="R177" s="309"/>
      <c r="S177" s="309"/>
      <c r="T177" s="309"/>
      <c r="U177" s="309"/>
      <c r="V177" s="311"/>
      <c r="W177" s="311"/>
      <c r="X177" s="311"/>
      <c r="Y177" s="311"/>
      <c r="Z177" s="311"/>
      <c r="AA177" s="311"/>
      <c r="AB177" s="311"/>
      <c r="AC177" s="311"/>
      <c r="AD177" s="311"/>
      <c r="AE177" s="311"/>
      <c r="AF177" s="311"/>
      <c r="AG177" s="311"/>
      <c r="AH177" s="311"/>
      <c r="AI177" s="311"/>
      <c r="AJ177" s="311"/>
      <c r="AK177" s="311"/>
      <c r="AL177" s="311"/>
      <c r="AM177" s="311"/>
    </row>
    <row r="178" spans="1:39" ht="15.75" customHeight="1">
      <c r="A178" s="382"/>
      <c r="B178" s="311"/>
      <c r="C178" s="1647"/>
      <c r="D178" s="2173"/>
      <c r="E178" s="1586"/>
      <c r="F178" s="943"/>
      <c r="G178" s="1846"/>
      <c r="H178" s="1586"/>
      <c r="I178" s="1647"/>
      <c r="J178" s="2187"/>
      <c r="K178" s="1647"/>
      <c r="L178" s="1647"/>
      <c r="M178" s="836"/>
      <c r="N178" s="836"/>
      <c r="O178" s="836"/>
      <c r="P178" s="836"/>
      <c r="Q178" s="836"/>
      <c r="R178" s="309"/>
      <c r="S178" s="309"/>
      <c r="T178" s="309"/>
      <c r="U178" s="309"/>
      <c r="V178" s="311"/>
      <c r="W178" s="311"/>
      <c r="X178" s="311"/>
      <c r="Y178" s="311"/>
      <c r="Z178" s="311"/>
      <c r="AA178" s="311"/>
      <c r="AB178" s="311"/>
      <c r="AC178" s="311"/>
      <c r="AD178" s="311"/>
      <c r="AE178" s="311"/>
      <c r="AF178" s="311"/>
      <c r="AG178" s="311"/>
      <c r="AH178" s="311"/>
      <c r="AI178" s="311"/>
      <c r="AJ178" s="311"/>
      <c r="AK178" s="311"/>
      <c r="AL178" s="311"/>
      <c r="AM178" s="311"/>
    </row>
    <row r="179" spans="1:39" ht="15.75" customHeight="1">
      <c r="A179" s="382"/>
      <c r="B179" s="311"/>
      <c r="C179" s="1647"/>
      <c r="D179" s="2173"/>
      <c r="E179" s="1586"/>
      <c r="F179" s="1949"/>
      <c r="G179" s="1846"/>
      <c r="H179" s="1586"/>
      <c r="I179" s="1647"/>
      <c r="J179" s="2187"/>
      <c r="K179" s="1647"/>
      <c r="L179" s="1647"/>
      <c r="M179" s="836"/>
      <c r="N179" s="836"/>
      <c r="O179" s="836"/>
      <c r="P179" s="836"/>
      <c r="Q179" s="836"/>
      <c r="R179" s="309"/>
      <c r="S179" s="309"/>
      <c r="T179" s="309"/>
      <c r="U179" s="309"/>
      <c r="V179" s="311"/>
      <c r="W179" s="311"/>
      <c r="X179" s="311"/>
      <c r="Y179" s="311"/>
      <c r="Z179" s="311"/>
      <c r="AA179" s="311"/>
      <c r="AB179" s="311"/>
      <c r="AC179" s="311"/>
      <c r="AD179" s="311"/>
      <c r="AE179" s="311"/>
      <c r="AF179" s="311"/>
      <c r="AG179" s="311"/>
      <c r="AH179" s="311"/>
      <c r="AI179" s="311"/>
      <c r="AJ179" s="311"/>
      <c r="AK179" s="311"/>
      <c r="AL179" s="311"/>
      <c r="AM179" s="311"/>
    </row>
    <row r="180" spans="1:39" ht="15.75" customHeight="1">
      <c r="A180" s="382"/>
      <c r="B180" s="311"/>
      <c r="C180" s="1647"/>
      <c r="D180" s="2173"/>
      <c r="E180" s="1586"/>
      <c r="F180" s="943"/>
      <c r="G180" s="1846"/>
      <c r="H180" s="1586"/>
      <c r="I180" s="1647"/>
      <c r="J180" s="2187"/>
      <c r="K180" s="1647"/>
      <c r="L180" s="1647"/>
      <c r="M180" s="836"/>
      <c r="N180" s="836"/>
      <c r="O180" s="836"/>
      <c r="P180" s="836"/>
      <c r="Q180" s="836"/>
      <c r="R180" s="309"/>
      <c r="S180" s="309"/>
      <c r="T180" s="309"/>
      <c r="U180" s="309"/>
      <c r="V180" s="311"/>
      <c r="W180" s="311"/>
      <c r="X180" s="311"/>
      <c r="Y180" s="311"/>
      <c r="Z180" s="311"/>
      <c r="AA180" s="311"/>
      <c r="AB180" s="311"/>
      <c r="AC180" s="311"/>
      <c r="AD180" s="311"/>
      <c r="AE180" s="311"/>
      <c r="AF180" s="311"/>
      <c r="AG180" s="311"/>
      <c r="AH180" s="311"/>
      <c r="AI180" s="311"/>
      <c r="AJ180" s="311"/>
      <c r="AK180" s="311"/>
      <c r="AL180" s="311"/>
      <c r="AM180" s="311"/>
    </row>
    <row r="181" spans="1:39" ht="15.75" customHeight="1">
      <c r="A181" s="382"/>
      <c r="B181" s="311"/>
      <c r="C181" s="1647"/>
      <c r="D181" s="2173"/>
      <c r="E181" s="1586"/>
      <c r="F181" s="686"/>
      <c r="G181" s="1846"/>
      <c r="H181" s="1586"/>
      <c r="I181" s="1647"/>
      <c r="J181" s="2187"/>
      <c r="K181" s="1647"/>
      <c r="L181" s="1647"/>
      <c r="M181" s="836"/>
      <c r="N181" s="836"/>
      <c r="O181" s="836"/>
      <c r="P181" s="836"/>
      <c r="Q181" s="836"/>
      <c r="R181" s="309"/>
      <c r="S181" s="309"/>
      <c r="T181" s="309"/>
      <c r="U181" s="309"/>
      <c r="V181" s="311"/>
      <c r="W181" s="311"/>
      <c r="X181" s="311"/>
      <c r="Y181" s="311"/>
      <c r="Z181" s="311"/>
      <c r="AA181" s="311"/>
      <c r="AB181" s="311"/>
      <c r="AC181" s="311"/>
      <c r="AD181" s="311"/>
      <c r="AE181" s="311"/>
      <c r="AF181" s="311"/>
      <c r="AG181" s="311"/>
      <c r="AH181" s="311"/>
      <c r="AI181" s="311"/>
      <c r="AJ181" s="311"/>
      <c r="AK181" s="311"/>
      <c r="AL181" s="311"/>
      <c r="AM181" s="311"/>
    </row>
    <row r="182" spans="1:39" ht="15.75" customHeight="1">
      <c r="A182" s="382"/>
      <c r="B182" s="311"/>
      <c r="C182" s="1647"/>
      <c r="D182" s="2173"/>
      <c r="E182" s="1586"/>
      <c r="F182" s="1949"/>
      <c r="G182" s="1846"/>
      <c r="H182" s="1586"/>
      <c r="I182" s="1647"/>
      <c r="J182" s="2187"/>
      <c r="K182" s="1647"/>
      <c r="L182" s="1647"/>
      <c r="M182" s="836"/>
      <c r="N182" s="836"/>
      <c r="O182" s="836"/>
      <c r="P182" s="836"/>
      <c r="Q182" s="836"/>
      <c r="R182" s="309"/>
      <c r="S182" s="309"/>
      <c r="T182" s="309"/>
      <c r="U182" s="309"/>
      <c r="V182" s="311"/>
      <c r="W182" s="311"/>
      <c r="X182" s="311"/>
      <c r="Y182" s="311"/>
      <c r="Z182" s="311"/>
      <c r="AA182" s="311"/>
      <c r="AB182" s="311"/>
      <c r="AC182" s="311"/>
      <c r="AD182" s="311"/>
      <c r="AE182" s="311"/>
      <c r="AF182" s="311"/>
      <c r="AG182" s="311"/>
      <c r="AH182" s="311"/>
      <c r="AI182" s="311"/>
      <c r="AJ182" s="311"/>
      <c r="AK182" s="311"/>
      <c r="AL182" s="311"/>
      <c r="AM182" s="311"/>
    </row>
    <row r="183" spans="1:39" ht="15.75" customHeight="1">
      <c r="A183" s="382"/>
      <c r="B183" s="311"/>
      <c r="C183" s="1647"/>
      <c r="D183" s="2173"/>
      <c r="E183" s="1586"/>
      <c r="F183" s="943"/>
      <c r="G183" s="1846"/>
      <c r="H183" s="1586"/>
      <c r="I183" s="1647"/>
      <c r="J183" s="2187"/>
      <c r="K183" s="1647"/>
      <c r="L183" s="1647"/>
      <c r="M183" s="836"/>
      <c r="N183" s="836"/>
      <c r="O183" s="836"/>
      <c r="P183" s="836"/>
      <c r="Q183" s="836"/>
      <c r="R183" s="309"/>
      <c r="S183" s="309"/>
      <c r="T183" s="309"/>
      <c r="U183" s="309"/>
      <c r="V183" s="311"/>
      <c r="W183" s="311"/>
      <c r="X183" s="311"/>
      <c r="Y183" s="311"/>
      <c r="Z183" s="311"/>
      <c r="AA183" s="311"/>
      <c r="AB183" s="311"/>
      <c r="AC183" s="311"/>
      <c r="AD183" s="311"/>
      <c r="AE183" s="311"/>
      <c r="AF183" s="311"/>
      <c r="AG183" s="311"/>
      <c r="AH183" s="311"/>
      <c r="AI183" s="311"/>
      <c r="AJ183" s="311"/>
      <c r="AK183" s="311"/>
      <c r="AL183" s="311"/>
      <c r="AM183" s="311"/>
    </row>
    <row r="184" spans="1:39" ht="15.75" customHeight="1">
      <c r="A184" s="382"/>
      <c r="B184" s="311"/>
      <c r="C184" s="1647"/>
      <c r="D184" s="2173"/>
      <c r="E184" s="1586"/>
      <c r="F184" s="943"/>
      <c r="G184" s="1846"/>
      <c r="H184" s="1586"/>
      <c r="I184" s="1647"/>
      <c r="J184" s="2187"/>
      <c r="K184" s="1647"/>
      <c r="L184" s="1647"/>
      <c r="M184" s="836"/>
      <c r="N184" s="836"/>
      <c r="O184" s="836"/>
      <c r="P184" s="836"/>
      <c r="Q184" s="836"/>
      <c r="R184" s="309"/>
      <c r="S184" s="309"/>
      <c r="T184" s="309"/>
      <c r="U184" s="309"/>
      <c r="V184" s="311"/>
      <c r="W184" s="311"/>
      <c r="X184" s="311"/>
      <c r="Y184" s="311"/>
      <c r="Z184" s="311"/>
      <c r="AA184" s="311"/>
      <c r="AB184" s="311"/>
      <c r="AC184" s="311"/>
      <c r="AD184" s="311"/>
      <c r="AE184" s="311"/>
      <c r="AF184" s="311"/>
      <c r="AG184" s="311"/>
      <c r="AH184" s="311"/>
      <c r="AI184" s="311"/>
      <c r="AJ184" s="311"/>
      <c r="AK184" s="311"/>
      <c r="AL184" s="311"/>
      <c r="AM184" s="311"/>
    </row>
    <row r="185" spans="1:39" ht="15.75" customHeight="1">
      <c r="A185" s="382"/>
      <c r="B185" s="311"/>
      <c r="C185" s="1647"/>
      <c r="D185" s="2173"/>
      <c r="E185" s="1586"/>
      <c r="F185" s="943"/>
      <c r="G185" s="1846"/>
      <c r="H185" s="1586"/>
      <c r="I185" s="1647"/>
      <c r="J185" s="2187"/>
      <c r="K185" s="1647"/>
      <c r="L185" s="1647"/>
      <c r="M185" s="836"/>
      <c r="N185" s="836"/>
      <c r="O185" s="836"/>
      <c r="P185" s="836"/>
      <c r="Q185" s="836"/>
      <c r="R185" s="309"/>
      <c r="S185" s="309"/>
      <c r="T185" s="309"/>
      <c r="U185" s="309"/>
      <c r="V185" s="311"/>
      <c r="W185" s="311"/>
      <c r="X185" s="311"/>
      <c r="Y185" s="311"/>
      <c r="Z185" s="311"/>
      <c r="AA185" s="311"/>
      <c r="AB185" s="311"/>
      <c r="AC185" s="311"/>
      <c r="AD185" s="311"/>
      <c r="AE185" s="311"/>
      <c r="AF185" s="311"/>
      <c r="AG185" s="311"/>
      <c r="AH185" s="311"/>
      <c r="AI185" s="311"/>
      <c r="AJ185" s="311"/>
      <c r="AK185" s="311"/>
      <c r="AL185" s="311"/>
      <c r="AM185" s="311"/>
    </row>
    <row r="186" spans="1:39" ht="15.75" customHeight="1">
      <c r="A186" s="382"/>
      <c r="B186" s="311"/>
      <c r="C186" s="1647"/>
      <c r="D186" s="2173"/>
      <c r="E186" s="1586"/>
      <c r="F186" s="943"/>
      <c r="G186" s="1846"/>
      <c r="H186" s="1586"/>
      <c r="I186" s="1647"/>
      <c r="J186" s="2187"/>
      <c r="K186" s="1647"/>
      <c r="L186" s="1647"/>
      <c r="M186" s="836"/>
      <c r="N186" s="836"/>
      <c r="O186" s="836"/>
      <c r="P186" s="836"/>
      <c r="Q186" s="836"/>
      <c r="R186" s="309"/>
      <c r="S186" s="309"/>
      <c r="T186" s="309"/>
      <c r="U186" s="309"/>
      <c r="V186" s="311"/>
      <c r="W186" s="311"/>
      <c r="X186" s="311"/>
      <c r="Y186" s="311"/>
      <c r="Z186" s="311"/>
      <c r="AA186" s="311"/>
      <c r="AB186" s="311"/>
      <c r="AC186" s="311"/>
      <c r="AD186" s="311"/>
      <c r="AE186" s="311"/>
      <c r="AF186" s="311"/>
      <c r="AG186" s="311"/>
      <c r="AH186" s="311"/>
      <c r="AI186" s="311"/>
      <c r="AJ186" s="311"/>
      <c r="AK186" s="311"/>
      <c r="AL186" s="311"/>
      <c r="AM186" s="311"/>
    </row>
    <row r="187" spans="1:39" ht="15.75" customHeight="1">
      <c r="A187" s="382"/>
      <c r="B187" s="311"/>
      <c r="C187" s="1647"/>
      <c r="D187" s="2173"/>
      <c r="E187" s="1586"/>
      <c r="F187" s="943"/>
      <c r="G187" s="1846"/>
      <c r="H187" s="1586"/>
      <c r="I187" s="1647"/>
      <c r="J187" s="2187"/>
      <c r="K187" s="1647"/>
      <c r="L187" s="1647"/>
      <c r="M187" s="836"/>
      <c r="N187" s="836"/>
      <c r="O187" s="836"/>
      <c r="P187" s="836"/>
      <c r="Q187" s="836"/>
      <c r="R187" s="309"/>
      <c r="S187" s="309"/>
      <c r="T187" s="309"/>
      <c r="U187" s="309"/>
      <c r="V187" s="311"/>
      <c r="W187" s="311"/>
      <c r="X187" s="311"/>
      <c r="Y187" s="311"/>
      <c r="Z187" s="311"/>
      <c r="AA187" s="311"/>
      <c r="AB187" s="311"/>
      <c r="AC187" s="311"/>
      <c r="AD187" s="311"/>
      <c r="AE187" s="311"/>
      <c r="AF187" s="311"/>
      <c r="AG187" s="311"/>
      <c r="AH187" s="311"/>
      <c r="AI187" s="311"/>
      <c r="AJ187" s="311"/>
      <c r="AK187" s="311"/>
      <c r="AL187" s="311"/>
      <c r="AM187" s="311"/>
    </row>
    <row r="188" spans="1:39" ht="15.75" customHeight="1">
      <c r="A188" s="382"/>
      <c r="B188" s="311"/>
      <c r="C188" s="1647"/>
      <c r="D188" s="2173"/>
      <c r="E188" s="1586"/>
      <c r="F188" s="943"/>
      <c r="G188" s="1846"/>
      <c r="H188" s="1586"/>
      <c r="I188" s="1647"/>
      <c r="J188" s="2187"/>
      <c r="K188" s="1647"/>
      <c r="L188" s="1647"/>
      <c r="M188" s="836"/>
      <c r="N188" s="836"/>
      <c r="O188" s="836"/>
      <c r="P188" s="836"/>
      <c r="Q188" s="836"/>
      <c r="R188" s="309"/>
      <c r="S188" s="309"/>
      <c r="T188" s="309"/>
      <c r="U188" s="309"/>
      <c r="V188" s="311"/>
      <c r="W188" s="311"/>
      <c r="X188" s="311"/>
      <c r="Y188" s="311"/>
      <c r="Z188" s="311"/>
      <c r="AA188" s="311"/>
      <c r="AB188" s="311"/>
      <c r="AC188" s="311"/>
      <c r="AD188" s="311"/>
      <c r="AE188" s="311"/>
      <c r="AF188" s="311"/>
      <c r="AG188" s="311"/>
      <c r="AH188" s="311"/>
      <c r="AI188" s="311"/>
      <c r="AJ188" s="311"/>
      <c r="AK188" s="311"/>
      <c r="AL188" s="311"/>
      <c r="AM188" s="311"/>
    </row>
    <row r="189" spans="1:39" ht="15.75" customHeight="1">
      <c r="A189" s="382"/>
      <c r="B189" s="311"/>
      <c r="C189" s="1647"/>
      <c r="D189" s="2173"/>
      <c r="E189" s="1586"/>
      <c r="F189" s="965"/>
      <c r="G189" s="1846"/>
      <c r="H189" s="1586"/>
      <c r="I189" s="1647"/>
      <c r="J189" s="2187"/>
      <c r="K189" s="1647"/>
      <c r="L189" s="1647"/>
      <c r="M189" s="836"/>
      <c r="N189" s="836"/>
      <c r="O189" s="836"/>
      <c r="P189" s="836"/>
      <c r="Q189" s="836"/>
      <c r="R189" s="309"/>
      <c r="S189" s="309"/>
      <c r="T189" s="309"/>
      <c r="U189" s="309"/>
      <c r="V189" s="311"/>
      <c r="W189" s="311"/>
      <c r="X189" s="311"/>
      <c r="Y189" s="311"/>
      <c r="Z189" s="311"/>
      <c r="AA189" s="311"/>
      <c r="AB189" s="311"/>
      <c r="AC189" s="311"/>
      <c r="AD189" s="311"/>
      <c r="AE189" s="311"/>
      <c r="AF189" s="311"/>
      <c r="AG189" s="311"/>
      <c r="AH189" s="311"/>
      <c r="AI189" s="311"/>
      <c r="AJ189" s="311"/>
      <c r="AK189" s="311"/>
      <c r="AL189" s="311"/>
      <c r="AM189" s="311"/>
    </row>
    <row r="190" spans="1:39" ht="15.75" customHeight="1">
      <c r="A190" s="382"/>
      <c r="B190" s="311"/>
      <c r="C190" s="1647"/>
      <c r="D190" s="2173"/>
      <c r="E190" s="1586"/>
      <c r="F190" s="943"/>
      <c r="G190" s="1846"/>
      <c r="H190" s="1586"/>
      <c r="I190" s="1647"/>
      <c r="J190" s="2187"/>
      <c r="K190" s="1647"/>
      <c r="L190" s="1647"/>
      <c r="M190" s="836"/>
      <c r="N190" s="836"/>
      <c r="O190" s="836"/>
      <c r="P190" s="836"/>
      <c r="Q190" s="836"/>
      <c r="R190" s="309"/>
      <c r="S190" s="309"/>
      <c r="T190" s="309"/>
      <c r="U190" s="309"/>
      <c r="V190" s="311"/>
      <c r="W190" s="311"/>
      <c r="X190" s="311"/>
      <c r="Y190" s="311"/>
      <c r="Z190" s="311"/>
      <c r="AA190" s="311"/>
      <c r="AB190" s="311"/>
      <c r="AC190" s="311"/>
      <c r="AD190" s="311"/>
      <c r="AE190" s="311"/>
      <c r="AF190" s="311"/>
      <c r="AG190" s="311"/>
      <c r="AH190" s="311"/>
      <c r="AI190" s="311"/>
      <c r="AJ190" s="311"/>
      <c r="AK190" s="311"/>
      <c r="AL190" s="311"/>
      <c r="AM190" s="311"/>
    </row>
    <row r="191" spans="1:39" ht="15.75" customHeight="1">
      <c r="A191" s="382"/>
      <c r="B191" s="311"/>
      <c r="C191" s="1647"/>
      <c r="D191" s="2173"/>
      <c r="E191" s="1586"/>
      <c r="F191" s="943"/>
      <c r="G191" s="1846"/>
      <c r="H191" s="1586"/>
      <c r="I191" s="1647"/>
      <c r="J191" s="2187"/>
      <c r="K191" s="1647"/>
      <c r="L191" s="1647"/>
      <c r="M191" s="836"/>
      <c r="N191" s="836"/>
      <c r="O191" s="836"/>
      <c r="P191" s="836"/>
      <c r="Q191" s="836"/>
      <c r="R191" s="309"/>
      <c r="S191" s="309"/>
      <c r="T191" s="309"/>
      <c r="U191" s="309"/>
      <c r="V191" s="311"/>
      <c r="W191" s="311"/>
      <c r="X191" s="311"/>
      <c r="Y191" s="311"/>
      <c r="Z191" s="311"/>
      <c r="AA191" s="311"/>
      <c r="AB191" s="311"/>
      <c r="AC191" s="311"/>
      <c r="AD191" s="311"/>
      <c r="AE191" s="311"/>
      <c r="AF191" s="311"/>
      <c r="AG191" s="311"/>
      <c r="AH191" s="311"/>
      <c r="AI191" s="311"/>
      <c r="AJ191" s="311"/>
      <c r="AK191" s="311"/>
      <c r="AL191" s="311"/>
      <c r="AM191" s="311"/>
    </row>
    <row r="192" spans="1:39" ht="15.75" customHeight="1">
      <c r="A192" s="382"/>
      <c r="B192" s="311"/>
      <c r="C192" s="1647"/>
      <c r="D192" s="2173"/>
      <c r="E192" s="1586"/>
      <c r="F192" s="943"/>
      <c r="G192" s="1846"/>
      <c r="H192" s="1586"/>
      <c r="I192" s="1647"/>
      <c r="J192" s="2187"/>
      <c r="K192" s="1647"/>
      <c r="L192" s="1647"/>
      <c r="M192" s="836"/>
      <c r="N192" s="836"/>
      <c r="O192" s="836"/>
      <c r="P192" s="836"/>
      <c r="Q192" s="836"/>
      <c r="R192" s="309"/>
      <c r="S192" s="309"/>
      <c r="T192" s="309"/>
      <c r="U192" s="309"/>
      <c r="V192" s="311"/>
      <c r="W192" s="311"/>
      <c r="X192" s="311"/>
      <c r="Y192" s="311"/>
      <c r="Z192" s="311"/>
      <c r="AA192" s="311"/>
      <c r="AB192" s="311"/>
      <c r="AC192" s="311"/>
      <c r="AD192" s="311"/>
      <c r="AE192" s="311"/>
      <c r="AF192" s="311"/>
      <c r="AG192" s="311"/>
      <c r="AH192" s="311"/>
      <c r="AI192" s="311"/>
      <c r="AJ192" s="311"/>
      <c r="AK192" s="311"/>
      <c r="AL192" s="311"/>
      <c r="AM192" s="311"/>
    </row>
    <row r="193" spans="1:39" ht="15.75" customHeight="1">
      <c r="A193" s="382"/>
      <c r="B193" s="311"/>
      <c r="C193" s="1647"/>
      <c r="D193" s="2173"/>
      <c r="E193" s="1586"/>
      <c r="F193" s="943"/>
      <c r="G193" s="1846"/>
      <c r="H193" s="1586"/>
      <c r="I193" s="1647"/>
      <c r="J193" s="2187"/>
      <c r="K193" s="1647"/>
      <c r="L193" s="1647"/>
      <c r="M193" s="836"/>
      <c r="N193" s="836"/>
      <c r="O193" s="836"/>
      <c r="P193" s="836"/>
      <c r="Q193" s="836"/>
      <c r="R193" s="309"/>
      <c r="S193" s="309"/>
      <c r="T193" s="309"/>
      <c r="U193" s="309"/>
      <c r="V193" s="311"/>
      <c r="W193" s="311"/>
      <c r="X193" s="311"/>
      <c r="Y193" s="311"/>
      <c r="Z193" s="311"/>
      <c r="AA193" s="311"/>
      <c r="AB193" s="311"/>
      <c r="AC193" s="311"/>
      <c r="AD193" s="311"/>
      <c r="AE193" s="311"/>
      <c r="AF193" s="311"/>
      <c r="AG193" s="311"/>
      <c r="AH193" s="311"/>
      <c r="AI193" s="311"/>
      <c r="AJ193" s="311"/>
      <c r="AK193" s="311"/>
      <c r="AL193" s="311"/>
      <c r="AM193" s="311"/>
    </row>
    <row r="194" spans="1:39" ht="15.75" customHeight="1">
      <c r="A194" s="382"/>
      <c r="B194" s="311"/>
      <c r="C194" s="1647"/>
      <c r="D194" s="2173"/>
      <c r="E194" s="1586"/>
      <c r="F194" s="943"/>
      <c r="G194" s="1846"/>
      <c r="H194" s="1586"/>
      <c r="I194" s="1647"/>
      <c r="J194" s="2187"/>
      <c r="K194" s="1647"/>
      <c r="L194" s="1647"/>
      <c r="M194" s="836"/>
      <c r="N194" s="836"/>
      <c r="O194" s="836"/>
      <c r="P194" s="836"/>
      <c r="Q194" s="836"/>
      <c r="R194" s="309"/>
      <c r="S194" s="309"/>
      <c r="T194" s="309"/>
      <c r="U194" s="309"/>
      <c r="V194" s="311"/>
      <c r="W194" s="311"/>
      <c r="X194" s="311"/>
      <c r="Y194" s="311"/>
      <c r="Z194" s="311"/>
      <c r="AA194" s="311"/>
      <c r="AB194" s="311"/>
      <c r="AC194" s="311"/>
      <c r="AD194" s="311"/>
      <c r="AE194" s="311"/>
      <c r="AF194" s="311"/>
      <c r="AG194" s="311"/>
      <c r="AH194" s="311"/>
      <c r="AI194" s="311"/>
      <c r="AJ194" s="311"/>
      <c r="AK194" s="311"/>
      <c r="AL194" s="311"/>
      <c r="AM194" s="311"/>
    </row>
    <row r="195" spans="1:39" ht="15.75" customHeight="1">
      <c r="A195" s="382"/>
      <c r="B195" s="311"/>
      <c r="C195" s="1647"/>
      <c r="D195" s="2173"/>
      <c r="E195" s="1586"/>
      <c r="F195" s="943"/>
      <c r="G195" s="1846"/>
      <c r="H195" s="1586"/>
      <c r="I195" s="1647"/>
      <c r="J195" s="2187"/>
      <c r="K195" s="1647"/>
      <c r="L195" s="1647"/>
      <c r="M195" s="836"/>
      <c r="N195" s="836"/>
      <c r="O195" s="836"/>
      <c r="P195" s="836"/>
      <c r="Q195" s="836"/>
      <c r="R195" s="309"/>
      <c r="S195" s="309"/>
      <c r="T195" s="309"/>
      <c r="U195" s="309"/>
      <c r="V195" s="311"/>
      <c r="W195" s="311"/>
      <c r="X195" s="311"/>
      <c r="Y195" s="311"/>
      <c r="Z195" s="311"/>
      <c r="AA195" s="311"/>
      <c r="AB195" s="311"/>
      <c r="AC195" s="311"/>
      <c r="AD195" s="311"/>
      <c r="AE195" s="311"/>
      <c r="AF195" s="311"/>
      <c r="AG195" s="311"/>
      <c r="AH195" s="311"/>
      <c r="AI195" s="311"/>
      <c r="AJ195" s="311"/>
      <c r="AK195" s="311"/>
      <c r="AL195" s="311"/>
      <c r="AM195" s="311"/>
    </row>
    <row r="196" spans="1:39" ht="15.75" customHeight="1">
      <c r="A196" s="382"/>
      <c r="B196" s="311"/>
      <c r="C196" s="1647"/>
      <c r="D196" s="2173"/>
      <c r="E196" s="1586"/>
      <c r="F196" s="943"/>
      <c r="G196" s="1846"/>
      <c r="H196" s="1586"/>
      <c r="I196" s="1647"/>
      <c r="J196" s="2187"/>
      <c r="K196" s="1647"/>
      <c r="L196" s="1647"/>
      <c r="M196" s="836"/>
      <c r="N196" s="836"/>
      <c r="O196" s="836"/>
      <c r="P196" s="836"/>
      <c r="Q196" s="836"/>
      <c r="R196" s="309"/>
      <c r="S196" s="309"/>
      <c r="T196" s="309"/>
      <c r="U196" s="309"/>
      <c r="V196" s="311"/>
      <c r="W196" s="311"/>
      <c r="X196" s="311"/>
      <c r="Y196" s="311"/>
      <c r="Z196" s="311"/>
      <c r="AA196" s="311"/>
      <c r="AB196" s="311"/>
      <c r="AC196" s="311"/>
      <c r="AD196" s="311"/>
      <c r="AE196" s="311"/>
      <c r="AF196" s="311"/>
      <c r="AG196" s="311"/>
      <c r="AH196" s="311"/>
      <c r="AI196" s="311"/>
      <c r="AJ196" s="311"/>
      <c r="AK196" s="311"/>
      <c r="AL196" s="311"/>
      <c r="AM196" s="311"/>
    </row>
    <row r="197" spans="1:39" ht="15.75" customHeight="1">
      <c r="A197" s="382"/>
      <c r="B197" s="311"/>
      <c r="C197" s="1647"/>
      <c r="D197" s="2173"/>
      <c r="E197" s="1586"/>
      <c r="F197" s="943"/>
      <c r="G197" s="1846"/>
      <c r="H197" s="1586"/>
      <c r="I197" s="1647"/>
      <c r="J197" s="2187"/>
      <c r="K197" s="1647"/>
      <c r="L197" s="1647"/>
      <c r="M197" s="836"/>
      <c r="N197" s="836"/>
      <c r="O197" s="836"/>
      <c r="P197" s="836"/>
      <c r="Q197" s="836"/>
      <c r="R197" s="309"/>
      <c r="S197" s="309"/>
      <c r="T197" s="309"/>
      <c r="U197" s="309"/>
      <c r="V197" s="311"/>
      <c r="W197" s="311"/>
      <c r="X197" s="311"/>
      <c r="Y197" s="311"/>
      <c r="Z197" s="311"/>
      <c r="AA197" s="311"/>
      <c r="AB197" s="311"/>
      <c r="AC197" s="311"/>
      <c r="AD197" s="311"/>
      <c r="AE197" s="311"/>
      <c r="AF197" s="311"/>
      <c r="AG197" s="311"/>
      <c r="AH197" s="311"/>
      <c r="AI197" s="311"/>
      <c r="AJ197" s="311"/>
      <c r="AK197" s="311"/>
      <c r="AL197" s="311"/>
      <c r="AM197" s="311"/>
    </row>
    <row r="198" spans="1:39" ht="15.75" customHeight="1">
      <c r="A198" s="382"/>
      <c r="B198" s="311"/>
      <c r="C198" s="1647"/>
      <c r="D198" s="2173"/>
      <c r="E198" s="1586"/>
      <c r="F198" s="943"/>
      <c r="G198" s="1846"/>
      <c r="H198" s="1586"/>
      <c r="I198" s="1647"/>
      <c r="J198" s="2187"/>
      <c r="K198" s="1647"/>
      <c r="L198" s="1647"/>
      <c r="M198" s="836"/>
      <c r="N198" s="836"/>
      <c r="O198" s="836"/>
      <c r="P198" s="836"/>
      <c r="Q198" s="836"/>
      <c r="R198" s="309"/>
      <c r="S198" s="309"/>
      <c r="T198" s="309"/>
      <c r="U198" s="309"/>
      <c r="V198" s="311"/>
      <c r="W198" s="311"/>
      <c r="X198" s="311"/>
      <c r="Y198" s="311"/>
      <c r="Z198" s="311"/>
      <c r="AA198" s="311"/>
      <c r="AB198" s="311"/>
      <c r="AC198" s="311"/>
      <c r="AD198" s="311"/>
      <c r="AE198" s="311"/>
      <c r="AF198" s="311"/>
      <c r="AG198" s="311"/>
      <c r="AH198" s="311"/>
      <c r="AI198" s="311"/>
      <c r="AJ198" s="311"/>
      <c r="AK198" s="311"/>
      <c r="AL198" s="311"/>
      <c r="AM198" s="311"/>
    </row>
    <row r="199" spans="1:39" ht="15.75" customHeight="1">
      <c r="A199" s="382"/>
      <c r="B199" s="311"/>
      <c r="C199" s="1647"/>
      <c r="D199" s="2173"/>
      <c r="E199" s="1586"/>
      <c r="F199" s="943"/>
      <c r="G199" s="1846"/>
      <c r="H199" s="1586"/>
      <c r="I199" s="1647"/>
      <c r="J199" s="2187"/>
      <c r="K199" s="1647"/>
      <c r="L199" s="1647"/>
      <c r="M199" s="836"/>
      <c r="N199" s="836"/>
      <c r="O199" s="836"/>
      <c r="P199" s="836"/>
      <c r="Q199" s="836"/>
      <c r="R199" s="309"/>
      <c r="S199" s="309"/>
      <c r="T199" s="309"/>
      <c r="U199" s="309"/>
      <c r="V199" s="311"/>
      <c r="W199" s="311"/>
      <c r="X199" s="311"/>
      <c r="Y199" s="311"/>
      <c r="Z199" s="311"/>
      <c r="AA199" s="311"/>
      <c r="AB199" s="311"/>
      <c r="AC199" s="311"/>
      <c r="AD199" s="311"/>
      <c r="AE199" s="311"/>
      <c r="AF199" s="311"/>
      <c r="AG199" s="311"/>
      <c r="AH199" s="311"/>
      <c r="AI199" s="311"/>
      <c r="AJ199" s="311"/>
      <c r="AK199" s="311"/>
      <c r="AL199" s="311"/>
      <c r="AM199" s="311"/>
    </row>
    <row r="200" spans="1:39" ht="15.75" customHeight="1">
      <c r="A200" s="382"/>
      <c r="B200" s="311"/>
      <c r="C200" s="1647"/>
      <c r="D200" s="2173"/>
      <c r="E200" s="1586"/>
      <c r="F200" s="943"/>
      <c r="G200" s="1846"/>
      <c r="H200" s="1586"/>
      <c r="I200" s="1647"/>
      <c r="J200" s="2187"/>
      <c r="K200" s="1647"/>
      <c r="L200" s="1647"/>
      <c r="M200" s="836"/>
      <c r="N200" s="836"/>
      <c r="O200" s="836"/>
      <c r="P200" s="836"/>
      <c r="Q200" s="836"/>
      <c r="R200" s="309"/>
      <c r="S200" s="309"/>
      <c r="T200" s="309"/>
      <c r="U200" s="309"/>
      <c r="V200" s="311"/>
      <c r="W200" s="311"/>
      <c r="X200" s="311"/>
      <c r="Y200" s="311"/>
      <c r="Z200" s="311"/>
      <c r="AA200" s="311"/>
      <c r="AB200" s="311"/>
      <c r="AC200" s="311"/>
      <c r="AD200" s="311"/>
      <c r="AE200" s="311"/>
      <c r="AF200" s="311"/>
      <c r="AG200" s="311"/>
      <c r="AH200" s="311"/>
      <c r="AI200" s="311"/>
      <c r="AJ200" s="311"/>
      <c r="AK200" s="311"/>
      <c r="AL200" s="311"/>
      <c r="AM200" s="311"/>
    </row>
    <row r="201" spans="1:39" ht="15.75" customHeight="1">
      <c r="A201" s="382"/>
      <c r="B201" s="311"/>
      <c r="C201" s="1647"/>
      <c r="D201" s="2173"/>
      <c r="E201" s="1586"/>
      <c r="F201" s="1950"/>
      <c r="G201" s="1846"/>
      <c r="H201" s="1586"/>
      <c r="I201" s="1647"/>
      <c r="J201" s="2187"/>
      <c r="K201" s="1647"/>
      <c r="L201" s="1647"/>
      <c r="M201" s="836"/>
      <c r="N201" s="836"/>
      <c r="O201" s="836"/>
      <c r="P201" s="836"/>
      <c r="Q201" s="836"/>
      <c r="R201" s="309"/>
      <c r="S201" s="309"/>
      <c r="T201" s="309"/>
      <c r="U201" s="309"/>
      <c r="V201" s="311"/>
      <c r="W201" s="311"/>
      <c r="X201" s="311"/>
      <c r="Y201" s="311"/>
      <c r="Z201" s="311"/>
      <c r="AA201" s="311"/>
      <c r="AB201" s="311"/>
      <c r="AC201" s="311"/>
      <c r="AD201" s="311"/>
      <c r="AE201" s="311"/>
      <c r="AF201" s="311"/>
      <c r="AG201" s="311"/>
      <c r="AH201" s="311"/>
      <c r="AI201" s="311"/>
      <c r="AJ201" s="311"/>
      <c r="AK201" s="311"/>
      <c r="AL201" s="311"/>
      <c r="AM201" s="311"/>
    </row>
    <row r="202" spans="1:39" ht="15.75" customHeight="1">
      <c r="A202" s="382"/>
      <c r="B202" s="311"/>
      <c r="C202" s="1647"/>
      <c r="D202" s="2173"/>
      <c r="E202" s="1586"/>
      <c r="F202" s="1951"/>
      <c r="G202" s="1846"/>
      <c r="H202" s="1586"/>
      <c r="I202" s="1647"/>
      <c r="J202" s="2187"/>
      <c r="K202" s="1647"/>
      <c r="L202" s="1647"/>
      <c r="M202" s="836"/>
      <c r="N202" s="836"/>
      <c r="O202" s="836"/>
      <c r="P202" s="836"/>
      <c r="Q202" s="836"/>
      <c r="R202" s="309"/>
      <c r="S202" s="309"/>
      <c r="T202" s="309"/>
      <c r="U202" s="309"/>
      <c r="V202" s="311"/>
      <c r="W202" s="311"/>
      <c r="X202" s="311"/>
      <c r="Y202" s="311"/>
      <c r="Z202" s="311"/>
      <c r="AA202" s="311"/>
      <c r="AB202" s="311"/>
      <c r="AC202" s="311"/>
      <c r="AD202" s="311"/>
      <c r="AE202" s="311"/>
      <c r="AF202" s="311"/>
      <c r="AG202" s="311"/>
      <c r="AH202" s="311"/>
      <c r="AI202" s="311"/>
      <c r="AJ202" s="311"/>
      <c r="AK202" s="311"/>
      <c r="AL202" s="311"/>
      <c r="AM202" s="311"/>
    </row>
    <row r="203" spans="1:39" ht="15.75" customHeight="1">
      <c r="A203" s="382"/>
      <c r="B203" s="311"/>
      <c r="C203" s="1647"/>
      <c r="D203" s="2173"/>
      <c r="E203" s="1586"/>
      <c r="F203" s="943"/>
      <c r="G203" s="1846"/>
      <c r="H203" s="1586"/>
      <c r="I203" s="1647"/>
      <c r="J203" s="2187"/>
      <c r="K203" s="1647"/>
      <c r="L203" s="1647"/>
      <c r="M203" s="836"/>
      <c r="N203" s="836"/>
      <c r="O203" s="836"/>
      <c r="P203" s="836"/>
      <c r="Q203" s="836"/>
      <c r="R203" s="309"/>
      <c r="S203" s="309"/>
      <c r="T203" s="309"/>
      <c r="U203" s="309"/>
      <c r="V203" s="311"/>
      <c r="W203" s="311"/>
      <c r="X203" s="311"/>
      <c r="Y203" s="311"/>
      <c r="Z203" s="311"/>
      <c r="AA203" s="311"/>
      <c r="AB203" s="311"/>
      <c r="AC203" s="311"/>
      <c r="AD203" s="311"/>
      <c r="AE203" s="311"/>
      <c r="AF203" s="311"/>
      <c r="AG203" s="311"/>
      <c r="AH203" s="311"/>
      <c r="AI203" s="311"/>
      <c r="AJ203" s="311"/>
      <c r="AK203" s="311"/>
      <c r="AL203" s="311"/>
      <c r="AM203" s="311"/>
    </row>
    <row r="204" spans="1:39" ht="15.75" customHeight="1">
      <c r="A204" s="382"/>
      <c r="B204" s="311"/>
      <c r="C204" s="1647"/>
      <c r="D204" s="2173"/>
      <c r="E204" s="1586"/>
      <c r="F204" s="1950"/>
      <c r="G204" s="1846"/>
      <c r="H204" s="1586"/>
      <c r="I204" s="1647"/>
      <c r="J204" s="2187"/>
      <c r="K204" s="1647"/>
      <c r="L204" s="1647"/>
      <c r="M204" s="836"/>
      <c r="N204" s="836"/>
      <c r="O204" s="836"/>
      <c r="P204" s="836"/>
      <c r="Q204" s="836"/>
      <c r="R204" s="309"/>
      <c r="S204" s="309"/>
      <c r="T204" s="309"/>
      <c r="U204" s="309"/>
      <c r="V204" s="311"/>
      <c r="W204" s="311"/>
      <c r="X204" s="311"/>
      <c r="Y204" s="311"/>
      <c r="Z204" s="311"/>
      <c r="AA204" s="311"/>
      <c r="AB204" s="311"/>
      <c r="AC204" s="311"/>
      <c r="AD204" s="311"/>
      <c r="AE204" s="311"/>
      <c r="AF204" s="311"/>
      <c r="AG204" s="311"/>
      <c r="AH204" s="311"/>
      <c r="AI204" s="311"/>
      <c r="AJ204" s="311"/>
      <c r="AK204" s="311"/>
      <c r="AL204" s="311"/>
      <c r="AM204" s="311"/>
    </row>
    <row r="205" spans="1:39" ht="15.75" customHeight="1">
      <c r="A205" s="382"/>
      <c r="B205" s="311"/>
      <c r="C205" s="1647"/>
      <c r="D205" s="2173"/>
      <c r="E205" s="1586"/>
      <c r="F205" s="943"/>
      <c r="G205" s="1846"/>
      <c r="H205" s="1586"/>
      <c r="I205" s="1647"/>
      <c r="J205" s="2187"/>
      <c r="K205" s="1647"/>
      <c r="L205" s="1647"/>
      <c r="M205" s="836"/>
      <c r="N205" s="836"/>
      <c r="O205" s="836"/>
      <c r="P205" s="836"/>
      <c r="Q205" s="836"/>
      <c r="R205" s="309"/>
      <c r="S205" s="309"/>
      <c r="T205" s="309"/>
      <c r="U205" s="309"/>
      <c r="V205" s="311"/>
      <c r="W205" s="311"/>
      <c r="X205" s="311"/>
      <c r="Y205" s="311"/>
      <c r="Z205" s="311"/>
      <c r="AA205" s="311"/>
      <c r="AB205" s="311"/>
      <c r="AC205" s="311"/>
      <c r="AD205" s="311"/>
      <c r="AE205" s="311"/>
      <c r="AF205" s="311"/>
      <c r="AG205" s="311"/>
      <c r="AH205" s="311"/>
      <c r="AI205" s="311"/>
      <c r="AJ205" s="311"/>
      <c r="AK205" s="311"/>
      <c r="AL205" s="311"/>
      <c r="AM205" s="311"/>
    </row>
    <row r="206" spans="1:39" ht="15.75" customHeight="1">
      <c r="A206" s="382"/>
      <c r="B206" s="311"/>
      <c r="C206" s="1647"/>
      <c r="D206" s="2173"/>
      <c r="E206" s="1586"/>
      <c r="F206" s="943"/>
      <c r="G206" s="1846"/>
      <c r="H206" s="1586"/>
      <c r="I206" s="1647"/>
      <c r="J206" s="2187"/>
      <c r="K206" s="1647"/>
      <c r="L206" s="1647"/>
      <c r="M206" s="836"/>
      <c r="N206" s="836"/>
      <c r="O206" s="836"/>
      <c r="P206" s="836"/>
      <c r="Q206" s="836"/>
      <c r="R206" s="309"/>
      <c r="S206" s="309"/>
      <c r="T206" s="309"/>
      <c r="U206" s="309"/>
      <c r="V206" s="311"/>
      <c r="W206" s="311"/>
      <c r="X206" s="311"/>
      <c r="Y206" s="311"/>
      <c r="Z206" s="311"/>
      <c r="AA206" s="311"/>
      <c r="AB206" s="311"/>
      <c r="AC206" s="311"/>
      <c r="AD206" s="311"/>
      <c r="AE206" s="311"/>
      <c r="AF206" s="311"/>
      <c r="AG206" s="311"/>
      <c r="AH206" s="311"/>
      <c r="AI206" s="311"/>
      <c r="AJ206" s="311"/>
      <c r="AK206" s="311"/>
      <c r="AL206" s="311"/>
      <c r="AM206" s="311"/>
    </row>
    <row r="207" spans="1:39" ht="15.75" customHeight="1">
      <c r="A207" s="382"/>
      <c r="B207" s="311"/>
      <c r="C207" s="1647"/>
      <c r="D207" s="2173"/>
      <c r="E207" s="1586"/>
      <c r="F207" s="943"/>
      <c r="G207" s="1846"/>
      <c r="H207" s="1586"/>
      <c r="I207" s="1647"/>
      <c r="J207" s="2187"/>
      <c r="K207" s="1647"/>
      <c r="L207" s="1647"/>
      <c r="M207" s="836"/>
      <c r="N207" s="836"/>
      <c r="O207" s="836"/>
      <c r="P207" s="836"/>
      <c r="Q207" s="836"/>
      <c r="R207" s="309"/>
      <c r="S207" s="309"/>
      <c r="T207" s="309"/>
      <c r="U207" s="309"/>
      <c r="V207" s="311"/>
      <c r="W207" s="311"/>
      <c r="X207" s="311"/>
      <c r="Y207" s="311"/>
      <c r="Z207" s="311"/>
      <c r="AA207" s="311"/>
      <c r="AB207" s="311"/>
      <c r="AC207" s="311"/>
      <c r="AD207" s="311"/>
      <c r="AE207" s="311"/>
      <c r="AF207" s="311"/>
      <c r="AG207" s="311"/>
      <c r="AH207" s="311"/>
      <c r="AI207" s="311"/>
      <c r="AJ207" s="311"/>
      <c r="AK207" s="311"/>
      <c r="AL207" s="311"/>
      <c r="AM207" s="311"/>
    </row>
    <row r="208" spans="1:39" ht="15.75" customHeight="1">
      <c r="A208" s="382"/>
      <c r="B208" s="311"/>
      <c r="C208" s="1647"/>
      <c r="D208" s="2173"/>
      <c r="E208" s="1586"/>
      <c r="F208" s="943"/>
      <c r="G208" s="1846"/>
      <c r="H208" s="1586"/>
      <c r="I208" s="1647"/>
      <c r="J208" s="2187"/>
      <c r="K208" s="1647"/>
      <c r="L208" s="1647"/>
      <c r="M208" s="836"/>
      <c r="N208" s="836"/>
      <c r="O208" s="836"/>
      <c r="P208" s="836"/>
      <c r="Q208" s="836"/>
      <c r="R208" s="309"/>
      <c r="S208" s="309"/>
      <c r="T208" s="309"/>
      <c r="U208" s="309"/>
      <c r="V208" s="311"/>
      <c r="W208" s="311"/>
      <c r="X208" s="311"/>
      <c r="Y208" s="311"/>
      <c r="Z208" s="311"/>
      <c r="AA208" s="311"/>
      <c r="AB208" s="311"/>
      <c r="AC208" s="311"/>
      <c r="AD208" s="311"/>
      <c r="AE208" s="311"/>
      <c r="AF208" s="311"/>
      <c r="AG208" s="311"/>
      <c r="AH208" s="311"/>
      <c r="AI208" s="311"/>
      <c r="AJ208" s="311"/>
      <c r="AK208" s="311"/>
      <c r="AL208" s="311"/>
      <c r="AM208" s="311"/>
    </row>
    <row r="209" spans="1:39" ht="15.75" customHeight="1">
      <c r="A209" s="382"/>
      <c r="B209" s="311"/>
      <c r="C209" s="1647"/>
      <c r="D209" s="2173"/>
      <c r="E209" s="1586"/>
      <c r="F209" s="943"/>
      <c r="G209" s="1846"/>
      <c r="H209" s="1586"/>
      <c r="I209" s="1647"/>
      <c r="J209" s="2187"/>
      <c r="K209" s="1647"/>
      <c r="L209" s="1647"/>
      <c r="M209" s="836"/>
      <c r="N209" s="836"/>
      <c r="O209" s="836"/>
      <c r="P209" s="836"/>
      <c r="Q209" s="836"/>
      <c r="R209" s="309"/>
      <c r="S209" s="309"/>
      <c r="T209" s="309"/>
      <c r="U209" s="309"/>
      <c r="V209" s="311"/>
      <c r="W209" s="311"/>
      <c r="X209" s="311"/>
      <c r="Y209" s="311"/>
      <c r="Z209" s="311"/>
      <c r="AA209" s="311"/>
      <c r="AB209" s="311"/>
      <c r="AC209" s="311"/>
      <c r="AD209" s="311"/>
      <c r="AE209" s="311"/>
      <c r="AF209" s="311"/>
      <c r="AG209" s="311"/>
      <c r="AH209" s="311"/>
      <c r="AI209" s="311"/>
      <c r="AJ209" s="311"/>
      <c r="AK209" s="311"/>
      <c r="AL209" s="311"/>
      <c r="AM209" s="311"/>
    </row>
    <row r="210" spans="1:39" ht="15.75" customHeight="1">
      <c r="A210" s="382"/>
      <c r="B210" s="311"/>
      <c r="C210" s="1647"/>
      <c r="D210" s="2173"/>
      <c r="E210" s="1586"/>
      <c r="F210" s="943"/>
      <c r="G210" s="1846"/>
      <c r="H210" s="1586"/>
      <c r="I210" s="1647"/>
      <c r="J210" s="2187"/>
      <c r="K210" s="1647"/>
      <c r="L210" s="1647"/>
      <c r="M210" s="836"/>
      <c r="N210" s="836"/>
      <c r="O210" s="836"/>
      <c r="P210" s="836"/>
      <c r="Q210" s="836"/>
      <c r="R210" s="309"/>
      <c r="S210" s="309"/>
      <c r="T210" s="309"/>
      <c r="U210" s="309"/>
      <c r="V210" s="311"/>
      <c r="W210" s="311"/>
      <c r="X210" s="311"/>
      <c r="Y210" s="311"/>
      <c r="Z210" s="311"/>
      <c r="AA210" s="311"/>
      <c r="AB210" s="311"/>
      <c r="AC210" s="311"/>
      <c r="AD210" s="311"/>
      <c r="AE210" s="311"/>
      <c r="AF210" s="311"/>
      <c r="AG210" s="311"/>
      <c r="AH210" s="311"/>
      <c r="AI210" s="311"/>
      <c r="AJ210" s="311"/>
      <c r="AK210" s="311"/>
      <c r="AL210" s="311"/>
      <c r="AM210" s="311"/>
    </row>
    <row r="211" spans="1:39" ht="15.75" customHeight="1">
      <c r="A211" s="382"/>
      <c r="B211" s="311"/>
      <c r="C211" s="1647"/>
      <c r="D211" s="2173"/>
      <c r="E211" s="1586"/>
      <c r="F211" s="943"/>
      <c r="G211" s="1846"/>
      <c r="H211" s="1586"/>
      <c r="I211" s="1647"/>
      <c r="J211" s="2187"/>
      <c r="K211" s="1647"/>
      <c r="L211" s="1647"/>
      <c r="M211" s="836"/>
      <c r="N211" s="836"/>
      <c r="O211" s="836"/>
      <c r="P211" s="836"/>
      <c r="Q211" s="836"/>
      <c r="R211" s="309"/>
      <c r="S211" s="309"/>
      <c r="T211" s="309"/>
      <c r="U211" s="309"/>
      <c r="V211" s="311"/>
      <c r="W211" s="311"/>
      <c r="X211" s="311"/>
      <c r="Y211" s="311"/>
      <c r="Z211" s="311"/>
      <c r="AA211" s="311"/>
      <c r="AB211" s="311"/>
      <c r="AC211" s="311"/>
      <c r="AD211" s="311"/>
      <c r="AE211" s="311"/>
      <c r="AF211" s="311"/>
      <c r="AG211" s="311"/>
      <c r="AH211" s="311"/>
      <c r="AI211" s="311"/>
      <c r="AJ211" s="311"/>
      <c r="AK211" s="311"/>
      <c r="AL211" s="311"/>
      <c r="AM211" s="311"/>
    </row>
    <row r="212" spans="1:39" ht="15.75" customHeight="1">
      <c r="A212" s="382"/>
      <c r="B212" s="311"/>
      <c r="C212" s="1647"/>
      <c r="D212" s="2173"/>
      <c r="E212" s="1586"/>
      <c r="F212" s="943"/>
      <c r="G212" s="1846"/>
      <c r="H212" s="1586"/>
      <c r="I212" s="1647"/>
      <c r="J212" s="2187"/>
      <c r="K212" s="1647"/>
      <c r="L212" s="1647"/>
      <c r="M212" s="836"/>
      <c r="N212" s="836"/>
      <c r="O212" s="836"/>
      <c r="P212" s="836"/>
      <c r="Q212" s="836"/>
      <c r="R212" s="309"/>
      <c r="S212" s="309"/>
      <c r="T212" s="309"/>
      <c r="U212" s="309"/>
      <c r="V212" s="311"/>
      <c r="W212" s="311"/>
      <c r="X212" s="311"/>
      <c r="Y212" s="311"/>
      <c r="Z212" s="311"/>
      <c r="AA212" s="311"/>
      <c r="AB212" s="311"/>
      <c r="AC212" s="311"/>
      <c r="AD212" s="311"/>
      <c r="AE212" s="311"/>
      <c r="AF212" s="311"/>
      <c r="AG212" s="311"/>
      <c r="AH212" s="311"/>
      <c r="AI212" s="311"/>
      <c r="AJ212" s="311"/>
      <c r="AK212" s="311"/>
      <c r="AL212" s="311"/>
      <c r="AM212" s="311"/>
    </row>
    <row r="213" spans="1:39" ht="15.75" customHeight="1">
      <c r="A213" s="382"/>
      <c r="B213" s="311"/>
      <c r="C213" s="1647"/>
      <c r="D213" s="2173"/>
      <c r="E213" s="1586"/>
      <c r="F213" s="943"/>
      <c r="G213" s="1846"/>
      <c r="H213" s="1586"/>
      <c r="I213" s="1647"/>
      <c r="J213" s="2187"/>
      <c r="K213" s="1647"/>
      <c r="L213" s="1647"/>
      <c r="M213" s="836"/>
      <c r="N213" s="836"/>
      <c r="O213" s="836"/>
      <c r="P213" s="836"/>
      <c r="Q213" s="836"/>
      <c r="R213" s="309"/>
      <c r="S213" s="309"/>
      <c r="T213" s="309"/>
      <c r="U213" s="309"/>
      <c r="V213" s="311"/>
      <c r="W213" s="311"/>
      <c r="X213" s="311"/>
      <c r="Y213" s="311"/>
      <c r="Z213" s="311"/>
      <c r="AA213" s="311"/>
      <c r="AB213" s="311"/>
      <c r="AC213" s="311"/>
      <c r="AD213" s="311"/>
      <c r="AE213" s="311"/>
      <c r="AF213" s="311"/>
      <c r="AG213" s="311"/>
      <c r="AH213" s="311"/>
      <c r="AI213" s="311"/>
      <c r="AJ213" s="311"/>
      <c r="AK213" s="311"/>
      <c r="AL213" s="311"/>
      <c r="AM213" s="311"/>
    </row>
    <row r="214" spans="1:39" ht="15.75" customHeight="1">
      <c r="A214" s="382"/>
      <c r="B214" s="311"/>
      <c r="C214" s="1647"/>
      <c r="D214" s="2173"/>
      <c r="E214" s="1586"/>
      <c r="F214" s="137"/>
      <c r="G214" s="1846"/>
      <c r="H214" s="1586"/>
      <c r="I214" s="1647"/>
      <c r="J214" s="2187"/>
      <c r="K214" s="1647"/>
      <c r="L214" s="1647"/>
      <c r="M214" s="836"/>
      <c r="N214" s="836"/>
      <c r="O214" s="836"/>
      <c r="P214" s="836"/>
      <c r="Q214" s="836"/>
      <c r="R214" s="309"/>
      <c r="S214" s="309"/>
      <c r="T214" s="309"/>
      <c r="U214" s="309"/>
      <c r="V214" s="311"/>
      <c r="W214" s="311"/>
      <c r="X214" s="311"/>
      <c r="Y214" s="311"/>
      <c r="Z214" s="311"/>
      <c r="AA214" s="311"/>
      <c r="AB214" s="311"/>
      <c r="AC214" s="311"/>
      <c r="AD214" s="311"/>
      <c r="AE214" s="311"/>
      <c r="AF214" s="311"/>
      <c r="AG214" s="311"/>
      <c r="AH214" s="311"/>
      <c r="AI214" s="311"/>
      <c r="AJ214" s="311"/>
      <c r="AK214" s="311"/>
      <c r="AL214" s="311"/>
      <c r="AM214" s="311"/>
    </row>
    <row r="215" spans="1:39" ht="15.75" customHeight="1">
      <c r="A215" s="382"/>
      <c r="B215" s="311"/>
      <c r="C215" s="1647"/>
      <c r="D215" s="2173"/>
      <c r="E215" s="1586"/>
      <c r="F215" s="943"/>
      <c r="G215" s="1846"/>
      <c r="H215" s="1586"/>
      <c r="I215" s="1647"/>
      <c r="J215" s="2187"/>
      <c r="K215" s="1647"/>
      <c r="L215" s="1647"/>
      <c r="M215" s="836"/>
      <c r="N215" s="836"/>
      <c r="O215" s="836"/>
      <c r="P215" s="836"/>
      <c r="Q215" s="836"/>
      <c r="R215" s="309"/>
      <c r="S215" s="309"/>
      <c r="T215" s="309"/>
      <c r="U215" s="309"/>
      <c r="V215" s="311"/>
      <c r="W215" s="311"/>
      <c r="X215" s="311"/>
      <c r="Y215" s="311"/>
      <c r="Z215" s="311"/>
      <c r="AA215" s="311"/>
      <c r="AB215" s="311"/>
      <c r="AC215" s="311"/>
      <c r="AD215" s="311"/>
      <c r="AE215" s="311"/>
      <c r="AF215" s="311"/>
      <c r="AG215" s="311"/>
      <c r="AH215" s="311"/>
      <c r="AI215" s="311"/>
      <c r="AJ215" s="311"/>
      <c r="AK215" s="311"/>
      <c r="AL215" s="311"/>
      <c r="AM215" s="311"/>
    </row>
    <row r="216" spans="1:39" ht="15.75" customHeight="1">
      <c r="A216" s="382"/>
      <c r="B216" s="311"/>
      <c r="C216" s="1647"/>
      <c r="D216" s="2173"/>
      <c r="E216" s="1586"/>
      <c r="F216" s="943"/>
      <c r="G216" s="1846"/>
      <c r="H216" s="1586"/>
      <c r="I216" s="1647"/>
      <c r="J216" s="2187"/>
      <c r="K216" s="1647"/>
      <c r="L216" s="1647"/>
      <c r="M216" s="836"/>
      <c r="N216" s="836"/>
      <c r="O216" s="836"/>
      <c r="P216" s="836"/>
      <c r="Q216" s="836"/>
      <c r="R216" s="309"/>
      <c r="S216" s="309"/>
      <c r="T216" s="309"/>
      <c r="U216" s="309"/>
      <c r="V216" s="311"/>
      <c r="W216" s="311"/>
      <c r="X216" s="311"/>
      <c r="Y216" s="311"/>
      <c r="Z216" s="311"/>
      <c r="AA216" s="311"/>
      <c r="AB216" s="311"/>
      <c r="AC216" s="311"/>
      <c r="AD216" s="311"/>
      <c r="AE216" s="311"/>
      <c r="AF216" s="311"/>
      <c r="AG216" s="311"/>
      <c r="AH216" s="311"/>
      <c r="AI216" s="311"/>
      <c r="AJ216" s="311"/>
      <c r="AK216" s="311"/>
      <c r="AL216" s="311"/>
      <c r="AM216" s="311"/>
    </row>
    <row r="217" spans="1:39" ht="15.75" customHeight="1">
      <c r="A217" s="382"/>
      <c r="B217" s="311"/>
      <c r="C217" s="1647"/>
      <c r="D217" s="2173"/>
      <c r="E217" s="1586"/>
      <c r="F217" s="137"/>
      <c r="G217" s="1846"/>
      <c r="H217" s="1586"/>
      <c r="I217" s="1647"/>
      <c r="J217" s="2187"/>
      <c r="K217" s="1647"/>
      <c r="L217" s="1647"/>
      <c r="M217" s="836"/>
      <c r="N217" s="836"/>
      <c r="O217" s="836"/>
      <c r="P217" s="836"/>
      <c r="Q217" s="836"/>
      <c r="R217" s="309"/>
      <c r="S217" s="309"/>
      <c r="T217" s="309"/>
      <c r="U217" s="309"/>
      <c r="V217" s="311"/>
      <c r="W217" s="311"/>
      <c r="X217" s="311"/>
      <c r="Y217" s="311"/>
      <c r="Z217" s="311"/>
      <c r="AA217" s="311"/>
      <c r="AB217" s="311"/>
      <c r="AC217" s="311"/>
      <c r="AD217" s="311"/>
      <c r="AE217" s="311"/>
      <c r="AF217" s="311"/>
      <c r="AG217" s="311"/>
      <c r="AH217" s="311"/>
      <c r="AI217" s="311"/>
      <c r="AJ217" s="311"/>
      <c r="AK217" s="311"/>
      <c r="AL217" s="311"/>
      <c r="AM217" s="311"/>
    </row>
    <row r="218" spans="1:39" ht="15.75" customHeight="1">
      <c r="A218" s="382"/>
      <c r="B218" s="311"/>
      <c r="C218" s="1647"/>
      <c r="D218" s="2173"/>
      <c r="E218" s="1586"/>
      <c r="F218" s="1948"/>
      <c r="G218" s="1846"/>
      <c r="H218" s="1586"/>
      <c r="I218" s="1647"/>
      <c r="J218" s="2187"/>
      <c r="K218" s="1647"/>
      <c r="L218" s="1647"/>
      <c r="M218" s="836"/>
      <c r="N218" s="836"/>
      <c r="O218" s="836"/>
      <c r="P218" s="836"/>
      <c r="Q218" s="836"/>
      <c r="R218" s="309"/>
      <c r="S218" s="309"/>
      <c r="T218" s="309"/>
      <c r="U218" s="309"/>
      <c r="V218" s="311"/>
      <c r="W218" s="311"/>
      <c r="X218" s="311"/>
      <c r="Y218" s="311"/>
      <c r="Z218" s="311"/>
      <c r="AA218" s="311"/>
      <c r="AB218" s="311"/>
      <c r="AC218" s="311"/>
      <c r="AD218" s="311"/>
      <c r="AE218" s="311"/>
      <c r="AF218" s="311"/>
      <c r="AG218" s="311"/>
      <c r="AH218" s="311"/>
      <c r="AI218" s="311"/>
      <c r="AJ218" s="311"/>
      <c r="AK218" s="311"/>
      <c r="AL218" s="311"/>
      <c r="AM218" s="311"/>
    </row>
    <row r="219" spans="1:39" ht="15.75" customHeight="1">
      <c r="A219" s="382"/>
      <c r="B219" s="311"/>
      <c r="C219" s="1647"/>
      <c r="D219" s="2173"/>
      <c r="E219" s="1586"/>
      <c r="F219" s="943"/>
      <c r="G219" s="1846"/>
      <c r="H219" s="1586"/>
      <c r="I219" s="1647"/>
      <c r="J219" s="2187"/>
      <c r="K219" s="1647"/>
      <c r="L219" s="1647"/>
      <c r="M219" s="836"/>
      <c r="N219" s="836"/>
      <c r="O219" s="836"/>
      <c r="P219" s="836"/>
      <c r="Q219" s="836"/>
      <c r="R219" s="309"/>
      <c r="S219" s="309"/>
      <c r="T219" s="309"/>
      <c r="U219" s="309"/>
      <c r="V219" s="311"/>
      <c r="W219" s="311"/>
      <c r="X219" s="311"/>
      <c r="Y219" s="311"/>
      <c r="Z219" s="311"/>
      <c r="AA219" s="311"/>
      <c r="AB219" s="311"/>
      <c r="AC219" s="311"/>
      <c r="AD219" s="311"/>
      <c r="AE219" s="311"/>
      <c r="AF219" s="311"/>
      <c r="AG219" s="311"/>
      <c r="AH219" s="311"/>
      <c r="AI219" s="311"/>
      <c r="AJ219" s="311"/>
      <c r="AK219" s="311"/>
      <c r="AL219" s="311"/>
      <c r="AM219" s="311"/>
    </row>
    <row r="220" spans="1:39" ht="15.75" customHeight="1">
      <c r="A220" s="382"/>
      <c r="B220" s="311"/>
      <c r="C220" s="1647"/>
      <c r="D220" s="2173"/>
      <c r="E220" s="1586"/>
      <c r="F220" s="943"/>
      <c r="G220" s="1846"/>
      <c r="H220" s="1586"/>
      <c r="I220" s="1647"/>
      <c r="J220" s="2187"/>
      <c r="K220" s="1647"/>
      <c r="L220" s="1647"/>
      <c r="M220" s="836"/>
      <c r="N220" s="836"/>
      <c r="O220" s="836"/>
      <c r="P220" s="836"/>
      <c r="Q220" s="836"/>
      <c r="R220" s="309"/>
      <c r="S220" s="309"/>
      <c r="T220" s="309"/>
      <c r="U220" s="309"/>
      <c r="V220" s="311"/>
      <c r="W220" s="311"/>
      <c r="X220" s="311"/>
      <c r="Y220" s="311"/>
      <c r="Z220" s="311"/>
      <c r="AA220" s="311"/>
      <c r="AB220" s="311"/>
      <c r="AC220" s="311"/>
      <c r="AD220" s="311"/>
      <c r="AE220" s="311"/>
      <c r="AF220" s="311"/>
      <c r="AG220" s="311"/>
      <c r="AH220" s="311"/>
      <c r="AI220" s="311"/>
      <c r="AJ220" s="311"/>
      <c r="AK220" s="311"/>
      <c r="AL220" s="311"/>
      <c r="AM220" s="311"/>
    </row>
    <row r="221" spans="1:39" ht="15.75" customHeight="1">
      <c r="A221" s="382"/>
      <c r="B221" s="311"/>
      <c r="C221" s="1647"/>
      <c r="D221" s="2173"/>
      <c r="E221" s="1586"/>
      <c r="F221" s="943"/>
      <c r="G221" s="1846"/>
      <c r="H221" s="1586"/>
      <c r="I221" s="1647"/>
      <c r="J221" s="2187"/>
      <c r="K221" s="1647"/>
      <c r="L221" s="1647"/>
      <c r="M221" s="836"/>
      <c r="N221" s="836"/>
      <c r="O221" s="836"/>
      <c r="P221" s="836"/>
      <c r="Q221" s="836"/>
      <c r="R221" s="309"/>
      <c r="S221" s="309"/>
      <c r="T221" s="309"/>
      <c r="U221" s="309"/>
      <c r="V221" s="311"/>
      <c r="W221" s="311"/>
      <c r="X221" s="311"/>
      <c r="Y221" s="311"/>
      <c r="Z221" s="311"/>
      <c r="AA221" s="311"/>
      <c r="AB221" s="311"/>
      <c r="AC221" s="311"/>
      <c r="AD221" s="311"/>
      <c r="AE221" s="311"/>
      <c r="AF221" s="311"/>
      <c r="AG221" s="311"/>
      <c r="AH221" s="311"/>
      <c r="AI221" s="311"/>
      <c r="AJ221" s="311"/>
      <c r="AK221" s="311"/>
      <c r="AL221" s="311"/>
      <c r="AM221" s="311"/>
    </row>
    <row r="222" spans="1:39" ht="15.75" customHeight="1">
      <c r="A222" s="382"/>
      <c r="B222" s="311"/>
      <c r="C222" s="1647"/>
      <c r="D222" s="2173"/>
      <c r="E222" s="1586"/>
      <c r="F222" s="137"/>
      <c r="G222" s="1846"/>
      <c r="H222" s="1586"/>
      <c r="I222" s="1647"/>
      <c r="J222" s="2187"/>
      <c r="K222" s="1647"/>
      <c r="L222" s="1647"/>
      <c r="M222" s="836"/>
      <c r="N222" s="836"/>
      <c r="O222" s="836"/>
      <c r="P222" s="836"/>
      <c r="Q222" s="836"/>
      <c r="R222" s="309"/>
      <c r="S222" s="309"/>
      <c r="T222" s="309"/>
      <c r="U222" s="309"/>
      <c r="V222" s="311"/>
      <c r="W222" s="311"/>
      <c r="X222" s="311"/>
      <c r="Y222" s="311"/>
      <c r="Z222" s="311"/>
      <c r="AA222" s="311"/>
      <c r="AB222" s="311"/>
      <c r="AC222" s="311"/>
      <c r="AD222" s="311"/>
      <c r="AE222" s="311"/>
      <c r="AF222" s="311"/>
      <c r="AG222" s="311"/>
      <c r="AH222" s="311"/>
      <c r="AI222" s="311"/>
      <c r="AJ222" s="311"/>
      <c r="AK222" s="311"/>
      <c r="AL222" s="311"/>
      <c r="AM222" s="311"/>
    </row>
    <row r="223" spans="1:39" ht="15.75" customHeight="1">
      <c r="A223" s="382"/>
      <c r="B223" s="311"/>
      <c r="C223" s="1647"/>
      <c r="D223" s="2173"/>
      <c r="E223" s="1586"/>
      <c r="F223" s="943"/>
      <c r="G223" s="1846"/>
      <c r="H223" s="1586"/>
      <c r="I223" s="1647"/>
      <c r="J223" s="2187"/>
      <c r="K223" s="1647"/>
      <c r="L223" s="1647"/>
      <c r="M223" s="836"/>
      <c r="N223" s="836"/>
      <c r="O223" s="836"/>
      <c r="P223" s="836"/>
      <c r="Q223" s="836"/>
      <c r="R223" s="309"/>
      <c r="S223" s="309"/>
      <c r="T223" s="309"/>
      <c r="U223" s="309"/>
      <c r="V223" s="311"/>
      <c r="W223" s="311"/>
      <c r="X223" s="311"/>
      <c r="Y223" s="311"/>
      <c r="Z223" s="311"/>
      <c r="AA223" s="311"/>
      <c r="AB223" s="311"/>
      <c r="AC223" s="311"/>
      <c r="AD223" s="311"/>
      <c r="AE223" s="311"/>
      <c r="AF223" s="311"/>
      <c r="AG223" s="311"/>
      <c r="AH223" s="311"/>
      <c r="AI223" s="311"/>
      <c r="AJ223" s="311"/>
      <c r="AK223" s="311"/>
      <c r="AL223" s="311"/>
      <c r="AM223" s="311"/>
    </row>
    <row r="224" spans="1:39" ht="15.75" customHeight="1">
      <c r="A224" s="382"/>
      <c r="B224" s="311"/>
      <c r="C224" s="1647"/>
      <c r="D224" s="2173"/>
      <c r="E224" s="1586"/>
      <c r="F224" s="943"/>
      <c r="G224" s="1846"/>
      <c r="H224" s="1586"/>
      <c r="I224" s="1647"/>
      <c r="J224" s="2187"/>
      <c r="K224" s="1647"/>
      <c r="L224" s="1647"/>
      <c r="M224" s="2174"/>
      <c r="N224" s="836"/>
      <c r="O224" s="836"/>
      <c r="P224" s="2174"/>
      <c r="Q224" s="836"/>
      <c r="R224" s="309"/>
      <c r="S224" s="309"/>
      <c r="T224" s="309"/>
      <c r="U224" s="309"/>
      <c r="V224" s="311"/>
      <c r="W224" s="311"/>
      <c r="X224" s="311"/>
      <c r="Y224" s="311"/>
      <c r="Z224" s="311"/>
      <c r="AA224" s="311"/>
      <c r="AB224" s="311"/>
      <c r="AC224" s="311"/>
      <c r="AD224" s="311"/>
      <c r="AE224" s="311"/>
      <c r="AF224" s="311"/>
      <c r="AG224" s="311"/>
      <c r="AH224" s="311"/>
      <c r="AI224" s="311"/>
      <c r="AJ224" s="311"/>
      <c r="AK224" s="311"/>
      <c r="AL224" s="311"/>
      <c r="AM224" s="311"/>
    </row>
    <row r="225" spans="1:39" ht="15.75" customHeight="1">
      <c r="A225" s="382"/>
      <c r="B225" s="311"/>
      <c r="C225" s="1647"/>
      <c r="D225" s="2173"/>
      <c r="E225" s="1586"/>
      <c r="F225" s="943"/>
      <c r="G225" s="1846"/>
      <c r="H225" s="1586"/>
      <c r="I225" s="1647"/>
      <c r="J225" s="2187"/>
      <c r="K225" s="1647"/>
      <c r="L225" s="1647"/>
      <c r="M225" s="2174"/>
      <c r="N225" s="836"/>
      <c r="O225" s="836"/>
      <c r="P225" s="2174"/>
      <c r="Q225" s="836"/>
      <c r="R225" s="309"/>
      <c r="S225" s="309"/>
      <c r="T225" s="309"/>
      <c r="U225" s="309"/>
      <c r="V225" s="311"/>
      <c r="W225" s="311"/>
      <c r="X225" s="311"/>
      <c r="Y225" s="311"/>
      <c r="Z225" s="311"/>
      <c r="AA225" s="311"/>
      <c r="AB225" s="311"/>
      <c r="AC225" s="311"/>
      <c r="AD225" s="311"/>
      <c r="AE225" s="311"/>
      <c r="AF225" s="311"/>
      <c r="AG225" s="311"/>
      <c r="AH225" s="311"/>
      <c r="AI225" s="311"/>
      <c r="AJ225" s="311"/>
      <c r="AK225" s="311"/>
      <c r="AL225" s="311"/>
      <c r="AM225" s="311"/>
    </row>
    <row r="226" spans="1:39" ht="15.75" customHeight="1">
      <c r="A226" s="382"/>
      <c r="B226" s="311"/>
      <c r="C226" s="1647"/>
      <c r="D226" s="2173"/>
      <c r="E226" s="1586"/>
      <c r="F226" s="943"/>
      <c r="G226" s="1846"/>
      <c r="H226" s="1586"/>
      <c r="I226" s="1647"/>
      <c r="J226" s="2187"/>
      <c r="K226" s="1647"/>
      <c r="L226" s="1647"/>
      <c r="M226" s="2174"/>
      <c r="N226" s="836"/>
      <c r="O226" s="836"/>
      <c r="P226" s="2174"/>
      <c r="Q226" s="836"/>
      <c r="R226" s="309"/>
      <c r="S226" s="309"/>
      <c r="T226" s="309"/>
      <c r="U226" s="309"/>
      <c r="V226" s="311"/>
      <c r="W226" s="311"/>
      <c r="X226" s="311"/>
      <c r="Y226" s="311"/>
      <c r="Z226" s="311"/>
      <c r="AA226" s="311"/>
      <c r="AB226" s="311"/>
      <c r="AC226" s="311"/>
      <c r="AD226" s="311"/>
      <c r="AE226" s="311"/>
      <c r="AF226" s="311"/>
      <c r="AG226" s="311"/>
      <c r="AH226" s="311"/>
      <c r="AI226" s="311"/>
      <c r="AJ226" s="311"/>
      <c r="AK226" s="311"/>
      <c r="AL226" s="311"/>
      <c r="AM226" s="311"/>
    </row>
    <row r="227" spans="1:39" ht="15.75" customHeight="1">
      <c r="A227" s="382"/>
      <c r="B227" s="311"/>
      <c r="C227" s="1647"/>
      <c r="D227" s="2173"/>
      <c r="E227" s="1586"/>
      <c r="F227" s="943"/>
      <c r="G227" s="1846"/>
      <c r="H227" s="1586"/>
      <c r="I227" s="1647"/>
      <c r="J227" s="2187"/>
      <c r="K227" s="1647"/>
      <c r="L227" s="1647"/>
      <c r="M227" s="2174"/>
      <c r="N227" s="836"/>
      <c r="O227" s="836"/>
      <c r="P227" s="2174"/>
      <c r="Q227" s="836"/>
      <c r="R227" s="309"/>
      <c r="S227" s="309"/>
      <c r="T227" s="309"/>
      <c r="U227" s="309"/>
      <c r="V227" s="311"/>
      <c r="W227" s="311"/>
      <c r="X227" s="311"/>
      <c r="Y227" s="311"/>
      <c r="Z227" s="311"/>
      <c r="AA227" s="311"/>
      <c r="AB227" s="311"/>
      <c r="AC227" s="311"/>
      <c r="AD227" s="311"/>
      <c r="AE227" s="311"/>
      <c r="AF227" s="311"/>
      <c r="AG227" s="311"/>
      <c r="AH227" s="311"/>
      <c r="AI227" s="311"/>
      <c r="AJ227" s="311"/>
      <c r="AK227" s="311"/>
      <c r="AL227" s="311"/>
      <c r="AM227" s="311"/>
    </row>
    <row r="228" spans="1:39" ht="15.75" customHeight="1">
      <c r="A228" s="382"/>
      <c r="B228" s="311"/>
      <c r="C228" s="1647"/>
      <c r="D228" s="2173"/>
      <c r="E228" s="1586"/>
      <c r="F228" s="1949"/>
      <c r="G228" s="1846"/>
      <c r="H228" s="1586"/>
      <c r="I228" s="1647"/>
      <c r="J228" s="2187"/>
      <c r="K228" s="1647"/>
      <c r="L228" s="1647"/>
      <c r="M228" s="2174"/>
      <c r="N228" s="836"/>
      <c r="O228" s="836"/>
      <c r="P228" s="2174"/>
      <c r="Q228" s="836"/>
      <c r="R228" s="309"/>
      <c r="S228" s="309"/>
      <c r="T228" s="309"/>
      <c r="U228" s="309"/>
      <c r="V228" s="311"/>
      <c r="W228" s="311"/>
      <c r="X228" s="311"/>
      <c r="Y228" s="311"/>
      <c r="Z228" s="311"/>
      <c r="AA228" s="311"/>
      <c r="AB228" s="311"/>
      <c r="AC228" s="311"/>
      <c r="AD228" s="311"/>
      <c r="AE228" s="311"/>
      <c r="AF228" s="311"/>
      <c r="AG228" s="311"/>
      <c r="AH228" s="311"/>
      <c r="AI228" s="311"/>
      <c r="AJ228" s="311"/>
      <c r="AK228" s="311"/>
      <c r="AL228" s="311"/>
      <c r="AM228" s="311"/>
    </row>
    <row r="229" spans="1:39" ht="15.75" customHeight="1">
      <c r="A229" s="382"/>
      <c r="B229" s="311"/>
      <c r="C229" s="1647"/>
      <c r="D229" s="2173"/>
      <c r="E229" s="1586"/>
      <c r="F229" s="943"/>
      <c r="G229" s="1846"/>
      <c r="H229" s="1586"/>
      <c r="I229" s="1647"/>
      <c r="J229" s="2187"/>
      <c r="K229" s="1647"/>
      <c r="L229" s="1647"/>
      <c r="M229" s="2174"/>
      <c r="N229" s="836"/>
      <c r="O229" s="836"/>
      <c r="P229" s="2174"/>
      <c r="Q229" s="836"/>
      <c r="R229" s="309"/>
      <c r="S229" s="309"/>
      <c r="T229" s="309"/>
      <c r="U229" s="309"/>
      <c r="V229" s="311"/>
      <c r="W229" s="311"/>
      <c r="X229" s="311"/>
      <c r="Y229" s="311"/>
      <c r="Z229" s="311"/>
      <c r="AA229" s="311"/>
      <c r="AB229" s="311"/>
      <c r="AC229" s="311"/>
      <c r="AD229" s="311"/>
      <c r="AE229" s="311"/>
      <c r="AF229" s="311"/>
      <c r="AG229" s="311"/>
      <c r="AH229" s="311"/>
      <c r="AI229" s="311"/>
      <c r="AJ229" s="311"/>
      <c r="AK229" s="311"/>
      <c r="AL229" s="311"/>
      <c r="AM229" s="311"/>
    </row>
    <row r="230" spans="1:39" ht="15.75" customHeight="1">
      <c r="A230" s="382"/>
      <c r="B230" s="311"/>
      <c r="C230" s="1647"/>
      <c r="D230" s="2173"/>
      <c r="E230" s="1586"/>
      <c r="F230" s="943"/>
      <c r="G230" s="1846"/>
      <c r="H230" s="1586"/>
      <c r="I230" s="1647"/>
      <c r="J230" s="2187"/>
      <c r="K230" s="1647"/>
      <c r="L230" s="1647"/>
      <c r="M230" s="2174"/>
      <c r="N230" s="836"/>
      <c r="O230" s="836"/>
      <c r="P230" s="2174"/>
      <c r="Q230" s="836"/>
      <c r="R230" s="309"/>
      <c r="S230" s="309"/>
      <c r="T230" s="309"/>
      <c r="U230" s="309"/>
      <c r="V230" s="311"/>
      <c r="W230" s="311"/>
      <c r="X230" s="311"/>
      <c r="Y230" s="311"/>
      <c r="Z230" s="311"/>
      <c r="AA230" s="311"/>
      <c r="AB230" s="311"/>
      <c r="AC230" s="311"/>
      <c r="AD230" s="311"/>
      <c r="AE230" s="311"/>
      <c r="AF230" s="311"/>
      <c r="AG230" s="311"/>
      <c r="AH230" s="311"/>
      <c r="AI230" s="311"/>
      <c r="AJ230" s="311"/>
      <c r="AK230" s="311"/>
      <c r="AL230" s="311"/>
      <c r="AM230" s="311"/>
    </row>
    <row r="231" spans="1:39" ht="15.75" customHeight="1">
      <c r="A231" s="382"/>
      <c r="B231" s="311"/>
      <c r="C231" s="1647"/>
      <c r="D231" s="2173"/>
      <c r="E231" s="1586"/>
      <c r="F231" s="943"/>
      <c r="G231" s="1846"/>
      <c r="H231" s="1586"/>
      <c r="I231" s="1647"/>
      <c r="J231" s="2187"/>
      <c r="K231" s="1647"/>
      <c r="L231" s="1647"/>
      <c r="M231" s="2174"/>
      <c r="N231" s="836"/>
      <c r="O231" s="836"/>
      <c r="P231" s="2174"/>
      <c r="Q231" s="836"/>
      <c r="R231" s="309"/>
      <c r="S231" s="309"/>
      <c r="T231" s="309"/>
      <c r="U231" s="309"/>
      <c r="V231" s="311"/>
      <c r="W231" s="311"/>
      <c r="X231" s="311"/>
      <c r="Y231" s="311"/>
      <c r="Z231" s="311"/>
      <c r="AA231" s="311"/>
      <c r="AB231" s="311"/>
      <c r="AC231" s="311"/>
      <c r="AD231" s="311"/>
      <c r="AE231" s="311"/>
      <c r="AF231" s="311"/>
      <c r="AG231" s="311"/>
      <c r="AH231" s="311"/>
      <c r="AI231" s="311"/>
      <c r="AJ231" s="311"/>
      <c r="AK231" s="311"/>
      <c r="AL231" s="311"/>
      <c r="AM231" s="311"/>
    </row>
    <row r="232" spans="1:39" ht="15.75" customHeight="1">
      <c r="A232" s="382"/>
      <c r="B232" s="311"/>
      <c r="C232" s="1647"/>
      <c r="D232" s="2173"/>
      <c r="E232" s="1586"/>
      <c r="F232" s="943"/>
      <c r="G232" s="1846"/>
      <c r="H232" s="1586"/>
      <c r="I232" s="1647"/>
      <c r="J232" s="2187"/>
      <c r="K232" s="1647"/>
      <c r="L232" s="1647"/>
      <c r="M232" s="2174"/>
      <c r="N232" s="836"/>
      <c r="O232" s="836"/>
      <c r="P232" s="2174"/>
      <c r="Q232" s="836"/>
      <c r="R232" s="309"/>
      <c r="S232" s="309"/>
      <c r="T232" s="309"/>
      <c r="U232" s="309"/>
      <c r="V232" s="311"/>
      <c r="W232" s="311"/>
      <c r="X232" s="311"/>
      <c r="Y232" s="311"/>
      <c r="Z232" s="311"/>
      <c r="AA232" s="311"/>
      <c r="AB232" s="311"/>
      <c r="AC232" s="311"/>
      <c r="AD232" s="311"/>
      <c r="AE232" s="311"/>
      <c r="AF232" s="311"/>
      <c r="AG232" s="311"/>
      <c r="AH232" s="311"/>
      <c r="AI232" s="311"/>
      <c r="AJ232" s="311"/>
      <c r="AK232" s="311"/>
      <c r="AL232" s="311"/>
      <c r="AM232" s="311"/>
    </row>
    <row r="233" spans="1:39" ht="15.75" customHeight="1">
      <c r="A233" s="382"/>
      <c r="B233" s="311"/>
      <c r="C233" s="1647"/>
      <c r="D233" s="2173"/>
      <c r="E233" s="1586"/>
      <c r="F233" s="943"/>
      <c r="G233" s="1846"/>
      <c r="H233" s="1586"/>
      <c r="I233" s="1647"/>
      <c r="J233" s="2187"/>
      <c r="K233" s="1647"/>
      <c r="L233" s="1647"/>
      <c r="M233" s="2174"/>
      <c r="N233" s="836"/>
      <c r="O233" s="836"/>
      <c r="P233" s="2174"/>
      <c r="Q233" s="836"/>
      <c r="R233" s="309"/>
      <c r="S233" s="309"/>
      <c r="T233" s="309"/>
      <c r="U233" s="309"/>
      <c r="V233" s="311"/>
      <c r="W233" s="311"/>
      <c r="X233" s="311"/>
      <c r="Y233" s="311"/>
      <c r="Z233" s="311"/>
      <c r="AA233" s="311"/>
      <c r="AB233" s="311"/>
      <c r="AC233" s="311"/>
      <c r="AD233" s="311"/>
      <c r="AE233" s="311"/>
      <c r="AF233" s="311"/>
      <c r="AG233" s="311"/>
      <c r="AH233" s="311"/>
      <c r="AI233" s="311"/>
      <c r="AJ233" s="311"/>
      <c r="AK233" s="311"/>
      <c r="AL233" s="311"/>
      <c r="AM233" s="311"/>
    </row>
    <row r="234" spans="1:39" ht="15.75" customHeight="1">
      <c r="A234" s="382"/>
      <c r="B234" s="311"/>
      <c r="C234" s="1647"/>
      <c r="D234" s="2173"/>
      <c r="E234" s="1586"/>
      <c r="F234" s="943"/>
      <c r="G234" s="1846"/>
      <c r="H234" s="1586"/>
      <c r="I234" s="1647"/>
      <c r="J234" s="2187"/>
      <c r="K234" s="1647"/>
      <c r="L234" s="1647"/>
      <c r="M234" s="2174"/>
      <c r="N234" s="836"/>
      <c r="O234" s="836"/>
      <c r="P234" s="2174"/>
      <c r="Q234" s="836"/>
      <c r="R234" s="309"/>
      <c r="S234" s="309"/>
      <c r="T234" s="309"/>
      <c r="U234" s="309"/>
      <c r="V234" s="311"/>
      <c r="W234" s="311"/>
      <c r="X234" s="311"/>
      <c r="Y234" s="311"/>
      <c r="Z234" s="311"/>
      <c r="AA234" s="311"/>
      <c r="AB234" s="311"/>
      <c r="AC234" s="311"/>
      <c r="AD234" s="311"/>
      <c r="AE234" s="311"/>
      <c r="AF234" s="311"/>
      <c r="AG234" s="311"/>
      <c r="AH234" s="311"/>
      <c r="AI234" s="311"/>
      <c r="AJ234" s="311"/>
      <c r="AK234" s="311"/>
      <c r="AL234" s="311"/>
      <c r="AM234" s="311"/>
    </row>
    <row r="235" spans="1:39" ht="15.75" customHeight="1">
      <c r="A235" s="382"/>
      <c r="B235" s="311"/>
      <c r="C235" s="1647"/>
      <c r="D235" s="2173"/>
      <c r="E235" s="1586"/>
      <c r="F235" s="1952"/>
      <c r="G235" s="1846"/>
      <c r="H235" s="1586"/>
      <c r="I235" s="1647"/>
      <c r="J235" s="2187"/>
      <c r="K235" s="1647"/>
      <c r="L235" s="1647"/>
      <c r="M235" s="2174"/>
      <c r="N235" s="836"/>
      <c r="O235" s="836"/>
      <c r="P235" s="2174"/>
      <c r="Q235" s="836"/>
      <c r="R235" s="309"/>
      <c r="S235" s="309"/>
      <c r="T235" s="309"/>
      <c r="U235" s="309"/>
      <c r="V235" s="311"/>
      <c r="W235" s="311"/>
      <c r="X235" s="311"/>
      <c r="Y235" s="311"/>
      <c r="Z235" s="311"/>
      <c r="AA235" s="311"/>
      <c r="AB235" s="311"/>
      <c r="AC235" s="311"/>
      <c r="AD235" s="311"/>
      <c r="AE235" s="311"/>
      <c r="AF235" s="311"/>
      <c r="AG235" s="311"/>
      <c r="AH235" s="311"/>
      <c r="AI235" s="311"/>
      <c r="AJ235" s="311"/>
      <c r="AK235" s="311"/>
      <c r="AL235" s="311"/>
      <c r="AM235" s="311"/>
    </row>
    <row r="236" spans="1:39" ht="15.75" customHeight="1">
      <c r="A236" s="382"/>
      <c r="B236" s="311"/>
      <c r="C236" s="1647"/>
      <c r="D236" s="2173"/>
      <c r="E236" s="1586"/>
      <c r="F236" s="943"/>
      <c r="G236" s="1846"/>
      <c r="H236" s="1586"/>
      <c r="I236" s="1647"/>
      <c r="J236" s="2187"/>
      <c r="K236" s="1647"/>
      <c r="L236" s="1647"/>
      <c r="M236" s="2174"/>
      <c r="N236" s="836"/>
      <c r="O236" s="836"/>
      <c r="P236" s="2174"/>
      <c r="Q236" s="836"/>
      <c r="R236" s="309"/>
      <c r="S236" s="309"/>
      <c r="T236" s="309"/>
      <c r="U236" s="309"/>
      <c r="V236" s="311"/>
      <c r="W236" s="311"/>
      <c r="X236" s="311"/>
      <c r="Y236" s="311"/>
      <c r="Z236" s="311"/>
      <c r="AA236" s="311"/>
      <c r="AB236" s="311"/>
      <c r="AC236" s="311"/>
      <c r="AD236" s="311"/>
      <c r="AE236" s="311"/>
      <c r="AF236" s="311"/>
      <c r="AG236" s="311"/>
      <c r="AH236" s="311"/>
      <c r="AI236" s="311"/>
      <c r="AJ236" s="311"/>
      <c r="AK236" s="311"/>
      <c r="AL236" s="311"/>
      <c r="AM236" s="311"/>
    </row>
    <row r="237" spans="1:39" ht="15.75" customHeight="1">
      <c r="A237" s="382"/>
      <c r="B237" s="311"/>
      <c r="C237" s="1647"/>
      <c r="D237" s="2173"/>
      <c r="E237" s="1586"/>
      <c r="F237" s="943"/>
      <c r="G237" s="1846"/>
      <c r="H237" s="1586"/>
      <c r="I237" s="1647"/>
      <c r="J237" s="2187"/>
      <c r="K237" s="1647"/>
      <c r="L237" s="1647"/>
      <c r="M237" s="2174"/>
      <c r="N237" s="836"/>
      <c r="O237" s="836"/>
      <c r="P237" s="2174"/>
      <c r="Q237" s="836"/>
      <c r="R237" s="309"/>
      <c r="S237" s="309"/>
      <c r="T237" s="309"/>
      <c r="U237" s="309"/>
      <c r="V237" s="311"/>
      <c r="W237" s="311"/>
      <c r="X237" s="311"/>
      <c r="Y237" s="311"/>
      <c r="Z237" s="311"/>
      <c r="AA237" s="311"/>
      <c r="AB237" s="311"/>
      <c r="AC237" s="311"/>
      <c r="AD237" s="311"/>
      <c r="AE237" s="311"/>
      <c r="AF237" s="311"/>
      <c r="AG237" s="311"/>
      <c r="AH237" s="311"/>
      <c r="AI237" s="311"/>
      <c r="AJ237" s="311"/>
      <c r="AK237" s="311"/>
      <c r="AL237" s="311"/>
      <c r="AM237" s="311"/>
    </row>
    <row r="238" spans="1:39" ht="15.75" customHeight="1">
      <c r="A238" s="382"/>
      <c r="B238" s="311"/>
      <c r="C238" s="1647"/>
      <c r="D238" s="2173"/>
      <c r="E238" s="1586"/>
      <c r="F238" s="943"/>
      <c r="G238" s="1846"/>
      <c r="H238" s="1586"/>
      <c r="I238" s="1647"/>
      <c r="J238" s="2187"/>
      <c r="K238" s="1647"/>
      <c r="L238" s="1647"/>
      <c r="M238" s="2174"/>
      <c r="N238" s="836"/>
      <c r="O238" s="836"/>
      <c r="P238" s="2174"/>
      <c r="Q238" s="836"/>
      <c r="R238" s="309"/>
      <c r="S238" s="309"/>
      <c r="T238" s="309"/>
      <c r="U238" s="309"/>
      <c r="V238" s="311"/>
      <c r="W238" s="311"/>
      <c r="X238" s="311"/>
      <c r="Y238" s="311"/>
      <c r="Z238" s="311"/>
      <c r="AA238" s="311"/>
      <c r="AB238" s="311"/>
      <c r="AC238" s="311"/>
      <c r="AD238" s="311"/>
      <c r="AE238" s="311"/>
      <c r="AF238" s="311"/>
      <c r="AG238" s="311"/>
      <c r="AH238" s="311"/>
      <c r="AI238" s="311"/>
      <c r="AJ238" s="311"/>
      <c r="AK238" s="311"/>
      <c r="AL238" s="311"/>
      <c r="AM238" s="311"/>
    </row>
    <row r="239" spans="1:39" ht="15.75" customHeight="1">
      <c r="A239" s="382"/>
      <c r="B239" s="311"/>
      <c r="C239" s="1647"/>
      <c r="D239" s="2173"/>
      <c r="E239" s="1586"/>
      <c r="F239" s="943"/>
      <c r="G239" s="1846"/>
      <c r="H239" s="1586"/>
      <c r="I239" s="1647"/>
      <c r="J239" s="2187"/>
      <c r="K239" s="1647"/>
      <c r="L239" s="1647"/>
      <c r="M239" s="2174"/>
      <c r="N239" s="836"/>
      <c r="O239" s="836"/>
      <c r="P239" s="2174"/>
      <c r="Q239" s="836"/>
      <c r="R239" s="309"/>
      <c r="S239" s="309"/>
      <c r="T239" s="309"/>
      <c r="U239" s="309"/>
      <c r="V239" s="311"/>
      <c r="W239" s="311"/>
      <c r="X239" s="311"/>
      <c r="Y239" s="311"/>
      <c r="Z239" s="311"/>
      <c r="AA239" s="311"/>
      <c r="AB239" s="311"/>
      <c r="AC239" s="311"/>
      <c r="AD239" s="311"/>
      <c r="AE239" s="311"/>
      <c r="AF239" s="311"/>
      <c r="AG239" s="311"/>
      <c r="AH239" s="311"/>
      <c r="AI239" s="311"/>
      <c r="AJ239" s="311"/>
      <c r="AK239" s="311"/>
      <c r="AL239" s="311"/>
      <c r="AM239" s="311"/>
    </row>
    <row r="240" spans="1:39" ht="15.75" customHeight="1">
      <c r="A240" s="382"/>
      <c r="B240" s="311"/>
      <c r="C240" s="1647"/>
      <c r="D240" s="2173"/>
      <c r="E240" s="1586"/>
      <c r="F240" s="943"/>
      <c r="G240" s="1846"/>
      <c r="H240" s="1586"/>
      <c r="I240" s="1647"/>
      <c r="J240" s="2187"/>
      <c r="K240" s="1647"/>
      <c r="L240" s="1647"/>
      <c r="M240" s="2174"/>
      <c r="N240" s="836"/>
      <c r="O240" s="836"/>
      <c r="P240" s="2174"/>
      <c r="Q240" s="836"/>
      <c r="R240" s="309"/>
      <c r="S240" s="309"/>
      <c r="T240" s="309"/>
      <c r="U240" s="309"/>
      <c r="V240" s="311"/>
      <c r="W240" s="311"/>
      <c r="X240" s="311"/>
      <c r="Y240" s="311"/>
      <c r="Z240" s="311"/>
      <c r="AA240" s="311"/>
      <c r="AB240" s="311"/>
      <c r="AC240" s="311"/>
      <c r="AD240" s="311"/>
      <c r="AE240" s="311"/>
      <c r="AF240" s="311"/>
      <c r="AG240" s="311"/>
      <c r="AH240" s="311"/>
      <c r="AI240" s="311"/>
      <c r="AJ240" s="311"/>
      <c r="AK240" s="311"/>
      <c r="AL240" s="311"/>
      <c r="AM240" s="311"/>
    </row>
    <row r="241" spans="1:39" ht="15.75" customHeight="1">
      <c r="A241" s="382"/>
      <c r="B241" s="311"/>
      <c r="C241" s="1647"/>
      <c r="D241" s="2173"/>
      <c r="E241" s="1586"/>
      <c r="F241" s="943"/>
      <c r="G241" s="1846"/>
      <c r="H241" s="1586"/>
      <c r="I241" s="1647"/>
      <c r="J241" s="2187"/>
      <c r="K241" s="1647"/>
      <c r="L241" s="1647"/>
      <c r="M241" s="2174"/>
      <c r="N241" s="836"/>
      <c r="O241" s="836"/>
      <c r="P241" s="2174"/>
      <c r="Q241" s="836"/>
      <c r="R241" s="309"/>
      <c r="S241" s="309"/>
      <c r="T241" s="309"/>
      <c r="U241" s="309"/>
      <c r="V241" s="311"/>
      <c r="W241" s="311"/>
      <c r="X241" s="311"/>
      <c r="Y241" s="311"/>
      <c r="Z241" s="311"/>
      <c r="AA241" s="311"/>
      <c r="AB241" s="311"/>
      <c r="AC241" s="311"/>
      <c r="AD241" s="311"/>
      <c r="AE241" s="311"/>
      <c r="AF241" s="311"/>
      <c r="AG241" s="311"/>
      <c r="AH241" s="311"/>
      <c r="AI241" s="311"/>
      <c r="AJ241" s="311"/>
      <c r="AK241" s="311"/>
      <c r="AL241" s="311"/>
      <c r="AM241" s="311"/>
    </row>
    <row r="242" spans="1:39" ht="15.75" customHeight="1">
      <c r="A242" s="382"/>
      <c r="B242" s="311"/>
      <c r="C242" s="1647"/>
      <c r="D242" s="2173"/>
      <c r="E242" s="1586"/>
      <c r="F242" s="943"/>
      <c r="G242" s="1846"/>
      <c r="H242" s="1586"/>
      <c r="I242" s="1647"/>
      <c r="J242" s="2187"/>
      <c r="K242" s="1647"/>
      <c r="L242" s="1647"/>
      <c r="M242" s="2174"/>
      <c r="N242" s="836"/>
      <c r="O242" s="836"/>
      <c r="P242" s="2174"/>
      <c r="Q242" s="836"/>
      <c r="R242" s="309"/>
      <c r="S242" s="309"/>
      <c r="T242" s="309"/>
      <c r="U242" s="309"/>
      <c r="V242" s="311"/>
      <c r="W242" s="311"/>
      <c r="X242" s="311"/>
      <c r="Y242" s="311"/>
      <c r="Z242" s="311"/>
      <c r="AA242" s="311"/>
      <c r="AB242" s="311"/>
      <c r="AC242" s="311"/>
      <c r="AD242" s="311"/>
      <c r="AE242" s="311"/>
      <c r="AF242" s="311"/>
      <c r="AG242" s="311"/>
      <c r="AH242" s="311"/>
      <c r="AI242" s="311"/>
      <c r="AJ242" s="311"/>
      <c r="AK242" s="311"/>
      <c r="AL242" s="311"/>
      <c r="AM242" s="311"/>
    </row>
    <row r="243" spans="1:39" ht="15.75" customHeight="1">
      <c r="A243" s="382"/>
      <c r="B243" s="311"/>
      <c r="C243" s="1647"/>
      <c r="D243" s="2173"/>
      <c r="E243" s="1586"/>
      <c r="F243" s="943"/>
      <c r="G243" s="1846"/>
      <c r="H243" s="1586"/>
      <c r="I243" s="1647"/>
      <c r="J243" s="2187"/>
      <c r="K243" s="1647"/>
      <c r="L243" s="1647"/>
      <c r="M243" s="2174"/>
      <c r="N243" s="836"/>
      <c r="O243" s="836"/>
      <c r="P243" s="2174"/>
      <c r="Q243" s="836"/>
      <c r="R243" s="309"/>
      <c r="S243" s="309"/>
      <c r="T243" s="309"/>
      <c r="U243" s="309"/>
      <c r="V243" s="311"/>
      <c r="W243" s="311"/>
      <c r="X243" s="311"/>
      <c r="Y243" s="311"/>
      <c r="Z243" s="311"/>
      <c r="AA243" s="311"/>
      <c r="AB243" s="311"/>
      <c r="AC243" s="311"/>
      <c r="AD243" s="311"/>
      <c r="AE243" s="311"/>
      <c r="AF243" s="311"/>
      <c r="AG243" s="311"/>
      <c r="AH243" s="311"/>
      <c r="AI243" s="311"/>
      <c r="AJ243" s="311"/>
      <c r="AK243" s="311"/>
      <c r="AL243" s="311"/>
      <c r="AM243" s="311"/>
    </row>
    <row r="244" spans="1:39" ht="15.75" customHeight="1">
      <c r="A244" s="382"/>
      <c r="B244" s="311"/>
      <c r="C244" s="1647"/>
      <c r="D244" s="2173"/>
      <c r="E244" s="1586"/>
      <c r="F244" s="943"/>
      <c r="G244" s="1846"/>
      <c r="H244" s="1586"/>
      <c r="I244" s="1647"/>
      <c r="J244" s="2187"/>
      <c r="K244" s="1647"/>
      <c r="L244" s="1647"/>
      <c r="M244" s="2174"/>
      <c r="N244" s="836"/>
      <c r="O244" s="836"/>
      <c r="P244" s="2174"/>
      <c r="Q244" s="836"/>
      <c r="R244" s="309"/>
      <c r="S244" s="309"/>
      <c r="T244" s="309"/>
      <c r="U244" s="309"/>
      <c r="V244" s="311"/>
      <c r="W244" s="311"/>
      <c r="X244" s="311"/>
      <c r="Y244" s="311"/>
      <c r="Z244" s="311"/>
      <c r="AA244" s="311"/>
      <c r="AB244" s="311"/>
      <c r="AC244" s="311"/>
      <c r="AD244" s="311"/>
      <c r="AE244" s="311"/>
      <c r="AF244" s="311"/>
      <c r="AG244" s="311"/>
      <c r="AH244" s="311"/>
      <c r="AI244" s="311"/>
      <c r="AJ244" s="311"/>
      <c r="AK244" s="311"/>
      <c r="AL244" s="311"/>
      <c r="AM244" s="311"/>
    </row>
    <row r="245" spans="1:39" ht="15.75" customHeight="1">
      <c r="A245" s="382"/>
      <c r="B245" s="311"/>
      <c r="C245" s="1647"/>
      <c r="D245" s="2173"/>
      <c r="E245" s="1586"/>
      <c r="F245" s="943"/>
      <c r="G245" s="1846"/>
      <c r="H245" s="1586"/>
      <c r="I245" s="1647"/>
      <c r="J245" s="2187"/>
      <c r="K245" s="1647"/>
      <c r="L245" s="1647"/>
      <c r="M245" s="2174"/>
      <c r="N245" s="836"/>
      <c r="O245" s="836"/>
      <c r="P245" s="2174"/>
      <c r="Q245" s="836"/>
      <c r="R245" s="309"/>
      <c r="S245" s="309"/>
      <c r="T245" s="309"/>
      <c r="U245" s="309"/>
      <c r="V245" s="311"/>
      <c r="W245" s="311"/>
      <c r="X245" s="311"/>
      <c r="Y245" s="311"/>
      <c r="Z245" s="311"/>
      <c r="AA245" s="311"/>
      <c r="AB245" s="311"/>
      <c r="AC245" s="311"/>
      <c r="AD245" s="311"/>
      <c r="AE245" s="311"/>
      <c r="AF245" s="311"/>
      <c r="AG245" s="311"/>
      <c r="AH245" s="311"/>
      <c r="AI245" s="311"/>
      <c r="AJ245" s="311"/>
      <c r="AK245" s="311"/>
      <c r="AL245" s="311"/>
      <c r="AM245" s="311"/>
    </row>
    <row r="246" spans="1:39" ht="15.75" customHeight="1">
      <c r="A246" s="382"/>
      <c r="B246" s="311"/>
      <c r="C246" s="1647"/>
      <c r="D246" s="2173"/>
      <c r="E246" s="1586"/>
      <c r="F246" s="943"/>
      <c r="G246" s="1846"/>
      <c r="H246" s="1586"/>
      <c r="I246" s="1647"/>
      <c r="J246" s="2187"/>
      <c r="K246" s="1647"/>
      <c r="L246" s="1647"/>
      <c r="M246" s="2174"/>
      <c r="N246" s="836"/>
      <c r="O246" s="836"/>
      <c r="P246" s="2174"/>
      <c r="Q246" s="836"/>
      <c r="R246" s="309"/>
      <c r="S246" s="309"/>
      <c r="T246" s="309"/>
      <c r="U246" s="309"/>
      <c r="V246" s="311"/>
      <c r="W246" s="311"/>
      <c r="X246" s="311"/>
      <c r="Y246" s="311"/>
      <c r="Z246" s="311"/>
      <c r="AA246" s="311"/>
      <c r="AB246" s="311"/>
      <c r="AC246" s="311"/>
      <c r="AD246" s="311"/>
      <c r="AE246" s="311"/>
      <c r="AF246" s="311"/>
      <c r="AG246" s="311"/>
      <c r="AH246" s="311"/>
      <c r="AI246" s="311"/>
      <c r="AJ246" s="311"/>
      <c r="AK246" s="311"/>
      <c r="AL246" s="311"/>
      <c r="AM246" s="311"/>
    </row>
    <row r="247" spans="1:39" ht="15.75" customHeight="1">
      <c r="A247" s="382"/>
      <c r="B247" s="311"/>
      <c r="C247" s="1647"/>
      <c r="D247" s="2173"/>
      <c r="E247" s="1586"/>
      <c r="F247" s="943"/>
      <c r="G247" s="1846"/>
      <c r="H247" s="1586"/>
      <c r="I247" s="1647"/>
      <c r="J247" s="2187"/>
      <c r="K247" s="1647"/>
      <c r="L247" s="1647"/>
      <c r="M247" s="2174"/>
      <c r="N247" s="836"/>
      <c r="O247" s="836"/>
      <c r="P247" s="2174"/>
      <c r="Q247" s="836"/>
      <c r="R247" s="309"/>
      <c r="S247" s="309"/>
      <c r="T247" s="309"/>
      <c r="U247" s="309"/>
      <c r="V247" s="311"/>
      <c r="W247" s="311"/>
      <c r="X247" s="311"/>
      <c r="Y247" s="311"/>
      <c r="Z247" s="311"/>
      <c r="AA247" s="311"/>
      <c r="AB247" s="311"/>
      <c r="AC247" s="311"/>
      <c r="AD247" s="311"/>
      <c r="AE247" s="311"/>
      <c r="AF247" s="311"/>
      <c r="AG247" s="311"/>
      <c r="AH247" s="311"/>
      <c r="AI247" s="311"/>
      <c r="AJ247" s="311"/>
      <c r="AK247" s="311"/>
      <c r="AL247" s="311"/>
      <c r="AM247" s="311"/>
    </row>
    <row r="248" spans="1:39" ht="15.75" customHeight="1">
      <c r="A248" s="382"/>
      <c r="B248" s="311"/>
      <c r="C248" s="1647"/>
      <c r="D248" s="2173"/>
      <c r="E248" s="1586"/>
      <c r="F248" s="943"/>
      <c r="G248" s="1846"/>
      <c r="H248" s="1586"/>
      <c r="I248" s="1647"/>
      <c r="J248" s="2187"/>
      <c r="K248" s="1647"/>
      <c r="L248" s="1647"/>
      <c r="M248" s="2174"/>
      <c r="N248" s="836"/>
      <c r="O248" s="836"/>
      <c r="P248" s="2174"/>
      <c r="Q248" s="836"/>
      <c r="R248" s="309"/>
      <c r="S248" s="309"/>
      <c r="T248" s="309"/>
      <c r="U248" s="309"/>
      <c r="V248" s="311"/>
      <c r="W248" s="311"/>
      <c r="X248" s="311"/>
      <c r="Y248" s="311"/>
      <c r="Z248" s="311"/>
      <c r="AA248" s="311"/>
      <c r="AB248" s="311"/>
      <c r="AC248" s="311"/>
      <c r="AD248" s="311"/>
      <c r="AE248" s="311"/>
      <c r="AF248" s="311"/>
      <c r="AG248" s="311"/>
      <c r="AH248" s="311"/>
      <c r="AI248" s="311"/>
      <c r="AJ248" s="311"/>
      <c r="AK248" s="311"/>
      <c r="AL248" s="311"/>
      <c r="AM248" s="311"/>
    </row>
    <row r="249" spans="1:39" ht="15.75" customHeight="1">
      <c r="A249" s="382"/>
      <c r="B249" s="311"/>
      <c r="C249" s="1647"/>
      <c r="D249" s="2173"/>
      <c r="E249" s="1586"/>
      <c r="F249" s="943"/>
      <c r="G249" s="1846"/>
      <c r="H249" s="1586"/>
      <c r="I249" s="1647"/>
      <c r="J249" s="2187"/>
      <c r="K249" s="1647"/>
      <c r="L249" s="1647"/>
      <c r="M249" s="2174"/>
      <c r="N249" s="836"/>
      <c r="O249" s="836"/>
      <c r="P249" s="2174"/>
      <c r="Q249" s="836"/>
      <c r="R249" s="309"/>
      <c r="S249" s="309"/>
      <c r="T249" s="309"/>
      <c r="U249" s="309"/>
      <c r="V249" s="311"/>
      <c r="W249" s="311"/>
      <c r="X249" s="311"/>
      <c r="Y249" s="311"/>
      <c r="Z249" s="311"/>
      <c r="AA249" s="311"/>
      <c r="AB249" s="311"/>
      <c r="AC249" s="311"/>
      <c r="AD249" s="311"/>
      <c r="AE249" s="311"/>
      <c r="AF249" s="311"/>
      <c r="AG249" s="311"/>
      <c r="AH249" s="311"/>
      <c r="AI249" s="311"/>
      <c r="AJ249" s="311"/>
      <c r="AK249" s="311"/>
      <c r="AL249" s="311"/>
      <c r="AM249" s="311"/>
    </row>
    <row r="250" spans="1:39" ht="15.75" customHeight="1">
      <c r="A250" s="382"/>
      <c r="B250" s="311"/>
      <c r="C250" s="1647"/>
      <c r="D250" s="2173"/>
      <c r="E250" s="1586"/>
      <c r="F250" s="1948"/>
      <c r="G250" s="1846"/>
      <c r="H250" s="1586"/>
      <c r="I250" s="1647"/>
      <c r="J250" s="2187"/>
      <c r="K250" s="1647"/>
      <c r="L250" s="1647"/>
      <c r="M250" s="2174"/>
      <c r="N250" s="836"/>
      <c r="O250" s="836"/>
      <c r="P250" s="2174"/>
      <c r="Q250" s="836"/>
      <c r="R250" s="309"/>
      <c r="S250" s="309"/>
      <c r="T250" s="309"/>
      <c r="U250" s="309"/>
      <c r="V250" s="311"/>
      <c r="W250" s="311"/>
      <c r="X250" s="311"/>
      <c r="Y250" s="311"/>
      <c r="Z250" s="311"/>
      <c r="AA250" s="311"/>
      <c r="AB250" s="311"/>
      <c r="AC250" s="311"/>
      <c r="AD250" s="311"/>
      <c r="AE250" s="311"/>
      <c r="AF250" s="311"/>
      <c r="AG250" s="311"/>
      <c r="AH250" s="311"/>
      <c r="AI250" s="311"/>
      <c r="AJ250" s="311"/>
      <c r="AK250" s="311"/>
      <c r="AL250" s="311"/>
      <c r="AM250" s="311"/>
    </row>
    <row r="251" spans="1:39" ht="15.75" customHeight="1">
      <c r="A251" s="382"/>
      <c r="B251" s="311"/>
      <c r="C251" s="1647"/>
      <c r="D251" s="2173"/>
      <c r="E251" s="1586"/>
      <c r="F251" s="943"/>
      <c r="G251" s="1846"/>
      <c r="H251" s="1586"/>
      <c r="I251" s="1647"/>
      <c r="J251" s="2187"/>
      <c r="K251" s="1647"/>
      <c r="L251" s="1647"/>
      <c r="M251" s="2174"/>
      <c r="N251" s="836"/>
      <c r="O251" s="836"/>
      <c r="P251" s="2174"/>
      <c r="Q251" s="836"/>
      <c r="R251" s="309"/>
      <c r="S251" s="309"/>
      <c r="T251" s="309"/>
      <c r="U251" s="309"/>
      <c r="V251" s="311"/>
      <c r="W251" s="311"/>
      <c r="X251" s="311"/>
      <c r="Y251" s="311"/>
      <c r="Z251" s="311"/>
      <c r="AA251" s="311"/>
      <c r="AB251" s="311"/>
      <c r="AC251" s="311"/>
      <c r="AD251" s="311"/>
      <c r="AE251" s="311"/>
      <c r="AF251" s="311"/>
      <c r="AG251" s="311"/>
      <c r="AH251" s="311"/>
      <c r="AI251" s="311"/>
      <c r="AJ251" s="311"/>
      <c r="AK251" s="311"/>
      <c r="AL251" s="311"/>
      <c r="AM251" s="311"/>
    </row>
    <row r="252" spans="1:39" ht="15.75" customHeight="1">
      <c r="A252" s="382"/>
      <c r="B252" s="311"/>
      <c r="C252" s="1647"/>
      <c r="D252" s="2173"/>
      <c r="E252" s="1586"/>
      <c r="F252" s="137"/>
      <c r="G252" s="1846"/>
      <c r="H252" s="1586"/>
      <c r="I252" s="1647"/>
      <c r="J252" s="2187"/>
      <c r="K252" s="1647"/>
      <c r="L252" s="1647"/>
      <c r="M252" s="2174"/>
      <c r="N252" s="836"/>
      <c r="O252" s="836"/>
      <c r="P252" s="2174"/>
      <c r="Q252" s="836"/>
      <c r="R252" s="309"/>
      <c r="S252" s="309"/>
      <c r="T252" s="309"/>
      <c r="U252" s="309"/>
      <c r="V252" s="311"/>
      <c r="W252" s="311"/>
      <c r="X252" s="311"/>
      <c r="Y252" s="311"/>
      <c r="Z252" s="311"/>
      <c r="AA252" s="311"/>
      <c r="AB252" s="311"/>
      <c r="AC252" s="311"/>
      <c r="AD252" s="311"/>
      <c r="AE252" s="311"/>
      <c r="AF252" s="311"/>
      <c r="AG252" s="311"/>
      <c r="AH252" s="311"/>
      <c r="AI252" s="311"/>
      <c r="AJ252" s="311"/>
      <c r="AK252" s="311"/>
      <c r="AL252" s="311"/>
      <c r="AM252" s="311"/>
    </row>
    <row r="253" spans="1:39" ht="15.75" customHeight="1">
      <c r="A253" s="382"/>
      <c r="B253" s="311"/>
      <c r="C253" s="1647"/>
      <c r="D253" s="2173"/>
      <c r="E253" s="1586"/>
      <c r="F253" s="975"/>
      <c r="G253" s="1846"/>
      <c r="H253" s="1586"/>
      <c r="I253" s="1647"/>
      <c r="J253" s="2187"/>
      <c r="K253" s="1647"/>
      <c r="L253" s="1647"/>
      <c r="M253" s="2174"/>
      <c r="N253" s="836"/>
      <c r="O253" s="836"/>
      <c r="P253" s="2174"/>
      <c r="Q253" s="836"/>
      <c r="R253" s="309"/>
      <c r="S253" s="309"/>
      <c r="T253" s="309"/>
      <c r="U253" s="309"/>
      <c r="V253" s="311"/>
      <c r="W253" s="311"/>
      <c r="X253" s="311"/>
      <c r="Y253" s="311"/>
      <c r="Z253" s="311"/>
      <c r="AA253" s="311"/>
      <c r="AB253" s="311"/>
      <c r="AC253" s="311"/>
      <c r="AD253" s="311"/>
      <c r="AE253" s="311"/>
      <c r="AF253" s="311"/>
      <c r="AG253" s="311"/>
      <c r="AH253" s="311"/>
      <c r="AI253" s="311"/>
      <c r="AJ253" s="311"/>
      <c r="AK253" s="311"/>
      <c r="AL253" s="311"/>
      <c r="AM253" s="311"/>
    </row>
    <row r="254" spans="1:39" ht="15.75" customHeight="1">
      <c r="A254" s="382"/>
      <c r="B254" s="311"/>
      <c r="C254" s="1647"/>
      <c r="D254" s="2173"/>
      <c r="E254" s="1586"/>
      <c r="F254" s="943"/>
      <c r="G254" s="1846"/>
      <c r="H254" s="1586"/>
      <c r="I254" s="1647"/>
      <c r="J254" s="2187"/>
      <c r="K254" s="1647"/>
      <c r="L254" s="1647"/>
      <c r="M254" s="2174"/>
      <c r="N254" s="836"/>
      <c r="O254" s="836"/>
      <c r="P254" s="2174"/>
      <c r="Q254" s="836"/>
      <c r="R254" s="309"/>
      <c r="S254" s="309"/>
      <c r="T254" s="309"/>
      <c r="U254" s="309"/>
      <c r="V254" s="311"/>
      <c r="W254" s="311"/>
      <c r="X254" s="311"/>
      <c r="Y254" s="311"/>
      <c r="Z254" s="311"/>
      <c r="AA254" s="311"/>
      <c r="AB254" s="311"/>
      <c r="AC254" s="311"/>
      <c r="AD254" s="311"/>
      <c r="AE254" s="311"/>
      <c r="AF254" s="311"/>
      <c r="AG254" s="311"/>
      <c r="AH254" s="311"/>
      <c r="AI254" s="311"/>
      <c r="AJ254" s="311"/>
      <c r="AK254" s="311"/>
      <c r="AL254" s="311"/>
      <c r="AM254" s="311"/>
    </row>
    <row r="255" spans="1:39" ht="15.75" customHeight="1">
      <c r="A255" s="382"/>
      <c r="B255" s="311"/>
      <c r="C255" s="1647"/>
      <c r="D255" s="2173"/>
      <c r="E255" s="1586"/>
      <c r="F255" s="943"/>
      <c r="G255" s="1846"/>
      <c r="H255" s="1586"/>
      <c r="I255" s="1647"/>
      <c r="J255" s="2187"/>
      <c r="K255" s="1647"/>
      <c r="L255" s="1647"/>
      <c r="M255" s="2174"/>
      <c r="N255" s="836"/>
      <c r="O255" s="836"/>
      <c r="P255" s="2174"/>
      <c r="Q255" s="836"/>
      <c r="R255" s="309"/>
      <c r="S255" s="309"/>
      <c r="T255" s="309"/>
      <c r="U255" s="309"/>
      <c r="V255" s="311"/>
      <c r="W255" s="311"/>
      <c r="X255" s="311"/>
      <c r="Y255" s="311"/>
      <c r="Z255" s="311"/>
      <c r="AA255" s="311"/>
      <c r="AB255" s="311"/>
      <c r="AC255" s="311"/>
      <c r="AD255" s="311"/>
      <c r="AE255" s="311"/>
      <c r="AF255" s="311"/>
      <c r="AG255" s="311"/>
      <c r="AH255" s="311"/>
      <c r="AI255" s="311"/>
      <c r="AJ255" s="311"/>
      <c r="AK255" s="311"/>
      <c r="AL255" s="311"/>
      <c r="AM255" s="311"/>
    </row>
    <row r="256" spans="1:39" ht="15.75" customHeight="1">
      <c r="A256" s="382"/>
      <c r="B256" s="311"/>
      <c r="C256" s="1647"/>
      <c r="D256" s="2173"/>
      <c r="E256" s="1586"/>
      <c r="F256" s="943"/>
      <c r="G256" s="1846"/>
      <c r="H256" s="1586"/>
      <c r="I256" s="1647"/>
      <c r="J256" s="2187"/>
      <c r="K256" s="1647"/>
      <c r="L256" s="1647"/>
      <c r="M256" s="2174"/>
      <c r="N256" s="836"/>
      <c r="O256" s="836"/>
      <c r="P256" s="2174"/>
      <c r="Q256" s="836"/>
      <c r="R256" s="309"/>
      <c r="S256" s="309"/>
      <c r="T256" s="309"/>
      <c r="U256" s="309"/>
      <c r="V256" s="311"/>
      <c r="W256" s="311"/>
      <c r="X256" s="311"/>
      <c r="Y256" s="311"/>
      <c r="Z256" s="311"/>
      <c r="AA256" s="311"/>
      <c r="AB256" s="311"/>
      <c r="AC256" s="311"/>
      <c r="AD256" s="311"/>
      <c r="AE256" s="311"/>
      <c r="AF256" s="311"/>
      <c r="AG256" s="311"/>
      <c r="AH256" s="311"/>
      <c r="AI256" s="311"/>
      <c r="AJ256" s="311"/>
      <c r="AK256" s="311"/>
      <c r="AL256" s="311"/>
      <c r="AM256" s="311"/>
    </row>
    <row r="257" spans="1:39" ht="15.75" customHeight="1">
      <c r="A257" s="382"/>
      <c r="B257" s="311"/>
      <c r="C257" s="1647"/>
      <c r="D257" s="2173"/>
      <c r="E257" s="1586"/>
      <c r="F257" s="943"/>
      <c r="G257" s="1846"/>
      <c r="H257" s="1586"/>
      <c r="I257" s="1647"/>
      <c r="J257" s="2187"/>
      <c r="K257" s="1647"/>
      <c r="L257" s="1647"/>
      <c r="M257" s="2174"/>
      <c r="N257" s="836"/>
      <c r="O257" s="836"/>
      <c r="P257" s="2174"/>
      <c r="Q257" s="836"/>
      <c r="R257" s="309"/>
      <c r="S257" s="309"/>
      <c r="T257" s="309"/>
      <c r="U257" s="309"/>
      <c r="V257" s="311"/>
      <c r="W257" s="311"/>
      <c r="X257" s="311"/>
      <c r="Y257" s="311"/>
      <c r="Z257" s="311"/>
      <c r="AA257" s="311"/>
      <c r="AB257" s="311"/>
      <c r="AC257" s="311"/>
      <c r="AD257" s="311"/>
      <c r="AE257" s="311"/>
      <c r="AF257" s="311"/>
      <c r="AG257" s="311"/>
      <c r="AH257" s="311"/>
      <c r="AI257" s="311"/>
      <c r="AJ257" s="311"/>
      <c r="AK257" s="311"/>
      <c r="AL257" s="311"/>
      <c r="AM257" s="311"/>
    </row>
    <row r="258" spans="1:39" ht="15.75" customHeight="1">
      <c r="A258" s="382"/>
      <c r="B258" s="311"/>
      <c r="C258" s="1647"/>
      <c r="D258" s="2173"/>
      <c r="E258" s="1586"/>
      <c r="F258" s="943"/>
      <c r="G258" s="1846"/>
      <c r="H258" s="1586"/>
      <c r="I258" s="1647"/>
      <c r="J258" s="2187"/>
      <c r="K258" s="1647"/>
      <c r="L258" s="1647"/>
      <c r="M258" s="2174"/>
      <c r="N258" s="836"/>
      <c r="O258" s="836"/>
      <c r="P258" s="2174"/>
      <c r="Q258" s="836"/>
      <c r="R258" s="309"/>
      <c r="S258" s="309"/>
      <c r="T258" s="309"/>
      <c r="U258" s="309"/>
      <c r="V258" s="311"/>
      <c r="W258" s="311"/>
      <c r="X258" s="311"/>
      <c r="Y258" s="311"/>
      <c r="Z258" s="311"/>
      <c r="AA258" s="311"/>
      <c r="AB258" s="311"/>
      <c r="AC258" s="311"/>
      <c r="AD258" s="311"/>
      <c r="AE258" s="311"/>
      <c r="AF258" s="311"/>
      <c r="AG258" s="311"/>
      <c r="AH258" s="311"/>
      <c r="AI258" s="311"/>
      <c r="AJ258" s="311"/>
      <c r="AK258" s="311"/>
      <c r="AL258" s="311"/>
      <c r="AM258" s="311"/>
    </row>
    <row r="259" spans="1:39" ht="15.75" customHeight="1">
      <c r="A259" s="382"/>
      <c r="B259" s="311"/>
      <c r="C259" s="1647"/>
      <c r="D259" s="2173"/>
      <c r="E259" s="1586"/>
      <c r="F259" s="943"/>
      <c r="G259" s="1846"/>
      <c r="H259" s="1586"/>
      <c r="I259" s="1647"/>
      <c r="J259" s="2187"/>
      <c r="K259" s="1647"/>
      <c r="L259" s="1647"/>
      <c r="M259" s="2174"/>
      <c r="N259" s="836"/>
      <c r="O259" s="836"/>
      <c r="P259" s="2174"/>
      <c r="Q259" s="836"/>
      <c r="R259" s="309"/>
      <c r="S259" s="309"/>
      <c r="T259" s="309"/>
      <c r="U259" s="309"/>
      <c r="V259" s="311"/>
      <c r="W259" s="311"/>
      <c r="X259" s="311"/>
      <c r="Y259" s="311"/>
      <c r="Z259" s="311"/>
      <c r="AA259" s="311"/>
      <c r="AB259" s="311"/>
      <c r="AC259" s="311"/>
      <c r="AD259" s="311"/>
      <c r="AE259" s="311"/>
      <c r="AF259" s="311"/>
      <c r="AG259" s="311"/>
      <c r="AH259" s="311"/>
      <c r="AI259" s="311"/>
      <c r="AJ259" s="311"/>
      <c r="AK259" s="311"/>
      <c r="AL259" s="311"/>
      <c r="AM259" s="311"/>
    </row>
    <row r="260" spans="1:39" ht="15.75" customHeight="1">
      <c r="A260" s="382"/>
      <c r="B260" s="311"/>
      <c r="C260" s="1647"/>
      <c r="D260" s="2173"/>
      <c r="E260" s="1586"/>
      <c r="F260" s="943"/>
      <c r="G260" s="1846"/>
      <c r="H260" s="1586"/>
      <c r="I260" s="1647"/>
      <c r="J260" s="2187"/>
      <c r="K260" s="1647"/>
      <c r="L260" s="1647"/>
      <c r="M260" s="2174"/>
      <c r="N260" s="836"/>
      <c r="O260" s="836"/>
      <c r="P260" s="2174"/>
      <c r="Q260" s="836"/>
      <c r="R260" s="309"/>
      <c r="S260" s="309"/>
      <c r="T260" s="309"/>
      <c r="U260" s="309"/>
      <c r="V260" s="311"/>
      <c r="W260" s="311"/>
      <c r="X260" s="311"/>
      <c r="Y260" s="311"/>
      <c r="Z260" s="311"/>
      <c r="AA260" s="311"/>
      <c r="AB260" s="311"/>
      <c r="AC260" s="311"/>
      <c r="AD260" s="311"/>
      <c r="AE260" s="311"/>
      <c r="AF260" s="311"/>
      <c r="AG260" s="311"/>
      <c r="AH260" s="311"/>
      <c r="AI260" s="311"/>
      <c r="AJ260" s="311"/>
      <c r="AK260" s="311"/>
      <c r="AL260" s="311"/>
      <c r="AM260" s="311"/>
    </row>
    <row r="261" spans="1:39" ht="15.75" customHeight="1">
      <c r="A261" s="382"/>
      <c r="B261" s="311"/>
      <c r="C261" s="1647"/>
      <c r="D261" s="2173"/>
      <c r="E261" s="1586"/>
      <c r="F261" s="943"/>
      <c r="G261" s="1846"/>
      <c r="H261" s="1586"/>
      <c r="I261" s="1647"/>
      <c r="J261" s="2187"/>
      <c r="K261" s="1647"/>
      <c r="L261" s="1647"/>
      <c r="M261" s="2174"/>
      <c r="N261" s="836"/>
      <c r="O261" s="836"/>
      <c r="P261" s="2174"/>
      <c r="Q261" s="836"/>
      <c r="R261" s="309"/>
      <c r="S261" s="309"/>
      <c r="T261" s="309"/>
      <c r="U261" s="309"/>
      <c r="V261" s="311"/>
      <c r="W261" s="311"/>
      <c r="X261" s="311"/>
      <c r="Y261" s="311"/>
      <c r="Z261" s="311"/>
      <c r="AA261" s="311"/>
      <c r="AB261" s="311"/>
      <c r="AC261" s="311"/>
      <c r="AD261" s="311"/>
      <c r="AE261" s="311"/>
      <c r="AF261" s="311"/>
      <c r="AG261" s="311"/>
      <c r="AH261" s="311"/>
      <c r="AI261" s="311"/>
      <c r="AJ261" s="311"/>
      <c r="AK261" s="311"/>
      <c r="AL261" s="311"/>
      <c r="AM261" s="311"/>
    </row>
    <row r="262" spans="1:39" ht="15.75" customHeight="1">
      <c r="A262" s="382"/>
      <c r="B262" s="311"/>
      <c r="C262" s="1647"/>
      <c r="D262" s="2173"/>
      <c r="E262" s="1586"/>
      <c r="F262" s="943"/>
      <c r="G262" s="1846"/>
      <c r="H262" s="1586"/>
      <c r="I262" s="1647"/>
      <c r="J262" s="2187"/>
      <c r="K262" s="1647"/>
      <c r="L262" s="1647"/>
      <c r="M262" s="2174"/>
      <c r="N262" s="836"/>
      <c r="O262" s="836"/>
      <c r="P262" s="2174"/>
      <c r="Q262" s="836"/>
      <c r="R262" s="309"/>
      <c r="S262" s="309"/>
      <c r="T262" s="309"/>
      <c r="U262" s="309"/>
      <c r="V262" s="311"/>
      <c r="W262" s="311"/>
      <c r="X262" s="311"/>
      <c r="Y262" s="311"/>
      <c r="Z262" s="311"/>
      <c r="AA262" s="311"/>
      <c r="AB262" s="311"/>
      <c r="AC262" s="311"/>
      <c r="AD262" s="311"/>
      <c r="AE262" s="311"/>
      <c r="AF262" s="311"/>
      <c r="AG262" s="311"/>
      <c r="AH262" s="311"/>
      <c r="AI262" s="311"/>
      <c r="AJ262" s="311"/>
      <c r="AK262" s="311"/>
      <c r="AL262" s="311"/>
      <c r="AM262" s="311"/>
    </row>
    <row r="263" spans="1:39" ht="15.75" customHeight="1">
      <c r="A263" s="382"/>
      <c r="B263" s="311"/>
      <c r="C263" s="1647"/>
      <c r="D263" s="2173"/>
      <c r="E263" s="1586"/>
      <c r="F263" s="137"/>
      <c r="G263" s="1846"/>
      <c r="H263" s="1586"/>
      <c r="I263" s="1647"/>
      <c r="J263" s="2187"/>
      <c r="K263" s="1647"/>
      <c r="L263" s="1647"/>
      <c r="M263" s="2174"/>
      <c r="N263" s="836"/>
      <c r="O263" s="836"/>
      <c r="P263" s="2174"/>
      <c r="Q263" s="836"/>
      <c r="R263" s="309"/>
      <c r="S263" s="309"/>
      <c r="T263" s="309"/>
      <c r="U263" s="309"/>
      <c r="V263" s="311"/>
      <c r="W263" s="311"/>
      <c r="X263" s="311"/>
      <c r="Y263" s="311"/>
      <c r="Z263" s="311"/>
      <c r="AA263" s="311"/>
      <c r="AB263" s="311"/>
      <c r="AC263" s="311"/>
      <c r="AD263" s="311"/>
      <c r="AE263" s="311"/>
      <c r="AF263" s="311"/>
      <c r="AG263" s="311"/>
      <c r="AH263" s="311"/>
      <c r="AI263" s="311"/>
      <c r="AJ263" s="311"/>
      <c r="AK263" s="311"/>
      <c r="AL263" s="311"/>
      <c r="AM263" s="311"/>
    </row>
    <row r="264" spans="1:39" ht="15.75" customHeight="1">
      <c r="A264" s="382"/>
      <c r="B264" s="311"/>
      <c r="C264" s="1647"/>
      <c r="D264" s="2173"/>
      <c r="E264" s="1586"/>
      <c r="F264" s="943"/>
      <c r="G264" s="1846"/>
      <c r="H264" s="1586"/>
      <c r="I264" s="1647"/>
      <c r="J264" s="2187"/>
      <c r="K264" s="1647"/>
      <c r="L264" s="1647"/>
      <c r="M264" s="2174"/>
      <c r="N264" s="836"/>
      <c r="O264" s="836"/>
      <c r="P264" s="2174"/>
      <c r="Q264" s="836"/>
      <c r="R264" s="309"/>
      <c r="S264" s="309"/>
      <c r="T264" s="309"/>
      <c r="U264" s="309"/>
      <c r="V264" s="311"/>
      <c r="W264" s="311"/>
      <c r="X264" s="311"/>
      <c r="Y264" s="311"/>
      <c r="Z264" s="311"/>
      <c r="AA264" s="311"/>
      <c r="AB264" s="311"/>
      <c r="AC264" s="311"/>
      <c r="AD264" s="311"/>
      <c r="AE264" s="311"/>
      <c r="AF264" s="311"/>
      <c r="AG264" s="311"/>
      <c r="AH264" s="311"/>
      <c r="AI264" s="311"/>
      <c r="AJ264" s="311"/>
      <c r="AK264" s="311"/>
      <c r="AL264" s="311"/>
      <c r="AM264" s="311"/>
    </row>
    <row r="265" spans="1:39" ht="15.75" customHeight="1">
      <c r="A265" s="382"/>
      <c r="B265" s="311"/>
      <c r="C265" s="1647"/>
      <c r="D265" s="2173"/>
      <c r="E265" s="1586"/>
      <c r="F265" s="943"/>
      <c r="G265" s="1846"/>
      <c r="H265" s="1586"/>
      <c r="I265" s="1647"/>
      <c r="J265" s="2187"/>
      <c r="K265" s="1647"/>
      <c r="L265" s="1647"/>
      <c r="M265" s="2174"/>
      <c r="N265" s="836"/>
      <c r="O265" s="836"/>
      <c r="P265" s="2174"/>
      <c r="Q265" s="836"/>
      <c r="R265" s="309"/>
      <c r="S265" s="309"/>
      <c r="T265" s="309"/>
      <c r="U265" s="309"/>
      <c r="V265" s="311"/>
      <c r="W265" s="311"/>
      <c r="X265" s="311"/>
      <c r="Y265" s="311"/>
      <c r="Z265" s="311"/>
      <c r="AA265" s="311"/>
      <c r="AB265" s="311"/>
      <c r="AC265" s="311"/>
      <c r="AD265" s="311"/>
      <c r="AE265" s="311"/>
      <c r="AF265" s="311"/>
      <c r="AG265" s="311"/>
      <c r="AH265" s="311"/>
      <c r="AI265" s="311"/>
      <c r="AJ265" s="311"/>
      <c r="AK265" s="311"/>
      <c r="AL265" s="311"/>
      <c r="AM265" s="311"/>
    </row>
    <row r="266" spans="1:39" ht="15.75" customHeight="1">
      <c r="A266" s="382"/>
      <c r="B266" s="311"/>
      <c r="C266" s="1647"/>
      <c r="D266" s="2173"/>
      <c r="E266" s="1586"/>
      <c r="F266" s="943"/>
      <c r="G266" s="1846"/>
      <c r="H266" s="1586"/>
      <c r="I266" s="1647"/>
      <c r="J266" s="2187"/>
      <c r="K266" s="1647"/>
      <c r="L266" s="1647"/>
      <c r="M266" s="2174"/>
      <c r="N266" s="836"/>
      <c r="O266" s="836"/>
      <c r="P266" s="2174"/>
      <c r="Q266" s="836"/>
      <c r="R266" s="309"/>
      <c r="S266" s="309"/>
      <c r="T266" s="309"/>
      <c r="U266" s="309"/>
      <c r="V266" s="311"/>
      <c r="W266" s="311"/>
      <c r="X266" s="311"/>
      <c r="Y266" s="311"/>
      <c r="Z266" s="311"/>
      <c r="AA266" s="311"/>
      <c r="AB266" s="311"/>
      <c r="AC266" s="311"/>
      <c r="AD266" s="311"/>
      <c r="AE266" s="311"/>
      <c r="AF266" s="311"/>
      <c r="AG266" s="311"/>
      <c r="AH266" s="311"/>
      <c r="AI266" s="311"/>
      <c r="AJ266" s="311"/>
      <c r="AK266" s="311"/>
      <c r="AL266" s="311"/>
      <c r="AM266" s="311"/>
    </row>
    <row r="267" spans="1:39" ht="15.75" customHeight="1">
      <c r="A267" s="382"/>
      <c r="B267" s="311"/>
      <c r="C267" s="1647"/>
      <c r="D267" s="2173"/>
      <c r="E267" s="1586"/>
      <c r="F267" s="943"/>
      <c r="G267" s="1846"/>
      <c r="H267" s="1586"/>
      <c r="I267" s="1647"/>
      <c r="J267" s="2187"/>
      <c r="K267" s="1647"/>
      <c r="L267" s="1647"/>
      <c r="M267" s="2174"/>
      <c r="N267" s="836"/>
      <c r="O267" s="836"/>
      <c r="P267" s="2174"/>
      <c r="Q267" s="836"/>
      <c r="R267" s="309"/>
      <c r="S267" s="309"/>
      <c r="T267" s="309"/>
      <c r="U267" s="309"/>
      <c r="V267" s="311"/>
      <c r="W267" s="311"/>
      <c r="X267" s="311"/>
      <c r="Y267" s="311"/>
      <c r="Z267" s="311"/>
      <c r="AA267" s="311"/>
      <c r="AB267" s="311"/>
      <c r="AC267" s="311"/>
      <c r="AD267" s="311"/>
      <c r="AE267" s="311"/>
      <c r="AF267" s="311"/>
      <c r="AG267" s="311"/>
      <c r="AH267" s="311"/>
      <c r="AI267" s="311"/>
      <c r="AJ267" s="311"/>
      <c r="AK267" s="311"/>
      <c r="AL267" s="311"/>
      <c r="AM267" s="311"/>
    </row>
    <row r="268" spans="1:39" ht="15.75" customHeight="1">
      <c r="A268" s="382"/>
      <c r="B268" s="311"/>
      <c r="C268" s="1647"/>
      <c r="D268" s="2173"/>
      <c r="E268" s="1586"/>
      <c r="F268" s="943"/>
      <c r="G268" s="1846"/>
      <c r="H268" s="1586"/>
      <c r="I268" s="1647"/>
      <c r="J268" s="2187"/>
      <c r="K268" s="1647"/>
      <c r="L268" s="1647"/>
      <c r="M268" s="2174"/>
      <c r="N268" s="836"/>
      <c r="O268" s="836"/>
      <c r="P268" s="2174"/>
      <c r="Q268" s="836"/>
      <c r="R268" s="309"/>
      <c r="S268" s="309"/>
      <c r="T268" s="309"/>
      <c r="U268" s="309"/>
      <c r="V268" s="311"/>
      <c r="W268" s="311"/>
      <c r="X268" s="311"/>
      <c r="Y268" s="311"/>
      <c r="Z268" s="311"/>
      <c r="AA268" s="311"/>
      <c r="AB268" s="311"/>
      <c r="AC268" s="311"/>
      <c r="AD268" s="311"/>
      <c r="AE268" s="311"/>
      <c r="AF268" s="311"/>
      <c r="AG268" s="311"/>
      <c r="AH268" s="311"/>
      <c r="AI268" s="311"/>
      <c r="AJ268" s="311"/>
      <c r="AK268" s="311"/>
      <c r="AL268" s="311"/>
      <c r="AM268" s="311"/>
    </row>
    <row r="269" spans="1:39" ht="15.75" customHeight="1">
      <c r="A269" s="382"/>
      <c r="B269" s="311"/>
      <c r="C269" s="1647"/>
      <c r="D269" s="2173"/>
      <c r="E269" s="1586"/>
      <c r="F269" s="943"/>
      <c r="G269" s="1846"/>
      <c r="H269" s="1586"/>
      <c r="I269" s="1647"/>
      <c r="J269" s="2187"/>
      <c r="K269" s="1647"/>
      <c r="L269" s="1647"/>
      <c r="M269" s="2174"/>
      <c r="N269" s="836"/>
      <c r="O269" s="836"/>
      <c r="P269" s="2174"/>
      <c r="Q269" s="836"/>
      <c r="R269" s="309"/>
      <c r="S269" s="309"/>
      <c r="T269" s="309"/>
      <c r="U269" s="309"/>
      <c r="V269" s="311"/>
      <c r="W269" s="311"/>
      <c r="X269" s="311"/>
      <c r="Y269" s="311"/>
      <c r="Z269" s="311"/>
      <c r="AA269" s="311"/>
      <c r="AB269" s="311"/>
      <c r="AC269" s="311"/>
      <c r="AD269" s="311"/>
      <c r="AE269" s="311"/>
      <c r="AF269" s="311"/>
      <c r="AG269" s="311"/>
      <c r="AH269" s="311"/>
      <c r="AI269" s="311"/>
      <c r="AJ269" s="311"/>
      <c r="AK269" s="311"/>
      <c r="AL269" s="311"/>
      <c r="AM269" s="311"/>
    </row>
    <row r="270" spans="1:39" ht="15.75" customHeight="1">
      <c r="A270" s="382"/>
      <c r="B270" s="311"/>
      <c r="C270" s="1647"/>
      <c r="D270" s="2173"/>
      <c r="E270" s="1586"/>
      <c r="F270" s="943"/>
      <c r="G270" s="1846"/>
      <c r="H270" s="1586"/>
      <c r="I270" s="1647"/>
      <c r="J270" s="2187"/>
      <c r="K270" s="1647"/>
      <c r="L270" s="1647"/>
      <c r="M270" s="2174"/>
      <c r="N270" s="836"/>
      <c r="O270" s="836"/>
      <c r="P270" s="2174"/>
      <c r="Q270" s="836"/>
      <c r="R270" s="309"/>
      <c r="S270" s="309"/>
      <c r="T270" s="309"/>
      <c r="U270" s="309"/>
      <c r="V270" s="311"/>
      <c r="W270" s="311"/>
      <c r="X270" s="311"/>
      <c r="Y270" s="311"/>
      <c r="Z270" s="311"/>
      <c r="AA270" s="311"/>
      <c r="AB270" s="311"/>
      <c r="AC270" s="311"/>
      <c r="AD270" s="311"/>
      <c r="AE270" s="311"/>
      <c r="AF270" s="311"/>
      <c r="AG270" s="311"/>
      <c r="AH270" s="311"/>
      <c r="AI270" s="311"/>
      <c r="AJ270" s="311"/>
      <c r="AK270" s="311"/>
      <c r="AL270" s="311"/>
      <c r="AM270" s="311"/>
    </row>
    <row r="271" spans="1:39" ht="15.75" customHeight="1">
      <c r="A271" s="382"/>
      <c r="B271" s="311"/>
      <c r="C271" s="1647"/>
      <c r="D271" s="2173"/>
      <c r="E271" s="1586"/>
      <c r="F271" s="943"/>
      <c r="G271" s="1846"/>
      <c r="H271" s="1586"/>
      <c r="I271" s="1647"/>
      <c r="J271" s="2187"/>
      <c r="K271" s="1647"/>
      <c r="L271" s="1647"/>
      <c r="M271" s="2174"/>
      <c r="N271" s="836"/>
      <c r="O271" s="836"/>
      <c r="P271" s="2174"/>
      <c r="Q271" s="836"/>
      <c r="R271" s="309"/>
      <c r="S271" s="309"/>
      <c r="T271" s="309"/>
      <c r="U271" s="309"/>
      <c r="V271" s="311"/>
      <c r="W271" s="311"/>
      <c r="X271" s="311"/>
      <c r="Y271" s="311"/>
      <c r="Z271" s="311"/>
      <c r="AA271" s="311"/>
      <c r="AB271" s="311"/>
      <c r="AC271" s="311"/>
      <c r="AD271" s="311"/>
      <c r="AE271" s="311"/>
      <c r="AF271" s="311"/>
      <c r="AG271" s="311"/>
      <c r="AH271" s="311"/>
      <c r="AI271" s="311"/>
      <c r="AJ271" s="311"/>
      <c r="AK271" s="311"/>
      <c r="AL271" s="311"/>
      <c r="AM271" s="311"/>
    </row>
    <row r="272" spans="1:39" ht="15.75" customHeight="1">
      <c r="A272" s="382"/>
      <c r="B272" s="311"/>
      <c r="C272" s="1647"/>
      <c r="D272" s="2173"/>
      <c r="E272" s="1586"/>
      <c r="F272" s="943"/>
      <c r="G272" s="1846"/>
      <c r="H272" s="1586"/>
      <c r="I272" s="1647"/>
      <c r="J272" s="2187"/>
      <c r="K272" s="1647"/>
      <c r="L272" s="1647"/>
      <c r="M272" s="2174"/>
      <c r="N272" s="836"/>
      <c r="O272" s="836"/>
      <c r="P272" s="2174"/>
      <c r="Q272" s="836"/>
      <c r="R272" s="309"/>
      <c r="S272" s="309"/>
      <c r="T272" s="309"/>
      <c r="U272" s="309"/>
      <c r="V272" s="311"/>
      <c r="W272" s="311"/>
      <c r="X272" s="311"/>
      <c r="Y272" s="311"/>
      <c r="Z272" s="311"/>
      <c r="AA272" s="311"/>
      <c r="AB272" s="311"/>
      <c r="AC272" s="311"/>
      <c r="AD272" s="311"/>
      <c r="AE272" s="311"/>
      <c r="AF272" s="311"/>
      <c r="AG272" s="311"/>
      <c r="AH272" s="311"/>
      <c r="AI272" s="311"/>
      <c r="AJ272" s="311"/>
      <c r="AK272" s="311"/>
      <c r="AL272" s="311"/>
      <c r="AM272" s="311"/>
    </row>
    <row r="273" spans="1:39" ht="15.75" customHeight="1">
      <c r="A273" s="382"/>
      <c r="B273" s="311"/>
      <c r="C273" s="1647"/>
      <c r="D273" s="2173"/>
      <c r="E273" s="1586"/>
      <c r="F273" s="943"/>
      <c r="G273" s="1846"/>
      <c r="H273" s="1586"/>
      <c r="I273" s="1647"/>
      <c r="J273" s="2187"/>
      <c r="K273" s="1647"/>
      <c r="L273" s="1647"/>
      <c r="M273" s="2174"/>
      <c r="N273" s="836"/>
      <c r="O273" s="836"/>
      <c r="P273" s="2174"/>
      <c r="Q273" s="836"/>
      <c r="R273" s="309"/>
      <c r="S273" s="309"/>
      <c r="T273" s="309"/>
      <c r="U273" s="309"/>
      <c r="V273" s="311"/>
      <c r="W273" s="311"/>
      <c r="X273" s="311"/>
      <c r="Y273" s="311"/>
      <c r="Z273" s="311"/>
      <c r="AA273" s="311"/>
      <c r="AB273" s="311"/>
      <c r="AC273" s="311"/>
      <c r="AD273" s="311"/>
      <c r="AE273" s="311"/>
      <c r="AF273" s="311"/>
      <c r="AG273" s="311"/>
      <c r="AH273" s="311"/>
      <c r="AI273" s="311"/>
      <c r="AJ273" s="311"/>
      <c r="AK273" s="311"/>
      <c r="AL273" s="311"/>
      <c r="AM273" s="311"/>
    </row>
    <row r="274" spans="1:39" ht="15.75" customHeight="1">
      <c r="A274" s="382"/>
      <c r="B274" s="311"/>
      <c r="C274" s="1647"/>
      <c r="D274" s="2173"/>
      <c r="E274" s="1586"/>
      <c r="F274" s="1948"/>
      <c r="G274" s="1846"/>
      <c r="H274" s="1586"/>
      <c r="I274" s="1647"/>
      <c r="J274" s="2187"/>
      <c r="K274" s="1647"/>
      <c r="L274" s="1647"/>
      <c r="M274" s="2174"/>
      <c r="N274" s="836"/>
      <c r="O274" s="836"/>
      <c r="P274" s="2174"/>
      <c r="Q274" s="836"/>
      <c r="R274" s="309"/>
      <c r="S274" s="309"/>
      <c r="T274" s="309"/>
      <c r="U274" s="309"/>
      <c r="V274" s="311"/>
      <c r="W274" s="311"/>
      <c r="X274" s="311"/>
      <c r="Y274" s="311"/>
      <c r="Z274" s="311"/>
      <c r="AA274" s="311"/>
      <c r="AB274" s="311"/>
      <c r="AC274" s="311"/>
      <c r="AD274" s="311"/>
      <c r="AE274" s="311"/>
      <c r="AF274" s="311"/>
      <c r="AG274" s="311"/>
      <c r="AH274" s="311"/>
      <c r="AI274" s="311"/>
      <c r="AJ274" s="311"/>
      <c r="AK274" s="311"/>
      <c r="AL274" s="311"/>
      <c r="AM274" s="311"/>
    </row>
    <row r="275" spans="1:39" ht="15.75" customHeight="1">
      <c r="A275" s="382"/>
      <c r="B275" s="311"/>
      <c r="C275" s="1647"/>
      <c r="D275" s="2173"/>
      <c r="E275" s="1586"/>
      <c r="F275" s="137"/>
      <c r="G275" s="1846"/>
      <c r="H275" s="1586"/>
      <c r="I275" s="1647"/>
      <c r="J275" s="2187"/>
      <c r="K275" s="1647"/>
      <c r="L275" s="1647"/>
      <c r="M275" s="2174"/>
      <c r="N275" s="836"/>
      <c r="O275" s="836"/>
      <c r="P275" s="2174"/>
      <c r="Q275" s="836"/>
      <c r="R275" s="309"/>
      <c r="S275" s="309"/>
      <c r="T275" s="309"/>
      <c r="U275" s="309"/>
      <c r="V275" s="311"/>
      <c r="W275" s="311"/>
      <c r="X275" s="311"/>
      <c r="Y275" s="311"/>
      <c r="Z275" s="311"/>
      <c r="AA275" s="311"/>
      <c r="AB275" s="311"/>
      <c r="AC275" s="311"/>
      <c r="AD275" s="311"/>
      <c r="AE275" s="311"/>
      <c r="AF275" s="311"/>
      <c r="AG275" s="311"/>
      <c r="AH275" s="311"/>
      <c r="AI275" s="311"/>
      <c r="AJ275" s="311"/>
      <c r="AK275" s="311"/>
      <c r="AL275" s="311"/>
      <c r="AM275" s="311"/>
    </row>
    <row r="276" spans="1:39" ht="15.75" customHeight="1">
      <c r="A276" s="382"/>
      <c r="B276" s="311"/>
      <c r="C276" s="1647"/>
      <c r="D276" s="2173"/>
      <c r="E276" s="1586"/>
      <c r="F276" s="943"/>
      <c r="G276" s="1846"/>
      <c r="H276" s="1586"/>
      <c r="I276" s="1647"/>
      <c r="J276" s="2187"/>
      <c r="K276" s="1647"/>
      <c r="L276" s="1647"/>
      <c r="M276" s="2174"/>
      <c r="N276" s="836"/>
      <c r="O276" s="836"/>
      <c r="P276" s="2174"/>
      <c r="Q276" s="836"/>
      <c r="R276" s="309"/>
      <c r="S276" s="309"/>
      <c r="T276" s="309"/>
      <c r="U276" s="309"/>
      <c r="V276" s="311"/>
      <c r="W276" s="311"/>
      <c r="X276" s="311"/>
      <c r="Y276" s="311"/>
      <c r="Z276" s="311"/>
      <c r="AA276" s="311"/>
      <c r="AB276" s="311"/>
      <c r="AC276" s="311"/>
      <c r="AD276" s="311"/>
      <c r="AE276" s="311"/>
      <c r="AF276" s="311"/>
      <c r="AG276" s="311"/>
      <c r="AH276" s="311"/>
      <c r="AI276" s="311"/>
      <c r="AJ276" s="311"/>
      <c r="AK276" s="311"/>
      <c r="AL276" s="311"/>
      <c r="AM276" s="311"/>
    </row>
    <row r="277" spans="1:39" ht="15.75" customHeight="1">
      <c r="A277" s="382"/>
      <c r="B277" s="311"/>
      <c r="C277" s="1647"/>
      <c r="D277" s="2173"/>
      <c r="E277" s="1586"/>
      <c r="F277" s="943"/>
      <c r="G277" s="1846"/>
      <c r="H277" s="1586"/>
      <c r="I277" s="1647"/>
      <c r="J277" s="2187"/>
      <c r="K277" s="1647"/>
      <c r="L277" s="1647"/>
      <c r="M277" s="2174"/>
      <c r="N277" s="836"/>
      <c r="O277" s="836"/>
      <c r="P277" s="2174"/>
      <c r="Q277" s="836"/>
      <c r="R277" s="309"/>
      <c r="S277" s="309"/>
      <c r="T277" s="309"/>
      <c r="U277" s="309"/>
      <c r="V277" s="311"/>
      <c r="W277" s="311"/>
      <c r="X277" s="311"/>
      <c r="Y277" s="311"/>
      <c r="Z277" s="311"/>
      <c r="AA277" s="311"/>
      <c r="AB277" s="311"/>
      <c r="AC277" s="311"/>
      <c r="AD277" s="311"/>
      <c r="AE277" s="311"/>
      <c r="AF277" s="311"/>
      <c r="AG277" s="311"/>
      <c r="AH277" s="311"/>
      <c r="AI277" s="311"/>
      <c r="AJ277" s="311"/>
      <c r="AK277" s="311"/>
      <c r="AL277" s="311"/>
      <c r="AM277" s="311"/>
    </row>
    <row r="278" spans="1:39" ht="15.75" customHeight="1">
      <c r="A278" s="382"/>
      <c r="B278" s="311"/>
      <c r="C278" s="1647"/>
      <c r="D278" s="2173"/>
      <c r="E278" s="1586"/>
      <c r="F278" s="137"/>
      <c r="G278" s="1846"/>
      <c r="H278" s="1586"/>
      <c r="I278" s="1647"/>
      <c r="J278" s="2187"/>
      <c r="K278" s="1647"/>
      <c r="L278" s="1647"/>
      <c r="M278" s="2174"/>
      <c r="N278" s="836"/>
      <c r="O278" s="836"/>
      <c r="P278" s="2174"/>
      <c r="Q278" s="836"/>
      <c r="R278" s="309"/>
      <c r="S278" s="309"/>
      <c r="T278" s="309"/>
      <c r="U278" s="309"/>
      <c r="V278" s="311"/>
      <c r="W278" s="311"/>
      <c r="X278" s="311"/>
      <c r="Y278" s="311"/>
      <c r="Z278" s="311"/>
      <c r="AA278" s="311"/>
      <c r="AB278" s="311"/>
      <c r="AC278" s="311"/>
      <c r="AD278" s="311"/>
      <c r="AE278" s="311"/>
      <c r="AF278" s="311"/>
      <c r="AG278" s="311"/>
      <c r="AH278" s="311"/>
      <c r="AI278" s="311"/>
      <c r="AJ278" s="311"/>
      <c r="AK278" s="311"/>
      <c r="AL278" s="311"/>
      <c r="AM278" s="311"/>
    </row>
    <row r="279" spans="1:39" ht="15.75" customHeight="1">
      <c r="A279" s="382"/>
      <c r="B279" s="311"/>
      <c r="C279" s="1647"/>
      <c r="D279" s="2173"/>
      <c r="E279" s="1586"/>
      <c r="F279" s="943"/>
      <c r="G279" s="1846"/>
      <c r="H279" s="1586"/>
      <c r="I279" s="1647"/>
      <c r="J279" s="2187"/>
      <c r="K279" s="1647"/>
      <c r="L279" s="1647"/>
      <c r="M279" s="2174"/>
      <c r="N279" s="836"/>
      <c r="O279" s="836"/>
      <c r="P279" s="2174"/>
      <c r="Q279" s="836"/>
      <c r="R279" s="309"/>
      <c r="S279" s="309"/>
      <c r="T279" s="309"/>
      <c r="U279" s="309"/>
      <c r="V279" s="311"/>
      <c r="W279" s="311"/>
      <c r="X279" s="311"/>
      <c r="Y279" s="311"/>
      <c r="Z279" s="311"/>
      <c r="AA279" s="311"/>
      <c r="AB279" s="311"/>
      <c r="AC279" s="311"/>
      <c r="AD279" s="311"/>
      <c r="AE279" s="311"/>
      <c r="AF279" s="311"/>
      <c r="AG279" s="311"/>
      <c r="AH279" s="311"/>
      <c r="AI279" s="311"/>
      <c r="AJ279" s="311"/>
      <c r="AK279" s="311"/>
      <c r="AL279" s="311"/>
      <c r="AM279" s="311"/>
    </row>
    <row r="280" spans="1:39" ht="15.75" customHeight="1">
      <c r="A280" s="382"/>
      <c r="B280" s="311"/>
      <c r="C280" s="1647"/>
      <c r="D280" s="2173"/>
      <c r="E280" s="1586"/>
      <c r="F280" s="943"/>
      <c r="G280" s="1846"/>
      <c r="H280" s="1586"/>
      <c r="I280" s="1647"/>
      <c r="J280" s="2187"/>
      <c r="K280" s="1647"/>
      <c r="L280" s="1647"/>
      <c r="M280" s="2174"/>
      <c r="N280" s="836"/>
      <c r="O280" s="836"/>
      <c r="P280" s="2174"/>
      <c r="Q280" s="836"/>
      <c r="R280" s="309"/>
      <c r="S280" s="309"/>
      <c r="T280" s="309"/>
      <c r="U280" s="309"/>
      <c r="V280" s="311"/>
      <c r="W280" s="311"/>
      <c r="X280" s="311"/>
      <c r="Y280" s="311"/>
      <c r="Z280" s="311"/>
      <c r="AA280" s="311"/>
      <c r="AB280" s="311"/>
      <c r="AC280" s="311"/>
      <c r="AD280" s="311"/>
      <c r="AE280" s="311"/>
      <c r="AF280" s="311"/>
      <c r="AG280" s="311"/>
      <c r="AH280" s="311"/>
      <c r="AI280" s="311"/>
      <c r="AJ280" s="311"/>
      <c r="AK280" s="311"/>
      <c r="AL280" s="311"/>
      <c r="AM280" s="311"/>
    </row>
    <row r="281" spans="1:39" ht="15.75" customHeight="1">
      <c r="A281" s="382"/>
      <c r="B281" s="311"/>
      <c r="C281" s="1647"/>
      <c r="D281" s="2173"/>
      <c r="E281" s="1586"/>
      <c r="F281" s="1948"/>
      <c r="G281" s="1846"/>
      <c r="H281" s="1586"/>
      <c r="I281" s="1647"/>
      <c r="J281" s="2187"/>
      <c r="K281" s="1647"/>
      <c r="L281" s="1647"/>
      <c r="M281" s="2174"/>
      <c r="N281" s="836"/>
      <c r="O281" s="836"/>
      <c r="P281" s="2174"/>
      <c r="Q281" s="836"/>
      <c r="R281" s="309"/>
      <c r="S281" s="309"/>
      <c r="T281" s="309"/>
      <c r="U281" s="309"/>
      <c r="V281" s="311"/>
      <c r="W281" s="311"/>
      <c r="X281" s="311"/>
      <c r="Y281" s="311"/>
      <c r="Z281" s="311"/>
      <c r="AA281" s="311"/>
      <c r="AB281" s="311"/>
      <c r="AC281" s="311"/>
      <c r="AD281" s="311"/>
      <c r="AE281" s="311"/>
      <c r="AF281" s="311"/>
      <c r="AG281" s="311"/>
      <c r="AH281" s="311"/>
      <c r="AI281" s="311"/>
      <c r="AJ281" s="311"/>
      <c r="AK281" s="311"/>
      <c r="AL281" s="311"/>
      <c r="AM281" s="311"/>
    </row>
    <row r="282" spans="1:39" ht="15.75" customHeight="1">
      <c r="A282" s="382"/>
      <c r="B282" s="311"/>
      <c r="C282" s="1647"/>
      <c r="D282" s="2173"/>
      <c r="E282" s="1586"/>
      <c r="F282" s="943"/>
      <c r="G282" s="1846"/>
      <c r="H282" s="1586"/>
      <c r="I282" s="1647"/>
      <c r="J282" s="2187"/>
      <c r="K282" s="1647"/>
      <c r="L282" s="1647"/>
      <c r="M282" s="2174"/>
      <c r="N282" s="836"/>
      <c r="O282" s="836"/>
      <c r="P282" s="2174"/>
      <c r="Q282" s="836"/>
      <c r="R282" s="309"/>
      <c r="S282" s="309"/>
      <c r="T282" s="309"/>
      <c r="U282" s="309"/>
      <c r="V282" s="311"/>
      <c r="W282" s="311"/>
      <c r="X282" s="311"/>
      <c r="Y282" s="311"/>
      <c r="Z282" s="311"/>
      <c r="AA282" s="311"/>
      <c r="AB282" s="311"/>
      <c r="AC282" s="311"/>
      <c r="AD282" s="311"/>
      <c r="AE282" s="311"/>
      <c r="AF282" s="311"/>
      <c r="AG282" s="311"/>
      <c r="AH282" s="311"/>
      <c r="AI282" s="311"/>
      <c r="AJ282" s="311"/>
      <c r="AK282" s="311"/>
      <c r="AL282" s="311"/>
      <c r="AM282" s="311"/>
    </row>
    <row r="283" spans="1:39" ht="15.75" customHeight="1">
      <c r="A283" s="382"/>
      <c r="B283" s="311"/>
      <c r="C283" s="1647"/>
      <c r="D283" s="2173"/>
      <c r="E283" s="1586"/>
      <c r="F283" s="1948"/>
      <c r="G283" s="1846"/>
      <c r="H283" s="1586"/>
      <c r="I283" s="1647"/>
      <c r="J283" s="2187"/>
      <c r="K283" s="1647"/>
      <c r="L283" s="1647"/>
      <c r="M283" s="2174"/>
      <c r="N283" s="836"/>
      <c r="O283" s="836"/>
      <c r="P283" s="2174"/>
      <c r="Q283" s="836"/>
      <c r="R283" s="309"/>
      <c r="S283" s="309"/>
      <c r="T283" s="309"/>
      <c r="U283" s="309"/>
      <c r="V283" s="311"/>
      <c r="W283" s="311"/>
      <c r="X283" s="311"/>
      <c r="Y283" s="311"/>
      <c r="Z283" s="311"/>
      <c r="AA283" s="311"/>
      <c r="AB283" s="311"/>
      <c r="AC283" s="311"/>
      <c r="AD283" s="311"/>
      <c r="AE283" s="311"/>
      <c r="AF283" s="311"/>
      <c r="AG283" s="311"/>
      <c r="AH283" s="311"/>
      <c r="AI283" s="311"/>
      <c r="AJ283" s="311"/>
      <c r="AK283" s="311"/>
      <c r="AL283" s="311"/>
      <c r="AM283" s="311"/>
    </row>
    <row r="284" spans="1:39" ht="15.75" customHeight="1">
      <c r="A284" s="382"/>
      <c r="B284" s="311"/>
      <c r="C284" s="1647"/>
      <c r="D284" s="2173"/>
      <c r="E284" s="1586"/>
      <c r="F284" s="943"/>
      <c r="G284" s="1846"/>
      <c r="H284" s="1586"/>
      <c r="I284" s="1647"/>
      <c r="J284" s="2187"/>
      <c r="K284" s="1647"/>
      <c r="L284" s="1647"/>
      <c r="M284" s="2174"/>
      <c r="N284" s="836"/>
      <c r="O284" s="836"/>
      <c r="P284" s="2174"/>
      <c r="Q284" s="836"/>
      <c r="R284" s="309"/>
      <c r="S284" s="309"/>
      <c r="T284" s="309"/>
      <c r="U284" s="309"/>
      <c r="V284" s="311"/>
      <c r="W284" s="311"/>
      <c r="X284" s="311"/>
      <c r="Y284" s="311"/>
      <c r="Z284" s="311"/>
      <c r="AA284" s="311"/>
      <c r="AB284" s="311"/>
      <c r="AC284" s="311"/>
      <c r="AD284" s="311"/>
      <c r="AE284" s="311"/>
      <c r="AF284" s="311"/>
      <c r="AG284" s="311"/>
      <c r="AH284" s="311"/>
      <c r="AI284" s="311"/>
      <c r="AJ284" s="311"/>
      <c r="AK284" s="311"/>
      <c r="AL284" s="311"/>
      <c r="AM284" s="311"/>
    </row>
    <row r="285" spans="1:39" ht="15.75" customHeight="1">
      <c r="A285" s="382"/>
      <c r="B285" s="311"/>
      <c r="C285" s="1647"/>
      <c r="D285" s="2173"/>
      <c r="E285" s="1586"/>
      <c r="F285" s="943"/>
      <c r="G285" s="1846"/>
      <c r="H285" s="1586"/>
      <c r="I285" s="1647"/>
      <c r="J285" s="2187"/>
      <c r="K285" s="1647"/>
      <c r="L285" s="1647"/>
      <c r="M285" s="2174"/>
      <c r="N285" s="836"/>
      <c r="O285" s="836"/>
      <c r="P285" s="2174"/>
      <c r="Q285" s="836"/>
      <c r="R285" s="309"/>
      <c r="S285" s="309"/>
      <c r="T285" s="309"/>
      <c r="U285" s="309"/>
      <c r="V285" s="311"/>
      <c r="W285" s="311"/>
      <c r="X285" s="311"/>
      <c r="Y285" s="311"/>
      <c r="Z285" s="311"/>
      <c r="AA285" s="311"/>
      <c r="AB285" s="311"/>
      <c r="AC285" s="311"/>
      <c r="AD285" s="311"/>
      <c r="AE285" s="311"/>
      <c r="AF285" s="311"/>
      <c r="AG285" s="311"/>
      <c r="AH285" s="311"/>
      <c r="AI285" s="311"/>
      <c r="AJ285" s="311"/>
      <c r="AK285" s="311"/>
      <c r="AL285" s="311"/>
      <c r="AM285" s="311"/>
    </row>
    <row r="286" spans="1:39" ht="15.75" customHeight="1">
      <c r="A286" s="382"/>
      <c r="B286" s="311"/>
      <c r="C286" s="1647"/>
      <c r="D286" s="2173"/>
      <c r="E286" s="1586"/>
      <c r="F286" s="943"/>
      <c r="G286" s="1846"/>
      <c r="H286" s="1586"/>
      <c r="I286" s="1647"/>
      <c r="J286" s="2187"/>
      <c r="K286" s="1647"/>
      <c r="L286" s="1647"/>
      <c r="M286" s="2174"/>
      <c r="N286" s="836"/>
      <c r="O286" s="836"/>
      <c r="P286" s="2174"/>
      <c r="Q286" s="836"/>
      <c r="R286" s="309"/>
      <c r="S286" s="309"/>
      <c r="T286" s="309"/>
      <c r="U286" s="309"/>
      <c r="V286" s="311"/>
      <c r="W286" s="311"/>
      <c r="X286" s="311"/>
      <c r="Y286" s="311"/>
      <c r="Z286" s="311"/>
      <c r="AA286" s="311"/>
      <c r="AB286" s="311"/>
      <c r="AC286" s="311"/>
      <c r="AD286" s="311"/>
      <c r="AE286" s="311"/>
      <c r="AF286" s="311"/>
      <c r="AG286" s="311"/>
      <c r="AH286" s="311"/>
      <c r="AI286" s="311"/>
      <c r="AJ286" s="311"/>
      <c r="AK286" s="311"/>
      <c r="AL286" s="311"/>
      <c r="AM286" s="311"/>
    </row>
    <row r="287" spans="1:39" ht="15.75" customHeight="1">
      <c r="A287" s="382"/>
      <c r="B287" s="311"/>
      <c r="C287" s="1647"/>
      <c r="D287" s="2173"/>
      <c r="E287" s="1586"/>
      <c r="F287" s="943"/>
      <c r="G287" s="1846"/>
      <c r="H287" s="1586"/>
      <c r="I287" s="1647"/>
      <c r="J287" s="2187"/>
      <c r="K287" s="1647"/>
      <c r="L287" s="1647"/>
      <c r="M287" s="2174"/>
      <c r="N287" s="836"/>
      <c r="O287" s="836"/>
      <c r="P287" s="2174"/>
      <c r="Q287" s="836"/>
      <c r="R287" s="309"/>
      <c r="S287" s="309"/>
      <c r="T287" s="309"/>
      <c r="U287" s="309"/>
      <c r="V287" s="311"/>
      <c r="W287" s="311"/>
      <c r="X287" s="311"/>
      <c r="Y287" s="311"/>
      <c r="Z287" s="311"/>
      <c r="AA287" s="311"/>
      <c r="AB287" s="311"/>
      <c r="AC287" s="311"/>
      <c r="AD287" s="311"/>
      <c r="AE287" s="311"/>
      <c r="AF287" s="311"/>
      <c r="AG287" s="311"/>
      <c r="AH287" s="311"/>
      <c r="AI287" s="311"/>
      <c r="AJ287" s="311"/>
      <c r="AK287" s="311"/>
      <c r="AL287" s="311"/>
      <c r="AM287" s="311"/>
    </row>
    <row r="288" spans="1:39" ht="15.75" customHeight="1">
      <c r="A288" s="382"/>
      <c r="B288" s="311"/>
      <c r="C288" s="1647"/>
      <c r="D288" s="2173"/>
      <c r="E288" s="1586"/>
      <c r="F288" s="943"/>
      <c r="G288" s="1846"/>
      <c r="H288" s="1586"/>
      <c r="I288" s="1647"/>
      <c r="J288" s="2187"/>
      <c r="K288" s="1647"/>
      <c r="L288" s="1647"/>
      <c r="M288" s="2174"/>
      <c r="N288" s="836"/>
      <c r="O288" s="836"/>
      <c r="P288" s="2174"/>
      <c r="Q288" s="836"/>
      <c r="R288" s="309"/>
      <c r="S288" s="309"/>
      <c r="T288" s="309"/>
      <c r="U288" s="309"/>
      <c r="V288" s="311"/>
      <c r="W288" s="311"/>
      <c r="X288" s="311"/>
      <c r="Y288" s="311"/>
      <c r="Z288" s="311"/>
      <c r="AA288" s="311"/>
      <c r="AB288" s="311"/>
      <c r="AC288" s="311"/>
      <c r="AD288" s="311"/>
      <c r="AE288" s="311"/>
      <c r="AF288" s="311"/>
      <c r="AG288" s="311"/>
      <c r="AH288" s="311"/>
      <c r="AI288" s="311"/>
      <c r="AJ288" s="311"/>
      <c r="AK288" s="311"/>
      <c r="AL288" s="311"/>
      <c r="AM288" s="311"/>
    </row>
    <row r="289" spans="1:39" ht="15.75" customHeight="1">
      <c r="A289" s="382"/>
      <c r="B289" s="311"/>
      <c r="C289" s="1647"/>
      <c r="D289" s="2173"/>
      <c r="E289" s="1586"/>
      <c r="F289" s="943"/>
      <c r="G289" s="1846"/>
      <c r="H289" s="1586"/>
      <c r="I289" s="1647"/>
      <c r="J289" s="2187"/>
      <c r="K289" s="1647"/>
      <c r="L289" s="1647"/>
      <c r="M289" s="2174"/>
      <c r="N289" s="836"/>
      <c r="O289" s="836"/>
      <c r="P289" s="2174"/>
      <c r="Q289" s="836"/>
      <c r="R289" s="309"/>
      <c r="S289" s="309"/>
      <c r="T289" s="309"/>
      <c r="U289" s="309"/>
      <c r="V289" s="311"/>
      <c r="W289" s="311"/>
      <c r="X289" s="311"/>
      <c r="Y289" s="311"/>
      <c r="Z289" s="311"/>
      <c r="AA289" s="311"/>
      <c r="AB289" s="311"/>
      <c r="AC289" s="311"/>
      <c r="AD289" s="311"/>
      <c r="AE289" s="311"/>
      <c r="AF289" s="311"/>
      <c r="AG289" s="311"/>
      <c r="AH289" s="311"/>
      <c r="AI289" s="311"/>
      <c r="AJ289" s="311"/>
      <c r="AK289" s="311"/>
      <c r="AL289" s="311"/>
      <c r="AM289" s="311"/>
    </row>
    <row r="290" spans="1:39" ht="15.75" customHeight="1">
      <c r="A290" s="382"/>
      <c r="B290" s="311"/>
      <c r="C290" s="1647"/>
      <c r="D290" s="2173"/>
      <c r="E290" s="1586"/>
      <c r="F290" s="943"/>
      <c r="G290" s="1846"/>
      <c r="H290" s="1586"/>
      <c r="I290" s="1647"/>
      <c r="J290" s="2187"/>
      <c r="K290" s="1647"/>
      <c r="L290" s="1647"/>
      <c r="M290" s="2174"/>
      <c r="N290" s="836"/>
      <c r="O290" s="836"/>
      <c r="P290" s="2174"/>
      <c r="Q290" s="836"/>
      <c r="R290" s="309"/>
      <c r="S290" s="309"/>
      <c r="T290" s="309"/>
      <c r="U290" s="309"/>
      <c r="V290" s="311"/>
      <c r="W290" s="311"/>
      <c r="X290" s="311"/>
      <c r="Y290" s="311"/>
      <c r="Z290" s="311"/>
      <c r="AA290" s="311"/>
      <c r="AB290" s="311"/>
      <c r="AC290" s="311"/>
      <c r="AD290" s="311"/>
      <c r="AE290" s="311"/>
      <c r="AF290" s="311"/>
      <c r="AG290" s="311"/>
      <c r="AH290" s="311"/>
      <c r="AI290" s="311"/>
      <c r="AJ290" s="311"/>
      <c r="AK290" s="311"/>
      <c r="AL290" s="311"/>
      <c r="AM290" s="311"/>
    </row>
    <row r="291" spans="1:39" ht="15.75" customHeight="1">
      <c r="A291" s="382"/>
      <c r="B291" s="311"/>
      <c r="C291" s="1647"/>
      <c r="D291" s="2173"/>
      <c r="E291" s="1586"/>
      <c r="F291" s="1948"/>
      <c r="G291" s="1846"/>
      <c r="H291" s="1586"/>
      <c r="I291" s="1647"/>
      <c r="J291" s="2187"/>
      <c r="K291" s="1647"/>
      <c r="L291" s="1647"/>
      <c r="M291" s="2174"/>
      <c r="N291" s="836"/>
      <c r="O291" s="836"/>
      <c r="P291" s="2174"/>
      <c r="Q291" s="836"/>
      <c r="R291" s="309"/>
      <c r="S291" s="309"/>
      <c r="T291" s="309"/>
      <c r="U291" s="309"/>
      <c r="V291" s="311"/>
      <c r="W291" s="311"/>
      <c r="X291" s="311"/>
      <c r="Y291" s="311"/>
      <c r="Z291" s="311"/>
      <c r="AA291" s="311"/>
      <c r="AB291" s="311"/>
      <c r="AC291" s="311"/>
      <c r="AD291" s="311"/>
      <c r="AE291" s="311"/>
      <c r="AF291" s="311"/>
      <c r="AG291" s="311"/>
      <c r="AH291" s="311"/>
      <c r="AI291" s="311"/>
      <c r="AJ291" s="311"/>
      <c r="AK291" s="311"/>
      <c r="AL291" s="311"/>
      <c r="AM291" s="311"/>
    </row>
    <row r="292" spans="1:39" ht="15.75" customHeight="1">
      <c r="A292" s="382"/>
      <c r="B292" s="311"/>
      <c r="C292" s="1647"/>
      <c r="D292" s="2173"/>
      <c r="E292" s="1586"/>
      <c r="F292" s="943"/>
      <c r="G292" s="1846"/>
      <c r="H292" s="1586"/>
      <c r="I292" s="1647"/>
      <c r="J292" s="2187"/>
      <c r="K292" s="1647"/>
      <c r="L292" s="1647"/>
      <c r="M292" s="2174"/>
      <c r="N292" s="836"/>
      <c r="O292" s="836"/>
      <c r="P292" s="2174"/>
      <c r="Q292" s="836"/>
      <c r="R292" s="309"/>
      <c r="S292" s="309"/>
      <c r="T292" s="309"/>
      <c r="U292" s="309"/>
      <c r="V292" s="311"/>
      <c r="W292" s="311"/>
      <c r="X292" s="311"/>
      <c r="Y292" s="311"/>
      <c r="Z292" s="311"/>
      <c r="AA292" s="311"/>
      <c r="AB292" s="311"/>
      <c r="AC292" s="311"/>
      <c r="AD292" s="311"/>
      <c r="AE292" s="311"/>
      <c r="AF292" s="311"/>
      <c r="AG292" s="311"/>
      <c r="AH292" s="311"/>
      <c r="AI292" s="311"/>
      <c r="AJ292" s="311"/>
      <c r="AK292" s="311"/>
      <c r="AL292" s="311"/>
      <c r="AM292" s="311"/>
    </row>
    <row r="293" spans="1:39" ht="15.75" customHeight="1">
      <c r="A293" s="382"/>
      <c r="B293" s="311"/>
      <c r="C293" s="1647"/>
      <c r="D293" s="2173"/>
      <c r="E293" s="1586"/>
      <c r="F293" s="943"/>
      <c r="G293" s="1846"/>
      <c r="H293" s="1586"/>
      <c r="I293" s="1647"/>
      <c r="J293" s="2187"/>
      <c r="K293" s="1647"/>
      <c r="L293" s="1647"/>
      <c r="M293" s="2174"/>
      <c r="N293" s="836"/>
      <c r="O293" s="836"/>
      <c r="P293" s="2174"/>
      <c r="Q293" s="836"/>
      <c r="R293" s="309"/>
      <c r="S293" s="309"/>
      <c r="T293" s="309"/>
      <c r="U293" s="309"/>
      <c r="V293" s="311"/>
      <c r="W293" s="311"/>
      <c r="X293" s="311"/>
      <c r="Y293" s="311"/>
      <c r="Z293" s="311"/>
      <c r="AA293" s="311"/>
      <c r="AB293" s="311"/>
      <c r="AC293" s="311"/>
      <c r="AD293" s="311"/>
      <c r="AE293" s="311"/>
      <c r="AF293" s="311"/>
      <c r="AG293" s="311"/>
      <c r="AH293" s="311"/>
      <c r="AI293" s="311"/>
      <c r="AJ293" s="311"/>
      <c r="AK293" s="311"/>
      <c r="AL293" s="311"/>
      <c r="AM293" s="311"/>
    </row>
    <row r="294" spans="1:39" ht="15.75" customHeight="1">
      <c r="A294" s="382"/>
      <c r="B294" s="311"/>
      <c r="C294" s="1647"/>
      <c r="D294" s="2173"/>
      <c r="E294" s="1586"/>
      <c r="F294" s="1953"/>
      <c r="G294" s="1846"/>
      <c r="H294" s="1586"/>
      <c r="I294" s="1647"/>
      <c r="J294" s="2187"/>
      <c r="K294" s="1647"/>
      <c r="L294" s="1647"/>
      <c r="M294" s="2174"/>
      <c r="N294" s="836"/>
      <c r="O294" s="836"/>
      <c r="P294" s="2174"/>
      <c r="Q294" s="836"/>
      <c r="R294" s="309"/>
      <c r="S294" s="309"/>
      <c r="T294" s="309"/>
      <c r="U294" s="309"/>
      <c r="V294" s="311"/>
      <c r="W294" s="311"/>
      <c r="X294" s="311"/>
      <c r="Y294" s="311"/>
      <c r="Z294" s="311"/>
      <c r="AA294" s="311"/>
      <c r="AB294" s="311"/>
      <c r="AC294" s="311"/>
      <c r="AD294" s="311"/>
      <c r="AE294" s="311"/>
      <c r="AF294" s="311"/>
      <c r="AG294" s="311"/>
      <c r="AH294" s="311"/>
      <c r="AI294" s="311"/>
      <c r="AJ294" s="311"/>
      <c r="AK294" s="311"/>
      <c r="AL294" s="311"/>
      <c r="AM294" s="311"/>
    </row>
    <row r="295" spans="1:39" ht="15.75" customHeight="1">
      <c r="A295" s="382"/>
      <c r="B295" s="311"/>
      <c r="C295" s="1647"/>
      <c r="D295" s="2173"/>
      <c r="E295" s="1586"/>
      <c r="F295" s="1954"/>
      <c r="G295" s="1846"/>
      <c r="H295" s="1586"/>
      <c r="I295" s="1647"/>
      <c r="J295" s="2187"/>
      <c r="K295" s="1647"/>
      <c r="L295" s="1647"/>
      <c r="M295" s="2174"/>
      <c r="N295" s="836"/>
      <c r="O295" s="836"/>
      <c r="P295" s="2174"/>
      <c r="Q295" s="836"/>
      <c r="R295" s="309"/>
      <c r="S295" s="309"/>
      <c r="T295" s="309"/>
      <c r="U295" s="309"/>
      <c r="V295" s="311"/>
      <c r="W295" s="311"/>
      <c r="X295" s="311"/>
      <c r="Y295" s="311"/>
      <c r="Z295" s="311"/>
      <c r="AA295" s="311"/>
      <c r="AB295" s="311"/>
      <c r="AC295" s="311"/>
      <c r="AD295" s="311"/>
      <c r="AE295" s="311"/>
      <c r="AF295" s="311"/>
      <c r="AG295" s="311"/>
      <c r="AH295" s="311"/>
      <c r="AI295" s="311"/>
      <c r="AJ295" s="311"/>
      <c r="AK295" s="311"/>
      <c r="AL295" s="311"/>
      <c r="AM295" s="311"/>
    </row>
    <row r="296" spans="1:39" ht="15.75" customHeight="1">
      <c r="A296" s="382"/>
      <c r="B296" s="311"/>
      <c r="C296" s="1647"/>
      <c r="D296" s="2173"/>
      <c r="E296" s="1586"/>
      <c r="F296" s="1954"/>
      <c r="G296" s="1846"/>
      <c r="H296" s="1586"/>
      <c r="I296" s="1647"/>
      <c r="J296" s="2187"/>
      <c r="K296" s="1647"/>
      <c r="L296" s="1647"/>
      <c r="M296" s="2174"/>
      <c r="N296" s="836"/>
      <c r="O296" s="836"/>
      <c r="P296" s="2174"/>
      <c r="Q296" s="836"/>
      <c r="R296" s="309"/>
      <c r="S296" s="309"/>
      <c r="T296" s="309"/>
      <c r="U296" s="309"/>
      <c r="V296" s="311"/>
      <c r="W296" s="311"/>
      <c r="X296" s="311"/>
      <c r="Y296" s="311"/>
      <c r="Z296" s="311"/>
      <c r="AA296" s="311"/>
      <c r="AB296" s="311"/>
      <c r="AC296" s="311"/>
      <c r="AD296" s="311"/>
      <c r="AE296" s="311"/>
      <c r="AF296" s="311"/>
      <c r="AG296" s="311"/>
      <c r="AH296" s="311"/>
      <c r="AI296" s="311"/>
      <c r="AJ296" s="311"/>
      <c r="AK296" s="311"/>
      <c r="AL296" s="311"/>
      <c r="AM296" s="311"/>
    </row>
    <row r="297" spans="1:39" ht="15.75" customHeight="1">
      <c r="A297" s="382"/>
      <c r="B297" s="311"/>
      <c r="C297" s="1647"/>
      <c r="D297" s="2173"/>
      <c r="E297" s="1586"/>
      <c r="F297" s="1954"/>
      <c r="G297" s="1846"/>
      <c r="H297" s="1586"/>
      <c r="I297" s="1647"/>
      <c r="J297" s="2187"/>
      <c r="K297" s="1647"/>
      <c r="L297" s="1647"/>
      <c r="M297" s="2174"/>
      <c r="N297" s="836"/>
      <c r="O297" s="836"/>
      <c r="P297" s="2174"/>
      <c r="Q297" s="836"/>
      <c r="R297" s="309"/>
      <c r="S297" s="309"/>
      <c r="T297" s="309"/>
      <c r="U297" s="309"/>
      <c r="V297" s="311"/>
      <c r="W297" s="311"/>
      <c r="X297" s="311"/>
      <c r="Y297" s="311"/>
      <c r="Z297" s="311"/>
      <c r="AA297" s="311"/>
      <c r="AB297" s="311"/>
      <c r="AC297" s="311"/>
      <c r="AD297" s="311"/>
      <c r="AE297" s="311"/>
      <c r="AF297" s="311"/>
      <c r="AG297" s="311"/>
      <c r="AH297" s="311"/>
      <c r="AI297" s="311"/>
      <c r="AJ297" s="311"/>
      <c r="AK297" s="311"/>
      <c r="AL297" s="311"/>
      <c r="AM297" s="311"/>
    </row>
    <row r="298" spans="1:39" ht="15.75" customHeight="1">
      <c r="A298" s="382"/>
      <c r="B298" s="311"/>
      <c r="C298" s="1647"/>
      <c r="D298" s="2173"/>
      <c r="E298" s="1586"/>
      <c r="F298" s="1954"/>
      <c r="G298" s="1846"/>
      <c r="H298" s="1586"/>
      <c r="I298" s="1647"/>
      <c r="J298" s="2187"/>
      <c r="K298" s="1647"/>
      <c r="L298" s="1647"/>
      <c r="M298" s="2174"/>
      <c r="N298" s="836"/>
      <c r="O298" s="836"/>
      <c r="P298" s="2174"/>
      <c r="Q298" s="836"/>
      <c r="R298" s="309"/>
      <c r="S298" s="309"/>
      <c r="T298" s="309"/>
      <c r="U298" s="309"/>
      <c r="V298" s="311"/>
      <c r="W298" s="311"/>
      <c r="X298" s="311"/>
      <c r="Y298" s="311"/>
      <c r="Z298" s="311"/>
      <c r="AA298" s="311"/>
      <c r="AB298" s="311"/>
      <c r="AC298" s="311"/>
      <c r="AD298" s="311"/>
      <c r="AE298" s="311"/>
      <c r="AF298" s="311"/>
      <c r="AG298" s="311"/>
      <c r="AH298" s="311"/>
      <c r="AI298" s="311"/>
      <c r="AJ298" s="311"/>
      <c r="AK298" s="311"/>
      <c r="AL298" s="311"/>
      <c r="AM298" s="311"/>
    </row>
    <row r="299" spans="1:39" ht="15.75" customHeight="1">
      <c r="A299" s="382"/>
      <c r="B299" s="311"/>
      <c r="C299" s="1647"/>
      <c r="D299" s="2173"/>
      <c r="E299" s="1586"/>
      <c r="F299" s="1954"/>
      <c r="G299" s="1846"/>
      <c r="H299" s="1586"/>
      <c r="I299" s="1647"/>
      <c r="J299" s="2187"/>
      <c r="K299" s="1647"/>
      <c r="L299" s="1647"/>
      <c r="M299" s="2174"/>
      <c r="N299" s="836"/>
      <c r="O299" s="836"/>
      <c r="P299" s="2174"/>
      <c r="Q299" s="836"/>
      <c r="R299" s="309"/>
      <c r="S299" s="309"/>
      <c r="T299" s="309"/>
      <c r="U299" s="309"/>
      <c r="V299" s="311"/>
      <c r="W299" s="311"/>
      <c r="X299" s="311"/>
      <c r="Y299" s="311"/>
      <c r="Z299" s="311"/>
      <c r="AA299" s="311"/>
      <c r="AB299" s="311"/>
      <c r="AC299" s="311"/>
      <c r="AD299" s="311"/>
      <c r="AE299" s="311"/>
      <c r="AF299" s="311"/>
      <c r="AG299" s="311"/>
      <c r="AH299" s="311"/>
      <c r="AI299" s="311"/>
      <c r="AJ299" s="311"/>
      <c r="AK299" s="311"/>
      <c r="AL299" s="311"/>
      <c r="AM299" s="311"/>
    </row>
    <row r="300" spans="1:39" ht="15.75" customHeight="1">
      <c r="A300" s="382"/>
      <c r="B300" s="311"/>
      <c r="C300" s="1647"/>
      <c r="D300" s="2173"/>
      <c r="E300" s="1586"/>
      <c r="F300" s="1954"/>
      <c r="G300" s="1846"/>
      <c r="H300" s="1586"/>
      <c r="I300" s="1647"/>
      <c r="J300" s="2187"/>
      <c r="K300" s="1647"/>
      <c r="L300" s="1647"/>
      <c r="M300" s="2174"/>
      <c r="N300" s="836"/>
      <c r="O300" s="836"/>
      <c r="P300" s="2174"/>
      <c r="Q300" s="836"/>
      <c r="R300" s="309"/>
      <c r="S300" s="309"/>
      <c r="T300" s="309"/>
      <c r="U300" s="309"/>
      <c r="V300" s="311"/>
      <c r="W300" s="311"/>
      <c r="X300" s="311"/>
      <c r="Y300" s="311"/>
      <c r="Z300" s="311"/>
      <c r="AA300" s="311"/>
      <c r="AB300" s="311"/>
      <c r="AC300" s="311"/>
      <c r="AD300" s="311"/>
      <c r="AE300" s="311"/>
      <c r="AF300" s="311"/>
      <c r="AG300" s="311"/>
      <c r="AH300" s="311"/>
      <c r="AI300" s="311"/>
      <c r="AJ300" s="311"/>
      <c r="AK300" s="311"/>
      <c r="AL300" s="311"/>
      <c r="AM300" s="311"/>
    </row>
    <row r="301" spans="1:39" ht="15.75" customHeight="1">
      <c r="A301" s="382"/>
      <c r="B301" s="311"/>
      <c r="C301" s="1647"/>
      <c r="D301" s="2173"/>
      <c r="E301" s="1586"/>
      <c r="F301" s="1954"/>
      <c r="G301" s="1846"/>
      <c r="H301" s="1586"/>
      <c r="I301" s="1647"/>
      <c r="J301" s="2187"/>
      <c r="K301" s="1647"/>
      <c r="L301" s="1647"/>
      <c r="M301" s="2174"/>
      <c r="N301" s="836"/>
      <c r="O301" s="836"/>
      <c r="P301" s="2174"/>
      <c r="Q301" s="836"/>
      <c r="R301" s="309"/>
      <c r="S301" s="309"/>
      <c r="T301" s="309"/>
      <c r="U301" s="309"/>
      <c r="V301" s="311"/>
      <c r="W301" s="311"/>
      <c r="X301" s="311"/>
      <c r="Y301" s="311"/>
      <c r="Z301" s="311"/>
      <c r="AA301" s="311"/>
      <c r="AB301" s="311"/>
      <c r="AC301" s="311"/>
      <c r="AD301" s="311"/>
      <c r="AE301" s="311"/>
      <c r="AF301" s="311"/>
      <c r="AG301" s="311"/>
      <c r="AH301" s="311"/>
      <c r="AI301" s="311"/>
      <c r="AJ301" s="311"/>
      <c r="AK301" s="311"/>
      <c r="AL301" s="311"/>
      <c r="AM301" s="311"/>
    </row>
    <row r="302" spans="1:39" ht="15.75" customHeight="1">
      <c r="A302" s="382"/>
      <c r="B302" s="311"/>
      <c r="C302" s="1647"/>
      <c r="D302" s="2173"/>
      <c r="E302" s="1586"/>
      <c r="F302" s="1954"/>
      <c r="G302" s="1846"/>
      <c r="H302" s="1586"/>
      <c r="I302" s="1647"/>
      <c r="J302" s="2187"/>
      <c r="K302" s="1647"/>
      <c r="L302" s="1647"/>
      <c r="M302" s="2174"/>
      <c r="N302" s="836"/>
      <c r="O302" s="836"/>
      <c r="P302" s="2174"/>
      <c r="Q302" s="836"/>
      <c r="R302" s="309"/>
      <c r="S302" s="309"/>
      <c r="T302" s="309"/>
      <c r="U302" s="309"/>
      <c r="V302" s="311"/>
      <c r="W302" s="311"/>
      <c r="X302" s="311"/>
      <c r="Y302" s="311"/>
      <c r="Z302" s="311"/>
      <c r="AA302" s="311"/>
      <c r="AB302" s="311"/>
      <c r="AC302" s="311"/>
      <c r="AD302" s="311"/>
      <c r="AE302" s="311"/>
      <c r="AF302" s="311"/>
      <c r="AG302" s="311"/>
      <c r="AH302" s="311"/>
      <c r="AI302" s="311"/>
      <c r="AJ302" s="311"/>
      <c r="AK302" s="311"/>
      <c r="AL302" s="311"/>
      <c r="AM302" s="311"/>
    </row>
    <row r="303" spans="1:39" ht="15.75" customHeight="1">
      <c r="A303" s="382"/>
      <c r="B303" s="311"/>
      <c r="C303" s="1647"/>
      <c r="D303" s="2173"/>
      <c r="E303" s="1586"/>
      <c r="F303" s="1954"/>
      <c r="G303" s="1846"/>
      <c r="H303" s="1586"/>
      <c r="I303" s="1647"/>
      <c r="J303" s="2187"/>
      <c r="K303" s="1647"/>
      <c r="L303" s="1647"/>
      <c r="M303" s="2174"/>
      <c r="N303" s="836"/>
      <c r="O303" s="836"/>
      <c r="P303" s="2174"/>
      <c r="Q303" s="836"/>
      <c r="R303" s="309"/>
      <c r="S303" s="309"/>
      <c r="T303" s="309"/>
      <c r="U303" s="309"/>
      <c r="V303" s="311"/>
      <c r="W303" s="311"/>
      <c r="X303" s="311"/>
      <c r="Y303" s="311"/>
      <c r="Z303" s="311"/>
      <c r="AA303" s="311"/>
      <c r="AB303" s="311"/>
      <c r="AC303" s="311"/>
      <c r="AD303" s="311"/>
      <c r="AE303" s="311"/>
      <c r="AF303" s="311"/>
      <c r="AG303" s="311"/>
      <c r="AH303" s="311"/>
      <c r="AI303" s="311"/>
      <c r="AJ303" s="311"/>
      <c r="AK303" s="311"/>
      <c r="AL303" s="311"/>
      <c r="AM303" s="311"/>
    </row>
    <row r="304" spans="1:39" ht="15.75" customHeight="1">
      <c r="A304" s="382"/>
      <c r="B304" s="311"/>
      <c r="C304" s="1647"/>
      <c r="D304" s="2173"/>
      <c r="E304" s="1586"/>
      <c r="F304" s="1954"/>
      <c r="G304" s="1846"/>
      <c r="H304" s="1586"/>
      <c r="I304" s="1647"/>
      <c r="J304" s="2187"/>
      <c r="K304" s="1647"/>
      <c r="L304" s="1647"/>
      <c r="M304" s="2174"/>
      <c r="N304" s="836"/>
      <c r="O304" s="836"/>
      <c r="P304" s="2174"/>
      <c r="Q304" s="836"/>
      <c r="R304" s="309"/>
      <c r="S304" s="309"/>
      <c r="T304" s="309"/>
      <c r="U304" s="309"/>
      <c r="V304" s="311"/>
      <c r="W304" s="311"/>
      <c r="X304" s="311"/>
      <c r="Y304" s="311"/>
      <c r="Z304" s="311"/>
      <c r="AA304" s="311"/>
      <c r="AB304" s="311"/>
      <c r="AC304" s="311"/>
      <c r="AD304" s="311"/>
      <c r="AE304" s="311"/>
      <c r="AF304" s="311"/>
      <c r="AG304" s="311"/>
      <c r="AH304" s="311"/>
      <c r="AI304" s="311"/>
      <c r="AJ304" s="311"/>
      <c r="AK304" s="311"/>
      <c r="AL304" s="311"/>
      <c r="AM304" s="311"/>
    </row>
    <row r="305" spans="1:39" ht="15.75" customHeight="1">
      <c r="A305" s="382"/>
      <c r="B305" s="311"/>
      <c r="C305" s="1647"/>
      <c r="D305" s="2173"/>
      <c r="E305" s="1586"/>
      <c r="F305" s="1954"/>
      <c r="G305" s="1846"/>
      <c r="H305" s="1586"/>
      <c r="I305" s="1647"/>
      <c r="J305" s="2187"/>
      <c r="K305" s="1647"/>
      <c r="L305" s="1647"/>
      <c r="M305" s="2174"/>
      <c r="N305" s="836"/>
      <c r="O305" s="836"/>
      <c r="P305" s="2174"/>
      <c r="Q305" s="836"/>
      <c r="R305" s="309"/>
      <c r="S305" s="309"/>
      <c r="T305" s="309"/>
      <c r="U305" s="309"/>
      <c r="V305" s="311"/>
      <c r="W305" s="311"/>
      <c r="X305" s="311"/>
      <c r="Y305" s="311"/>
      <c r="Z305" s="311"/>
      <c r="AA305" s="311"/>
      <c r="AB305" s="311"/>
      <c r="AC305" s="311"/>
      <c r="AD305" s="311"/>
      <c r="AE305" s="311"/>
      <c r="AF305" s="311"/>
      <c r="AG305" s="311"/>
      <c r="AH305" s="311"/>
      <c r="AI305" s="311"/>
      <c r="AJ305" s="311"/>
      <c r="AK305" s="311"/>
      <c r="AL305" s="311"/>
      <c r="AM305" s="311"/>
    </row>
    <row r="306" spans="1:39" ht="15.75" customHeight="1">
      <c r="A306" s="382"/>
      <c r="B306" s="311"/>
      <c r="C306" s="1647"/>
      <c r="D306" s="2173"/>
      <c r="E306" s="1586"/>
      <c r="F306" s="1954"/>
      <c r="G306" s="1846"/>
      <c r="H306" s="1586"/>
      <c r="I306" s="1647"/>
      <c r="J306" s="2187"/>
      <c r="K306" s="1647"/>
      <c r="L306" s="1647"/>
      <c r="M306" s="2174"/>
      <c r="N306" s="836"/>
      <c r="O306" s="836"/>
      <c r="P306" s="2174"/>
      <c r="Q306" s="836"/>
      <c r="R306" s="309"/>
      <c r="S306" s="309"/>
      <c r="T306" s="309"/>
      <c r="U306" s="309"/>
      <c r="V306" s="311"/>
      <c r="W306" s="311"/>
      <c r="X306" s="311"/>
      <c r="Y306" s="311"/>
      <c r="Z306" s="311"/>
      <c r="AA306" s="311"/>
      <c r="AB306" s="311"/>
      <c r="AC306" s="311"/>
      <c r="AD306" s="311"/>
      <c r="AE306" s="311"/>
      <c r="AF306" s="311"/>
      <c r="AG306" s="311"/>
      <c r="AH306" s="311"/>
      <c r="AI306" s="311"/>
      <c r="AJ306" s="311"/>
      <c r="AK306" s="311"/>
      <c r="AL306" s="311"/>
      <c r="AM306" s="311"/>
    </row>
    <row r="307" spans="1:39" ht="15.75" customHeight="1">
      <c r="A307" s="382"/>
      <c r="B307" s="311"/>
      <c r="C307" s="1647"/>
      <c r="D307" s="2173"/>
      <c r="E307" s="1586"/>
      <c r="F307" s="1954"/>
      <c r="G307" s="1846"/>
      <c r="H307" s="1586"/>
      <c r="I307" s="1647"/>
      <c r="J307" s="2187"/>
      <c r="K307" s="1647"/>
      <c r="L307" s="1647"/>
      <c r="M307" s="2174"/>
      <c r="N307" s="836"/>
      <c r="O307" s="836"/>
      <c r="P307" s="2174"/>
      <c r="Q307" s="836"/>
      <c r="R307" s="309"/>
      <c r="S307" s="309"/>
      <c r="T307" s="309"/>
      <c r="U307" s="309"/>
      <c r="V307" s="311"/>
      <c r="W307" s="311"/>
      <c r="X307" s="311"/>
      <c r="Y307" s="311"/>
      <c r="Z307" s="311"/>
      <c r="AA307" s="311"/>
      <c r="AB307" s="311"/>
      <c r="AC307" s="311"/>
      <c r="AD307" s="311"/>
      <c r="AE307" s="311"/>
      <c r="AF307" s="311"/>
      <c r="AG307" s="311"/>
      <c r="AH307" s="311"/>
      <c r="AI307" s="311"/>
      <c r="AJ307" s="311"/>
      <c r="AK307" s="311"/>
      <c r="AL307" s="311"/>
      <c r="AM307" s="311"/>
    </row>
    <row r="308" spans="1:39" ht="15.75" customHeight="1">
      <c r="A308" s="382"/>
      <c r="B308" s="311"/>
      <c r="C308" s="1647"/>
      <c r="D308" s="2173"/>
      <c r="E308" s="1586"/>
      <c r="F308" s="1954"/>
      <c r="G308" s="1846"/>
      <c r="H308" s="1586"/>
      <c r="I308" s="1647"/>
      <c r="J308" s="2187"/>
      <c r="K308" s="1647"/>
      <c r="L308" s="1647"/>
      <c r="M308" s="2174"/>
      <c r="N308" s="836"/>
      <c r="O308" s="836"/>
      <c r="P308" s="2174"/>
      <c r="Q308" s="836"/>
      <c r="R308" s="309"/>
      <c r="S308" s="309"/>
      <c r="T308" s="309"/>
      <c r="U308" s="309"/>
      <c r="V308" s="311"/>
      <c r="W308" s="311"/>
      <c r="X308" s="311"/>
      <c r="Y308" s="311"/>
      <c r="Z308" s="311"/>
      <c r="AA308" s="311"/>
      <c r="AB308" s="311"/>
      <c r="AC308" s="311"/>
      <c r="AD308" s="311"/>
      <c r="AE308" s="311"/>
      <c r="AF308" s="311"/>
      <c r="AG308" s="311"/>
      <c r="AH308" s="311"/>
      <c r="AI308" s="311"/>
      <c r="AJ308" s="311"/>
      <c r="AK308" s="311"/>
      <c r="AL308" s="311"/>
      <c r="AM308" s="311"/>
    </row>
    <row r="309" spans="1:39" ht="15.75" customHeight="1">
      <c r="A309" s="382"/>
      <c r="B309" s="311"/>
      <c r="C309" s="1647"/>
      <c r="D309" s="2173"/>
      <c r="E309" s="1586"/>
      <c r="F309" s="1954"/>
      <c r="G309" s="1846"/>
      <c r="H309" s="1586"/>
      <c r="I309" s="1647"/>
      <c r="J309" s="2187"/>
      <c r="K309" s="1647"/>
      <c r="L309" s="1647"/>
      <c r="M309" s="2174"/>
      <c r="N309" s="836"/>
      <c r="O309" s="836"/>
      <c r="P309" s="2174"/>
      <c r="Q309" s="836"/>
      <c r="R309" s="309"/>
      <c r="S309" s="309"/>
      <c r="T309" s="309"/>
      <c r="U309" s="309"/>
      <c r="V309" s="311"/>
      <c r="W309" s="311"/>
      <c r="X309" s="311"/>
      <c r="Y309" s="311"/>
      <c r="Z309" s="311"/>
      <c r="AA309" s="311"/>
      <c r="AB309" s="311"/>
      <c r="AC309" s="311"/>
      <c r="AD309" s="311"/>
      <c r="AE309" s="311"/>
      <c r="AF309" s="311"/>
      <c r="AG309" s="311"/>
      <c r="AH309" s="311"/>
      <c r="AI309" s="311"/>
      <c r="AJ309" s="311"/>
      <c r="AK309" s="311"/>
      <c r="AL309" s="311"/>
      <c r="AM309" s="311"/>
    </row>
    <row r="310" spans="1:39" ht="15.75" customHeight="1">
      <c r="A310" s="382"/>
      <c r="B310" s="311"/>
      <c r="C310" s="1647"/>
      <c r="D310" s="2173"/>
      <c r="E310" s="1586"/>
      <c r="F310" s="1954"/>
      <c r="G310" s="1846"/>
      <c r="H310" s="1586"/>
      <c r="I310" s="1647"/>
      <c r="J310" s="2187"/>
      <c r="K310" s="1647"/>
      <c r="L310" s="1647"/>
      <c r="M310" s="2174"/>
      <c r="N310" s="836"/>
      <c r="O310" s="836"/>
      <c r="P310" s="2174"/>
      <c r="Q310" s="836"/>
      <c r="R310" s="309"/>
      <c r="S310" s="309"/>
      <c r="T310" s="309"/>
      <c r="U310" s="309"/>
      <c r="V310" s="311"/>
      <c r="W310" s="311"/>
      <c r="X310" s="311"/>
      <c r="Y310" s="311"/>
      <c r="Z310" s="311"/>
      <c r="AA310" s="311"/>
      <c r="AB310" s="311"/>
      <c r="AC310" s="311"/>
      <c r="AD310" s="311"/>
      <c r="AE310" s="311"/>
      <c r="AF310" s="311"/>
      <c r="AG310" s="311"/>
      <c r="AH310" s="311"/>
      <c r="AI310" s="311"/>
      <c r="AJ310" s="311"/>
      <c r="AK310" s="311"/>
      <c r="AL310" s="311"/>
      <c r="AM310" s="311"/>
    </row>
    <row r="311" spans="1:39" ht="15.75" customHeight="1">
      <c r="A311" s="382"/>
      <c r="B311" s="311"/>
      <c r="C311" s="1647"/>
      <c r="D311" s="2173"/>
      <c r="E311" s="1586"/>
      <c r="F311" s="1954"/>
      <c r="G311" s="1846"/>
      <c r="H311" s="1586"/>
      <c r="I311" s="1647"/>
      <c r="J311" s="2187"/>
      <c r="K311" s="1647"/>
      <c r="L311" s="1647"/>
      <c r="M311" s="2174"/>
      <c r="N311" s="836"/>
      <c r="O311" s="836"/>
      <c r="P311" s="2174"/>
      <c r="Q311" s="836"/>
      <c r="R311" s="309"/>
      <c r="S311" s="309"/>
      <c r="T311" s="309"/>
      <c r="U311" s="309"/>
      <c r="V311" s="311"/>
      <c r="W311" s="311"/>
      <c r="X311" s="311"/>
      <c r="Y311" s="311"/>
      <c r="Z311" s="311"/>
      <c r="AA311" s="311"/>
      <c r="AB311" s="311"/>
      <c r="AC311" s="311"/>
      <c r="AD311" s="311"/>
      <c r="AE311" s="311"/>
      <c r="AF311" s="311"/>
      <c r="AG311" s="311"/>
      <c r="AH311" s="311"/>
      <c r="AI311" s="311"/>
      <c r="AJ311" s="311"/>
      <c r="AK311" s="311"/>
      <c r="AL311" s="311"/>
      <c r="AM311" s="311"/>
    </row>
    <row r="312" spans="1:39" ht="15.75" customHeight="1">
      <c r="A312" s="382"/>
      <c r="B312" s="311"/>
      <c r="C312" s="1647"/>
      <c r="D312" s="2173"/>
      <c r="E312" s="1586"/>
      <c r="F312" s="1954"/>
      <c r="G312" s="1846"/>
      <c r="H312" s="1586"/>
      <c r="I312" s="1647"/>
      <c r="J312" s="2187"/>
      <c r="K312" s="1647"/>
      <c r="L312" s="1647"/>
      <c r="M312" s="2174"/>
      <c r="N312" s="836"/>
      <c r="O312" s="836"/>
      <c r="P312" s="2174"/>
      <c r="Q312" s="836"/>
      <c r="R312" s="309"/>
      <c r="S312" s="309"/>
      <c r="T312" s="309"/>
      <c r="U312" s="309"/>
      <c r="V312" s="311"/>
      <c r="W312" s="311"/>
      <c r="X312" s="311"/>
      <c r="Y312" s="311"/>
      <c r="Z312" s="311"/>
      <c r="AA312" s="311"/>
      <c r="AB312" s="311"/>
      <c r="AC312" s="311"/>
      <c r="AD312" s="311"/>
      <c r="AE312" s="311"/>
      <c r="AF312" s="311"/>
      <c r="AG312" s="311"/>
      <c r="AH312" s="311"/>
      <c r="AI312" s="311"/>
      <c r="AJ312" s="311"/>
      <c r="AK312" s="311"/>
      <c r="AL312" s="311"/>
      <c r="AM312" s="311"/>
    </row>
    <row r="313" spans="1:39" ht="15.75" customHeight="1">
      <c r="A313" s="382"/>
      <c r="B313" s="311"/>
      <c r="C313" s="1647"/>
      <c r="D313" s="2173"/>
      <c r="E313" s="1586"/>
      <c r="F313" s="1954"/>
      <c r="G313" s="1846"/>
      <c r="H313" s="1586"/>
      <c r="I313" s="1647"/>
      <c r="J313" s="2187"/>
      <c r="K313" s="1647"/>
      <c r="L313" s="1647"/>
      <c r="M313" s="2174"/>
      <c r="N313" s="836"/>
      <c r="O313" s="836"/>
      <c r="P313" s="2174"/>
      <c r="Q313" s="836"/>
      <c r="R313" s="309"/>
      <c r="S313" s="309"/>
      <c r="T313" s="309"/>
      <c r="U313" s="309"/>
      <c r="V313" s="311"/>
      <c r="W313" s="311"/>
      <c r="X313" s="311"/>
      <c r="Y313" s="311"/>
      <c r="Z313" s="311"/>
      <c r="AA313" s="311"/>
      <c r="AB313" s="311"/>
      <c r="AC313" s="311"/>
      <c r="AD313" s="311"/>
      <c r="AE313" s="311"/>
      <c r="AF313" s="311"/>
      <c r="AG313" s="311"/>
      <c r="AH313" s="311"/>
      <c r="AI313" s="311"/>
      <c r="AJ313" s="311"/>
      <c r="AK313" s="311"/>
      <c r="AL313" s="311"/>
      <c r="AM313" s="311"/>
    </row>
    <row r="314" spans="1:39" ht="15.75" customHeight="1">
      <c r="A314" s="382"/>
      <c r="B314" s="311"/>
      <c r="C314" s="1647"/>
      <c r="D314" s="2173"/>
      <c r="E314" s="1586"/>
      <c r="F314" s="1954"/>
      <c r="G314" s="1846"/>
      <c r="H314" s="1586"/>
      <c r="I314" s="1647"/>
      <c r="J314" s="2187"/>
      <c r="K314" s="1647"/>
      <c r="L314" s="1647"/>
      <c r="M314" s="2174"/>
      <c r="N314" s="836"/>
      <c r="O314" s="836"/>
      <c r="P314" s="2174"/>
      <c r="Q314" s="836"/>
      <c r="R314" s="309"/>
      <c r="S314" s="309"/>
      <c r="T314" s="309"/>
      <c r="U314" s="309"/>
      <c r="V314" s="311"/>
      <c r="W314" s="311"/>
      <c r="X314" s="311"/>
      <c r="Y314" s="311"/>
      <c r="Z314" s="311"/>
      <c r="AA314" s="311"/>
      <c r="AB314" s="311"/>
      <c r="AC314" s="311"/>
      <c r="AD314" s="311"/>
      <c r="AE314" s="311"/>
      <c r="AF314" s="311"/>
      <c r="AG314" s="311"/>
      <c r="AH314" s="311"/>
      <c r="AI314" s="311"/>
      <c r="AJ314" s="311"/>
      <c r="AK314" s="311"/>
      <c r="AL314" s="311"/>
      <c r="AM314" s="311"/>
    </row>
    <row r="315" spans="1:39" ht="15.75" customHeight="1">
      <c r="A315" s="382"/>
      <c r="B315" s="311"/>
      <c r="C315" s="1647"/>
      <c r="D315" s="2173"/>
      <c r="E315" s="1586"/>
      <c r="F315" s="1954"/>
      <c r="G315" s="1846"/>
      <c r="H315" s="1586"/>
      <c r="I315" s="1647"/>
      <c r="J315" s="2187"/>
      <c r="K315" s="1647"/>
      <c r="L315" s="1647"/>
      <c r="M315" s="2174"/>
      <c r="N315" s="836"/>
      <c r="O315" s="836"/>
      <c r="P315" s="2174"/>
      <c r="Q315" s="836"/>
      <c r="R315" s="309"/>
      <c r="S315" s="309"/>
      <c r="T315" s="309"/>
      <c r="U315" s="309"/>
      <c r="V315" s="311"/>
      <c r="W315" s="311"/>
      <c r="X315" s="311"/>
      <c r="Y315" s="311"/>
      <c r="Z315" s="311"/>
      <c r="AA315" s="311"/>
      <c r="AB315" s="311"/>
      <c r="AC315" s="311"/>
      <c r="AD315" s="311"/>
      <c r="AE315" s="311"/>
      <c r="AF315" s="311"/>
      <c r="AG315" s="311"/>
      <c r="AH315" s="311"/>
      <c r="AI315" s="311"/>
      <c r="AJ315" s="311"/>
      <c r="AK315" s="311"/>
      <c r="AL315" s="311"/>
      <c r="AM315" s="311"/>
    </row>
    <row r="316" spans="1:39" ht="15.75" customHeight="1">
      <c r="A316" s="382"/>
      <c r="B316" s="311"/>
      <c r="C316" s="1647"/>
      <c r="D316" s="2173"/>
      <c r="E316" s="1586"/>
      <c r="F316" s="1954"/>
      <c r="G316" s="1846"/>
      <c r="H316" s="1586"/>
      <c r="I316" s="1647"/>
      <c r="J316" s="2187"/>
      <c r="K316" s="1647"/>
      <c r="L316" s="1647"/>
      <c r="M316" s="2174"/>
      <c r="N316" s="836"/>
      <c r="O316" s="836"/>
      <c r="P316" s="2174"/>
      <c r="Q316" s="836"/>
      <c r="R316" s="309"/>
      <c r="S316" s="309"/>
      <c r="T316" s="309"/>
      <c r="U316" s="309"/>
      <c r="V316" s="311"/>
      <c r="W316" s="311"/>
      <c r="X316" s="311"/>
      <c r="Y316" s="311"/>
      <c r="Z316" s="311"/>
      <c r="AA316" s="311"/>
      <c r="AB316" s="311"/>
      <c r="AC316" s="311"/>
      <c r="AD316" s="311"/>
      <c r="AE316" s="311"/>
      <c r="AF316" s="311"/>
      <c r="AG316" s="311"/>
      <c r="AH316" s="311"/>
      <c r="AI316" s="311"/>
      <c r="AJ316" s="311"/>
      <c r="AK316" s="311"/>
      <c r="AL316" s="311"/>
      <c r="AM316" s="311"/>
    </row>
    <row r="317" spans="1:39" ht="15.75" customHeight="1">
      <c r="A317" s="382"/>
      <c r="B317" s="311"/>
      <c r="C317" s="1647"/>
      <c r="D317" s="2173"/>
      <c r="E317" s="1586"/>
      <c r="F317" s="1954"/>
      <c r="G317" s="1846"/>
      <c r="H317" s="1586"/>
      <c r="I317" s="1647"/>
      <c r="J317" s="2187"/>
      <c r="K317" s="1647"/>
      <c r="L317" s="1647"/>
      <c r="M317" s="2174"/>
      <c r="N317" s="836"/>
      <c r="O317" s="836"/>
      <c r="P317" s="2174"/>
      <c r="Q317" s="836"/>
      <c r="R317" s="309"/>
      <c r="S317" s="309"/>
      <c r="T317" s="309"/>
      <c r="U317" s="309"/>
      <c r="V317" s="311"/>
      <c r="W317" s="311"/>
      <c r="X317" s="311"/>
      <c r="Y317" s="311"/>
      <c r="Z317" s="311"/>
      <c r="AA317" s="311"/>
      <c r="AB317" s="311"/>
      <c r="AC317" s="311"/>
      <c r="AD317" s="311"/>
      <c r="AE317" s="311"/>
      <c r="AF317" s="311"/>
      <c r="AG317" s="311"/>
      <c r="AH317" s="311"/>
      <c r="AI317" s="311"/>
      <c r="AJ317" s="311"/>
      <c r="AK317" s="311"/>
      <c r="AL317" s="311"/>
      <c r="AM317" s="311"/>
    </row>
    <row r="318" spans="1:39" ht="15.75" customHeight="1">
      <c r="A318" s="382"/>
      <c r="B318" s="311"/>
      <c r="C318" s="1647"/>
      <c r="D318" s="2173"/>
      <c r="E318" s="1586"/>
      <c r="F318" s="1954"/>
      <c r="G318" s="1846"/>
      <c r="H318" s="1586"/>
      <c r="I318" s="1647"/>
      <c r="J318" s="2187"/>
      <c r="K318" s="1647"/>
      <c r="L318" s="1647"/>
      <c r="M318" s="2174"/>
      <c r="N318" s="836"/>
      <c r="O318" s="836"/>
      <c r="P318" s="2174"/>
      <c r="Q318" s="836"/>
      <c r="R318" s="309"/>
      <c r="S318" s="309"/>
      <c r="T318" s="309"/>
      <c r="U318" s="309"/>
      <c r="V318" s="311"/>
      <c r="W318" s="311"/>
      <c r="X318" s="311"/>
      <c r="Y318" s="311"/>
      <c r="Z318" s="311"/>
      <c r="AA318" s="311"/>
      <c r="AB318" s="311"/>
      <c r="AC318" s="311"/>
      <c r="AD318" s="311"/>
      <c r="AE318" s="311"/>
      <c r="AF318" s="311"/>
      <c r="AG318" s="311"/>
      <c r="AH318" s="311"/>
      <c r="AI318" s="311"/>
      <c r="AJ318" s="311"/>
      <c r="AK318" s="311"/>
      <c r="AL318" s="311"/>
      <c r="AM318" s="311"/>
    </row>
    <row r="319" spans="1:39" ht="15.75" customHeight="1">
      <c r="A319" s="382"/>
      <c r="B319" s="311"/>
      <c r="C319" s="1647"/>
      <c r="D319" s="2173"/>
      <c r="E319" s="1586"/>
      <c r="F319" s="1954"/>
      <c r="G319" s="1846"/>
      <c r="H319" s="1586"/>
      <c r="I319" s="1647"/>
      <c r="J319" s="2187"/>
      <c r="K319" s="1647"/>
      <c r="L319" s="1647"/>
      <c r="M319" s="2174"/>
      <c r="N319" s="836"/>
      <c r="O319" s="836"/>
      <c r="P319" s="2174"/>
      <c r="Q319" s="836"/>
      <c r="R319" s="309"/>
      <c r="S319" s="309"/>
      <c r="T319" s="309"/>
      <c r="U319" s="309"/>
      <c r="V319" s="311"/>
      <c r="W319" s="311"/>
      <c r="X319" s="311"/>
      <c r="Y319" s="311"/>
      <c r="Z319" s="311"/>
      <c r="AA319" s="311"/>
      <c r="AB319" s="311"/>
      <c r="AC319" s="311"/>
      <c r="AD319" s="311"/>
      <c r="AE319" s="311"/>
      <c r="AF319" s="311"/>
      <c r="AG319" s="311"/>
      <c r="AH319" s="311"/>
      <c r="AI319" s="311"/>
      <c r="AJ319" s="311"/>
      <c r="AK319" s="311"/>
      <c r="AL319" s="311"/>
      <c r="AM319" s="311"/>
    </row>
    <row r="320" spans="1:39" ht="15.75" customHeight="1">
      <c r="A320" s="382"/>
      <c r="B320" s="311"/>
      <c r="C320" s="1647"/>
      <c r="D320" s="2173"/>
      <c r="E320" s="1586"/>
      <c r="F320" s="1954"/>
      <c r="G320" s="1846"/>
      <c r="H320" s="1586"/>
      <c r="I320" s="1647"/>
      <c r="J320" s="2187"/>
      <c r="K320" s="1647"/>
      <c r="L320" s="1647"/>
      <c r="M320" s="2174"/>
      <c r="N320" s="836"/>
      <c r="O320" s="836"/>
      <c r="P320" s="2174"/>
      <c r="Q320" s="836"/>
      <c r="R320" s="309"/>
      <c r="S320" s="309"/>
      <c r="T320" s="309"/>
      <c r="U320" s="309"/>
      <c r="V320" s="311"/>
      <c r="W320" s="311"/>
      <c r="X320" s="311"/>
      <c r="Y320" s="311"/>
      <c r="Z320" s="311"/>
      <c r="AA320" s="311"/>
      <c r="AB320" s="311"/>
      <c r="AC320" s="311"/>
      <c r="AD320" s="311"/>
      <c r="AE320" s="311"/>
      <c r="AF320" s="311"/>
      <c r="AG320" s="311"/>
      <c r="AH320" s="311"/>
      <c r="AI320" s="311"/>
      <c r="AJ320" s="311"/>
      <c r="AK320" s="311"/>
      <c r="AL320" s="311"/>
      <c r="AM320" s="311"/>
    </row>
    <row r="321" spans="1:39" ht="15.75" customHeight="1">
      <c r="A321" s="382"/>
      <c r="B321" s="311"/>
      <c r="C321" s="1647"/>
      <c r="D321" s="2173"/>
      <c r="E321" s="1586"/>
      <c r="F321" s="1954"/>
      <c r="G321" s="1846"/>
      <c r="H321" s="1586"/>
      <c r="I321" s="1647"/>
      <c r="J321" s="2187"/>
      <c r="K321" s="1647"/>
      <c r="L321" s="1647"/>
      <c r="M321" s="2174"/>
      <c r="N321" s="836"/>
      <c r="O321" s="836"/>
      <c r="P321" s="2174"/>
      <c r="Q321" s="836"/>
      <c r="R321" s="309"/>
      <c r="S321" s="309"/>
      <c r="T321" s="309"/>
      <c r="U321" s="309"/>
      <c r="V321" s="311"/>
      <c r="W321" s="311"/>
      <c r="X321" s="311"/>
      <c r="Y321" s="311"/>
      <c r="Z321" s="311"/>
      <c r="AA321" s="311"/>
      <c r="AB321" s="311"/>
      <c r="AC321" s="311"/>
      <c r="AD321" s="311"/>
      <c r="AE321" s="311"/>
      <c r="AF321" s="311"/>
      <c r="AG321" s="311"/>
      <c r="AH321" s="311"/>
      <c r="AI321" s="311"/>
      <c r="AJ321" s="311"/>
      <c r="AK321" s="311"/>
      <c r="AL321" s="311"/>
      <c r="AM321" s="311"/>
    </row>
    <row r="322" spans="1:39" ht="15.75" customHeight="1">
      <c r="A322" s="382"/>
      <c r="B322" s="311"/>
      <c r="C322" s="1647"/>
      <c r="D322" s="2173"/>
      <c r="E322" s="1586"/>
      <c r="F322" s="1954"/>
      <c r="G322" s="1846"/>
      <c r="H322" s="1586"/>
      <c r="I322" s="1647"/>
      <c r="J322" s="2187"/>
      <c r="K322" s="1647"/>
      <c r="L322" s="1647"/>
      <c r="M322" s="2174"/>
      <c r="N322" s="836"/>
      <c r="O322" s="836"/>
      <c r="P322" s="2174"/>
      <c r="Q322" s="836"/>
      <c r="R322" s="309"/>
      <c r="S322" s="309"/>
      <c r="T322" s="309"/>
      <c r="U322" s="309"/>
      <c r="V322" s="311"/>
      <c r="W322" s="311"/>
      <c r="X322" s="311"/>
      <c r="Y322" s="311"/>
      <c r="Z322" s="311"/>
      <c r="AA322" s="311"/>
      <c r="AB322" s="311"/>
      <c r="AC322" s="311"/>
      <c r="AD322" s="311"/>
      <c r="AE322" s="311"/>
      <c r="AF322" s="311"/>
      <c r="AG322" s="311"/>
      <c r="AH322" s="311"/>
      <c r="AI322" s="311"/>
      <c r="AJ322" s="311"/>
      <c r="AK322" s="311"/>
      <c r="AL322" s="311"/>
      <c r="AM322" s="311"/>
    </row>
    <row r="323" spans="1:39" ht="15.75" customHeight="1">
      <c r="A323" s="382"/>
      <c r="B323" s="311"/>
      <c r="C323" s="1647"/>
      <c r="D323" s="2173"/>
      <c r="E323" s="1586"/>
      <c r="F323" s="1954"/>
      <c r="G323" s="1846"/>
      <c r="H323" s="1586"/>
      <c r="I323" s="1647"/>
      <c r="J323" s="2187"/>
      <c r="K323" s="1647"/>
      <c r="L323" s="1647"/>
      <c r="M323" s="2174"/>
      <c r="N323" s="836"/>
      <c r="O323" s="836"/>
      <c r="P323" s="2174"/>
      <c r="Q323" s="836"/>
      <c r="R323" s="309"/>
      <c r="S323" s="309"/>
      <c r="T323" s="309"/>
      <c r="U323" s="309"/>
      <c r="V323" s="311"/>
      <c r="W323" s="311"/>
      <c r="X323" s="311"/>
      <c r="Y323" s="311"/>
      <c r="Z323" s="311"/>
      <c r="AA323" s="311"/>
      <c r="AB323" s="311"/>
      <c r="AC323" s="311"/>
      <c r="AD323" s="311"/>
      <c r="AE323" s="311"/>
      <c r="AF323" s="311"/>
      <c r="AG323" s="311"/>
      <c r="AH323" s="311"/>
      <c r="AI323" s="311"/>
      <c r="AJ323" s="311"/>
      <c r="AK323" s="311"/>
      <c r="AL323" s="311"/>
      <c r="AM323" s="311"/>
    </row>
    <row r="324" spans="1:39" ht="15.75" customHeight="1">
      <c r="A324" s="382"/>
      <c r="B324" s="311"/>
      <c r="C324" s="1647"/>
      <c r="D324" s="2173"/>
      <c r="E324" s="1586"/>
      <c r="F324" s="1954"/>
      <c r="G324" s="1846"/>
      <c r="H324" s="1586"/>
      <c r="I324" s="1647"/>
      <c r="J324" s="2187"/>
      <c r="K324" s="1647"/>
      <c r="L324" s="1647"/>
      <c r="M324" s="2174"/>
      <c r="N324" s="836"/>
      <c r="O324" s="836"/>
      <c r="P324" s="2174"/>
      <c r="Q324" s="836"/>
      <c r="R324" s="309"/>
      <c r="S324" s="309"/>
      <c r="T324" s="309"/>
      <c r="U324" s="309"/>
      <c r="V324" s="311"/>
      <c r="W324" s="311"/>
      <c r="X324" s="311"/>
      <c r="Y324" s="311"/>
      <c r="Z324" s="311"/>
      <c r="AA324" s="311"/>
      <c r="AB324" s="311"/>
      <c r="AC324" s="311"/>
      <c r="AD324" s="311"/>
      <c r="AE324" s="311"/>
      <c r="AF324" s="311"/>
      <c r="AG324" s="311"/>
      <c r="AH324" s="311"/>
      <c r="AI324" s="311"/>
      <c r="AJ324" s="311"/>
      <c r="AK324" s="311"/>
      <c r="AL324" s="311"/>
      <c r="AM324" s="311"/>
    </row>
    <row r="325" spans="1:39" ht="15.75" customHeight="1">
      <c r="A325" s="382"/>
      <c r="B325" s="311"/>
      <c r="C325" s="1647"/>
      <c r="D325" s="2173"/>
      <c r="E325" s="1586"/>
      <c r="F325" s="1954"/>
      <c r="G325" s="1846"/>
      <c r="H325" s="1586"/>
      <c r="I325" s="1647"/>
      <c r="J325" s="2187"/>
      <c r="K325" s="1647"/>
      <c r="L325" s="1647"/>
      <c r="M325" s="2174"/>
      <c r="N325" s="836"/>
      <c r="O325" s="836"/>
      <c r="P325" s="2174"/>
      <c r="Q325" s="836"/>
      <c r="R325" s="309"/>
      <c r="S325" s="309"/>
      <c r="T325" s="309"/>
      <c r="U325" s="309"/>
      <c r="V325" s="311"/>
      <c r="W325" s="311"/>
      <c r="X325" s="311"/>
      <c r="Y325" s="311"/>
      <c r="Z325" s="311"/>
      <c r="AA325" s="311"/>
      <c r="AB325" s="311"/>
      <c r="AC325" s="311"/>
      <c r="AD325" s="311"/>
      <c r="AE325" s="311"/>
      <c r="AF325" s="311"/>
      <c r="AG325" s="311"/>
      <c r="AH325" s="311"/>
      <c r="AI325" s="311"/>
      <c r="AJ325" s="311"/>
      <c r="AK325" s="311"/>
      <c r="AL325" s="311"/>
      <c r="AM325" s="311"/>
    </row>
    <row r="326" spans="1:39" ht="15.75" customHeight="1">
      <c r="A326" s="382"/>
      <c r="B326" s="311"/>
      <c r="C326" s="1647"/>
      <c r="D326" s="2173"/>
      <c r="E326" s="1586"/>
      <c r="F326" s="1954"/>
      <c r="G326" s="1846"/>
      <c r="H326" s="1586"/>
      <c r="I326" s="1647"/>
      <c r="J326" s="2187"/>
      <c r="K326" s="1647"/>
      <c r="L326" s="1647"/>
      <c r="M326" s="2174"/>
      <c r="N326" s="836"/>
      <c r="O326" s="836"/>
      <c r="P326" s="2174"/>
      <c r="Q326" s="836"/>
      <c r="R326" s="309"/>
      <c r="S326" s="309"/>
      <c r="T326" s="309"/>
      <c r="U326" s="309"/>
      <c r="V326" s="311"/>
      <c r="W326" s="311"/>
      <c r="X326" s="311"/>
      <c r="Y326" s="311"/>
      <c r="Z326" s="311"/>
      <c r="AA326" s="311"/>
      <c r="AB326" s="311"/>
      <c r="AC326" s="311"/>
      <c r="AD326" s="311"/>
      <c r="AE326" s="311"/>
      <c r="AF326" s="311"/>
      <c r="AG326" s="311"/>
      <c r="AH326" s="311"/>
      <c r="AI326" s="311"/>
      <c r="AJ326" s="311"/>
      <c r="AK326" s="311"/>
      <c r="AL326" s="311"/>
      <c r="AM326" s="311"/>
    </row>
    <row r="327" spans="1:39" ht="15.75" customHeight="1">
      <c r="A327" s="382"/>
      <c r="B327" s="311"/>
      <c r="C327" s="1647"/>
      <c r="D327" s="2173"/>
      <c r="E327" s="1586"/>
      <c r="F327" s="1954"/>
      <c r="G327" s="1846"/>
      <c r="H327" s="1586"/>
      <c r="I327" s="1647"/>
      <c r="J327" s="2187"/>
      <c r="K327" s="1647"/>
      <c r="L327" s="1647"/>
      <c r="M327" s="2174"/>
      <c r="N327" s="836"/>
      <c r="O327" s="836"/>
      <c r="P327" s="2174"/>
      <c r="Q327" s="836"/>
      <c r="R327" s="309"/>
      <c r="S327" s="309"/>
      <c r="T327" s="309"/>
      <c r="U327" s="309"/>
      <c r="V327" s="311"/>
      <c r="W327" s="311"/>
      <c r="X327" s="311"/>
      <c r="Y327" s="311"/>
      <c r="Z327" s="311"/>
      <c r="AA327" s="311"/>
      <c r="AB327" s="311"/>
      <c r="AC327" s="311"/>
      <c r="AD327" s="311"/>
      <c r="AE327" s="311"/>
      <c r="AF327" s="311"/>
      <c r="AG327" s="311"/>
      <c r="AH327" s="311"/>
      <c r="AI327" s="311"/>
      <c r="AJ327" s="311"/>
      <c r="AK327" s="311"/>
      <c r="AL327" s="311"/>
      <c r="AM327" s="311"/>
    </row>
    <row r="328" spans="1:39" ht="15.75" customHeight="1">
      <c r="A328" s="382"/>
      <c r="B328" s="311"/>
      <c r="C328" s="1647"/>
      <c r="D328" s="2173"/>
      <c r="E328" s="1586"/>
      <c r="F328" s="1954"/>
      <c r="G328" s="1846"/>
      <c r="H328" s="1586"/>
      <c r="I328" s="1647"/>
      <c r="J328" s="2187"/>
      <c r="K328" s="1647"/>
      <c r="L328" s="1647"/>
      <c r="M328" s="2174"/>
      <c r="N328" s="836"/>
      <c r="O328" s="836"/>
      <c r="P328" s="2174"/>
      <c r="Q328" s="836"/>
      <c r="R328" s="309"/>
      <c r="S328" s="309"/>
      <c r="T328" s="309"/>
      <c r="U328" s="309"/>
      <c r="V328" s="311"/>
      <c r="W328" s="311"/>
      <c r="X328" s="311"/>
      <c r="Y328" s="311"/>
      <c r="Z328" s="311"/>
      <c r="AA328" s="311"/>
      <c r="AB328" s="311"/>
      <c r="AC328" s="311"/>
      <c r="AD328" s="311"/>
      <c r="AE328" s="311"/>
      <c r="AF328" s="311"/>
      <c r="AG328" s="311"/>
      <c r="AH328" s="311"/>
      <c r="AI328" s="311"/>
      <c r="AJ328" s="311"/>
      <c r="AK328" s="311"/>
      <c r="AL328" s="311"/>
      <c r="AM328" s="311"/>
    </row>
    <row r="329" spans="1:39" ht="15.75" customHeight="1">
      <c r="A329" s="382"/>
      <c r="B329" s="311"/>
      <c r="C329" s="1647"/>
      <c r="D329" s="2173"/>
      <c r="E329" s="1586"/>
      <c r="F329" s="1954"/>
      <c r="G329" s="1846"/>
      <c r="H329" s="1586"/>
      <c r="I329" s="1647"/>
      <c r="J329" s="2187"/>
      <c r="K329" s="1647"/>
      <c r="L329" s="1647"/>
      <c r="M329" s="2174"/>
      <c r="N329" s="836"/>
      <c r="O329" s="836"/>
      <c r="P329" s="2174"/>
      <c r="Q329" s="836"/>
      <c r="R329" s="309"/>
      <c r="S329" s="309"/>
      <c r="T329" s="309"/>
      <c r="U329" s="309"/>
      <c r="V329" s="311"/>
      <c r="W329" s="311"/>
      <c r="X329" s="311"/>
      <c r="Y329" s="311"/>
      <c r="Z329" s="311"/>
      <c r="AA329" s="311"/>
      <c r="AB329" s="311"/>
      <c r="AC329" s="311"/>
      <c r="AD329" s="311"/>
      <c r="AE329" s="311"/>
      <c r="AF329" s="311"/>
      <c r="AG329" s="311"/>
      <c r="AH329" s="311"/>
      <c r="AI329" s="311"/>
      <c r="AJ329" s="311"/>
      <c r="AK329" s="311"/>
      <c r="AL329" s="311"/>
      <c r="AM329" s="311"/>
    </row>
    <row r="330" spans="1:39" ht="15.75" customHeight="1">
      <c r="A330" s="382"/>
      <c r="B330" s="311"/>
      <c r="C330" s="1647"/>
      <c r="D330" s="2173"/>
      <c r="E330" s="1586"/>
      <c r="F330" s="1954"/>
      <c r="G330" s="1846"/>
      <c r="H330" s="1586"/>
      <c r="I330" s="1647"/>
      <c r="J330" s="2187"/>
      <c r="K330" s="1647"/>
      <c r="L330" s="1647"/>
      <c r="M330" s="2174"/>
      <c r="N330" s="836"/>
      <c r="O330" s="836"/>
      <c r="P330" s="2174"/>
      <c r="Q330" s="836"/>
      <c r="R330" s="309"/>
      <c r="S330" s="309"/>
      <c r="T330" s="309"/>
      <c r="U330" s="309"/>
      <c r="V330" s="311"/>
      <c r="W330" s="311"/>
      <c r="X330" s="311"/>
      <c r="Y330" s="311"/>
      <c r="Z330" s="311"/>
      <c r="AA330" s="311"/>
      <c r="AB330" s="311"/>
      <c r="AC330" s="311"/>
      <c r="AD330" s="311"/>
      <c r="AE330" s="311"/>
      <c r="AF330" s="311"/>
      <c r="AG330" s="311"/>
      <c r="AH330" s="311"/>
      <c r="AI330" s="311"/>
      <c r="AJ330" s="311"/>
      <c r="AK330" s="311"/>
      <c r="AL330" s="311"/>
      <c r="AM330" s="311"/>
    </row>
    <row r="331" spans="1:39" ht="15.75" customHeight="1">
      <c r="A331" s="382"/>
      <c r="B331" s="311"/>
      <c r="C331" s="1647"/>
      <c r="D331" s="2173"/>
      <c r="E331" s="1586"/>
      <c r="F331" s="1954"/>
      <c r="G331" s="1846"/>
      <c r="H331" s="1586"/>
      <c r="I331" s="1647"/>
      <c r="J331" s="2187"/>
      <c r="K331" s="1647"/>
      <c r="L331" s="1647"/>
      <c r="M331" s="2174"/>
      <c r="N331" s="836"/>
      <c r="O331" s="836"/>
      <c r="P331" s="2174"/>
      <c r="Q331" s="836"/>
      <c r="R331" s="309"/>
      <c r="S331" s="309"/>
      <c r="T331" s="309"/>
      <c r="U331" s="309"/>
      <c r="V331" s="311"/>
      <c r="W331" s="311"/>
      <c r="X331" s="311"/>
      <c r="Y331" s="311"/>
      <c r="Z331" s="311"/>
      <c r="AA331" s="311"/>
      <c r="AB331" s="311"/>
      <c r="AC331" s="311"/>
      <c r="AD331" s="311"/>
      <c r="AE331" s="311"/>
      <c r="AF331" s="311"/>
      <c r="AG331" s="311"/>
      <c r="AH331" s="311"/>
      <c r="AI331" s="311"/>
      <c r="AJ331" s="311"/>
      <c r="AK331" s="311"/>
      <c r="AL331" s="311"/>
      <c r="AM331" s="311"/>
    </row>
    <row r="332" spans="1:39" ht="15.75" customHeight="1">
      <c r="A332" s="382"/>
      <c r="B332" s="311"/>
      <c r="C332" s="1647"/>
      <c r="D332" s="2173"/>
      <c r="E332" s="1586"/>
      <c r="F332" s="1954"/>
      <c r="G332" s="1846"/>
      <c r="H332" s="1586"/>
      <c r="I332" s="1647"/>
      <c r="J332" s="2187"/>
      <c r="K332" s="1647"/>
      <c r="L332" s="1647"/>
      <c r="M332" s="2174"/>
      <c r="N332" s="836"/>
      <c r="O332" s="836"/>
      <c r="P332" s="2174"/>
      <c r="Q332" s="836"/>
      <c r="R332" s="309"/>
      <c r="S332" s="309"/>
      <c r="T332" s="309"/>
      <c r="U332" s="309"/>
      <c r="V332" s="311"/>
      <c r="W332" s="311"/>
      <c r="X332" s="311"/>
      <c r="Y332" s="311"/>
      <c r="Z332" s="311"/>
      <c r="AA332" s="311"/>
      <c r="AB332" s="311"/>
      <c r="AC332" s="311"/>
      <c r="AD332" s="311"/>
      <c r="AE332" s="311"/>
      <c r="AF332" s="311"/>
      <c r="AG332" s="311"/>
      <c r="AH332" s="311"/>
      <c r="AI332" s="311"/>
      <c r="AJ332" s="311"/>
      <c r="AK332" s="311"/>
      <c r="AL332" s="311"/>
      <c r="AM332" s="311"/>
    </row>
    <row r="333" spans="1:39" ht="15.75" customHeight="1">
      <c r="A333" s="382"/>
      <c r="B333" s="311"/>
      <c r="C333" s="1647"/>
      <c r="D333" s="2173"/>
      <c r="E333" s="1586"/>
      <c r="F333" s="1954"/>
      <c r="G333" s="1846"/>
      <c r="H333" s="1586"/>
      <c r="I333" s="1647"/>
      <c r="J333" s="2187"/>
      <c r="K333" s="1647"/>
      <c r="L333" s="1647"/>
      <c r="M333" s="2174"/>
      <c r="N333" s="836"/>
      <c r="O333" s="836"/>
      <c r="P333" s="2174"/>
      <c r="Q333" s="836"/>
      <c r="R333" s="309"/>
      <c r="S333" s="309"/>
      <c r="T333" s="309"/>
      <c r="U333" s="309"/>
      <c r="V333" s="311"/>
      <c r="W333" s="311"/>
      <c r="X333" s="311"/>
      <c r="Y333" s="311"/>
      <c r="Z333" s="311"/>
      <c r="AA333" s="311"/>
      <c r="AB333" s="311"/>
      <c r="AC333" s="311"/>
      <c r="AD333" s="311"/>
      <c r="AE333" s="311"/>
      <c r="AF333" s="311"/>
      <c r="AG333" s="311"/>
      <c r="AH333" s="311"/>
      <c r="AI333" s="311"/>
      <c r="AJ333" s="311"/>
      <c r="AK333" s="311"/>
      <c r="AL333" s="311"/>
      <c r="AM333" s="311"/>
    </row>
    <row r="334" spans="1:39" ht="15.75" customHeight="1">
      <c r="A334" s="382"/>
      <c r="B334" s="311"/>
      <c r="C334" s="1647"/>
      <c r="D334" s="2173"/>
      <c r="E334" s="1586"/>
      <c r="F334" s="1954"/>
      <c r="G334" s="1846"/>
      <c r="H334" s="1586"/>
      <c r="I334" s="1647"/>
      <c r="J334" s="2187"/>
      <c r="K334" s="1647"/>
      <c r="L334" s="1647"/>
      <c r="M334" s="2174"/>
      <c r="N334" s="836"/>
      <c r="O334" s="836"/>
      <c r="P334" s="2174"/>
      <c r="Q334" s="836"/>
      <c r="R334" s="309"/>
      <c r="S334" s="309"/>
      <c r="T334" s="309"/>
      <c r="U334" s="309"/>
      <c r="V334" s="311"/>
      <c r="W334" s="311"/>
      <c r="X334" s="311"/>
      <c r="Y334" s="311"/>
      <c r="Z334" s="311"/>
      <c r="AA334" s="311"/>
      <c r="AB334" s="311"/>
      <c r="AC334" s="311"/>
      <c r="AD334" s="311"/>
      <c r="AE334" s="311"/>
      <c r="AF334" s="311"/>
      <c r="AG334" s="311"/>
      <c r="AH334" s="311"/>
      <c r="AI334" s="311"/>
      <c r="AJ334" s="311"/>
      <c r="AK334" s="311"/>
      <c r="AL334" s="311"/>
      <c r="AM334" s="311"/>
    </row>
    <row r="335" spans="1:39" ht="15.75" customHeight="1">
      <c r="A335" s="382"/>
      <c r="B335" s="311"/>
      <c r="C335" s="1647"/>
      <c r="D335" s="2173"/>
      <c r="E335" s="1586"/>
      <c r="F335" s="1954"/>
      <c r="G335" s="1846"/>
      <c r="H335" s="1586"/>
      <c r="I335" s="1647"/>
      <c r="J335" s="2187"/>
      <c r="K335" s="1647"/>
      <c r="L335" s="1647"/>
      <c r="M335" s="2174"/>
      <c r="N335" s="836"/>
      <c r="O335" s="836"/>
      <c r="P335" s="2174"/>
      <c r="Q335" s="836"/>
      <c r="R335" s="309"/>
      <c r="S335" s="309"/>
      <c r="T335" s="309"/>
      <c r="U335" s="309"/>
      <c r="V335" s="311"/>
      <c r="W335" s="311"/>
      <c r="X335" s="311"/>
      <c r="Y335" s="311"/>
      <c r="Z335" s="311"/>
      <c r="AA335" s="311"/>
      <c r="AB335" s="311"/>
      <c r="AC335" s="311"/>
      <c r="AD335" s="311"/>
      <c r="AE335" s="311"/>
      <c r="AF335" s="311"/>
      <c r="AG335" s="311"/>
      <c r="AH335" s="311"/>
      <c r="AI335" s="311"/>
      <c r="AJ335" s="311"/>
      <c r="AK335" s="311"/>
      <c r="AL335" s="311"/>
      <c r="AM335" s="311"/>
    </row>
    <row r="336" spans="1:39" ht="15.75" customHeight="1">
      <c r="A336" s="382"/>
      <c r="B336" s="311"/>
      <c r="C336" s="1647"/>
      <c r="D336" s="2173"/>
      <c r="E336" s="1586"/>
      <c r="F336" s="1954"/>
      <c r="G336" s="1846"/>
      <c r="H336" s="1586"/>
      <c r="I336" s="1647"/>
      <c r="J336" s="2187"/>
      <c r="K336" s="1647"/>
      <c r="L336" s="1647"/>
      <c r="M336" s="2174"/>
      <c r="N336" s="836"/>
      <c r="O336" s="836"/>
      <c r="P336" s="2174"/>
      <c r="Q336" s="836"/>
      <c r="R336" s="309"/>
      <c r="S336" s="309"/>
      <c r="T336" s="309"/>
      <c r="U336" s="309"/>
      <c r="V336" s="311"/>
      <c r="W336" s="311"/>
      <c r="X336" s="311"/>
      <c r="Y336" s="311"/>
      <c r="Z336" s="311"/>
      <c r="AA336" s="311"/>
      <c r="AB336" s="311"/>
      <c r="AC336" s="311"/>
      <c r="AD336" s="311"/>
      <c r="AE336" s="311"/>
      <c r="AF336" s="311"/>
      <c r="AG336" s="311"/>
      <c r="AH336" s="311"/>
      <c r="AI336" s="311"/>
      <c r="AJ336" s="311"/>
      <c r="AK336" s="311"/>
      <c r="AL336" s="311"/>
      <c r="AM336" s="311"/>
    </row>
    <row r="337" spans="1:39" ht="15.75" customHeight="1">
      <c r="A337" s="382"/>
      <c r="B337" s="311"/>
      <c r="C337" s="1647"/>
      <c r="D337" s="2173"/>
      <c r="E337" s="1586"/>
      <c r="F337" s="1954"/>
      <c r="G337" s="1846"/>
      <c r="H337" s="1586"/>
      <c r="I337" s="1647"/>
      <c r="J337" s="2187"/>
      <c r="K337" s="1647"/>
      <c r="L337" s="1647"/>
      <c r="M337" s="2174"/>
      <c r="N337" s="836"/>
      <c r="O337" s="836"/>
      <c r="P337" s="2174"/>
      <c r="Q337" s="836"/>
      <c r="R337" s="309"/>
      <c r="S337" s="309"/>
      <c r="T337" s="309"/>
      <c r="U337" s="309"/>
      <c r="V337" s="311"/>
      <c r="W337" s="311"/>
      <c r="X337" s="311"/>
      <c r="Y337" s="311"/>
      <c r="Z337" s="311"/>
      <c r="AA337" s="311"/>
      <c r="AB337" s="311"/>
      <c r="AC337" s="311"/>
      <c r="AD337" s="311"/>
      <c r="AE337" s="311"/>
      <c r="AF337" s="311"/>
      <c r="AG337" s="311"/>
      <c r="AH337" s="311"/>
      <c r="AI337" s="311"/>
      <c r="AJ337" s="311"/>
      <c r="AK337" s="311"/>
      <c r="AL337" s="311"/>
      <c r="AM337" s="311"/>
    </row>
    <row r="338" spans="1:39" ht="15.75" customHeight="1">
      <c r="A338" s="382"/>
      <c r="B338" s="311"/>
      <c r="C338" s="1647"/>
      <c r="D338" s="2173"/>
      <c r="E338" s="1586"/>
      <c r="F338" s="1954"/>
      <c r="G338" s="1846"/>
      <c r="H338" s="1586"/>
      <c r="I338" s="1647"/>
      <c r="J338" s="2187"/>
      <c r="K338" s="1647"/>
      <c r="L338" s="1647"/>
      <c r="M338" s="2174"/>
      <c r="N338" s="836"/>
      <c r="O338" s="836"/>
      <c r="P338" s="2174"/>
      <c r="Q338" s="836"/>
      <c r="R338" s="309"/>
      <c r="S338" s="309"/>
      <c r="T338" s="309"/>
      <c r="U338" s="309"/>
      <c r="V338" s="311"/>
      <c r="W338" s="311"/>
      <c r="X338" s="311"/>
      <c r="Y338" s="311"/>
      <c r="Z338" s="311"/>
      <c r="AA338" s="311"/>
      <c r="AB338" s="311"/>
      <c r="AC338" s="311"/>
      <c r="AD338" s="311"/>
      <c r="AE338" s="311"/>
      <c r="AF338" s="311"/>
      <c r="AG338" s="311"/>
      <c r="AH338" s="311"/>
      <c r="AI338" s="311"/>
      <c r="AJ338" s="311"/>
      <c r="AK338" s="311"/>
      <c r="AL338" s="311"/>
      <c r="AM338" s="311"/>
    </row>
    <row r="339" spans="1:39" ht="15.75" customHeight="1">
      <c r="A339" s="382"/>
      <c r="B339" s="311"/>
      <c r="C339" s="1647"/>
      <c r="D339" s="2173"/>
      <c r="E339" s="1586"/>
      <c r="F339" s="1954"/>
      <c r="G339" s="1846"/>
      <c r="H339" s="1586"/>
      <c r="I339" s="1647"/>
      <c r="J339" s="2187"/>
      <c r="K339" s="1647"/>
      <c r="L339" s="1647"/>
      <c r="M339" s="2174"/>
      <c r="N339" s="836"/>
      <c r="O339" s="836"/>
      <c r="P339" s="2174"/>
      <c r="Q339" s="836"/>
      <c r="R339" s="309"/>
      <c r="S339" s="309"/>
      <c r="T339" s="309"/>
      <c r="U339" s="309"/>
      <c r="V339" s="311"/>
      <c r="W339" s="311"/>
      <c r="X339" s="311"/>
      <c r="Y339" s="311"/>
      <c r="Z339" s="311"/>
      <c r="AA339" s="311"/>
      <c r="AB339" s="311"/>
      <c r="AC339" s="311"/>
      <c r="AD339" s="311"/>
      <c r="AE339" s="311"/>
      <c r="AF339" s="311"/>
      <c r="AG339" s="311"/>
      <c r="AH339" s="311"/>
      <c r="AI339" s="311"/>
      <c r="AJ339" s="311"/>
      <c r="AK339" s="311"/>
      <c r="AL339" s="311"/>
      <c r="AM339" s="311"/>
    </row>
    <row r="340" spans="1:39" ht="15.75" customHeight="1">
      <c r="A340" s="382"/>
      <c r="B340" s="311"/>
      <c r="C340" s="1647"/>
      <c r="D340" s="2173"/>
      <c r="E340" s="1586"/>
      <c r="F340" s="1954"/>
      <c r="G340" s="1846"/>
      <c r="H340" s="1586"/>
      <c r="I340" s="1647"/>
      <c r="J340" s="2187"/>
      <c r="K340" s="1647"/>
      <c r="L340" s="1647"/>
      <c r="M340" s="2174"/>
      <c r="N340" s="836"/>
      <c r="O340" s="836"/>
      <c r="P340" s="2174"/>
      <c r="Q340" s="836"/>
      <c r="R340" s="309"/>
      <c r="S340" s="309"/>
      <c r="T340" s="309"/>
      <c r="U340" s="309"/>
      <c r="V340" s="311"/>
      <c r="W340" s="311"/>
      <c r="X340" s="311"/>
      <c r="Y340" s="311"/>
      <c r="Z340" s="311"/>
      <c r="AA340" s="311"/>
      <c r="AB340" s="311"/>
      <c r="AC340" s="311"/>
      <c r="AD340" s="311"/>
      <c r="AE340" s="311"/>
      <c r="AF340" s="311"/>
      <c r="AG340" s="311"/>
      <c r="AH340" s="311"/>
      <c r="AI340" s="311"/>
      <c r="AJ340" s="311"/>
      <c r="AK340" s="311"/>
      <c r="AL340" s="311"/>
      <c r="AM340" s="311"/>
    </row>
    <row r="341" spans="1:39" ht="15.75" customHeight="1">
      <c r="A341" s="382"/>
      <c r="B341" s="311"/>
      <c r="C341" s="1647"/>
      <c r="D341" s="2173"/>
      <c r="E341" s="1586"/>
      <c r="F341" s="1954"/>
      <c r="G341" s="1846"/>
      <c r="H341" s="1586"/>
      <c r="I341" s="1647"/>
      <c r="J341" s="2187"/>
      <c r="K341" s="1647"/>
      <c r="L341" s="1647"/>
      <c r="M341" s="2174"/>
      <c r="N341" s="836"/>
      <c r="O341" s="836"/>
      <c r="P341" s="2174"/>
      <c r="Q341" s="836"/>
      <c r="R341" s="309"/>
      <c r="S341" s="309"/>
      <c r="T341" s="309"/>
      <c r="U341" s="309"/>
      <c r="V341" s="311"/>
      <c r="W341" s="311"/>
      <c r="X341" s="311"/>
      <c r="Y341" s="311"/>
      <c r="Z341" s="311"/>
      <c r="AA341" s="311"/>
      <c r="AB341" s="311"/>
      <c r="AC341" s="311"/>
      <c r="AD341" s="311"/>
      <c r="AE341" s="311"/>
      <c r="AF341" s="311"/>
      <c r="AG341" s="311"/>
      <c r="AH341" s="311"/>
      <c r="AI341" s="311"/>
      <c r="AJ341" s="311"/>
      <c r="AK341" s="311"/>
      <c r="AL341" s="311"/>
      <c r="AM341" s="311"/>
    </row>
    <row r="342" spans="1:39" ht="15.75" customHeight="1">
      <c r="A342" s="382"/>
      <c r="B342" s="311"/>
      <c r="C342" s="1647"/>
      <c r="D342" s="2173"/>
      <c r="E342" s="1586"/>
      <c r="F342" s="1954"/>
      <c r="G342" s="1846"/>
      <c r="H342" s="1586"/>
      <c r="I342" s="1647"/>
      <c r="J342" s="2187"/>
      <c r="K342" s="1647"/>
      <c r="L342" s="1647"/>
      <c r="M342" s="2174"/>
      <c r="N342" s="836"/>
      <c r="O342" s="836"/>
      <c r="P342" s="2174"/>
      <c r="Q342" s="836"/>
      <c r="R342" s="309"/>
      <c r="S342" s="309"/>
      <c r="T342" s="309"/>
      <c r="U342" s="309"/>
      <c r="V342" s="311"/>
      <c r="W342" s="311"/>
      <c r="X342" s="311"/>
      <c r="Y342" s="311"/>
      <c r="Z342" s="311"/>
      <c r="AA342" s="311"/>
      <c r="AB342" s="311"/>
      <c r="AC342" s="311"/>
      <c r="AD342" s="311"/>
      <c r="AE342" s="311"/>
      <c r="AF342" s="311"/>
      <c r="AG342" s="311"/>
      <c r="AH342" s="311"/>
      <c r="AI342" s="311"/>
      <c r="AJ342" s="311"/>
      <c r="AK342" s="311"/>
      <c r="AL342" s="311"/>
      <c r="AM342" s="311"/>
    </row>
    <row r="343" spans="1:39" ht="15.75" customHeight="1">
      <c r="A343" s="382"/>
      <c r="B343" s="311"/>
      <c r="C343" s="1647"/>
      <c r="D343" s="2173"/>
      <c r="E343" s="1586"/>
      <c r="F343" s="1954"/>
      <c r="G343" s="1846"/>
      <c r="H343" s="1586"/>
      <c r="I343" s="1647"/>
      <c r="J343" s="2187"/>
      <c r="K343" s="1647"/>
      <c r="L343" s="1647"/>
      <c r="M343" s="2174"/>
      <c r="N343" s="836"/>
      <c r="O343" s="836"/>
      <c r="P343" s="2174"/>
      <c r="Q343" s="836"/>
      <c r="R343" s="309"/>
      <c r="S343" s="309"/>
      <c r="T343" s="309"/>
      <c r="U343" s="309"/>
      <c r="V343" s="311"/>
      <c r="W343" s="311"/>
      <c r="X343" s="311"/>
      <c r="Y343" s="311"/>
      <c r="Z343" s="311"/>
      <c r="AA343" s="311"/>
      <c r="AB343" s="311"/>
      <c r="AC343" s="311"/>
      <c r="AD343" s="311"/>
      <c r="AE343" s="311"/>
      <c r="AF343" s="311"/>
      <c r="AG343" s="311"/>
      <c r="AH343" s="311"/>
      <c r="AI343" s="311"/>
      <c r="AJ343" s="311"/>
      <c r="AK343" s="311"/>
      <c r="AL343" s="311"/>
      <c r="AM343" s="311"/>
    </row>
    <row r="344" spans="1:39" ht="15.75" customHeight="1">
      <c r="A344" s="382"/>
      <c r="B344" s="311"/>
      <c r="C344" s="1647"/>
      <c r="D344" s="2173"/>
      <c r="E344" s="1586"/>
      <c r="F344" s="1954"/>
      <c r="G344" s="1846"/>
      <c r="H344" s="1586"/>
      <c r="I344" s="1647"/>
      <c r="J344" s="2187"/>
      <c r="K344" s="1647"/>
      <c r="L344" s="1647"/>
      <c r="M344" s="2174"/>
      <c r="N344" s="836"/>
      <c r="O344" s="836"/>
      <c r="P344" s="2174"/>
      <c r="Q344" s="836"/>
      <c r="R344" s="309"/>
      <c r="S344" s="309"/>
      <c r="T344" s="309"/>
      <c r="U344" s="309"/>
      <c r="V344" s="311"/>
      <c r="W344" s="311"/>
      <c r="X344" s="311"/>
      <c r="Y344" s="311"/>
      <c r="Z344" s="311"/>
      <c r="AA344" s="311"/>
      <c r="AB344" s="311"/>
      <c r="AC344" s="311"/>
      <c r="AD344" s="311"/>
      <c r="AE344" s="311"/>
      <c r="AF344" s="311"/>
      <c r="AG344" s="311"/>
      <c r="AH344" s="311"/>
      <c r="AI344" s="311"/>
      <c r="AJ344" s="311"/>
      <c r="AK344" s="311"/>
      <c r="AL344" s="311"/>
      <c r="AM344" s="311"/>
    </row>
    <row r="345" spans="1:39" ht="15.75" customHeight="1">
      <c r="A345" s="382"/>
      <c r="B345" s="311"/>
      <c r="C345" s="1647"/>
      <c r="D345" s="2173"/>
      <c r="E345" s="1586"/>
      <c r="F345" s="1954"/>
      <c r="G345" s="1846"/>
      <c r="H345" s="1586"/>
      <c r="I345" s="1647"/>
      <c r="J345" s="2187"/>
      <c r="K345" s="1647"/>
      <c r="L345" s="1647"/>
      <c r="M345" s="2174"/>
      <c r="N345" s="836"/>
      <c r="O345" s="836"/>
      <c r="P345" s="2174"/>
      <c r="Q345" s="836"/>
      <c r="R345" s="309"/>
      <c r="S345" s="309"/>
      <c r="T345" s="309"/>
      <c r="U345" s="309"/>
      <c r="V345" s="311"/>
      <c r="W345" s="311"/>
      <c r="X345" s="311"/>
      <c r="Y345" s="311"/>
      <c r="Z345" s="311"/>
      <c r="AA345" s="311"/>
      <c r="AB345" s="311"/>
      <c r="AC345" s="311"/>
      <c r="AD345" s="311"/>
      <c r="AE345" s="311"/>
      <c r="AF345" s="311"/>
      <c r="AG345" s="311"/>
      <c r="AH345" s="311"/>
      <c r="AI345" s="311"/>
      <c r="AJ345" s="311"/>
      <c r="AK345" s="311"/>
      <c r="AL345" s="311"/>
      <c r="AM345" s="311"/>
    </row>
    <row r="346" spans="1:39" ht="15.75" customHeight="1">
      <c r="A346" s="382"/>
      <c r="B346" s="311"/>
      <c r="C346" s="1647"/>
      <c r="D346" s="2173"/>
      <c r="E346" s="1586"/>
      <c r="F346" s="1954"/>
      <c r="G346" s="1846"/>
      <c r="H346" s="1586"/>
      <c r="I346" s="1647"/>
      <c r="J346" s="2187"/>
      <c r="K346" s="1647"/>
      <c r="L346" s="1647"/>
      <c r="M346" s="2174"/>
      <c r="N346" s="836"/>
      <c r="O346" s="836"/>
      <c r="P346" s="2174"/>
      <c r="Q346" s="836"/>
      <c r="R346" s="309"/>
      <c r="S346" s="309"/>
      <c r="T346" s="309"/>
      <c r="U346" s="309"/>
      <c r="V346" s="311"/>
      <c r="W346" s="311"/>
      <c r="X346" s="311"/>
      <c r="Y346" s="311"/>
      <c r="Z346" s="311"/>
      <c r="AA346" s="311"/>
      <c r="AB346" s="311"/>
      <c r="AC346" s="311"/>
      <c r="AD346" s="311"/>
      <c r="AE346" s="311"/>
      <c r="AF346" s="311"/>
      <c r="AG346" s="311"/>
      <c r="AH346" s="311"/>
      <c r="AI346" s="311"/>
      <c r="AJ346" s="311"/>
      <c r="AK346" s="311"/>
      <c r="AL346" s="311"/>
      <c r="AM346" s="311"/>
    </row>
    <row r="347" spans="1:39" ht="15.75" customHeight="1">
      <c r="A347" s="382"/>
      <c r="B347" s="311"/>
      <c r="C347" s="1647"/>
      <c r="D347" s="2173"/>
      <c r="E347" s="1586"/>
      <c r="F347" s="1954"/>
      <c r="G347" s="1846"/>
      <c r="H347" s="1586"/>
      <c r="I347" s="1647"/>
      <c r="J347" s="2187"/>
      <c r="K347" s="1647"/>
      <c r="L347" s="1647"/>
      <c r="M347" s="2174"/>
      <c r="N347" s="836"/>
      <c r="O347" s="836"/>
      <c r="P347" s="2174"/>
      <c r="Q347" s="836"/>
      <c r="R347" s="309"/>
      <c r="S347" s="309"/>
      <c r="T347" s="309"/>
      <c r="U347" s="309"/>
      <c r="V347" s="311"/>
      <c r="W347" s="311"/>
      <c r="X347" s="311"/>
      <c r="Y347" s="311"/>
      <c r="Z347" s="311"/>
      <c r="AA347" s="311"/>
      <c r="AB347" s="311"/>
      <c r="AC347" s="311"/>
      <c r="AD347" s="311"/>
      <c r="AE347" s="311"/>
      <c r="AF347" s="311"/>
      <c r="AG347" s="311"/>
      <c r="AH347" s="311"/>
      <c r="AI347" s="311"/>
      <c r="AJ347" s="311"/>
      <c r="AK347" s="311"/>
      <c r="AL347" s="311"/>
      <c r="AM347" s="311"/>
    </row>
    <row r="348" spans="1:39" ht="15.75" customHeight="1">
      <c r="A348" s="382"/>
      <c r="B348" s="311"/>
      <c r="C348" s="1647"/>
      <c r="D348" s="2173"/>
      <c r="E348" s="1586"/>
      <c r="F348" s="1954"/>
      <c r="G348" s="1846"/>
      <c r="H348" s="1586"/>
      <c r="I348" s="1647"/>
      <c r="J348" s="2187"/>
      <c r="K348" s="1647"/>
      <c r="L348" s="1647"/>
      <c r="M348" s="2174"/>
      <c r="N348" s="836"/>
      <c r="O348" s="836"/>
      <c r="P348" s="2174"/>
      <c r="Q348" s="836"/>
      <c r="R348" s="309"/>
      <c r="S348" s="309"/>
      <c r="T348" s="309"/>
      <c r="U348" s="309"/>
      <c r="V348" s="311"/>
      <c r="W348" s="311"/>
      <c r="X348" s="311"/>
      <c r="Y348" s="311"/>
      <c r="Z348" s="311"/>
      <c r="AA348" s="311"/>
      <c r="AB348" s="311"/>
      <c r="AC348" s="311"/>
      <c r="AD348" s="311"/>
      <c r="AE348" s="311"/>
      <c r="AF348" s="311"/>
      <c r="AG348" s="311"/>
      <c r="AH348" s="311"/>
      <c r="AI348" s="311"/>
      <c r="AJ348" s="311"/>
      <c r="AK348" s="311"/>
      <c r="AL348" s="311"/>
      <c r="AM348" s="311"/>
    </row>
    <row r="349" spans="1:39" ht="15.75" customHeight="1">
      <c r="A349" s="382"/>
      <c r="B349" s="311"/>
      <c r="C349" s="1647"/>
      <c r="D349" s="2173"/>
      <c r="E349" s="1586"/>
      <c r="F349" s="1954"/>
      <c r="G349" s="1846"/>
      <c r="H349" s="1586"/>
      <c r="I349" s="1647"/>
      <c r="J349" s="2187"/>
      <c r="K349" s="1647"/>
      <c r="L349" s="1647"/>
      <c r="M349" s="2174"/>
      <c r="N349" s="836"/>
      <c r="O349" s="836"/>
      <c r="P349" s="2174"/>
      <c r="Q349" s="836"/>
      <c r="R349" s="309"/>
      <c r="S349" s="309"/>
      <c r="T349" s="309"/>
      <c r="U349" s="309"/>
      <c r="V349" s="311"/>
      <c r="W349" s="311"/>
      <c r="X349" s="311"/>
      <c r="Y349" s="311"/>
      <c r="Z349" s="311"/>
      <c r="AA349" s="311"/>
      <c r="AB349" s="311"/>
      <c r="AC349" s="311"/>
      <c r="AD349" s="311"/>
      <c r="AE349" s="311"/>
      <c r="AF349" s="311"/>
      <c r="AG349" s="311"/>
      <c r="AH349" s="311"/>
      <c r="AI349" s="311"/>
      <c r="AJ349" s="311"/>
      <c r="AK349" s="311"/>
      <c r="AL349" s="311"/>
      <c r="AM349" s="311"/>
    </row>
    <row r="350" spans="1:39" ht="15.75" customHeight="1">
      <c r="A350" s="382"/>
      <c r="B350" s="311"/>
      <c r="C350" s="1647"/>
      <c r="D350" s="2173"/>
      <c r="E350" s="1586"/>
      <c r="F350" s="1954"/>
      <c r="G350" s="1846"/>
      <c r="H350" s="1586"/>
      <c r="I350" s="1647"/>
      <c r="J350" s="2187"/>
      <c r="K350" s="1647"/>
      <c r="L350" s="1647"/>
      <c r="M350" s="2174"/>
      <c r="N350" s="836"/>
      <c r="O350" s="836"/>
      <c r="P350" s="2174"/>
      <c r="Q350" s="836"/>
      <c r="R350" s="309"/>
      <c r="S350" s="309"/>
      <c r="T350" s="309"/>
      <c r="U350" s="309"/>
      <c r="V350" s="311"/>
      <c r="W350" s="311"/>
      <c r="X350" s="311"/>
      <c r="Y350" s="311"/>
      <c r="Z350" s="311"/>
      <c r="AA350" s="311"/>
      <c r="AB350" s="311"/>
      <c r="AC350" s="311"/>
      <c r="AD350" s="311"/>
      <c r="AE350" s="311"/>
      <c r="AF350" s="311"/>
      <c r="AG350" s="311"/>
      <c r="AH350" s="311"/>
      <c r="AI350" s="311"/>
      <c r="AJ350" s="311"/>
      <c r="AK350" s="311"/>
      <c r="AL350" s="311"/>
      <c r="AM350" s="311"/>
    </row>
    <row r="351" spans="1:39" ht="15.75" customHeight="1">
      <c r="A351" s="382"/>
      <c r="B351" s="311"/>
      <c r="C351" s="1647"/>
      <c r="D351" s="2173"/>
      <c r="E351" s="1586"/>
      <c r="F351" s="1954"/>
      <c r="G351" s="1846"/>
      <c r="H351" s="1586"/>
      <c r="I351" s="1647"/>
      <c r="J351" s="2187"/>
      <c r="K351" s="1647"/>
      <c r="L351" s="1647"/>
      <c r="M351" s="2174"/>
      <c r="N351" s="836"/>
      <c r="O351" s="836"/>
      <c r="P351" s="2174"/>
      <c r="Q351" s="836"/>
      <c r="R351" s="309"/>
      <c r="S351" s="309"/>
      <c r="T351" s="309"/>
      <c r="U351" s="309"/>
      <c r="V351" s="311"/>
      <c r="W351" s="311"/>
      <c r="X351" s="311"/>
      <c r="Y351" s="311"/>
      <c r="Z351" s="311"/>
      <c r="AA351" s="311"/>
      <c r="AB351" s="311"/>
      <c r="AC351" s="311"/>
      <c r="AD351" s="311"/>
      <c r="AE351" s="311"/>
      <c r="AF351" s="311"/>
      <c r="AG351" s="311"/>
      <c r="AH351" s="311"/>
      <c r="AI351" s="311"/>
      <c r="AJ351" s="311"/>
      <c r="AK351" s="311"/>
      <c r="AL351" s="311"/>
      <c r="AM351" s="311"/>
    </row>
    <row r="352" spans="1:39" ht="15.75" customHeight="1">
      <c r="A352" s="382"/>
      <c r="B352" s="311"/>
      <c r="C352" s="1647"/>
      <c r="D352" s="2173"/>
      <c r="E352" s="1586"/>
      <c r="F352" s="1954"/>
      <c r="G352" s="1846"/>
      <c r="H352" s="1586"/>
      <c r="I352" s="1647"/>
      <c r="J352" s="2187"/>
      <c r="K352" s="1647"/>
      <c r="L352" s="1647"/>
      <c r="M352" s="2174"/>
      <c r="N352" s="836"/>
      <c r="O352" s="836"/>
      <c r="P352" s="2174"/>
      <c r="Q352" s="836"/>
      <c r="R352" s="309"/>
      <c r="S352" s="309"/>
      <c r="T352" s="309"/>
      <c r="U352" s="309"/>
      <c r="V352" s="311"/>
      <c r="W352" s="311"/>
      <c r="X352" s="311"/>
      <c r="Y352" s="311"/>
      <c r="Z352" s="311"/>
      <c r="AA352" s="311"/>
      <c r="AB352" s="311"/>
      <c r="AC352" s="311"/>
      <c r="AD352" s="311"/>
      <c r="AE352" s="311"/>
      <c r="AF352" s="311"/>
      <c r="AG352" s="311"/>
      <c r="AH352" s="311"/>
      <c r="AI352" s="311"/>
      <c r="AJ352" s="311"/>
      <c r="AK352" s="311"/>
      <c r="AL352" s="311"/>
      <c r="AM352" s="311"/>
    </row>
    <row r="353" spans="1:39" ht="15.75" customHeight="1">
      <c r="A353" s="382"/>
      <c r="B353" s="311"/>
      <c r="C353" s="1647"/>
      <c r="D353" s="2173"/>
      <c r="E353" s="1586"/>
      <c r="F353" s="1954"/>
      <c r="G353" s="1846"/>
      <c r="H353" s="1586"/>
      <c r="I353" s="1647"/>
      <c r="J353" s="2187"/>
      <c r="K353" s="1647"/>
      <c r="L353" s="1647"/>
      <c r="M353" s="2174"/>
      <c r="N353" s="836"/>
      <c r="O353" s="836"/>
      <c r="P353" s="2174"/>
      <c r="Q353" s="836"/>
      <c r="R353" s="309"/>
      <c r="S353" s="309"/>
      <c r="T353" s="309"/>
      <c r="U353" s="309"/>
      <c r="V353" s="311"/>
      <c r="W353" s="311"/>
      <c r="X353" s="311"/>
      <c r="Y353" s="311"/>
      <c r="Z353" s="311"/>
      <c r="AA353" s="311"/>
      <c r="AB353" s="311"/>
      <c r="AC353" s="311"/>
      <c r="AD353" s="311"/>
      <c r="AE353" s="311"/>
      <c r="AF353" s="311"/>
      <c r="AG353" s="311"/>
      <c r="AH353" s="311"/>
      <c r="AI353" s="311"/>
      <c r="AJ353" s="311"/>
      <c r="AK353" s="311"/>
      <c r="AL353" s="311"/>
      <c r="AM353" s="311"/>
    </row>
    <row r="354" spans="1:39" ht="15.75" customHeight="1">
      <c r="A354" s="382"/>
      <c r="B354" s="311"/>
      <c r="C354" s="1647"/>
      <c r="D354" s="2173"/>
      <c r="E354" s="1586"/>
      <c r="F354" s="1954"/>
      <c r="G354" s="1846"/>
      <c r="H354" s="1586"/>
      <c r="I354" s="1647"/>
      <c r="J354" s="2187"/>
      <c r="K354" s="1647"/>
      <c r="L354" s="1647"/>
      <c r="M354" s="2174"/>
      <c r="N354" s="836"/>
      <c r="O354" s="836"/>
      <c r="P354" s="2174"/>
      <c r="Q354" s="836"/>
      <c r="R354" s="309"/>
      <c r="S354" s="309"/>
      <c r="T354" s="309"/>
      <c r="U354" s="309"/>
      <c r="V354" s="311"/>
      <c r="W354" s="311"/>
      <c r="X354" s="311"/>
      <c r="Y354" s="311"/>
      <c r="Z354" s="311"/>
      <c r="AA354" s="311"/>
      <c r="AB354" s="311"/>
      <c r="AC354" s="311"/>
      <c r="AD354" s="311"/>
      <c r="AE354" s="311"/>
      <c r="AF354" s="311"/>
      <c r="AG354" s="311"/>
      <c r="AH354" s="311"/>
      <c r="AI354" s="311"/>
      <c r="AJ354" s="311"/>
      <c r="AK354" s="311"/>
      <c r="AL354" s="311"/>
      <c r="AM354" s="311"/>
    </row>
    <row r="355" spans="1:39" ht="15.75" customHeight="1">
      <c r="A355" s="382"/>
      <c r="B355" s="311"/>
      <c r="C355" s="1647"/>
      <c r="D355" s="2173"/>
      <c r="E355" s="1586"/>
      <c r="F355" s="1954"/>
      <c r="G355" s="1846"/>
      <c r="H355" s="1586"/>
      <c r="I355" s="1647"/>
      <c r="J355" s="2187"/>
      <c r="K355" s="1647"/>
      <c r="L355" s="1647"/>
      <c r="M355" s="2174"/>
      <c r="N355" s="836"/>
      <c r="O355" s="836"/>
      <c r="P355" s="2174"/>
      <c r="Q355" s="836"/>
      <c r="R355" s="309"/>
      <c r="S355" s="309"/>
      <c r="T355" s="309"/>
      <c r="U355" s="309"/>
      <c r="V355" s="311"/>
      <c r="W355" s="311"/>
      <c r="X355" s="311"/>
      <c r="Y355" s="311"/>
      <c r="Z355" s="311"/>
      <c r="AA355" s="311"/>
      <c r="AB355" s="311"/>
      <c r="AC355" s="311"/>
      <c r="AD355" s="311"/>
      <c r="AE355" s="311"/>
      <c r="AF355" s="311"/>
      <c r="AG355" s="311"/>
      <c r="AH355" s="311"/>
      <c r="AI355" s="311"/>
      <c r="AJ355" s="311"/>
      <c r="AK355" s="311"/>
      <c r="AL355" s="311"/>
      <c r="AM355" s="311"/>
    </row>
    <row r="356" spans="1:39" ht="15.75" customHeight="1">
      <c r="A356" s="382"/>
      <c r="B356" s="311"/>
      <c r="C356" s="1647"/>
      <c r="D356" s="2173"/>
      <c r="E356" s="1586"/>
      <c r="F356" s="1954"/>
      <c r="G356" s="1846"/>
      <c r="H356" s="1586"/>
      <c r="I356" s="1647"/>
      <c r="J356" s="2187"/>
      <c r="K356" s="1647"/>
      <c r="L356" s="1647"/>
      <c r="M356" s="2174"/>
      <c r="N356" s="836"/>
      <c r="O356" s="836"/>
      <c r="P356" s="2174"/>
      <c r="Q356" s="836"/>
      <c r="R356" s="309"/>
      <c r="S356" s="309"/>
      <c r="T356" s="309"/>
      <c r="U356" s="309"/>
      <c r="V356" s="311"/>
      <c r="W356" s="311"/>
      <c r="X356" s="311"/>
      <c r="Y356" s="311"/>
      <c r="Z356" s="311"/>
      <c r="AA356" s="311"/>
      <c r="AB356" s="311"/>
      <c r="AC356" s="311"/>
      <c r="AD356" s="311"/>
      <c r="AE356" s="311"/>
      <c r="AF356" s="311"/>
      <c r="AG356" s="311"/>
      <c r="AH356" s="311"/>
      <c r="AI356" s="311"/>
      <c r="AJ356" s="311"/>
      <c r="AK356" s="311"/>
      <c r="AL356" s="311"/>
      <c r="AM356" s="311"/>
    </row>
    <row r="357" spans="1:39" ht="15.75" customHeight="1">
      <c r="A357" s="382"/>
      <c r="B357" s="311"/>
      <c r="C357" s="1647"/>
      <c r="D357" s="2173"/>
      <c r="E357" s="1586"/>
      <c r="F357" s="1954"/>
      <c r="G357" s="1846"/>
      <c r="H357" s="1586"/>
      <c r="I357" s="1647"/>
      <c r="J357" s="2187"/>
      <c r="K357" s="1647"/>
      <c r="L357" s="1647"/>
      <c r="M357" s="2174"/>
      <c r="N357" s="836"/>
      <c r="O357" s="836"/>
      <c r="P357" s="2174"/>
      <c r="Q357" s="836"/>
      <c r="R357" s="309"/>
      <c r="S357" s="309"/>
      <c r="T357" s="309"/>
      <c r="U357" s="309"/>
      <c r="V357" s="311"/>
      <c r="W357" s="311"/>
      <c r="X357" s="311"/>
      <c r="Y357" s="311"/>
      <c r="Z357" s="311"/>
      <c r="AA357" s="311"/>
      <c r="AB357" s="311"/>
      <c r="AC357" s="311"/>
      <c r="AD357" s="311"/>
      <c r="AE357" s="311"/>
      <c r="AF357" s="311"/>
      <c r="AG357" s="311"/>
      <c r="AH357" s="311"/>
      <c r="AI357" s="311"/>
      <c r="AJ357" s="311"/>
      <c r="AK357" s="311"/>
      <c r="AL357" s="311"/>
      <c r="AM357" s="311"/>
    </row>
    <row r="358" spans="1:39" ht="15.75" customHeight="1">
      <c r="A358" s="382"/>
      <c r="B358" s="311"/>
      <c r="C358" s="1647"/>
      <c r="D358" s="2173"/>
      <c r="E358" s="1586"/>
      <c r="F358" s="1954"/>
      <c r="G358" s="1846"/>
      <c r="H358" s="1586"/>
      <c r="I358" s="1647"/>
      <c r="J358" s="2187"/>
      <c r="K358" s="1647"/>
      <c r="L358" s="1647"/>
      <c r="M358" s="2174"/>
      <c r="N358" s="836"/>
      <c r="O358" s="836"/>
      <c r="P358" s="2174"/>
      <c r="Q358" s="836"/>
      <c r="R358" s="309"/>
      <c r="S358" s="309"/>
      <c r="T358" s="309"/>
      <c r="U358" s="309"/>
      <c r="V358" s="311"/>
      <c r="W358" s="311"/>
      <c r="X358" s="311"/>
      <c r="Y358" s="311"/>
      <c r="Z358" s="311"/>
      <c r="AA358" s="311"/>
      <c r="AB358" s="311"/>
      <c r="AC358" s="311"/>
      <c r="AD358" s="311"/>
      <c r="AE358" s="311"/>
      <c r="AF358" s="311"/>
      <c r="AG358" s="311"/>
      <c r="AH358" s="311"/>
      <c r="AI358" s="311"/>
      <c r="AJ358" s="311"/>
      <c r="AK358" s="311"/>
      <c r="AL358" s="311"/>
      <c r="AM358" s="311"/>
    </row>
    <row r="359" spans="1:39" ht="15.75" customHeight="1">
      <c r="A359" s="382"/>
      <c r="B359" s="311"/>
      <c r="C359" s="1647"/>
      <c r="D359" s="2173"/>
      <c r="E359" s="1586"/>
      <c r="F359" s="1954"/>
      <c r="G359" s="1846"/>
      <c r="H359" s="1586"/>
      <c r="I359" s="1647"/>
      <c r="J359" s="2187"/>
      <c r="K359" s="1647"/>
      <c r="L359" s="1647"/>
      <c r="M359" s="2174"/>
      <c r="N359" s="836"/>
      <c r="O359" s="836"/>
      <c r="P359" s="2174"/>
      <c r="Q359" s="836"/>
      <c r="R359" s="309"/>
      <c r="S359" s="309"/>
      <c r="T359" s="309"/>
      <c r="U359" s="309"/>
      <c r="V359" s="311"/>
      <c r="W359" s="311"/>
      <c r="X359" s="311"/>
      <c r="Y359" s="311"/>
      <c r="Z359" s="311"/>
      <c r="AA359" s="311"/>
      <c r="AB359" s="311"/>
      <c r="AC359" s="311"/>
      <c r="AD359" s="311"/>
      <c r="AE359" s="311"/>
      <c r="AF359" s="311"/>
      <c r="AG359" s="311"/>
      <c r="AH359" s="311"/>
      <c r="AI359" s="311"/>
      <c r="AJ359" s="311"/>
      <c r="AK359" s="311"/>
      <c r="AL359" s="311"/>
      <c r="AM359" s="311"/>
    </row>
    <row r="360" spans="1:39" ht="15.75" customHeight="1">
      <c r="A360" s="382"/>
      <c r="B360" s="311"/>
      <c r="C360" s="1647"/>
      <c r="D360" s="2173"/>
      <c r="E360" s="1586"/>
      <c r="F360" s="1954"/>
      <c r="G360" s="1846"/>
      <c r="H360" s="1586"/>
      <c r="I360" s="1647"/>
      <c r="J360" s="2187"/>
      <c r="K360" s="1647"/>
      <c r="L360" s="1647"/>
      <c r="M360" s="2174"/>
      <c r="N360" s="836"/>
      <c r="O360" s="836"/>
      <c r="P360" s="2174"/>
      <c r="Q360" s="836"/>
      <c r="R360" s="309"/>
      <c r="S360" s="309"/>
      <c r="T360" s="309"/>
      <c r="U360" s="309"/>
      <c r="V360" s="311"/>
      <c r="W360" s="311"/>
      <c r="X360" s="311"/>
      <c r="Y360" s="311"/>
      <c r="Z360" s="311"/>
      <c r="AA360" s="311"/>
      <c r="AB360" s="311"/>
      <c r="AC360" s="311"/>
      <c r="AD360" s="311"/>
      <c r="AE360" s="311"/>
      <c r="AF360" s="311"/>
      <c r="AG360" s="311"/>
      <c r="AH360" s="311"/>
      <c r="AI360" s="311"/>
      <c r="AJ360" s="311"/>
      <c r="AK360" s="311"/>
      <c r="AL360" s="311"/>
      <c r="AM360" s="311"/>
    </row>
    <row r="361" spans="1:39" ht="15.75" customHeight="1">
      <c r="A361" s="382"/>
      <c r="B361" s="311"/>
      <c r="C361" s="1647"/>
      <c r="D361" s="2173"/>
      <c r="E361" s="1586"/>
      <c r="F361" s="1954"/>
      <c r="G361" s="1846"/>
      <c r="H361" s="1586"/>
      <c r="I361" s="1647"/>
      <c r="J361" s="2187"/>
      <c r="K361" s="1647"/>
      <c r="L361" s="1647"/>
      <c r="M361" s="2174"/>
      <c r="N361" s="836"/>
      <c r="O361" s="836"/>
      <c r="P361" s="2174"/>
      <c r="Q361" s="836"/>
      <c r="R361" s="309"/>
      <c r="S361" s="309"/>
      <c r="T361" s="309"/>
      <c r="U361" s="309"/>
      <c r="V361" s="311"/>
      <c r="W361" s="311"/>
      <c r="X361" s="311"/>
      <c r="Y361" s="311"/>
      <c r="Z361" s="311"/>
      <c r="AA361" s="311"/>
      <c r="AB361" s="311"/>
      <c r="AC361" s="311"/>
      <c r="AD361" s="311"/>
      <c r="AE361" s="311"/>
      <c r="AF361" s="311"/>
      <c r="AG361" s="311"/>
      <c r="AH361" s="311"/>
      <c r="AI361" s="311"/>
      <c r="AJ361" s="311"/>
      <c r="AK361" s="311"/>
      <c r="AL361" s="311"/>
      <c r="AM361" s="311"/>
    </row>
    <row r="362" spans="1:39" ht="15.75" customHeight="1">
      <c r="A362" s="382"/>
      <c r="B362" s="311"/>
      <c r="C362" s="1647"/>
      <c r="D362" s="2173"/>
      <c r="E362" s="1586"/>
      <c r="F362" s="1954"/>
      <c r="G362" s="1846"/>
      <c r="H362" s="1586"/>
      <c r="I362" s="1647"/>
      <c r="J362" s="2187"/>
      <c r="K362" s="1647"/>
      <c r="L362" s="1647"/>
      <c r="M362" s="2174"/>
      <c r="N362" s="836"/>
      <c r="O362" s="836"/>
      <c r="P362" s="2174"/>
      <c r="Q362" s="836"/>
      <c r="R362" s="309"/>
      <c r="S362" s="309"/>
      <c r="T362" s="309"/>
      <c r="U362" s="309"/>
      <c r="V362" s="311"/>
      <c r="W362" s="311"/>
      <c r="X362" s="311"/>
      <c r="Y362" s="311"/>
      <c r="Z362" s="311"/>
      <c r="AA362" s="311"/>
      <c r="AB362" s="311"/>
      <c r="AC362" s="311"/>
      <c r="AD362" s="311"/>
      <c r="AE362" s="311"/>
      <c r="AF362" s="311"/>
      <c r="AG362" s="311"/>
      <c r="AH362" s="311"/>
      <c r="AI362" s="311"/>
      <c r="AJ362" s="311"/>
      <c r="AK362" s="311"/>
      <c r="AL362" s="311"/>
      <c r="AM362" s="311"/>
    </row>
    <row r="363" spans="1:39" ht="15.75" customHeight="1">
      <c r="A363" s="382"/>
      <c r="B363" s="311"/>
      <c r="C363" s="1647"/>
      <c r="D363" s="2173"/>
      <c r="E363" s="1586"/>
      <c r="F363" s="1954"/>
      <c r="G363" s="1846"/>
      <c r="H363" s="1586"/>
      <c r="I363" s="1647"/>
      <c r="J363" s="2187"/>
      <c r="K363" s="1647"/>
      <c r="L363" s="1647"/>
      <c r="M363" s="2174"/>
      <c r="N363" s="836"/>
      <c r="O363" s="836"/>
      <c r="P363" s="2174"/>
      <c r="Q363" s="836"/>
      <c r="R363" s="309"/>
      <c r="S363" s="309"/>
      <c r="T363" s="309"/>
      <c r="U363" s="309"/>
      <c r="V363" s="311"/>
      <c r="W363" s="311"/>
      <c r="X363" s="311"/>
      <c r="Y363" s="311"/>
      <c r="Z363" s="311"/>
      <c r="AA363" s="311"/>
      <c r="AB363" s="311"/>
      <c r="AC363" s="311"/>
      <c r="AD363" s="311"/>
      <c r="AE363" s="311"/>
      <c r="AF363" s="311"/>
      <c r="AG363" s="311"/>
      <c r="AH363" s="311"/>
      <c r="AI363" s="311"/>
      <c r="AJ363" s="311"/>
      <c r="AK363" s="311"/>
      <c r="AL363" s="311"/>
      <c r="AM363" s="311"/>
    </row>
    <row r="364" spans="1:39" ht="15.75" customHeight="1">
      <c r="A364" s="382"/>
      <c r="B364" s="311"/>
      <c r="C364" s="1647"/>
      <c r="D364" s="2173"/>
      <c r="E364" s="1586"/>
      <c r="F364" s="1954"/>
      <c r="G364" s="1846"/>
      <c r="H364" s="1586"/>
      <c r="I364" s="1647"/>
      <c r="J364" s="2187"/>
      <c r="K364" s="1647"/>
      <c r="L364" s="1647"/>
      <c r="M364" s="2174"/>
      <c r="N364" s="836"/>
      <c r="O364" s="836"/>
      <c r="P364" s="2174"/>
      <c r="Q364" s="836"/>
      <c r="R364" s="309"/>
      <c r="S364" s="309"/>
      <c r="T364" s="309"/>
      <c r="U364" s="309"/>
      <c r="V364" s="311"/>
      <c r="W364" s="311"/>
      <c r="X364" s="311"/>
      <c r="Y364" s="311"/>
      <c r="Z364" s="311"/>
      <c r="AA364" s="311"/>
      <c r="AB364" s="311"/>
      <c r="AC364" s="311"/>
      <c r="AD364" s="311"/>
      <c r="AE364" s="311"/>
      <c r="AF364" s="311"/>
      <c r="AG364" s="311"/>
      <c r="AH364" s="311"/>
      <c r="AI364" s="311"/>
      <c r="AJ364" s="311"/>
      <c r="AK364" s="311"/>
      <c r="AL364" s="311"/>
      <c r="AM364" s="311"/>
    </row>
    <row r="365" spans="1:39" ht="15.75" customHeight="1">
      <c r="A365" s="382"/>
      <c r="B365" s="311"/>
      <c r="C365" s="1647"/>
      <c r="D365" s="2173"/>
      <c r="E365" s="1586"/>
      <c r="F365" s="1954"/>
      <c r="G365" s="1846"/>
      <c r="H365" s="1586"/>
      <c r="I365" s="1647"/>
      <c r="J365" s="2187"/>
      <c r="K365" s="1647"/>
      <c r="L365" s="1647"/>
      <c r="M365" s="2174"/>
      <c r="N365" s="836"/>
      <c r="O365" s="836"/>
      <c r="P365" s="2174"/>
      <c r="Q365" s="836"/>
      <c r="R365" s="309"/>
      <c r="S365" s="309"/>
      <c r="T365" s="309"/>
      <c r="U365" s="309"/>
      <c r="V365" s="311"/>
      <c r="W365" s="311"/>
      <c r="X365" s="311"/>
      <c r="Y365" s="311"/>
      <c r="Z365" s="311"/>
      <c r="AA365" s="311"/>
      <c r="AB365" s="311"/>
      <c r="AC365" s="311"/>
      <c r="AD365" s="311"/>
      <c r="AE365" s="311"/>
      <c r="AF365" s="311"/>
      <c r="AG365" s="311"/>
      <c r="AH365" s="311"/>
      <c r="AI365" s="311"/>
      <c r="AJ365" s="311"/>
      <c r="AK365" s="311"/>
      <c r="AL365" s="311"/>
      <c r="AM365" s="311"/>
    </row>
    <row r="366" spans="1:39" ht="15.75" customHeight="1">
      <c r="A366" s="382"/>
      <c r="B366" s="311"/>
      <c r="C366" s="1647"/>
      <c r="D366" s="2173"/>
      <c r="E366" s="1586"/>
      <c r="F366" s="1954"/>
      <c r="G366" s="1846"/>
      <c r="H366" s="1586"/>
      <c r="I366" s="1647"/>
      <c r="J366" s="2187"/>
      <c r="K366" s="1647"/>
      <c r="L366" s="1647"/>
      <c r="M366" s="2174"/>
      <c r="N366" s="836"/>
      <c r="O366" s="836"/>
      <c r="P366" s="2174"/>
      <c r="Q366" s="836"/>
      <c r="R366" s="309"/>
      <c r="S366" s="309"/>
      <c r="T366" s="309"/>
      <c r="U366" s="309"/>
      <c r="V366" s="311"/>
      <c r="W366" s="311"/>
      <c r="X366" s="311"/>
      <c r="Y366" s="311"/>
      <c r="Z366" s="311"/>
      <c r="AA366" s="311"/>
      <c r="AB366" s="311"/>
      <c r="AC366" s="311"/>
      <c r="AD366" s="311"/>
      <c r="AE366" s="311"/>
      <c r="AF366" s="311"/>
      <c r="AG366" s="311"/>
      <c r="AH366" s="311"/>
      <c r="AI366" s="311"/>
      <c r="AJ366" s="311"/>
      <c r="AK366" s="311"/>
      <c r="AL366" s="311"/>
      <c r="AM366" s="311"/>
    </row>
    <row r="367" spans="1:39" ht="15.75" customHeight="1">
      <c r="A367" s="382"/>
      <c r="B367" s="311"/>
      <c r="C367" s="1647"/>
      <c r="D367" s="2173"/>
      <c r="E367" s="1586"/>
      <c r="F367" s="1954"/>
      <c r="G367" s="1846"/>
      <c r="H367" s="1586"/>
      <c r="I367" s="1647"/>
      <c r="J367" s="2187"/>
      <c r="K367" s="1647"/>
      <c r="L367" s="1647"/>
      <c r="M367" s="2174"/>
      <c r="N367" s="836"/>
      <c r="O367" s="836"/>
      <c r="P367" s="2174"/>
      <c r="Q367" s="836"/>
      <c r="R367" s="309"/>
      <c r="S367" s="309"/>
      <c r="T367" s="309"/>
      <c r="U367" s="309"/>
      <c r="V367" s="311"/>
      <c r="W367" s="311"/>
      <c r="X367" s="311"/>
      <c r="Y367" s="311"/>
      <c r="Z367" s="311"/>
      <c r="AA367" s="311"/>
      <c r="AB367" s="311"/>
      <c r="AC367" s="311"/>
      <c r="AD367" s="311"/>
      <c r="AE367" s="311"/>
      <c r="AF367" s="311"/>
      <c r="AG367" s="311"/>
      <c r="AH367" s="311"/>
      <c r="AI367" s="311"/>
      <c r="AJ367" s="311"/>
      <c r="AK367" s="311"/>
      <c r="AL367" s="311"/>
      <c r="AM367" s="311"/>
    </row>
    <row r="368" spans="1:39" ht="15.75" customHeight="1">
      <c r="A368" s="382"/>
      <c r="B368" s="311"/>
      <c r="C368" s="1647"/>
      <c r="D368" s="2173"/>
      <c r="E368" s="1586"/>
      <c r="F368" s="1954"/>
      <c r="G368" s="1846"/>
      <c r="H368" s="1586"/>
      <c r="I368" s="1647"/>
      <c r="J368" s="2187"/>
      <c r="K368" s="1647"/>
      <c r="L368" s="1647"/>
      <c r="M368" s="2174"/>
      <c r="N368" s="836"/>
      <c r="O368" s="836"/>
      <c r="P368" s="2174"/>
      <c r="Q368" s="836"/>
      <c r="R368" s="309"/>
      <c r="S368" s="309"/>
      <c r="T368" s="309"/>
      <c r="U368" s="309"/>
      <c r="V368" s="311"/>
      <c r="W368" s="311"/>
      <c r="X368" s="311"/>
      <c r="Y368" s="311"/>
      <c r="Z368" s="311"/>
      <c r="AA368" s="311"/>
      <c r="AB368" s="311"/>
      <c r="AC368" s="311"/>
      <c r="AD368" s="311"/>
      <c r="AE368" s="311"/>
      <c r="AF368" s="311"/>
      <c r="AG368" s="311"/>
      <c r="AH368" s="311"/>
      <c r="AI368" s="311"/>
      <c r="AJ368" s="311"/>
      <c r="AK368" s="311"/>
      <c r="AL368" s="311"/>
      <c r="AM368" s="311"/>
    </row>
    <row r="369" spans="1:39" ht="15.75" customHeight="1">
      <c r="A369" s="382"/>
      <c r="B369" s="311"/>
      <c r="C369" s="1647"/>
      <c r="D369" s="2173"/>
      <c r="E369" s="1586"/>
      <c r="F369" s="1954"/>
      <c r="G369" s="1846"/>
      <c r="H369" s="1586"/>
      <c r="I369" s="1647"/>
      <c r="J369" s="2187"/>
      <c r="K369" s="1647"/>
      <c r="L369" s="1647"/>
      <c r="M369" s="2174"/>
      <c r="N369" s="836"/>
      <c r="O369" s="836"/>
      <c r="P369" s="2174"/>
      <c r="Q369" s="836"/>
      <c r="R369" s="309"/>
      <c r="S369" s="309"/>
      <c r="T369" s="309"/>
      <c r="U369" s="309"/>
      <c r="V369" s="311"/>
      <c r="W369" s="311"/>
      <c r="X369" s="311"/>
      <c r="Y369" s="311"/>
      <c r="Z369" s="311"/>
      <c r="AA369" s="311"/>
      <c r="AB369" s="311"/>
      <c r="AC369" s="311"/>
      <c r="AD369" s="311"/>
      <c r="AE369" s="311"/>
      <c r="AF369" s="311"/>
      <c r="AG369" s="311"/>
      <c r="AH369" s="311"/>
      <c r="AI369" s="311"/>
      <c r="AJ369" s="311"/>
      <c r="AK369" s="311"/>
      <c r="AL369" s="311"/>
      <c r="AM369" s="311"/>
    </row>
    <row r="370" spans="1:39" ht="15.75" customHeight="1">
      <c r="A370" s="382"/>
      <c r="B370" s="311"/>
      <c r="C370" s="1647"/>
      <c r="D370" s="2173"/>
      <c r="E370" s="1586"/>
      <c r="F370" s="1954"/>
      <c r="G370" s="1846"/>
      <c r="H370" s="1586"/>
      <c r="I370" s="1647"/>
      <c r="J370" s="2187"/>
      <c r="K370" s="1647"/>
      <c r="L370" s="1647"/>
      <c r="M370" s="2174"/>
      <c r="N370" s="836"/>
      <c r="O370" s="836"/>
      <c r="P370" s="2174"/>
      <c r="Q370" s="836"/>
      <c r="R370" s="309"/>
      <c r="S370" s="309"/>
      <c r="T370" s="309"/>
      <c r="U370" s="309"/>
      <c r="V370" s="311"/>
      <c r="W370" s="311"/>
      <c r="X370" s="311"/>
      <c r="Y370" s="311"/>
      <c r="Z370" s="311"/>
      <c r="AA370" s="311"/>
      <c r="AB370" s="311"/>
      <c r="AC370" s="311"/>
      <c r="AD370" s="311"/>
      <c r="AE370" s="311"/>
      <c r="AF370" s="311"/>
      <c r="AG370" s="311"/>
      <c r="AH370" s="311"/>
      <c r="AI370" s="311"/>
      <c r="AJ370" s="311"/>
      <c r="AK370" s="311"/>
      <c r="AL370" s="311"/>
      <c r="AM370" s="311"/>
    </row>
    <row r="371" spans="1:39" ht="15.75" customHeight="1">
      <c r="A371" s="382"/>
      <c r="B371" s="311"/>
      <c r="C371" s="1647"/>
      <c r="D371" s="2173"/>
      <c r="E371" s="1586"/>
      <c r="F371" s="1954"/>
      <c r="G371" s="1846"/>
      <c r="H371" s="1586"/>
      <c r="I371" s="1647"/>
      <c r="J371" s="2187"/>
      <c r="K371" s="1647"/>
      <c r="L371" s="1647"/>
      <c r="M371" s="2174"/>
      <c r="N371" s="836"/>
      <c r="O371" s="836"/>
      <c r="P371" s="2174"/>
      <c r="Q371" s="836"/>
      <c r="R371" s="309"/>
      <c r="S371" s="309"/>
      <c r="T371" s="309"/>
      <c r="U371" s="309"/>
      <c r="V371" s="311"/>
      <c r="W371" s="311"/>
      <c r="X371" s="311"/>
      <c r="Y371" s="311"/>
      <c r="Z371" s="311"/>
      <c r="AA371" s="311"/>
      <c r="AB371" s="311"/>
      <c r="AC371" s="311"/>
      <c r="AD371" s="311"/>
      <c r="AE371" s="311"/>
      <c r="AF371" s="311"/>
      <c r="AG371" s="311"/>
      <c r="AH371" s="311"/>
      <c r="AI371" s="311"/>
      <c r="AJ371" s="311"/>
      <c r="AK371" s="311"/>
      <c r="AL371" s="311"/>
      <c r="AM371" s="311"/>
    </row>
    <row r="372" spans="1:39" ht="15.75" customHeight="1">
      <c r="A372" s="382"/>
      <c r="B372" s="311"/>
      <c r="C372" s="1647"/>
      <c r="D372" s="2173"/>
      <c r="E372" s="1586"/>
      <c r="F372" s="1954"/>
      <c r="G372" s="1846"/>
      <c r="H372" s="1586"/>
      <c r="I372" s="1647"/>
      <c r="J372" s="2187"/>
      <c r="K372" s="1647"/>
      <c r="L372" s="1647"/>
      <c r="M372" s="2174"/>
      <c r="N372" s="836"/>
      <c r="O372" s="836"/>
      <c r="P372" s="2174"/>
      <c r="Q372" s="836"/>
      <c r="R372" s="309"/>
      <c r="S372" s="309"/>
      <c r="T372" s="309"/>
      <c r="U372" s="309"/>
      <c r="V372" s="311"/>
      <c r="W372" s="311"/>
      <c r="X372" s="311"/>
      <c r="Y372" s="311"/>
      <c r="Z372" s="311"/>
      <c r="AA372" s="311"/>
      <c r="AB372" s="311"/>
      <c r="AC372" s="311"/>
      <c r="AD372" s="311"/>
      <c r="AE372" s="311"/>
      <c r="AF372" s="311"/>
      <c r="AG372" s="311"/>
      <c r="AH372" s="311"/>
      <c r="AI372" s="311"/>
      <c r="AJ372" s="311"/>
      <c r="AK372" s="311"/>
      <c r="AL372" s="311"/>
      <c r="AM372" s="311"/>
    </row>
    <row r="373" spans="1:39" ht="15.75" customHeight="1">
      <c r="A373" s="382"/>
      <c r="B373" s="311"/>
      <c r="C373" s="1647"/>
      <c r="D373" s="2173"/>
      <c r="E373" s="1586"/>
      <c r="F373" s="1954"/>
      <c r="G373" s="1846"/>
      <c r="H373" s="1586"/>
      <c r="I373" s="1647"/>
      <c r="J373" s="2187"/>
      <c r="K373" s="1647"/>
      <c r="L373" s="1647"/>
      <c r="M373" s="2174"/>
      <c r="N373" s="836"/>
      <c r="O373" s="836"/>
      <c r="P373" s="2174"/>
      <c r="Q373" s="836"/>
      <c r="R373" s="309"/>
      <c r="S373" s="309"/>
      <c r="T373" s="309"/>
      <c r="U373" s="309"/>
      <c r="V373" s="311"/>
      <c r="W373" s="311"/>
      <c r="X373" s="311"/>
      <c r="Y373" s="311"/>
      <c r="Z373" s="311"/>
      <c r="AA373" s="311"/>
      <c r="AB373" s="311"/>
      <c r="AC373" s="311"/>
      <c r="AD373" s="311"/>
      <c r="AE373" s="311"/>
      <c r="AF373" s="311"/>
      <c r="AG373" s="311"/>
      <c r="AH373" s="311"/>
      <c r="AI373" s="311"/>
      <c r="AJ373" s="311"/>
      <c r="AK373" s="311"/>
      <c r="AL373" s="311"/>
      <c r="AM373" s="311"/>
    </row>
    <row r="374" spans="1:39" ht="15.75" customHeight="1">
      <c r="A374" s="382"/>
      <c r="B374" s="311"/>
      <c r="C374" s="1647"/>
      <c r="D374" s="2173"/>
      <c r="E374" s="1586"/>
      <c r="F374" s="1954"/>
      <c r="G374" s="1846"/>
      <c r="H374" s="1586"/>
      <c r="I374" s="1647"/>
      <c r="J374" s="2187"/>
      <c r="K374" s="1647"/>
      <c r="L374" s="1647"/>
      <c r="M374" s="2174"/>
      <c r="N374" s="836"/>
      <c r="O374" s="836"/>
      <c r="P374" s="2174"/>
      <c r="Q374" s="836"/>
      <c r="R374" s="309"/>
      <c r="S374" s="309"/>
      <c r="T374" s="309"/>
      <c r="U374" s="309"/>
      <c r="V374" s="311"/>
      <c r="W374" s="311"/>
      <c r="X374" s="311"/>
      <c r="Y374" s="311"/>
      <c r="Z374" s="311"/>
      <c r="AA374" s="311"/>
      <c r="AB374" s="311"/>
      <c r="AC374" s="311"/>
      <c r="AD374" s="311"/>
      <c r="AE374" s="311"/>
      <c r="AF374" s="311"/>
      <c r="AG374" s="311"/>
      <c r="AH374" s="311"/>
      <c r="AI374" s="311"/>
      <c r="AJ374" s="311"/>
      <c r="AK374" s="311"/>
      <c r="AL374" s="311"/>
      <c r="AM374" s="311"/>
    </row>
    <row r="375" spans="1:39" ht="15.75" customHeight="1">
      <c r="A375" s="382"/>
      <c r="B375" s="311"/>
      <c r="C375" s="1647"/>
      <c r="D375" s="2173"/>
      <c r="E375" s="1586"/>
      <c r="F375" s="1954"/>
      <c r="G375" s="1846"/>
      <c r="H375" s="1586"/>
      <c r="I375" s="1647"/>
      <c r="J375" s="2187"/>
      <c r="K375" s="1647"/>
      <c r="L375" s="1647"/>
      <c r="M375" s="2174"/>
      <c r="N375" s="836"/>
      <c r="O375" s="836"/>
      <c r="P375" s="2174"/>
      <c r="Q375" s="836"/>
      <c r="R375" s="309"/>
      <c r="S375" s="309"/>
      <c r="T375" s="309"/>
      <c r="U375" s="309"/>
      <c r="V375" s="311"/>
      <c r="W375" s="311"/>
      <c r="X375" s="311"/>
      <c r="Y375" s="311"/>
      <c r="Z375" s="311"/>
      <c r="AA375" s="311"/>
      <c r="AB375" s="311"/>
      <c r="AC375" s="311"/>
      <c r="AD375" s="311"/>
      <c r="AE375" s="311"/>
      <c r="AF375" s="311"/>
      <c r="AG375" s="311"/>
      <c r="AH375" s="311"/>
      <c r="AI375" s="311"/>
      <c r="AJ375" s="311"/>
      <c r="AK375" s="311"/>
      <c r="AL375" s="311"/>
      <c r="AM375" s="311"/>
    </row>
    <row r="376" spans="1:39" ht="15.75" customHeight="1">
      <c r="A376" s="382"/>
      <c r="B376" s="311"/>
      <c r="C376" s="1647"/>
      <c r="D376" s="2173"/>
      <c r="E376" s="1586"/>
      <c r="F376" s="1954"/>
      <c r="G376" s="1846"/>
      <c r="H376" s="1586"/>
      <c r="I376" s="1647"/>
      <c r="J376" s="2187"/>
      <c r="K376" s="1647"/>
      <c r="L376" s="1647"/>
      <c r="M376" s="2174"/>
      <c r="N376" s="836"/>
      <c r="O376" s="836"/>
      <c r="P376" s="2174"/>
      <c r="Q376" s="836"/>
      <c r="R376" s="309"/>
      <c r="S376" s="309"/>
      <c r="T376" s="309"/>
      <c r="U376" s="309"/>
      <c r="V376" s="311"/>
      <c r="W376" s="311"/>
      <c r="X376" s="311"/>
      <c r="Y376" s="311"/>
      <c r="Z376" s="311"/>
      <c r="AA376" s="311"/>
      <c r="AB376" s="311"/>
      <c r="AC376" s="311"/>
      <c r="AD376" s="311"/>
      <c r="AE376" s="311"/>
      <c r="AF376" s="311"/>
      <c r="AG376" s="311"/>
      <c r="AH376" s="311"/>
      <c r="AI376" s="311"/>
      <c r="AJ376" s="311"/>
      <c r="AK376" s="311"/>
      <c r="AL376" s="311"/>
      <c r="AM376" s="311"/>
    </row>
    <row r="377" spans="1:39" ht="15.75" customHeight="1">
      <c r="A377" s="382"/>
      <c r="B377" s="311"/>
      <c r="C377" s="1647"/>
      <c r="D377" s="2173"/>
      <c r="E377" s="1586"/>
      <c r="F377" s="1954"/>
      <c r="G377" s="1846"/>
      <c r="H377" s="1586"/>
      <c r="I377" s="1647"/>
      <c r="J377" s="2187"/>
      <c r="K377" s="1647"/>
      <c r="L377" s="1647"/>
      <c r="M377" s="2174"/>
      <c r="N377" s="836"/>
      <c r="O377" s="836"/>
      <c r="P377" s="2174"/>
      <c r="Q377" s="836"/>
      <c r="R377" s="309"/>
      <c r="S377" s="309"/>
      <c r="T377" s="309"/>
      <c r="U377" s="309"/>
      <c r="V377" s="311"/>
      <c r="W377" s="311"/>
      <c r="X377" s="311"/>
      <c r="Y377" s="311"/>
      <c r="Z377" s="311"/>
      <c r="AA377" s="311"/>
      <c r="AB377" s="311"/>
      <c r="AC377" s="311"/>
      <c r="AD377" s="311"/>
      <c r="AE377" s="311"/>
      <c r="AF377" s="311"/>
      <c r="AG377" s="311"/>
      <c r="AH377" s="311"/>
      <c r="AI377" s="311"/>
      <c r="AJ377" s="311"/>
      <c r="AK377" s="311"/>
      <c r="AL377" s="311"/>
      <c r="AM377" s="311"/>
    </row>
    <row r="378" spans="1:39" ht="15.75" customHeight="1">
      <c r="A378" s="382"/>
      <c r="B378" s="311"/>
      <c r="C378" s="1647"/>
      <c r="D378" s="2173"/>
      <c r="E378" s="1586"/>
      <c r="F378" s="1954"/>
      <c r="G378" s="1846"/>
      <c r="H378" s="1586"/>
      <c r="I378" s="1647"/>
      <c r="J378" s="2187"/>
      <c r="K378" s="1647"/>
      <c r="L378" s="1647"/>
      <c r="M378" s="2174"/>
      <c r="N378" s="836"/>
      <c r="O378" s="836"/>
      <c r="P378" s="2174"/>
      <c r="Q378" s="836"/>
      <c r="R378" s="309"/>
      <c r="S378" s="309"/>
      <c r="T378" s="309"/>
      <c r="U378" s="309"/>
      <c r="V378" s="311"/>
      <c r="W378" s="311"/>
      <c r="X378" s="311"/>
      <c r="Y378" s="311"/>
      <c r="Z378" s="311"/>
      <c r="AA378" s="311"/>
      <c r="AB378" s="311"/>
      <c r="AC378" s="311"/>
      <c r="AD378" s="311"/>
      <c r="AE378" s="311"/>
      <c r="AF378" s="311"/>
      <c r="AG378" s="311"/>
      <c r="AH378" s="311"/>
      <c r="AI378" s="311"/>
      <c r="AJ378" s="311"/>
      <c r="AK378" s="311"/>
      <c r="AL378" s="311"/>
      <c r="AM378" s="311"/>
    </row>
    <row r="379" spans="1:39" ht="15.75" customHeight="1">
      <c r="A379" s="382"/>
      <c r="B379" s="311"/>
      <c r="C379" s="1647"/>
      <c r="D379" s="2173"/>
      <c r="E379" s="1586"/>
      <c r="F379" s="1954"/>
      <c r="G379" s="1846"/>
      <c r="H379" s="1586"/>
      <c r="I379" s="1647"/>
      <c r="J379" s="2187"/>
      <c r="K379" s="1647"/>
      <c r="L379" s="1647"/>
      <c r="M379" s="2174"/>
      <c r="N379" s="836"/>
      <c r="O379" s="836"/>
      <c r="P379" s="2174"/>
      <c r="Q379" s="836"/>
      <c r="R379" s="309"/>
      <c r="S379" s="309"/>
      <c r="T379" s="309"/>
      <c r="U379" s="309"/>
      <c r="V379" s="311"/>
      <c r="W379" s="311"/>
      <c r="X379" s="311"/>
      <c r="Y379" s="311"/>
      <c r="Z379" s="311"/>
      <c r="AA379" s="311"/>
      <c r="AB379" s="311"/>
      <c r="AC379" s="311"/>
      <c r="AD379" s="311"/>
      <c r="AE379" s="311"/>
      <c r="AF379" s="311"/>
      <c r="AG379" s="311"/>
      <c r="AH379" s="311"/>
      <c r="AI379" s="311"/>
      <c r="AJ379" s="311"/>
      <c r="AK379" s="311"/>
      <c r="AL379" s="311"/>
      <c r="AM379" s="311"/>
    </row>
    <row r="380" spans="1:39" ht="15.75" customHeight="1">
      <c r="A380" s="382"/>
      <c r="B380" s="311"/>
      <c r="C380" s="1647"/>
      <c r="D380" s="2173"/>
      <c r="E380" s="1586"/>
      <c r="F380" s="1954"/>
      <c r="G380" s="1846"/>
      <c r="H380" s="1586"/>
      <c r="I380" s="1647"/>
      <c r="J380" s="2187"/>
      <c r="K380" s="1647"/>
      <c r="L380" s="1647"/>
      <c r="M380" s="2174"/>
      <c r="N380" s="836"/>
      <c r="O380" s="836"/>
      <c r="P380" s="2174"/>
      <c r="Q380" s="836"/>
      <c r="R380" s="309"/>
      <c r="S380" s="309"/>
      <c r="T380" s="309"/>
      <c r="U380" s="309"/>
      <c r="V380" s="311"/>
      <c r="W380" s="311"/>
      <c r="X380" s="311"/>
      <c r="Y380" s="311"/>
      <c r="Z380" s="311"/>
      <c r="AA380" s="311"/>
      <c r="AB380" s="311"/>
      <c r="AC380" s="311"/>
      <c r="AD380" s="311"/>
      <c r="AE380" s="311"/>
      <c r="AF380" s="311"/>
      <c r="AG380" s="311"/>
      <c r="AH380" s="311"/>
      <c r="AI380" s="311"/>
      <c r="AJ380" s="311"/>
      <c r="AK380" s="311"/>
      <c r="AL380" s="311"/>
      <c r="AM380" s="311"/>
    </row>
    <row r="381" spans="1:39" ht="15.75" customHeight="1">
      <c r="A381" s="382"/>
      <c r="B381" s="311"/>
      <c r="C381" s="1647"/>
      <c r="D381" s="2173"/>
      <c r="E381" s="1586"/>
      <c r="F381" s="1954"/>
      <c r="G381" s="1846"/>
      <c r="H381" s="1586"/>
      <c r="I381" s="1647"/>
      <c r="J381" s="2187"/>
      <c r="K381" s="1647"/>
      <c r="L381" s="1647"/>
      <c r="M381" s="2174"/>
      <c r="N381" s="836"/>
      <c r="O381" s="836"/>
      <c r="P381" s="2174"/>
      <c r="Q381" s="836"/>
      <c r="R381" s="309"/>
      <c r="S381" s="309"/>
      <c r="T381" s="309"/>
      <c r="U381" s="309"/>
      <c r="V381" s="311"/>
      <c r="W381" s="311"/>
      <c r="X381" s="311"/>
      <c r="Y381" s="311"/>
      <c r="Z381" s="311"/>
      <c r="AA381" s="311"/>
      <c r="AB381" s="311"/>
      <c r="AC381" s="311"/>
      <c r="AD381" s="311"/>
      <c r="AE381" s="311"/>
      <c r="AF381" s="311"/>
      <c r="AG381" s="311"/>
      <c r="AH381" s="311"/>
      <c r="AI381" s="311"/>
      <c r="AJ381" s="311"/>
      <c r="AK381" s="311"/>
      <c r="AL381" s="311"/>
      <c r="AM381" s="311"/>
    </row>
    <row r="382" spans="1:39" ht="15.75" customHeight="1">
      <c r="A382" s="382"/>
      <c r="B382" s="311"/>
      <c r="C382" s="1647"/>
      <c r="D382" s="2173"/>
      <c r="E382" s="1586"/>
      <c r="F382" s="1954"/>
      <c r="G382" s="1846"/>
      <c r="H382" s="1586"/>
      <c r="I382" s="1647"/>
      <c r="J382" s="2187"/>
      <c r="K382" s="1647"/>
      <c r="L382" s="1647"/>
      <c r="M382" s="2174"/>
      <c r="N382" s="836"/>
      <c r="O382" s="836"/>
      <c r="P382" s="2174"/>
      <c r="Q382" s="836"/>
      <c r="R382" s="309"/>
      <c r="S382" s="309"/>
      <c r="T382" s="309"/>
      <c r="U382" s="309"/>
      <c r="V382" s="311"/>
      <c r="W382" s="311"/>
      <c r="X382" s="311"/>
      <c r="Y382" s="311"/>
      <c r="Z382" s="311"/>
      <c r="AA382" s="311"/>
      <c r="AB382" s="311"/>
      <c r="AC382" s="311"/>
      <c r="AD382" s="311"/>
      <c r="AE382" s="311"/>
      <c r="AF382" s="311"/>
      <c r="AG382" s="311"/>
      <c r="AH382" s="311"/>
      <c r="AI382" s="311"/>
      <c r="AJ382" s="311"/>
      <c r="AK382" s="311"/>
      <c r="AL382" s="311"/>
      <c r="AM382" s="311"/>
    </row>
    <row r="383" spans="1:39" ht="15.75" customHeight="1">
      <c r="A383" s="382"/>
      <c r="B383" s="311"/>
      <c r="C383" s="1647"/>
      <c r="D383" s="2173"/>
      <c r="E383" s="1586"/>
      <c r="F383" s="1954"/>
      <c r="G383" s="1846"/>
      <c r="H383" s="1586"/>
      <c r="I383" s="1647"/>
      <c r="J383" s="2187"/>
      <c r="K383" s="1647"/>
      <c r="L383" s="1647"/>
      <c r="M383" s="2174"/>
      <c r="N383" s="836"/>
      <c r="O383" s="836"/>
      <c r="P383" s="2174"/>
      <c r="Q383" s="836"/>
      <c r="R383" s="309"/>
      <c r="S383" s="309"/>
      <c r="T383" s="309"/>
      <c r="U383" s="309"/>
      <c r="V383" s="311"/>
      <c r="W383" s="311"/>
      <c r="X383" s="311"/>
      <c r="Y383" s="311"/>
      <c r="Z383" s="311"/>
      <c r="AA383" s="311"/>
      <c r="AB383" s="311"/>
      <c r="AC383" s="311"/>
      <c r="AD383" s="311"/>
      <c r="AE383" s="311"/>
      <c r="AF383" s="311"/>
      <c r="AG383" s="311"/>
      <c r="AH383" s="311"/>
      <c r="AI383" s="311"/>
      <c r="AJ383" s="311"/>
      <c r="AK383" s="311"/>
      <c r="AL383" s="311"/>
      <c r="AM383" s="311"/>
    </row>
    <row r="384" spans="1:39" ht="15.75" customHeight="1">
      <c r="A384" s="382"/>
      <c r="B384" s="311"/>
      <c r="C384" s="1647"/>
      <c r="D384" s="2173"/>
      <c r="E384" s="1586"/>
      <c r="F384" s="1954"/>
      <c r="G384" s="1846"/>
      <c r="H384" s="1586"/>
      <c r="I384" s="1647"/>
      <c r="J384" s="2187"/>
      <c r="K384" s="1647"/>
      <c r="L384" s="1647"/>
      <c r="M384" s="2174"/>
      <c r="N384" s="836"/>
      <c r="O384" s="836"/>
      <c r="P384" s="2174"/>
      <c r="Q384" s="836"/>
      <c r="R384" s="309"/>
      <c r="S384" s="309"/>
      <c r="T384" s="309"/>
      <c r="U384" s="309"/>
      <c r="V384" s="311"/>
      <c r="W384" s="311"/>
      <c r="X384" s="311"/>
      <c r="Y384" s="311"/>
      <c r="Z384" s="311"/>
      <c r="AA384" s="311"/>
      <c r="AB384" s="311"/>
      <c r="AC384" s="311"/>
      <c r="AD384" s="311"/>
      <c r="AE384" s="311"/>
      <c r="AF384" s="311"/>
      <c r="AG384" s="311"/>
      <c r="AH384" s="311"/>
      <c r="AI384" s="311"/>
      <c r="AJ384" s="311"/>
      <c r="AK384" s="311"/>
      <c r="AL384" s="311"/>
      <c r="AM384" s="311"/>
    </row>
    <row r="385" spans="1:39" ht="15.75" customHeight="1">
      <c r="A385" s="382"/>
      <c r="B385" s="311"/>
      <c r="C385" s="1647"/>
      <c r="D385" s="2173"/>
      <c r="E385" s="1586"/>
      <c r="F385" s="1954"/>
      <c r="G385" s="1846"/>
      <c r="H385" s="1586"/>
      <c r="I385" s="1647"/>
      <c r="J385" s="2187"/>
      <c r="K385" s="1647"/>
      <c r="L385" s="1647"/>
      <c r="M385" s="2174"/>
      <c r="N385" s="836"/>
      <c r="O385" s="836"/>
      <c r="P385" s="2174"/>
      <c r="Q385" s="836"/>
      <c r="R385" s="309"/>
      <c r="S385" s="309"/>
      <c r="T385" s="309"/>
      <c r="U385" s="309"/>
      <c r="V385" s="311"/>
      <c r="W385" s="311"/>
      <c r="X385" s="311"/>
      <c r="Y385" s="311"/>
      <c r="Z385" s="311"/>
      <c r="AA385" s="311"/>
      <c r="AB385" s="311"/>
      <c r="AC385" s="311"/>
      <c r="AD385" s="311"/>
      <c r="AE385" s="311"/>
      <c r="AF385" s="311"/>
      <c r="AG385" s="311"/>
      <c r="AH385" s="311"/>
      <c r="AI385" s="311"/>
      <c r="AJ385" s="311"/>
      <c r="AK385" s="311"/>
      <c r="AL385" s="311"/>
      <c r="AM385" s="311"/>
    </row>
    <row r="386" spans="1:39" ht="15.75" customHeight="1">
      <c r="A386" s="382"/>
      <c r="B386" s="311"/>
      <c r="C386" s="1647"/>
      <c r="D386" s="2173"/>
      <c r="E386" s="1586"/>
      <c r="F386" s="1954"/>
      <c r="G386" s="1846"/>
      <c r="H386" s="1586"/>
      <c r="I386" s="1647"/>
      <c r="J386" s="2187"/>
      <c r="K386" s="1647"/>
      <c r="L386" s="1647"/>
      <c r="M386" s="2174"/>
      <c r="N386" s="836"/>
      <c r="O386" s="836"/>
      <c r="P386" s="2174"/>
      <c r="Q386" s="836"/>
      <c r="R386" s="309"/>
      <c r="S386" s="309"/>
      <c r="T386" s="309"/>
      <c r="U386" s="309"/>
      <c r="V386" s="311"/>
      <c r="W386" s="311"/>
      <c r="X386" s="311"/>
      <c r="Y386" s="311"/>
      <c r="Z386" s="311"/>
      <c r="AA386" s="311"/>
      <c r="AB386" s="311"/>
      <c r="AC386" s="311"/>
      <c r="AD386" s="311"/>
      <c r="AE386" s="311"/>
      <c r="AF386" s="311"/>
      <c r="AG386" s="311"/>
      <c r="AH386" s="311"/>
      <c r="AI386" s="311"/>
      <c r="AJ386" s="311"/>
      <c r="AK386" s="311"/>
      <c r="AL386" s="311"/>
      <c r="AM386" s="311"/>
    </row>
    <row r="387" spans="1:39" ht="15.75" customHeight="1">
      <c r="A387" s="382"/>
      <c r="B387" s="311"/>
      <c r="C387" s="1647"/>
      <c r="D387" s="2173"/>
      <c r="E387" s="1586"/>
      <c r="F387" s="1954"/>
      <c r="G387" s="1846"/>
      <c r="H387" s="1586"/>
      <c r="I387" s="1647"/>
      <c r="J387" s="2187"/>
      <c r="K387" s="1647"/>
      <c r="L387" s="1647"/>
      <c r="M387" s="2174"/>
      <c r="N387" s="836"/>
      <c r="O387" s="836"/>
      <c r="P387" s="2174"/>
      <c r="Q387" s="836"/>
      <c r="R387" s="309"/>
      <c r="S387" s="309"/>
      <c r="T387" s="309"/>
      <c r="U387" s="309"/>
      <c r="V387" s="311"/>
      <c r="W387" s="311"/>
      <c r="X387" s="311"/>
      <c r="Y387" s="311"/>
      <c r="Z387" s="311"/>
      <c r="AA387" s="311"/>
      <c r="AB387" s="311"/>
      <c r="AC387" s="311"/>
      <c r="AD387" s="311"/>
      <c r="AE387" s="311"/>
      <c r="AF387" s="311"/>
      <c r="AG387" s="311"/>
      <c r="AH387" s="311"/>
      <c r="AI387" s="311"/>
      <c r="AJ387" s="311"/>
      <c r="AK387" s="311"/>
      <c r="AL387" s="311"/>
      <c r="AM387" s="311"/>
    </row>
    <row r="388" spans="1:39" ht="15.75" customHeight="1">
      <c r="A388" s="382"/>
      <c r="B388" s="311"/>
      <c r="C388" s="1647"/>
      <c r="D388" s="2173"/>
      <c r="E388" s="1586"/>
      <c r="F388" s="1954"/>
      <c r="G388" s="1846"/>
      <c r="H388" s="1586"/>
      <c r="I388" s="1647"/>
      <c r="J388" s="2187"/>
      <c r="K388" s="1647"/>
      <c r="L388" s="1647"/>
      <c r="M388" s="2174"/>
      <c r="N388" s="836"/>
      <c r="O388" s="836"/>
      <c r="P388" s="2174"/>
      <c r="Q388" s="836"/>
      <c r="R388" s="309"/>
      <c r="S388" s="309"/>
      <c r="T388" s="309"/>
      <c r="U388" s="309"/>
      <c r="V388" s="311"/>
      <c r="W388" s="311"/>
      <c r="X388" s="311"/>
      <c r="Y388" s="311"/>
      <c r="Z388" s="311"/>
      <c r="AA388" s="311"/>
      <c r="AB388" s="311"/>
      <c r="AC388" s="311"/>
      <c r="AD388" s="311"/>
      <c r="AE388" s="311"/>
      <c r="AF388" s="311"/>
      <c r="AG388" s="311"/>
      <c r="AH388" s="311"/>
      <c r="AI388" s="311"/>
      <c r="AJ388" s="311"/>
      <c r="AK388" s="311"/>
      <c r="AL388" s="311"/>
      <c r="AM388" s="311"/>
    </row>
    <row r="389" spans="1:39" ht="15.75" customHeight="1">
      <c r="A389" s="382"/>
      <c r="B389" s="311"/>
      <c r="C389" s="1647"/>
      <c r="D389" s="2173"/>
      <c r="E389" s="1586"/>
      <c r="F389" s="1954"/>
      <c r="G389" s="1846"/>
      <c r="H389" s="1586"/>
      <c r="I389" s="1647"/>
      <c r="J389" s="2187"/>
      <c r="K389" s="1647"/>
      <c r="L389" s="1647"/>
      <c r="M389" s="2174"/>
      <c r="N389" s="836"/>
      <c r="O389" s="836"/>
      <c r="P389" s="2174"/>
      <c r="Q389" s="836"/>
      <c r="R389" s="309"/>
      <c r="S389" s="309"/>
      <c r="T389" s="309"/>
      <c r="U389" s="309"/>
      <c r="V389" s="311"/>
      <c r="W389" s="311"/>
      <c r="X389" s="311"/>
      <c r="Y389" s="311"/>
      <c r="Z389" s="311"/>
      <c r="AA389" s="311"/>
      <c r="AB389" s="311"/>
      <c r="AC389" s="311"/>
      <c r="AD389" s="311"/>
      <c r="AE389" s="311"/>
      <c r="AF389" s="311"/>
      <c r="AG389" s="311"/>
      <c r="AH389" s="311"/>
      <c r="AI389" s="311"/>
      <c r="AJ389" s="311"/>
      <c r="AK389" s="311"/>
      <c r="AL389" s="311"/>
      <c r="AM389" s="311"/>
    </row>
    <row r="390" spans="1:39" ht="15.75" customHeight="1">
      <c r="A390" s="382"/>
      <c r="B390" s="311"/>
      <c r="C390" s="1647"/>
      <c r="D390" s="2173"/>
      <c r="E390" s="1586"/>
      <c r="F390" s="1954"/>
      <c r="G390" s="1846"/>
      <c r="H390" s="1586"/>
      <c r="I390" s="1647"/>
      <c r="J390" s="2187"/>
      <c r="K390" s="1647"/>
      <c r="L390" s="1647"/>
      <c r="M390" s="2174"/>
      <c r="N390" s="836"/>
      <c r="O390" s="836"/>
      <c r="P390" s="2174"/>
      <c r="Q390" s="836"/>
      <c r="R390" s="309"/>
      <c r="S390" s="309"/>
      <c r="T390" s="309"/>
      <c r="U390" s="309"/>
      <c r="V390" s="311"/>
      <c r="W390" s="311"/>
      <c r="X390" s="311"/>
      <c r="Y390" s="311"/>
      <c r="Z390" s="311"/>
      <c r="AA390" s="311"/>
      <c r="AB390" s="311"/>
      <c r="AC390" s="311"/>
      <c r="AD390" s="311"/>
      <c r="AE390" s="311"/>
      <c r="AF390" s="311"/>
      <c r="AG390" s="311"/>
      <c r="AH390" s="311"/>
      <c r="AI390" s="311"/>
      <c r="AJ390" s="311"/>
      <c r="AK390" s="311"/>
      <c r="AL390" s="311"/>
      <c r="AM390" s="311"/>
    </row>
    <row r="391" spans="1:39" ht="15.75" customHeight="1">
      <c r="A391" s="382"/>
      <c r="B391" s="311"/>
      <c r="C391" s="1647"/>
      <c r="D391" s="2173"/>
      <c r="E391" s="1586"/>
      <c r="F391" s="1954"/>
      <c r="G391" s="1846"/>
      <c r="H391" s="1586"/>
      <c r="I391" s="1647"/>
      <c r="J391" s="2187"/>
      <c r="K391" s="1647"/>
      <c r="L391" s="1647"/>
      <c r="M391" s="2174"/>
      <c r="N391" s="836"/>
      <c r="O391" s="836"/>
      <c r="P391" s="2174"/>
      <c r="Q391" s="836"/>
      <c r="R391" s="309"/>
      <c r="S391" s="309"/>
      <c r="T391" s="309"/>
      <c r="U391" s="309"/>
      <c r="V391" s="311"/>
      <c r="W391" s="311"/>
      <c r="X391" s="311"/>
      <c r="Y391" s="311"/>
      <c r="Z391" s="311"/>
      <c r="AA391" s="311"/>
      <c r="AB391" s="311"/>
      <c r="AC391" s="311"/>
      <c r="AD391" s="311"/>
      <c r="AE391" s="311"/>
      <c r="AF391" s="311"/>
      <c r="AG391" s="311"/>
      <c r="AH391" s="311"/>
      <c r="AI391" s="311"/>
      <c r="AJ391" s="311"/>
      <c r="AK391" s="311"/>
      <c r="AL391" s="311"/>
      <c r="AM391" s="311"/>
    </row>
    <row r="392" spans="1:39" ht="15.75" customHeight="1">
      <c r="A392" s="382"/>
      <c r="B392" s="311"/>
      <c r="C392" s="1647"/>
      <c r="D392" s="2173"/>
      <c r="E392" s="1586"/>
      <c r="F392" s="1954"/>
      <c r="G392" s="1846"/>
      <c r="H392" s="1586"/>
      <c r="I392" s="1647"/>
      <c r="J392" s="2187"/>
      <c r="K392" s="1647"/>
      <c r="L392" s="1647"/>
      <c r="M392" s="2174"/>
      <c r="N392" s="836"/>
      <c r="O392" s="836"/>
      <c r="P392" s="2174"/>
      <c r="Q392" s="836"/>
      <c r="R392" s="309"/>
      <c r="S392" s="309"/>
      <c r="T392" s="309"/>
      <c r="U392" s="309"/>
      <c r="V392" s="311"/>
      <c r="W392" s="311"/>
      <c r="X392" s="311"/>
      <c r="Y392" s="311"/>
      <c r="Z392" s="311"/>
      <c r="AA392" s="311"/>
      <c r="AB392" s="311"/>
      <c r="AC392" s="311"/>
      <c r="AD392" s="311"/>
      <c r="AE392" s="311"/>
      <c r="AF392" s="311"/>
      <c r="AG392" s="311"/>
      <c r="AH392" s="311"/>
      <c r="AI392" s="311"/>
      <c r="AJ392" s="311"/>
      <c r="AK392" s="311"/>
      <c r="AL392" s="311"/>
      <c r="AM392" s="311"/>
    </row>
    <row r="393" spans="1:39" ht="15.75" customHeight="1">
      <c r="A393" s="382"/>
      <c r="B393" s="311"/>
      <c r="C393" s="1647"/>
      <c r="D393" s="2173"/>
      <c r="E393" s="1586"/>
      <c r="F393" s="1954"/>
      <c r="G393" s="1846"/>
      <c r="H393" s="1586"/>
      <c r="I393" s="1647"/>
      <c r="J393" s="2187"/>
      <c r="K393" s="1647"/>
      <c r="L393" s="1647"/>
      <c r="M393" s="2174"/>
      <c r="N393" s="836"/>
      <c r="O393" s="836"/>
      <c r="P393" s="2174"/>
      <c r="Q393" s="836"/>
      <c r="R393" s="309"/>
      <c r="S393" s="309"/>
      <c r="T393" s="309"/>
      <c r="U393" s="309"/>
      <c r="V393" s="311"/>
      <c r="W393" s="311"/>
      <c r="X393" s="311"/>
      <c r="Y393" s="311"/>
      <c r="Z393" s="311"/>
      <c r="AA393" s="311"/>
      <c r="AB393" s="311"/>
      <c r="AC393" s="311"/>
      <c r="AD393" s="311"/>
      <c r="AE393" s="311"/>
      <c r="AF393" s="311"/>
      <c r="AG393" s="311"/>
      <c r="AH393" s="311"/>
      <c r="AI393" s="311"/>
      <c r="AJ393" s="311"/>
      <c r="AK393" s="311"/>
      <c r="AL393" s="311"/>
      <c r="AM393" s="311"/>
    </row>
    <row r="394" spans="1:39" ht="15.75" customHeight="1">
      <c r="A394" s="382"/>
      <c r="B394" s="311"/>
      <c r="C394" s="1647"/>
      <c r="D394" s="2173"/>
      <c r="E394" s="1586"/>
      <c r="F394" s="1954"/>
      <c r="G394" s="1846"/>
      <c r="H394" s="1586"/>
      <c r="I394" s="1647"/>
      <c r="J394" s="2187"/>
      <c r="K394" s="1647"/>
      <c r="L394" s="1647"/>
      <c r="M394" s="2174"/>
      <c r="N394" s="836"/>
      <c r="O394" s="836"/>
      <c r="P394" s="2174"/>
      <c r="Q394" s="836"/>
      <c r="R394" s="309"/>
      <c r="S394" s="309"/>
      <c r="T394" s="309"/>
      <c r="U394" s="309"/>
      <c r="V394" s="311"/>
      <c r="W394" s="311"/>
      <c r="X394" s="311"/>
      <c r="Y394" s="311"/>
      <c r="Z394" s="311"/>
      <c r="AA394" s="311"/>
      <c r="AB394" s="311"/>
      <c r="AC394" s="311"/>
      <c r="AD394" s="311"/>
      <c r="AE394" s="311"/>
      <c r="AF394" s="311"/>
      <c r="AG394" s="311"/>
      <c r="AH394" s="311"/>
      <c r="AI394" s="311"/>
      <c r="AJ394" s="311"/>
      <c r="AK394" s="311"/>
      <c r="AL394" s="311"/>
      <c r="AM394" s="311"/>
    </row>
    <row r="395" spans="1:39" ht="15.75" customHeight="1">
      <c r="A395" s="382"/>
      <c r="B395" s="311"/>
      <c r="C395" s="1647"/>
      <c r="D395" s="2173"/>
      <c r="E395" s="1586"/>
      <c r="F395" s="1954"/>
      <c r="G395" s="1846"/>
      <c r="H395" s="1586"/>
      <c r="I395" s="1647"/>
      <c r="J395" s="2187"/>
      <c r="K395" s="1647"/>
      <c r="L395" s="1647"/>
      <c r="M395" s="2174"/>
      <c r="N395" s="836"/>
      <c r="O395" s="836"/>
      <c r="P395" s="2174"/>
      <c r="Q395" s="836"/>
      <c r="R395" s="309"/>
      <c r="S395" s="309"/>
      <c r="T395" s="309"/>
      <c r="U395" s="309"/>
      <c r="V395" s="311"/>
      <c r="W395" s="311"/>
      <c r="X395" s="311"/>
      <c r="Y395" s="311"/>
      <c r="Z395" s="311"/>
      <c r="AA395" s="311"/>
      <c r="AB395" s="311"/>
      <c r="AC395" s="311"/>
      <c r="AD395" s="311"/>
      <c r="AE395" s="311"/>
      <c r="AF395" s="311"/>
      <c r="AG395" s="311"/>
      <c r="AH395" s="311"/>
      <c r="AI395" s="311"/>
      <c r="AJ395" s="311"/>
      <c r="AK395" s="311"/>
      <c r="AL395" s="311"/>
      <c r="AM395" s="311"/>
    </row>
    <row r="396" spans="1:39" ht="15.75" customHeight="1">
      <c r="A396" s="382"/>
      <c r="B396" s="311"/>
      <c r="C396" s="1647"/>
      <c r="D396" s="2173"/>
      <c r="E396" s="1586"/>
      <c r="F396" s="1954"/>
      <c r="G396" s="1846"/>
      <c r="H396" s="1586"/>
      <c r="I396" s="1647"/>
      <c r="J396" s="2187"/>
      <c r="K396" s="1647"/>
      <c r="L396" s="1647"/>
      <c r="M396" s="2174"/>
      <c r="N396" s="836"/>
      <c r="O396" s="836"/>
      <c r="P396" s="2174"/>
      <c r="Q396" s="836"/>
      <c r="R396" s="309"/>
      <c r="S396" s="309"/>
      <c r="T396" s="309"/>
      <c r="U396" s="309"/>
      <c r="V396" s="311"/>
      <c r="W396" s="311"/>
      <c r="X396" s="311"/>
      <c r="Y396" s="311"/>
      <c r="Z396" s="311"/>
      <c r="AA396" s="311"/>
      <c r="AB396" s="311"/>
      <c r="AC396" s="311"/>
      <c r="AD396" s="311"/>
      <c r="AE396" s="311"/>
      <c r="AF396" s="311"/>
      <c r="AG396" s="311"/>
      <c r="AH396" s="311"/>
      <c r="AI396" s="311"/>
      <c r="AJ396" s="311"/>
      <c r="AK396" s="311"/>
      <c r="AL396" s="311"/>
      <c r="AM396" s="311"/>
    </row>
    <row r="397" spans="1:39" ht="15.75" customHeight="1">
      <c r="A397" s="382"/>
      <c r="B397" s="311"/>
      <c r="C397" s="1647"/>
      <c r="D397" s="2173"/>
      <c r="E397" s="1586"/>
      <c r="F397" s="1954"/>
      <c r="G397" s="1846"/>
      <c r="H397" s="1586"/>
      <c r="I397" s="1647"/>
      <c r="J397" s="2187"/>
      <c r="K397" s="1647"/>
      <c r="L397" s="1647"/>
      <c r="M397" s="2174"/>
      <c r="N397" s="836"/>
      <c r="O397" s="836"/>
      <c r="P397" s="2174"/>
      <c r="Q397" s="836"/>
      <c r="R397" s="309"/>
      <c r="S397" s="309"/>
      <c r="T397" s="309"/>
      <c r="U397" s="309"/>
      <c r="V397" s="311"/>
      <c r="W397" s="311"/>
      <c r="X397" s="311"/>
      <c r="Y397" s="311"/>
      <c r="Z397" s="311"/>
      <c r="AA397" s="311"/>
      <c r="AB397" s="311"/>
      <c r="AC397" s="311"/>
      <c r="AD397" s="311"/>
      <c r="AE397" s="311"/>
      <c r="AF397" s="311"/>
      <c r="AG397" s="311"/>
      <c r="AH397" s="311"/>
      <c r="AI397" s="311"/>
      <c r="AJ397" s="311"/>
      <c r="AK397" s="311"/>
      <c r="AL397" s="311"/>
      <c r="AM397" s="311"/>
    </row>
    <row r="398" spans="1:39" ht="15.75" customHeight="1">
      <c r="A398" s="382"/>
      <c r="B398" s="311"/>
      <c r="C398" s="1647"/>
      <c r="D398" s="2173"/>
      <c r="E398" s="1586"/>
      <c r="F398" s="1954"/>
      <c r="G398" s="1846"/>
      <c r="H398" s="1586"/>
      <c r="I398" s="1647"/>
      <c r="J398" s="2187"/>
      <c r="K398" s="1647"/>
      <c r="L398" s="1647"/>
      <c r="M398" s="2174"/>
      <c r="N398" s="836"/>
      <c r="O398" s="836"/>
      <c r="P398" s="2174"/>
      <c r="Q398" s="836"/>
      <c r="R398" s="309"/>
      <c r="S398" s="309"/>
      <c r="T398" s="309"/>
      <c r="U398" s="309"/>
      <c r="V398" s="311"/>
      <c r="W398" s="311"/>
      <c r="X398" s="311"/>
      <c r="Y398" s="311"/>
      <c r="Z398" s="311"/>
      <c r="AA398" s="311"/>
      <c r="AB398" s="311"/>
      <c r="AC398" s="311"/>
      <c r="AD398" s="311"/>
      <c r="AE398" s="311"/>
      <c r="AF398" s="311"/>
      <c r="AG398" s="311"/>
      <c r="AH398" s="311"/>
      <c r="AI398" s="311"/>
      <c r="AJ398" s="311"/>
      <c r="AK398" s="311"/>
      <c r="AL398" s="311"/>
      <c r="AM398" s="311"/>
    </row>
    <row r="399" spans="1:39" ht="15.75" customHeight="1">
      <c r="A399" s="382"/>
      <c r="B399" s="311"/>
      <c r="C399" s="1647"/>
      <c r="D399" s="2173"/>
      <c r="E399" s="1586"/>
      <c r="F399" s="1954"/>
      <c r="G399" s="1846"/>
      <c r="H399" s="1586"/>
      <c r="I399" s="1647"/>
      <c r="J399" s="2187"/>
      <c r="K399" s="1647"/>
      <c r="L399" s="1647"/>
      <c r="M399" s="2174"/>
      <c r="N399" s="836"/>
      <c r="O399" s="836"/>
      <c r="P399" s="2174"/>
      <c r="Q399" s="836"/>
      <c r="R399" s="309"/>
      <c r="S399" s="309"/>
      <c r="T399" s="309"/>
      <c r="U399" s="309"/>
      <c r="V399" s="311"/>
      <c r="W399" s="311"/>
      <c r="X399" s="311"/>
      <c r="Y399" s="311"/>
      <c r="Z399" s="311"/>
      <c r="AA399" s="311"/>
      <c r="AB399" s="311"/>
      <c r="AC399" s="311"/>
      <c r="AD399" s="311"/>
      <c r="AE399" s="311"/>
      <c r="AF399" s="311"/>
      <c r="AG399" s="311"/>
      <c r="AH399" s="311"/>
      <c r="AI399" s="311"/>
      <c r="AJ399" s="311"/>
      <c r="AK399" s="311"/>
      <c r="AL399" s="311"/>
      <c r="AM399" s="311"/>
    </row>
    <row r="400" spans="1:39" ht="15.75" customHeight="1">
      <c r="A400" s="382"/>
      <c r="B400" s="311"/>
      <c r="C400" s="1647"/>
      <c r="D400" s="2173"/>
      <c r="E400" s="1586"/>
      <c r="F400" s="1954"/>
      <c r="G400" s="1846"/>
      <c r="H400" s="1586"/>
      <c r="I400" s="1647"/>
      <c r="J400" s="2187"/>
      <c r="K400" s="1647"/>
      <c r="L400" s="1647"/>
      <c r="M400" s="2174"/>
      <c r="N400" s="836"/>
      <c r="O400" s="836"/>
      <c r="P400" s="2174"/>
      <c r="Q400" s="836"/>
      <c r="R400" s="309"/>
      <c r="S400" s="309"/>
      <c r="T400" s="309"/>
      <c r="U400" s="309"/>
      <c r="V400" s="311"/>
      <c r="W400" s="311"/>
      <c r="X400" s="311"/>
      <c r="Y400" s="311"/>
      <c r="Z400" s="311"/>
      <c r="AA400" s="311"/>
      <c r="AB400" s="311"/>
      <c r="AC400" s="311"/>
      <c r="AD400" s="311"/>
      <c r="AE400" s="311"/>
      <c r="AF400" s="311"/>
      <c r="AG400" s="311"/>
      <c r="AH400" s="311"/>
      <c r="AI400" s="311"/>
      <c r="AJ400" s="311"/>
      <c r="AK400" s="311"/>
      <c r="AL400" s="311"/>
      <c r="AM400" s="311"/>
    </row>
    <row r="401" spans="1:39" ht="15.75" customHeight="1">
      <c r="A401" s="382"/>
      <c r="B401" s="311"/>
      <c r="C401" s="1647"/>
      <c r="D401" s="2173"/>
      <c r="E401" s="1586"/>
      <c r="F401" s="1954"/>
      <c r="G401" s="1846"/>
      <c r="H401" s="1586"/>
      <c r="I401" s="1647"/>
      <c r="J401" s="2187"/>
      <c r="K401" s="1647"/>
      <c r="L401" s="1647"/>
      <c r="M401" s="2174"/>
      <c r="N401" s="836"/>
      <c r="O401" s="836"/>
      <c r="P401" s="2174"/>
      <c r="Q401" s="836"/>
      <c r="R401" s="309"/>
      <c r="S401" s="309"/>
      <c r="T401" s="309"/>
      <c r="U401" s="309"/>
      <c r="V401" s="311"/>
      <c r="W401" s="311"/>
      <c r="X401" s="311"/>
      <c r="Y401" s="311"/>
      <c r="Z401" s="311"/>
      <c r="AA401" s="311"/>
      <c r="AB401" s="311"/>
      <c r="AC401" s="311"/>
      <c r="AD401" s="311"/>
      <c r="AE401" s="311"/>
      <c r="AF401" s="311"/>
      <c r="AG401" s="311"/>
      <c r="AH401" s="311"/>
      <c r="AI401" s="311"/>
      <c r="AJ401" s="311"/>
      <c r="AK401" s="311"/>
      <c r="AL401" s="311"/>
      <c r="AM401" s="311"/>
    </row>
    <row r="402" spans="1:39" ht="15.75" customHeight="1">
      <c r="A402" s="382"/>
      <c r="B402" s="311"/>
      <c r="C402" s="1647"/>
      <c r="D402" s="2173"/>
      <c r="E402" s="1586"/>
      <c r="F402" s="1954"/>
      <c r="G402" s="1846"/>
      <c r="H402" s="1586"/>
      <c r="I402" s="1647"/>
      <c r="J402" s="2187"/>
      <c r="K402" s="1647"/>
      <c r="L402" s="1647"/>
      <c r="M402" s="2174"/>
      <c r="N402" s="836"/>
      <c r="O402" s="836"/>
      <c r="P402" s="2174"/>
      <c r="Q402" s="836"/>
      <c r="R402" s="309"/>
      <c r="S402" s="309"/>
      <c r="T402" s="309"/>
      <c r="U402" s="309"/>
      <c r="V402" s="311"/>
      <c r="W402" s="311"/>
      <c r="X402" s="311"/>
      <c r="Y402" s="311"/>
      <c r="Z402" s="311"/>
      <c r="AA402" s="311"/>
      <c r="AB402" s="311"/>
      <c r="AC402" s="311"/>
      <c r="AD402" s="311"/>
      <c r="AE402" s="311"/>
      <c r="AF402" s="311"/>
      <c r="AG402" s="311"/>
      <c r="AH402" s="311"/>
      <c r="AI402" s="311"/>
      <c r="AJ402" s="311"/>
      <c r="AK402" s="311"/>
      <c r="AL402" s="311"/>
      <c r="AM402" s="311"/>
    </row>
    <row r="403" spans="1:39" ht="15.75" customHeight="1">
      <c r="A403" s="382"/>
      <c r="B403" s="311"/>
      <c r="C403" s="1647"/>
      <c r="D403" s="2173"/>
      <c r="E403" s="1586"/>
      <c r="F403" s="1954"/>
      <c r="G403" s="1846"/>
      <c r="H403" s="1586"/>
      <c r="I403" s="1647"/>
      <c r="J403" s="2187"/>
      <c r="K403" s="1647"/>
      <c r="L403" s="1647"/>
      <c r="M403" s="2174"/>
      <c r="N403" s="836"/>
      <c r="O403" s="836"/>
      <c r="P403" s="2174"/>
      <c r="Q403" s="836"/>
      <c r="R403" s="309"/>
      <c r="S403" s="309"/>
      <c r="T403" s="309"/>
      <c r="U403" s="309"/>
      <c r="V403" s="311"/>
      <c r="W403" s="311"/>
      <c r="X403" s="311"/>
      <c r="Y403" s="311"/>
      <c r="Z403" s="311"/>
      <c r="AA403" s="311"/>
      <c r="AB403" s="311"/>
      <c r="AC403" s="311"/>
      <c r="AD403" s="311"/>
      <c r="AE403" s="311"/>
      <c r="AF403" s="311"/>
      <c r="AG403" s="311"/>
      <c r="AH403" s="311"/>
      <c r="AI403" s="311"/>
      <c r="AJ403" s="311"/>
      <c r="AK403" s="311"/>
      <c r="AL403" s="311"/>
      <c r="AM403" s="311"/>
    </row>
    <row r="404" spans="1:39" ht="15.75" customHeight="1">
      <c r="A404" s="382"/>
      <c r="B404" s="311"/>
      <c r="C404" s="1647"/>
      <c r="D404" s="2173"/>
      <c r="E404" s="1586"/>
      <c r="F404" s="1954"/>
      <c r="G404" s="1846"/>
      <c r="H404" s="1586"/>
      <c r="I404" s="1647"/>
      <c r="J404" s="2187"/>
      <c r="K404" s="1647"/>
      <c r="L404" s="1647"/>
      <c r="M404" s="2174"/>
      <c r="N404" s="836"/>
      <c r="O404" s="836"/>
      <c r="P404" s="2174"/>
      <c r="Q404" s="836"/>
      <c r="R404" s="309"/>
      <c r="S404" s="309"/>
      <c r="T404" s="309"/>
      <c r="U404" s="309"/>
      <c r="V404" s="311"/>
      <c r="W404" s="311"/>
      <c r="X404" s="311"/>
      <c r="Y404" s="311"/>
      <c r="Z404" s="311"/>
      <c r="AA404" s="311"/>
      <c r="AB404" s="311"/>
      <c r="AC404" s="311"/>
      <c r="AD404" s="311"/>
      <c r="AE404" s="311"/>
      <c r="AF404" s="311"/>
      <c r="AG404" s="311"/>
      <c r="AH404" s="311"/>
      <c r="AI404" s="311"/>
      <c r="AJ404" s="311"/>
      <c r="AK404" s="311"/>
      <c r="AL404" s="311"/>
      <c r="AM404" s="311"/>
    </row>
    <row r="405" spans="1:39" ht="15.75" customHeight="1">
      <c r="A405" s="382"/>
      <c r="B405" s="311"/>
      <c r="C405" s="1647"/>
      <c r="D405" s="2173"/>
      <c r="E405" s="1586"/>
      <c r="F405" s="1954"/>
      <c r="G405" s="1846"/>
      <c r="H405" s="1586"/>
      <c r="I405" s="1647"/>
      <c r="J405" s="2187"/>
      <c r="K405" s="1647"/>
      <c r="L405" s="1647"/>
      <c r="M405" s="2174"/>
      <c r="N405" s="836"/>
      <c r="O405" s="836"/>
      <c r="P405" s="2174"/>
      <c r="Q405" s="836"/>
      <c r="R405" s="309"/>
      <c r="S405" s="309"/>
      <c r="T405" s="309"/>
      <c r="U405" s="309"/>
      <c r="V405" s="311"/>
      <c r="W405" s="311"/>
      <c r="X405" s="311"/>
      <c r="Y405" s="311"/>
      <c r="Z405" s="311"/>
      <c r="AA405" s="311"/>
      <c r="AB405" s="311"/>
      <c r="AC405" s="311"/>
      <c r="AD405" s="311"/>
      <c r="AE405" s="311"/>
      <c r="AF405" s="311"/>
      <c r="AG405" s="311"/>
      <c r="AH405" s="311"/>
      <c r="AI405" s="311"/>
      <c r="AJ405" s="311"/>
      <c r="AK405" s="311"/>
      <c r="AL405" s="311"/>
      <c r="AM405" s="311"/>
    </row>
    <row r="406" spans="1:39" ht="15.75" customHeight="1">
      <c r="A406" s="382"/>
      <c r="B406" s="311"/>
      <c r="C406" s="1647"/>
      <c r="D406" s="2173"/>
      <c r="E406" s="1586"/>
      <c r="F406" s="1954"/>
      <c r="G406" s="1846"/>
      <c r="H406" s="1586"/>
      <c r="I406" s="1647"/>
      <c r="J406" s="2187"/>
      <c r="K406" s="1647"/>
      <c r="L406" s="1647"/>
      <c r="M406" s="2174"/>
      <c r="N406" s="836"/>
      <c r="O406" s="836"/>
      <c r="P406" s="2174"/>
      <c r="Q406" s="836"/>
      <c r="R406" s="309"/>
      <c r="S406" s="309"/>
      <c r="T406" s="309"/>
      <c r="U406" s="309"/>
      <c r="V406" s="311"/>
      <c r="W406" s="311"/>
      <c r="X406" s="311"/>
      <c r="Y406" s="311"/>
      <c r="Z406" s="311"/>
      <c r="AA406" s="311"/>
      <c r="AB406" s="311"/>
      <c r="AC406" s="311"/>
      <c r="AD406" s="311"/>
      <c r="AE406" s="311"/>
      <c r="AF406" s="311"/>
      <c r="AG406" s="311"/>
      <c r="AH406" s="311"/>
      <c r="AI406" s="311"/>
      <c r="AJ406" s="311"/>
      <c r="AK406" s="311"/>
      <c r="AL406" s="311"/>
      <c r="AM406" s="311"/>
    </row>
    <row r="407" spans="1:39" ht="15.75" customHeight="1">
      <c r="A407" s="382"/>
      <c r="B407" s="311"/>
      <c r="C407" s="1647"/>
      <c r="D407" s="2173"/>
      <c r="E407" s="1586"/>
      <c r="F407" s="1954"/>
      <c r="G407" s="1846"/>
      <c r="H407" s="1586"/>
      <c r="I407" s="1647"/>
      <c r="J407" s="2187"/>
      <c r="K407" s="1647"/>
      <c r="L407" s="1647"/>
      <c r="M407" s="2174"/>
      <c r="N407" s="836"/>
      <c r="O407" s="836"/>
      <c r="P407" s="2174"/>
      <c r="Q407" s="836"/>
      <c r="R407" s="309"/>
      <c r="S407" s="309"/>
      <c r="T407" s="309"/>
      <c r="U407" s="309"/>
      <c r="V407" s="311"/>
      <c r="W407" s="311"/>
      <c r="X407" s="311"/>
      <c r="Y407" s="311"/>
      <c r="Z407" s="311"/>
      <c r="AA407" s="311"/>
      <c r="AB407" s="311"/>
      <c r="AC407" s="311"/>
      <c r="AD407" s="311"/>
      <c r="AE407" s="311"/>
      <c r="AF407" s="311"/>
      <c r="AG407" s="311"/>
      <c r="AH407" s="311"/>
      <c r="AI407" s="311"/>
      <c r="AJ407" s="311"/>
      <c r="AK407" s="311"/>
      <c r="AL407" s="311"/>
      <c r="AM407" s="311"/>
    </row>
    <row r="408" spans="1:39" ht="15.75" customHeight="1">
      <c r="A408" s="382"/>
      <c r="B408" s="311"/>
      <c r="C408" s="1647"/>
      <c r="D408" s="2173"/>
      <c r="E408" s="1586"/>
      <c r="F408" s="1954"/>
      <c r="G408" s="1846"/>
      <c r="H408" s="1586"/>
      <c r="I408" s="1647"/>
      <c r="J408" s="2187"/>
      <c r="K408" s="1647"/>
      <c r="L408" s="1647"/>
      <c r="M408" s="2174"/>
      <c r="N408" s="836"/>
      <c r="O408" s="836"/>
      <c r="P408" s="2174"/>
      <c r="Q408" s="836"/>
      <c r="R408" s="309"/>
      <c r="S408" s="309"/>
      <c r="T408" s="309"/>
      <c r="U408" s="309"/>
      <c r="V408" s="311"/>
      <c r="W408" s="311"/>
      <c r="X408" s="311"/>
      <c r="Y408" s="311"/>
      <c r="Z408" s="311"/>
      <c r="AA408" s="311"/>
      <c r="AB408" s="311"/>
      <c r="AC408" s="311"/>
      <c r="AD408" s="311"/>
      <c r="AE408" s="311"/>
      <c r="AF408" s="311"/>
      <c r="AG408" s="311"/>
      <c r="AH408" s="311"/>
      <c r="AI408" s="311"/>
      <c r="AJ408" s="311"/>
      <c r="AK408" s="311"/>
      <c r="AL408" s="311"/>
      <c r="AM408" s="311"/>
    </row>
    <row r="409" spans="1:39" ht="15.75" customHeight="1">
      <c r="A409" s="382"/>
      <c r="B409" s="311"/>
      <c r="C409" s="1647"/>
      <c r="D409" s="2173"/>
      <c r="E409" s="1586"/>
      <c r="F409" s="1954"/>
      <c r="G409" s="1846"/>
      <c r="H409" s="1586"/>
      <c r="I409" s="1647"/>
      <c r="J409" s="2187"/>
      <c r="K409" s="1647"/>
      <c r="L409" s="1647"/>
      <c r="M409" s="2174"/>
      <c r="N409" s="836"/>
      <c r="O409" s="836"/>
      <c r="P409" s="2174"/>
      <c r="Q409" s="836"/>
      <c r="R409" s="309"/>
      <c r="S409" s="309"/>
      <c r="T409" s="309"/>
      <c r="U409" s="309"/>
      <c r="V409" s="311"/>
      <c r="W409" s="311"/>
      <c r="X409" s="311"/>
      <c r="Y409" s="311"/>
      <c r="Z409" s="311"/>
      <c r="AA409" s="311"/>
      <c r="AB409" s="311"/>
      <c r="AC409" s="311"/>
      <c r="AD409" s="311"/>
      <c r="AE409" s="311"/>
      <c r="AF409" s="311"/>
      <c r="AG409" s="311"/>
      <c r="AH409" s="311"/>
      <c r="AI409" s="311"/>
      <c r="AJ409" s="311"/>
      <c r="AK409" s="311"/>
      <c r="AL409" s="311"/>
      <c r="AM409" s="311"/>
    </row>
    <row r="410" spans="1:39" ht="15.75" customHeight="1">
      <c r="A410" s="382"/>
      <c r="B410" s="311"/>
      <c r="C410" s="1647"/>
      <c r="D410" s="2173"/>
      <c r="E410" s="1586"/>
      <c r="F410" s="1954"/>
      <c r="G410" s="1846"/>
      <c r="H410" s="1586"/>
      <c r="I410" s="1647"/>
      <c r="J410" s="2187"/>
      <c r="K410" s="1647"/>
      <c r="L410" s="1647"/>
      <c r="M410" s="2174"/>
      <c r="N410" s="836"/>
      <c r="O410" s="836"/>
      <c r="P410" s="2174"/>
      <c r="Q410" s="836"/>
      <c r="R410" s="309"/>
      <c r="S410" s="309"/>
      <c r="T410" s="309"/>
      <c r="U410" s="309"/>
      <c r="V410" s="311"/>
      <c r="W410" s="311"/>
      <c r="X410" s="311"/>
      <c r="Y410" s="311"/>
      <c r="Z410" s="311"/>
      <c r="AA410" s="311"/>
      <c r="AB410" s="311"/>
      <c r="AC410" s="311"/>
      <c r="AD410" s="311"/>
      <c r="AE410" s="311"/>
      <c r="AF410" s="311"/>
      <c r="AG410" s="311"/>
      <c r="AH410" s="311"/>
      <c r="AI410" s="311"/>
      <c r="AJ410" s="311"/>
      <c r="AK410" s="311"/>
      <c r="AL410" s="311"/>
      <c r="AM410" s="311"/>
    </row>
    <row r="411" spans="1:39" ht="15.75" customHeight="1">
      <c r="A411" s="382"/>
      <c r="B411" s="311"/>
      <c r="C411" s="1647"/>
      <c r="D411" s="2173"/>
      <c r="E411" s="1586"/>
      <c r="F411" s="1954"/>
      <c r="G411" s="1846"/>
      <c r="H411" s="1586"/>
      <c r="I411" s="1647"/>
      <c r="J411" s="2187"/>
      <c r="K411" s="1647"/>
      <c r="L411" s="1647"/>
      <c r="M411" s="2174"/>
      <c r="N411" s="836"/>
      <c r="O411" s="836"/>
      <c r="P411" s="2174"/>
      <c r="Q411" s="836"/>
      <c r="R411" s="309"/>
      <c r="S411" s="309"/>
      <c r="T411" s="309"/>
      <c r="U411" s="309"/>
      <c r="V411" s="311"/>
      <c r="W411" s="311"/>
      <c r="X411" s="311"/>
      <c r="Y411" s="311"/>
      <c r="Z411" s="311"/>
      <c r="AA411" s="311"/>
      <c r="AB411" s="311"/>
      <c r="AC411" s="311"/>
      <c r="AD411" s="311"/>
      <c r="AE411" s="311"/>
      <c r="AF411" s="311"/>
      <c r="AG411" s="311"/>
      <c r="AH411" s="311"/>
      <c r="AI411" s="311"/>
      <c r="AJ411" s="311"/>
      <c r="AK411" s="311"/>
      <c r="AL411" s="311"/>
      <c r="AM411" s="311"/>
    </row>
    <row r="412" spans="1:39" ht="15.75" customHeight="1">
      <c r="A412" s="382"/>
      <c r="B412" s="311"/>
      <c r="C412" s="1647"/>
      <c r="D412" s="2173"/>
      <c r="E412" s="1586"/>
      <c r="F412" s="1954"/>
      <c r="G412" s="1846"/>
      <c r="H412" s="1586"/>
      <c r="I412" s="1647"/>
      <c r="J412" s="2187"/>
      <c r="K412" s="1647"/>
      <c r="L412" s="1647"/>
      <c r="M412" s="2174"/>
      <c r="N412" s="836"/>
      <c r="O412" s="836"/>
      <c r="P412" s="2174"/>
      <c r="Q412" s="836"/>
      <c r="R412" s="309"/>
      <c r="S412" s="309"/>
      <c r="T412" s="309"/>
      <c r="U412" s="309"/>
      <c r="V412" s="311"/>
      <c r="W412" s="311"/>
      <c r="X412" s="311"/>
      <c r="Y412" s="311"/>
      <c r="Z412" s="311"/>
      <c r="AA412" s="311"/>
      <c r="AB412" s="311"/>
      <c r="AC412" s="311"/>
      <c r="AD412" s="311"/>
      <c r="AE412" s="311"/>
      <c r="AF412" s="311"/>
      <c r="AG412" s="311"/>
      <c r="AH412" s="311"/>
      <c r="AI412" s="311"/>
      <c r="AJ412" s="311"/>
      <c r="AK412" s="311"/>
      <c r="AL412" s="311"/>
      <c r="AM412" s="311"/>
    </row>
    <row r="413" spans="1:39" ht="15.75" customHeight="1">
      <c r="A413" s="382"/>
      <c r="B413" s="311"/>
      <c r="C413" s="1647"/>
      <c r="D413" s="2173"/>
      <c r="E413" s="1586"/>
      <c r="F413" s="1954"/>
      <c r="G413" s="1846"/>
      <c r="H413" s="1586"/>
      <c r="I413" s="1647"/>
      <c r="J413" s="2187"/>
      <c r="K413" s="1647"/>
      <c r="L413" s="1647"/>
      <c r="M413" s="2174"/>
      <c r="N413" s="836"/>
      <c r="O413" s="836"/>
      <c r="P413" s="2174"/>
      <c r="Q413" s="836"/>
      <c r="R413" s="309"/>
      <c r="S413" s="309"/>
      <c r="T413" s="309"/>
      <c r="U413" s="309"/>
      <c r="V413" s="311"/>
      <c r="W413" s="311"/>
      <c r="X413" s="311"/>
      <c r="Y413" s="311"/>
      <c r="Z413" s="311"/>
      <c r="AA413" s="311"/>
      <c r="AB413" s="311"/>
      <c r="AC413" s="311"/>
      <c r="AD413" s="311"/>
      <c r="AE413" s="311"/>
      <c r="AF413" s="311"/>
      <c r="AG413" s="311"/>
      <c r="AH413" s="311"/>
      <c r="AI413" s="311"/>
      <c r="AJ413" s="311"/>
      <c r="AK413" s="311"/>
      <c r="AL413" s="311"/>
      <c r="AM413" s="311"/>
    </row>
    <row r="414" spans="1:39" ht="15.75" customHeight="1">
      <c r="A414" s="382"/>
      <c r="B414" s="311"/>
      <c r="C414" s="1647"/>
      <c r="D414" s="2173"/>
      <c r="E414" s="1586"/>
      <c r="F414" s="1954"/>
      <c r="G414" s="1846"/>
      <c r="H414" s="1586"/>
      <c r="I414" s="1647"/>
      <c r="J414" s="2187"/>
      <c r="K414" s="1647"/>
      <c r="L414" s="1647"/>
      <c r="M414" s="2174"/>
      <c r="N414" s="836"/>
      <c r="O414" s="836"/>
      <c r="P414" s="2174"/>
      <c r="Q414" s="836"/>
      <c r="R414" s="309"/>
      <c r="S414" s="309"/>
      <c r="T414" s="309"/>
      <c r="U414" s="309"/>
      <c r="V414" s="311"/>
      <c r="W414" s="311"/>
      <c r="X414" s="311"/>
      <c r="Y414" s="311"/>
      <c r="Z414" s="311"/>
      <c r="AA414" s="311"/>
      <c r="AB414" s="311"/>
      <c r="AC414" s="311"/>
      <c r="AD414" s="311"/>
      <c r="AE414" s="311"/>
      <c r="AF414" s="311"/>
      <c r="AG414" s="311"/>
      <c r="AH414" s="311"/>
      <c r="AI414" s="311"/>
      <c r="AJ414" s="311"/>
      <c r="AK414" s="311"/>
      <c r="AL414" s="311"/>
      <c r="AM414" s="311"/>
    </row>
    <row r="415" spans="1:39" ht="15.75" customHeight="1">
      <c r="A415" s="382"/>
      <c r="B415" s="311"/>
      <c r="C415" s="1647"/>
      <c r="D415" s="2173"/>
      <c r="E415" s="1586"/>
      <c r="F415" s="1954"/>
      <c r="G415" s="1846"/>
      <c r="H415" s="1586"/>
      <c r="I415" s="1647"/>
      <c r="J415" s="2187"/>
      <c r="K415" s="1647"/>
      <c r="L415" s="1647"/>
      <c r="M415" s="2174"/>
      <c r="N415" s="836"/>
      <c r="O415" s="836"/>
      <c r="P415" s="2174"/>
      <c r="Q415" s="836"/>
      <c r="R415" s="309"/>
      <c r="S415" s="309"/>
      <c r="T415" s="309"/>
      <c r="U415" s="309"/>
      <c r="V415" s="311"/>
      <c r="W415" s="311"/>
      <c r="X415" s="311"/>
      <c r="Y415" s="311"/>
      <c r="Z415" s="311"/>
      <c r="AA415" s="311"/>
      <c r="AB415" s="311"/>
      <c r="AC415" s="311"/>
      <c r="AD415" s="311"/>
      <c r="AE415" s="311"/>
      <c r="AF415" s="311"/>
      <c r="AG415" s="311"/>
      <c r="AH415" s="311"/>
      <c r="AI415" s="311"/>
      <c r="AJ415" s="311"/>
      <c r="AK415" s="311"/>
      <c r="AL415" s="311"/>
      <c r="AM415" s="311"/>
    </row>
    <row r="416" spans="1:39" ht="15.75" customHeight="1">
      <c r="A416" s="382"/>
      <c r="B416" s="311"/>
      <c r="C416" s="1647"/>
      <c r="D416" s="2173"/>
      <c r="E416" s="1586"/>
      <c r="F416" s="1954"/>
      <c r="G416" s="1846"/>
      <c r="H416" s="1586"/>
      <c r="I416" s="1647"/>
      <c r="J416" s="2187"/>
      <c r="K416" s="1647"/>
      <c r="L416" s="1647"/>
      <c r="M416" s="2174"/>
      <c r="N416" s="836"/>
      <c r="O416" s="836"/>
      <c r="P416" s="2174"/>
      <c r="Q416" s="836"/>
      <c r="R416" s="309"/>
      <c r="S416" s="309"/>
      <c r="T416" s="309"/>
      <c r="U416" s="309"/>
      <c r="V416" s="311"/>
      <c r="W416" s="311"/>
      <c r="X416" s="311"/>
      <c r="Y416" s="311"/>
      <c r="Z416" s="311"/>
      <c r="AA416" s="311"/>
      <c r="AB416" s="311"/>
      <c r="AC416" s="311"/>
      <c r="AD416" s="311"/>
      <c r="AE416" s="311"/>
      <c r="AF416" s="311"/>
      <c r="AG416" s="311"/>
      <c r="AH416" s="311"/>
      <c r="AI416" s="311"/>
      <c r="AJ416" s="311"/>
      <c r="AK416" s="311"/>
      <c r="AL416" s="311"/>
      <c r="AM416" s="311"/>
    </row>
    <row r="417" spans="1:39" ht="15.75" customHeight="1">
      <c r="A417" s="382"/>
      <c r="B417" s="311"/>
      <c r="C417" s="1647"/>
      <c r="D417" s="2173"/>
      <c r="E417" s="1586"/>
      <c r="F417" s="1954"/>
      <c r="G417" s="1846"/>
      <c r="H417" s="1586"/>
      <c r="I417" s="1647"/>
      <c r="J417" s="2187"/>
      <c r="K417" s="1647"/>
      <c r="L417" s="1647"/>
      <c r="M417" s="2174"/>
      <c r="N417" s="836"/>
      <c r="O417" s="836"/>
      <c r="P417" s="2174"/>
      <c r="Q417" s="836"/>
      <c r="R417" s="309"/>
      <c r="S417" s="309"/>
      <c r="T417" s="309"/>
      <c r="U417" s="309"/>
      <c r="V417" s="311"/>
      <c r="W417" s="311"/>
      <c r="X417" s="311"/>
      <c r="Y417" s="311"/>
      <c r="Z417" s="311"/>
      <c r="AA417" s="311"/>
      <c r="AB417" s="311"/>
      <c r="AC417" s="311"/>
      <c r="AD417" s="311"/>
      <c r="AE417" s="311"/>
      <c r="AF417" s="311"/>
      <c r="AG417" s="311"/>
      <c r="AH417" s="311"/>
      <c r="AI417" s="311"/>
      <c r="AJ417" s="311"/>
      <c r="AK417" s="311"/>
      <c r="AL417" s="311"/>
      <c r="AM417" s="311"/>
    </row>
    <row r="418" spans="1:39" ht="15.75" customHeight="1">
      <c r="A418" s="382"/>
      <c r="B418" s="311"/>
      <c r="C418" s="1647"/>
      <c r="D418" s="2173"/>
      <c r="E418" s="1586"/>
      <c r="F418" s="1954"/>
      <c r="G418" s="1846"/>
      <c r="H418" s="1586"/>
      <c r="I418" s="1647"/>
      <c r="J418" s="2187"/>
      <c r="K418" s="1647"/>
      <c r="L418" s="1647"/>
      <c r="M418" s="2174"/>
      <c r="N418" s="836"/>
      <c r="O418" s="836"/>
      <c r="P418" s="2174"/>
      <c r="Q418" s="836"/>
      <c r="R418" s="309"/>
      <c r="S418" s="309"/>
      <c r="T418" s="309"/>
      <c r="U418" s="309"/>
      <c r="V418" s="311"/>
      <c r="W418" s="311"/>
      <c r="X418" s="311"/>
      <c r="Y418" s="311"/>
      <c r="Z418" s="311"/>
      <c r="AA418" s="311"/>
      <c r="AB418" s="311"/>
      <c r="AC418" s="311"/>
      <c r="AD418" s="311"/>
      <c r="AE418" s="311"/>
      <c r="AF418" s="311"/>
      <c r="AG418" s="311"/>
      <c r="AH418" s="311"/>
      <c r="AI418" s="311"/>
      <c r="AJ418" s="311"/>
      <c r="AK418" s="311"/>
      <c r="AL418" s="311"/>
      <c r="AM418" s="311"/>
    </row>
    <row r="419" spans="1:39" ht="15.75" customHeight="1">
      <c r="A419" s="382"/>
      <c r="B419" s="311"/>
      <c r="C419" s="1647"/>
      <c r="D419" s="2173"/>
      <c r="E419" s="1586"/>
      <c r="F419" s="1954"/>
      <c r="G419" s="1846"/>
      <c r="H419" s="1586"/>
      <c r="I419" s="1647"/>
      <c r="J419" s="2187"/>
      <c r="K419" s="1647"/>
      <c r="L419" s="1647"/>
      <c r="M419" s="2174"/>
      <c r="N419" s="836"/>
      <c r="O419" s="836"/>
      <c r="P419" s="2174"/>
      <c r="Q419" s="836"/>
      <c r="R419" s="309"/>
      <c r="S419" s="309"/>
      <c r="T419" s="309"/>
      <c r="U419" s="309"/>
      <c r="V419" s="311"/>
      <c r="W419" s="311"/>
      <c r="X419" s="311"/>
      <c r="Y419" s="311"/>
      <c r="Z419" s="311"/>
      <c r="AA419" s="311"/>
      <c r="AB419" s="311"/>
      <c r="AC419" s="311"/>
      <c r="AD419" s="311"/>
      <c r="AE419" s="311"/>
      <c r="AF419" s="311"/>
      <c r="AG419" s="311"/>
      <c r="AH419" s="311"/>
      <c r="AI419" s="311"/>
      <c r="AJ419" s="311"/>
      <c r="AK419" s="311"/>
      <c r="AL419" s="311"/>
      <c r="AM419" s="311"/>
    </row>
    <row r="420" spans="1:39" ht="15.75" customHeight="1">
      <c r="A420" s="382"/>
      <c r="B420" s="311"/>
      <c r="C420" s="1647"/>
      <c r="D420" s="2173"/>
      <c r="E420" s="1586"/>
      <c r="F420" s="1954"/>
      <c r="G420" s="1846"/>
      <c r="H420" s="1586"/>
      <c r="I420" s="1647"/>
      <c r="J420" s="2187"/>
      <c r="K420" s="1647"/>
      <c r="L420" s="1647"/>
      <c r="M420" s="2174"/>
      <c r="N420" s="836"/>
      <c r="O420" s="836"/>
      <c r="P420" s="2174"/>
      <c r="Q420" s="836"/>
      <c r="R420" s="309"/>
      <c r="S420" s="309"/>
      <c r="T420" s="309"/>
      <c r="U420" s="309"/>
      <c r="V420" s="311"/>
      <c r="W420" s="311"/>
      <c r="X420" s="311"/>
      <c r="Y420" s="311"/>
      <c r="Z420" s="311"/>
      <c r="AA420" s="311"/>
      <c r="AB420" s="311"/>
      <c r="AC420" s="311"/>
      <c r="AD420" s="311"/>
      <c r="AE420" s="311"/>
      <c r="AF420" s="311"/>
      <c r="AG420" s="311"/>
      <c r="AH420" s="311"/>
      <c r="AI420" s="311"/>
      <c r="AJ420" s="311"/>
      <c r="AK420" s="311"/>
      <c r="AL420" s="311"/>
      <c r="AM420" s="311"/>
    </row>
    <row r="421" spans="1:39" ht="15.75" customHeight="1">
      <c r="A421" s="382"/>
      <c r="B421" s="311"/>
      <c r="C421" s="1647"/>
      <c r="D421" s="2173"/>
      <c r="E421" s="1586"/>
      <c r="F421" s="1954"/>
      <c r="G421" s="1846"/>
      <c r="H421" s="1586"/>
      <c r="I421" s="1647"/>
      <c r="J421" s="2187"/>
      <c r="K421" s="1647"/>
      <c r="L421" s="1647"/>
      <c r="M421" s="2174"/>
      <c r="N421" s="836"/>
      <c r="O421" s="836"/>
      <c r="P421" s="2174"/>
      <c r="Q421" s="836"/>
      <c r="R421" s="309"/>
      <c r="S421" s="309"/>
      <c r="T421" s="309"/>
      <c r="U421" s="309"/>
      <c r="V421" s="311"/>
      <c r="W421" s="311"/>
      <c r="X421" s="311"/>
      <c r="Y421" s="311"/>
      <c r="Z421" s="311"/>
      <c r="AA421" s="311"/>
      <c r="AB421" s="311"/>
      <c r="AC421" s="311"/>
      <c r="AD421" s="311"/>
      <c r="AE421" s="311"/>
      <c r="AF421" s="311"/>
      <c r="AG421" s="311"/>
      <c r="AH421" s="311"/>
      <c r="AI421" s="311"/>
      <c r="AJ421" s="311"/>
      <c r="AK421" s="311"/>
      <c r="AL421" s="311"/>
      <c r="AM421" s="311"/>
    </row>
    <row r="422" spans="1:39" ht="15.75" customHeight="1">
      <c r="A422" s="382"/>
      <c r="B422" s="311"/>
      <c r="C422" s="1647"/>
      <c r="D422" s="2173"/>
      <c r="E422" s="1586"/>
      <c r="F422" s="1954"/>
      <c r="G422" s="1846"/>
      <c r="H422" s="1586"/>
      <c r="I422" s="1647"/>
      <c r="J422" s="2187"/>
      <c r="K422" s="1647"/>
      <c r="L422" s="1647"/>
      <c r="M422" s="2174"/>
      <c r="N422" s="836"/>
      <c r="O422" s="836"/>
      <c r="P422" s="2174"/>
      <c r="Q422" s="836"/>
      <c r="R422" s="309"/>
      <c r="S422" s="309"/>
      <c r="T422" s="309"/>
      <c r="U422" s="309"/>
      <c r="V422" s="311"/>
      <c r="W422" s="311"/>
      <c r="X422" s="311"/>
      <c r="Y422" s="311"/>
      <c r="Z422" s="311"/>
      <c r="AA422" s="311"/>
      <c r="AB422" s="311"/>
      <c r="AC422" s="311"/>
      <c r="AD422" s="311"/>
      <c r="AE422" s="311"/>
      <c r="AF422" s="311"/>
      <c r="AG422" s="311"/>
      <c r="AH422" s="311"/>
      <c r="AI422" s="311"/>
      <c r="AJ422" s="311"/>
      <c r="AK422" s="311"/>
      <c r="AL422" s="311"/>
      <c r="AM422" s="311"/>
    </row>
    <row r="423" spans="1:39" ht="15.75" customHeight="1">
      <c r="A423" s="382"/>
      <c r="B423" s="311"/>
      <c r="C423" s="1647"/>
      <c r="D423" s="2173"/>
      <c r="E423" s="1586"/>
      <c r="F423" s="1954"/>
      <c r="G423" s="1846"/>
      <c r="H423" s="1586"/>
      <c r="I423" s="1647"/>
      <c r="J423" s="2187"/>
      <c r="K423" s="1647"/>
      <c r="L423" s="1647"/>
      <c r="M423" s="2174"/>
      <c r="N423" s="836"/>
      <c r="O423" s="836"/>
      <c r="P423" s="2174"/>
      <c r="Q423" s="836"/>
      <c r="R423" s="309"/>
      <c r="S423" s="309"/>
      <c r="T423" s="309"/>
      <c r="U423" s="309"/>
      <c r="V423" s="311"/>
      <c r="W423" s="311"/>
      <c r="X423" s="311"/>
      <c r="Y423" s="311"/>
      <c r="Z423" s="311"/>
      <c r="AA423" s="311"/>
      <c r="AB423" s="311"/>
      <c r="AC423" s="311"/>
      <c r="AD423" s="311"/>
      <c r="AE423" s="311"/>
      <c r="AF423" s="311"/>
      <c r="AG423" s="311"/>
      <c r="AH423" s="311"/>
      <c r="AI423" s="311"/>
      <c r="AJ423" s="311"/>
      <c r="AK423" s="311"/>
      <c r="AL423" s="311"/>
      <c r="AM423" s="311"/>
    </row>
    <row r="424" spans="1:39" ht="15.75" customHeight="1">
      <c r="A424" s="382"/>
      <c r="B424" s="311"/>
      <c r="C424" s="1647"/>
      <c r="D424" s="2173"/>
      <c r="E424" s="1586"/>
      <c r="F424" s="1954"/>
      <c r="G424" s="1846"/>
      <c r="H424" s="1586"/>
      <c r="I424" s="1647"/>
      <c r="J424" s="2187"/>
      <c r="K424" s="1647"/>
      <c r="L424" s="1647"/>
      <c r="M424" s="2174"/>
      <c r="N424" s="836"/>
      <c r="O424" s="836"/>
      <c r="P424" s="2174"/>
      <c r="Q424" s="836"/>
      <c r="R424" s="309"/>
      <c r="S424" s="309"/>
      <c r="T424" s="309"/>
      <c r="U424" s="309"/>
      <c r="V424" s="311"/>
      <c r="W424" s="311"/>
      <c r="X424" s="311"/>
      <c r="Y424" s="311"/>
      <c r="Z424" s="311"/>
      <c r="AA424" s="311"/>
      <c r="AB424" s="311"/>
      <c r="AC424" s="311"/>
      <c r="AD424" s="311"/>
      <c r="AE424" s="311"/>
      <c r="AF424" s="311"/>
      <c r="AG424" s="311"/>
      <c r="AH424" s="311"/>
      <c r="AI424" s="311"/>
      <c r="AJ424" s="311"/>
      <c r="AK424" s="311"/>
      <c r="AL424" s="311"/>
      <c r="AM424" s="311"/>
    </row>
    <row r="425" spans="1:39" ht="15.75" customHeight="1">
      <c r="A425" s="382"/>
      <c r="B425" s="311"/>
      <c r="C425" s="1647"/>
      <c r="D425" s="2173"/>
      <c r="E425" s="1586"/>
      <c r="F425" s="1954"/>
      <c r="G425" s="1846"/>
      <c r="H425" s="1586"/>
      <c r="I425" s="1647"/>
      <c r="J425" s="2187"/>
      <c r="K425" s="1647"/>
      <c r="L425" s="1647"/>
      <c r="M425" s="2174"/>
      <c r="N425" s="836"/>
      <c r="O425" s="836"/>
      <c r="P425" s="2174"/>
      <c r="Q425" s="836"/>
      <c r="R425" s="309"/>
      <c r="S425" s="309"/>
      <c r="T425" s="309"/>
      <c r="U425" s="309"/>
      <c r="V425" s="311"/>
      <c r="W425" s="311"/>
      <c r="X425" s="311"/>
      <c r="Y425" s="311"/>
      <c r="Z425" s="311"/>
      <c r="AA425" s="311"/>
      <c r="AB425" s="311"/>
      <c r="AC425" s="311"/>
      <c r="AD425" s="311"/>
      <c r="AE425" s="311"/>
      <c r="AF425" s="311"/>
      <c r="AG425" s="311"/>
      <c r="AH425" s="311"/>
      <c r="AI425" s="311"/>
      <c r="AJ425" s="311"/>
      <c r="AK425" s="311"/>
      <c r="AL425" s="311"/>
      <c r="AM425" s="311"/>
    </row>
    <row r="426" spans="1:39" ht="15.75" customHeight="1">
      <c r="A426" s="382"/>
      <c r="B426" s="311"/>
      <c r="C426" s="1647"/>
      <c r="D426" s="2173"/>
      <c r="E426" s="1586"/>
      <c r="F426" s="1954"/>
      <c r="G426" s="1846"/>
      <c r="H426" s="1586"/>
      <c r="I426" s="1647"/>
      <c r="J426" s="2187"/>
      <c r="K426" s="1647"/>
      <c r="L426" s="1647"/>
      <c r="M426" s="2174"/>
      <c r="N426" s="836"/>
      <c r="O426" s="836"/>
      <c r="P426" s="2174"/>
      <c r="Q426" s="836"/>
      <c r="R426" s="309"/>
      <c r="S426" s="309"/>
      <c r="T426" s="309"/>
      <c r="U426" s="309"/>
      <c r="V426" s="311"/>
      <c r="W426" s="311"/>
      <c r="X426" s="311"/>
      <c r="Y426" s="311"/>
      <c r="Z426" s="311"/>
      <c r="AA426" s="311"/>
      <c r="AB426" s="311"/>
      <c r="AC426" s="311"/>
      <c r="AD426" s="311"/>
      <c r="AE426" s="311"/>
      <c r="AF426" s="311"/>
      <c r="AG426" s="311"/>
      <c r="AH426" s="311"/>
      <c r="AI426" s="311"/>
      <c r="AJ426" s="311"/>
      <c r="AK426" s="311"/>
      <c r="AL426" s="311"/>
      <c r="AM426" s="311"/>
    </row>
    <row r="427" spans="1:39" ht="15.75" customHeight="1">
      <c r="A427" s="382"/>
      <c r="B427" s="311"/>
      <c r="C427" s="1647"/>
      <c r="D427" s="2173"/>
      <c r="E427" s="1586"/>
      <c r="F427" s="1954"/>
      <c r="G427" s="1846"/>
      <c r="H427" s="1586"/>
      <c r="I427" s="1647"/>
      <c r="J427" s="2187"/>
      <c r="K427" s="1647"/>
      <c r="L427" s="1647"/>
      <c r="M427" s="2174"/>
      <c r="N427" s="836"/>
      <c r="O427" s="836"/>
      <c r="P427" s="2174"/>
      <c r="Q427" s="836"/>
      <c r="R427" s="309"/>
      <c r="S427" s="309"/>
      <c r="T427" s="309"/>
      <c r="U427" s="309"/>
      <c r="V427" s="311"/>
      <c r="W427" s="311"/>
      <c r="X427" s="311"/>
      <c r="Y427" s="311"/>
      <c r="Z427" s="311"/>
      <c r="AA427" s="311"/>
      <c r="AB427" s="311"/>
      <c r="AC427" s="311"/>
      <c r="AD427" s="311"/>
      <c r="AE427" s="311"/>
      <c r="AF427" s="311"/>
      <c r="AG427" s="311"/>
      <c r="AH427" s="311"/>
      <c r="AI427" s="311"/>
      <c r="AJ427" s="311"/>
      <c r="AK427" s="311"/>
      <c r="AL427" s="311"/>
      <c r="AM427" s="311"/>
    </row>
    <row r="428" spans="1:39" ht="15.75" customHeight="1">
      <c r="A428" s="382"/>
      <c r="B428" s="311"/>
      <c r="C428" s="1647"/>
      <c r="D428" s="2173"/>
      <c r="E428" s="1586"/>
      <c r="F428" s="1954"/>
      <c r="G428" s="1846"/>
      <c r="H428" s="1586"/>
      <c r="I428" s="1647"/>
      <c r="J428" s="2187"/>
      <c r="K428" s="1647"/>
      <c r="L428" s="1647"/>
      <c r="M428" s="2174"/>
      <c r="N428" s="836"/>
      <c r="O428" s="836"/>
      <c r="P428" s="2174"/>
      <c r="Q428" s="836"/>
      <c r="R428" s="309"/>
      <c r="S428" s="309"/>
      <c r="T428" s="309"/>
      <c r="U428" s="309"/>
      <c r="V428" s="311"/>
      <c r="W428" s="311"/>
      <c r="X428" s="311"/>
      <c r="Y428" s="311"/>
      <c r="Z428" s="311"/>
      <c r="AA428" s="311"/>
      <c r="AB428" s="311"/>
      <c r="AC428" s="311"/>
      <c r="AD428" s="311"/>
      <c r="AE428" s="311"/>
      <c r="AF428" s="311"/>
      <c r="AG428" s="311"/>
      <c r="AH428" s="311"/>
      <c r="AI428" s="311"/>
      <c r="AJ428" s="311"/>
      <c r="AK428" s="311"/>
      <c r="AL428" s="311"/>
      <c r="AM428" s="311"/>
    </row>
    <row r="429" spans="1:39" ht="15.75" customHeight="1">
      <c r="A429" s="382"/>
      <c r="B429" s="311"/>
      <c r="C429" s="1647"/>
      <c r="D429" s="2173"/>
      <c r="E429" s="1586"/>
      <c r="F429" s="1954"/>
      <c r="G429" s="1846"/>
      <c r="H429" s="1586"/>
      <c r="I429" s="1647"/>
      <c r="J429" s="2187"/>
      <c r="K429" s="1647"/>
      <c r="L429" s="1647"/>
      <c r="M429" s="2174"/>
      <c r="N429" s="836"/>
      <c r="O429" s="836"/>
      <c r="P429" s="2174"/>
      <c r="Q429" s="836"/>
      <c r="R429" s="309"/>
      <c r="S429" s="309"/>
      <c r="T429" s="309"/>
      <c r="U429" s="309"/>
      <c r="V429" s="311"/>
      <c r="W429" s="311"/>
      <c r="X429" s="311"/>
      <c r="Y429" s="311"/>
      <c r="Z429" s="311"/>
      <c r="AA429" s="311"/>
      <c r="AB429" s="311"/>
      <c r="AC429" s="311"/>
      <c r="AD429" s="311"/>
      <c r="AE429" s="311"/>
      <c r="AF429" s="311"/>
      <c r="AG429" s="311"/>
      <c r="AH429" s="311"/>
      <c r="AI429" s="311"/>
      <c r="AJ429" s="311"/>
      <c r="AK429" s="311"/>
      <c r="AL429" s="311"/>
      <c r="AM429" s="311"/>
    </row>
    <row r="430" spans="1:39" ht="15.75" customHeight="1">
      <c r="A430" s="382"/>
      <c r="B430" s="311"/>
      <c r="C430" s="1647"/>
      <c r="D430" s="2173"/>
      <c r="E430" s="1586"/>
      <c r="F430" s="1954"/>
      <c r="G430" s="1846"/>
      <c r="H430" s="1586"/>
      <c r="I430" s="1647"/>
      <c r="J430" s="2187"/>
      <c r="K430" s="1647"/>
      <c r="L430" s="1647"/>
      <c r="M430" s="2174"/>
      <c r="N430" s="836"/>
      <c r="O430" s="836"/>
      <c r="P430" s="2174"/>
      <c r="Q430" s="836"/>
      <c r="R430" s="309"/>
      <c r="S430" s="309"/>
      <c r="T430" s="309"/>
      <c r="U430" s="309"/>
      <c r="V430" s="311"/>
      <c r="W430" s="311"/>
      <c r="X430" s="311"/>
      <c r="Y430" s="311"/>
      <c r="Z430" s="311"/>
      <c r="AA430" s="311"/>
      <c r="AB430" s="311"/>
      <c r="AC430" s="311"/>
      <c r="AD430" s="311"/>
      <c r="AE430" s="311"/>
      <c r="AF430" s="311"/>
      <c r="AG430" s="311"/>
      <c r="AH430" s="311"/>
      <c r="AI430" s="311"/>
      <c r="AJ430" s="311"/>
      <c r="AK430" s="311"/>
      <c r="AL430" s="311"/>
      <c r="AM430" s="311"/>
    </row>
    <row r="431" spans="1:39" ht="15.75" customHeight="1">
      <c r="A431" s="382"/>
      <c r="B431" s="311"/>
      <c r="C431" s="1647"/>
      <c r="D431" s="2173"/>
      <c r="E431" s="1586"/>
      <c r="F431" s="1954"/>
      <c r="G431" s="1846"/>
      <c r="H431" s="1586"/>
      <c r="I431" s="1647"/>
      <c r="J431" s="2187"/>
      <c r="K431" s="1647"/>
      <c r="L431" s="1647"/>
      <c r="M431" s="2174"/>
      <c r="N431" s="836"/>
      <c r="O431" s="836"/>
      <c r="P431" s="2174"/>
      <c r="Q431" s="836"/>
      <c r="R431" s="309"/>
      <c r="S431" s="309"/>
      <c r="T431" s="309"/>
      <c r="U431" s="309"/>
      <c r="V431" s="311"/>
      <c r="W431" s="311"/>
      <c r="X431" s="311"/>
      <c r="Y431" s="311"/>
      <c r="Z431" s="311"/>
      <c r="AA431" s="311"/>
      <c r="AB431" s="311"/>
      <c r="AC431" s="311"/>
      <c r="AD431" s="311"/>
      <c r="AE431" s="311"/>
      <c r="AF431" s="311"/>
      <c r="AG431" s="311"/>
      <c r="AH431" s="311"/>
      <c r="AI431" s="311"/>
      <c r="AJ431" s="311"/>
      <c r="AK431" s="311"/>
      <c r="AL431" s="311"/>
      <c r="AM431" s="311"/>
    </row>
    <row r="432" spans="1:39" ht="15.75" customHeight="1">
      <c r="A432" s="382"/>
      <c r="B432" s="311"/>
      <c r="C432" s="1647"/>
      <c r="D432" s="2173"/>
      <c r="E432" s="1586"/>
      <c r="F432" s="1954"/>
      <c r="G432" s="1846"/>
      <c r="H432" s="1586"/>
      <c r="I432" s="1647"/>
      <c r="J432" s="2187"/>
      <c r="K432" s="1647"/>
      <c r="L432" s="1647"/>
      <c r="M432" s="2174"/>
      <c r="N432" s="836"/>
      <c r="O432" s="836"/>
      <c r="P432" s="2174"/>
      <c r="Q432" s="836"/>
      <c r="R432" s="309"/>
      <c r="S432" s="309"/>
      <c r="T432" s="309"/>
      <c r="U432" s="309"/>
      <c r="V432" s="311"/>
      <c r="W432" s="311"/>
      <c r="X432" s="311"/>
      <c r="Y432" s="311"/>
      <c r="Z432" s="311"/>
      <c r="AA432" s="311"/>
      <c r="AB432" s="311"/>
      <c r="AC432" s="311"/>
      <c r="AD432" s="311"/>
      <c r="AE432" s="311"/>
      <c r="AF432" s="311"/>
      <c r="AG432" s="311"/>
      <c r="AH432" s="311"/>
      <c r="AI432" s="311"/>
      <c r="AJ432" s="311"/>
      <c r="AK432" s="311"/>
      <c r="AL432" s="311"/>
      <c r="AM432" s="311"/>
    </row>
    <row r="433" spans="1:39" ht="15.75" customHeight="1">
      <c r="A433" s="382"/>
      <c r="B433" s="311"/>
      <c r="C433" s="1647"/>
      <c r="D433" s="2173"/>
      <c r="E433" s="1586"/>
      <c r="F433" s="1954"/>
      <c r="G433" s="1846"/>
      <c r="H433" s="1586"/>
      <c r="I433" s="1647"/>
      <c r="J433" s="2187"/>
      <c r="K433" s="1647"/>
      <c r="L433" s="1647"/>
      <c r="M433" s="2174"/>
      <c r="N433" s="836"/>
      <c r="O433" s="836"/>
      <c r="P433" s="2174"/>
      <c r="Q433" s="836"/>
      <c r="R433" s="309"/>
      <c r="S433" s="309"/>
      <c r="T433" s="309"/>
      <c r="U433" s="309"/>
      <c r="V433" s="311"/>
      <c r="W433" s="311"/>
      <c r="X433" s="311"/>
      <c r="Y433" s="311"/>
      <c r="Z433" s="311"/>
      <c r="AA433" s="311"/>
      <c r="AB433" s="311"/>
      <c r="AC433" s="311"/>
      <c r="AD433" s="311"/>
      <c r="AE433" s="311"/>
      <c r="AF433" s="311"/>
      <c r="AG433" s="311"/>
      <c r="AH433" s="311"/>
      <c r="AI433" s="311"/>
      <c r="AJ433" s="311"/>
      <c r="AK433" s="311"/>
      <c r="AL433" s="311"/>
      <c r="AM433" s="311"/>
    </row>
    <row r="434" spans="1:39" ht="15.75" customHeight="1">
      <c r="A434" s="382"/>
      <c r="B434" s="311"/>
      <c r="C434" s="1647"/>
      <c r="D434" s="2173"/>
      <c r="E434" s="1586"/>
      <c r="F434" s="1954"/>
      <c r="G434" s="1846"/>
      <c r="H434" s="1586"/>
      <c r="I434" s="1647"/>
      <c r="J434" s="2187"/>
      <c r="K434" s="1647"/>
      <c r="L434" s="1647"/>
      <c r="M434" s="2174"/>
      <c r="N434" s="836"/>
      <c r="O434" s="836"/>
      <c r="P434" s="2174"/>
      <c r="Q434" s="836"/>
      <c r="R434" s="309"/>
      <c r="S434" s="309"/>
      <c r="T434" s="309"/>
      <c r="U434" s="309"/>
      <c r="V434" s="311"/>
      <c r="W434" s="311"/>
      <c r="X434" s="311"/>
      <c r="Y434" s="311"/>
      <c r="Z434" s="311"/>
      <c r="AA434" s="311"/>
      <c r="AB434" s="311"/>
      <c r="AC434" s="311"/>
      <c r="AD434" s="311"/>
      <c r="AE434" s="311"/>
      <c r="AF434" s="311"/>
      <c r="AG434" s="311"/>
      <c r="AH434" s="311"/>
      <c r="AI434" s="311"/>
      <c r="AJ434" s="311"/>
      <c r="AK434" s="311"/>
      <c r="AL434" s="311"/>
      <c r="AM434" s="311"/>
    </row>
    <row r="435" spans="1:39" ht="15.75" customHeight="1">
      <c r="A435" s="382"/>
      <c r="B435" s="311"/>
      <c r="C435" s="1647"/>
      <c r="D435" s="2173"/>
      <c r="E435" s="1586"/>
      <c r="F435" s="1954"/>
      <c r="G435" s="1846"/>
      <c r="H435" s="1586"/>
      <c r="I435" s="1647"/>
      <c r="J435" s="2187"/>
      <c r="K435" s="1647"/>
      <c r="L435" s="1647"/>
      <c r="M435" s="2174"/>
      <c r="N435" s="836"/>
      <c r="O435" s="836"/>
      <c r="P435" s="2174"/>
      <c r="Q435" s="836"/>
      <c r="R435" s="309"/>
      <c r="S435" s="309"/>
      <c r="T435" s="309"/>
      <c r="U435" s="309"/>
      <c r="V435" s="311"/>
      <c r="W435" s="311"/>
      <c r="X435" s="311"/>
      <c r="Y435" s="311"/>
      <c r="Z435" s="311"/>
      <c r="AA435" s="311"/>
      <c r="AB435" s="311"/>
      <c r="AC435" s="311"/>
      <c r="AD435" s="311"/>
      <c r="AE435" s="311"/>
      <c r="AF435" s="311"/>
      <c r="AG435" s="311"/>
      <c r="AH435" s="311"/>
      <c r="AI435" s="311"/>
      <c r="AJ435" s="311"/>
      <c r="AK435" s="311"/>
      <c r="AL435" s="311"/>
      <c r="AM435" s="311"/>
    </row>
    <row r="436" spans="1:39" ht="15.75" customHeight="1">
      <c r="A436" s="382"/>
      <c r="B436" s="311"/>
      <c r="C436" s="1647"/>
      <c r="D436" s="2173"/>
      <c r="E436" s="1586"/>
      <c r="F436" s="1954"/>
      <c r="G436" s="1846"/>
      <c r="H436" s="1586"/>
      <c r="I436" s="1647"/>
      <c r="J436" s="2187"/>
      <c r="K436" s="1647"/>
      <c r="L436" s="1647"/>
      <c r="M436" s="2174"/>
      <c r="N436" s="836"/>
      <c r="O436" s="836"/>
      <c r="P436" s="2174"/>
      <c r="Q436" s="836"/>
      <c r="R436" s="309"/>
      <c r="S436" s="309"/>
      <c r="T436" s="309"/>
      <c r="U436" s="309"/>
      <c r="V436" s="311"/>
      <c r="W436" s="311"/>
      <c r="X436" s="311"/>
      <c r="Y436" s="311"/>
      <c r="Z436" s="311"/>
      <c r="AA436" s="311"/>
      <c r="AB436" s="311"/>
      <c r="AC436" s="311"/>
      <c r="AD436" s="311"/>
      <c r="AE436" s="311"/>
      <c r="AF436" s="311"/>
      <c r="AG436" s="311"/>
      <c r="AH436" s="311"/>
      <c r="AI436" s="311"/>
      <c r="AJ436" s="311"/>
      <c r="AK436" s="311"/>
      <c r="AL436" s="311"/>
      <c r="AM436" s="311"/>
    </row>
    <row r="437" spans="1:39" ht="15.75" customHeight="1">
      <c r="A437" s="382"/>
      <c r="B437" s="311"/>
      <c r="C437" s="1647"/>
      <c r="D437" s="2173"/>
      <c r="E437" s="1586"/>
      <c r="F437" s="1954"/>
      <c r="G437" s="1846"/>
      <c r="H437" s="1586"/>
      <c r="I437" s="1647"/>
      <c r="J437" s="2187"/>
      <c r="K437" s="1647"/>
      <c r="L437" s="1647"/>
      <c r="M437" s="2174"/>
      <c r="N437" s="836"/>
      <c r="O437" s="836"/>
      <c r="P437" s="2174"/>
      <c r="Q437" s="836"/>
      <c r="R437" s="309"/>
      <c r="S437" s="309"/>
      <c r="T437" s="309"/>
      <c r="U437" s="309"/>
      <c r="V437" s="311"/>
      <c r="W437" s="311"/>
      <c r="X437" s="311"/>
      <c r="Y437" s="311"/>
      <c r="Z437" s="311"/>
      <c r="AA437" s="311"/>
      <c r="AB437" s="311"/>
      <c r="AC437" s="311"/>
      <c r="AD437" s="311"/>
      <c r="AE437" s="311"/>
      <c r="AF437" s="311"/>
      <c r="AG437" s="311"/>
      <c r="AH437" s="311"/>
      <c r="AI437" s="311"/>
      <c r="AJ437" s="311"/>
      <c r="AK437" s="311"/>
      <c r="AL437" s="311"/>
      <c r="AM437" s="311"/>
    </row>
    <row r="438" spans="1:39" ht="15.75" customHeight="1">
      <c r="A438" s="382"/>
      <c r="B438" s="311"/>
      <c r="C438" s="1647"/>
      <c r="D438" s="2173"/>
      <c r="E438" s="1586"/>
      <c r="F438" s="1954"/>
      <c r="G438" s="1846"/>
      <c r="H438" s="1586"/>
      <c r="I438" s="1647"/>
      <c r="J438" s="2187"/>
      <c r="K438" s="1647"/>
      <c r="L438" s="1647"/>
      <c r="M438" s="2174"/>
      <c r="N438" s="836"/>
      <c r="O438" s="836"/>
      <c r="P438" s="2174"/>
      <c r="Q438" s="836"/>
      <c r="R438" s="309"/>
      <c r="S438" s="309"/>
      <c r="T438" s="309"/>
      <c r="U438" s="309"/>
      <c r="V438" s="311"/>
      <c r="W438" s="311"/>
      <c r="X438" s="311"/>
      <c r="Y438" s="311"/>
      <c r="Z438" s="311"/>
      <c r="AA438" s="311"/>
      <c r="AB438" s="311"/>
      <c r="AC438" s="311"/>
      <c r="AD438" s="311"/>
      <c r="AE438" s="311"/>
      <c r="AF438" s="311"/>
      <c r="AG438" s="311"/>
      <c r="AH438" s="311"/>
      <c r="AI438" s="311"/>
      <c r="AJ438" s="311"/>
      <c r="AK438" s="311"/>
      <c r="AL438" s="311"/>
      <c r="AM438" s="311"/>
    </row>
    <row r="439" spans="1:39" ht="15.75" customHeight="1">
      <c r="A439" s="382"/>
      <c r="B439" s="311"/>
      <c r="C439" s="1647"/>
      <c r="D439" s="2173"/>
      <c r="E439" s="1586"/>
      <c r="F439" s="1954"/>
      <c r="G439" s="1846"/>
      <c r="H439" s="1586"/>
      <c r="I439" s="1647"/>
      <c r="J439" s="2187"/>
      <c r="K439" s="1647"/>
      <c r="L439" s="1647"/>
      <c r="M439" s="2174"/>
      <c r="N439" s="836"/>
      <c r="O439" s="836"/>
      <c r="P439" s="2174"/>
      <c r="Q439" s="836"/>
      <c r="R439" s="309"/>
      <c r="S439" s="309"/>
      <c r="T439" s="309"/>
      <c r="U439" s="309"/>
      <c r="V439" s="311"/>
      <c r="W439" s="311"/>
      <c r="X439" s="311"/>
      <c r="Y439" s="311"/>
      <c r="Z439" s="311"/>
      <c r="AA439" s="311"/>
      <c r="AB439" s="311"/>
      <c r="AC439" s="311"/>
      <c r="AD439" s="311"/>
      <c r="AE439" s="311"/>
      <c r="AF439" s="311"/>
      <c r="AG439" s="311"/>
      <c r="AH439" s="311"/>
      <c r="AI439" s="311"/>
      <c r="AJ439" s="311"/>
      <c r="AK439" s="311"/>
      <c r="AL439" s="311"/>
      <c r="AM439" s="311"/>
    </row>
    <row r="440" spans="1:39" ht="15.75" customHeight="1">
      <c r="A440" s="382"/>
      <c r="B440" s="311"/>
      <c r="C440" s="1647"/>
      <c r="D440" s="2173"/>
      <c r="E440" s="1586"/>
      <c r="F440" s="1954"/>
      <c r="G440" s="1846"/>
      <c r="H440" s="1586"/>
      <c r="I440" s="1647"/>
      <c r="J440" s="2187"/>
      <c r="K440" s="1647"/>
      <c r="L440" s="1647"/>
      <c r="M440" s="2174"/>
      <c r="N440" s="836"/>
      <c r="O440" s="836"/>
      <c r="P440" s="2174"/>
      <c r="Q440" s="836"/>
      <c r="R440" s="309"/>
      <c r="S440" s="309"/>
      <c r="T440" s="309"/>
      <c r="U440" s="309"/>
      <c r="V440" s="311"/>
      <c r="W440" s="311"/>
      <c r="X440" s="311"/>
      <c r="Y440" s="311"/>
      <c r="Z440" s="311"/>
      <c r="AA440" s="311"/>
      <c r="AB440" s="311"/>
      <c r="AC440" s="311"/>
      <c r="AD440" s="311"/>
      <c r="AE440" s="311"/>
      <c r="AF440" s="311"/>
      <c r="AG440" s="311"/>
      <c r="AH440" s="311"/>
      <c r="AI440" s="311"/>
      <c r="AJ440" s="311"/>
      <c r="AK440" s="311"/>
      <c r="AL440" s="311"/>
      <c r="AM440" s="311"/>
    </row>
    <row r="441" spans="1:39" ht="15.75" customHeight="1">
      <c r="A441" s="382"/>
      <c r="B441" s="311"/>
      <c r="C441" s="1647"/>
      <c r="D441" s="2173"/>
      <c r="E441" s="1586"/>
      <c r="F441" s="1954"/>
      <c r="G441" s="1846"/>
      <c r="H441" s="1586"/>
      <c r="I441" s="1647"/>
      <c r="J441" s="2187"/>
      <c r="K441" s="1647"/>
      <c r="L441" s="1647"/>
      <c r="M441" s="2174"/>
      <c r="N441" s="836"/>
      <c r="O441" s="836"/>
      <c r="P441" s="2174"/>
      <c r="Q441" s="836"/>
      <c r="R441" s="309"/>
      <c r="S441" s="309"/>
      <c r="T441" s="309"/>
      <c r="U441" s="309"/>
      <c r="V441" s="311"/>
      <c r="W441" s="311"/>
      <c r="X441" s="311"/>
      <c r="Y441" s="311"/>
      <c r="Z441" s="311"/>
      <c r="AA441" s="311"/>
      <c r="AB441" s="311"/>
      <c r="AC441" s="311"/>
      <c r="AD441" s="311"/>
      <c r="AE441" s="311"/>
      <c r="AF441" s="311"/>
      <c r="AG441" s="311"/>
      <c r="AH441" s="311"/>
      <c r="AI441" s="311"/>
      <c r="AJ441" s="311"/>
      <c r="AK441" s="311"/>
      <c r="AL441" s="311"/>
      <c r="AM441" s="311"/>
    </row>
    <row r="442" spans="1:39" ht="15.75" customHeight="1">
      <c r="A442" s="382"/>
      <c r="B442" s="311"/>
      <c r="C442" s="1647"/>
      <c r="D442" s="2173"/>
      <c r="E442" s="1586"/>
      <c r="F442" s="1954"/>
      <c r="G442" s="1846"/>
      <c r="H442" s="1586"/>
      <c r="I442" s="1647"/>
      <c r="J442" s="2187"/>
      <c r="K442" s="1647"/>
      <c r="L442" s="1647"/>
      <c r="M442" s="2174"/>
      <c r="N442" s="836"/>
      <c r="O442" s="836"/>
      <c r="P442" s="2174"/>
      <c r="Q442" s="836"/>
      <c r="R442" s="309"/>
      <c r="S442" s="309"/>
      <c r="T442" s="309"/>
      <c r="U442" s="309"/>
      <c r="V442" s="311"/>
      <c r="W442" s="311"/>
      <c r="X442" s="311"/>
      <c r="Y442" s="311"/>
      <c r="Z442" s="311"/>
      <c r="AA442" s="311"/>
      <c r="AB442" s="311"/>
      <c r="AC442" s="311"/>
      <c r="AD442" s="311"/>
      <c r="AE442" s="311"/>
      <c r="AF442" s="311"/>
      <c r="AG442" s="311"/>
      <c r="AH442" s="311"/>
      <c r="AI442" s="311"/>
      <c r="AJ442" s="311"/>
      <c r="AK442" s="311"/>
      <c r="AL442" s="311"/>
      <c r="AM442" s="311"/>
    </row>
    <row r="443" spans="1:39" ht="15.75" customHeight="1">
      <c r="A443" s="382"/>
      <c r="B443" s="311"/>
      <c r="C443" s="1647"/>
      <c r="D443" s="2173"/>
      <c r="E443" s="1586"/>
      <c r="F443" s="1954"/>
      <c r="G443" s="1846"/>
      <c r="H443" s="1586"/>
      <c r="I443" s="1647"/>
      <c r="J443" s="2187"/>
      <c r="K443" s="1647"/>
      <c r="L443" s="1647"/>
      <c r="M443" s="2174"/>
      <c r="N443" s="836"/>
      <c r="O443" s="836"/>
      <c r="P443" s="2174"/>
      <c r="Q443" s="836"/>
      <c r="R443" s="309"/>
      <c r="S443" s="309"/>
      <c r="T443" s="309"/>
      <c r="U443" s="309"/>
      <c r="V443" s="311"/>
      <c r="W443" s="311"/>
      <c r="X443" s="311"/>
      <c r="Y443" s="311"/>
      <c r="Z443" s="311"/>
      <c r="AA443" s="311"/>
      <c r="AB443" s="311"/>
      <c r="AC443" s="311"/>
      <c r="AD443" s="311"/>
      <c r="AE443" s="311"/>
      <c r="AF443" s="311"/>
      <c r="AG443" s="311"/>
      <c r="AH443" s="311"/>
      <c r="AI443" s="311"/>
      <c r="AJ443" s="311"/>
      <c r="AK443" s="311"/>
      <c r="AL443" s="311"/>
      <c r="AM443" s="311"/>
    </row>
    <row r="444" spans="1:39" ht="15.75" customHeight="1">
      <c r="A444" s="382"/>
      <c r="B444" s="311"/>
      <c r="C444" s="1647"/>
      <c r="D444" s="2173"/>
      <c r="E444" s="1586"/>
      <c r="F444" s="1954"/>
      <c r="G444" s="1846"/>
      <c r="H444" s="1586"/>
      <c r="I444" s="1647"/>
      <c r="J444" s="2187"/>
      <c r="K444" s="1647"/>
      <c r="L444" s="1647"/>
      <c r="M444" s="2174"/>
      <c r="N444" s="836"/>
      <c r="O444" s="836"/>
      <c r="P444" s="2174"/>
      <c r="Q444" s="836"/>
      <c r="R444" s="309"/>
      <c r="S444" s="309"/>
      <c r="T444" s="309"/>
      <c r="U444" s="309"/>
      <c r="V444" s="311"/>
      <c r="W444" s="311"/>
      <c r="X444" s="311"/>
      <c r="Y444" s="311"/>
      <c r="Z444" s="311"/>
      <c r="AA444" s="311"/>
      <c r="AB444" s="311"/>
      <c r="AC444" s="311"/>
      <c r="AD444" s="311"/>
      <c r="AE444" s="311"/>
      <c r="AF444" s="311"/>
      <c r="AG444" s="311"/>
      <c r="AH444" s="311"/>
      <c r="AI444" s="311"/>
      <c r="AJ444" s="311"/>
      <c r="AK444" s="311"/>
      <c r="AL444" s="311"/>
      <c r="AM444" s="311"/>
    </row>
    <row r="445" spans="1:39" ht="15.75" customHeight="1">
      <c r="A445" s="382"/>
      <c r="B445" s="311"/>
      <c r="C445" s="1647"/>
      <c r="D445" s="2173"/>
      <c r="E445" s="1586"/>
      <c r="F445" s="1954"/>
      <c r="G445" s="1846"/>
      <c r="H445" s="1586"/>
      <c r="I445" s="1647"/>
      <c r="J445" s="2187"/>
      <c r="K445" s="1647"/>
      <c r="L445" s="1647"/>
      <c r="M445" s="2174"/>
      <c r="N445" s="836"/>
      <c r="O445" s="836"/>
      <c r="P445" s="2174"/>
      <c r="Q445" s="836"/>
      <c r="R445" s="309"/>
      <c r="S445" s="309"/>
      <c r="T445" s="309"/>
      <c r="U445" s="309"/>
      <c r="V445" s="311"/>
      <c r="W445" s="311"/>
      <c r="X445" s="311"/>
      <c r="Y445" s="311"/>
      <c r="Z445" s="311"/>
      <c r="AA445" s="311"/>
      <c r="AB445" s="311"/>
      <c r="AC445" s="311"/>
      <c r="AD445" s="311"/>
      <c r="AE445" s="311"/>
      <c r="AF445" s="311"/>
      <c r="AG445" s="311"/>
      <c r="AH445" s="311"/>
      <c r="AI445" s="311"/>
      <c r="AJ445" s="311"/>
      <c r="AK445" s="311"/>
      <c r="AL445" s="311"/>
      <c r="AM445" s="311"/>
    </row>
    <row r="446" spans="1:39" ht="15.75" customHeight="1">
      <c r="A446" s="382"/>
      <c r="B446" s="311"/>
      <c r="C446" s="1647"/>
      <c r="D446" s="2173"/>
      <c r="E446" s="1586"/>
      <c r="F446" s="1954"/>
      <c r="G446" s="1846"/>
      <c r="H446" s="1586"/>
      <c r="I446" s="1647"/>
      <c r="J446" s="2187"/>
      <c r="K446" s="1647"/>
      <c r="L446" s="1647"/>
      <c r="M446" s="2174"/>
      <c r="N446" s="836"/>
      <c r="O446" s="836"/>
      <c r="P446" s="2174"/>
      <c r="Q446" s="836"/>
      <c r="R446" s="309"/>
      <c r="S446" s="309"/>
      <c r="T446" s="309"/>
      <c r="U446" s="309"/>
      <c r="V446" s="311"/>
      <c r="W446" s="311"/>
      <c r="X446" s="311"/>
      <c r="Y446" s="311"/>
      <c r="Z446" s="311"/>
      <c r="AA446" s="311"/>
      <c r="AB446" s="311"/>
      <c r="AC446" s="311"/>
      <c r="AD446" s="311"/>
      <c r="AE446" s="311"/>
      <c r="AF446" s="311"/>
      <c r="AG446" s="311"/>
      <c r="AH446" s="311"/>
      <c r="AI446" s="311"/>
      <c r="AJ446" s="311"/>
      <c r="AK446" s="311"/>
      <c r="AL446" s="311"/>
      <c r="AM446" s="311"/>
    </row>
    <row r="447" spans="1:39" ht="15.75" customHeight="1">
      <c r="A447" s="382"/>
      <c r="B447" s="311"/>
      <c r="C447" s="1647"/>
      <c r="D447" s="2173"/>
      <c r="E447" s="1586"/>
      <c r="F447" s="1954"/>
      <c r="G447" s="1846"/>
      <c r="H447" s="1586"/>
      <c r="I447" s="1647"/>
      <c r="J447" s="2187"/>
      <c r="K447" s="1647"/>
      <c r="L447" s="1647"/>
      <c r="M447" s="2174"/>
      <c r="N447" s="836"/>
      <c r="O447" s="836"/>
      <c r="P447" s="2174"/>
      <c r="Q447" s="836"/>
      <c r="R447" s="309"/>
      <c r="S447" s="309"/>
      <c r="T447" s="309"/>
      <c r="U447" s="309"/>
      <c r="V447" s="311"/>
      <c r="W447" s="311"/>
      <c r="X447" s="311"/>
      <c r="Y447" s="311"/>
      <c r="Z447" s="311"/>
      <c r="AA447" s="311"/>
      <c r="AB447" s="311"/>
      <c r="AC447" s="311"/>
      <c r="AD447" s="311"/>
      <c r="AE447" s="311"/>
      <c r="AF447" s="311"/>
      <c r="AG447" s="311"/>
      <c r="AH447" s="311"/>
      <c r="AI447" s="311"/>
      <c r="AJ447" s="311"/>
      <c r="AK447" s="311"/>
      <c r="AL447" s="311"/>
      <c r="AM447" s="311"/>
    </row>
    <row r="448" spans="1:39" ht="15.75" customHeight="1">
      <c r="A448" s="382"/>
      <c r="B448" s="311"/>
      <c r="C448" s="1647"/>
      <c r="D448" s="2173"/>
      <c r="E448" s="1586"/>
      <c r="F448" s="1954"/>
      <c r="G448" s="1846"/>
      <c r="H448" s="1586"/>
      <c r="I448" s="1647"/>
      <c r="J448" s="2187"/>
      <c r="K448" s="1647"/>
      <c r="L448" s="1647"/>
      <c r="M448" s="2174"/>
      <c r="N448" s="836"/>
      <c r="O448" s="836"/>
      <c r="P448" s="2174"/>
      <c r="Q448" s="836"/>
      <c r="R448" s="309"/>
      <c r="S448" s="309"/>
      <c r="T448" s="309"/>
      <c r="U448" s="309"/>
      <c r="V448" s="311"/>
      <c r="W448" s="311"/>
      <c r="X448" s="311"/>
      <c r="Y448" s="311"/>
      <c r="Z448" s="311"/>
      <c r="AA448" s="311"/>
      <c r="AB448" s="311"/>
      <c r="AC448" s="311"/>
      <c r="AD448" s="311"/>
      <c r="AE448" s="311"/>
      <c r="AF448" s="311"/>
      <c r="AG448" s="311"/>
      <c r="AH448" s="311"/>
      <c r="AI448" s="311"/>
      <c r="AJ448" s="311"/>
      <c r="AK448" s="311"/>
      <c r="AL448" s="311"/>
      <c r="AM448" s="311"/>
    </row>
    <row r="449" spans="1:39" ht="15.75" customHeight="1">
      <c r="A449" s="382"/>
      <c r="B449" s="311"/>
      <c r="C449" s="1647"/>
      <c r="D449" s="2173"/>
      <c r="E449" s="1586"/>
      <c r="F449" s="1954"/>
      <c r="G449" s="1846"/>
      <c r="H449" s="1586"/>
      <c r="I449" s="1647"/>
      <c r="J449" s="2187"/>
      <c r="K449" s="1647"/>
      <c r="L449" s="1647"/>
      <c r="M449" s="2174"/>
      <c r="N449" s="836"/>
      <c r="O449" s="836"/>
      <c r="P449" s="2174"/>
      <c r="Q449" s="836"/>
      <c r="R449" s="309"/>
      <c r="S449" s="309"/>
      <c r="T449" s="309"/>
      <c r="U449" s="309"/>
      <c r="V449" s="311"/>
      <c r="W449" s="311"/>
      <c r="X449" s="311"/>
      <c r="Y449" s="311"/>
      <c r="Z449" s="311"/>
      <c r="AA449" s="311"/>
      <c r="AB449" s="311"/>
      <c r="AC449" s="311"/>
      <c r="AD449" s="311"/>
      <c r="AE449" s="311"/>
      <c r="AF449" s="311"/>
      <c r="AG449" s="311"/>
      <c r="AH449" s="311"/>
      <c r="AI449" s="311"/>
      <c r="AJ449" s="311"/>
      <c r="AK449" s="311"/>
      <c r="AL449" s="311"/>
      <c r="AM449" s="311"/>
    </row>
    <row r="450" spans="1:39" ht="15.75" customHeight="1">
      <c r="A450" s="382"/>
      <c r="B450" s="311"/>
      <c r="C450" s="1647"/>
      <c r="D450" s="2173"/>
      <c r="E450" s="1586"/>
      <c r="F450" s="1954"/>
      <c r="G450" s="1846"/>
      <c r="H450" s="1586"/>
      <c r="I450" s="1647"/>
      <c r="J450" s="2187"/>
      <c r="K450" s="1647"/>
      <c r="L450" s="1647"/>
      <c r="M450" s="2174"/>
      <c r="N450" s="836"/>
      <c r="O450" s="836"/>
      <c r="P450" s="2174"/>
      <c r="Q450" s="836"/>
      <c r="R450" s="309"/>
      <c r="S450" s="309"/>
      <c r="T450" s="309"/>
      <c r="U450" s="309"/>
      <c r="V450" s="311"/>
      <c r="W450" s="311"/>
      <c r="X450" s="311"/>
      <c r="Y450" s="311"/>
      <c r="Z450" s="311"/>
      <c r="AA450" s="311"/>
      <c r="AB450" s="311"/>
      <c r="AC450" s="311"/>
      <c r="AD450" s="311"/>
      <c r="AE450" s="311"/>
      <c r="AF450" s="311"/>
      <c r="AG450" s="311"/>
      <c r="AH450" s="311"/>
      <c r="AI450" s="311"/>
      <c r="AJ450" s="311"/>
      <c r="AK450" s="311"/>
      <c r="AL450" s="311"/>
      <c r="AM450" s="311"/>
    </row>
    <row r="451" spans="1:39" ht="15.75" customHeight="1">
      <c r="A451" s="382"/>
      <c r="B451" s="311"/>
      <c r="C451" s="1647"/>
      <c r="D451" s="2173"/>
      <c r="E451" s="1586"/>
      <c r="F451" s="1954"/>
      <c r="G451" s="1846"/>
      <c r="H451" s="1586"/>
      <c r="I451" s="1647"/>
      <c r="J451" s="2187"/>
      <c r="K451" s="1647"/>
      <c r="L451" s="1647"/>
      <c r="M451" s="2174"/>
      <c r="N451" s="836"/>
      <c r="O451" s="836"/>
      <c r="P451" s="2174"/>
      <c r="Q451" s="836"/>
      <c r="R451" s="309"/>
      <c r="S451" s="309"/>
      <c r="T451" s="309"/>
      <c r="U451" s="309"/>
      <c r="V451" s="311"/>
      <c r="W451" s="311"/>
      <c r="X451" s="311"/>
      <c r="Y451" s="311"/>
      <c r="Z451" s="311"/>
      <c r="AA451" s="311"/>
      <c r="AB451" s="311"/>
      <c r="AC451" s="311"/>
      <c r="AD451" s="311"/>
      <c r="AE451" s="311"/>
      <c r="AF451" s="311"/>
      <c r="AG451" s="311"/>
      <c r="AH451" s="311"/>
      <c r="AI451" s="311"/>
      <c r="AJ451" s="311"/>
      <c r="AK451" s="311"/>
      <c r="AL451" s="311"/>
      <c r="AM451" s="311"/>
    </row>
    <row r="452" spans="1:39" ht="15.75" customHeight="1">
      <c r="A452" s="382"/>
      <c r="B452" s="311"/>
      <c r="C452" s="1647"/>
      <c r="D452" s="2173"/>
      <c r="E452" s="1586"/>
      <c r="F452" s="1954"/>
      <c r="G452" s="1846"/>
      <c r="H452" s="1586"/>
      <c r="I452" s="1647"/>
      <c r="J452" s="2187"/>
      <c r="K452" s="1647"/>
      <c r="L452" s="1647"/>
      <c r="M452" s="2174"/>
      <c r="N452" s="836"/>
      <c r="O452" s="836"/>
      <c r="P452" s="2174"/>
      <c r="Q452" s="836"/>
      <c r="R452" s="309"/>
      <c r="S452" s="309"/>
      <c r="T452" s="309"/>
      <c r="U452" s="309"/>
      <c r="V452" s="311"/>
      <c r="W452" s="311"/>
      <c r="X452" s="311"/>
      <c r="Y452" s="311"/>
      <c r="Z452" s="311"/>
      <c r="AA452" s="311"/>
      <c r="AB452" s="311"/>
      <c r="AC452" s="311"/>
      <c r="AD452" s="311"/>
      <c r="AE452" s="311"/>
      <c r="AF452" s="311"/>
      <c r="AG452" s="311"/>
      <c r="AH452" s="311"/>
      <c r="AI452" s="311"/>
      <c r="AJ452" s="311"/>
      <c r="AK452" s="311"/>
      <c r="AL452" s="311"/>
      <c r="AM452" s="311"/>
    </row>
    <row r="453" spans="1:39" ht="15.75" customHeight="1">
      <c r="A453" s="382"/>
      <c r="B453" s="311"/>
      <c r="C453" s="1647"/>
      <c r="D453" s="2173"/>
      <c r="E453" s="1586"/>
      <c r="F453" s="1954"/>
      <c r="G453" s="1846"/>
      <c r="H453" s="1586"/>
      <c r="I453" s="1647"/>
      <c r="J453" s="2187"/>
      <c r="K453" s="1647"/>
      <c r="L453" s="1647"/>
      <c r="M453" s="2174"/>
      <c r="N453" s="836"/>
      <c r="O453" s="836"/>
      <c r="P453" s="2174"/>
      <c r="Q453" s="836"/>
      <c r="R453" s="309"/>
      <c r="S453" s="309"/>
      <c r="T453" s="309"/>
      <c r="U453" s="309"/>
      <c r="V453" s="311"/>
      <c r="W453" s="311"/>
      <c r="X453" s="311"/>
      <c r="Y453" s="311"/>
      <c r="Z453" s="311"/>
      <c r="AA453" s="311"/>
      <c r="AB453" s="311"/>
      <c r="AC453" s="311"/>
      <c r="AD453" s="311"/>
      <c r="AE453" s="311"/>
      <c r="AF453" s="311"/>
      <c r="AG453" s="311"/>
      <c r="AH453" s="311"/>
      <c r="AI453" s="311"/>
      <c r="AJ453" s="311"/>
      <c r="AK453" s="311"/>
      <c r="AL453" s="311"/>
      <c r="AM453" s="311"/>
    </row>
    <row r="454" spans="1:39" ht="15.75" customHeight="1">
      <c r="A454" s="382"/>
      <c r="B454" s="311"/>
      <c r="C454" s="1647"/>
      <c r="D454" s="2173"/>
      <c r="E454" s="1586"/>
      <c r="F454" s="1954"/>
      <c r="G454" s="1846"/>
      <c r="H454" s="1586"/>
      <c r="I454" s="1647"/>
      <c r="J454" s="2187"/>
      <c r="K454" s="1647"/>
      <c r="L454" s="1647"/>
      <c r="M454" s="2174"/>
      <c r="N454" s="836"/>
      <c r="O454" s="836"/>
      <c r="P454" s="2174"/>
      <c r="Q454" s="836"/>
      <c r="R454" s="309"/>
      <c r="S454" s="309"/>
      <c r="T454" s="309"/>
      <c r="U454" s="309"/>
      <c r="V454" s="311"/>
      <c r="W454" s="311"/>
      <c r="X454" s="311"/>
      <c r="Y454" s="311"/>
      <c r="Z454" s="311"/>
      <c r="AA454" s="311"/>
      <c r="AB454" s="311"/>
      <c r="AC454" s="311"/>
      <c r="AD454" s="311"/>
      <c r="AE454" s="311"/>
      <c r="AF454" s="311"/>
      <c r="AG454" s="311"/>
      <c r="AH454" s="311"/>
      <c r="AI454" s="311"/>
      <c r="AJ454" s="311"/>
      <c r="AK454" s="311"/>
      <c r="AL454" s="311"/>
      <c r="AM454" s="311"/>
    </row>
    <row r="455" spans="1:39" ht="15.75" customHeight="1">
      <c r="A455" s="382"/>
      <c r="B455" s="311"/>
      <c r="C455" s="1647"/>
      <c r="D455" s="2173"/>
      <c r="E455" s="1586"/>
      <c r="F455" s="1954"/>
      <c r="G455" s="1846"/>
      <c r="H455" s="1586"/>
      <c r="I455" s="1647"/>
      <c r="J455" s="2187"/>
      <c r="K455" s="1647"/>
      <c r="L455" s="1647"/>
      <c r="M455" s="2174"/>
      <c r="N455" s="836"/>
      <c r="O455" s="836"/>
      <c r="P455" s="2174"/>
      <c r="Q455" s="836"/>
      <c r="R455" s="309"/>
      <c r="S455" s="309"/>
      <c r="T455" s="309"/>
      <c r="U455" s="309"/>
      <c r="V455" s="311"/>
      <c r="W455" s="311"/>
      <c r="X455" s="311"/>
      <c r="Y455" s="311"/>
      <c r="Z455" s="311"/>
      <c r="AA455" s="311"/>
      <c r="AB455" s="311"/>
      <c r="AC455" s="311"/>
      <c r="AD455" s="311"/>
      <c r="AE455" s="311"/>
      <c r="AF455" s="311"/>
      <c r="AG455" s="311"/>
      <c r="AH455" s="311"/>
      <c r="AI455" s="311"/>
      <c r="AJ455" s="311"/>
      <c r="AK455" s="311"/>
      <c r="AL455" s="311"/>
      <c r="AM455" s="311"/>
    </row>
    <row r="456" spans="1:39" ht="15.75" customHeight="1">
      <c r="A456" s="382"/>
      <c r="B456" s="311"/>
      <c r="C456" s="1647"/>
      <c r="D456" s="2173"/>
      <c r="E456" s="1586"/>
      <c r="F456" s="1954"/>
      <c r="G456" s="1846"/>
      <c r="H456" s="1586"/>
      <c r="I456" s="1647"/>
      <c r="J456" s="2187"/>
      <c r="K456" s="1647"/>
      <c r="L456" s="1647"/>
      <c r="M456" s="2174"/>
      <c r="N456" s="836"/>
      <c r="O456" s="836"/>
      <c r="P456" s="2174"/>
      <c r="Q456" s="836"/>
      <c r="R456" s="309"/>
      <c r="S456" s="309"/>
      <c r="T456" s="309"/>
      <c r="U456" s="309"/>
      <c r="V456" s="311"/>
      <c r="W456" s="311"/>
      <c r="X456" s="311"/>
      <c r="Y456" s="311"/>
      <c r="Z456" s="311"/>
      <c r="AA456" s="311"/>
      <c r="AB456" s="311"/>
      <c r="AC456" s="311"/>
      <c r="AD456" s="311"/>
      <c r="AE456" s="311"/>
      <c r="AF456" s="311"/>
      <c r="AG456" s="311"/>
      <c r="AH456" s="311"/>
      <c r="AI456" s="311"/>
      <c r="AJ456" s="311"/>
      <c r="AK456" s="311"/>
      <c r="AL456" s="311"/>
      <c r="AM456" s="311"/>
    </row>
    <row r="457" spans="1:39" ht="15.75" customHeight="1">
      <c r="A457" s="382"/>
      <c r="B457" s="311"/>
      <c r="C457" s="1647"/>
      <c r="D457" s="2173"/>
      <c r="E457" s="1586"/>
      <c r="F457" s="1954"/>
      <c r="G457" s="1846"/>
      <c r="H457" s="1586"/>
      <c r="I457" s="1647"/>
      <c r="J457" s="2187"/>
      <c r="K457" s="1647"/>
      <c r="L457" s="1647"/>
      <c r="M457" s="2174"/>
      <c r="N457" s="836"/>
      <c r="O457" s="836"/>
      <c r="P457" s="2174"/>
      <c r="Q457" s="836"/>
      <c r="R457" s="309"/>
      <c r="S457" s="309"/>
      <c r="T457" s="309"/>
      <c r="U457" s="309"/>
      <c r="V457" s="311"/>
      <c r="W457" s="311"/>
      <c r="X457" s="311"/>
      <c r="Y457" s="311"/>
      <c r="Z457" s="311"/>
      <c r="AA457" s="311"/>
      <c r="AB457" s="311"/>
      <c r="AC457" s="311"/>
      <c r="AD457" s="311"/>
      <c r="AE457" s="311"/>
      <c r="AF457" s="311"/>
      <c r="AG457" s="311"/>
      <c r="AH457" s="311"/>
      <c r="AI457" s="311"/>
      <c r="AJ457" s="311"/>
      <c r="AK457" s="311"/>
      <c r="AL457" s="311"/>
      <c r="AM457" s="311"/>
    </row>
    <row r="458" spans="1:39" ht="15.75" customHeight="1">
      <c r="A458" s="382"/>
      <c r="B458" s="311"/>
      <c r="C458" s="1647"/>
      <c r="D458" s="2173"/>
      <c r="E458" s="1586"/>
      <c r="F458" s="1954"/>
      <c r="G458" s="1846"/>
      <c r="H458" s="1586"/>
      <c r="I458" s="1647"/>
      <c r="J458" s="2187"/>
      <c r="K458" s="1647"/>
      <c r="L458" s="1647"/>
      <c r="M458" s="2174"/>
      <c r="N458" s="836"/>
      <c r="O458" s="836"/>
      <c r="P458" s="2174"/>
      <c r="Q458" s="836"/>
      <c r="R458" s="309"/>
      <c r="S458" s="309"/>
      <c r="T458" s="309"/>
      <c r="U458" s="309"/>
      <c r="V458" s="311"/>
      <c r="W458" s="311"/>
      <c r="X458" s="311"/>
      <c r="Y458" s="311"/>
      <c r="Z458" s="311"/>
      <c r="AA458" s="311"/>
      <c r="AB458" s="311"/>
      <c r="AC458" s="311"/>
      <c r="AD458" s="311"/>
      <c r="AE458" s="311"/>
      <c r="AF458" s="311"/>
      <c r="AG458" s="311"/>
      <c r="AH458" s="311"/>
      <c r="AI458" s="311"/>
      <c r="AJ458" s="311"/>
      <c r="AK458" s="311"/>
      <c r="AL458" s="311"/>
      <c r="AM458" s="311"/>
    </row>
    <row r="459" spans="1:39" ht="15.75" customHeight="1">
      <c r="A459" s="382"/>
      <c r="B459" s="311"/>
      <c r="C459" s="1647"/>
      <c r="D459" s="2173"/>
      <c r="E459" s="1586"/>
      <c r="F459" s="1954"/>
      <c r="G459" s="1846"/>
      <c r="H459" s="1586"/>
      <c r="I459" s="1647"/>
      <c r="J459" s="2187"/>
      <c r="K459" s="1647"/>
      <c r="L459" s="1647"/>
      <c r="M459" s="2174"/>
      <c r="N459" s="836"/>
      <c r="O459" s="836"/>
      <c r="P459" s="2174"/>
      <c r="Q459" s="836"/>
      <c r="R459" s="309"/>
      <c r="S459" s="309"/>
      <c r="T459" s="309"/>
      <c r="U459" s="309"/>
      <c r="V459" s="311"/>
      <c r="W459" s="311"/>
      <c r="X459" s="311"/>
      <c r="Y459" s="311"/>
      <c r="Z459" s="311"/>
      <c r="AA459" s="311"/>
      <c r="AB459" s="311"/>
      <c r="AC459" s="311"/>
      <c r="AD459" s="311"/>
      <c r="AE459" s="311"/>
      <c r="AF459" s="311"/>
      <c r="AG459" s="311"/>
      <c r="AH459" s="311"/>
      <c r="AI459" s="311"/>
      <c r="AJ459" s="311"/>
      <c r="AK459" s="311"/>
      <c r="AL459" s="311"/>
      <c r="AM459" s="311"/>
    </row>
    <row r="460" spans="1:39" ht="15.75" customHeight="1">
      <c r="A460" s="382"/>
      <c r="B460" s="311"/>
      <c r="C460" s="1647"/>
      <c r="D460" s="2173"/>
      <c r="E460" s="1586"/>
      <c r="F460" s="1954"/>
      <c r="G460" s="1846"/>
      <c r="H460" s="1586"/>
      <c r="I460" s="1647"/>
      <c r="J460" s="2187"/>
      <c r="K460" s="1647"/>
      <c r="L460" s="1647"/>
      <c r="M460" s="2174"/>
      <c r="N460" s="836"/>
      <c r="O460" s="836"/>
      <c r="P460" s="2174"/>
      <c r="Q460" s="836"/>
      <c r="R460" s="309"/>
      <c r="S460" s="309"/>
      <c r="T460" s="309"/>
      <c r="U460" s="309"/>
      <c r="V460" s="311"/>
      <c r="W460" s="311"/>
      <c r="X460" s="311"/>
      <c r="Y460" s="311"/>
      <c r="Z460" s="311"/>
      <c r="AA460" s="311"/>
      <c r="AB460" s="311"/>
      <c r="AC460" s="311"/>
      <c r="AD460" s="311"/>
      <c r="AE460" s="311"/>
      <c r="AF460" s="311"/>
      <c r="AG460" s="311"/>
      <c r="AH460" s="311"/>
      <c r="AI460" s="311"/>
      <c r="AJ460" s="311"/>
      <c r="AK460" s="311"/>
      <c r="AL460" s="311"/>
      <c r="AM460" s="311"/>
    </row>
    <row r="461" spans="1:39" ht="15.75" customHeight="1">
      <c r="A461" s="382"/>
      <c r="B461" s="311"/>
      <c r="C461" s="1647"/>
      <c r="D461" s="2173"/>
      <c r="E461" s="1586"/>
      <c r="F461" s="1954"/>
      <c r="G461" s="1846"/>
      <c r="H461" s="1586"/>
      <c r="I461" s="1647"/>
      <c r="J461" s="2187"/>
      <c r="K461" s="1647"/>
      <c r="L461" s="1647"/>
      <c r="M461" s="2174"/>
      <c r="N461" s="836"/>
      <c r="O461" s="836"/>
      <c r="P461" s="2174"/>
      <c r="Q461" s="836"/>
      <c r="R461" s="309"/>
      <c r="S461" s="309"/>
      <c r="T461" s="309"/>
      <c r="U461" s="309"/>
      <c r="V461" s="311"/>
      <c r="W461" s="311"/>
      <c r="X461" s="311"/>
      <c r="Y461" s="311"/>
      <c r="Z461" s="311"/>
      <c r="AA461" s="311"/>
      <c r="AB461" s="311"/>
      <c r="AC461" s="311"/>
      <c r="AD461" s="311"/>
      <c r="AE461" s="311"/>
      <c r="AF461" s="311"/>
      <c r="AG461" s="311"/>
      <c r="AH461" s="311"/>
      <c r="AI461" s="311"/>
      <c r="AJ461" s="311"/>
      <c r="AK461" s="311"/>
      <c r="AL461" s="311"/>
      <c r="AM461" s="311"/>
    </row>
    <row r="462" spans="1:39" ht="15.75" customHeight="1">
      <c r="A462" s="382"/>
      <c r="B462" s="311"/>
      <c r="C462" s="1647"/>
      <c r="D462" s="2173"/>
      <c r="E462" s="1586"/>
      <c r="F462" s="1954"/>
      <c r="G462" s="1846"/>
      <c r="H462" s="1586"/>
      <c r="I462" s="1647"/>
      <c r="J462" s="2187"/>
      <c r="K462" s="1647"/>
      <c r="L462" s="1647"/>
      <c r="M462" s="2174"/>
      <c r="N462" s="836"/>
      <c r="O462" s="836"/>
      <c r="P462" s="2174"/>
      <c r="Q462" s="836"/>
      <c r="R462" s="309"/>
      <c r="S462" s="309"/>
      <c r="T462" s="309"/>
      <c r="U462" s="309"/>
      <c r="V462" s="311"/>
      <c r="W462" s="311"/>
      <c r="X462" s="311"/>
      <c r="Y462" s="311"/>
      <c r="Z462" s="311"/>
      <c r="AA462" s="311"/>
      <c r="AB462" s="311"/>
      <c r="AC462" s="311"/>
      <c r="AD462" s="311"/>
      <c r="AE462" s="311"/>
      <c r="AF462" s="311"/>
      <c r="AG462" s="311"/>
      <c r="AH462" s="311"/>
      <c r="AI462" s="311"/>
      <c r="AJ462" s="311"/>
      <c r="AK462" s="311"/>
      <c r="AL462" s="311"/>
      <c r="AM462" s="311"/>
    </row>
    <row r="463" spans="1:39" ht="15.75" customHeight="1">
      <c r="A463" s="382"/>
      <c r="B463" s="311"/>
      <c r="C463" s="1647"/>
      <c r="D463" s="2173"/>
      <c r="E463" s="1586"/>
      <c r="F463" s="1954"/>
      <c r="G463" s="1846"/>
      <c r="H463" s="1586"/>
      <c r="I463" s="1647"/>
      <c r="J463" s="2187"/>
      <c r="K463" s="1647"/>
      <c r="L463" s="1647"/>
      <c r="M463" s="2174"/>
      <c r="N463" s="836"/>
      <c r="O463" s="836"/>
      <c r="P463" s="2174"/>
      <c r="Q463" s="836"/>
      <c r="R463" s="309"/>
      <c r="S463" s="309"/>
      <c r="T463" s="309"/>
      <c r="U463" s="309"/>
      <c r="V463" s="311"/>
      <c r="W463" s="311"/>
      <c r="X463" s="311"/>
      <c r="Y463" s="311"/>
      <c r="Z463" s="311"/>
      <c r="AA463" s="311"/>
      <c r="AB463" s="311"/>
      <c r="AC463" s="311"/>
      <c r="AD463" s="311"/>
      <c r="AE463" s="311"/>
      <c r="AF463" s="311"/>
      <c r="AG463" s="311"/>
      <c r="AH463" s="311"/>
      <c r="AI463" s="311"/>
      <c r="AJ463" s="311"/>
      <c r="AK463" s="311"/>
      <c r="AL463" s="311"/>
      <c r="AM463" s="311"/>
    </row>
    <row r="464" spans="1:39" ht="15.75" customHeight="1">
      <c r="A464" s="382"/>
      <c r="B464" s="311"/>
      <c r="C464" s="1647"/>
      <c r="D464" s="2173"/>
      <c r="E464" s="1586"/>
      <c r="F464" s="1954"/>
      <c r="G464" s="1846"/>
      <c r="H464" s="1586"/>
      <c r="I464" s="1647"/>
      <c r="J464" s="2187"/>
      <c r="K464" s="1647"/>
      <c r="L464" s="1647"/>
      <c r="M464" s="2174"/>
      <c r="N464" s="836"/>
      <c r="O464" s="836"/>
      <c r="P464" s="2174"/>
      <c r="Q464" s="836"/>
      <c r="R464" s="309"/>
      <c r="S464" s="309"/>
      <c r="T464" s="309"/>
      <c r="U464" s="309"/>
      <c r="V464" s="311"/>
      <c r="W464" s="311"/>
      <c r="X464" s="311"/>
      <c r="Y464" s="311"/>
      <c r="Z464" s="311"/>
      <c r="AA464" s="311"/>
      <c r="AB464" s="311"/>
      <c r="AC464" s="311"/>
      <c r="AD464" s="311"/>
      <c r="AE464" s="311"/>
      <c r="AF464" s="311"/>
      <c r="AG464" s="311"/>
      <c r="AH464" s="311"/>
      <c r="AI464" s="311"/>
      <c r="AJ464" s="311"/>
      <c r="AK464" s="311"/>
      <c r="AL464" s="311"/>
      <c r="AM464" s="311"/>
    </row>
    <row r="465" spans="1:39" ht="15.75" customHeight="1">
      <c r="A465" s="382"/>
      <c r="B465" s="311"/>
      <c r="C465" s="1647"/>
      <c r="D465" s="2173"/>
      <c r="E465" s="1586"/>
      <c r="F465" s="1954"/>
      <c r="G465" s="1846"/>
      <c r="H465" s="1586"/>
      <c r="I465" s="1647"/>
      <c r="J465" s="2187"/>
      <c r="K465" s="1647"/>
      <c r="L465" s="1647"/>
      <c r="M465" s="2174"/>
      <c r="N465" s="836"/>
      <c r="O465" s="836"/>
      <c r="P465" s="2174"/>
      <c r="Q465" s="836"/>
      <c r="R465" s="309"/>
      <c r="S465" s="309"/>
      <c r="T465" s="309"/>
      <c r="U465" s="309"/>
      <c r="V465" s="311"/>
      <c r="W465" s="311"/>
      <c r="X465" s="311"/>
      <c r="Y465" s="311"/>
      <c r="Z465" s="311"/>
      <c r="AA465" s="311"/>
      <c r="AB465" s="311"/>
      <c r="AC465" s="311"/>
      <c r="AD465" s="311"/>
      <c r="AE465" s="311"/>
      <c r="AF465" s="311"/>
      <c r="AG465" s="311"/>
      <c r="AH465" s="311"/>
      <c r="AI465" s="311"/>
      <c r="AJ465" s="311"/>
      <c r="AK465" s="311"/>
      <c r="AL465" s="311"/>
      <c r="AM465" s="311"/>
    </row>
    <row r="466" spans="1:39" ht="15.75" customHeight="1">
      <c r="A466" s="382"/>
      <c r="B466" s="311"/>
      <c r="C466" s="1647"/>
      <c r="D466" s="2173"/>
      <c r="E466" s="1586"/>
      <c r="F466" s="1954"/>
      <c r="G466" s="1846"/>
      <c r="H466" s="1586"/>
      <c r="I466" s="1647"/>
      <c r="J466" s="2187"/>
      <c r="K466" s="1647"/>
      <c r="L466" s="1647"/>
      <c r="M466" s="2174"/>
      <c r="N466" s="836"/>
      <c r="O466" s="836"/>
      <c r="P466" s="2174"/>
      <c r="Q466" s="836"/>
      <c r="R466" s="309"/>
      <c r="S466" s="309"/>
      <c r="T466" s="309"/>
      <c r="U466" s="309"/>
      <c r="V466" s="311"/>
      <c r="W466" s="311"/>
      <c r="X466" s="311"/>
      <c r="Y466" s="311"/>
      <c r="Z466" s="311"/>
      <c r="AA466" s="311"/>
      <c r="AB466" s="311"/>
      <c r="AC466" s="311"/>
      <c r="AD466" s="311"/>
      <c r="AE466" s="311"/>
      <c r="AF466" s="311"/>
      <c r="AG466" s="311"/>
      <c r="AH466" s="311"/>
      <c r="AI466" s="311"/>
      <c r="AJ466" s="311"/>
      <c r="AK466" s="311"/>
      <c r="AL466" s="311"/>
      <c r="AM466" s="311"/>
    </row>
    <row r="467" spans="1:39" ht="15.75" customHeight="1">
      <c r="A467" s="382"/>
      <c r="B467" s="311"/>
      <c r="C467" s="1647"/>
      <c r="D467" s="2173"/>
      <c r="E467" s="1586"/>
      <c r="F467" s="1954"/>
      <c r="G467" s="1846"/>
      <c r="H467" s="1586"/>
      <c r="I467" s="1647"/>
      <c r="J467" s="2187"/>
      <c r="K467" s="1647"/>
      <c r="L467" s="1647"/>
      <c r="M467" s="2174"/>
      <c r="N467" s="836"/>
      <c r="O467" s="836"/>
      <c r="P467" s="2174"/>
      <c r="Q467" s="836"/>
      <c r="R467" s="309"/>
      <c r="S467" s="309"/>
      <c r="T467" s="309"/>
      <c r="U467" s="309"/>
      <c r="V467" s="311"/>
      <c r="W467" s="311"/>
      <c r="X467" s="311"/>
      <c r="Y467" s="311"/>
      <c r="Z467" s="311"/>
      <c r="AA467" s="311"/>
      <c r="AB467" s="311"/>
      <c r="AC467" s="311"/>
      <c r="AD467" s="311"/>
      <c r="AE467" s="311"/>
      <c r="AF467" s="311"/>
      <c r="AG467" s="311"/>
      <c r="AH467" s="311"/>
      <c r="AI467" s="311"/>
      <c r="AJ467" s="311"/>
      <c r="AK467" s="311"/>
      <c r="AL467" s="311"/>
      <c r="AM467" s="311"/>
    </row>
    <row r="468" spans="1:39" ht="15.75" customHeight="1">
      <c r="A468" s="382"/>
      <c r="B468" s="311"/>
      <c r="C468" s="1647"/>
      <c r="D468" s="2173"/>
      <c r="E468" s="1586"/>
      <c r="F468" s="1954"/>
      <c r="G468" s="1846"/>
      <c r="H468" s="1586"/>
      <c r="I468" s="1647"/>
      <c r="J468" s="2187"/>
      <c r="K468" s="1647"/>
      <c r="L468" s="1647"/>
      <c r="M468" s="2174"/>
      <c r="N468" s="836"/>
      <c r="O468" s="836"/>
      <c r="P468" s="2174"/>
      <c r="Q468" s="836"/>
      <c r="R468" s="309"/>
      <c r="S468" s="309"/>
      <c r="T468" s="309"/>
      <c r="U468" s="309"/>
      <c r="V468" s="311"/>
      <c r="W468" s="311"/>
      <c r="X468" s="311"/>
      <c r="Y468" s="311"/>
      <c r="Z468" s="311"/>
      <c r="AA468" s="311"/>
      <c r="AB468" s="311"/>
      <c r="AC468" s="311"/>
      <c r="AD468" s="311"/>
      <c r="AE468" s="311"/>
      <c r="AF468" s="311"/>
      <c r="AG468" s="311"/>
      <c r="AH468" s="311"/>
      <c r="AI468" s="311"/>
      <c r="AJ468" s="311"/>
      <c r="AK468" s="311"/>
      <c r="AL468" s="311"/>
      <c r="AM468" s="311"/>
    </row>
    <row r="469" spans="1:39" ht="15.75" customHeight="1">
      <c r="A469" s="382"/>
      <c r="B469" s="311"/>
      <c r="C469" s="1647"/>
      <c r="D469" s="2173"/>
      <c r="E469" s="1586"/>
      <c r="F469" s="1954"/>
      <c r="G469" s="1846"/>
      <c r="H469" s="1586"/>
      <c r="I469" s="1647"/>
      <c r="J469" s="2187"/>
      <c r="K469" s="1647"/>
      <c r="L469" s="1647"/>
      <c r="M469" s="2174"/>
      <c r="N469" s="836"/>
      <c r="O469" s="836"/>
      <c r="P469" s="2174"/>
      <c r="Q469" s="836"/>
      <c r="R469" s="309"/>
      <c r="S469" s="309"/>
      <c r="T469" s="309"/>
      <c r="U469" s="309"/>
      <c r="V469" s="311"/>
      <c r="W469" s="311"/>
      <c r="X469" s="311"/>
      <c r="Y469" s="311"/>
      <c r="Z469" s="311"/>
      <c r="AA469" s="311"/>
      <c r="AB469" s="311"/>
      <c r="AC469" s="311"/>
      <c r="AD469" s="311"/>
      <c r="AE469" s="311"/>
      <c r="AF469" s="311"/>
      <c r="AG469" s="311"/>
      <c r="AH469" s="311"/>
      <c r="AI469" s="311"/>
      <c r="AJ469" s="311"/>
      <c r="AK469" s="311"/>
      <c r="AL469" s="311"/>
      <c r="AM469" s="311"/>
    </row>
    <row r="470" spans="1:39" ht="15.75" customHeight="1">
      <c r="A470" s="382"/>
      <c r="B470" s="311"/>
      <c r="C470" s="1647"/>
      <c r="D470" s="2173"/>
      <c r="E470" s="1586"/>
      <c r="F470" s="1954"/>
      <c r="G470" s="1846"/>
      <c r="H470" s="1586"/>
      <c r="I470" s="1647"/>
      <c r="J470" s="2187"/>
      <c r="K470" s="1647"/>
      <c r="L470" s="1647"/>
      <c r="M470" s="2174"/>
      <c r="N470" s="836"/>
      <c r="O470" s="836"/>
      <c r="P470" s="2174"/>
      <c r="Q470" s="836"/>
      <c r="R470" s="309"/>
      <c r="S470" s="309"/>
      <c r="T470" s="309"/>
      <c r="U470" s="309"/>
      <c r="V470" s="311"/>
      <c r="W470" s="311"/>
      <c r="X470" s="311"/>
      <c r="Y470" s="311"/>
      <c r="Z470" s="311"/>
      <c r="AA470" s="311"/>
      <c r="AB470" s="311"/>
      <c r="AC470" s="311"/>
      <c r="AD470" s="311"/>
      <c r="AE470" s="311"/>
      <c r="AF470" s="311"/>
      <c r="AG470" s="311"/>
      <c r="AH470" s="311"/>
      <c r="AI470" s="311"/>
      <c r="AJ470" s="311"/>
      <c r="AK470" s="311"/>
      <c r="AL470" s="311"/>
      <c r="AM470" s="311"/>
    </row>
    <row r="471" spans="1:39" ht="15.75" customHeight="1">
      <c r="A471" s="382"/>
      <c r="B471" s="311"/>
      <c r="C471" s="1647"/>
      <c r="D471" s="2173"/>
      <c r="E471" s="1586"/>
      <c r="F471" s="1954"/>
      <c r="G471" s="1846"/>
      <c r="H471" s="1586"/>
      <c r="I471" s="1647"/>
      <c r="J471" s="2187"/>
      <c r="K471" s="1647"/>
      <c r="L471" s="1647"/>
      <c r="M471" s="2174"/>
      <c r="N471" s="836"/>
      <c r="O471" s="836"/>
      <c r="P471" s="2174"/>
      <c r="Q471" s="836"/>
      <c r="R471" s="309"/>
      <c r="S471" s="309"/>
      <c r="T471" s="309"/>
      <c r="U471" s="309"/>
      <c r="V471" s="311"/>
      <c r="W471" s="311"/>
      <c r="X471" s="311"/>
      <c r="Y471" s="311"/>
      <c r="Z471" s="311"/>
      <c r="AA471" s="311"/>
      <c r="AB471" s="311"/>
      <c r="AC471" s="311"/>
      <c r="AD471" s="311"/>
      <c r="AE471" s="311"/>
      <c r="AF471" s="311"/>
      <c r="AG471" s="311"/>
      <c r="AH471" s="311"/>
      <c r="AI471" s="311"/>
      <c r="AJ471" s="311"/>
      <c r="AK471" s="311"/>
      <c r="AL471" s="311"/>
      <c r="AM471" s="311"/>
    </row>
    <row r="472" spans="1:39" ht="15.75" customHeight="1">
      <c r="A472" s="382"/>
      <c r="B472" s="311"/>
      <c r="C472" s="1647"/>
      <c r="D472" s="2173"/>
      <c r="E472" s="1586"/>
      <c r="F472" s="1954"/>
      <c r="G472" s="1846"/>
      <c r="H472" s="1586"/>
      <c r="I472" s="1647"/>
      <c r="J472" s="2187"/>
      <c r="K472" s="1647"/>
      <c r="L472" s="1647"/>
      <c r="M472" s="2174"/>
      <c r="N472" s="836"/>
      <c r="O472" s="836"/>
      <c r="P472" s="2174"/>
      <c r="Q472" s="836"/>
      <c r="R472" s="309"/>
      <c r="S472" s="309"/>
      <c r="T472" s="309"/>
      <c r="U472" s="309"/>
      <c r="V472" s="311"/>
      <c r="W472" s="311"/>
      <c r="X472" s="311"/>
      <c r="Y472" s="311"/>
      <c r="Z472" s="311"/>
      <c r="AA472" s="311"/>
      <c r="AB472" s="311"/>
      <c r="AC472" s="311"/>
      <c r="AD472" s="311"/>
      <c r="AE472" s="311"/>
      <c r="AF472" s="311"/>
      <c r="AG472" s="311"/>
      <c r="AH472" s="311"/>
      <c r="AI472" s="311"/>
      <c r="AJ472" s="311"/>
      <c r="AK472" s="311"/>
      <c r="AL472" s="311"/>
      <c r="AM472" s="311"/>
    </row>
    <row r="473" spans="1:39" ht="15.75" customHeight="1">
      <c r="A473" s="382"/>
      <c r="B473" s="311"/>
      <c r="C473" s="1647"/>
      <c r="D473" s="2173"/>
      <c r="E473" s="1586"/>
      <c r="F473" s="1954"/>
      <c r="G473" s="1846"/>
      <c r="H473" s="1586"/>
      <c r="I473" s="1647"/>
      <c r="J473" s="2187"/>
      <c r="K473" s="1647"/>
      <c r="L473" s="1647"/>
      <c r="M473" s="2174"/>
      <c r="N473" s="836"/>
      <c r="O473" s="836"/>
      <c r="P473" s="2174"/>
      <c r="Q473" s="836"/>
      <c r="R473" s="309"/>
      <c r="S473" s="309"/>
      <c r="T473" s="309"/>
      <c r="U473" s="309"/>
      <c r="V473" s="311"/>
      <c r="W473" s="311"/>
      <c r="X473" s="311"/>
      <c r="Y473" s="311"/>
      <c r="Z473" s="311"/>
      <c r="AA473" s="311"/>
      <c r="AB473" s="311"/>
      <c r="AC473" s="311"/>
      <c r="AD473" s="311"/>
      <c r="AE473" s="311"/>
      <c r="AF473" s="311"/>
      <c r="AG473" s="311"/>
      <c r="AH473" s="311"/>
      <c r="AI473" s="311"/>
      <c r="AJ473" s="311"/>
      <c r="AK473" s="311"/>
      <c r="AL473" s="311"/>
      <c r="AM473" s="311"/>
    </row>
    <row r="474" spans="1:39" ht="15.75" customHeight="1">
      <c r="A474" s="382"/>
      <c r="B474" s="311"/>
      <c r="C474" s="1647"/>
      <c r="D474" s="2173"/>
      <c r="E474" s="1586"/>
      <c r="F474" s="1954"/>
      <c r="G474" s="1846"/>
      <c r="H474" s="1586"/>
      <c r="I474" s="1647"/>
      <c r="J474" s="2187"/>
      <c r="K474" s="1647"/>
      <c r="L474" s="1647"/>
      <c r="M474" s="2174"/>
      <c r="N474" s="836"/>
      <c r="O474" s="836"/>
      <c r="P474" s="2174"/>
      <c r="Q474" s="836"/>
      <c r="R474" s="309"/>
      <c r="S474" s="309"/>
      <c r="T474" s="309"/>
      <c r="U474" s="309"/>
      <c r="V474" s="311"/>
      <c r="W474" s="311"/>
      <c r="X474" s="311"/>
      <c r="Y474" s="311"/>
      <c r="Z474" s="311"/>
      <c r="AA474" s="311"/>
      <c r="AB474" s="311"/>
      <c r="AC474" s="311"/>
      <c r="AD474" s="311"/>
      <c r="AE474" s="311"/>
      <c r="AF474" s="311"/>
      <c r="AG474" s="311"/>
      <c r="AH474" s="311"/>
      <c r="AI474" s="311"/>
      <c r="AJ474" s="311"/>
      <c r="AK474" s="311"/>
      <c r="AL474" s="311"/>
      <c r="AM474" s="311"/>
    </row>
    <row r="475" spans="1:39" ht="15.75" customHeight="1">
      <c r="A475" s="382"/>
      <c r="B475" s="311"/>
      <c r="C475" s="1647"/>
      <c r="D475" s="2173"/>
      <c r="E475" s="1586"/>
      <c r="F475" s="1954"/>
      <c r="G475" s="1846"/>
      <c r="H475" s="1586"/>
      <c r="I475" s="1647"/>
      <c r="J475" s="2187"/>
      <c r="K475" s="1647"/>
      <c r="L475" s="1647"/>
      <c r="M475" s="2174"/>
      <c r="N475" s="836"/>
      <c r="O475" s="836"/>
      <c r="P475" s="2174"/>
      <c r="Q475" s="836"/>
      <c r="R475" s="309"/>
      <c r="S475" s="309"/>
      <c r="T475" s="309"/>
      <c r="U475" s="309"/>
      <c r="V475" s="311"/>
      <c r="W475" s="311"/>
      <c r="X475" s="311"/>
      <c r="Y475" s="311"/>
      <c r="Z475" s="311"/>
      <c r="AA475" s="311"/>
      <c r="AB475" s="311"/>
      <c r="AC475" s="311"/>
      <c r="AD475" s="311"/>
      <c r="AE475" s="311"/>
      <c r="AF475" s="311"/>
      <c r="AG475" s="311"/>
      <c r="AH475" s="311"/>
      <c r="AI475" s="311"/>
      <c r="AJ475" s="311"/>
      <c r="AK475" s="311"/>
      <c r="AL475" s="311"/>
      <c r="AM475" s="311"/>
    </row>
    <row r="476" spans="1:39" ht="15.75" customHeight="1">
      <c r="A476" s="382"/>
      <c r="B476" s="311"/>
      <c r="C476" s="1647"/>
      <c r="D476" s="2173"/>
      <c r="E476" s="1586"/>
      <c r="F476" s="1954"/>
      <c r="G476" s="1846"/>
      <c r="H476" s="1586"/>
      <c r="I476" s="1647"/>
      <c r="J476" s="2187"/>
      <c r="K476" s="1647"/>
      <c r="L476" s="1647"/>
      <c r="M476" s="2174"/>
      <c r="N476" s="836"/>
      <c r="O476" s="836"/>
      <c r="P476" s="2174"/>
      <c r="Q476" s="836"/>
      <c r="R476" s="309"/>
      <c r="S476" s="309"/>
      <c r="T476" s="309"/>
      <c r="U476" s="309"/>
      <c r="V476" s="311"/>
      <c r="W476" s="311"/>
      <c r="X476" s="311"/>
      <c r="Y476" s="311"/>
      <c r="Z476" s="311"/>
      <c r="AA476" s="311"/>
      <c r="AB476" s="311"/>
      <c r="AC476" s="311"/>
      <c r="AD476" s="311"/>
      <c r="AE476" s="311"/>
      <c r="AF476" s="311"/>
      <c r="AG476" s="311"/>
      <c r="AH476" s="311"/>
      <c r="AI476" s="311"/>
      <c r="AJ476" s="311"/>
      <c r="AK476" s="311"/>
      <c r="AL476" s="311"/>
      <c r="AM476" s="311"/>
    </row>
    <row r="477" spans="1:39" ht="15.75" customHeight="1">
      <c r="A477" s="382"/>
      <c r="B477" s="311"/>
      <c r="C477" s="1647"/>
      <c r="D477" s="2173"/>
      <c r="E477" s="1586"/>
      <c r="F477" s="1954"/>
      <c r="G477" s="1846"/>
      <c r="H477" s="1586"/>
      <c r="I477" s="1647"/>
      <c r="J477" s="2187"/>
      <c r="K477" s="1647"/>
      <c r="L477" s="1647"/>
      <c r="M477" s="2174"/>
      <c r="N477" s="836"/>
      <c r="O477" s="836"/>
      <c r="P477" s="2174"/>
      <c r="Q477" s="836"/>
      <c r="R477" s="309"/>
      <c r="S477" s="309"/>
      <c r="T477" s="309"/>
      <c r="U477" s="309"/>
      <c r="V477" s="311"/>
      <c r="W477" s="311"/>
      <c r="X477" s="311"/>
      <c r="Y477" s="311"/>
      <c r="Z477" s="311"/>
      <c r="AA477" s="311"/>
      <c r="AB477" s="311"/>
      <c r="AC477" s="311"/>
      <c r="AD477" s="311"/>
      <c r="AE477" s="311"/>
      <c r="AF477" s="311"/>
      <c r="AG477" s="311"/>
      <c r="AH477" s="311"/>
      <c r="AI477" s="311"/>
      <c r="AJ477" s="311"/>
      <c r="AK477" s="311"/>
      <c r="AL477" s="311"/>
      <c r="AM477" s="311"/>
    </row>
    <row r="478" spans="1:39" ht="15.75" customHeight="1">
      <c r="A478" s="382"/>
      <c r="B478" s="311"/>
      <c r="C478" s="1647"/>
      <c r="D478" s="2173"/>
      <c r="E478" s="1586"/>
      <c r="F478" s="1954"/>
      <c r="G478" s="1846"/>
      <c r="H478" s="1586"/>
      <c r="I478" s="1647"/>
      <c r="J478" s="2187"/>
      <c r="K478" s="1647"/>
      <c r="L478" s="1647"/>
      <c r="M478" s="2174"/>
      <c r="N478" s="836"/>
      <c r="O478" s="836"/>
      <c r="P478" s="2174"/>
      <c r="Q478" s="836"/>
      <c r="R478" s="309"/>
      <c r="S478" s="309"/>
      <c r="T478" s="309"/>
      <c r="U478" s="309"/>
      <c r="V478" s="311"/>
      <c r="W478" s="311"/>
      <c r="X478" s="311"/>
      <c r="Y478" s="311"/>
      <c r="Z478" s="311"/>
      <c r="AA478" s="311"/>
      <c r="AB478" s="311"/>
      <c r="AC478" s="311"/>
      <c r="AD478" s="311"/>
      <c r="AE478" s="311"/>
      <c r="AF478" s="311"/>
      <c r="AG478" s="311"/>
      <c r="AH478" s="311"/>
      <c r="AI478" s="311"/>
      <c r="AJ478" s="311"/>
      <c r="AK478" s="311"/>
      <c r="AL478" s="311"/>
      <c r="AM478" s="311"/>
    </row>
    <row r="479" spans="1:39" ht="15.75" customHeight="1">
      <c r="A479" s="382"/>
      <c r="B479" s="311"/>
      <c r="C479" s="1647"/>
      <c r="D479" s="2173"/>
      <c r="E479" s="1586"/>
      <c r="F479" s="1954"/>
      <c r="G479" s="1846"/>
      <c r="H479" s="1586"/>
      <c r="I479" s="1647"/>
      <c r="J479" s="2187"/>
      <c r="K479" s="1647"/>
      <c r="L479" s="1647"/>
      <c r="M479" s="2174"/>
      <c r="N479" s="836"/>
      <c r="O479" s="836"/>
      <c r="P479" s="2174"/>
      <c r="Q479" s="836"/>
      <c r="R479" s="309"/>
      <c r="S479" s="309"/>
      <c r="T479" s="309"/>
      <c r="U479" s="309"/>
      <c r="V479" s="311"/>
      <c r="W479" s="311"/>
      <c r="X479" s="311"/>
      <c r="Y479" s="311"/>
      <c r="Z479" s="311"/>
      <c r="AA479" s="311"/>
      <c r="AB479" s="311"/>
      <c r="AC479" s="311"/>
      <c r="AD479" s="311"/>
      <c r="AE479" s="311"/>
      <c r="AF479" s="311"/>
      <c r="AG479" s="311"/>
      <c r="AH479" s="311"/>
      <c r="AI479" s="311"/>
      <c r="AJ479" s="311"/>
      <c r="AK479" s="311"/>
      <c r="AL479" s="311"/>
      <c r="AM479" s="311"/>
    </row>
    <row r="480" spans="1:39" ht="15.75" customHeight="1">
      <c r="A480" s="382"/>
      <c r="B480" s="311"/>
      <c r="C480" s="1647"/>
      <c r="D480" s="2173"/>
      <c r="E480" s="1586"/>
      <c r="F480" s="1954"/>
      <c r="G480" s="1846"/>
      <c r="H480" s="1586"/>
      <c r="I480" s="1647"/>
      <c r="J480" s="2187"/>
      <c r="K480" s="1647"/>
      <c r="L480" s="1647"/>
      <c r="M480" s="2174"/>
      <c r="N480" s="836"/>
      <c r="O480" s="836"/>
      <c r="P480" s="2174"/>
      <c r="Q480" s="836"/>
      <c r="R480" s="309"/>
      <c r="S480" s="309"/>
      <c r="T480" s="309"/>
      <c r="U480" s="309"/>
      <c r="V480" s="311"/>
      <c r="W480" s="311"/>
      <c r="X480" s="311"/>
      <c r="Y480" s="311"/>
      <c r="Z480" s="311"/>
      <c r="AA480" s="311"/>
      <c r="AB480" s="311"/>
      <c r="AC480" s="311"/>
      <c r="AD480" s="311"/>
      <c r="AE480" s="311"/>
      <c r="AF480" s="311"/>
      <c r="AG480" s="311"/>
      <c r="AH480" s="311"/>
      <c r="AI480" s="311"/>
      <c r="AJ480" s="311"/>
      <c r="AK480" s="311"/>
      <c r="AL480" s="311"/>
      <c r="AM480" s="311"/>
    </row>
    <row r="481" spans="1:39" ht="15.75" customHeight="1">
      <c r="A481" s="382"/>
      <c r="B481" s="311"/>
      <c r="C481" s="1647"/>
      <c r="D481" s="2173"/>
      <c r="E481" s="1586"/>
      <c r="F481" s="1954"/>
      <c r="G481" s="1846"/>
      <c r="H481" s="1586"/>
      <c r="I481" s="1647"/>
      <c r="J481" s="2187"/>
      <c r="K481" s="1647"/>
      <c r="L481" s="1647"/>
      <c r="M481" s="2174"/>
      <c r="N481" s="836"/>
      <c r="O481" s="836"/>
      <c r="P481" s="2174"/>
      <c r="Q481" s="836"/>
      <c r="R481" s="309"/>
      <c r="S481" s="309"/>
      <c r="T481" s="309"/>
      <c r="U481" s="309"/>
      <c r="V481" s="311"/>
      <c r="W481" s="311"/>
      <c r="X481" s="311"/>
      <c r="Y481" s="311"/>
      <c r="Z481" s="311"/>
      <c r="AA481" s="311"/>
      <c r="AB481" s="311"/>
      <c r="AC481" s="311"/>
      <c r="AD481" s="311"/>
      <c r="AE481" s="311"/>
      <c r="AF481" s="311"/>
      <c r="AG481" s="311"/>
      <c r="AH481" s="311"/>
      <c r="AI481" s="311"/>
      <c r="AJ481" s="311"/>
      <c r="AK481" s="311"/>
      <c r="AL481" s="311"/>
      <c r="AM481" s="311"/>
    </row>
    <row r="482" spans="1:39" ht="15.75" customHeight="1">
      <c r="A482" s="382"/>
      <c r="B482" s="311"/>
      <c r="C482" s="1647"/>
      <c r="D482" s="2173"/>
      <c r="E482" s="1586"/>
      <c r="F482" s="1954"/>
      <c r="G482" s="1846"/>
      <c r="H482" s="1586"/>
      <c r="I482" s="1647"/>
      <c r="J482" s="2187"/>
      <c r="K482" s="1647"/>
      <c r="L482" s="1647"/>
      <c r="M482" s="2174"/>
      <c r="N482" s="836"/>
      <c r="O482" s="836"/>
      <c r="P482" s="2174"/>
      <c r="Q482" s="836"/>
      <c r="R482" s="309"/>
      <c r="S482" s="309"/>
      <c r="T482" s="309"/>
      <c r="U482" s="309"/>
      <c r="V482" s="311"/>
      <c r="W482" s="311"/>
      <c r="X482" s="311"/>
      <c r="Y482" s="311"/>
      <c r="Z482" s="311"/>
      <c r="AA482" s="311"/>
      <c r="AB482" s="311"/>
      <c r="AC482" s="311"/>
      <c r="AD482" s="311"/>
      <c r="AE482" s="311"/>
      <c r="AF482" s="311"/>
      <c r="AG482" s="311"/>
      <c r="AH482" s="311"/>
      <c r="AI482" s="311"/>
      <c r="AJ482" s="311"/>
      <c r="AK482" s="311"/>
      <c r="AL482" s="311"/>
      <c r="AM482" s="311"/>
    </row>
    <row r="483" spans="1:39" ht="15.75" customHeight="1">
      <c r="A483" s="382"/>
      <c r="B483" s="311"/>
      <c r="C483" s="1647"/>
      <c r="D483" s="2173"/>
      <c r="E483" s="1586"/>
      <c r="F483" s="1954"/>
      <c r="G483" s="1846"/>
      <c r="H483" s="1586"/>
      <c r="I483" s="1647"/>
      <c r="J483" s="2187"/>
      <c r="K483" s="1647"/>
      <c r="L483" s="1647"/>
      <c r="M483" s="2174"/>
      <c r="N483" s="836"/>
      <c r="O483" s="836"/>
      <c r="P483" s="2174"/>
      <c r="Q483" s="836"/>
      <c r="R483" s="309"/>
      <c r="S483" s="309"/>
      <c r="T483" s="309"/>
      <c r="U483" s="309"/>
      <c r="V483" s="311"/>
      <c r="W483" s="311"/>
      <c r="X483" s="311"/>
      <c r="Y483" s="311"/>
      <c r="Z483" s="311"/>
      <c r="AA483" s="311"/>
      <c r="AB483" s="311"/>
      <c r="AC483" s="311"/>
      <c r="AD483" s="311"/>
      <c r="AE483" s="311"/>
      <c r="AF483" s="311"/>
      <c r="AG483" s="311"/>
      <c r="AH483" s="311"/>
      <c r="AI483" s="311"/>
      <c r="AJ483" s="311"/>
      <c r="AK483" s="311"/>
      <c r="AL483" s="311"/>
      <c r="AM483" s="311"/>
    </row>
    <row r="484" spans="1:39" ht="15.75" customHeight="1">
      <c r="A484" s="382"/>
      <c r="B484" s="311"/>
      <c r="C484" s="1647"/>
      <c r="D484" s="2173"/>
      <c r="E484" s="1586"/>
      <c r="F484" s="1954"/>
      <c r="G484" s="1846"/>
      <c r="H484" s="1586"/>
      <c r="I484" s="1647"/>
      <c r="J484" s="2187"/>
      <c r="K484" s="1647"/>
      <c r="L484" s="1647"/>
      <c r="M484" s="2174"/>
      <c r="N484" s="836"/>
      <c r="O484" s="836"/>
      <c r="P484" s="2174"/>
      <c r="Q484" s="836"/>
      <c r="R484" s="309"/>
      <c r="S484" s="309"/>
      <c r="T484" s="309"/>
      <c r="U484" s="309"/>
      <c r="V484" s="311"/>
      <c r="W484" s="311"/>
      <c r="X484" s="311"/>
      <c r="Y484" s="311"/>
      <c r="Z484" s="311"/>
      <c r="AA484" s="311"/>
      <c r="AB484" s="311"/>
      <c r="AC484" s="311"/>
      <c r="AD484" s="311"/>
      <c r="AE484" s="311"/>
      <c r="AF484" s="311"/>
      <c r="AG484" s="311"/>
      <c r="AH484" s="311"/>
      <c r="AI484" s="311"/>
      <c r="AJ484" s="311"/>
      <c r="AK484" s="311"/>
      <c r="AL484" s="311"/>
      <c r="AM484" s="311"/>
    </row>
    <row r="485" spans="1:39" ht="15.75" customHeight="1">
      <c r="A485" s="382"/>
      <c r="B485" s="311"/>
      <c r="C485" s="1647"/>
      <c r="D485" s="2173"/>
      <c r="E485" s="1586"/>
      <c r="F485" s="1954"/>
      <c r="G485" s="1846"/>
      <c r="H485" s="1586"/>
      <c r="I485" s="1647"/>
      <c r="J485" s="2187"/>
      <c r="K485" s="1647"/>
      <c r="L485" s="1647"/>
      <c r="M485" s="2174"/>
      <c r="N485" s="836"/>
      <c r="O485" s="836"/>
      <c r="P485" s="2174"/>
      <c r="Q485" s="836"/>
      <c r="R485" s="309"/>
      <c r="S485" s="309"/>
      <c r="T485" s="309"/>
      <c r="U485" s="309"/>
      <c r="V485" s="311"/>
      <c r="W485" s="311"/>
      <c r="X485" s="311"/>
      <c r="Y485" s="311"/>
      <c r="Z485" s="311"/>
      <c r="AA485" s="311"/>
      <c r="AB485" s="311"/>
      <c r="AC485" s="311"/>
      <c r="AD485" s="311"/>
      <c r="AE485" s="311"/>
      <c r="AF485" s="311"/>
      <c r="AG485" s="311"/>
      <c r="AH485" s="311"/>
      <c r="AI485" s="311"/>
      <c r="AJ485" s="311"/>
      <c r="AK485" s="311"/>
      <c r="AL485" s="311"/>
      <c r="AM485" s="311"/>
    </row>
    <row r="486" spans="1:39" ht="15.75" customHeight="1">
      <c r="A486" s="382"/>
      <c r="B486" s="311"/>
      <c r="C486" s="1647"/>
      <c r="D486" s="2173"/>
      <c r="E486" s="1586"/>
      <c r="F486" s="1954"/>
      <c r="G486" s="1846"/>
      <c r="H486" s="1586"/>
      <c r="I486" s="1647"/>
      <c r="J486" s="2187"/>
      <c r="K486" s="1647"/>
      <c r="L486" s="1647"/>
      <c r="M486" s="2174"/>
      <c r="N486" s="836"/>
      <c r="O486" s="836"/>
      <c r="P486" s="2174"/>
      <c r="Q486" s="836"/>
      <c r="R486" s="309"/>
      <c r="S486" s="309"/>
      <c r="T486" s="309"/>
      <c r="U486" s="309"/>
      <c r="V486" s="311"/>
      <c r="W486" s="311"/>
      <c r="X486" s="311"/>
      <c r="Y486" s="311"/>
      <c r="Z486" s="311"/>
      <c r="AA486" s="311"/>
      <c r="AB486" s="311"/>
      <c r="AC486" s="311"/>
      <c r="AD486" s="311"/>
      <c r="AE486" s="311"/>
      <c r="AF486" s="311"/>
      <c r="AG486" s="311"/>
      <c r="AH486" s="311"/>
      <c r="AI486" s="311"/>
      <c r="AJ486" s="311"/>
      <c r="AK486" s="311"/>
      <c r="AL486" s="311"/>
      <c r="AM486" s="311"/>
    </row>
    <row r="487" spans="1:39" ht="15.75" customHeight="1">
      <c r="A487" s="382"/>
      <c r="B487" s="311"/>
      <c r="C487" s="1647"/>
      <c r="D487" s="2173"/>
      <c r="E487" s="1586"/>
      <c r="F487" s="1954"/>
      <c r="G487" s="1846"/>
      <c r="H487" s="1586"/>
      <c r="I487" s="1647"/>
      <c r="J487" s="2187"/>
      <c r="K487" s="1647"/>
      <c r="L487" s="1647"/>
      <c r="M487" s="2174"/>
      <c r="N487" s="836"/>
      <c r="O487" s="836"/>
      <c r="P487" s="2174"/>
      <c r="Q487" s="836"/>
      <c r="R487" s="309"/>
      <c r="S487" s="309"/>
      <c r="T487" s="309"/>
      <c r="U487" s="309"/>
      <c r="V487" s="311"/>
      <c r="W487" s="311"/>
      <c r="X487" s="311"/>
      <c r="Y487" s="311"/>
      <c r="Z487" s="311"/>
      <c r="AA487" s="311"/>
      <c r="AB487" s="311"/>
      <c r="AC487" s="311"/>
      <c r="AD487" s="311"/>
      <c r="AE487" s="311"/>
      <c r="AF487" s="311"/>
      <c r="AG487" s="311"/>
      <c r="AH487" s="311"/>
      <c r="AI487" s="311"/>
      <c r="AJ487" s="311"/>
      <c r="AK487" s="311"/>
      <c r="AL487" s="311"/>
      <c r="AM487" s="311"/>
    </row>
    <row r="488" spans="1:39" ht="15.75" customHeight="1">
      <c r="A488" s="382"/>
      <c r="B488" s="311"/>
      <c r="C488" s="1647"/>
      <c r="D488" s="2173"/>
      <c r="E488" s="1586"/>
      <c r="F488" s="1954"/>
      <c r="G488" s="1846"/>
      <c r="H488" s="1586"/>
      <c r="I488" s="1647"/>
      <c r="J488" s="2187"/>
      <c r="K488" s="1647"/>
      <c r="L488" s="1647"/>
      <c r="M488" s="2174"/>
      <c r="N488" s="836"/>
      <c r="O488" s="836"/>
      <c r="P488" s="2174"/>
      <c r="Q488" s="836"/>
      <c r="R488" s="309"/>
      <c r="S488" s="309"/>
      <c r="T488" s="309"/>
      <c r="U488" s="309"/>
      <c r="V488" s="311"/>
      <c r="W488" s="311"/>
      <c r="X488" s="311"/>
      <c r="Y488" s="311"/>
      <c r="Z488" s="311"/>
      <c r="AA488" s="311"/>
      <c r="AB488" s="311"/>
      <c r="AC488" s="311"/>
      <c r="AD488" s="311"/>
      <c r="AE488" s="311"/>
      <c r="AF488" s="311"/>
      <c r="AG488" s="311"/>
      <c r="AH488" s="311"/>
      <c r="AI488" s="311"/>
      <c r="AJ488" s="311"/>
      <c r="AK488" s="311"/>
      <c r="AL488" s="311"/>
      <c r="AM488" s="311"/>
    </row>
    <row r="489" spans="1:39" ht="15.75" customHeight="1">
      <c r="A489" s="382"/>
      <c r="B489" s="311"/>
      <c r="C489" s="1647"/>
      <c r="D489" s="2173"/>
      <c r="E489" s="1586"/>
      <c r="F489" s="1954"/>
      <c r="G489" s="1846"/>
      <c r="H489" s="1586"/>
      <c r="I489" s="1647"/>
      <c r="J489" s="2187"/>
      <c r="K489" s="1647"/>
      <c r="L489" s="1647"/>
      <c r="M489" s="2174"/>
      <c r="N489" s="836"/>
      <c r="O489" s="836"/>
      <c r="P489" s="2174"/>
      <c r="Q489" s="836"/>
      <c r="R489" s="309"/>
      <c r="S489" s="309"/>
      <c r="T489" s="309"/>
      <c r="U489" s="309"/>
      <c r="V489" s="311"/>
      <c r="W489" s="311"/>
      <c r="X489" s="311"/>
      <c r="Y489" s="311"/>
      <c r="Z489" s="311"/>
      <c r="AA489" s="311"/>
      <c r="AB489" s="311"/>
      <c r="AC489" s="311"/>
      <c r="AD489" s="311"/>
      <c r="AE489" s="311"/>
      <c r="AF489" s="311"/>
      <c r="AG489" s="311"/>
      <c r="AH489" s="311"/>
      <c r="AI489" s="311"/>
      <c r="AJ489" s="311"/>
      <c r="AK489" s="311"/>
      <c r="AL489" s="311"/>
      <c r="AM489" s="311"/>
    </row>
    <row r="490" spans="1:39" ht="15.75" customHeight="1">
      <c r="A490" s="382"/>
      <c r="B490" s="311"/>
      <c r="C490" s="1647"/>
      <c r="D490" s="2173"/>
      <c r="E490" s="1586"/>
      <c r="F490" s="1954"/>
      <c r="G490" s="1846"/>
      <c r="H490" s="1586"/>
      <c r="I490" s="1647"/>
      <c r="J490" s="2187"/>
      <c r="K490" s="1647"/>
      <c r="L490" s="1647"/>
      <c r="M490" s="2174"/>
      <c r="N490" s="836"/>
      <c r="O490" s="836"/>
      <c r="P490" s="2174"/>
      <c r="Q490" s="836"/>
      <c r="R490" s="309"/>
      <c r="S490" s="309"/>
      <c r="T490" s="309"/>
      <c r="U490" s="309"/>
      <c r="V490" s="311"/>
      <c r="W490" s="311"/>
      <c r="X490" s="311"/>
      <c r="Y490" s="311"/>
      <c r="Z490" s="311"/>
      <c r="AA490" s="311"/>
      <c r="AB490" s="311"/>
      <c r="AC490" s="311"/>
      <c r="AD490" s="311"/>
      <c r="AE490" s="311"/>
      <c r="AF490" s="311"/>
      <c r="AG490" s="311"/>
      <c r="AH490" s="311"/>
      <c r="AI490" s="311"/>
      <c r="AJ490" s="311"/>
      <c r="AK490" s="311"/>
      <c r="AL490" s="311"/>
      <c r="AM490" s="311"/>
    </row>
    <row r="491" spans="1:39" ht="15.75" customHeight="1">
      <c r="A491" s="382"/>
      <c r="B491" s="311"/>
      <c r="C491" s="1647"/>
      <c r="D491" s="2173"/>
      <c r="E491" s="1586"/>
      <c r="F491" s="1954"/>
      <c r="G491" s="1846"/>
      <c r="H491" s="1586"/>
      <c r="I491" s="1647"/>
      <c r="J491" s="2187"/>
      <c r="K491" s="1647"/>
      <c r="L491" s="1647"/>
      <c r="M491" s="2174"/>
      <c r="N491" s="836"/>
      <c r="O491" s="836"/>
      <c r="P491" s="2174"/>
      <c r="Q491" s="836"/>
      <c r="R491" s="309"/>
      <c r="S491" s="309"/>
      <c r="T491" s="309"/>
      <c r="U491" s="309"/>
      <c r="V491" s="311"/>
      <c r="W491" s="311"/>
      <c r="X491" s="311"/>
      <c r="Y491" s="311"/>
      <c r="Z491" s="311"/>
      <c r="AA491" s="311"/>
      <c r="AB491" s="311"/>
      <c r="AC491" s="311"/>
      <c r="AD491" s="311"/>
      <c r="AE491" s="311"/>
      <c r="AF491" s="311"/>
      <c r="AG491" s="311"/>
      <c r="AH491" s="311"/>
      <c r="AI491" s="311"/>
      <c r="AJ491" s="311"/>
      <c r="AK491" s="311"/>
      <c r="AL491" s="311"/>
      <c r="AM491" s="311"/>
    </row>
    <row r="492" spans="1:39" ht="15.75" customHeight="1">
      <c r="A492" s="382"/>
      <c r="B492" s="311"/>
      <c r="C492" s="1647"/>
      <c r="D492" s="2173"/>
      <c r="E492" s="1586"/>
      <c r="F492" s="1954"/>
      <c r="G492" s="1846"/>
      <c r="H492" s="1586"/>
      <c r="I492" s="1647"/>
      <c r="J492" s="2187"/>
      <c r="K492" s="1647"/>
      <c r="L492" s="1647"/>
      <c r="M492" s="2174"/>
      <c r="N492" s="836"/>
      <c r="O492" s="836"/>
      <c r="P492" s="2174"/>
      <c r="Q492" s="836"/>
      <c r="R492" s="309"/>
      <c r="S492" s="309"/>
      <c r="T492" s="309"/>
      <c r="U492" s="309"/>
      <c r="V492" s="311"/>
      <c r="W492" s="311"/>
      <c r="X492" s="311"/>
      <c r="Y492" s="311"/>
      <c r="Z492" s="311"/>
      <c r="AA492" s="311"/>
      <c r="AB492" s="311"/>
      <c r="AC492" s="311"/>
      <c r="AD492" s="311"/>
      <c r="AE492" s="311"/>
      <c r="AF492" s="311"/>
      <c r="AG492" s="311"/>
      <c r="AH492" s="311"/>
      <c r="AI492" s="311"/>
      <c r="AJ492" s="311"/>
      <c r="AK492" s="311"/>
      <c r="AL492" s="311"/>
      <c r="AM492" s="311"/>
    </row>
    <row r="493" spans="1:39" ht="15.75" customHeight="1">
      <c r="A493" s="382"/>
      <c r="B493" s="311"/>
      <c r="C493" s="1647"/>
      <c r="D493" s="2173"/>
      <c r="E493" s="1586"/>
      <c r="F493" s="1954"/>
      <c r="G493" s="1846"/>
      <c r="H493" s="1586"/>
      <c r="I493" s="1647"/>
      <c r="J493" s="2187"/>
      <c r="K493" s="1647"/>
      <c r="L493" s="1647"/>
      <c r="M493" s="2174"/>
      <c r="N493" s="836"/>
      <c r="O493" s="836"/>
      <c r="P493" s="2174"/>
      <c r="Q493" s="836"/>
      <c r="R493" s="309"/>
      <c r="S493" s="309"/>
      <c r="T493" s="309"/>
      <c r="U493" s="309"/>
      <c r="V493" s="311"/>
      <c r="W493" s="311"/>
      <c r="X493" s="311"/>
      <c r="Y493" s="311"/>
      <c r="Z493" s="311"/>
      <c r="AA493" s="311"/>
      <c r="AB493" s="311"/>
      <c r="AC493" s="311"/>
      <c r="AD493" s="311"/>
      <c r="AE493" s="311"/>
      <c r="AF493" s="311"/>
      <c r="AG493" s="311"/>
      <c r="AH493" s="311"/>
      <c r="AI493" s="311"/>
      <c r="AJ493" s="311"/>
      <c r="AK493" s="311"/>
      <c r="AL493" s="311"/>
      <c r="AM493" s="311"/>
    </row>
    <row r="494" spans="1:39" ht="15.75" customHeight="1">
      <c r="A494" s="382"/>
      <c r="B494" s="311"/>
      <c r="C494" s="1647"/>
      <c r="D494" s="2173"/>
      <c r="E494" s="1586"/>
      <c r="F494" s="1954"/>
      <c r="G494" s="1846"/>
      <c r="H494" s="1586"/>
      <c r="I494" s="1647"/>
      <c r="J494" s="2187"/>
      <c r="K494" s="1647"/>
      <c r="L494" s="1647"/>
      <c r="M494" s="2174"/>
      <c r="N494" s="836"/>
      <c r="O494" s="836"/>
      <c r="P494" s="2174"/>
      <c r="Q494" s="836"/>
      <c r="R494" s="309"/>
      <c r="S494" s="309"/>
      <c r="T494" s="309"/>
      <c r="U494" s="309"/>
      <c r="V494" s="311"/>
      <c r="W494" s="311"/>
      <c r="X494" s="311"/>
      <c r="Y494" s="311"/>
      <c r="Z494" s="311"/>
      <c r="AA494" s="311"/>
      <c r="AB494" s="311"/>
      <c r="AC494" s="311"/>
      <c r="AD494" s="311"/>
      <c r="AE494" s="311"/>
      <c r="AF494" s="311"/>
      <c r="AG494" s="311"/>
      <c r="AH494" s="311"/>
      <c r="AI494" s="311"/>
      <c r="AJ494" s="311"/>
      <c r="AK494" s="311"/>
      <c r="AL494" s="311"/>
      <c r="AM494" s="311"/>
    </row>
    <row r="495" spans="1:39" ht="15.75" customHeight="1">
      <c r="A495" s="382"/>
      <c r="B495" s="311"/>
      <c r="C495" s="1647"/>
      <c r="D495" s="2173"/>
      <c r="E495" s="1586"/>
      <c r="F495" s="1954"/>
      <c r="G495" s="1846"/>
      <c r="H495" s="1586"/>
      <c r="I495" s="1647"/>
      <c r="J495" s="2187"/>
      <c r="K495" s="1647"/>
      <c r="L495" s="1647"/>
      <c r="M495" s="2174"/>
      <c r="N495" s="836"/>
      <c r="O495" s="836"/>
      <c r="P495" s="2174"/>
      <c r="Q495" s="836"/>
      <c r="R495" s="309"/>
      <c r="S495" s="309"/>
      <c r="T495" s="309"/>
      <c r="U495" s="309"/>
      <c r="V495" s="311"/>
      <c r="W495" s="311"/>
      <c r="X495" s="311"/>
      <c r="Y495" s="311"/>
      <c r="Z495" s="311"/>
      <c r="AA495" s="311"/>
      <c r="AB495" s="311"/>
      <c r="AC495" s="311"/>
      <c r="AD495" s="311"/>
      <c r="AE495" s="311"/>
      <c r="AF495" s="311"/>
      <c r="AG495" s="311"/>
      <c r="AH495" s="311"/>
      <c r="AI495" s="311"/>
      <c r="AJ495" s="311"/>
      <c r="AK495" s="311"/>
      <c r="AL495" s="311"/>
      <c r="AM495" s="311"/>
    </row>
    <row r="496" spans="1:39" ht="15.75" customHeight="1">
      <c r="A496" s="382"/>
      <c r="B496" s="311"/>
      <c r="C496" s="1647"/>
      <c r="D496" s="2173"/>
      <c r="E496" s="1586"/>
      <c r="F496" s="1954"/>
      <c r="G496" s="1846"/>
      <c r="H496" s="1586"/>
      <c r="I496" s="1647"/>
      <c r="J496" s="2187"/>
      <c r="K496" s="1647"/>
      <c r="L496" s="1647"/>
      <c r="M496" s="2174"/>
      <c r="N496" s="836"/>
      <c r="O496" s="836"/>
      <c r="P496" s="2174"/>
      <c r="Q496" s="836"/>
      <c r="R496" s="309"/>
      <c r="S496" s="309"/>
      <c r="T496" s="309"/>
      <c r="U496" s="309"/>
      <c r="V496" s="311"/>
      <c r="W496" s="311"/>
      <c r="X496" s="311"/>
      <c r="Y496" s="311"/>
      <c r="Z496" s="311"/>
      <c r="AA496" s="311"/>
      <c r="AB496" s="311"/>
      <c r="AC496" s="311"/>
      <c r="AD496" s="311"/>
      <c r="AE496" s="311"/>
      <c r="AF496" s="311"/>
      <c r="AG496" s="311"/>
      <c r="AH496" s="311"/>
      <c r="AI496" s="311"/>
      <c r="AJ496" s="311"/>
      <c r="AK496" s="311"/>
      <c r="AL496" s="311"/>
      <c r="AM496" s="311"/>
    </row>
    <row r="497" spans="1:39" ht="15.75" customHeight="1">
      <c r="A497" s="382"/>
      <c r="B497" s="311"/>
      <c r="C497" s="1647"/>
      <c r="D497" s="2173"/>
      <c r="E497" s="1586"/>
      <c r="F497" s="1954"/>
      <c r="G497" s="1846"/>
      <c r="H497" s="1586"/>
      <c r="I497" s="1647"/>
      <c r="J497" s="2187"/>
      <c r="K497" s="1647"/>
      <c r="L497" s="1647"/>
      <c r="M497" s="2174"/>
      <c r="N497" s="836"/>
      <c r="O497" s="836"/>
      <c r="P497" s="2174"/>
      <c r="Q497" s="836"/>
      <c r="R497" s="309"/>
      <c r="S497" s="309"/>
      <c r="T497" s="309"/>
      <c r="U497" s="309"/>
      <c r="V497" s="311"/>
      <c r="W497" s="311"/>
      <c r="X497" s="311"/>
      <c r="Y497" s="311"/>
      <c r="Z497" s="311"/>
      <c r="AA497" s="311"/>
      <c r="AB497" s="311"/>
      <c r="AC497" s="311"/>
      <c r="AD497" s="311"/>
      <c r="AE497" s="311"/>
      <c r="AF497" s="311"/>
      <c r="AG497" s="311"/>
      <c r="AH497" s="311"/>
      <c r="AI497" s="311"/>
      <c r="AJ497" s="311"/>
      <c r="AK497" s="311"/>
      <c r="AL497" s="311"/>
      <c r="AM497" s="311"/>
    </row>
    <row r="498" spans="1:39" ht="15.75" customHeight="1">
      <c r="A498" s="382"/>
      <c r="B498" s="311"/>
      <c r="C498" s="1647"/>
      <c r="D498" s="2173"/>
      <c r="E498" s="1586"/>
      <c r="F498" s="1954"/>
      <c r="G498" s="1846"/>
      <c r="H498" s="1586"/>
      <c r="I498" s="1647"/>
      <c r="J498" s="2187"/>
      <c r="K498" s="1647"/>
      <c r="L498" s="1647"/>
      <c r="M498" s="2174"/>
      <c r="N498" s="836"/>
      <c r="O498" s="836"/>
      <c r="P498" s="2174"/>
      <c r="Q498" s="836"/>
      <c r="R498" s="309"/>
      <c r="S498" s="309"/>
      <c r="T498" s="309"/>
      <c r="U498" s="309"/>
      <c r="V498" s="311"/>
      <c r="W498" s="311"/>
      <c r="X498" s="311"/>
      <c r="Y498" s="311"/>
      <c r="Z498" s="311"/>
      <c r="AA498" s="311"/>
      <c r="AB498" s="311"/>
      <c r="AC498" s="311"/>
      <c r="AD498" s="311"/>
      <c r="AE498" s="311"/>
      <c r="AF498" s="311"/>
      <c r="AG498" s="311"/>
      <c r="AH498" s="311"/>
      <c r="AI498" s="311"/>
      <c r="AJ498" s="311"/>
      <c r="AK498" s="311"/>
      <c r="AL498" s="311"/>
      <c r="AM498" s="311"/>
    </row>
    <row r="499" spans="1:39" ht="15.75" customHeight="1">
      <c r="A499" s="382"/>
      <c r="B499" s="311"/>
      <c r="C499" s="1647"/>
      <c r="D499" s="2173"/>
      <c r="E499" s="1586"/>
      <c r="F499" s="1954"/>
      <c r="G499" s="1846"/>
      <c r="H499" s="1586"/>
      <c r="I499" s="1647"/>
      <c r="J499" s="2187"/>
      <c r="K499" s="1647"/>
      <c r="L499" s="1647"/>
      <c r="M499" s="2174"/>
      <c r="N499" s="836"/>
      <c r="O499" s="836"/>
      <c r="P499" s="2174"/>
      <c r="Q499" s="836"/>
      <c r="R499" s="309"/>
      <c r="S499" s="309"/>
      <c r="T499" s="309"/>
      <c r="U499" s="309"/>
      <c r="V499" s="311"/>
      <c r="W499" s="311"/>
      <c r="X499" s="311"/>
      <c r="Y499" s="311"/>
      <c r="Z499" s="311"/>
      <c r="AA499" s="311"/>
      <c r="AB499" s="311"/>
      <c r="AC499" s="311"/>
      <c r="AD499" s="311"/>
      <c r="AE499" s="311"/>
      <c r="AF499" s="311"/>
      <c r="AG499" s="311"/>
      <c r="AH499" s="311"/>
      <c r="AI499" s="311"/>
      <c r="AJ499" s="311"/>
      <c r="AK499" s="311"/>
      <c r="AL499" s="311"/>
      <c r="AM499" s="311"/>
    </row>
    <row r="500" spans="1:39" ht="15.75" customHeight="1">
      <c r="A500" s="382"/>
      <c r="B500" s="311"/>
      <c r="C500" s="1647"/>
      <c r="D500" s="2173"/>
      <c r="E500" s="1586"/>
      <c r="F500" s="1954"/>
      <c r="G500" s="1846"/>
      <c r="H500" s="1586"/>
      <c r="I500" s="1647"/>
      <c r="J500" s="2187"/>
      <c r="K500" s="1647"/>
      <c r="L500" s="1647"/>
      <c r="M500" s="2174"/>
      <c r="N500" s="836"/>
      <c r="O500" s="836"/>
      <c r="P500" s="2174"/>
      <c r="Q500" s="836"/>
      <c r="R500" s="309"/>
      <c r="S500" s="309"/>
      <c r="T500" s="309"/>
      <c r="U500" s="309"/>
      <c r="V500" s="311"/>
      <c r="W500" s="311"/>
      <c r="X500" s="311"/>
      <c r="Y500" s="311"/>
      <c r="Z500" s="311"/>
      <c r="AA500" s="311"/>
      <c r="AB500" s="311"/>
      <c r="AC500" s="311"/>
      <c r="AD500" s="311"/>
      <c r="AE500" s="311"/>
      <c r="AF500" s="311"/>
      <c r="AG500" s="311"/>
      <c r="AH500" s="311"/>
      <c r="AI500" s="311"/>
      <c r="AJ500" s="311"/>
      <c r="AK500" s="311"/>
      <c r="AL500" s="311"/>
      <c r="AM500" s="311"/>
    </row>
    <row r="501" spans="1:39" ht="15.75" customHeight="1">
      <c r="A501" s="382"/>
      <c r="B501" s="311"/>
      <c r="C501" s="1647"/>
      <c r="D501" s="2173"/>
      <c r="E501" s="1586"/>
      <c r="F501" s="1954"/>
      <c r="G501" s="1846"/>
      <c r="H501" s="1586"/>
      <c r="I501" s="1647"/>
      <c r="J501" s="2187"/>
      <c r="K501" s="1647"/>
      <c r="L501" s="1647"/>
      <c r="M501" s="2174"/>
      <c r="N501" s="836"/>
      <c r="O501" s="836"/>
      <c r="P501" s="2174"/>
      <c r="Q501" s="836"/>
      <c r="R501" s="309"/>
      <c r="S501" s="309"/>
      <c r="T501" s="309"/>
      <c r="U501" s="309"/>
      <c r="V501" s="311"/>
      <c r="W501" s="311"/>
      <c r="X501" s="311"/>
      <c r="Y501" s="311"/>
      <c r="Z501" s="311"/>
      <c r="AA501" s="311"/>
      <c r="AB501" s="311"/>
      <c r="AC501" s="311"/>
      <c r="AD501" s="311"/>
      <c r="AE501" s="311"/>
      <c r="AF501" s="311"/>
      <c r="AG501" s="311"/>
      <c r="AH501" s="311"/>
      <c r="AI501" s="311"/>
      <c r="AJ501" s="311"/>
      <c r="AK501" s="311"/>
      <c r="AL501" s="311"/>
      <c r="AM501" s="311"/>
    </row>
    <row r="502" spans="1:39" ht="15.75" customHeight="1">
      <c r="A502" s="382"/>
      <c r="B502" s="311"/>
      <c r="C502" s="1647"/>
      <c r="D502" s="2173"/>
      <c r="E502" s="1586"/>
      <c r="F502" s="1954"/>
      <c r="G502" s="1846"/>
      <c r="H502" s="1586"/>
      <c r="I502" s="1647"/>
      <c r="J502" s="2187"/>
      <c r="K502" s="1647"/>
      <c r="L502" s="1647"/>
      <c r="M502" s="2174"/>
      <c r="N502" s="836"/>
      <c r="O502" s="836"/>
      <c r="P502" s="2174"/>
      <c r="Q502" s="836"/>
      <c r="R502" s="309"/>
      <c r="S502" s="309"/>
      <c r="T502" s="309"/>
      <c r="U502" s="309"/>
      <c r="V502" s="311"/>
      <c r="W502" s="311"/>
      <c r="X502" s="311"/>
      <c r="Y502" s="311"/>
      <c r="Z502" s="311"/>
      <c r="AA502" s="311"/>
      <c r="AB502" s="311"/>
      <c r="AC502" s="311"/>
      <c r="AD502" s="311"/>
      <c r="AE502" s="311"/>
      <c r="AF502" s="311"/>
      <c r="AG502" s="311"/>
      <c r="AH502" s="311"/>
      <c r="AI502" s="311"/>
      <c r="AJ502" s="311"/>
      <c r="AK502" s="311"/>
      <c r="AL502" s="311"/>
      <c r="AM502" s="311"/>
    </row>
    <row r="503" spans="1:39" ht="15.75" customHeight="1">
      <c r="A503" s="382"/>
      <c r="B503" s="311"/>
      <c r="C503" s="1647"/>
      <c r="D503" s="2173"/>
      <c r="E503" s="1586"/>
      <c r="F503" s="1954"/>
      <c r="G503" s="1846"/>
      <c r="H503" s="1586"/>
      <c r="I503" s="1647"/>
      <c r="J503" s="2187"/>
      <c r="K503" s="1647"/>
      <c r="L503" s="1647"/>
      <c r="M503" s="2174"/>
      <c r="N503" s="836"/>
      <c r="O503" s="836"/>
      <c r="P503" s="2174"/>
      <c r="Q503" s="836"/>
      <c r="R503" s="309"/>
      <c r="S503" s="309"/>
      <c r="T503" s="309"/>
      <c r="U503" s="309"/>
      <c r="V503" s="311"/>
      <c r="W503" s="311"/>
      <c r="X503" s="311"/>
      <c r="Y503" s="311"/>
      <c r="Z503" s="311"/>
      <c r="AA503" s="311"/>
      <c r="AB503" s="311"/>
      <c r="AC503" s="311"/>
      <c r="AD503" s="311"/>
      <c r="AE503" s="311"/>
      <c r="AF503" s="311"/>
      <c r="AG503" s="311"/>
      <c r="AH503" s="311"/>
      <c r="AI503" s="311"/>
      <c r="AJ503" s="311"/>
      <c r="AK503" s="311"/>
      <c r="AL503" s="311"/>
      <c r="AM503" s="311"/>
    </row>
    <row r="504" spans="1:39" ht="15.75" customHeight="1">
      <c r="A504" s="382"/>
      <c r="B504" s="311"/>
      <c r="C504" s="1647"/>
      <c r="D504" s="2173"/>
      <c r="E504" s="1586"/>
      <c r="F504" s="1954"/>
      <c r="G504" s="1846"/>
      <c r="H504" s="1586"/>
      <c r="I504" s="1647"/>
      <c r="J504" s="2187"/>
      <c r="K504" s="1647"/>
      <c r="L504" s="1647"/>
      <c r="M504" s="2174"/>
      <c r="N504" s="836"/>
      <c r="O504" s="836"/>
      <c r="P504" s="2174"/>
      <c r="Q504" s="836"/>
      <c r="R504" s="309"/>
      <c r="S504" s="309"/>
      <c r="T504" s="309"/>
      <c r="U504" s="309"/>
      <c r="V504" s="311"/>
      <c r="W504" s="311"/>
      <c r="X504" s="311"/>
      <c r="Y504" s="311"/>
      <c r="Z504" s="311"/>
      <c r="AA504" s="311"/>
      <c r="AB504" s="311"/>
      <c r="AC504" s="311"/>
      <c r="AD504" s="311"/>
      <c r="AE504" s="311"/>
      <c r="AF504" s="311"/>
      <c r="AG504" s="311"/>
      <c r="AH504" s="311"/>
      <c r="AI504" s="311"/>
      <c r="AJ504" s="311"/>
      <c r="AK504" s="311"/>
      <c r="AL504" s="311"/>
      <c r="AM504" s="311"/>
    </row>
    <row r="505" spans="1:39" ht="15.75" customHeight="1">
      <c r="A505" s="382"/>
      <c r="B505" s="311"/>
      <c r="C505" s="1647"/>
      <c r="D505" s="2173"/>
      <c r="E505" s="1586"/>
      <c r="F505" s="1954"/>
      <c r="G505" s="1846"/>
      <c r="H505" s="1586"/>
      <c r="I505" s="1647"/>
      <c r="J505" s="2187"/>
      <c r="K505" s="1647"/>
      <c r="L505" s="1647"/>
      <c r="M505" s="2174"/>
      <c r="N505" s="836"/>
      <c r="O505" s="836"/>
      <c r="P505" s="2174"/>
      <c r="Q505" s="836"/>
      <c r="R505" s="309"/>
      <c r="S505" s="309"/>
      <c r="T505" s="309"/>
      <c r="U505" s="309"/>
      <c r="V505" s="311"/>
      <c r="W505" s="311"/>
      <c r="X505" s="311"/>
      <c r="Y505" s="311"/>
      <c r="Z505" s="311"/>
      <c r="AA505" s="311"/>
      <c r="AB505" s="311"/>
      <c r="AC505" s="311"/>
      <c r="AD505" s="311"/>
      <c r="AE505" s="311"/>
      <c r="AF505" s="311"/>
      <c r="AG505" s="311"/>
      <c r="AH505" s="311"/>
      <c r="AI505" s="311"/>
      <c r="AJ505" s="311"/>
      <c r="AK505" s="311"/>
      <c r="AL505" s="311"/>
      <c r="AM505" s="311"/>
    </row>
    <row r="506" spans="1:39" ht="15.75" customHeight="1">
      <c r="A506" s="382"/>
      <c r="B506" s="311"/>
      <c r="C506" s="1647"/>
      <c r="D506" s="2173"/>
      <c r="E506" s="1586"/>
      <c r="F506" s="1954"/>
      <c r="G506" s="1846"/>
      <c r="H506" s="1586"/>
      <c r="I506" s="1647"/>
      <c r="J506" s="2187"/>
      <c r="K506" s="1647"/>
      <c r="L506" s="1647"/>
      <c r="M506" s="2174"/>
      <c r="N506" s="836"/>
      <c r="O506" s="836"/>
      <c r="P506" s="2174"/>
      <c r="Q506" s="836"/>
      <c r="R506" s="309"/>
      <c r="S506" s="309"/>
      <c r="T506" s="309"/>
      <c r="U506" s="309"/>
      <c r="V506" s="311"/>
      <c r="W506" s="311"/>
      <c r="X506" s="311"/>
      <c r="Y506" s="311"/>
      <c r="Z506" s="311"/>
      <c r="AA506" s="311"/>
      <c r="AB506" s="311"/>
      <c r="AC506" s="311"/>
      <c r="AD506" s="311"/>
      <c r="AE506" s="311"/>
      <c r="AF506" s="311"/>
      <c r="AG506" s="311"/>
      <c r="AH506" s="311"/>
      <c r="AI506" s="311"/>
      <c r="AJ506" s="311"/>
      <c r="AK506" s="311"/>
      <c r="AL506" s="311"/>
      <c r="AM506" s="311"/>
    </row>
    <row r="507" spans="1:39" ht="15.75" customHeight="1">
      <c r="A507" s="382"/>
      <c r="B507" s="311"/>
      <c r="C507" s="1647"/>
      <c r="D507" s="2173"/>
      <c r="E507" s="1586"/>
      <c r="F507" s="1954"/>
      <c r="G507" s="1846"/>
      <c r="H507" s="1586"/>
      <c r="I507" s="1647"/>
      <c r="J507" s="2187"/>
      <c r="K507" s="1647"/>
      <c r="L507" s="1647"/>
      <c r="M507" s="2174"/>
      <c r="N507" s="836"/>
      <c r="O507" s="836"/>
      <c r="P507" s="2174"/>
      <c r="Q507" s="836"/>
      <c r="R507" s="309"/>
      <c r="S507" s="309"/>
      <c r="T507" s="309"/>
      <c r="U507" s="309"/>
      <c r="V507" s="311"/>
      <c r="W507" s="311"/>
      <c r="X507" s="311"/>
      <c r="Y507" s="311"/>
      <c r="Z507" s="311"/>
      <c r="AA507" s="311"/>
      <c r="AB507" s="311"/>
      <c r="AC507" s="311"/>
      <c r="AD507" s="311"/>
      <c r="AE507" s="311"/>
      <c r="AF507" s="311"/>
      <c r="AG507" s="311"/>
      <c r="AH507" s="311"/>
      <c r="AI507" s="311"/>
      <c r="AJ507" s="311"/>
      <c r="AK507" s="311"/>
      <c r="AL507" s="311"/>
      <c r="AM507" s="311"/>
    </row>
    <row r="508" spans="1:39" ht="15.75" customHeight="1">
      <c r="A508" s="382"/>
      <c r="B508" s="311"/>
      <c r="C508" s="1647"/>
      <c r="D508" s="2173"/>
      <c r="E508" s="1586"/>
      <c r="F508" s="1954"/>
      <c r="G508" s="1846"/>
      <c r="H508" s="1586"/>
      <c r="I508" s="1647"/>
      <c r="J508" s="2187"/>
      <c r="K508" s="1647"/>
      <c r="L508" s="1647"/>
      <c r="M508" s="2174"/>
      <c r="N508" s="836"/>
      <c r="O508" s="836"/>
      <c r="P508" s="2174"/>
      <c r="Q508" s="836"/>
      <c r="R508" s="309"/>
      <c r="S508" s="309"/>
      <c r="T508" s="309"/>
      <c r="U508" s="309"/>
      <c r="V508" s="311"/>
      <c r="W508" s="311"/>
      <c r="X508" s="311"/>
      <c r="Y508" s="311"/>
      <c r="Z508" s="311"/>
      <c r="AA508" s="311"/>
      <c r="AB508" s="311"/>
      <c r="AC508" s="311"/>
      <c r="AD508" s="311"/>
      <c r="AE508" s="311"/>
      <c r="AF508" s="311"/>
      <c r="AG508" s="311"/>
      <c r="AH508" s="311"/>
      <c r="AI508" s="311"/>
      <c r="AJ508" s="311"/>
      <c r="AK508" s="311"/>
      <c r="AL508" s="311"/>
      <c r="AM508" s="311"/>
    </row>
    <row r="509" spans="1:39" ht="15.75" customHeight="1">
      <c r="A509" s="382"/>
      <c r="B509" s="311"/>
      <c r="C509" s="1647"/>
      <c r="D509" s="2173"/>
      <c r="E509" s="1586"/>
      <c r="F509" s="1954"/>
      <c r="G509" s="1846"/>
      <c r="H509" s="1586"/>
      <c r="I509" s="1647"/>
      <c r="J509" s="2187"/>
      <c r="K509" s="1647"/>
      <c r="L509" s="1647"/>
      <c r="M509" s="2174"/>
      <c r="N509" s="836"/>
      <c r="O509" s="836"/>
      <c r="P509" s="2174"/>
      <c r="Q509" s="836"/>
      <c r="R509" s="309"/>
      <c r="S509" s="309"/>
      <c r="T509" s="309"/>
      <c r="U509" s="309"/>
      <c r="V509" s="311"/>
      <c r="W509" s="311"/>
      <c r="X509" s="311"/>
      <c r="Y509" s="311"/>
      <c r="Z509" s="311"/>
      <c r="AA509" s="311"/>
      <c r="AB509" s="311"/>
      <c r="AC509" s="311"/>
      <c r="AD509" s="311"/>
      <c r="AE509" s="311"/>
      <c r="AF509" s="311"/>
      <c r="AG509" s="311"/>
      <c r="AH509" s="311"/>
      <c r="AI509" s="311"/>
      <c r="AJ509" s="311"/>
      <c r="AK509" s="311"/>
      <c r="AL509" s="311"/>
      <c r="AM509" s="311"/>
    </row>
    <row r="510" spans="1:39" ht="15.75" customHeight="1">
      <c r="A510" s="382"/>
      <c r="B510" s="311"/>
      <c r="C510" s="1647"/>
      <c r="D510" s="2173"/>
      <c r="E510" s="1586"/>
      <c r="F510" s="1954"/>
      <c r="G510" s="1846"/>
      <c r="H510" s="1586"/>
      <c r="I510" s="1647"/>
      <c r="J510" s="2187"/>
      <c r="K510" s="1647"/>
      <c r="L510" s="1647"/>
      <c r="M510" s="2174"/>
      <c r="N510" s="836"/>
      <c r="O510" s="836"/>
      <c r="P510" s="2174"/>
      <c r="Q510" s="836"/>
      <c r="R510" s="309"/>
      <c r="S510" s="309"/>
      <c r="T510" s="309"/>
      <c r="U510" s="309"/>
      <c r="V510" s="311"/>
      <c r="W510" s="311"/>
      <c r="X510" s="311"/>
      <c r="Y510" s="311"/>
      <c r="Z510" s="311"/>
      <c r="AA510" s="311"/>
      <c r="AB510" s="311"/>
      <c r="AC510" s="311"/>
      <c r="AD510" s="311"/>
      <c r="AE510" s="311"/>
      <c r="AF510" s="311"/>
      <c r="AG510" s="311"/>
      <c r="AH510" s="311"/>
      <c r="AI510" s="311"/>
      <c r="AJ510" s="311"/>
      <c r="AK510" s="311"/>
      <c r="AL510" s="311"/>
      <c r="AM510" s="311"/>
    </row>
    <row r="511" spans="1:39" ht="15.75" customHeight="1">
      <c r="A511" s="382"/>
      <c r="B511" s="311"/>
      <c r="C511" s="1647"/>
      <c r="D511" s="2173"/>
      <c r="E511" s="1586"/>
      <c r="F511" s="1954"/>
      <c r="G511" s="1846"/>
      <c r="H511" s="1586"/>
      <c r="I511" s="1647"/>
      <c r="J511" s="2187"/>
      <c r="K511" s="1647"/>
      <c r="L511" s="1647"/>
      <c r="M511" s="2174"/>
      <c r="N511" s="836"/>
      <c r="O511" s="836"/>
      <c r="P511" s="2174"/>
      <c r="Q511" s="836"/>
      <c r="R511" s="309"/>
      <c r="S511" s="309"/>
      <c r="T511" s="309"/>
      <c r="U511" s="309"/>
      <c r="V511" s="311"/>
      <c r="W511" s="311"/>
      <c r="X511" s="311"/>
      <c r="Y511" s="311"/>
      <c r="Z511" s="311"/>
      <c r="AA511" s="311"/>
      <c r="AB511" s="311"/>
      <c r="AC511" s="311"/>
      <c r="AD511" s="311"/>
      <c r="AE511" s="311"/>
      <c r="AF511" s="311"/>
      <c r="AG511" s="311"/>
      <c r="AH511" s="311"/>
      <c r="AI511" s="311"/>
      <c r="AJ511" s="311"/>
      <c r="AK511" s="311"/>
      <c r="AL511" s="311"/>
      <c r="AM511" s="311"/>
    </row>
    <row r="512" spans="1:39" ht="15.75" customHeight="1">
      <c r="A512" s="382"/>
      <c r="B512" s="311"/>
      <c r="C512" s="1647"/>
      <c r="D512" s="2173"/>
      <c r="E512" s="1586"/>
      <c r="F512" s="1954"/>
      <c r="G512" s="1846"/>
      <c r="H512" s="1586"/>
      <c r="I512" s="1647"/>
      <c r="J512" s="2187"/>
      <c r="K512" s="1647"/>
      <c r="L512" s="1647"/>
      <c r="M512" s="2174"/>
      <c r="N512" s="836"/>
      <c r="O512" s="836"/>
      <c r="P512" s="2174"/>
      <c r="Q512" s="836"/>
      <c r="R512" s="309"/>
      <c r="S512" s="309"/>
      <c r="T512" s="309"/>
      <c r="U512" s="309"/>
      <c r="V512" s="311"/>
      <c r="W512" s="311"/>
      <c r="X512" s="311"/>
      <c r="Y512" s="311"/>
      <c r="Z512" s="311"/>
      <c r="AA512" s="311"/>
      <c r="AB512" s="311"/>
      <c r="AC512" s="311"/>
      <c r="AD512" s="311"/>
      <c r="AE512" s="311"/>
      <c r="AF512" s="311"/>
      <c r="AG512" s="311"/>
      <c r="AH512" s="311"/>
      <c r="AI512" s="311"/>
      <c r="AJ512" s="311"/>
      <c r="AK512" s="311"/>
      <c r="AL512" s="311"/>
      <c r="AM512" s="311"/>
    </row>
    <row r="513" spans="1:39" ht="15.75" customHeight="1">
      <c r="A513" s="382"/>
      <c r="B513" s="311"/>
      <c r="C513" s="1647"/>
      <c r="D513" s="2173"/>
      <c r="E513" s="1586"/>
      <c r="F513" s="1954"/>
      <c r="G513" s="1846"/>
      <c r="H513" s="1586"/>
      <c r="I513" s="1647"/>
      <c r="J513" s="2187"/>
      <c r="K513" s="1647"/>
      <c r="L513" s="1647"/>
      <c r="M513" s="2174"/>
      <c r="N513" s="836"/>
      <c r="O513" s="836"/>
      <c r="P513" s="2174"/>
      <c r="Q513" s="836"/>
      <c r="R513" s="309"/>
      <c r="S513" s="309"/>
      <c r="T513" s="309"/>
      <c r="U513" s="309"/>
      <c r="V513" s="311"/>
      <c r="W513" s="311"/>
      <c r="X513" s="311"/>
      <c r="Y513" s="311"/>
      <c r="Z513" s="311"/>
      <c r="AA513" s="311"/>
      <c r="AB513" s="311"/>
      <c r="AC513" s="311"/>
      <c r="AD513" s="311"/>
      <c r="AE513" s="311"/>
      <c r="AF513" s="311"/>
      <c r="AG513" s="311"/>
      <c r="AH513" s="311"/>
      <c r="AI513" s="311"/>
      <c r="AJ513" s="311"/>
      <c r="AK513" s="311"/>
      <c r="AL513" s="311"/>
      <c r="AM513" s="311"/>
    </row>
    <row r="514" spans="1:39" ht="15.75" customHeight="1">
      <c r="A514" s="382"/>
      <c r="B514" s="311"/>
      <c r="C514" s="1647"/>
      <c r="D514" s="2173"/>
      <c r="E514" s="1586"/>
      <c r="F514" s="1954"/>
      <c r="G514" s="1846"/>
      <c r="H514" s="1586"/>
      <c r="I514" s="1647"/>
      <c r="J514" s="2187"/>
      <c r="K514" s="1647"/>
      <c r="L514" s="1647"/>
      <c r="M514" s="2174"/>
      <c r="N514" s="836"/>
      <c r="O514" s="836"/>
      <c r="P514" s="2174"/>
      <c r="Q514" s="836"/>
      <c r="R514" s="309"/>
      <c r="S514" s="309"/>
      <c r="T514" s="309"/>
      <c r="U514" s="309"/>
      <c r="V514" s="311"/>
      <c r="W514" s="311"/>
      <c r="X514" s="311"/>
      <c r="Y514" s="311"/>
      <c r="Z514" s="311"/>
      <c r="AA514" s="311"/>
      <c r="AB514" s="311"/>
      <c r="AC514" s="311"/>
      <c r="AD514" s="311"/>
      <c r="AE514" s="311"/>
      <c r="AF514" s="311"/>
      <c r="AG514" s="311"/>
      <c r="AH514" s="311"/>
      <c r="AI514" s="311"/>
      <c r="AJ514" s="311"/>
      <c r="AK514" s="311"/>
      <c r="AL514" s="311"/>
      <c r="AM514" s="311"/>
    </row>
    <row r="515" spans="1:39" ht="15.75" customHeight="1">
      <c r="A515" s="382"/>
      <c r="B515" s="311"/>
      <c r="C515" s="1647"/>
      <c r="D515" s="2173"/>
      <c r="E515" s="1586"/>
      <c r="F515" s="1954"/>
      <c r="G515" s="1846"/>
      <c r="H515" s="1586"/>
      <c r="I515" s="1647"/>
      <c r="J515" s="2187"/>
      <c r="K515" s="1647"/>
      <c r="L515" s="1647"/>
      <c r="M515" s="2174"/>
      <c r="N515" s="836"/>
      <c r="O515" s="836"/>
      <c r="P515" s="2174"/>
      <c r="Q515" s="836"/>
      <c r="R515" s="309"/>
      <c r="S515" s="309"/>
      <c r="T515" s="309"/>
      <c r="U515" s="309"/>
      <c r="V515" s="311"/>
      <c r="W515" s="311"/>
      <c r="X515" s="311"/>
      <c r="Y515" s="311"/>
      <c r="Z515" s="311"/>
      <c r="AA515" s="311"/>
      <c r="AB515" s="311"/>
      <c r="AC515" s="311"/>
      <c r="AD515" s="311"/>
      <c r="AE515" s="311"/>
      <c r="AF515" s="311"/>
      <c r="AG515" s="311"/>
      <c r="AH515" s="311"/>
      <c r="AI515" s="311"/>
      <c r="AJ515" s="311"/>
      <c r="AK515" s="311"/>
      <c r="AL515" s="311"/>
      <c r="AM515" s="311"/>
    </row>
    <row r="516" spans="1:39" ht="15.75" customHeight="1">
      <c r="A516" s="382"/>
      <c r="B516" s="311"/>
      <c r="C516" s="1647"/>
      <c r="D516" s="2173"/>
      <c r="E516" s="1586"/>
      <c r="F516" s="1954"/>
      <c r="G516" s="1846"/>
      <c r="H516" s="1586"/>
      <c r="I516" s="1647"/>
      <c r="J516" s="2187"/>
      <c r="K516" s="1647"/>
      <c r="L516" s="1647"/>
      <c r="M516" s="2174"/>
      <c r="N516" s="836"/>
      <c r="O516" s="836"/>
      <c r="P516" s="2174"/>
      <c r="Q516" s="836"/>
      <c r="R516" s="309"/>
      <c r="S516" s="309"/>
      <c r="T516" s="309"/>
      <c r="U516" s="309"/>
      <c r="V516" s="311"/>
      <c r="W516" s="311"/>
      <c r="X516" s="311"/>
      <c r="Y516" s="311"/>
      <c r="Z516" s="311"/>
      <c r="AA516" s="311"/>
      <c r="AB516" s="311"/>
      <c r="AC516" s="311"/>
      <c r="AD516" s="311"/>
      <c r="AE516" s="311"/>
      <c r="AF516" s="311"/>
      <c r="AG516" s="311"/>
      <c r="AH516" s="311"/>
      <c r="AI516" s="311"/>
      <c r="AJ516" s="311"/>
      <c r="AK516" s="311"/>
      <c r="AL516" s="311"/>
      <c r="AM516" s="311"/>
    </row>
    <row r="517" spans="1:39" ht="15.75" customHeight="1">
      <c r="A517" s="382"/>
      <c r="B517" s="311"/>
      <c r="C517" s="1647"/>
      <c r="D517" s="2173"/>
      <c r="E517" s="1586"/>
      <c r="F517" s="1954"/>
      <c r="G517" s="1846"/>
      <c r="H517" s="1586"/>
      <c r="I517" s="1647"/>
      <c r="J517" s="2187"/>
      <c r="K517" s="1647"/>
      <c r="L517" s="1647"/>
      <c r="M517" s="2174"/>
      <c r="N517" s="836"/>
      <c r="O517" s="836"/>
      <c r="P517" s="2174"/>
      <c r="Q517" s="836"/>
      <c r="R517" s="309"/>
      <c r="S517" s="309"/>
      <c r="T517" s="309"/>
      <c r="U517" s="309"/>
      <c r="V517" s="311"/>
      <c r="W517" s="311"/>
      <c r="X517" s="311"/>
      <c r="Y517" s="311"/>
      <c r="Z517" s="311"/>
      <c r="AA517" s="311"/>
      <c r="AB517" s="311"/>
      <c r="AC517" s="311"/>
      <c r="AD517" s="311"/>
      <c r="AE517" s="311"/>
      <c r="AF517" s="311"/>
      <c r="AG517" s="311"/>
      <c r="AH517" s="311"/>
      <c r="AI517" s="311"/>
      <c r="AJ517" s="311"/>
      <c r="AK517" s="311"/>
      <c r="AL517" s="311"/>
      <c r="AM517" s="311"/>
    </row>
    <row r="518" spans="1:39" ht="15.75" customHeight="1">
      <c r="A518" s="382"/>
      <c r="B518" s="311"/>
      <c r="C518" s="1647"/>
      <c r="D518" s="2173"/>
      <c r="E518" s="1586"/>
      <c r="F518" s="1954"/>
      <c r="G518" s="1846"/>
      <c r="H518" s="1586"/>
      <c r="I518" s="1647"/>
      <c r="J518" s="2187"/>
      <c r="K518" s="1647"/>
      <c r="L518" s="1647"/>
      <c r="M518" s="2174"/>
      <c r="N518" s="836"/>
      <c r="O518" s="836"/>
      <c r="P518" s="2174"/>
      <c r="Q518" s="836"/>
      <c r="R518" s="309"/>
      <c r="S518" s="309"/>
      <c r="T518" s="309"/>
      <c r="U518" s="309"/>
      <c r="V518" s="311"/>
      <c r="W518" s="311"/>
      <c r="X518" s="311"/>
      <c r="Y518" s="311"/>
      <c r="Z518" s="311"/>
      <c r="AA518" s="311"/>
      <c r="AB518" s="311"/>
      <c r="AC518" s="311"/>
      <c r="AD518" s="311"/>
      <c r="AE518" s="311"/>
      <c r="AF518" s="311"/>
      <c r="AG518" s="311"/>
      <c r="AH518" s="311"/>
      <c r="AI518" s="311"/>
      <c r="AJ518" s="311"/>
      <c r="AK518" s="311"/>
      <c r="AL518" s="311"/>
      <c r="AM518" s="311"/>
    </row>
    <row r="519" spans="1:39" ht="15.75" customHeight="1">
      <c r="A519" s="382"/>
      <c r="B519" s="311"/>
      <c r="C519" s="1647"/>
      <c r="D519" s="2173"/>
      <c r="E519" s="1586"/>
      <c r="F519" s="1954"/>
      <c r="G519" s="1846"/>
      <c r="H519" s="1586"/>
      <c r="I519" s="1647"/>
      <c r="J519" s="2187"/>
      <c r="K519" s="1647"/>
      <c r="L519" s="1647"/>
      <c r="M519" s="2174"/>
      <c r="N519" s="836"/>
      <c r="O519" s="836"/>
      <c r="P519" s="2174"/>
      <c r="Q519" s="836"/>
      <c r="R519" s="309"/>
      <c r="S519" s="309"/>
      <c r="T519" s="309"/>
      <c r="U519" s="309"/>
      <c r="V519" s="311"/>
      <c r="W519" s="311"/>
      <c r="X519" s="311"/>
      <c r="Y519" s="311"/>
      <c r="Z519" s="311"/>
      <c r="AA519" s="311"/>
      <c r="AB519" s="311"/>
      <c r="AC519" s="311"/>
      <c r="AD519" s="311"/>
      <c r="AE519" s="311"/>
      <c r="AF519" s="311"/>
      <c r="AG519" s="311"/>
      <c r="AH519" s="311"/>
      <c r="AI519" s="311"/>
      <c r="AJ519" s="311"/>
      <c r="AK519" s="311"/>
      <c r="AL519" s="311"/>
      <c r="AM519" s="311"/>
    </row>
    <row r="520" spans="1:39" ht="15.75" customHeight="1">
      <c r="A520" s="382"/>
      <c r="B520" s="311"/>
      <c r="C520" s="1647"/>
      <c r="D520" s="2173"/>
      <c r="E520" s="1586"/>
      <c r="F520" s="1954"/>
      <c r="G520" s="1846"/>
      <c r="H520" s="1586"/>
      <c r="I520" s="1647"/>
      <c r="J520" s="2187"/>
      <c r="K520" s="1647"/>
      <c r="L520" s="1647"/>
      <c r="M520" s="2174"/>
      <c r="N520" s="836"/>
      <c r="O520" s="836"/>
      <c r="P520" s="2174"/>
      <c r="Q520" s="836"/>
      <c r="R520" s="309"/>
      <c r="S520" s="309"/>
      <c r="T520" s="309"/>
      <c r="U520" s="309"/>
      <c r="V520" s="311"/>
      <c r="W520" s="311"/>
      <c r="X520" s="311"/>
      <c r="Y520" s="311"/>
      <c r="Z520" s="311"/>
      <c r="AA520" s="311"/>
      <c r="AB520" s="311"/>
      <c r="AC520" s="311"/>
      <c r="AD520" s="311"/>
      <c r="AE520" s="311"/>
      <c r="AF520" s="311"/>
      <c r="AG520" s="311"/>
      <c r="AH520" s="311"/>
      <c r="AI520" s="311"/>
      <c r="AJ520" s="311"/>
      <c r="AK520" s="311"/>
      <c r="AL520" s="311"/>
      <c r="AM520" s="311"/>
    </row>
    <row r="521" spans="1:39" ht="15.75" customHeight="1">
      <c r="A521" s="382"/>
      <c r="B521" s="311"/>
      <c r="C521" s="1647"/>
      <c r="D521" s="2173"/>
      <c r="E521" s="1586"/>
      <c r="F521" s="1954"/>
      <c r="G521" s="1846"/>
      <c r="H521" s="1586"/>
      <c r="I521" s="1647"/>
      <c r="J521" s="2187"/>
      <c r="K521" s="1647"/>
      <c r="L521" s="1647"/>
      <c r="M521" s="2174"/>
      <c r="N521" s="836"/>
      <c r="O521" s="836"/>
      <c r="P521" s="2174"/>
      <c r="Q521" s="836"/>
      <c r="R521" s="309"/>
      <c r="S521" s="309"/>
      <c r="T521" s="309"/>
      <c r="U521" s="309"/>
      <c r="V521" s="311"/>
      <c r="W521" s="311"/>
      <c r="X521" s="311"/>
      <c r="Y521" s="311"/>
      <c r="Z521" s="311"/>
      <c r="AA521" s="311"/>
      <c r="AB521" s="311"/>
      <c r="AC521" s="311"/>
      <c r="AD521" s="311"/>
      <c r="AE521" s="311"/>
      <c r="AF521" s="311"/>
      <c r="AG521" s="311"/>
      <c r="AH521" s="311"/>
      <c r="AI521" s="311"/>
      <c r="AJ521" s="311"/>
      <c r="AK521" s="311"/>
      <c r="AL521" s="311"/>
      <c r="AM521" s="311"/>
    </row>
    <row r="522" spans="1:39" ht="15.75" customHeight="1">
      <c r="A522" s="382"/>
      <c r="B522" s="311"/>
      <c r="C522" s="1647"/>
      <c r="D522" s="2173"/>
      <c r="E522" s="1586"/>
      <c r="F522" s="1954"/>
      <c r="G522" s="1846"/>
      <c r="H522" s="1586"/>
      <c r="I522" s="1647"/>
      <c r="J522" s="2187"/>
      <c r="K522" s="1647"/>
      <c r="L522" s="1647"/>
      <c r="M522" s="2174"/>
      <c r="N522" s="836"/>
      <c r="O522" s="836"/>
      <c r="P522" s="2174"/>
      <c r="Q522" s="836"/>
      <c r="R522" s="309"/>
      <c r="S522" s="309"/>
      <c r="T522" s="309"/>
      <c r="U522" s="309"/>
      <c r="V522" s="311"/>
      <c r="W522" s="311"/>
      <c r="X522" s="311"/>
      <c r="Y522" s="311"/>
      <c r="Z522" s="311"/>
      <c r="AA522" s="311"/>
      <c r="AB522" s="311"/>
      <c r="AC522" s="311"/>
      <c r="AD522" s="311"/>
      <c r="AE522" s="311"/>
      <c r="AF522" s="311"/>
      <c r="AG522" s="311"/>
      <c r="AH522" s="311"/>
      <c r="AI522" s="311"/>
      <c r="AJ522" s="311"/>
      <c r="AK522" s="311"/>
      <c r="AL522" s="311"/>
      <c r="AM522" s="311"/>
    </row>
    <row r="523" spans="1:39" ht="15.75" customHeight="1">
      <c r="A523" s="382"/>
      <c r="B523" s="311"/>
      <c r="C523" s="1647"/>
      <c r="D523" s="2173"/>
      <c r="E523" s="1586"/>
      <c r="F523" s="1954"/>
      <c r="G523" s="1846"/>
      <c r="H523" s="1586"/>
      <c r="I523" s="1647"/>
      <c r="J523" s="2187"/>
      <c r="K523" s="1647"/>
      <c r="L523" s="1647"/>
      <c r="M523" s="2174"/>
      <c r="N523" s="836"/>
      <c r="O523" s="836"/>
      <c r="P523" s="2174"/>
      <c r="Q523" s="836"/>
      <c r="R523" s="309"/>
      <c r="S523" s="309"/>
      <c r="T523" s="309"/>
      <c r="U523" s="309"/>
      <c r="V523" s="311"/>
      <c r="W523" s="311"/>
      <c r="X523" s="311"/>
      <c r="Y523" s="311"/>
      <c r="Z523" s="311"/>
      <c r="AA523" s="311"/>
      <c r="AB523" s="311"/>
      <c r="AC523" s="311"/>
      <c r="AD523" s="311"/>
      <c r="AE523" s="311"/>
      <c r="AF523" s="311"/>
      <c r="AG523" s="311"/>
      <c r="AH523" s="311"/>
      <c r="AI523" s="311"/>
      <c r="AJ523" s="311"/>
      <c r="AK523" s="311"/>
      <c r="AL523" s="311"/>
      <c r="AM523" s="311"/>
    </row>
    <row r="524" spans="1:39" ht="15.75" customHeight="1">
      <c r="A524" s="382"/>
      <c r="B524" s="311"/>
      <c r="C524" s="1647"/>
      <c r="D524" s="2173"/>
      <c r="E524" s="1586"/>
      <c r="F524" s="1954"/>
      <c r="G524" s="1846"/>
      <c r="H524" s="1586"/>
      <c r="I524" s="1647"/>
      <c r="J524" s="2187"/>
      <c r="K524" s="1647"/>
      <c r="L524" s="1647"/>
      <c r="M524" s="2174"/>
      <c r="N524" s="836"/>
      <c r="O524" s="836"/>
      <c r="P524" s="2174"/>
      <c r="Q524" s="836"/>
      <c r="R524" s="309"/>
      <c r="S524" s="309"/>
      <c r="T524" s="309"/>
      <c r="U524" s="309"/>
      <c r="V524" s="311"/>
      <c r="W524" s="311"/>
      <c r="X524" s="311"/>
      <c r="Y524" s="311"/>
      <c r="Z524" s="311"/>
      <c r="AA524" s="311"/>
      <c r="AB524" s="311"/>
      <c r="AC524" s="311"/>
      <c r="AD524" s="311"/>
      <c r="AE524" s="311"/>
      <c r="AF524" s="311"/>
      <c r="AG524" s="311"/>
      <c r="AH524" s="311"/>
      <c r="AI524" s="311"/>
      <c r="AJ524" s="311"/>
      <c r="AK524" s="311"/>
      <c r="AL524" s="311"/>
      <c r="AM524" s="311"/>
    </row>
    <row r="525" spans="1:39" ht="15.75" customHeight="1">
      <c r="A525" s="382"/>
      <c r="B525" s="311"/>
      <c r="C525" s="1647"/>
      <c r="D525" s="2173"/>
      <c r="E525" s="1586"/>
      <c r="F525" s="1954"/>
      <c r="G525" s="1846"/>
      <c r="H525" s="1586"/>
      <c r="I525" s="1647"/>
      <c r="J525" s="2187"/>
      <c r="K525" s="1647"/>
      <c r="L525" s="1647"/>
      <c r="M525" s="2174"/>
      <c r="N525" s="836"/>
      <c r="O525" s="836"/>
      <c r="P525" s="2174"/>
      <c r="Q525" s="836"/>
      <c r="R525" s="309"/>
      <c r="S525" s="309"/>
      <c r="T525" s="309"/>
      <c r="U525" s="309"/>
      <c r="V525" s="311"/>
      <c r="W525" s="311"/>
      <c r="X525" s="311"/>
      <c r="Y525" s="311"/>
      <c r="Z525" s="311"/>
      <c r="AA525" s="311"/>
      <c r="AB525" s="311"/>
      <c r="AC525" s="311"/>
      <c r="AD525" s="311"/>
      <c r="AE525" s="311"/>
      <c r="AF525" s="311"/>
      <c r="AG525" s="311"/>
      <c r="AH525" s="311"/>
      <c r="AI525" s="311"/>
      <c r="AJ525" s="311"/>
      <c r="AK525" s="311"/>
      <c r="AL525" s="311"/>
      <c r="AM525" s="311"/>
    </row>
    <row r="526" spans="1:39" ht="15.75" customHeight="1">
      <c r="A526" s="382"/>
      <c r="B526" s="311"/>
      <c r="C526" s="1647"/>
      <c r="D526" s="2173"/>
      <c r="E526" s="1586"/>
      <c r="F526" s="1954"/>
      <c r="G526" s="1846"/>
      <c r="H526" s="1586"/>
      <c r="I526" s="1647"/>
      <c r="J526" s="2187"/>
      <c r="K526" s="1647"/>
      <c r="L526" s="1647"/>
      <c r="M526" s="2174"/>
      <c r="N526" s="836"/>
      <c r="O526" s="836"/>
      <c r="P526" s="2174"/>
      <c r="Q526" s="836"/>
      <c r="R526" s="309"/>
      <c r="S526" s="309"/>
      <c r="T526" s="309"/>
      <c r="U526" s="309"/>
      <c r="V526" s="311"/>
      <c r="W526" s="311"/>
      <c r="X526" s="311"/>
      <c r="Y526" s="311"/>
      <c r="Z526" s="311"/>
      <c r="AA526" s="311"/>
      <c r="AB526" s="311"/>
      <c r="AC526" s="311"/>
      <c r="AD526" s="311"/>
      <c r="AE526" s="311"/>
      <c r="AF526" s="311"/>
      <c r="AG526" s="311"/>
      <c r="AH526" s="311"/>
      <c r="AI526" s="311"/>
      <c r="AJ526" s="311"/>
      <c r="AK526" s="311"/>
      <c r="AL526" s="311"/>
      <c r="AM526" s="311"/>
    </row>
    <row r="527" spans="1:39" ht="15.75" customHeight="1">
      <c r="A527" s="382"/>
      <c r="B527" s="311"/>
      <c r="C527" s="1647"/>
      <c r="D527" s="2173"/>
      <c r="E527" s="1586"/>
      <c r="F527" s="1954"/>
      <c r="G527" s="1846"/>
      <c r="H527" s="1586"/>
      <c r="I527" s="1647"/>
      <c r="J527" s="2187"/>
      <c r="K527" s="1647"/>
      <c r="L527" s="1647"/>
      <c r="M527" s="2174"/>
      <c r="N527" s="836"/>
      <c r="O527" s="836"/>
      <c r="P527" s="2174"/>
      <c r="Q527" s="836"/>
      <c r="R527" s="309"/>
      <c r="S527" s="309"/>
      <c r="T527" s="309"/>
      <c r="U527" s="309"/>
      <c r="V527" s="311"/>
      <c r="W527" s="311"/>
      <c r="X527" s="311"/>
      <c r="Y527" s="311"/>
      <c r="Z527" s="311"/>
      <c r="AA527" s="311"/>
      <c r="AB527" s="311"/>
      <c r="AC527" s="311"/>
      <c r="AD527" s="311"/>
      <c r="AE527" s="311"/>
      <c r="AF527" s="311"/>
      <c r="AG527" s="311"/>
      <c r="AH527" s="311"/>
      <c r="AI527" s="311"/>
      <c r="AJ527" s="311"/>
      <c r="AK527" s="311"/>
      <c r="AL527" s="311"/>
      <c r="AM527" s="311"/>
    </row>
    <row r="528" spans="1:39" ht="15.75" customHeight="1">
      <c r="A528" s="382"/>
      <c r="B528" s="311"/>
      <c r="C528" s="1647"/>
      <c r="D528" s="2173"/>
      <c r="E528" s="1586"/>
      <c r="F528" s="1954"/>
      <c r="G528" s="1846"/>
      <c r="H528" s="1586"/>
      <c r="I528" s="1647"/>
      <c r="J528" s="2187"/>
      <c r="K528" s="1647"/>
      <c r="L528" s="1647"/>
      <c r="M528" s="2174"/>
      <c r="N528" s="836"/>
      <c r="O528" s="836"/>
      <c r="P528" s="2174"/>
      <c r="Q528" s="836"/>
      <c r="R528" s="309"/>
      <c r="S528" s="309"/>
      <c r="T528" s="309"/>
      <c r="U528" s="309"/>
      <c r="V528" s="311"/>
      <c r="W528" s="311"/>
      <c r="X528" s="311"/>
      <c r="Y528" s="311"/>
      <c r="Z528" s="311"/>
      <c r="AA528" s="311"/>
      <c r="AB528" s="311"/>
      <c r="AC528" s="311"/>
      <c r="AD528" s="311"/>
      <c r="AE528" s="311"/>
      <c r="AF528" s="311"/>
      <c r="AG528" s="311"/>
      <c r="AH528" s="311"/>
      <c r="AI528" s="311"/>
      <c r="AJ528" s="311"/>
      <c r="AK528" s="311"/>
      <c r="AL528" s="311"/>
      <c r="AM528" s="311"/>
    </row>
    <row r="529" spans="1:39" ht="15.75" customHeight="1">
      <c r="A529" s="382"/>
      <c r="B529" s="311"/>
      <c r="C529" s="1647"/>
      <c r="D529" s="2173"/>
      <c r="E529" s="1586"/>
      <c r="F529" s="1954"/>
      <c r="G529" s="1846"/>
      <c r="H529" s="1586"/>
      <c r="I529" s="1647"/>
      <c r="J529" s="2187"/>
      <c r="K529" s="1647"/>
      <c r="L529" s="1647"/>
      <c r="M529" s="2174"/>
      <c r="N529" s="836"/>
      <c r="O529" s="836"/>
      <c r="P529" s="2174"/>
      <c r="Q529" s="836"/>
      <c r="R529" s="309"/>
      <c r="S529" s="309"/>
      <c r="T529" s="309"/>
      <c r="U529" s="309"/>
      <c r="V529" s="311"/>
      <c r="W529" s="311"/>
      <c r="X529" s="311"/>
      <c r="Y529" s="311"/>
      <c r="Z529" s="311"/>
      <c r="AA529" s="311"/>
      <c r="AB529" s="311"/>
      <c r="AC529" s="311"/>
      <c r="AD529" s="311"/>
      <c r="AE529" s="311"/>
      <c r="AF529" s="311"/>
      <c r="AG529" s="311"/>
      <c r="AH529" s="311"/>
      <c r="AI529" s="311"/>
      <c r="AJ529" s="311"/>
      <c r="AK529" s="311"/>
      <c r="AL529" s="311"/>
      <c r="AM529" s="311"/>
    </row>
    <row r="530" spans="1:39" ht="15.75" customHeight="1">
      <c r="A530" s="382"/>
      <c r="B530" s="311"/>
      <c r="C530" s="1647"/>
      <c r="D530" s="2173"/>
      <c r="E530" s="1586"/>
      <c r="F530" s="1954"/>
      <c r="G530" s="1846"/>
      <c r="H530" s="1586"/>
      <c r="I530" s="1647"/>
      <c r="J530" s="2187"/>
      <c r="K530" s="1647"/>
      <c r="L530" s="1647"/>
      <c r="M530" s="2174"/>
      <c r="N530" s="836"/>
      <c r="O530" s="836"/>
      <c r="P530" s="2174"/>
      <c r="Q530" s="836"/>
      <c r="R530" s="309"/>
      <c r="S530" s="309"/>
      <c r="T530" s="309"/>
      <c r="U530" s="309"/>
      <c r="V530" s="311"/>
      <c r="W530" s="311"/>
      <c r="X530" s="311"/>
      <c r="Y530" s="311"/>
      <c r="Z530" s="311"/>
      <c r="AA530" s="311"/>
      <c r="AB530" s="311"/>
      <c r="AC530" s="311"/>
      <c r="AD530" s="311"/>
      <c r="AE530" s="311"/>
      <c r="AF530" s="311"/>
      <c r="AG530" s="311"/>
      <c r="AH530" s="311"/>
      <c r="AI530" s="311"/>
      <c r="AJ530" s="311"/>
      <c r="AK530" s="311"/>
      <c r="AL530" s="311"/>
      <c r="AM530" s="311"/>
    </row>
    <row r="531" spans="1:39" ht="15.75" customHeight="1">
      <c r="A531" s="382"/>
      <c r="B531" s="311"/>
      <c r="C531" s="1647"/>
      <c r="D531" s="2173"/>
      <c r="E531" s="1586"/>
      <c r="F531" s="1954"/>
      <c r="G531" s="1846"/>
      <c r="H531" s="1586"/>
      <c r="I531" s="1647"/>
      <c r="J531" s="2187"/>
      <c r="K531" s="1647"/>
      <c r="L531" s="1647"/>
      <c r="M531" s="2174"/>
      <c r="N531" s="836"/>
      <c r="O531" s="836"/>
      <c r="P531" s="2174"/>
      <c r="Q531" s="836"/>
      <c r="R531" s="309"/>
      <c r="S531" s="309"/>
      <c r="T531" s="309"/>
      <c r="U531" s="309"/>
      <c r="V531" s="311"/>
      <c r="W531" s="311"/>
      <c r="X531" s="311"/>
      <c r="Y531" s="311"/>
      <c r="Z531" s="311"/>
      <c r="AA531" s="311"/>
      <c r="AB531" s="311"/>
      <c r="AC531" s="311"/>
      <c r="AD531" s="311"/>
      <c r="AE531" s="311"/>
      <c r="AF531" s="311"/>
      <c r="AG531" s="311"/>
      <c r="AH531" s="311"/>
      <c r="AI531" s="311"/>
      <c r="AJ531" s="311"/>
      <c r="AK531" s="311"/>
      <c r="AL531" s="311"/>
      <c r="AM531" s="311"/>
    </row>
    <row r="532" spans="1:39" ht="15.75" customHeight="1">
      <c r="A532" s="382"/>
      <c r="B532" s="311"/>
      <c r="C532" s="1647"/>
      <c r="D532" s="2173"/>
      <c r="E532" s="1586"/>
      <c r="F532" s="1954"/>
      <c r="G532" s="1846"/>
      <c r="H532" s="1586"/>
      <c r="I532" s="1647"/>
      <c r="J532" s="2187"/>
      <c r="K532" s="1647"/>
      <c r="L532" s="1647"/>
      <c r="M532" s="2174"/>
      <c r="N532" s="836"/>
      <c r="O532" s="836"/>
      <c r="P532" s="2174"/>
      <c r="Q532" s="836"/>
      <c r="R532" s="309"/>
      <c r="S532" s="309"/>
      <c r="T532" s="309"/>
      <c r="U532" s="309"/>
      <c r="V532" s="311"/>
      <c r="W532" s="311"/>
      <c r="X532" s="311"/>
      <c r="Y532" s="311"/>
      <c r="Z532" s="311"/>
      <c r="AA532" s="311"/>
      <c r="AB532" s="311"/>
      <c r="AC532" s="311"/>
      <c r="AD532" s="311"/>
      <c r="AE532" s="311"/>
      <c r="AF532" s="311"/>
      <c r="AG532" s="311"/>
      <c r="AH532" s="311"/>
      <c r="AI532" s="311"/>
      <c r="AJ532" s="311"/>
      <c r="AK532" s="311"/>
      <c r="AL532" s="311"/>
      <c r="AM532" s="311"/>
    </row>
    <row r="533" spans="1:39" ht="15.75" customHeight="1">
      <c r="A533" s="382"/>
      <c r="B533" s="311"/>
      <c r="C533" s="1647"/>
      <c r="D533" s="2173"/>
      <c r="E533" s="1586"/>
      <c r="F533" s="1954"/>
      <c r="G533" s="1846"/>
      <c r="H533" s="1586"/>
      <c r="I533" s="1647"/>
      <c r="J533" s="2187"/>
      <c r="K533" s="1647"/>
      <c r="L533" s="1647"/>
      <c r="M533" s="2174"/>
      <c r="N533" s="836"/>
      <c r="O533" s="836"/>
      <c r="P533" s="2174"/>
      <c r="Q533" s="836"/>
      <c r="R533" s="309"/>
      <c r="S533" s="309"/>
      <c r="T533" s="309"/>
      <c r="U533" s="309"/>
      <c r="V533" s="311"/>
      <c r="W533" s="311"/>
      <c r="X533" s="311"/>
      <c r="Y533" s="311"/>
      <c r="Z533" s="311"/>
      <c r="AA533" s="311"/>
      <c r="AB533" s="311"/>
      <c r="AC533" s="311"/>
      <c r="AD533" s="311"/>
      <c r="AE533" s="311"/>
      <c r="AF533" s="311"/>
      <c r="AG533" s="311"/>
      <c r="AH533" s="311"/>
      <c r="AI533" s="311"/>
      <c r="AJ533" s="311"/>
      <c r="AK533" s="311"/>
      <c r="AL533" s="311"/>
      <c r="AM533" s="311"/>
    </row>
    <row r="534" spans="1:39" ht="15.75" customHeight="1">
      <c r="A534" s="382"/>
      <c r="B534" s="311"/>
      <c r="C534" s="1647"/>
      <c r="D534" s="2173"/>
      <c r="E534" s="1586"/>
      <c r="F534" s="1954"/>
      <c r="G534" s="1846"/>
      <c r="H534" s="1586"/>
      <c r="I534" s="1647"/>
      <c r="J534" s="2187"/>
      <c r="K534" s="1647"/>
      <c r="L534" s="1647"/>
      <c r="M534" s="2174"/>
      <c r="N534" s="836"/>
      <c r="O534" s="836"/>
      <c r="P534" s="2174"/>
      <c r="Q534" s="836"/>
      <c r="R534" s="309"/>
      <c r="S534" s="309"/>
      <c r="T534" s="309"/>
      <c r="U534" s="309"/>
      <c r="V534" s="311"/>
      <c r="W534" s="311"/>
      <c r="X534" s="311"/>
      <c r="Y534" s="311"/>
      <c r="Z534" s="311"/>
      <c r="AA534" s="311"/>
      <c r="AB534" s="311"/>
      <c r="AC534" s="311"/>
      <c r="AD534" s="311"/>
      <c r="AE534" s="311"/>
      <c r="AF534" s="311"/>
      <c r="AG534" s="311"/>
      <c r="AH534" s="311"/>
      <c r="AI534" s="311"/>
      <c r="AJ534" s="311"/>
      <c r="AK534" s="311"/>
      <c r="AL534" s="311"/>
      <c r="AM534" s="311"/>
    </row>
    <row r="535" spans="1:39" ht="15.75" customHeight="1">
      <c r="A535" s="382"/>
      <c r="B535" s="311"/>
      <c r="C535" s="1647"/>
      <c r="D535" s="2173"/>
      <c r="E535" s="1586"/>
      <c r="F535" s="1954"/>
      <c r="G535" s="1846"/>
      <c r="H535" s="1586"/>
      <c r="I535" s="1647"/>
      <c r="J535" s="2187"/>
      <c r="K535" s="1647"/>
      <c r="L535" s="1647"/>
      <c r="M535" s="2174"/>
      <c r="N535" s="836"/>
      <c r="O535" s="836"/>
      <c r="P535" s="2174"/>
      <c r="Q535" s="836"/>
      <c r="R535" s="309"/>
      <c r="S535" s="309"/>
      <c r="T535" s="309"/>
      <c r="U535" s="309"/>
      <c r="V535" s="311"/>
      <c r="W535" s="311"/>
      <c r="X535" s="311"/>
      <c r="Y535" s="311"/>
      <c r="Z535" s="311"/>
      <c r="AA535" s="311"/>
      <c r="AB535" s="311"/>
      <c r="AC535" s="311"/>
      <c r="AD535" s="311"/>
      <c r="AE535" s="311"/>
      <c r="AF535" s="311"/>
      <c r="AG535" s="311"/>
      <c r="AH535" s="311"/>
      <c r="AI535" s="311"/>
      <c r="AJ535" s="311"/>
      <c r="AK535" s="311"/>
      <c r="AL535" s="311"/>
      <c r="AM535" s="311"/>
    </row>
    <row r="536" spans="1:39" ht="15.75" customHeight="1">
      <c r="A536" s="382"/>
      <c r="B536" s="311"/>
      <c r="C536" s="1647"/>
      <c r="D536" s="2173"/>
      <c r="E536" s="1586"/>
      <c r="F536" s="1954"/>
      <c r="G536" s="1846"/>
      <c r="H536" s="1586"/>
      <c r="I536" s="1647"/>
      <c r="J536" s="2187"/>
      <c r="K536" s="1647"/>
      <c r="L536" s="1647"/>
      <c r="M536" s="2174"/>
      <c r="N536" s="836"/>
      <c r="O536" s="836"/>
      <c r="P536" s="2174"/>
      <c r="Q536" s="836"/>
      <c r="R536" s="309"/>
      <c r="S536" s="309"/>
      <c r="T536" s="309"/>
      <c r="U536" s="309"/>
      <c r="V536" s="311"/>
      <c r="W536" s="311"/>
      <c r="X536" s="311"/>
      <c r="Y536" s="311"/>
      <c r="Z536" s="311"/>
      <c r="AA536" s="311"/>
      <c r="AB536" s="311"/>
      <c r="AC536" s="311"/>
      <c r="AD536" s="311"/>
      <c r="AE536" s="311"/>
      <c r="AF536" s="311"/>
      <c r="AG536" s="311"/>
      <c r="AH536" s="311"/>
      <c r="AI536" s="311"/>
      <c r="AJ536" s="311"/>
      <c r="AK536" s="311"/>
      <c r="AL536" s="311"/>
      <c r="AM536" s="311"/>
    </row>
    <row r="537" spans="1:39" ht="15.75" customHeight="1">
      <c r="A537" s="382"/>
      <c r="B537" s="311"/>
      <c r="C537" s="1647"/>
      <c r="D537" s="2173"/>
      <c r="E537" s="1586"/>
      <c r="F537" s="1954"/>
      <c r="G537" s="1846"/>
      <c r="H537" s="1586"/>
      <c r="I537" s="1647"/>
      <c r="J537" s="2187"/>
      <c r="K537" s="1647"/>
      <c r="L537" s="1647"/>
      <c r="M537" s="2174"/>
      <c r="N537" s="836"/>
      <c r="O537" s="836"/>
      <c r="P537" s="2174"/>
      <c r="Q537" s="836"/>
      <c r="R537" s="309"/>
      <c r="S537" s="309"/>
      <c r="T537" s="309"/>
      <c r="U537" s="309"/>
      <c r="V537" s="311"/>
      <c r="W537" s="311"/>
      <c r="X537" s="311"/>
      <c r="Y537" s="311"/>
      <c r="Z537" s="311"/>
      <c r="AA537" s="311"/>
      <c r="AB537" s="311"/>
      <c r="AC537" s="311"/>
      <c r="AD537" s="311"/>
      <c r="AE537" s="311"/>
      <c r="AF537" s="311"/>
      <c r="AG537" s="311"/>
      <c r="AH537" s="311"/>
      <c r="AI537" s="311"/>
      <c r="AJ537" s="311"/>
      <c r="AK537" s="311"/>
      <c r="AL537" s="311"/>
      <c r="AM537" s="311"/>
    </row>
    <row r="538" spans="1:39" ht="15.75" customHeight="1">
      <c r="A538" s="382"/>
      <c r="B538" s="311"/>
      <c r="C538" s="1647"/>
      <c r="D538" s="2173"/>
      <c r="E538" s="1586"/>
      <c r="F538" s="1954"/>
      <c r="G538" s="1846"/>
      <c r="H538" s="1586"/>
      <c r="I538" s="1647"/>
      <c r="J538" s="2187"/>
      <c r="K538" s="1647"/>
      <c r="L538" s="1647"/>
      <c r="M538" s="2174"/>
      <c r="N538" s="836"/>
      <c r="O538" s="836"/>
      <c r="P538" s="2174"/>
      <c r="Q538" s="836"/>
      <c r="R538" s="309"/>
      <c r="S538" s="309"/>
      <c r="T538" s="309"/>
      <c r="U538" s="309"/>
      <c r="V538" s="311"/>
      <c r="W538" s="311"/>
      <c r="X538" s="311"/>
      <c r="Y538" s="311"/>
      <c r="Z538" s="311"/>
      <c r="AA538" s="311"/>
      <c r="AB538" s="311"/>
      <c r="AC538" s="311"/>
      <c r="AD538" s="311"/>
      <c r="AE538" s="311"/>
      <c r="AF538" s="311"/>
      <c r="AG538" s="311"/>
      <c r="AH538" s="311"/>
      <c r="AI538" s="311"/>
      <c r="AJ538" s="311"/>
      <c r="AK538" s="311"/>
      <c r="AL538" s="311"/>
      <c r="AM538" s="311"/>
    </row>
    <row r="539" spans="1:39" ht="15.75" customHeight="1">
      <c r="A539" s="382"/>
      <c r="B539" s="311"/>
      <c r="C539" s="1647"/>
      <c r="D539" s="2173"/>
      <c r="E539" s="1586"/>
      <c r="F539" s="1954"/>
      <c r="G539" s="1846"/>
      <c r="H539" s="1586"/>
      <c r="I539" s="1647"/>
      <c r="J539" s="2187"/>
      <c r="K539" s="1647"/>
      <c r="L539" s="1647"/>
      <c r="M539" s="2174"/>
      <c r="N539" s="836"/>
      <c r="O539" s="836"/>
      <c r="P539" s="2174"/>
      <c r="Q539" s="836"/>
      <c r="R539" s="309"/>
      <c r="S539" s="309"/>
      <c r="T539" s="309"/>
      <c r="U539" s="309"/>
      <c r="V539" s="311"/>
      <c r="W539" s="311"/>
      <c r="X539" s="311"/>
      <c r="Y539" s="311"/>
      <c r="Z539" s="311"/>
      <c r="AA539" s="311"/>
      <c r="AB539" s="311"/>
      <c r="AC539" s="311"/>
      <c r="AD539" s="311"/>
      <c r="AE539" s="311"/>
      <c r="AF539" s="311"/>
      <c r="AG539" s="311"/>
      <c r="AH539" s="311"/>
      <c r="AI539" s="311"/>
      <c r="AJ539" s="311"/>
      <c r="AK539" s="311"/>
      <c r="AL539" s="311"/>
      <c r="AM539" s="311"/>
    </row>
    <row r="540" spans="1:39" ht="15.75" customHeight="1">
      <c r="A540" s="382"/>
      <c r="B540" s="311"/>
      <c r="C540" s="1647"/>
      <c r="D540" s="2173"/>
      <c r="E540" s="1586"/>
      <c r="F540" s="1954"/>
      <c r="G540" s="1846"/>
      <c r="H540" s="1586"/>
      <c r="I540" s="1647"/>
      <c r="J540" s="2187"/>
      <c r="K540" s="1647"/>
      <c r="L540" s="1647"/>
      <c r="M540" s="2174"/>
      <c r="N540" s="836"/>
      <c r="O540" s="836"/>
      <c r="P540" s="2174"/>
      <c r="Q540" s="836"/>
      <c r="R540" s="309"/>
      <c r="S540" s="309"/>
      <c r="T540" s="309"/>
      <c r="U540" s="309"/>
      <c r="V540" s="311"/>
      <c r="W540" s="311"/>
      <c r="X540" s="311"/>
      <c r="Y540" s="311"/>
      <c r="Z540" s="311"/>
      <c r="AA540" s="311"/>
      <c r="AB540" s="311"/>
      <c r="AC540" s="311"/>
      <c r="AD540" s="311"/>
      <c r="AE540" s="311"/>
      <c r="AF540" s="311"/>
      <c r="AG540" s="311"/>
      <c r="AH540" s="311"/>
      <c r="AI540" s="311"/>
      <c r="AJ540" s="311"/>
      <c r="AK540" s="311"/>
      <c r="AL540" s="311"/>
      <c r="AM540" s="311"/>
    </row>
    <row r="541" spans="1:39" ht="15.75" customHeight="1">
      <c r="A541" s="382"/>
      <c r="B541" s="311"/>
      <c r="C541" s="1647"/>
      <c r="D541" s="2173"/>
      <c r="E541" s="1586"/>
      <c r="F541" s="1954"/>
      <c r="G541" s="1846"/>
      <c r="H541" s="1586"/>
      <c r="I541" s="1647"/>
      <c r="J541" s="2187"/>
      <c r="K541" s="1647"/>
      <c r="L541" s="1647"/>
      <c r="M541" s="2174"/>
      <c r="N541" s="836"/>
      <c r="O541" s="836"/>
      <c r="P541" s="2174"/>
      <c r="Q541" s="836"/>
      <c r="R541" s="309"/>
      <c r="S541" s="309"/>
      <c r="T541" s="309"/>
      <c r="U541" s="309"/>
      <c r="V541" s="311"/>
      <c r="W541" s="311"/>
      <c r="X541" s="311"/>
      <c r="Y541" s="311"/>
      <c r="Z541" s="311"/>
      <c r="AA541" s="311"/>
      <c r="AB541" s="311"/>
      <c r="AC541" s="311"/>
      <c r="AD541" s="311"/>
      <c r="AE541" s="311"/>
      <c r="AF541" s="311"/>
      <c r="AG541" s="311"/>
      <c r="AH541" s="311"/>
      <c r="AI541" s="311"/>
      <c r="AJ541" s="311"/>
      <c r="AK541" s="311"/>
      <c r="AL541" s="311"/>
      <c r="AM541" s="311"/>
    </row>
    <row r="542" spans="1:39" ht="15.75" customHeight="1">
      <c r="A542" s="382"/>
      <c r="B542" s="311"/>
      <c r="C542" s="1647"/>
      <c r="D542" s="2173"/>
      <c r="E542" s="1586"/>
      <c r="F542" s="1954"/>
      <c r="G542" s="1846"/>
      <c r="H542" s="1586"/>
      <c r="I542" s="1647"/>
      <c r="J542" s="2187"/>
      <c r="K542" s="1647"/>
      <c r="L542" s="1647"/>
      <c r="M542" s="2174"/>
      <c r="N542" s="836"/>
      <c r="O542" s="836"/>
      <c r="P542" s="2174"/>
      <c r="Q542" s="836"/>
      <c r="R542" s="309"/>
      <c r="S542" s="309"/>
      <c r="T542" s="309"/>
      <c r="U542" s="309"/>
      <c r="V542" s="311"/>
      <c r="W542" s="311"/>
      <c r="X542" s="311"/>
      <c r="Y542" s="311"/>
      <c r="Z542" s="311"/>
      <c r="AA542" s="311"/>
      <c r="AB542" s="311"/>
      <c r="AC542" s="311"/>
      <c r="AD542" s="311"/>
      <c r="AE542" s="311"/>
      <c r="AF542" s="311"/>
      <c r="AG542" s="311"/>
      <c r="AH542" s="311"/>
      <c r="AI542" s="311"/>
      <c r="AJ542" s="311"/>
      <c r="AK542" s="311"/>
      <c r="AL542" s="311"/>
      <c r="AM542" s="311"/>
    </row>
    <row r="543" spans="1:39" ht="15.75" customHeight="1">
      <c r="A543" s="382"/>
      <c r="B543" s="311"/>
      <c r="C543" s="1647"/>
      <c r="D543" s="2173"/>
      <c r="E543" s="1586"/>
      <c r="F543" s="1954"/>
      <c r="G543" s="1846"/>
      <c r="H543" s="1586"/>
      <c r="I543" s="1647"/>
      <c r="J543" s="2187"/>
      <c r="K543" s="1647"/>
      <c r="L543" s="1647"/>
      <c r="M543" s="2174"/>
      <c r="N543" s="836"/>
      <c r="O543" s="836"/>
      <c r="P543" s="2174"/>
      <c r="Q543" s="836"/>
      <c r="R543" s="309"/>
      <c r="S543" s="309"/>
      <c r="T543" s="309"/>
      <c r="U543" s="309"/>
      <c r="V543" s="311"/>
      <c r="W543" s="311"/>
      <c r="X543" s="311"/>
      <c r="Y543" s="311"/>
      <c r="Z543" s="311"/>
      <c r="AA543" s="311"/>
      <c r="AB543" s="311"/>
      <c r="AC543" s="311"/>
      <c r="AD543" s="311"/>
      <c r="AE543" s="311"/>
      <c r="AF543" s="311"/>
      <c r="AG543" s="311"/>
      <c r="AH543" s="311"/>
      <c r="AI543" s="311"/>
      <c r="AJ543" s="311"/>
      <c r="AK543" s="311"/>
      <c r="AL543" s="311"/>
      <c r="AM543" s="311"/>
    </row>
    <row r="544" spans="1:39" ht="15.75" customHeight="1">
      <c r="A544" s="382"/>
      <c r="B544" s="311"/>
      <c r="C544" s="1647"/>
      <c r="D544" s="2173"/>
      <c r="E544" s="1586"/>
      <c r="F544" s="1954"/>
      <c r="G544" s="1846"/>
      <c r="H544" s="1586"/>
      <c r="I544" s="1647"/>
      <c r="J544" s="2187"/>
      <c r="K544" s="1647"/>
      <c r="L544" s="1647"/>
      <c r="M544" s="2174"/>
      <c r="N544" s="836"/>
      <c r="O544" s="836"/>
      <c r="P544" s="2174"/>
      <c r="Q544" s="836"/>
      <c r="R544" s="309"/>
      <c r="S544" s="309"/>
      <c r="T544" s="309"/>
      <c r="U544" s="309"/>
      <c r="V544" s="311"/>
      <c r="W544" s="311"/>
      <c r="X544" s="311"/>
      <c r="Y544" s="311"/>
      <c r="Z544" s="311"/>
      <c r="AA544" s="311"/>
      <c r="AB544" s="311"/>
      <c r="AC544" s="311"/>
      <c r="AD544" s="311"/>
      <c r="AE544" s="311"/>
      <c r="AF544" s="311"/>
      <c r="AG544" s="311"/>
      <c r="AH544" s="311"/>
      <c r="AI544" s="311"/>
      <c r="AJ544" s="311"/>
      <c r="AK544" s="311"/>
      <c r="AL544" s="311"/>
      <c r="AM544" s="311"/>
    </row>
    <row r="545" spans="1:39" ht="15.75" customHeight="1">
      <c r="A545" s="382"/>
      <c r="B545" s="311"/>
      <c r="C545" s="1647"/>
      <c r="D545" s="2173"/>
      <c r="E545" s="1586"/>
      <c r="F545" s="1954"/>
      <c r="G545" s="1846"/>
      <c r="H545" s="1586"/>
      <c r="I545" s="1647"/>
      <c r="J545" s="2187"/>
      <c r="K545" s="1647"/>
      <c r="L545" s="1647"/>
      <c r="M545" s="2174"/>
      <c r="N545" s="836"/>
      <c r="O545" s="836"/>
      <c r="P545" s="2174"/>
      <c r="Q545" s="836"/>
      <c r="R545" s="309"/>
      <c r="S545" s="309"/>
      <c r="T545" s="309"/>
      <c r="U545" s="309"/>
      <c r="V545" s="311"/>
      <c r="W545" s="311"/>
      <c r="X545" s="311"/>
      <c r="Y545" s="311"/>
      <c r="Z545" s="311"/>
      <c r="AA545" s="311"/>
      <c r="AB545" s="311"/>
      <c r="AC545" s="311"/>
      <c r="AD545" s="311"/>
      <c r="AE545" s="311"/>
      <c r="AF545" s="311"/>
      <c r="AG545" s="311"/>
      <c r="AH545" s="311"/>
      <c r="AI545" s="311"/>
      <c r="AJ545" s="311"/>
      <c r="AK545" s="311"/>
      <c r="AL545" s="311"/>
      <c r="AM545" s="311"/>
    </row>
    <row r="546" spans="1:39" ht="15.75" customHeight="1">
      <c r="A546" s="382"/>
      <c r="B546" s="311"/>
      <c r="C546" s="1647"/>
      <c r="D546" s="2173"/>
      <c r="E546" s="1586"/>
      <c r="F546" s="1954"/>
      <c r="G546" s="1846"/>
      <c r="H546" s="1586"/>
      <c r="I546" s="1647"/>
      <c r="J546" s="2187"/>
      <c r="K546" s="1647"/>
      <c r="L546" s="1647"/>
      <c r="M546" s="2174"/>
      <c r="N546" s="836"/>
      <c r="O546" s="836"/>
      <c r="P546" s="2174"/>
      <c r="Q546" s="836"/>
      <c r="R546" s="309"/>
      <c r="S546" s="309"/>
      <c r="T546" s="309"/>
      <c r="U546" s="309"/>
      <c r="V546" s="311"/>
      <c r="W546" s="311"/>
      <c r="X546" s="311"/>
      <c r="Y546" s="311"/>
      <c r="Z546" s="311"/>
      <c r="AA546" s="311"/>
      <c r="AB546" s="311"/>
      <c r="AC546" s="311"/>
      <c r="AD546" s="311"/>
      <c r="AE546" s="311"/>
      <c r="AF546" s="311"/>
      <c r="AG546" s="311"/>
      <c r="AH546" s="311"/>
      <c r="AI546" s="311"/>
      <c r="AJ546" s="311"/>
      <c r="AK546" s="311"/>
      <c r="AL546" s="311"/>
      <c r="AM546" s="311"/>
    </row>
    <row r="547" spans="1:39" ht="15.75" customHeight="1">
      <c r="A547" s="382"/>
      <c r="B547" s="311"/>
      <c r="C547" s="1647"/>
      <c r="D547" s="2173"/>
      <c r="E547" s="1586"/>
      <c r="F547" s="1954"/>
      <c r="G547" s="1846"/>
      <c r="H547" s="1586"/>
      <c r="I547" s="1647"/>
      <c r="J547" s="2187"/>
      <c r="K547" s="1647"/>
      <c r="L547" s="1647"/>
      <c r="M547" s="2174"/>
      <c r="N547" s="836"/>
      <c r="O547" s="836"/>
      <c r="P547" s="2174"/>
      <c r="Q547" s="836"/>
      <c r="R547" s="309"/>
      <c r="S547" s="309"/>
      <c r="T547" s="309"/>
      <c r="U547" s="309"/>
      <c r="V547" s="311"/>
      <c r="W547" s="311"/>
      <c r="X547" s="311"/>
      <c r="Y547" s="311"/>
      <c r="Z547" s="311"/>
      <c r="AA547" s="311"/>
      <c r="AB547" s="311"/>
      <c r="AC547" s="311"/>
      <c r="AD547" s="311"/>
      <c r="AE547" s="311"/>
      <c r="AF547" s="311"/>
      <c r="AG547" s="311"/>
      <c r="AH547" s="311"/>
      <c r="AI547" s="311"/>
      <c r="AJ547" s="311"/>
      <c r="AK547" s="311"/>
      <c r="AL547" s="311"/>
      <c r="AM547" s="311"/>
    </row>
    <row r="548" spans="1:39" ht="15.75" customHeight="1">
      <c r="A548" s="382"/>
      <c r="B548" s="311"/>
      <c r="C548" s="1647"/>
      <c r="D548" s="2173"/>
      <c r="E548" s="1586"/>
      <c r="F548" s="1954"/>
      <c r="G548" s="1846"/>
      <c r="H548" s="1586"/>
      <c r="I548" s="1647"/>
      <c r="J548" s="2187"/>
      <c r="K548" s="1647"/>
      <c r="L548" s="1647"/>
      <c r="M548" s="2174"/>
      <c r="N548" s="836"/>
      <c r="O548" s="836"/>
      <c r="P548" s="2174"/>
      <c r="Q548" s="836"/>
      <c r="R548" s="309"/>
      <c r="S548" s="309"/>
      <c r="T548" s="309"/>
      <c r="U548" s="309"/>
      <c r="V548" s="311"/>
      <c r="W548" s="311"/>
      <c r="X548" s="311"/>
      <c r="Y548" s="311"/>
      <c r="Z548" s="311"/>
      <c r="AA548" s="311"/>
      <c r="AB548" s="311"/>
      <c r="AC548" s="311"/>
      <c r="AD548" s="311"/>
      <c r="AE548" s="311"/>
      <c r="AF548" s="311"/>
      <c r="AG548" s="311"/>
      <c r="AH548" s="311"/>
      <c r="AI548" s="311"/>
      <c r="AJ548" s="311"/>
      <c r="AK548" s="311"/>
      <c r="AL548" s="311"/>
      <c r="AM548" s="311"/>
    </row>
    <row r="549" spans="1:39" ht="15.75" customHeight="1">
      <c r="A549" s="382"/>
      <c r="B549" s="311"/>
      <c r="C549" s="1647"/>
      <c r="D549" s="2173"/>
      <c r="E549" s="1586"/>
      <c r="F549" s="1954"/>
      <c r="G549" s="1846"/>
      <c r="H549" s="1586"/>
      <c r="I549" s="1647"/>
      <c r="J549" s="2187"/>
      <c r="K549" s="1647"/>
      <c r="L549" s="1647"/>
      <c r="M549" s="2174"/>
      <c r="N549" s="836"/>
      <c r="O549" s="836"/>
      <c r="P549" s="2174"/>
      <c r="Q549" s="836"/>
      <c r="R549" s="309"/>
      <c r="S549" s="309"/>
      <c r="T549" s="309"/>
      <c r="U549" s="309"/>
      <c r="V549" s="311"/>
      <c r="W549" s="311"/>
      <c r="X549" s="311"/>
      <c r="Y549" s="311"/>
      <c r="Z549" s="311"/>
      <c r="AA549" s="311"/>
      <c r="AB549" s="311"/>
      <c r="AC549" s="311"/>
      <c r="AD549" s="311"/>
      <c r="AE549" s="311"/>
      <c r="AF549" s="311"/>
      <c r="AG549" s="311"/>
      <c r="AH549" s="311"/>
      <c r="AI549" s="311"/>
      <c r="AJ549" s="311"/>
      <c r="AK549" s="311"/>
      <c r="AL549" s="311"/>
      <c r="AM549" s="311"/>
    </row>
    <row r="550" spans="1:39" ht="15.75" customHeight="1">
      <c r="A550" s="382"/>
      <c r="B550" s="311"/>
      <c r="C550" s="1647"/>
      <c r="D550" s="2173"/>
      <c r="E550" s="1586"/>
      <c r="F550" s="1954"/>
      <c r="G550" s="1846"/>
      <c r="H550" s="1586"/>
      <c r="I550" s="1647"/>
      <c r="J550" s="2187"/>
      <c r="K550" s="1647"/>
      <c r="L550" s="1647"/>
      <c r="M550" s="2174"/>
      <c r="N550" s="836"/>
      <c r="O550" s="836"/>
      <c r="P550" s="2174"/>
      <c r="Q550" s="836"/>
      <c r="R550" s="309"/>
      <c r="S550" s="309"/>
      <c r="T550" s="309"/>
      <c r="U550" s="309"/>
      <c r="V550" s="311"/>
      <c r="W550" s="311"/>
      <c r="X550" s="311"/>
      <c r="Y550" s="311"/>
      <c r="Z550" s="311"/>
      <c r="AA550" s="311"/>
      <c r="AB550" s="311"/>
      <c r="AC550" s="311"/>
      <c r="AD550" s="311"/>
      <c r="AE550" s="311"/>
      <c r="AF550" s="311"/>
      <c r="AG550" s="311"/>
      <c r="AH550" s="311"/>
      <c r="AI550" s="311"/>
      <c r="AJ550" s="311"/>
      <c r="AK550" s="311"/>
      <c r="AL550" s="311"/>
      <c r="AM550" s="311"/>
    </row>
    <row r="551" spans="1:39" ht="15.75" customHeight="1">
      <c r="A551" s="382"/>
      <c r="B551" s="311"/>
      <c r="C551" s="1647"/>
      <c r="D551" s="2173"/>
      <c r="E551" s="1586"/>
      <c r="F551" s="1954"/>
      <c r="G551" s="1846"/>
      <c r="H551" s="1586"/>
      <c r="I551" s="1647"/>
      <c r="J551" s="2187"/>
      <c r="K551" s="1647"/>
      <c r="L551" s="1647"/>
      <c r="M551" s="2174"/>
      <c r="N551" s="836"/>
      <c r="O551" s="836"/>
      <c r="P551" s="2174"/>
      <c r="Q551" s="836"/>
      <c r="R551" s="309"/>
      <c r="S551" s="309"/>
      <c r="T551" s="309"/>
      <c r="U551" s="309"/>
      <c r="V551" s="311"/>
      <c r="W551" s="311"/>
      <c r="X551" s="311"/>
      <c r="Y551" s="311"/>
      <c r="Z551" s="311"/>
      <c r="AA551" s="311"/>
      <c r="AB551" s="311"/>
      <c r="AC551" s="311"/>
      <c r="AD551" s="311"/>
      <c r="AE551" s="311"/>
      <c r="AF551" s="311"/>
      <c r="AG551" s="311"/>
      <c r="AH551" s="311"/>
      <c r="AI551" s="311"/>
      <c r="AJ551" s="311"/>
      <c r="AK551" s="311"/>
      <c r="AL551" s="311"/>
      <c r="AM551" s="311"/>
    </row>
    <row r="552" spans="1:39" ht="15.75" customHeight="1">
      <c r="A552" s="382"/>
      <c r="B552" s="311"/>
      <c r="C552" s="1647"/>
      <c r="D552" s="2173"/>
      <c r="E552" s="1586"/>
      <c r="F552" s="1954"/>
      <c r="G552" s="1846"/>
      <c r="H552" s="1586"/>
      <c r="I552" s="1647"/>
      <c r="J552" s="2187"/>
      <c r="K552" s="1647"/>
      <c r="L552" s="1647"/>
      <c r="M552" s="2174"/>
      <c r="N552" s="836"/>
      <c r="O552" s="836"/>
      <c r="P552" s="2174"/>
      <c r="Q552" s="836"/>
      <c r="R552" s="309"/>
      <c r="S552" s="309"/>
      <c r="T552" s="309"/>
      <c r="U552" s="309"/>
      <c r="V552" s="311"/>
      <c r="W552" s="311"/>
      <c r="X552" s="311"/>
      <c r="Y552" s="311"/>
      <c r="Z552" s="311"/>
      <c r="AA552" s="311"/>
      <c r="AB552" s="311"/>
      <c r="AC552" s="311"/>
      <c r="AD552" s="311"/>
      <c r="AE552" s="311"/>
      <c r="AF552" s="311"/>
      <c r="AG552" s="311"/>
      <c r="AH552" s="311"/>
      <c r="AI552" s="311"/>
      <c r="AJ552" s="311"/>
      <c r="AK552" s="311"/>
      <c r="AL552" s="311"/>
      <c r="AM552" s="311"/>
    </row>
    <row r="553" spans="1:39" ht="15.75" customHeight="1">
      <c r="A553" s="382"/>
      <c r="B553" s="311"/>
      <c r="C553" s="1647"/>
      <c r="D553" s="2173"/>
      <c r="E553" s="1586"/>
      <c r="F553" s="1954"/>
      <c r="G553" s="1846"/>
      <c r="H553" s="1586"/>
      <c r="I553" s="1647"/>
      <c r="J553" s="2187"/>
      <c r="K553" s="1647"/>
      <c r="L553" s="1647"/>
      <c r="M553" s="2174"/>
      <c r="N553" s="836"/>
      <c r="O553" s="836"/>
      <c r="P553" s="2174"/>
      <c r="Q553" s="836"/>
      <c r="R553" s="309"/>
      <c r="S553" s="309"/>
      <c r="T553" s="309"/>
      <c r="U553" s="309"/>
      <c r="V553" s="311"/>
      <c r="W553" s="311"/>
      <c r="X553" s="311"/>
      <c r="Y553" s="311"/>
      <c r="Z553" s="311"/>
      <c r="AA553" s="311"/>
      <c r="AB553" s="311"/>
      <c r="AC553" s="311"/>
      <c r="AD553" s="311"/>
      <c r="AE553" s="311"/>
      <c r="AF553" s="311"/>
      <c r="AG553" s="311"/>
      <c r="AH553" s="311"/>
      <c r="AI553" s="311"/>
      <c r="AJ553" s="311"/>
      <c r="AK553" s="311"/>
      <c r="AL553" s="311"/>
      <c r="AM553" s="311"/>
    </row>
    <row r="554" spans="1:39" ht="15.75" customHeight="1">
      <c r="A554" s="382"/>
      <c r="B554" s="311"/>
      <c r="C554" s="1647"/>
      <c r="D554" s="2173"/>
      <c r="E554" s="1586"/>
      <c r="F554" s="1954"/>
      <c r="G554" s="1846"/>
      <c r="H554" s="1586"/>
      <c r="I554" s="1647"/>
      <c r="J554" s="2187"/>
      <c r="K554" s="1647"/>
      <c r="L554" s="1647"/>
      <c r="M554" s="2174"/>
      <c r="N554" s="836"/>
      <c r="O554" s="836"/>
      <c r="P554" s="2174"/>
      <c r="Q554" s="836"/>
      <c r="R554" s="309"/>
      <c r="S554" s="309"/>
      <c r="T554" s="309"/>
      <c r="U554" s="309"/>
      <c r="V554" s="311"/>
      <c r="W554" s="311"/>
      <c r="X554" s="311"/>
      <c r="Y554" s="311"/>
      <c r="Z554" s="311"/>
      <c r="AA554" s="311"/>
      <c r="AB554" s="311"/>
      <c r="AC554" s="311"/>
      <c r="AD554" s="311"/>
      <c r="AE554" s="311"/>
      <c r="AF554" s="311"/>
      <c r="AG554" s="311"/>
      <c r="AH554" s="311"/>
      <c r="AI554" s="311"/>
      <c r="AJ554" s="311"/>
      <c r="AK554" s="311"/>
      <c r="AL554" s="311"/>
      <c r="AM554" s="311"/>
    </row>
    <row r="555" spans="1:39" ht="15.75" customHeight="1">
      <c r="A555" s="382"/>
      <c r="B555" s="311"/>
      <c r="C555" s="1647"/>
      <c r="D555" s="2173"/>
      <c r="E555" s="1586"/>
      <c r="F555" s="1954"/>
      <c r="G555" s="1846"/>
      <c r="H555" s="1586"/>
      <c r="I555" s="1647"/>
      <c r="J555" s="2187"/>
      <c r="K555" s="1647"/>
      <c r="L555" s="1647"/>
      <c r="M555" s="2174"/>
      <c r="N555" s="836"/>
      <c r="O555" s="836"/>
      <c r="P555" s="2174"/>
      <c r="Q555" s="836"/>
      <c r="R555" s="309"/>
      <c r="S555" s="309"/>
      <c r="T555" s="309"/>
      <c r="U555" s="309"/>
      <c r="V555" s="311"/>
      <c r="W555" s="311"/>
      <c r="X555" s="311"/>
      <c r="Y555" s="311"/>
      <c r="Z555" s="311"/>
      <c r="AA555" s="311"/>
      <c r="AB555" s="311"/>
      <c r="AC555" s="311"/>
      <c r="AD555" s="311"/>
      <c r="AE555" s="311"/>
      <c r="AF555" s="311"/>
      <c r="AG555" s="311"/>
      <c r="AH555" s="311"/>
      <c r="AI555" s="311"/>
      <c r="AJ555" s="311"/>
      <c r="AK555" s="311"/>
      <c r="AL555" s="311"/>
      <c r="AM555" s="311"/>
    </row>
    <row r="556" spans="1:39" ht="15.75" customHeight="1">
      <c r="A556" s="382"/>
      <c r="B556" s="311"/>
      <c r="C556" s="1647"/>
      <c r="D556" s="2173"/>
      <c r="E556" s="1586"/>
      <c r="F556" s="1954"/>
      <c r="G556" s="1846"/>
      <c r="H556" s="1586"/>
      <c r="I556" s="1647"/>
      <c r="J556" s="2187"/>
      <c r="K556" s="1647"/>
      <c r="L556" s="1647"/>
      <c r="M556" s="2174"/>
      <c r="N556" s="836"/>
      <c r="O556" s="836"/>
      <c r="P556" s="2174"/>
      <c r="Q556" s="836"/>
      <c r="R556" s="309"/>
      <c r="S556" s="309"/>
      <c r="T556" s="309"/>
      <c r="U556" s="309"/>
      <c r="V556" s="311"/>
      <c r="W556" s="311"/>
      <c r="X556" s="311"/>
      <c r="Y556" s="311"/>
      <c r="Z556" s="311"/>
      <c r="AA556" s="311"/>
      <c r="AB556" s="311"/>
      <c r="AC556" s="311"/>
      <c r="AD556" s="311"/>
      <c r="AE556" s="311"/>
      <c r="AF556" s="311"/>
      <c r="AG556" s="311"/>
      <c r="AH556" s="311"/>
      <c r="AI556" s="311"/>
      <c r="AJ556" s="311"/>
      <c r="AK556" s="311"/>
      <c r="AL556" s="311"/>
      <c r="AM556" s="311"/>
    </row>
    <row r="557" spans="1:39" ht="15.75" customHeight="1">
      <c r="A557" s="382"/>
      <c r="B557" s="311"/>
      <c r="C557" s="1647"/>
      <c r="D557" s="2173"/>
      <c r="E557" s="1586"/>
      <c r="F557" s="1954"/>
      <c r="G557" s="1846"/>
      <c r="H557" s="1586"/>
      <c r="I557" s="1647"/>
      <c r="J557" s="2187"/>
      <c r="K557" s="1647"/>
      <c r="L557" s="1647"/>
      <c r="M557" s="2174"/>
      <c r="N557" s="836"/>
      <c r="O557" s="836"/>
      <c r="P557" s="2174"/>
      <c r="Q557" s="836"/>
      <c r="R557" s="309"/>
      <c r="S557" s="309"/>
      <c r="T557" s="309"/>
      <c r="U557" s="309"/>
      <c r="V557" s="311"/>
      <c r="W557" s="311"/>
      <c r="X557" s="311"/>
      <c r="Y557" s="311"/>
      <c r="Z557" s="311"/>
      <c r="AA557" s="311"/>
      <c r="AB557" s="311"/>
      <c r="AC557" s="311"/>
      <c r="AD557" s="311"/>
      <c r="AE557" s="311"/>
      <c r="AF557" s="311"/>
      <c r="AG557" s="311"/>
      <c r="AH557" s="311"/>
      <c r="AI557" s="311"/>
      <c r="AJ557" s="311"/>
      <c r="AK557" s="311"/>
      <c r="AL557" s="311"/>
      <c r="AM557" s="311"/>
    </row>
    <row r="558" spans="1:39" ht="15.75" customHeight="1">
      <c r="A558" s="382"/>
      <c r="B558" s="311"/>
      <c r="C558" s="1647"/>
      <c r="D558" s="2173"/>
      <c r="E558" s="1586"/>
      <c r="F558" s="1954"/>
      <c r="G558" s="1846"/>
      <c r="H558" s="1586"/>
      <c r="I558" s="1647"/>
      <c r="J558" s="2187"/>
      <c r="K558" s="1647"/>
      <c r="L558" s="1647"/>
      <c r="M558" s="2174"/>
      <c r="N558" s="836"/>
      <c r="O558" s="836"/>
      <c r="P558" s="2174"/>
      <c r="Q558" s="836"/>
      <c r="R558" s="309"/>
      <c r="S558" s="309"/>
      <c r="T558" s="309"/>
      <c r="U558" s="309"/>
      <c r="V558" s="311"/>
      <c r="W558" s="311"/>
      <c r="X558" s="311"/>
      <c r="Y558" s="311"/>
      <c r="Z558" s="311"/>
      <c r="AA558" s="311"/>
      <c r="AB558" s="311"/>
      <c r="AC558" s="311"/>
      <c r="AD558" s="311"/>
      <c r="AE558" s="311"/>
      <c r="AF558" s="311"/>
      <c r="AG558" s="311"/>
      <c r="AH558" s="311"/>
      <c r="AI558" s="311"/>
      <c r="AJ558" s="311"/>
      <c r="AK558" s="311"/>
      <c r="AL558" s="311"/>
      <c r="AM558" s="311"/>
    </row>
    <row r="559" spans="1:39" ht="15.75" customHeight="1">
      <c r="A559" s="382"/>
      <c r="B559" s="311"/>
      <c r="C559" s="1647"/>
      <c r="D559" s="2173"/>
      <c r="E559" s="1586"/>
      <c r="F559" s="1954"/>
      <c r="G559" s="1846"/>
      <c r="H559" s="1586"/>
      <c r="I559" s="1647"/>
      <c r="J559" s="2187"/>
      <c r="K559" s="1647"/>
      <c r="L559" s="1647"/>
      <c r="M559" s="2174"/>
      <c r="N559" s="836"/>
      <c r="O559" s="836"/>
      <c r="P559" s="2174"/>
      <c r="Q559" s="836"/>
      <c r="R559" s="309"/>
      <c r="S559" s="309"/>
      <c r="T559" s="309"/>
      <c r="U559" s="309"/>
      <c r="V559" s="311"/>
      <c r="W559" s="311"/>
      <c r="X559" s="311"/>
      <c r="Y559" s="311"/>
      <c r="Z559" s="311"/>
      <c r="AA559" s="311"/>
      <c r="AB559" s="311"/>
      <c r="AC559" s="311"/>
      <c r="AD559" s="311"/>
      <c r="AE559" s="311"/>
      <c r="AF559" s="311"/>
      <c r="AG559" s="311"/>
      <c r="AH559" s="311"/>
      <c r="AI559" s="311"/>
      <c r="AJ559" s="311"/>
      <c r="AK559" s="311"/>
      <c r="AL559" s="311"/>
      <c r="AM559" s="311"/>
    </row>
    <row r="560" spans="1:39" ht="15.75" customHeight="1">
      <c r="A560" s="382"/>
      <c r="B560" s="311"/>
      <c r="C560" s="1647"/>
      <c r="D560" s="2173"/>
      <c r="E560" s="1586"/>
      <c r="F560" s="1954"/>
      <c r="G560" s="1846"/>
      <c r="H560" s="1586"/>
      <c r="I560" s="1647"/>
      <c r="J560" s="2187"/>
      <c r="K560" s="1647"/>
      <c r="L560" s="1647"/>
      <c r="M560" s="2174"/>
      <c r="N560" s="836"/>
      <c r="O560" s="836"/>
      <c r="P560" s="2174"/>
      <c r="Q560" s="836"/>
      <c r="R560" s="309"/>
      <c r="S560" s="309"/>
      <c r="T560" s="309"/>
      <c r="U560" s="309"/>
      <c r="V560" s="311"/>
      <c r="W560" s="311"/>
      <c r="X560" s="311"/>
      <c r="Y560" s="311"/>
      <c r="Z560" s="311"/>
      <c r="AA560" s="311"/>
      <c r="AB560" s="311"/>
      <c r="AC560" s="311"/>
      <c r="AD560" s="311"/>
      <c r="AE560" s="311"/>
      <c r="AF560" s="311"/>
      <c r="AG560" s="311"/>
      <c r="AH560" s="311"/>
      <c r="AI560" s="311"/>
      <c r="AJ560" s="311"/>
      <c r="AK560" s="311"/>
      <c r="AL560" s="311"/>
      <c r="AM560" s="311"/>
    </row>
    <row r="561" spans="1:39" ht="15.75" customHeight="1">
      <c r="A561" s="382"/>
      <c r="B561" s="311"/>
      <c r="C561" s="1647"/>
      <c r="D561" s="2173"/>
      <c r="E561" s="1586"/>
      <c r="F561" s="1954"/>
      <c r="G561" s="1846"/>
      <c r="H561" s="1586"/>
      <c r="I561" s="1647"/>
      <c r="J561" s="2187"/>
      <c r="K561" s="1647"/>
      <c r="L561" s="1647"/>
      <c r="M561" s="2174"/>
      <c r="N561" s="836"/>
      <c r="O561" s="836"/>
      <c r="P561" s="2174"/>
      <c r="Q561" s="836"/>
      <c r="R561" s="309"/>
      <c r="S561" s="309"/>
      <c r="T561" s="309"/>
      <c r="U561" s="309"/>
      <c r="V561" s="311"/>
      <c r="W561" s="311"/>
      <c r="X561" s="311"/>
      <c r="Y561" s="311"/>
      <c r="Z561" s="311"/>
      <c r="AA561" s="311"/>
      <c r="AB561" s="311"/>
      <c r="AC561" s="311"/>
      <c r="AD561" s="311"/>
      <c r="AE561" s="311"/>
      <c r="AF561" s="311"/>
      <c r="AG561" s="311"/>
      <c r="AH561" s="311"/>
      <c r="AI561" s="311"/>
      <c r="AJ561" s="311"/>
      <c r="AK561" s="311"/>
      <c r="AL561" s="311"/>
      <c r="AM561" s="311"/>
    </row>
    <row r="562" spans="1:39" ht="15.75" customHeight="1">
      <c r="A562" s="382"/>
      <c r="B562" s="311"/>
      <c r="C562" s="1647"/>
      <c r="D562" s="2173"/>
      <c r="E562" s="1586"/>
      <c r="F562" s="1954"/>
      <c r="G562" s="1846"/>
      <c r="H562" s="1586"/>
      <c r="I562" s="1647"/>
      <c r="J562" s="2187"/>
      <c r="K562" s="1647"/>
      <c r="L562" s="1647"/>
      <c r="M562" s="2174"/>
      <c r="N562" s="836"/>
      <c r="O562" s="836"/>
      <c r="P562" s="2174"/>
      <c r="Q562" s="836"/>
      <c r="R562" s="309"/>
      <c r="S562" s="309"/>
      <c r="T562" s="309"/>
      <c r="U562" s="309"/>
      <c r="V562" s="311"/>
      <c r="W562" s="311"/>
      <c r="X562" s="311"/>
      <c r="Y562" s="311"/>
      <c r="Z562" s="311"/>
      <c r="AA562" s="311"/>
      <c r="AB562" s="311"/>
      <c r="AC562" s="311"/>
      <c r="AD562" s="311"/>
      <c r="AE562" s="311"/>
      <c r="AF562" s="311"/>
      <c r="AG562" s="311"/>
      <c r="AH562" s="311"/>
      <c r="AI562" s="311"/>
      <c r="AJ562" s="311"/>
      <c r="AK562" s="311"/>
      <c r="AL562" s="311"/>
      <c r="AM562" s="311"/>
    </row>
    <row r="563" spans="1:39" ht="15.75" customHeight="1">
      <c r="A563" s="382"/>
      <c r="B563" s="311"/>
      <c r="C563" s="1647"/>
      <c r="D563" s="2173"/>
      <c r="E563" s="1586"/>
      <c r="F563" s="1954"/>
      <c r="G563" s="1846"/>
      <c r="H563" s="1586"/>
      <c r="I563" s="1647"/>
      <c r="J563" s="2187"/>
      <c r="K563" s="1647"/>
      <c r="L563" s="1647"/>
      <c r="M563" s="2174"/>
      <c r="N563" s="836"/>
      <c r="O563" s="836"/>
      <c r="P563" s="2174"/>
      <c r="Q563" s="836"/>
      <c r="R563" s="309"/>
      <c r="S563" s="309"/>
      <c r="T563" s="309"/>
      <c r="U563" s="309"/>
      <c r="V563" s="311"/>
      <c r="W563" s="311"/>
      <c r="X563" s="311"/>
      <c r="Y563" s="311"/>
      <c r="Z563" s="311"/>
      <c r="AA563" s="311"/>
      <c r="AB563" s="311"/>
      <c r="AC563" s="311"/>
      <c r="AD563" s="311"/>
      <c r="AE563" s="311"/>
      <c r="AF563" s="311"/>
      <c r="AG563" s="311"/>
      <c r="AH563" s="311"/>
      <c r="AI563" s="311"/>
      <c r="AJ563" s="311"/>
      <c r="AK563" s="311"/>
      <c r="AL563" s="311"/>
      <c r="AM563" s="311"/>
    </row>
    <row r="564" spans="1:39" ht="15.75" customHeight="1">
      <c r="A564" s="382"/>
      <c r="B564" s="311"/>
      <c r="C564" s="1647"/>
      <c r="D564" s="2173"/>
      <c r="E564" s="1586"/>
      <c r="F564" s="1954"/>
      <c r="G564" s="1846"/>
      <c r="H564" s="1586"/>
      <c r="I564" s="1647"/>
      <c r="J564" s="2187"/>
      <c r="K564" s="1647"/>
      <c r="L564" s="1647"/>
      <c r="M564" s="2174"/>
      <c r="N564" s="836"/>
      <c r="O564" s="836"/>
      <c r="P564" s="2174"/>
      <c r="Q564" s="836"/>
      <c r="R564" s="309"/>
      <c r="S564" s="309"/>
      <c r="T564" s="309"/>
      <c r="U564" s="309"/>
      <c r="V564" s="311"/>
      <c r="W564" s="311"/>
      <c r="X564" s="311"/>
      <c r="Y564" s="311"/>
      <c r="Z564" s="311"/>
      <c r="AA564" s="311"/>
      <c r="AB564" s="311"/>
      <c r="AC564" s="311"/>
      <c r="AD564" s="311"/>
      <c r="AE564" s="311"/>
      <c r="AF564" s="311"/>
      <c r="AG564" s="311"/>
      <c r="AH564" s="311"/>
      <c r="AI564" s="311"/>
      <c r="AJ564" s="311"/>
      <c r="AK564" s="311"/>
      <c r="AL564" s="311"/>
      <c r="AM564" s="311"/>
    </row>
    <row r="565" spans="1:39" ht="15.75" customHeight="1">
      <c r="A565" s="382"/>
      <c r="B565" s="311"/>
      <c r="C565" s="1647"/>
      <c r="D565" s="2173"/>
      <c r="E565" s="1586"/>
      <c r="F565" s="1954"/>
      <c r="G565" s="1846"/>
      <c r="H565" s="1586"/>
      <c r="I565" s="1647"/>
      <c r="J565" s="2187"/>
      <c r="K565" s="1647"/>
      <c r="L565" s="1647"/>
      <c r="M565" s="2174"/>
      <c r="N565" s="836"/>
      <c r="O565" s="836"/>
      <c r="P565" s="2174"/>
      <c r="Q565" s="836"/>
      <c r="R565" s="309"/>
      <c r="S565" s="309"/>
      <c r="T565" s="309"/>
      <c r="U565" s="309"/>
      <c r="V565" s="311"/>
      <c r="W565" s="311"/>
      <c r="X565" s="311"/>
      <c r="Y565" s="311"/>
      <c r="Z565" s="311"/>
      <c r="AA565" s="311"/>
      <c r="AB565" s="311"/>
      <c r="AC565" s="311"/>
      <c r="AD565" s="311"/>
      <c r="AE565" s="311"/>
      <c r="AF565" s="311"/>
      <c r="AG565" s="311"/>
      <c r="AH565" s="311"/>
      <c r="AI565" s="311"/>
      <c r="AJ565" s="311"/>
      <c r="AK565" s="311"/>
      <c r="AL565" s="311"/>
      <c r="AM565" s="311"/>
    </row>
    <row r="566" spans="1:39" ht="15.75" customHeight="1">
      <c r="A566" s="382"/>
      <c r="B566" s="311"/>
      <c r="C566" s="1647"/>
      <c r="D566" s="2173"/>
      <c r="E566" s="1586"/>
      <c r="F566" s="1954"/>
      <c r="G566" s="1846"/>
      <c r="H566" s="1586"/>
      <c r="I566" s="1647"/>
      <c r="J566" s="2187"/>
      <c r="K566" s="1647"/>
      <c r="L566" s="1647"/>
      <c r="M566" s="2174"/>
      <c r="N566" s="836"/>
      <c r="O566" s="836"/>
      <c r="P566" s="2174"/>
      <c r="Q566" s="836"/>
      <c r="R566" s="309"/>
      <c r="S566" s="309"/>
      <c r="T566" s="309"/>
      <c r="U566" s="309"/>
      <c r="V566" s="311"/>
      <c r="W566" s="311"/>
      <c r="X566" s="311"/>
      <c r="Y566" s="311"/>
      <c r="Z566" s="311"/>
      <c r="AA566" s="311"/>
      <c r="AB566" s="311"/>
      <c r="AC566" s="311"/>
      <c r="AD566" s="311"/>
      <c r="AE566" s="311"/>
      <c r="AF566" s="311"/>
      <c r="AG566" s="311"/>
      <c r="AH566" s="311"/>
      <c r="AI566" s="311"/>
      <c r="AJ566" s="311"/>
      <c r="AK566" s="311"/>
      <c r="AL566" s="311"/>
      <c r="AM566" s="311"/>
    </row>
    <row r="567" spans="1:39" ht="15.75" customHeight="1">
      <c r="A567" s="382"/>
      <c r="B567" s="311"/>
      <c r="C567" s="1647"/>
      <c r="D567" s="2173"/>
      <c r="E567" s="1586"/>
      <c r="F567" s="1954"/>
      <c r="G567" s="1846"/>
      <c r="H567" s="1586"/>
      <c r="I567" s="1647"/>
      <c r="J567" s="2187"/>
      <c r="K567" s="1647"/>
      <c r="L567" s="1647"/>
      <c r="M567" s="2174"/>
      <c r="N567" s="836"/>
      <c r="O567" s="836"/>
      <c r="P567" s="2174"/>
      <c r="Q567" s="836"/>
      <c r="R567" s="309"/>
      <c r="S567" s="309"/>
      <c r="T567" s="309"/>
      <c r="U567" s="309"/>
      <c r="V567" s="311"/>
      <c r="W567" s="311"/>
      <c r="X567" s="311"/>
      <c r="Y567" s="311"/>
      <c r="Z567" s="311"/>
      <c r="AA567" s="311"/>
      <c r="AB567" s="311"/>
      <c r="AC567" s="311"/>
      <c r="AD567" s="311"/>
      <c r="AE567" s="311"/>
      <c r="AF567" s="311"/>
      <c r="AG567" s="311"/>
      <c r="AH567" s="311"/>
      <c r="AI567" s="311"/>
      <c r="AJ567" s="311"/>
      <c r="AK567" s="311"/>
      <c r="AL567" s="311"/>
      <c r="AM567" s="311"/>
    </row>
    <row r="568" spans="1:39" ht="15.75" customHeight="1">
      <c r="A568" s="382"/>
      <c r="B568" s="311"/>
      <c r="C568" s="1647"/>
      <c r="D568" s="2173"/>
      <c r="E568" s="1586"/>
      <c r="F568" s="1954"/>
      <c r="G568" s="1846"/>
      <c r="H568" s="1586"/>
      <c r="I568" s="1647"/>
      <c r="J568" s="2187"/>
      <c r="K568" s="1647"/>
      <c r="L568" s="1647"/>
      <c r="M568" s="2174"/>
      <c r="N568" s="836"/>
      <c r="O568" s="836"/>
      <c r="P568" s="2174"/>
      <c r="Q568" s="836"/>
      <c r="R568" s="309"/>
      <c r="S568" s="309"/>
      <c r="T568" s="309"/>
      <c r="U568" s="309"/>
      <c r="V568" s="311"/>
      <c r="W568" s="311"/>
      <c r="X568" s="311"/>
      <c r="Y568" s="311"/>
      <c r="Z568" s="311"/>
      <c r="AA568" s="311"/>
      <c r="AB568" s="311"/>
      <c r="AC568" s="311"/>
      <c r="AD568" s="311"/>
      <c r="AE568" s="311"/>
      <c r="AF568" s="311"/>
      <c r="AG568" s="311"/>
      <c r="AH568" s="311"/>
      <c r="AI568" s="311"/>
      <c r="AJ568" s="311"/>
      <c r="AK568" s="311"/>
      <c r="AL568" s="311"/>
      <c r="AM568" s="311"/>
    </row>
    <row r="569" spans="1:39" ht="15.75" customHeight="1">
      <c r="A569" s="382"/>
      <c r="B569" s="311"/>
      <c r="C569" s="1647"/>
      <c r="D569" s="2173"/>
      <c r="E569" s="1586"/>
      <c r="F569" s="1954"/>
      <c r="G569" s="1846"/>
      <c r="H569" s="1586"/>
      <c r="I569" s="1647"/>
      <c r="J569" s="2187"/>
      <c r="K569" s="1647"/>
      <c r="L569" s="1647"/>
      <c r="M569" s="2174"/>
      <c r="N569" s="836"/>
      <c r="O569" s="836"/>
      <c r="P569" s="2174"/>
      <c r="Q569" s="836"/>
      <c r="R569" s="309"/>
      <c r="S569" s="309"/>
      <c r="T569" s="309"/>
      <c r="U569" s="309"/>
      <c r="V569" s="311"/>
      <c r="W569" s="311"/>
      <c r="X569" s="311"/>
      <c r="Y569" s="311"/>
      <c r="Z569" s="311"/>
      <c r="AA569" s="311"/>
      <c r="AB569" s="311"/>
      <c r="AC569" s="311"/>
      <c r="AD569" s="311"/>
      <c r="AE569" s="311"/>
      <c r="AF569" s="311"/>
      <c r="AG569" s="311"/>
      <c r="AH569" s="311"/>
      <c r="AI569" s="311"/>
      <c r="AJ569" s="311"/>
      <c r="AK569" s="311"/>
      <c r="AL569" s="311"/>
      <c r="AM569" s="311"/>
    </row>
    <row r="570" spans="1:39" ht="15.75" customHeight="1">
      <c r="A570" s="382"/>
      <c r="B570" s="311"/>
      <c r="C570" s="1647"/>
      <c r="D570" s="2173"/>
      <c r="E570" s="1586"/>
      <c r="F570" s="1954"/>
      <c r="G570" s="1846"/>
      <c r="H570" s="1586"/>
      <c r="I570" s="1647"/>
      <c r="J570" s="2187"/>
      <c r="K570" s="1647"/>
      <c r="L570" s="1647"/>
      <c r="M570" s="2174"/>
      <c r="N570" s="836"/>
      <c r="O570" s="836"/>
      <c r="P570" s="2174"/>
      <c r="Q570" s="836"/>
      <c r="R570" s="309"/>
      <c r="S570" s="309"/>
      <c r="T570" s="309"/>
      <c r="U570" s="309"/>
      <c r="V570" s="311"/>
      <c r="W570" s="311"/>
      <c r="X570" s="311"/>
      <c r="Y570" s="311"/>
      <c r="Z570" s="311"/>
      <c r="AA570" s="311"/>
      <c r="AB570" s="311"/>
      <c r="AC570" s="311"/>
      <c r="AD570" s="311"/>
      <c r="AE570" s="311"/>
      <c r="AF570" s="311"/>
      <c r="AG570" s="311"/>
      <c r="AH570" s="311"/>
      <c r="AI570" s="311"/>
      <c r="AJ570" s="311"/>
      <c r="AK570" s="311"/>
      <c r="AL570" s="311"/>
      <c r="AM570" s="311"/>
    </row>
    <row r="571" spans="1:39" ht="15.75" customHeight="1">
      <c r="A571" s="382"/>
      <c r="B571" s="311"/>
      <c r="C571" s="1647"/>
      <c r="D571" s="2173"/>
      <c r="E571" s="1586"/>
      <c r="F571" s="1954"/>
      <c r="G571" s="1846"/>
      <c r="H571" s="1586"/>
      <c r="I571" s="1647"/>
      <c r="J571" s="2187"/>
      <c r="K571" s="1647"/>
      <c r="L571" s="1647"/>
      <c r="M571" s="2174"/>
      <c r="N571" s="836"/>
      <c r="O571" s="836"/>
      <c r="P571" s="2174"/>
      <c r="Q571" s="836"/>
      <c r="R571" s="309"/>
      <c r="S571" s="309"/>
      <c r="T571" s="309"/>
      <c r="U571" s="309"/>
      <c r="V571" s="311"/>
      <c r="W571" s="311"/>
      <c r="X571" s="311"/>
      <c r="Y571" s="311"/>
      <c r="Z571" s="311"/>
      <c r="AA571" s="311"/>
      <c r="AB571" s="311"/>
      <c r="AC571" s="311"/>
      <c r="AD571" s="311"/>
      <c r="AE571" s="311"/>
      <c r="AF571" s="311"/>
      <c r="AG571" s="311"/>
      <c r="AH571" s="311"/>
      <c r="AI571" s="311"/>
      <c r="AJ571" s="311"/>
      <c r="AK571" s="311"/>
      <c r="AL571" s="311"/>
      <c r="AM571" s="311"/>
    </row>
    <row r="572" spans="1:39" ht="15.75" customHeight="1">
      <c r="A572" s="382"/>
      <c r="B572" s="311"/>
      <c r="C572" s="1647"/>
      <c r="D572" s="2173"/>
      <c r="E572" s="1586"/>
      <c r="F572" s="1954"/>
      <c r="G572" s="1846"/>
      <c r="H572" s="1586"/>
      <c r="I572" s="1647"/>
      <c r="J572" s="2187"/>
      <c r="K572" s="1647"/>
      <c r="L572" s="1647"/>
      <c r="M572" s="2174"/>
      <c r="N572" s="836"/>
      <c r="O572" s="836"/>
      <c r="P572" s="2174"/>
      <c r="Q572" s="836"/>
      <c r="R572" s="309"/>
      <c r="S572" s="309"/>
      <c r="T572" s="309"/>
      <c r="U572" s="309"/>
      <c r="V572" s="311"/>
      <c r="W572" s="311"/>
      <c r="X572" s="311"/>
      <c r="Y572" s="311"/>
      <c r="Z572" s="311"/>
      <c r="AA572" s="311"/>
      <c r="AB572" s="311"/>
      <c r="AC572" s="311"/>
      <c r="AD572" s="311"/>
      <c r="AE572" s="311"/>
      <c r="AF572" s="311"/>
      <c r="AG572" s="311"/>
      <c r="AH572" s="311"/>
      <c r="AI572" s="311"/>
      <c r="AJ572" s="311"/>
      <c r="AK572" s="311"/>
      <c r="AL572" s="311"/>
      <c r="AM572" s="311"/>
    </row>
    <row r="573" spans="1:39" ht="15.75" customHeight="1">
      <c r="A573" s="382"/>
      <c r="B573" s="311"/>
      <c r="C573" s="1647"/>
      <c r="D573" s="2173"/>
      <c r="E573" s="1586"/>
      <c r="F573" s="1954"/>
      <c r="G573" s="1846"/>
      <c r="H573" s="1586"/>
      <c r="I573" s="1647"/>
      <c r="J573" s="2187"/>
      <c r="K573" s="1647"/>
      <c r="L573" s="1647"/>
      <c r="M573" s="2174"/>
      <c r="N573" s="836"/>
      <c r="O573" s="836"/>
      <c r="P573" s="2174"/>
      <c r="Q573" s="836"/>
      <c r="R573" s="309"/>
      <c r="S573" s="309"/>
      <c r="T573" s="309"/>
      <c r="U573" s="309"/>
      <c r="V573" s="311"/>
      <c r="W573" s="311"/>
      <c r="X573" s="311"/>
      <c r="Y573" s="311"/>
      <c r="Z573" s="311"/>
      <c r="AA573" s="311"/>
      <c r="AB573" s="311"/>
      <c r="AC573" s="311"/>
      <c r="AD573" s="311"/>
      <c r="AE573" s="311"/>
      <c r="AF573" s="311"/>
      <c r="AG573" s="311"/>
      <c r="AH573" s="311"/>
      <c r="AI573" s="311"/>
      <c r="AJ573" s="311"/>
      <c r="AK573" s="311"/>
      <c r="AL573" s="311"/>
      <c r="AM573" s="311"/>
    </row>
    <row r="574" spans="1:39" ht="15.75" customHeight="1">
      <c r="A574" s="382"/>
      <c r="B574" s="311"/>
      <c r="C574" s="1647"/>
      <c r="D574" s="2173"/>
      <c r="E574" s="1586"/>
      <c r="F574" s="1954"/>
      <c r="G574" s="1846"/>
      <c r="H574" s="1586"/>
      <c r="I574" s="1647"/>
      <c r="J574" s="2187"/>
      <c r="K574" s="1647"/>
      <c r="L574" s="1647"/>
      <c r="M574" s="2174"/>
      <c r="N574" s="836"/>
      <c r="O574" s="836"/>
      <c r="P574" s="2174"/>
      <c r="Q574" s="836"/>
      <c r="R574" s="309"/>
      <c r="S574" s="309"/>
      <c r="T574" s="309"/>
      <c r="U574" s="309"/>
      <c r="V574" s="311"/>
      <c r="W574" s="311"/>
      <c r="X574" s="311"/>
      <c r="Y574" s="311"/>
      <c r="Z574" s="311"/>
      <c r="AA574" s="311"/>
      <c r="AB574" s="311"/>
      <c r="AC574" s="311"/>
      <c r="AD574" s="311"/>
      <c r="AE574" s="311"/>
      <c r="AF574" s="311"/>
      <c r="AG574" s="311"/>
      <c r="AH574" s="311"/>
      <c r="AI574" s="311"/>
      <c r="AJ574" s="311"/>
      <c r="AK574" s="311"/>
      <c r="AL574" s="311"/>
      <c r="AM574" s="311"/>
    </row>
    <row r="575" spans="1:39" ht="15.75" customHeight="1">
      <c r="A575" s="382"/>
      <c r="B575" s="311"/>
      <c r="C575" s="1647"/>
      <c r="D575" s="2173"/>
      <c r="E575" s="1586"/>
      <c r="F575" s="1954"/>
      <c r="G575" s="1846"/>
      <c r="H575" s="1586"/>
      <c r="I575" s="1647"/>
      <c r="J575" s="2187"/>
      <c r="K575" s="1647"/>
      <c r="L575" s="1647"/>
      <c r="M575" s="2174"/>
      <c r="N575" s="836"/>
      <c r="O575" s="836"/>
      <c r="P575" s="2174"/>
      <c r="Q575" s="836"/>
      <c r="R575" s="309"/>
      <c r="S575" s="309"/>
      <c r="T575" s="309"/>
      <c r="U575" s="309"/>
      <c r="V575" s="311"/>
      <c r="W575" s="311"/>
      <c r="X575" s="311"/>
      <c r="Y575" s="311"/>
      <c r="Z575" s="311"/>
      <c r="AA575" s="311"/>
      <c r="AB575" s="311"/>
      <c r="AC575" s="311"/>
      <c r="AD575" s="311"/>
      <c r="AE575" s="311"/>
      <c r="AF575" s="311"/>
      <c r="AG575" s="311"/>
      <c r="AH575" s="311"/>
      <c r="AI575" s="311"/>
      <c r="AJ575" s="311"/>
      <c r="AK575" s="311"/>
      <c r="AL575" s="311"/>
      <c r="AM575" s="311"/>
    </row>
    <row r="576" spans="1:39" ht="15.75" customHeight="1">
      <c r="A576" s="382"/>
      <c r="B576" s="311"/>
      <c r="C576" s="1647"/>
      <c r="D576" s="2173"/>
      <c r="E576" s="1586"/>
      <c r="F576" s="1954"/>
      <c r="G576" s="1846"/>
      <c r="H576" s="1586"/>
      <c r="I576" s="1647"/>
      <c r="J576" s="2187"/>
      <c r="K576" s="1647"/>
      <c r="L576" s="1647"/>
      <c r="M576" s="2174"/>
      <c r="N576" s="836"/>
      <c r="O576" s="836"/>
      <c r="P576" s="2174"/>
      <c r="Q576" s="836"/>
      <c r="R576" s="309"/>
      <c r="S576" s="309"/>
      <c r="T576" s="309"/>
      <c r="U576" s="309"/>
      <c r="V576" s="311"/>
      <c r="W576" s="311"/>
      <c r="X576" s="311"/>
      <c r="Y576" s="311"/>
      <c r="Z576" s="311"/>
      <c r="AA576" s="311"/>
      <c r="AB576" s="311"/>
      <c r="AC576" s="311"/>
      <c r="AD576" s="311"/>
      <c r="AE576" s="311"/>
      <c r="AF576" s="311"/>
      <c r="AG576" s="311"/>
      <c r="AH576" s="311"/>
      <c r="AI576" s="311"/>
      <c r="AJ576" s="311"/>
      <c r="AK576" s="311"/>
      <c r="AL576" s="311"/>
      <c r="AM576" s="311"/>
    </row>
    <row r="577" spans="1:39" ht="15.75" customHeight="1">
      <c r="A577" s="382"/>
      <c r="B577" s="311"/>
      <c r="C577" s="1647"/>
      <c r="D577" s="2173"/>
      <c r="E577" s="1586"/>
      <c r="F577" s="1954"/>
      <c r="G577" s="1846"/>
      <c r="H577" s="1586"/>
      <c r="I577" s="1647"/>
      <c r="J577" s="2187"/>
      <c r="K577" s="1647"/>
      <c r="L577" s="1647"/>
      <c r="M577" s="2174"/>
      <c r="N577" s="836"/>
      <c r="O577" s="836"/>
      <c r="P577" s="2174"/>
      <c r="Q577" s="836"/>
      <c r="R577" s="309"/>
      <c r="S577" s="309"/>
      <c r="T577" s="309"/>
      <c r="U577" s="309"/>
      <c r="V577" s="311"/>
      <c r="W577" s="311"/>
      <c r="X577" s="311"/>
      <c r="Y577" s="311"/>
      <c r="Z577" s="311"/>
      <c r="AA577" s="311"/>
      <c r="AB577" s="311"/>
      <c r="AC577" s="311"/>
      <c r="AD577" s="311"/>
      <c r="AE577" s="311"/>
      <c r="AF577" s="311"/>
      <c r="AG577" s="311"/>
      <c r="AH577" s="311"/>
      <c r="AI577" s="311"/>
      <c r="AJ577" s="311"/>
      <c r="AK577" s="311"/>
      <c r="AL577" s="311"/>
      <c r="AM577" s="311"/>
    </row>
    <row r="578" spans="1:39" ht="15.75" customHeight="1">
      <c r="A578" s="382"/>
      <c r="B578" s="311"/>
      <c r="C578" s="1647"/>
      <c r="D578" s="2173"/>
      <c r="E578" s="1586"/>
      <c r="F578" s="1954"/>
      <c r="G578" s="1846"/>
      <c r="H578" s="1586"/>
      <c r="I578" s="1647"/>
      <c r="J578" s="2187"/>
      <c r="K578" s="1647"/>
      <c r="L578" s="1647"/>
      <c r="M578" s="2174"/>
      <c r="N578" s="836"/>
      <c r="O578" s="836"/>
      <c r="P578" s="2174"/>
      <c r="Q578" s="836"/>
      <c r="R578" s="309"/>
      <c r="S578" s="309"/>
      <c r="T578" s="309"/>
      <c r="U578" s="309"/>
      <c r="V578" s="311"/>
      <c r="W578" s="311"/>
      <c r="X578" s="311"/>
      <c r="Y578" s="311"/>
      <c r="Z578" s="311"/>
      <c r="AA578" s="311"/>
      <c r="AB578" s="311"/>
      <c r="AC578" s="311"/>
      <c r="AD578" s="311"/>
      <c r="AE578" s="311"/>
      <c r="AF578" s="311"/>
      <c r="AG578" s="311"/>
      <c r="AH578" s="311"/>
      <c r="AI578" s="311"/>
      <c r="AJ578" s="311"/>
      <c r="AK578" s="311"/>
      <c r="AL578" s="311"/>
      <c r="AM578" s="311"/>
    </row>
    <row r="579" spans="1:39" ht="15.75" customHeight="1">
      <c r="A579" s="382"/>
      <c r="B579" s="311"/>
      <c r="C579" s="1647"/>
      <c r="D579" s="2173"/>
      <c r="E579" s="1586"/>
      <c r="F579" s="1954"/>
      <c r="G579" s="1846"/>
      <c r="H579" s="1586"/>
      <c r="I579" s="1647"/>
      <c r="J579" s="2187"/>
      <c r="K579" s="1647"/>
      <c r="L579" s="1647"/>
      <c r="M579" s="2174"/>
      <c r="N579" s="836"/>
      <c r="O579" s="836"/>
      <c r="P579" s="2174"/>
      <c r="Q579" s="836"/>
      <c r="R579" s="309"/>
      <c r="S579" s="309"/>
      <c r="T579" s="309"/>
      <c r="U579" s="309"/>
      <c r="V579" s="311"/>
      <c r="W579" s="311"/>
      <c r="X579" s="311"/>
      <c r="Y579" s="311"/>
      <c r="Z579" s="311"/>
      <c r="AA579" s="311"/>
      <c r="AB579" s="311"/>
      <c r="AC579" s="311"/>
      <c r="AD579" s="311"/>
      <c r="AE579" s="311"/>
      <c r="AF579" s="311"/>
      <c r="AG579" s="311"/>
      <c r="AH579" s="311"/>
      <c r="AI579" s="311"/>
      <c r="AJ579" s="311"/>
      <c r="AK579" s="311"/>
      <c r="AL579" s="311"/>
      <c r="AM579" s="311"/>
    </row>
    <row r="580" spans="1:39" ht="15.75" customHeight="1">
      <c r="A580" s="382"/>
      <c r="B580" s="311"/>
      <c r="C580" s="1647"/>
      <c r="D580" s="2173"/>
      <c r="E580" s="1586"/>
      <c r="F580" s="1954"/>
      <c r="G580" s="1846"/>
      <c r="H580" s="1586"/>
      <c r="I580" s="1647"/>
      <c r="J580" s="2187"/>
      <c r="K580" s="1647"/>
      <c r="L580" s="1647"/>
      <c r="M580" s="2174"/>
      <c r="N580" s="836"/>
      <c r="O580" s="836"/>
      <c r="P580" s="2174"/>
      <c r="Q580" s="836"/>
      <c r="R580" s="309"/>
      <c r="S580" s="309"/>
      <c r="T580" s="309"/>
      <c r="U580" s="309"/>
      <c r="V580" s="311"/>
      <c r="W580" s="311"/>
      <c r="X580" s="311"/>
      <c r="Y580" s="311"/>
      <c r="Z580" s="311"/>
      <c r="AA580" s="311"/>
      <c r="AB580" s="311"/>
      <c r="AC580" s="311"/>
      <c r="AD580" s="311"/>
      <c r="AE580" s="311"/>
      <c r="AF580" s="311"/>
      <c r="AG580" s="311"/>
      <c r="AH580" s="311"/>
      <c r="AI580" s="311"/>
      <c r="AJ580" s="311"/>
      <c r="AK580" s="311"/>
      <c r="AL580" s="311"/>
      <c r="AM580" s="311"/>
    </row>
    <row r="581" spans="1:39" ht="15.75" customHeight="1">
      <c r="A581" s="382"/>
      <c r="B581" s="311"/>
      <c r="C581" s="1647"/>
      <c r="D581" s="2173"/>
      <c r="E581" s="1586"/>
      <c r="F581" s="1954"/>
      <c r="G581" s="1846"/>
      <c r="H581" s="1586"/>
      <c r="I581" s="1647"/>
      <c r="J581" s="2187"/>
      <c r="K581" s="1647"/>
      <c r="L581" s="1647"/>
      <c r="M581" s="2174"/>
      <c r="N581" s="836"/>
      <c r="O581" s="836"/>
      <c r="P581" s="2174"/>
      <c r="Q581" s="836"/>
      <c r="R581" s="309"/>
      <c r="S581" s="309"/>
      <c r="T581" s="309"/>
      <c r="U581" s="309"/>
      <c r="V581" s="311"/>
      <c r="W581" s="311"/>
      <c r="X581" s="311"/>
      <c r="Y581" s="311"/>
      <c r="Z581" s="311"/>
      <c r="AA581" s="311"/>
      <c r="AB581" s="311"/>
      <c r="AC581" s="311"/>
      <c r="AD581" s="311"/>
      <c r="AE581" s="311"/>
      <c r="AF581" s="311"/>
      <c r="AG581" s="311"/>
      <c r="AH581" s="311"/>
      <c r="AI581" s="311"/>
      <c r="AJ581" s="311"/>
      <c r="AK581" s="311"/>
      <c r="AL581" s="311"/>
      <c r="AM581" s="311"/>
    </row>
    <row r="582" spans="1:39" ht="15.75" customHeight="1">
      <c r="A582" s="382"/>
      <c r="B582" s="311"/>
      <c r="C582" s="1647"/>
      <c r="D582" s="2173"/>
      <c r="E582" s="1586"/>
      <c r="F582" s="1954"/>
      <c r="G582" s="1846"/>
      <c r="H582" s="1586"/>
      <c r="I582" s="1647"/>
      <c r="J582" s="2187"/>
      <c r="K582" s="1647"/>
      <c r="L582" s="1647"/>
      <c r="M582" s="2174"/>
      <c r="N582" s="836"/>
      <c r="O582" s="836"/>
      <c r="P582" s="2174"/>
      <c r="Q582" s="836"/>
      <c r="R582" s="309"/>
      <c r="S582" s="309"/>
      <c r="T582" s="309"/>
      <c r="U582" s="309"/>
      <c r="V582" s="311"/>
      <c r="W582" s="311"/>
      <c r="X582" s="311"/>
      <c r="Y582" s="311"/>
      <c r="Z582" s="311"/>
      <c r="AA582" s="311"/>
      <c r="AB582" s="311"/>
      <c r="AC582" s="311"/>
      <c r="AD582" s="311"/>
      <c r="AE582" s="311"/>
      <c r="AF582" s="311"/>
      <c r="AG582" s="311"/>
      <c r="AH582" s="311"/>
      <c r="AI582" s="311"/>
      <c r="AJ582" s="311"/>
      <c r="AK582" s="311"/>
      <c r="AL582" s="311"/>
      <c r="AM582" s="311"/>
    </row>
    <row r="583" spans="1:39" ht="15.75" customHeight="1">
      <c r="A583" s="382"/>
      <c r="B583" s="311"/>
      <c r="C583" s="1647"/>
      <c r="D583" s="2173"/>
      <c r="E583" s="1586"/>
      <c r="F583" s="1954"/>
      <c r="G583" s="1846"/>
      <c r="H583" s="1586"/>
      <c r="I583" s="1647"/>
      <c r="J583" s="2187"/>
      <c r="K583" s="1647"/>
      <c r="L583" s="1647"/>
      <c r="M583" s="2174"/>
      <c r="N583" s="836"/>
      <c r="O583" s="836"/>
      <c r="P583" s="2174"/>
      <c r="Q583" s="836"/>
      <c r="R583" s="309"/>
      <c r="S583" s="309"/>
      <c r="T583" s="309"/>
      <c r="U583" s="309"/>
      <c r="V583" s="311"/>
      <c r="W583" s="311"/>
      <c r="X583" s="311"/>
      <c r="Y583" s="311"/>
      <c r="Z583" s="311"/>
      <c r="AA583" s="311"/>
      <c r="AB583" s="311"/>
      <c r="AC583" s="311"/>
      <c r="AD583" s="311"/>
      <c r="AE583" s="311"/>
      <c r="AF583" s="311"/>
      <c r="AG583" s="311"/>
      <c r="AH583" s="311"/>
      <c r="AI583" s="311"/>
      <c r="AJ583" s="311"/>
      <c r="AK583" s="311"/>
      <c r="AL583" s="311"/>
      <c r="AM583" s="311"/>
    </row>
    <row r="584" spans="1:39" ht="15.75" customHeight="1">
      <c r="A584" s="382"/>
      <c r="B584" s="311"/>
      <c r="C584" s="1647"/>
      <c r="D584" s="2173"/>
      <c r="E584" s="1586"/>
      <c r="F584" s="1954"/>
      <c r="G584" s="1846"/>
      <c r="H584" s="1586"/>
      <c r="I584" s="1647"/>
      <c r="J584" s="2187"/>
      <c r="K584" s="1647"/>
      <c r="L584" s="1647"/>
      <c r="M584" s="2174"/>
      <c r="N584" s="836"/>
      <c r="O584" s="836"/>
      <c r="P584" s="2174"/>
      <c r="Q584" s="836"/>
      <c r="R584" s="309"/>
      <c r="S584" s="309"/>
      <c r="T584" s="309"/>
      <c r="U584" s="309"/>
      <c r="V584" s="311"/>
      <c r="W584" s="311"/>
      <c r="X584" s="311"/>
      <c r="Y584" s="311"/>
      <c r="Z584" s="311"/>
      <c r="AA584" s="311"/>
      <c r="AB584" s="311"/>
      <c r="AC584" s="311"/>
      <c r="AD584" s="311"/>
      <c r="AE584" s="311"/>
      <c r="AF584" s="311"/>
      <c r="AG584" s="311"/>
      <c r="AH584" s="311"/>
      <c r="AI584" s="311"/>
      <c r="AJ584" s="311"/>
      <c r="AK584" s="311"/>
      <c r="AL584" s="311"/>
      <c r="AM584" s="311"/>
    </row>
    <row r="585" spans="1:39" ht="15.75" customHeight="1">
      <c r="A585" s="382"/>
      <c r="B585" s="311"/>
      <c r="C585" s="1647"/>
      <c r="D585" s="2173"/>
      <c r="E585" s="1586"/>
      <c r="F585" s="1954"/>
      <c r="G585" s="1846"/>
      <c r="H585" s="1586"/>
      <c r="I585" s="1647"/>
      <c r="J585" s="2187"/>
      <c r="K585" s="1647"/>
      <c r="L585" s="1647"/>
      <c r="M585" s="2174"/>
      <c r="N585" s="836"/>
      <c r="O585" s="836"/>
      <c r="P585" s="2174"/>
      <c r="Q585" s="836"/>
      <c r="R585" s="309"/>
      <c r="S585" s="309"/>
      <c r="T585" s="309"/>
      <c r="U585" s="309"/>
      <c r="V585" s="311"/>
      <c r="W585" s="311"/>
      <c r="X585" s="311"/>
      <c r="Y585" s="311"/>
      <c r="Z585" s="311"/>
      <c r="AA585" s="311"/>
      <c r="AB585" s="311"/>
      <c r="AC585" s="311"/>
      <c r="AD585" s="311"/>
      <c r="AE585" s="311"/>
      <c r="AF585" s="311"/>
      <c r="AG585" s="311"/>
      <c r="AH585" s="311"/>
      <c r="AI585" s="311"/>
      <c r="AJ585" s="311"/>
      <c r="AK585" s="311"/>
      <c r="AL585" s="311"/>
      <c r="AM585" s="311"/>
    </row>
    <row r="586" spans="1:39" ht="15.75" customHeight="1">
      <c r="A586" s="382"/>
      <c r="B586" s="311"/>
      <c r="C586" s="1647"/>
      <c r="D586" s="2173"/>
      <c r="E586" s="1586"/>
      <c r="F586" s="1954"/>
      <c r="G586" s="1846"/>
      <c r="H586" s="1586"/>
      <c r="I586" s="1647"/>
      <c r="J586" s="2187"/>
      <c r="K586" s="1647"/>
      <c r="L586" s="1647"/>
      <c r="M586" s="2174"/>
      <c r="N586" s="836"/>
      <c r="O586" s="836"/>
      <c r="P586" s="2174"/>
      <c r="Q586" s="836"/>
      <c r="R586" s="309"/>
      <c r="S586" s="309"/>
      <c r="T586" s="309"/>
      <c r="U586" s="309"/>
      <c r="V586" s="311"/>
      <c r="W586" s="311"/>
      <c r="X586" s="311"/>
      <c r="Y586" s="311"/>
      <c r="Z586" s="311"/>
      <c r="AA586" s="311"/>
      <c r="AB586" s="311"/>
      <c r="AC586" s="311"/>
      <c r="AD586" s="311"/>
      <c r="AE586" s="311"/>
      <c r="AF586" s="311"/>
      <c r="AG586" s="311"/>
      <c r="AH586" s="311"/>
      <c r="AI586" s="311"/>
      <c r="AJ586" s="311"/>
      <c r="AK586" s="311"/>
      <c r="AL586" s="311"/>
      <c r="AM586" s="311"/>
    </row>
    <row r="587" spans="1:39" ht="15.75" customHeight="1">
      <c r="A587" s="382"/>
      <c r="B587" s="311"/>
      <c r="C587" s="1647"/>
      <c r="D587" s="2173"/>
      <c r="E587" s="1586"/>
      <c r="F587" s="1954"/>
      <c r="G587" s="1846"/>
      <c r="H587" s="1586"/>
      <c r="I587" s="1647"/>
      <c r="J587" s="2187"/>
      <c r="K587" s="1647"/>
      <c r="L587" s="1647"/>
      <c r="M587" s="2174"/>
      <c r="N587" s="836"/>
      <c r="O587" s="836"/>
      <c r="P587" s="2174"/>
      <c r="Q587" s="836"/>
      <c r="R587" s="309"/>
      <c r="S587" s="309"/>
      <c r="T587" s="309"/>
      <c r="U587" s="309"/>
      <c r="V587" s="311"/>
      <c r="W587" s="311"/>
      <c r="X587" s="311"/>
      <c r="Y587" s="311"/>
      <c r="Z587" s="311"/>
      <c r="AA587" s="311"/>
      <c r="AB587" s="311"/>
      <c r="AC587" s="311"/>
      <c r="AD587" s="311"/>
      <c r="AE587" s="311"/>
      <c r="AF587" s="311"/>
      <c r="AG587" s="311"/>
      <c r="AH587" s="311"/>
      <c r="AI587" s="311"/>
      <c r="AJ587" s="311"/>
      <c r="AK587" s="311"/>
      <c r="AL587" s="311"/>
      <c r="AM587" s="311"/>
    </row>
    <row r="588" spans="1:39" ht="15.75" customHeight="1">
      <c r="A588" s="382"/>
      <c r="B588" s="311"/>
      <c r="C588" s="1647"/>
      <c r="D588" s="2173"/>
      <c r="E588" s="1586"/>
      <c r="F588" s="1954"/>
      <c r="G588" s="1846"/>
      <c r="H588" s="1586"/>
      <c r="I588" s="1647"/>
      <c r="J588" s="2187"/>
      <c r="K588" s="1647"/>
      <c r="L588" s="1647"/>
      <c r="M588" s="2174"/>
      <c r="N588" s="836"/>
      <c r="O588" s="836"/>
      <c r="P588" s="2174"/>
      <c r="Q588" s="836"/>
      <c r="R588" s="309"/>
      <c r="S588" s="309"/>
      <c r="T588" s="309"/>
      <c r="U588" s="309"/>
      <c r="V588" s="311"/>
      <c r="W588" s="311"/>
      <c r="X588" s="311"/>
      <c r="Y588" s="311"/>
      <c r="Z588" s="311"/>
      <c r="AA588" s="311"/>
      <c r="AB588" s="311"/>
      <c r="AC588" s="311"/>
      <c r="AD588" s="311"/>
      <c r="AE588" s="311"/>
      <c r="AF588" s="311"/>
      <c r="AG588" s="311"/>
      <c r="AH588" s="311"/>
      <c r="AI588" s="311"/>
      <c r="AJ588" s="311"/>
      <c r="AK588" s="311"/>
      <c r="AL588" s="311"/>
      <c r="AM588" s="311"/>
    </row>
    <row r="589" spans="1:39" ht="15.75" customHeight="1">
      <c r="A589" s="382"/>
      <c r="B589" s="311"/>
      <c r="C589" s="1647"/>
      <c r="D589" s="2173"/>
      <c r="E589" s="1586"/>
      <c r="F589" s="1954"/>
      <c r="G589" s="1846"/>
      <c r="H589" s="1586"/>
      <c r="I589" s="1647"/>
      <c r="J589" s="2187"/>
      <c r="K589" s="1647"/>
      <c r="L589" s="1647"/>
      <c r="M589" s="2174"/>
      <c r="N589" s="836"/>
      <c r="O589" s="836"/>
      <c r="P589" s="2174"/>
      <c r="Q589" s="836"/>
      <c r="R589" s="309"/>
      <c r="S589" s="309"/>
      <c r="T589" s="309"/>
      <c r="U589" s="309"/>
      <c r="V589" s="311"/>
      <c r="W589" s="311"/>
      <c r="X589" s="311"/>
      <c r="Y589" s="311"/>
      <c r="Z589" s="311"/>
      <c r="AA589" s="311"/>
      <c r="AB589" s="311"/>
      <c r="AC589" s="311"/>
      <c r="AD589" s="311"/>
      <c r="AE589" s="311"/>
      <c r="AF589" s="311"/>
      <c r="AG589" s="311"/>
      <c r="AH589" s="311"/>
      <c r="AI589" s="311"/>
      <c r="AJ589" s="311"/>
      <c r="AK589" s="311"/>
      <c r="AL589" s="311"/>
      <c r="AM589" s="311"/>
    </row>
    <row r="590" spans="1:39" ht="15.75" customHeight="1">
      <c r="A590" s="382"/>
      <c r="B590" s="311"/>
      <c r="C590" s="1647"/>
      <c r="D590" s="2173"/>
      <c r="E590" s="1586"/>
      <c r="F590" s="1954"/>
      <c r="G590" s="1846"/>
      <c r="H590" s="1586"/>
      <c r="I590" s="1647"/>
      <c r="J590" s="2187"/>
      <c r="K590" s="1647"/>
      <c r="L590" s="1647"/>
      <c r="M590" s="2174"/>
      <c r="N590" s="836"/>
      <c r="O590" s="836"/>
      <c r="P590" s="2174"/>
      <c r="Q590" s="836"/>
      <c r="R590" s="309"/>
      <c r="S590" s="309"/>
      <c r="T590" s="309"/>
      <c r="U590" s="309"/>
      <c r="V590" s="311"/>
      <c r="W590" s="311"/>
      <c r="X590" s="311"/>
      <c r="Y590" s="311"/>
      <c r="Z590" s="311"/>
      <c r="AA590" s="311"/>
      <c r="AB590" s="311"/>
      <c r="AC590" s="311"/>
      <c r="AD590" s="311"/>
      <c r="AE590" s="311"/>
      <c r="AF590" s="311"/>
      <c r="AG590" s="311"/>
      <c r="AH590" s="311"/>
      <c r="AI590" s="311"/>
      <c r="AJ590" s="311"/>
      <c r="AK590" s="311"/>
      <c r="AL590" s="311"/>
      <c r="AM590" s="311"/>
    </row>
    <row r="591" spans="1:39" ht="15.75" customHeight="1">
      <c r="A591" s="382"/>
      <c r="B591" s="311"/>
      <c r="C591" s="1647"/>
      <c r="D591" s="2173"/>
      <c r="E591" s="1586"/>
      <c r="F591" s="1954"/>
      <c r="G591" s="1846"/>
      <c r="H591" s="1586"/>
      <c r="I591" s="1647"/>
      <c r="J591" s="2187"/>
      <c r="K591" s="1647"/>
      <c r="L591" s="1647"/>
      <c r="M591" s="2174"/>
      <c r="N591" s="836"/>
      <c r="O591" s="836"/>
      <c r="P591" s="2174"/>
      <c r="Q591" s="836"/>
      <c r="R591" s="309"/>
      <c r="S591" s="309"/>
      <c r="T591" s="309"/>
      <c r="U591" s="309"/>
      <c r="V591" s="311"/>
      <c r="W591" s="311"/>
      <c r="X591" s="311"/>
      <c r="Y591" s="311"/>
      <c r="Z591" s="311"/>
      <c r="AA591" s="311"/>
      <c r="AB591" s="311"/>
      <c r="AC591" s="311"/>
      <c r="AD591" s="311"/>
      <c r="AE591" s="311"/>
      <c r="AF591" s="311"/>
      <c r="AG591" s="311"/>
      <c r="AH591" s="311"/>
      <c r="AI591" s="311"/>
      <c r="AJ591" s="311"/>
      <c r="AK591" s="311"/>
      <c r="AL591" s="311"/>
      <c r="AM591" s="311"/>
    </row>
    <row r="592" spans="1:39" ht="15.75" customHeight="1">
      <c r="A592" s="382"/>
      <c r="B592" s="311"/>
      <c r="C592" s="1647"/>
      <c r="D592" s="2173"/>
      <c r="E592" s="1586"/>
      <c r="F592" s="1954"/>
      <c r="G592" s="1846"/>
      <c r="H592" s="1586"/>
      <c r="I592" s="1647"/>
      <c r="J592" s="2187"/>
      <c r="K592" s="1647"/>
      <c r="L592" s="1647"/>
      <c r="M592" s="2174"/>
      <c r="N592" s="836"/>
      <c r="O592" s="836"/>
      <c r="P592" s="2174"/>
      <c r="Q592" s="836"/>
      <c r="R592" s="309"/>
      <c r="S592" s="309"/>
      <c r="T592" s="309"/>
      <c r="U592" s="309"/>
      <c r="V592" s="311"/>
      <c r="W592" s="311"/>
      <c r="X592" s="311"/>
      <c r="Y592" s="311"/>
      <c r="Z592" s="311"/>
      <c r="AA592" s="311"/>
      <c r="AB592" s="311"/>
      <c r="AC592" s="311"/>
      <c r="AD592" s="311"/>
      <c r="AE592" s="311"/>
      <c r="AF592" s="311"/>
      <c r="AG592" s="311"/>
      <c r="AH592" s="311"/>
      <c r="AI592" s="311"/>
      <c r="AJ592" s="311"/>
      <c r="AK592" s="311"/>
      <c r="AL592" s="311"/>
      <c r="AM592" s="311"/>
    </row>
    <row r="593" spans="1:39" ht="15.75" customHeight="1">
      <c r="A593" s="382"/>
      <c r="B593" s="311"/>
      <c r="C593" s="1647"/>
      <c r="D593" s="2173"/>
      <c r="E593" s="1586"/>
      <c r="F593" s="1954"/>
      <c r="G593" s="1846"/>
      <c r="H593" s="1586"/>
      <c r="I593" s="1647"/>
      <c r="J593" s="2187"/>
      <c r="K593" s="1647"/>
      <c r="L593" s="1647"/>
      <c r="M593" s="2174"/>
      <c r="N593" s="836"/>
      <c r="O593" s="836"/>
      <c r="P593" s="2174"/>
      <c r="Q593" s="836"/>
      <c r="R593" s="309"/>
      <c r="S593" s="309"/>
      <c r="T593" s="309"/>
      <c r="U593" s="309"/>
      <c r="V593" s="311"/>
      <c r="W593" s="311"/>
      <c r="X593" s="311"/>
      <c r="Y593" s="311"/>
      <c r="Z593" s="311"/>
      <c r="AA593" s="311"/>
      <c r="AB593" s="311"/>
      <c r="AC593" s="311"/>
      <c r="AD593" s="311"/>
      <c r="AE593" s="311"/>
      <c r="AF593" s="311"/>
      <c r="AG593" s="311"/>
      <c r="AH593" s="311"/>
      <c r="AI593" s="311"/>
      <c r="AJ593" s="311"/>
      <c r="AK593" s="311"/>
      <c r="AL593" s="311"/>
      <c r="AM593" s="311"/>
    </row>
    <row r="594" spans="1:39" ht="15.75" customHeight="1">
      <c r="A594" s="382"/>
      <c r="B594" s="311"/>
      <c r="C594" s="1647"/>
      <c r="D594" s="2173"/>
      <c r="E594" s="1586"/>
      <c r="F594" s="1954"/>
      <c r="G594" s="1846"/>
      <c r="H594" s="1586"/>
      <c r="I594" s="1647"/>
      <c r="J594" s="2187"/>
      <c r="K594" s="1647"/>
      <c r="L594" s="1647"/>
      <c r="M594" s="2174"/>
      <c r="N594" s="836"/>
      <c r="O594" s="836"/>
      <c r="P594" s="2174"/>
      <c r="Q594" s="836"/>
      <c r="R594" s="309"/>
      <c r="S594" s="309"/>
      <c r="T594" s="309"/>
      <c r="U594" s="309"/>
      <c r="V594" s="311"/>
      <c r="W594" s="311"/>
      <c r="X594" s="311"/>
      <c r="Y594" s="311"/>
      <c r="Z594" s="311"/>
      <c r="AA594" s="311"/>
      <c r="AB594" s="311"/>
      <c r="AC594" s="311"/>
      <c r="AD594" s="311"/>
      <c r="AE594" s="311"/>
      <c r="AF594" s="311"/>
      <c r="AG594" s="311"/>
      <c r="AH594" s="311"/>
      <c r="AI594" s="311"/>
      <c r="AJ594" s="311"/>
      <c r="AK594" s="311"/>
      <c r="AL594" s="311"/>
      <c r="AM594" s="311"/>
    </row>
    <row r="595" spans="1:39" ht="15.75" customHeight="1">
      <c r="A595" s="382"/>
      <c r="B595" s="311"/>
      <c r="C595" s="1647"/>
      <c r="D595" s="2173"/>
      <c r="E595" s="1586"/>
      <c r="F595" s="1954"/>
      <c r="G595" s="1846"/>
      <c r="H595" s="1586"/>
      <c r="I595" s="1647"/>
      <c r="J595" s="2187"/>
      <c r="K595" s="1647"/>
      <c r="L595" s="1647"/>
      <c r="M595" s="2174"/>
      <c r="N595" s="836"/>
      <c r="O595" s="836"/>
      <c r="P595" s="2174"/>
      <c r="Q595" s="836"/>
      <c r="R595" s="309"/>
      <c r="S595" s="309"/>
      <c r="T595" s="309"/>
      <c r="U595" s="309"/>
      <c r="V595" s="311"/>
      <c r="W595" s="311"/>
      <c r="X595" s="311"/>
      <c r="Y595" s="311"/>
      <c r="Z595" s="311"/>
      <c r="AA595" s="311"/>
      <c r="AB595" s="311"/>
      <c r="AC595" s="311"/>
      <c r="AD595" s="311"/>
      <c r="AE595" s="311"/>
      <c r="AF595" s="311"/>
      <c r="AG595" s="311"/>
      <c r="AH595" s="311"/>
      <c r="AI595" s="311"/>
      <c r="AJ595" s="311"/>
      <c r="AK595" s="311"/>
      <c r="AL595" s="311"/>
      <c r="AM595" s="311"/>
    </row>
    <row r="596" spans="1:39" ht="15.75" customHeight="1">
      <c r="A596" s="382"/>
      <c r="B596" s="311"/>
      <c r="C596" s="1647"/>
      <c r="D596" s="2173"/>
      <c r="E596" s="1586"/>
      <c r="F596" s="1954"/>
      <c r="G596" s="1846"/>
      <c r="H596" s="1586"/>
      <c r="I596" s="1647"/>
      <c r="J596" s="2187"/>
      <c r="K596" s="1647"/>
      <c r="L596" s="1647"/>
      <c r="M596" s="2174"/>
      <c r="N596" s="836"/>
      <c r="O596" s="836"/>
      <c r="P596" s="2174"/>
      <c r="Q596" s="836"/>
      <c r="R596" s="309"/>
      <c r="S596" s="309"/>
      <c r="T596" s="309"/>
      <c r="U596" s="309"/>
      <c r="V596" s="311"/>
      <c r="W596" s="311"/>
      <c r="X596" s="311"/>
      <c r="Y596" s="311"/>
      <c r="Z596" s="311"/>
      <c r="AA596" s="311"/>
      <c r="AB596" s="311"/>
      <c r="AC596" s="311"/>
      <c r="AD596" s="311"/>
      <c r="AE596" s="311"/>
      <c r="AF596" s="311"/>
      <c r="AG596" s="311"/>
      <c r="AH596" s="311"/>
      <c r="AI596" s="311"/>
      <c r="AJ596" s="311"/>
      <c r="AK596" s="311"/>
      <c r="AL596" s="311"/>
      <c r="AM596" s="311"/>
    </row>
    <row r="597" spans="1:39" ht="15.75" customHeight="1">
      <c r="A597" s="382"/>
      <c r="B597" s="311"/>
      <c r="C597" s="1647"/>
      <c r="D597" s="2173"/>
      <c r="E597" s="1586"/>
      <c r="F597" s="1954"/>
      <c r="G597" s="1846"/>
      <c r="H597" s="1586"/>
      <c r="I597" s="1647"/>
      <c r="J597" s="2187"/>
      <c r="K597" s="1647"/>
      <c r="L597" s="1647"/>
      <c r="M597" s="2174"/>
      <c r="N597" s="836"/>
      <c r="O597" s="836"/>
      <c r="P597" s="2174"/>
      <c r="Q597" s="836"/>
      <c r="R597" s="309"/>
      <c r="S597" s="309"/>
      <c r="T597" s="309"/>
      <c r="U597" s="309"/>
      <c r="V597" s="311"/>
      <c r="W597" s="311"/>
      <c r="X597" s="311"/>
      <c r="Y597" s="311"/>
      <c r="Z597" s="311"/>
      <c r="AA597" s="311"/>
      <c r="AB597" s="311"/>
      <c r="AC597" s="311"/>
      <c r="AD597" s="311"/>
      <c r="AE597" s="311"/>
      <c r="AF597" s="311"/>
      <c r="AG597" s="311"/>
      <c r="AH597" s="311"/>
      <c r="AI597" s="311"/>
      <c r="AJ597" s="311"/>
      <c r="AK597" s="311"/>
      <c r="AL597" s="311"/>
      <c r="AM597" s="311"/>
    </row>
    <row r="598" spans="1:39" ht="15.75" customHeight="1">
      <c r="A598" s="382"/>
      <c r="B598" s="311"/>
      <c r="C598" s="1647"/>
      <c r="D598" s="2173"/>
      <c r="E598" s="1586"/>
      <c r="F598" s="1954"/>
      <c r="G598" s="1846"/>
      <c r="H598" s="1586"/>
      <c r="I598" s="1647"/>
      <c r="J598" s="2187"/>
      <c r="K598" s="1647"/>
      <c r="L598" s="1647"/>
      <c r="M598" s="2174"/>
      <c r="N598" s="836"/>
      <c r="O598" s="836"/>
      <c r="P598" s="2174"/>
      <c r="Q598" s="836"/>
      <c r="R598" s="309"/>
      <c r="S598" s="309"/>
      <c r="T598" s="309"/>
      <c r="U598" s="309"/>
      <c r="V598" s="311"/>
      <c r="W598" s="311"/>
      <c r="X598" s="311"/>
      <c r="Y598" s="311"/>
      <c r="Z598" s="311"/>
      <c r="AA598" s="311"/>
      <c r="AB598" s="311"/>
      <c r="AC598" s="311"/>
      <c r="AD598" s="311"/>
      <c r="AE598" s="311"/>
      <c r="AF598" s="311"/>
      <c r="AG598" s="311"/>
      <c r="AH598" s="311"/>
      <c r="AI598" s="311"/>
      <c r="AJ598" s="311"/>
      <c r="AK598" s="311"/>
      <c r="AL598" s="311"/>
      <c r="AM598" s="311"/>
    </row>
    <row r="599" spans="1:39" ht="15.75" customHeight="1">
      <c r="A599" s="382"/>
      <c r="B599" s="311"/>
      <c r="C599" s="1647"/>
      <c r="D599" s="2173"/>
      <c r="E599" s="1586"/>
      <c r="F599" s="1954"/>
      <c r="G599" s="1846"/>
      <c r="H599" s="1586"/>
      <c r="I599" s="1647"/>
      <c r="J599" s="2187"/>
      <c r="K599" s="1647"/>
      <c r="L599" s="1647"/>
      <c r="M599" s="2174"/>
      <c r="N599" s="836"/>
      <c r="O599" s="836"/>
      <c r="P599" s="2174"/>
      <c r="Q599" s="836"/>
      <c r="R599" s="309"/>
      <c r="S599" s="309"/>
      <c r="T599" s="309"/>
      <c r="U599" s="309"/>
      <c r="V599" s="311"/>
      <c r="W599" s="311"/>
      <c r="X599" s="311"/>
      <c r="Y599" s="311"/>
      <c r="Z599" s="311"/>
      <c r="AA599" s="311"/>
      <c r="AB599" s="311"/>
      <c r="AC599" s="311"/>
      <c r="AD599" s="311"/>
      <c r="AE599" s="311"/>
      <c r="AF599" s="311"/>
      <c r="AG599" s="311"/>
      <c r="AH599" s="311"/>
      <c r="AI599" s="311"/>
      <c r="AJ599" s="311"/>
      <c r="AK599" s="311"/>
      <c r="AL599" s="311"/>
      <c r="AM599" s="311"/>
    </row>
    <row r="600" spans="1:39" ht="15.75" customHeight="1">
      <c r="A600" s="382"/>
      <c r="B600" s="311"/>
      <c r="C600" s="1647"/>
      <c r="D600" s="2173"/>
      <c r="E600" s="1586"/>
      <c r="F600" s="1954"/>
      <c r="G600" s="1846"/>
      <c r="H600" s="1586"/>
      <c r="I600" s="1647"/>
      <c r="J600" s="2187"/>
      <c r="K600" s="1647"/>
      <c r="L600" s="1647"/>
      <c r="M600" s="2174"/>
      <c r="N600" s="836"/>
      <c r="O600" s="836"/>
      <c r="P600" s="2174"/>
      <c r="Q600" s="836"/>
      <c r="R600" s="309"/>
      <c r="S600" s="309"/>
      <c r="T600" s="309"/>
      <c r="U600" s="309"/>
      <c r="V600" s="311"/>
      <c r="W600" s="311"/>
      <c r="X600" s="311"/>
      <c r="Y600" s="311"/>
      <c r="Z600" s="311"/>
      <c r="AA600" s="311"/>
      <c r="AB600" s="311"/>
      <c r="AC600" s="311"/>
      <c r="AD600" s="311"/>
      <c r="AE600" s="311"/>
      <c r="AF600" s="311"/>
      <c r="AG600" s="311"/>
      <c r="AH600" s="311"/>
      <c r="AI600" s="311"/>
      <c r="AJ600" s="311"/>
      <c r="AK600" s="311"/>
      <c r="AL600" s="311"/>
      <c r="AM600" s="311"/>
    </row>
    <row r="601" spans="1:39" ht="15.75" customHeight="1">
      <c r="A601" s="382"/>
      <c r="B601" s="311"/>
      <c r="C601" s="1647"/>
      <c r="D601" s="2173"/>
      <c r="E601" s="1586"/>
      <c r="F601" s="1954"/>
      <c r="G601" s="1846"/>
      <c r="H601" s="1586"/>
      <c r="I601" s="1647"/>
      <c r="J601" s="2187"/>
      <c r="K601" s="1647"/>
      <c r="L601" s="1647"/>
      <c r="M601" s="2174"/>
      <c r="N601" s="836"/>
      <c r="O601" s="836"/>
      <c r="P601" s="2174"/>
      <c r="Q601" s="836"/>
      <c r="R601" s="309"/>
      <c r="S601" s="309"/>
      <c r="T601" s="309"/>
      <c r="U601" s="309"/>
      <c r="V601" s="311"/>
      <c r="W601" s="311"/>
      <c r="X601" s="311"/>
      <c r="Y601" s="311"/>
      <c r="Z601" s="311"/>
      <c r="AA601" s="311"/>
      <c r="AB601" s="311"/>
      <c r="AC601" s="311"/>
      <c r="AD601" s="311"/>
      <c r="AE601" s="311"/>
      <c r="AF601" s="311"/>
      <c r="AG601" s="311"/>
      <c r="AH601" s="311"/>
      <c r="AI601" s="311"/>
      <c r="AJ601" s="311"/>
      <c r="AK601" s="311"/>
      <c r="AL601" s="311"/>
      <c r="AM601" s="311"/>
    </row>
    <row r="602" spans="1:39" ht="15.75" customHeight="1">
      <c r="A602" s="382"/>
      <c r="B602" s="311"/>
      <c r="C602" s="1647"/>
      <c r="D602" s="2173"/>
      <c r="E602" s="1586"/>
      <c r="F602" s="1954"/>
      <c r="G602" s="1846"/>
      <c r="H602" s="1586"/>
      <c r="I602" s="1647"/>
      <c r="J602" s="2187"/>
      <c r="K602" s="1647"/>
      <c r="L602" s="1647"/>
      <c r="M602" s="2174"/>
      <c r="N602" s="836"/>
      <c r="O602" s="836"/>
      <c r="P602" s="2174"/>
      <c r="Q602" s="836"/>
      <c r="R602" s="309"/>
      <c r="S602" s="309"/>
      <c r="T602" s="309"/>
      <c r="U602" s="309"/>
      <c r="V602" s="311"/>
      <c r="W602" s="311"/>
      <c r="X602" s="311"/>
      <c r="Y602" s="311"/>
      <c r="Z602" s="311"/>
      <c r="AA602" s="311"/>
      <c r="AB602" s="311"/>
      <c r="AC602" s="311"/>
      <c r="AD602" s="311"/>
      <c r="AE602" s="311"/>
      <c r="AF602" s="311"/>
      <c r="AG602" s="311"/>
      <c r="AH602" s="311"/>
      <c r="AI602" s="311"/>
      <c r="AJ602" s="311"/>
      <c r="AK602" s="311"/>
      <c r="AL602" s="311"/>
      <c r="AM602" s="311"/>
    </row>
    <row r="603" spans="1:39" ht="15.75" customHeight="1">
      <c r="A603" s="382"/>
      <c r="B603" s="311"/>
      <c r="C603" s="1647"/>
      <c r="D603" s="2173"/>
      <c r="E603" s="1586"/>
      <c r="F603" s="1954"/>
      <c r="G603" s="1846"/>
      <c r="H603" s="1586"/>
      <c r="I603" s="1647"/>
      <c r="J603" s="2187"/>
      <c r="K603" s="1647"/>
      <c r="L603" s="1647"/>
      <c r="M603" s="2174"/>
      <c r="N603" s="836"/>
      <c r="O603" s="836"/>
      <c r="P603" s="2174"/>
      <c r="Q603" s="836"/>
      <c r="R603" s="309"/>
      <c r="S603" s="309"/>
      <c r="T603" s="309"/>
      <c r="U603" s="309"/>
      <c r="V603" s="311"/>
      <c r="W603" s="311"/>
      <c r="X603" s="311"/>
      <c r="Y603" s="311"/>
      <c r="Z603" s="311"/>
      <c r="AA603" s="311"/>
      <c r="AB603" s="311"/>
      <c r="AC603" s="311"/>
      <c r="AD603" s="311"/>
      <c r="AE603" s="311"/>
      <c r="AF603" s="311"/>
      <c r="AG603" s="311"/>
      <c r="AH603" s="311"/>
      <c r="AI603" s="311"/>
      <c r="AJ603" s="311"/>
      <c r="AK603" s="311"/>
      <c r="AL603" s="311"/>
      <c r="AM603" s="311"/>
    </row>
    <row r="604" spans="1:39" ht="15.75" customHeight="1">
      <c r="A604" s="382"/>
      <c r="B604" s="311"/>
      <c r="C604" s="1647"/>
      <c r="D604" s="2173"/>
      <c r="E604" s="1586"/>
      <c r="F604" s="1954"/>
      <c r="G604" s="1846"/>
      <c r="H604" s="1586"/>
      <c r="I604" s="1647"/>
      <c r="J604" s="2187"/>
      <c r="K604" s="1647"/>
      <c r="L604" s="1647"/>
      <c r="M604" s="2174"/>
      <c r="N604" s="836"/>
      <c r="O604" s="836"/>
      <c r="P604" s="2174"/>
      <c r="Q604" s="836"/>
      <c r="R604" s="309"/>
      <c r="S604" s="309"/>
      <c r="T604" s="309"/>
      <c r="U604" s="309"/>
      <c r="V604" s="311"/>
      <c r="W604" s="311"/>
      <c r="X604" s="311"/>
      <c r="Y604" s="311"/>
      <c r="Z604" s="311"/>
      <c r="AA604" s="311"/>
      <c r="AB604" s="311"/>
      <c r="AC604" s="311"/>
      <c r="AD604" s="311"/>
      <c r="AE604" s="311"/>
      <c r="AF604" s="311"/>
      <c r="AG604" s="311"/>
      <c r="AH604" s="311"/>
      <c r="AI604" s="311"/>
      <c r="AJ604" s="311"/>
      <c r="AK604" s="311"/>
      <c r="AL604" s="311"/>
      <c r="AM604" s="311"/>
    </row>
    <row r="605" spans="1:39" ht="15.75" customHeight="1">
      <c r="A605" s="382"/>
      <c r="B605" s="311"/>
      <c r="C605" s="1647"/>
      <c r="D605" s="2173"/>
      <c r="E605" s="1586"/>
      <c r="F605" s="1954"/>
      <c r="G605" s="1846"/>
      <c r="H605" s="1586"/>
      <c r="I605" s="1647"/>
      <c r="J605" s="2187"/>
      <c r="K605" s="1647"/>
      <c r="L605" s="1647"/>
      <c r="M605" s="2174"/>
      <c r="N605" s="836"/>
      <c r="O605" s="836"/>
      <c r="P605" s="2174"/>
      <c r="Q605" s="836"/>
      <c r="R605" s="309"/>
      <c r="S605" s="309"/>
      <c r="T605" s="309"/>
      <c r="U605" s="309"/>
      <c r="V605" s="311"/>
      <c r="W605" s="311"/>
      <c r="X605" s="311"/>
      <c r="Y605" s="311"/>
      <c r="Z605" s="311"/>
      <c r="AA605" s="311"/>
      <c r="AB605" s="311"/>
      <c r="AC605" s="311"/>
      <c r="AD605" s="311"/>
      <c r="AE605" s="311"/>
      <c r="AF605" s="311"/>
      <c r="AG605" s="311"/>
      <c r="AH605" s="311"/>
      <c r="AI605" s="311"/>
      <c r="AJ605" s="311"/>
      <c r="AK605" s="311"/>
      <c r="AL605" s="311"/>
      <c r="AM605" s="311"/>
    </row>
    <row r="606" spans="1:39" ht="15.75" customHeight="1">
      <c r="A606" s="382"/>
      <c r="B606" s="311"/>
      <c r="C606" s="1647"/>
      <c r="D606" s="2173"/>
      <c r="E606" s="1586"/>
      <c r="F606" s="1954"/>
      <c r="G606" s="1846"/>
      <c r="H606" s="1586"/>
      <c r="I606" s="1647"/>
      <c r="J606" s="2187"/>
      <c r="K606" s="1647"/>
      <c r="L606" s="1647"/>
      <c r="M606" s="2174"/>
      <c r="N606" s="836"/>
      <c r="O606" s="836"/>
      <c r="P606" s="2174"/>
      <c r="Q606" s="836"/>
      <c r="R606" s="309"/>
      <c r="S606" s="309"/>
      <c r="T606" s="309"/>
      <c r="U606" s="309"/>
      <c r="V606" s="311"/>
      <c r="W606" s="311"/>
      <c r="X606" s="311"/>
      <c r="Y606" s="311"/>
      <c r="Z606" s="311"/>
      <c r="AA606" s="311"/>
      <c r="AB606" s="311"/>
      <c r="AC606" s="311"/>
      <c r="AD606" s="311"/>
      <c r="AE606" s="311"/>
      <c r="AF606" s="311"/>
      <c r="AG606" s="311"/>
      <c r="AH606" s="311"/>
      <c r="AI606" s="311"/>
      <c r="AJ606" s="311"/>
      <c r="AK606" s="311"/>
      <c r="AL606" s="311"/>
      <c r="AM606" s="311"/>
    </row>
    <row r="607" spans="1:39" ht="15.75" customHeight="1">
      <c r="A607" s="382"/>
      <c r="B607" s="311"/>
      <c r="C607" s="1647"/>
      <c r="D607" s="2173"/>
      <c r="E607" s="1586"/>
      <c r="F607" s="1954"/>
      <c r="G607" s="1846"/>
      <c r="H607" s="1586"/>
      <c r="I607" s="1647"/>
      <c r="J607" s="2187"/>
      <c r="K607" s="1647"/>
      <c r="L607" s="1647"/>
      <c r="M607" s="2174"/>
      <c r="N607" s="836"/>
      <c r="O607" s="836"/>
      <c r="P607" s="2174"/>
      <c r="Q607" s="836"/>
      <c r="R607" s="309"/>
      <c r="S607" s="309"/>
      <c r="T607" s="309"/>
      <c r="U607" s="309"/>
      <c r="V607" s="311"/>
      <c r="W607" s="311"/>
      <c r="X607" s="311"/>
      <c r="Y607" s="311"/>
      <c r="Z607" s="311"/>
      <c r="AA607" s="311"/>
      <c r="AB607" s="311"/>
      <c r="AC607" s="311"/>
      <c r="AD607" s="311"/>
      <c r="AE607" s="311"/>
      <c r="AF607" s="311"/>
      <c r="AG607" s="311"/>
      <c r="AH607" s="311"/>
      <c r="AI607" s="311"/>
      <c r="AJ607" s="311"/>
      <c r="AK607" s="311"/>
      <c r="AL607" s="311"/>
      <c r="AM607" s="311"/>
    </row>
    <row r="608" spans="1:39" ht="15.75" customHeight="1">
      <c r="A608" s="382"/>
      <c r="B608" s="311"/>
      <c r="C608" s="1647"/>
      <c r="D608" s="2173"/>
      <c r="E608" s="1586"/>
      <c r="F608" s="1954"/>
      <c r="G608" s="1846"/>
      <c r="H608" s="1586"/>
      <c r="I608" s="1647"/>
      <c r="J608" s="2187"/>
      <c r="K608" s="1647"/>
      <c r="L608" s="1647"/>
      <c r="M608" s="2174"/>
      <c r="N608" s="836"/>
      <c r="O608" s="836"/>
      <c r="P608" s="2174"/>
      <c r="Q608" s="836"/>
      <c r="R608" s="309"/>
      <c r="S608" s="309"/>
      <c r="T608" s="309"/>
      <c r="U608" s="309"/>
      <c r="V608" s="311"/>
      <c r="W608" s="311"/>
      <c r="X608" s="311"/>
      <c r="Y608" s="311"/>
      <c r="Z608" s="311"/>
      <c r="AA608" s="311"/>
      <c r="AB608" s="311"/>
      <c r="AC608" s="311"/>
      <c r="AD608" s="311"/>
      <c r="AE608" s="311"/>
      <c r="AF608" s="311"/>
      <c r="AG608" s="311"/>
      <c r="AH608" s="311"/>
      <c r="AI608" s="311"/>
      <c r="AJ608" s="311"/>
      <c r="AK608" s="311"/>
      <c r="AL608" s="311"/>
      <c r="AM608" s="311"/>
    </row>
    <row r="609" spans="1:39" ht="15.75" customHeight="1">
      <c r="A609" s="382"/>
      <c r="B609" s="311"/>
      <c r="C609" s="1647"/>
      <c r="D609" s="2173"/>
      <c r="E609" s="1586"/>
      <c r="F609" s="1954"/>
      <c r="G609" s="1846"/>
      <c r="H609" s="1586"/>
      <c r="I609" s="1647"/>
      <c r="J609" s="2187"/>
      <c r="K609" s="1647"/>
      <c r="L609" s="1647"/>
      <c r="M609" s="2174"/>
      <c r="N609" s="836"/>
      <c r="O609" s="836"/>
      <c r="P609" s="2174"/>
      <c r="Q609" s="836"/>
      <c r="R609" s="309"/>
      <c r="S609" s="309"/>
      <c r="T609" s="309"/>
      <c r="U609" s="309"/>
      <c r="V609" s="311"/>
      <c r="W609" s="311"/>
      <c r="X609" s="311"/>
      <c r="Y609" s="311"/>
      <c r="Z609" s="311"/>
      <c r="AA609" s="311"/>
      <c r="AB609" s="311"/>
      <c r="AC609" s="311"/>
      <c r="AD609" s="311"/>
      <c r="AE609" s="311"/>
      <c r="AF609" s="311"/>
      <c r="AG609" s="311"/>
      <c r="AH609" s="311"/>
      <c r="AI609" s="311"/>
      <c r="AJ609" s="311"/>
      <c r="AK609" s="311"/>
      <c r="AL609" s="311"/>
      <c r="AM609" s="311"/>
    </row>
    <row r="610" spans="1:39" ht="15.75" customHeight="1">
      <c r="A610" s="382"/>
      <c r="B610" s="311"/>
      <c r="C610" s="1647"/>
      <c r="D610" s="2173"/>
      <c r="E610" s="1586"/>
      <c r="F610" s="1954"/>
      <c r="G610" s="1846"/>
      <c r="H610" s="1586"/>
      <c r="I610" s="1647"/>
      <c r="J610" s="2187"/>
      <c r="K610" s="1647"/>
      <c r="L610" s="1647"/>
      <c r="M610" s="2174"/>
      <c r="N610" s="836"/>
      <c r="O610" s="836"/>
      <c r="P610" s="2174"/>
      <c r="Q610" s="836"/>
      <c r="R610" s="309"/>
      <c r="S610" s="309"/>
      <c r="T610" s="309"/>
      <c r="U610" s="309"/>
      <c r="V610" s="311"/>
      <c r="W610" s="311"/>
      <c r="X610" s="311"/>
      <c r="Y610" s="311"/>
      <c r="Z610" s="311"/>
      <c r="AA610" s="311"/>
      <c r="AB610" s="311"/>
      <c r="AC610" s="311"/>
      <c r="AD610" s="311"/>
      <c r="AE610" s="311"/>
      <c r="AF610" s="311"/>
      <c r="AG610" s="311"/>
      <c r="AH610" s="311"/>
      <c r="AI610" s="311"/>
      <c r="AJ610" s="311"/>
      <c r="AK610" s="311"/>
      <c r="AL610" s="311"/>
      <c r="AM610" s="311"/>
    </row>
    <row r="611" spans="1:39" ht="15.75" customHeight="1">
      <c r="A611" s="382"/>
      <c r="B611" s="311"/>
      <c r="C611" s="1647"/>
      <c r="D611" s="2173"/>
      <c r="E611" s="1586"/>
      <c r="F611" s="1954"/>
      <c r="G611" s="1846"/>
      <c r="H611" s="1586"/>
      <c r="I611" s="1647"/>
      <c r="J611" s="2187"/>
      <c r="K611" s="1647"/>
      <c r="L611" s="1647"/>
      <c r="M611" s="2174"/>
      <c r="N611" s="836"/>
      <c r="O611" s="836"/>
      <c r="P611" s="2174"/>
      <c r="Q611" s="836"/>
      <c r="R611" s="309"/>
      <c r="S611" s="309"/>
      <c r="T611" s="309"/>
      <c r="U611" s="309"/>
      <c r="V611" s="311"/>
      <c r="W611" s="311"/>
      <c r="X611" s="311"/>
      <c r="Y611" s="311"/>
      <c r="Z611" s="311"/>
      <c r="AA611" s="311"/>
      <c r="AB611" s="311"/>
      <c r="AC611" s="311"/>
      <c r="AD611" s="311"/>
      <c r="AE611" s="311"/>
      <c r="AF611" s="311"/>
      <c r="AG611" s="311"/>
      <c r="AH611" s="311"/>
      <c r="AI611" s="311"/>
      <c r="AJ611" s="311"/>
      <c r="AK611" s="311"/>
      <c r="AL611" s="311"/>
      <c r="AM611" s="311"/>
    </row>
    <row r="612" spans="1:39" ht="15.75" customHeight="1">
      <c r="A612" s="382"/>
      <c r="B612" s="311"/>
      <c r="C612" s="1647"/>
      <c r="D612" s="2173"/>
      <c r="E612" s="1586"/>
      <c r="F612" s="1954"/>
      <c r="G612" s="1846"/>
      <c r="H612" s="1586"/>
      <c r="I612" s="1647"/>
      <c r="J612" s="2187"/>
      <c r="K612" s="1647"/>
      <c r="L612" s="1647"/>
      <c r="M612" s="2174"/>
      <c r="N612" s="836"/>
      <c r="O612" s="836"/>
      <c r="P612" s="2174"/>
      <c r="Q612" s="836"/>
      <c r="R612" s="309"/>
      <c r="S612" s="309"/>
      <c r="T612" s="309"/>
      <c r="U612" s="309"/>
      <c r="V612" s="311"/>
      <c r="W612" s="311"/>
      <c r="X612" s="311"/>
      <c r="Y612" s="311"/>
      <c r="Z612" s="311"/>
      <c r="AA612" s="311"/>
      <c r="AB612" s="311"/>
      <c r="AC612" s="311"/>
      <c r="AD612" s="311"/>
      <c r="AE612" s="311"/>
      <c r="AF612" s="311"/>
      <c r="AG612" s="311"/>
      <c r="AH612" s="311"/>
      <c r="AI612" s="311"/>
      <c r="AJ612" s="311"/>
      <c r="AK612" s="311"/>
      <c r="AL612" s="311"/>
      <c r="AM612" s="311"/>
    </row>
    <row r="613" spans="1:39" ht="15.75" customHeight="1">
      <c r="A613" s="382"/>
      <c r="B613" s="311"/>
      <c r="C613" s="1647"/>
      <c r="D613" s="2173"/>
      <c r="E613" s="1586"/>
      <c r="F613" s="1954"/>
      <c r="G613" s="1846"/>
      <c r="H613" s="1586"/>
      <c r="I613" s="1647"/>
      <c r="J613" s="2187"/>
      <c r="K613" s="1647"/>
      <c r="L613" s="1647"/>
      <c r="M613" s="2174"/>
      <c r="N613" s="836"/>
      <c r="O613" s="836"/>
      <c r="P613" s="2174"/>
      <c r="Q613" s="836"/>
      <c r="R613" s="309"/>
      <c r="S613" s="309"/>
      <c r="T613" s="309"/>
      <c r="U613" s="309"/>
      <c r="V613" s="311"/>
      <c r="W613" s="311"/>
      <c r="X613" s="311"/>
      <c r="Y613" s="311"/>
      <c r="Z613" s="311"/>
      <c r="AA613" s="311"/>
      <c r="AB613" s="311"/>
      <c r="AC613" s="311"/>
      <c r="AD613" s="311"/>
      <c r="AE613" s="311"/>
      <c r="AF613" s="311"/>
      <c r="AG613" s="311"/>
      <c r="AH613" s="311"/>
      <c r="AI613" s="311"/>
      <c r="AJ613" s="311"/>
      <c r="AK613" s="311"/>
      <c r="AL613" s="311"/>
      <c r="AM613" s="311"/>
    </row>
    <row r="614" spans="1:39" ht="15.75" customHeight="1">
      <c r="A614" s="382"/>
      <c r="B614" s="311"/>
      <c r="C614" s="1647"/>
      <c r="D614" s="2173"/>
      <c r="E614" s="1586"/>
      <c r="F614" s="1954"/>
      <c r="G614" s="1846"/>
      <c r="H614" s="1586"/>
      <c r="I614" s="1647"/>
      <c r="J614" s="2187"/>
      <c r="K614" s="1647"/>
      <c r="L614" s="1647"/>
      <c r="M614" s="2174"/>
      <c r="N614" s="836"/>
      <c r="O614" s="836"/>
      <c r="P614" s="2174"/>
      <c r="Q614" s="836"/>
      <c r="R614" s="309"/>
      <c r="S614" s="309"/>
      <c r="T614" s="309"/>
      <c r="U614" s="309"/>
      <c r="V614" s="311"/>
      <c r="W614" s="311"/>
      <c r="X614" s="311"/>
      <c r="Y614" s="311"/>
      <c r="Z614" s="311"/>
      <c r="AA614" s="311"/>
      <c r="AB614" s="311"/>
      <c r="AC614" s="311"/>
      <c r="AD614" s="311"/>
      <c r="AE614" s="311"/>
      <c r="AF614" s="311"/>
      <c r="AG614" s="311"/>
      <c r="AH614" s="311"/>
      <c r="AI614" s="311"/>
      <c r="AJ614" s="311"/>
      <c r="AK614" s="311"/>
      <c r="AL614" s="311"/>
      <c r="AM614" s="311"/>
    </row>
    <row r="615" spans="1:39" ht="15.75" customHeight="1">
      <c r="A615" s="382"/>
      <c r="B615" s="311"/>
      <c r="C615" s="1647"/>
      <c r="D615" s="2173"/>
      <c r="E615" s="1586"/>
      <c r="F615" s="1954"/>
      <c r="G615" s="1846"/>
      <c r="H615" s="1586"/>
      <c r="I615" s="1647"/>
      <c r="J615" s="2187"/>
      <c r="K615" s="1647"/>
      <c r="L615" s="1647"/>
      <c r="M615" s="2174"/>
      <c r="N615" s="836"/>
      <c r="O615" s="836"/>
      <c r="P615" s="2174"/>
      <c r="Q615" s="836"/>
      <c r="R615" s="309"/>
      <c r="S615" s="309"/>
      <c r="T615" s="309"/>
      <c r="U615" s="309"/>
      <c r="V615" s="311"/>
      <c r="W615" s="311"/>
      <c r="X615" s="311"/>
      <c r="Y615" s="311"/>
      <c r="Z615" s="311"/>
      <c r="AA615" s="311"/>
      <c r="AB615" s="311"/>
      <c r="AC615" s="311"/>
      <c r="AD615" s="311"/>
      <c r="AE615" s="311"/>
      <c r="AF615" s="311"/>
      <c r="AG615" s="311"/>
      <c r="AH615" s="311"/>
      <c r="AI615" s="311"/>
      <c r="AJ615" s="311"/>
      <c r="AK615" s="311"/>
      <c r="AL615" s="311"/>
      <c r="AM615" s="311"/>
    </row>
    <row r="616" spans="1:39" ht="15.75" customHeight="1">
      <c r="A616" s="382"/>
      <c r="B616" s="311"/>
      <c r="C616" s="1647"/>
      <c r="D616" s="2173"/>
      <c r="E616" s="1586"/>
      <c r="F616" s="1954"/>
      <c r="G616" s="1846"/>
      <c r="H616" s="1586"/>
      <c r="I616" s="1647"/>
      <c r="J616" s="2187"/>
      <c r="K616" s="1647"/>
      <c r="L616" s="1647"/>
      <c r="M616" s="2174"/>
      <c r="N616" s="836"/>
      <c r="O616" s="836"/>
      <c r="P616" s="2174"/>
      <c r="Q616" s="836"/>
      <c r="R616" s="309"/>
      <c r="S616" s="309"/>
      <c r="T616" s="309"/>
      <c r="U616" s="309"/>
      <c r="V616" s="311"/>
      <c r="W616" s="311"/>
      <c r="X616" s="311"/>
      <c r="Y616" s="311"/>
      <c r="Z616" s="311"/>
      <c r="AA616" s="311"/>
      <c r="AB616" s="311"/>
      <c r="AC616" s="311"/>
      <c r="AD616" s="311"/>
      <c r="AE616" s="311"/>
      <c r="AF616" s="311"/>
      <c r="AG616" s="311"/>
      <c r="AH616" s="311"/>
      <c r="AI616" s="311"/>
      <c r="AJ616" s="311"/>
      <c r="AK616" s="311"/>
      <c r="AL616" s="311"/>
      <c r="AM616" s="311"/>
    </row>
    <row r="617" spans="1:39" ht="15.75" customHeight="1">
      <c r="A617" s="382"/>
      <c r="B617" s="311"/>
      <c r="C617" s="1647"/>
      <c r="D617" s="2173"/>
      <c r="E617" s="1586"/>
      <c r="F617" s="1954"/>
      <c r="G617" s="1846"/>
      <c r="H617" s="1586"/>
      <c r="I617" s="1647"/>
      <c r="J617" s="2187"/>
      <c r="K617" s="1647"/>
      <c r="L617" s="1647"/>
      <c r="M617" s="2174"/>
      <c r="N617" s="836"/>
      <c r="O617" s="836"/>
      <c r="P617" s="2174"/>
      <c r="Q617" s="836"/>
      <c r="R617" s="309"/>
      <c r="S617" s="309"/>
      <c r="T617" s="309"/>
      <c r="U617" s="309"/>
      <c r="V617" s="311"/>
      <c r="W617" s="311"/>
      <c r="X617" s="311"/>
      <c r="Y617" s="311"/>
      <c r="Z617" s="311"/>
      <c r="AA617" s="311"/>
      <c r="AB617" s="311"/>
      <c r="AC617" s="311"/>
      <c r="AD617" s="311"/>
      <c r="AE617" s="311"/>
      <c r="AF617" s="311"/>
      <c r="AG617" s="311"/>
      <c r="AH617" s="311"/>
      <c r="AI617" s="311"/>
      <c r="AJ617" s="311"/>
      <c r="AK617" s="311"/>
      <c r="AL617" s="311"/>
      <c r="AM617" s="311"/>
    </row>
    <row r="618" spans="1:39" ht="15.75" customHeight="1">
      <c r="A618" s="382"/>
      <c r="B618" s="311"/>
      <c r="C618" s="1647"/>
      <c r="D618" s="2173"/>
      <c r="E618" s="1586"/>
      <c r="F618" s="1954"/>
      <c r="G618" s="1846"/>
      <c r="H618" s="1586"/>
      <c r="I618" s="1647"/>
      <c r="J618" s="2187"/>
      <c r="K618" s="1647"/>
      <c r="L618" s="1647"/>
      <c r="M618" s="2174"/>
      <c r="N618" s="836"/>
      <c r="O618" s="836"/>
      <c r="P618" s="2174"/>
      <c r="Q618" s="836"/>
      <c r="R618" s="309"/>
      <c r="S618" s="309"/>
      <c r="T618" s="309"/>
      <c r="U618" s="309"/>
      <c r="V618" s="311"/>
      <c r="W618" s="311"/>
      <c r="X618" s="311"/>
      <c r="Y618" s="311"/>
      <c r="Z618" s="311"/>
      <c r="AA618" s="311"/>
      <c r="AB618" s="311"/>
      <c r="AC618" s="311"/>
      <c r="AD618" s="311"/>
      <c r="AE618" s="311"/>
      <c r="AF618" s="311"/>
      <c r="AG618" s="311"/>
      <c r="AH618" s="311"/>
      <c r="AI618" s="311"/>
      <c r="AJ618" s="311"/>
      <c r="AK618" s="311"/>
      <c r="AL618" s="311"/>
      <c r="AM618" s="311"/>
    </row>
    <row r="619" spans="1:39" ht="15.75" customHeight="1">
      <c r="A619" s="382"/>
      <c r="B619" s="311"/>
      <c r="C619" s="1647"/>
      <c r="D619" s="2173"/>
      <c r="E619" s="1586"/>
      <c r="F619" s="1954"/>
      <c r="G619" s="1846"/>
      <c r="H619" s="1586"/>
      <c r="I619" s="1647"/>
      <c r="J619" s="2187"/>
      <c r="K619" s="1647"/>
      <c r="L619" s="1647"/>
      <c r="M619" s="2174"/>
      <c r="N619" s="836"/>
      <c r="O619" s="836"/>
      <c r="P619" s="2174"/>
      <c r="Q619" s="836"/>
      <c r="R619" s="309"/>
      <c r="S619" s="309"/>
      <c r="T619" s="309"/>
      <c r="U619" s="309"/>
      <c r="V619" s="311"/>
      <c r="W619" s="311"/>
      <c r="X619" s="311"/>
      <c r="Y619" s="311"/>
      <c r="Z619" s="311"/>
      <c r="AA619" s="311"/>
      <c r="AB619" s="311"/>
      <c r="AC619" s="311"/>
      <c r="AD619" s="311"/>
      <c r="AE619" s="311"/>
      <c r="AF619" s="311"/>
      <c r="AG619" s="311"/>
      <c r="AH619" s="311"/>
      <c r="AI619" s="311"/>
      <c r="AJ619" s="311"/>
      <c r="AK619" s="311"/>
      <c r="AL619" s="311"/>
      <c r="AM619" s="311"/>
    </row>
    <row r="620" spans="1:39" ht="15.75" customHeight="1">
      <c r="A620" s="382"/>
      <c r="B620" s="311"/>
      <c r="C620" s="1647"/>
      <c r="D620" s="2173"/>
      <c r="E620" s="1586"/>
      <c r="F620" s="1954"/>
      <c r="G620" s="1846"/>
      <c r="H620" s="1586"/>
      <c r="I620" s="1647"/>
      <c r="J620" s="2187"/>
      <c r="K620" s="1647"/>
      <c r="L620" s="1647"/>
      <c r="M620" s="2174"/>
      <c r="N620" s="836"/>
      <c r="O620" s="836"/>
      <c r="P620" s="2174"/>
      <c r="Q620" s="836"/>
      <c r="R620" s="309"/>
      <c r="S620" s="309"/>
      <c r="T620" s="309"/>
      <c r="U620" s="309"/>
      <c r="V620" s="311"/>
      <c r="W620" s="311"/>
      <c r="X620" s="311"/>
      <c r="Y620" s="311"/>
      <c r="Z620" s="311"/>
      <c r="AA620" s="311"/>
      <c r="AB620" s="311"/>
      <c r="AC620" s="311"/>
      <c r="AD620" s="311"/>
      <c r="AE620" s="311"/>
      <c r="AF620" s="311"/>
      <c r="AG620" s="311"/>
      <c r="AH620" s="311"/>
      <c r="AI620" s="311"/>
      <c r="AJ620" s="311"/>
      <c r="AK620" s="311"/>
      <c r="AL620" s="311"/>
      <c r="AM620" s="311"/>
    </row>
    <row r="621" spans="1:39" ht="15.75" customHeight="1">
      <c r="A621" s="382"/>
      <c r="B621" s="311"/>
      <c r="C621" s="1647"/>
      <c r="D621" s="2173"/>
      <c r="E621" s="1586"/>
      <c r="F621" s="1954"/>
      <c r="G621" s="1846"/>
      <c r="H621" s="1586"/>
      <c r="I621" s="1647"/>
      <c r="J621" s="2187"/>
      <c r="K621" s="1647"/>
      <c r="L621" s="1647"/>
      <c r="M621" s="2174"/>
      <c r="N621" s="836"/>
      <c r="O621" s="836"/>
      <c r="P621" s="2174"/>
      <c r="Q621" s="836"/>
      <c r="R621" s="309"/>
      <c r="S621" s="309"/>
      <c r="T621" s="309"/>
      <c r="U621" s="309"/>
      <c r="V621" s="311"/>
      <c r="W621" s="311"/>
      <c r="X621" s="311"/>
      <c r="Y621" s="311"/>
      <c r="Z621" s="311"/>
      <c r="AA621" s="311"/>
      <c r="AB621" s="311"/>
      <c r="AC621" s="311"/>
      <c r="AD621" s="311"/>
      <c r="AE621" s="311"/>
      <c r="AF621" s="311"/>
      <c r="AG621" s="311"/>
      <c r="AH621" s="311"/>
      <c r="AI621" s="311"/>
      <c r="AJ621" s="311"/>
      <c r="AK621" s="311"/>
      <c r="AL621" s="311"/>
      <c r="AM621" s="311"/>
    </row>
    <row r="622" spans="1:39" ht="15.75" customHeight="1">
      <c r="A622" s="382"/>
      <c r="B622" s="311"/>
      <c r="C622" s="1647"/>
      <c r="D622" s="2173"/>
      <c r="E622" s="1586"/>
      <c r="F622" s="1954"/>
      <c r="G622" s="1846"/>
      <c r="H622" s="1586"/>
      <c r="I622" s="1647"/>
      <c r="J622" s="2187"/>
      <c r="K622" s="1647"/>
      <c r="L622" s="1647"/>
      <c r="M622" s="2174"/>
      <c r="N622" s="836"/>
      <c r="O622" s="836"/>
      <c r="P622" s="2174"/>
      <c r="Q622" s="836"/>
      <c r="R622" s="309"/>
      <c r="S622" s="309"/>
      <c r="T622" s="309"/>
      <c r="U622" s="309"/>
      <c r="V622" s="311"/>
      <c r="W622" s="311"/>
      <c r="X622" s="311"/>
      <c r="Y622" s="311"/>
      <c r="Z622" s="311"/>
      <c r="AA622" s="311"/>
      <c r="AB622" s="311"/>
      <c r="AC622" s="311"/>
      <c r="AD622" s="311"/>
      <c r="AE622" s="311"/>
      <c r="AF622" s="311"/>
      <c r="AG622" s="311"/>
      <c r="AH622" s="311"/>
      <c r="AI622" s="311"/>
      <c r="AJ622" s="311"/>
      <c r="AK622" s="311"/>
      <c r="AL622" s="311"/>
      <c r="AM622" s="311"/>
    </row>
    <row r="623" spans="1:39" ht="15.75" customHeight="1">
      <c r="A623" s="382"/>
      <c r="B623" s="311"/>
      <c r="C623" s="1647"/>
      <c r="D623" s="2173"/>
      <c r="E623" s="1586"/>
      <c r="F623" s="1954"/>
      <c r="G623" s="1846"/>
      <c r="H623" s="1586"/>
      <c r="I623" s="1647"/>
      <c r="J623" s="2187"/>
      <c r="K623" s="1647"/>
      <c r="L623" s="1647"/>
      <c r="M623" s="2174"/>
      <c r="N623" s="836"/>
      <c r="O623" s="836"/>
      <c r="P623" s="2174"/>
      <c r="Q623" s="836"/>
      <c r="R623" s="309"/>
      <c r="S623" s="309"/>
      <c r="T623" s="309"/>
      <c r="U623" s="309"/>
      <c r="V623" s="311"/>
      <c r="W623" s="311"/>
      <c r="X623" s="311"/>
      <c r="Y623" s="311"/>
      <c r="Z623" s="311"/>
      <c r="AA623" s="311"/>
      <c r="AB623" s="311"/>
      <c r="AC623" s="311"/>
      <c r="AD623" s="311"/>
      <c r="AE623" s="311"/>
      <c r="AF623" s="311"/>
      <c r="AG623" s="311"/>
      <c r="AH623" s="311"/>
      <c r="AI623" s="311"/>
      <c r="AJ623" s="311"/>
      <c r="AK623" s="311"/>
      <c r="AL623" s="311"/>
      <c r="AM623" s="311"/>
    </row>
    <row r="624" spans="1:39" ht="15.75" customHeight="1">
      <c r="A624" s="382"/>
      <c r="B624" s="311"/>
      <c r="C624" s="1647"/>
      <c r="D624" s="2173"/>
      <c r="E624" s="1586"/>
      <c r="F624" s="1954"/>
      <c r="G624" s="1846"/>
      <c r="H624" s="1586"/>
      <c r="I624" s="1647"/>
      <c r="J624" s="2187"/>
      <c r="K624" s="1647"/>
      <c r="L624" s="1647"/>
      <c r="M624" s="2174"/>
      <c r="N624" s="836"/>
      <c r="O624" s="836"/>
      <c r="P624" s="2174"/>
      <c r="Q624" s="836"/>
      <c r="R624" s="309"/>
      <c r="S624" s="309"/>
      <c r="T624" s="309"/>
      <c r="U624" s="309"/>
      <c r="V624" s="311"/>
      <c r="W624" s="311"/>
      <c r="X624" s="311"/>
      <c r="Y624" s="311"/>
      <c r="Z624" s="311"/>
      <c r="AA624" s="311"/>
      <c r="AB624" s="311"/>
      <c r="AC624" s="311"/>
      <c r="AD624" s="311"/>
      <c r="AE624" s="311"/>
      <c r="AF624" s="311"/>
      <c r="AG624" s="311"/>
      <c r="AH624" s="311"/>
      <c r="AI624" s="311"/>
      <c r="AJ624" s="311"/>
      <c r="AK624" s="311"/>
      <c r="AL624" s="311"/>
      <c r="AM624" s="311"/>
    </row>
    <row r="625" spans="1:39" ht="15.75" customHeight="1">
      <c r="A625" s="382"/>
      <c r="B625" s="311"/>
      <c r="C625" s="1647"/>
      <c r="D625" s="2173"/>
      <c r="E625" s="1586"/>
      <c r="F625" s="1954"/>
      <c r="G625" s="1846"/>
      <c r="H625" s="1586"/>
      <c r="I625" s="1647"/>
      <c r="J625" s="2187"/>
      <c r="K625" s="1647"/>
      <c r="L625" s="1647"/>
      <c r="M625" s="2174"/>
      <c r="N625" s="836"/>
      <c r="O625" s="836"/>
      <c r="P625" s="2174"/>
      <c r="Q625" s="836"/>
      <c r="R625" s="309"/>
      <c r="S625" s="309"/>
      <c r="T625" s="309"/>
      <c r="U625" s="309"/>
      <c r="V625" s="311"/>
      <c r="W625" s="311"/>
      <c r="X625" s="311"/>
      <c r="Y625" s="311"/>
      <c r="Z625" s="311"/>
      <c r="AA625" s="311"/>
      <c r="AB625" s="311"/>
      <c r="AC625" s="311"/>
      <c r="AD625" s="311"/>
      <c r="AE625" s="311"/>
      <c r="AF625" s="311"/>
      <c r="AG625" s="311"/>
      <c r="AH625" s="311"/>
      <c r="AI625" s="311"/>
      <c r="AJ625" s="311"/>
      <c r="AK625" s="311"/>
      <c r="AL625" s="311"/>
      <c r="AM625" s="311"/>
    </row>
    <row r="626" spans="1:39" ht="15.75" customHeight="1">
      <c r="A626" s="382"/>
      <c r="B626" s="311"/>
      <c r="C626" s="1647"/>
      <c r="D626" s="2173"/>
      <c r="E626" s="1586"/>
      <c r="F626" s="1954"/>
      <c r="G626" s="1846"/>
      <c r="H626" s="1586"/>
      <c r="I626" s="1647"/>
      <c r="J626" s="2187"/>
      <c r="K626" s="1647"/>
      <c r="L626" s="1647"/>
      <c r="M626" s="2174"/>
      <c r="N626" s="836"/>
      <c r="O626" s="836"/>
      <c r="P626" s="2174"/>
      <c r="Q626" s="836"/>
      <c r="R626" s="309"/>
      <c r="S626" s="309"/>
      <c r="T626" s="309"/>
      <c r="U626" s="309"/>
      <c r="V626" s="311"/>
      <c r="W626" s="311"/>
      <c r="X626" s="311"/>
      <c r="Y626" s="311"/>
      <c r="Z626" s="311"/>
      <c r="AA626" s="311"/>
      <c r="AB626" s="311"/>
      <c r="AC626" s="311"/>
      <c r="AD626" s="311"/>
      <c r="AE626" s="311"/>
      <c r="AF626" s="311"/>
      <c r="AG626" s="311"/>
      <c r="AH626" s="311"/>
      <c r="AI626" s="311"/>
      <c r="AJ626" s="311"/>
      <c r="AK626" s="311"/>
      <c r="AL626" s="311"/>
      <c r="AM626" s="311"/>
    </row>
    <row r="627" spans="1:39" ht="15.75" customHeight="1">
      <c r="A627" s="382"/>
      <c r="B627" s="311"/>
      <c r="C627" s="1647"/>
      <c r="D627" s="2173"/>
      <c r="E627" s="1586"/>
      <c r="F627" s="1954"/>
      <c r="G627" s="1846"/>
      <c r="H627" s="1586"/>
      <c r="I627" s="1647"/>
      <c r="J627" s="2187"/>
      <c r="K627" s="1647"/>
      <c r="L627" s="1647"/>
      <c r="M627" s="2174"/>
      <c r="N627" s="836"/>
      <c r="O627" s="836"/>
      <c r="P627" s="2174"/>
      <c r="Q627" s="836"/>
      <c r="R627" s="309"/>
      <c r="S627" s="309"/>
      <c r="T627" s="309"/>
      <c r="U627" s="309"/>
      <c r="V627" s="311"/>
      <c r="W627" s="311"/>
      <c r="X627" s="311"/>
      <c r="Y627" s="311"/>
      <c r="Z627" s="311"/>
      <c r="AA627" s="311"/>
      <c r="AB627" s="311"/>
      <c r="AC627" s="311"/>
      <c r="AD627" s="311"/>
      <c r="AE627" s="311"/>
      <c r="AF627" s="311"/>
      <c r="AG627" s="311"/>
      <c r="AH627" s="311"/>
      <c r="AI627" s="311"/>
      <c r="AJ627" s="311"/>
      <c r="AK627" s="311"/>
      <c r="AL627" s="311"/>
      <c r="AM627" s="311"/>
    </row>
    <row r="628" spans="1:39" ht="15.75" customHeight="1">
      <c r="A628" s="382"/>
      <c r="B628" s="311"/>
      <c r="C628" s="1647"/>
      <c r="D628" s="2173"/>
      <c r="E628" s="1586"/>
      <c r="F628" s="1954"/>
      <c r="G628" s="1846"/>
      <c r="H628" s="1586"/>
      <c r="I628" s="1647"/>
      <c r="J628" s="2187"/>
      <c r="K628" s="1647"/>
      <c r="L628" s="1647"/>
      <c r="M628" s="2174"/>
      <c r="N628" s="836"/>
      <c r="O628" s="836"/>
      <c r="P628" s="2174"/>
      <c r="Q628" s="836"/>
      <c r="R628" s="309"/>
      <c r="S628" s="309"/>
      <c r="T628" s="309"/>
      <c r="U628" s="309"/>
      <c r="V628" s="311"/>
      <c r="W628" s="311"/>
      <c r="X628" s="311"/>
      <c r="Y628" s="311"/>
      <c r="Z628" s="311"/>
      <c r="AA628" s="311"/>
      <c r="AB628" s="311"/>
      <c r="AC628" s="311"/>
      <c r="AD628" s="311"/>
      <c r="AE628" s="311"/>
      <c r="AF628" s="311"/>
      <c r="AG628" s="311"/>
      <c r="AH628" s="311"/>
      <c r="AI628" s="311"/>
      <c r="AJ628" s="311"/>
      <c r="AK628" s="311"/>
      <c r="AL628" s="311"/>
      <c r="AM628" s="311"/>
    </row>
    <row r="629" spans="1:39" ht="15.75" customHeight="1">
      <c r="A629" s="382"/>
      <c r="B629" s="311"/>
      <c r="C629" s="1647"/>
      <c r="D629" s="2173"/>
      <c r="E629" s="1586"/>
      <c r="F629" s="1954"/>
      <c r="G629" s="1846"/>
      <c r="H629" s="1586"/>
      <c r="I629" s="1647"/>
      <c r="J629" s="2187"/>
      <c r="K629" s="1647"/>
      <c r="L629" s="1647"/>
      <c r="M629" s="2174"/>
      <c r="N629" s="836"/>
      <c r="O629" s="836"/>
      <c r="P629" s="2174"/>
      <c r="Q629" s="836"/>
      <c r="R629" s="309"/>
      <c r="S629" s="309"/>
      <c r="T629" s="309"/>
      <c r="U629" s="309"/>
      <c r="V629" s="311"/>
      <c r="W629" s="311"/>
      <c r="X629" s="311"/>
      <c r="Y629" s="311"/>
      <c r="Z629" s="311"/>
      <c r="AA629" s="311"/>
      <c r="AB629" s="311"/>
      <c r="AC629" s="311"/>
      <c r="AD629" s="311"/>
      <c r="AE629" s="311"/>
      <c r="AF629" s="311"/>
      <c r="AG629" s="311"/>
      <c r="AH629" s="311"/>
      <c r="AI629" s="311"/>
      <c r="AJ629" s="311"/>
      <c r="AK629" s="311"/>
      <c r="AL629" s="311"/>
      <c r="AM629" s="311"/>
    </row>
    <row r="630" spans="1:39" ht="15.75" customHeight="1">
      <c r="A630" s="382"/>
      <c r="B630" s="311"/>
      <c r="C630" s="1647"/>
      <c r="D630" s="2173"/>
      <c r="E630" s="1586"/>
      <c r="F630" s="1954"/>
      <c r="G630" s="1846"/>
      <c r="H630" s="1586"/>
      <c r="I630" s="1647"/>
      <c r="J630" s="2187"/>
      <c r="K630" s="1647"/>
      <c r="L630" s="1647"/>
      <c r="M630" s="2174"/>
      <c r="N630" s="836"/>
      <c r="O630" s="836"/>
      <c r="P630" s="2174"/>
      <c r="Q630" s="836"/>
      <c r="R630" s="309"/>
      <c r="S630" s="309"/>
      <c r="T630" s="309"/>
      <c r="U630" s="309"/>
      <c r="V630" s="311"/>
      <c r="W630" s="311"/>
      <c r="X630" s="311"/>
      <c r="Y630" s="311"/>
      <c r="Z630" s="311"/>
      <c r="AA630" s="311"/>
      <c r="AB630" s="311"/>
      <c r="AC630" s="311"/>
      <c r="AD630" s="311"/>
      <c r="AE630" s="311"/>
      <c r="AF630" s="311"/>
      <c r="AG630" s="311"/>
      <c r="AH630" s="311"/>
      <c r="AI630" s="311"/>
      <c r="AJ630" s="311"/>
      <c r="AK630" s="311"/>
      <c r="AL630" s="311"/>
      <c r="AM630" s="311"/>
    </row>
    <row r="631" spans="1:39" ht="15.75" customHeight="1">
      <c r="A631" s="382"/>
      <c r="B631" s="311"/>
      <c r="C631" s="1647"/>
      <c r="D631" s="2173"/>
      <c r="E631" s="1586"/>
      <c r="F631" s="1954"/>
      <c r="G631" s="1846"/>
      <c r="H631" s="1586"/>
      <c r="I631" s="1647"/>
      <c r="J631" s="2187"/>
      <c r="K631" s="1647"/>
      <c r="L631" s="1647"/>
      <c r="M631" s="2174"/>
      <c r="N631" s="836"/>
      <c r="O631" s="836"/>
      <c r="P631" s="2174"/>
      <c r="Q631" s="836"/>
      <c r="R631" s="309"/>
      <c r="S631" s="309"/>
      <c r="T631" s="309"/>
      <c r="U631" s="309"/>
      <c r="V631" s="311"/>
      <c r="W631" s="311"/>
      <c r="X631" s="311"/>
      <c r="Y631" s="311"/>
      <c r="Z631" s="311"/>
      <c r="AA631" s="311"/>
      <c r="AB631" s="311"/>
      <c r="AC631" s="311"/>
      <c r="AD631" s="311"/>
      <c r="AE631" s="311"/>
      <c r="AF631" s="311"/>
      <c r="AG631" s="311"/>
      <c r="AH631" s="311"/>
      <c r="AI631" s="311"/>
      <c r="AJ631" s="311"/>
      <c r="AK631" s="311"/>
      <c r="AL631" s="311"/>
      <c r="AM631" s="311"/>
    </row>
    <row r="632" spans="1:39" ht="15.75" customHeight="1">
      <c r="A632" s="382"/>
      <c r="B632" s="311"/>
      <c r="C632" s="1647"/>
      <c r="D632" s="2173"/>
      <c r="E632" s="1586"/>
      <c r="F632" s="1954"/>
      <c r="G632" s="1846"/>
      <c r="H632" s="1586"/>
      <c r="I632" s="1647"/>
      <c r="J632" s="2187"/>
      <c r="K632" s="1647"/>
      <c r="L632" s="1647"/>
      <c r="M632" s="2174"/>
      <c r="N632" s="836"/>
      <c r="O632" s="836"/>
      <c r="P632" s="2174"/>
      <c r="Q632" s="836"/>
      <c r="R632" s="309"/>
      <c r="S632" s="309"/>
      <c r="T632" s="309"/>
      <c r="U632" s="309"/>
      <c r="V632" s="311"/>
      <c r="W632" s="311"/>
      <c r="X632" s="311"/>
      <c r="Y632" s="311"/>
      <c r="Z632" s="311"/>
      <c r="AA632" s="311"/>
      <c r="AB632" s="311"/>
      <c r="AC632" s="311"/>
      <c r="AD632" s="311"/>
      <c r="AE632" s="311"/>
      <c r="AF632" s="311"/>
      <c r="AG632" s="311"/>
      <c r="AH632" s="311"/>
      <c r="AI632" s="311"/>
      <c r="AJ632" s="311"/>
      <c r="AK632" s="311"/>
      <c r="AL632" s="311"/>
      <c r="AM632" s="311"/>
    </row>
    <row r="633" spans="1:39" ht="15.75" customHeight="1">
      <c r="A633" s="382"/>
      <c r="B633" s="311"/>
      <c r="C633" s="1647"/>
      <c r="D633" s="2173"/>
      <c r="E633" s="1586"/>
      <c r="F633" s="1954"/>
      <c r="G633" s="1846"/>
      <c r="H633" s="1586"/>
      <c r="I633" s="1647"/>
      <c r="J633" s="2187"/>
      <c r="K633" s="1647"/>
      <c r="L633" s="1647"/>
      <c r="M633" s="2174"/>
      <c r="N633" s="836"/>
      <c r="O633" s="836"/>
      <c r="P633" s="2174"/>
      <c r="Q633" s="836"/>
      <c r="R633" s="309"/>
      <c r="S633" s="309"/>
      <c r="T633" s="309"/>
      <c r="U633" s="309"/>
      <c r="V633" s="311"/>
      <c r="W633" s="311"/>
      <c r="X633" s="311"/>
      <c r="Y633" s="311"/>
      <c r="Z633" s="311"/>
      <c r="AA633" s="311"/>
      <c r="AB633" s="311"/>
      <c r="AC633" s="311"/>
      <c r="AD633" s="311"/>
      <c r="AE633" s="311"/>
      <c r="AF633" s="311"/>
      <c r="AG633" s="311"/>
      <c r="AH633" s="311"/>
      <c r="AI633" s="311"/>
      <c r="AJ633" s="311"/>
      <c r="AK633" s="311"/>
      <c r="AL633" s="311"/>
      <c r="AM633" s="311"/>
    </row>
    <row r="634" spans="1:39" ht="15.75" customHeight="1">
      <c r="A634" s="382"/>
      <c r="B634" s="311"/>
      <c r="C634" s="1647"/>
      <c r="D634" s="2173"/>
      <c r="E634" s="1586"/>
      <c r="F634" s="1954"/>
      <c r="G634" s="1846"/>
      <c r="H634" s="1586"/>
      <c r="I634" s="1647"/>
      <c r="J634" s="2187"/>
      <c r="K634" s="1647"/>
      <c r="L634" s="1647"/>
      <c r="M634" s="2174"/>
      <c r="N634" s="836"/>
      <c r="O634" s="836"/>
      <c r="P634" s="2174"/>
      <c r="Q634" s="836"/>
      <c r="R634" s="309"/>
      <c r="S634" s="309"/>
      <c r="T634" s="309"/>
      <c r="U634" s="309"/>
      <c r="V634" s="311"/>
      <c r="W634" s="311"/>
      <c r="X634" s="311"/>
      <c r="Y634" s="311"/>
      <c r="Z634" s="311"/>
      <c r="AA634" s="311"/>
      <c r="AB634" s="311"/>
      <c r="AC634" s="311"/>
      <c r="AD634" s="311"/>
      <c r="AE634" s="311"/>
      <c r="AF634" s="311"/>
      <c r="AG634" s="311"/>
      <c r="AH634" s="311"/>
      <c r="AI634" s="311"/>
      <c r="AJ634" s="311"/>
      <c r="AK634" s="311"/>
      <c r="AL634" s="311"/>
      <c r="AM634" s="311"/>
    </row>
    <row r="635" spans="1:39" ht="15.75" customHeight="1">
      <c r="A635" s="382"/>
      <c r="B635" s="311"/>
      <c r="C635" s="1647"/>
      <c r="D635" s="2173"/>
      <c r="E635" s="1586"/>
      <c r="F635" s="1954"/>
      <c r="G635" s="1846"/>
      <c r="H635" s="1586"/>
      <c r="I635" s="1647"/>
      <c r="J635" s="2187"/>
      <c r="K635" s="1647"/>
      <c r="L635" s="1647"/>
      <c r="M635" s="2174"/>
      <c r="N635" s="836"/>
      <c r="O635" s="836"/>
      <c r="P635" s="2174"/>
      <c r="Q635" s="836"/>
      <c r="R635" s="309"/>
      <c r="S635" s="309"/>
      <c r="T635" s="309"/>
      <c r="U635" s="309"/>
      <c r="V635" s="311"/>
      <c r="W635" s="311"/>
      <c r="X635" s="311"/>
      <c r="Y635" s="311"/>
      <c r="Z635" s="311"/>
      <c r="AA635" s="311"/>
      <c r="AB635" s="311"/>
      <c r="AC635" s="311"/>
      <c r="AD635" s="311"/>
      <c r="AE635" s="311"/>
      <c r="AF635" s="311"/>
      <c r="AG635" s="311"/>
      <c r="AH635" s="311"/>
      <c r="AI635" s="311"/>
      <c r="AJ635" s="311"/>
      <c r="AK635" s="311"/>
      <c r="AL635" s="311"/>
      <c r="AM635" s="311"/>
    </row>
    <row r="636" spans="1:39" ht="15.75" customHeight="1">
      <c r="A636" s="382"/>
      <c r="B636" s="311"/>
      <c r="C636" s="1647"/>
      <c r="D636" s="2173"/>
      <c r="E636" s="1586"/>
      <c r="F636" s="1954"/>
      <c r="G636" s="1846"/>
      <c r="H636" s="1586"/>
      <c r="I636" s="1647"/>
      <c r="J636" s="2187"/>
      <c r="K636" s="1647"/>
      <c r="L636" s="1647"/>
      <c r="M636" s="2174"/>
      <c r="N636" s="836"/>
      <c r="O636" s="836"/>
      <c r="P636" s="2174"/>
      <c r="Q636" s="836"/>
      <c r="R636" s="309"/>
      <c r="S636" s="309"/>
      <c r="T636" s="309"/>
      <c r="U636" s="309"/>
      <c r="V636" s="311"/>
      <c r="W636" s="311"/>
      <c r="X636" s="311"/>
      <c r="Y636" s="311"/>
      <c r="Z636" s="311"/>
      <c r="AA636" s="311"/>
      <c r="AB636" s="311"/>
      <c r="AC636" s="311"/>
      <c r="AD636" s="311"/>
      <c r="AE636" s="311"/>
      <c r="AF636" s="311"/>
      <c r="AG636" s="311"/>
      <c r="AH636" s="311"/>
      <c r="AI636" s="311"/>
      <c r="AJ636" s="311"/>
      <c r="AK636" s="311"/>
      <c r="AL636" s="311"/>
      <c r="AM636" s="311"/>
    </row>
    <row r="637" spans="1:39" ht="15.75" customHeight="1">
      <c r="A637" s="382"/>
      <c r="B637" s="311"/>
      <c r="C637" s="1647"/>
      <c r="D637" s="2173"/>
      <c r="E637" s="1586"/>
      <c r="F637" s="1954"/>
      <c r="G637" s="1846"/>
      <c r="H637" s="1586"/>
      <c r="I637" s="1647"/>
      <c r="J637" s="2187"/>
      <c r="K637" s="1647"/>
      <c r="L637" s="1647"/>
      <c r="M637" s="2174"/>
      <c r="N637" s="836"/>
      <c r="O637" s="836"/>
      <c r="P637" s="2174"/>
      <c r="Q637" s="836"/>
      <c r="R637" s="309"/>
      <c r="S637" s="309"/>
      <c r="T637" s="309"/>
      <c r="U637" s="309"/>
      <c r="V637" s="311"/>
      <c r="W637" s="311"/>
      <c r="X637" s="311"/>
      <c r="Y637" s="311"/>
      <c r="Z637" s="311"/>
      <c r="AA637" s="311"/>
      <c r="AB637" s="311"/>
      <c r="AC637" s="311"/>
      <c r="AD637" s="311"/>
      <c r="AE637" s="311"/>
      <c r="AF637" s="311"/>
      <c r="AG637" s="311"/>
      <c r="AH637" s="311"/>
      <c r="AI637" s="311"/>
      <c r="AJ637" s="311"/>
      <c r="AK637" s="311"/>
      <c r="AL637" s="311"/>
      <c r="AM637" s="311"/>
    </row>
    <row r="638" spans="1:39" ht="15.75" customHeight="1">
      <c r="A638" s="382"/>
      <c r="B638" s="311"/>
      <c r="C638" s="1647"/>
      <c r="D638" s="2173"/>
      <c r="E638" s="1586"/>
      <c r="F638" s="1954"/>
      <c r="G638" s="1846"/>
      <c r="H638" s="1586"/>
      <c r="I638" s="1647"/>
      <c r="J638" s="2187"/>
      <c r="K638" s="1647"/>
      <c r="L638" s="1647"/>
      <c r="M638" s="2174"/>
      <c r="N638" s="836"/>
      <c r="O638" s="836"/>
      <c r="P638" s="2174"/>
      <c r="Q638" s="836"/>
      <c r="R638" s="309"/>
      <c r="S638" s="309"/>
      <c r="T638" s="309"/>
      <c r="U638" s="309"/>
      <c r="V638" s="311"/>
      <c r="W638" s="311"/>
      <c r="X638" s="311"/>
      <c r="Y638" s="311"/>
      <c r="Z638" s="311"/>
      <c r="AA638" s="311"/>
      <c r="AB638" s="311"/>
      <c r="AC638" s="311"/>
      <c r="AD638" s="311"/>
      <c r="AE638" s="311"/>
      <c r="AF638" s="311"/>
      <c r="AG638" s="311"/>
      <c r="AH638" s="311"/>
      <c r="AI638" s="311"/>
      <c r="AJ638" s="311"/>
      <c r="AK638" s="311"/>
      <c r="AL638" s="311"/>
      <c r="AM638" s="311"/>
    </row>
    <row r="639" spans="1:39" ht="15.75" customHeight="1">
      <c r="A639" s="382"/>
      <c r="B639" s="311"/>
      <c r="C639" s="1647"/>
      <c r="D639" s="2173"/>
      <c r="E639" s="1586"/>
      <c r="F639" s="1954"/>
      <c r="G639" s="1846"/>
      <c r="H639" s="1586"/>
      <c r="I639" s="1647"/>
      <c r="J639" s="2187"/>
      <c r="K639" s="1647"/>
      <c r="L639" s="1647"/>
      <c r="M639" s="2174"/>
      <c r="N639" s="836"/>
      <c r="O639" s="836"/>
      <c r="P639" s="2174"/>
      <c r="Q639" s="836"/>
      <c r="R639" s="309"/>
      <c r="S639" s="309"/>
      <c r="T639" s="309"/>
      <c r="U639" s="309"/>
      <c r="V639" s="311"/>
      <c r="W639" s="311"/>
      <c r="X639" s="311"/>
      <c r="Y639" s="311"/>
      <c r="Z639" s="311"/>
      <c r="AA639" s="311"/>
      <c r="AB639" s="311"/>
      <c r="AC639" s="311"/>
      <c r="AD639" s="311"/>
      <c r="AE639" s="311"/>
      <c r="AF639" s="311"/>
      <c r="AG639" s="311"/>
      <c r="AH639" s="311"/>
      <c r="AI639" s="311"/>
      <c r="AJ639" s="311"/>
      <c r="AK639" s="311"/>
      <c r="AL639" s="311"/>
      <c r="AM639" s="311"/>
    </row>
    <row r="640" spans="1:39" ht="15.75" customHeight="1">
      <c r="A640" s="382"/>
      <c r="B640" s="311"/>
      <c r="C640" s="1647"/>
      <c r="D640" s="2173"/>
      <c r="E640" s="1586"/>
      <c r="F640" s="1954"/>
      <c r="G640" s="1846"/>
      <c r="H640" s="1586"/>
      <c r="I640" s="1647"/>
      <c r="J640" s="2187"/>
      <c r="K640" s="1647"/>
      <c r="L640" s="1647"/>
      <c r="M640" s="2174"/>
      <c r="N640" s="836"/>
      <c r="O640" s="836"/>
      <c r="P640" s="2174"/>
      <c r="Q640" s="836"/>
      <c r="R640" s="309"/>
      <c r="S640" s="309"/>
      <c r="T640" s="309"/>
      <c r="U640" s="309"/>
      <c r="V640" s="311"/>
      <c r="W640" s="311"/>
      <c r="X640" s="311"/>
      <c r="Y640" s="311"/>
      <c r="Z640" s="311"/>
      <c r="AA640" s="311"/>
      <c r="AB640" s="311"/>
      <c r="AC640" s="311"/>
      <c r="AD640" s="311"/>
      <c r="AE640" s="311"/>
      <c r="AF640" s="311"/>
      <c r="AG640" s="311"/>
      <c r="AH640" s="311"/>
      <c r="AI640" s="311"/>
      <c r="AJ640" s="311"/>
      <c r="AK640" s="311"/>
      <c r="AL640" s="311"/>
      <c r="AM640" s="311"/>
    </row>
    <row r="641" spans="1:39" ht="15.75" customHeight="1">
      <c r="A641" s="382"/>
      <c r="B641" s="311"/>
      <c r="C641" s="1647"/>
      <c r="D641" s="2173"/>
      <c r="E641" s="1586"/>
      <c r="F641" s="1954"/>
      <c r="G641" s="1846"/>
      <c r="H641" s="1586"/>
      <c r="I641" s="1647"/>
      <c r="J641" s="2187"/>
      <c r="K641" s="1647"/>
      <c r="L641" s="1647"/>
      <c r="M641" s="2174"/>
      <c r="N641" s="836"/>
      <c r="O641" s="836"/>
      <c r="P641" s="2174"/>
      <c r="Q641" s="836"/>
      <c r="R641" s="309"/>
      <c r="S641" s="309"/>
      <c r="T641" s="309"/>
      <c r="U641" s="309"/>
      <c r="V641" s="311"/>
      <c r="W641" s="311"/>
      <c r="X641" s="311"/>
      <c r="Y641" s="311"/>
      <c r="Z641" s="311"/>
      <c r="AA641" s="311"/>
      <c r="AB641" s="311"/>
      <c r="AC641" s="311"/>
      <c r="AD641" s="311"/>
      <c r="AE641" s="311"/>
      <c r="AF641" s="311"/>
      <c r="AG641" s="311"/>
      <c r="AH641" s="311"/>
      <c r="AI641" s="311"/>
      <c r="AJ641" s="311"/>
      <c r="AK641" s="311"/>
      <c r="AL641" s="311"/>
      <c r="AM641" s="311"/>
    </row>
    <row r="642" spans="1:39" ht="15.75" customHeight="1">
      <c r="A642" s="382"/>
      <c r="B642" s="311"/>
      <c r="C642" s="1647"/>
      <c r="D642" s="2173"/>
      <c r="E642" s="1586"/>
      <c r="F642" s="1954"/>
      <c r="G642" s="1846"/>
      <c r="H642" s="1586"/>
      <c r="I642" s="1647"/>
      <c r="J642" s="2187"/>
      <c r="K642" s="1647"/>
      <c r="L642" s="1647"/>
      <c r="M642" s="2174"/>
      <c r="N642" s="836"/>
      <c r="O642" s="836"/>
      <c r="P642" s="2174"/>
      <c r="Q642" s="836"/>
      <c r="R642" s="309"/>
      <c r="S642" s="309"/>
      <c r="T642" s="309"/>
      <c r="U642" s="309"/>
      <c r="V642" s="311"/>
      <c r="W642" s="311"/>
      <c r="X642" s="311"/>
      <c r="Y642" s="311"/>
      <c r="Z642" s="311"/>
      <c r="AA642" s="311"/>
      <c r="AB642" s="311"/>
      <c r="AC642" s="311"/>
      <c r="AD642" s="311"/>
      <c r="AE642" s="311"/>
      <c r="AF642" s="311"/>
      <c r="AG642" s="311"/>
      <c r="AH642" s="311"/>
      <c r="AI642" s="311"/>
      <c r="AJ642" s="311"/>
      <c r="AK642" s="311"/>
      <c r="AL642" s="311"/>
      <c r="AM642" s="311"/>
    </row>
    <row r="643" spans="1:39" ht="15.75" customHeight="1">
      <c r="A643" s="382"/>
      <c r="B643" s="311"/>
      <c r="C643" s="1647"/>
      <c r="D643" s="2173"/>
      <c r="E643" s="1586"/>
      <c r="F643" s="1954"/>
      <c r="G643" s="1846"/>
      <c r="H643" s="1586"/>
      <c r="I643" s="1647"/>
      <c r="J643" s="2187"/>
      <c r="K643" s="1647"/>
      <c r="L643" s="1647"/>
      <c r="M643" s="2174"/>
      <c r="N643" s="836"/>
      <c r="O643" s="836"/>
      <c r="P643" s="2174"/>
      <c r="Q643" s="836"/>
      <c r="R643" s="309"/>
      <c r="S643" s="309"/>
      <c r="T643" s="309"/>
      <c r="U643" s="309"/>
      <c r="V643" s="311"/>
      <c r="W643" s="311"/>
      <c r="X643" s="311"/>
      <c r="Y643" s="311"/>
      <c r="Z643" s="311"/>
      <c r="AA643" s="311"/>
      <c r="AB643" s="311"/>
      <c r="AC643" s="311"/>
      <c r="AD643" s="311"/>
      <c r="AE643" s="311"/>
      <c r="AF643" s="311"/>
      <c r="AG643" s="311"/>
      <c r="AH643" s="311"/>
      <c r="AI643" s="311"/>
      <c r="AJ643" s="311"/>
      <c r="AK643" s="311"/>
      <c r="AL643" s="311"/>
      <c r="AM643" s="311"/>
    </row>
    <row r="644" spans="1:39" ht="15.75" customHeight="1">
      <c r="A644" s="382"/>
      <c r="B644" s="311"/>
      <c r="C644" s="1647"/>
      <c r="D644" s="2173"/>
      <c r="E644" s="1586"/>
      <c r="F644" s="1954"/>
      <c r="G644" s="1846"/>
      <c r="H644" s="1586"/>
      <c r="I644" s="1647"/>
      <c r="J644" s="2187"/>
      <c r="K644" s="1647"/>
      <c r="L644" s="1647"/>
      <c r="M644" s="2174"/>
      <c r="N644" s="836"/>
      <c r="O644" s="836"/>
      <c r="P644" s="2174"/>
      <c r="Q644" s="836"/>
      <c r="R644" s="309"/>
      <c r="S644" s="309"/>
      <c r="T644" s="309"/>
      <c r="U644" s="309"/>
      <c r="V644" s="311"/>
      <c r="W644" s="311"/>
      <c r="X644" s="311"/>
      <c r="Y644" s="311"/>
      <c r="Z644" s="311"/>
      <c r="AA644" s="311"/>
      <c r="AB644" s="311"/>
      <c r="AC644" s="311"/>
      <c r="AD644" s="311"/>
      <c r="AE644" s="311"/>
      <c r="AF644" s="311"/>
      <c r="AG644" s="311"/>
      <c r="AH644" s="311"/>
      <c r="AI644" s="311"/>
      <c r="AJ644" s="311"/>
      <c r="AK644" s="311"/>
      <c r="AL644" s="311"/>
      <c r="AM644" s="311"/>
    </row>
    <row r="645" spans="1:39" ht="15.75" customHeight="1">
      <c r="A645" s="382"/>
      <c r="B645" s="311"/>
      <c r="C645" s="1647"/>
      <c r="D645" s="2173"/>
      <c r="E645" s="1586"/>
      <c r="F645" s="1954"/>
      <c r="G645" s="1846"/>
      <c r="H645" s="1586"/>
      <c r="I645" s="1647"/>
      <c r="J645" s="2187"/>
      <c r="K645" s="1647"/>
      <c r="L645" s="1647"/>
      <c r="M645" s="2174"/>
      <c r="N645" s="836"/>
      <c r="O645" s="836"/>
      <c r="P645" s="2174"/>
      <c r="Q645" s="836"/>
      <c r="R645" s="309"/>
      <c r="S645" s="309"/>
      <c r="T645" s="309"/>
      <c r="U645" s="309"/>
      <c r="V645" s="311"/>
      <c r="W645" s="311"/>
      <c r="X645" s="311"/>
      <c r="Y645" s="311"/>
      <c r="Z645" s="311"/>
      <c r="AA645" s="311"/>
      <c r="AB645" s="311"/>
      <c r="AC645" s="311"/>
      <c r="AD645" s="311"/>
      <c r="AE645" s="311"/>
      <c r="AF645" s="311"/>
      <c r="AG645" s="311"/>
      <c r="AH645" s="311"/>
      <c r="AI645" s="311"/>
      <c r="AJ645" s="311"/>
      <c r="AK645" s="311"/>
      <c r="AL645" s="311"/>
      <c r="AM645" s="311"/>
    </row>
    <row r="646" spans="1:39" ht="15.75" customHeight="1">
      <c r="A646" s="382"/>
      <c r="B646" s="311"/>
      <c r="C646" s="1647"/>
      <c r="D646" s="2173"/>
      <c r="E646" s="1586"/>
      <c r="F646" s="1954"/>
      <c r="G646" s="1846"/>
      <c r="H646" s="1586"/>
      <c r="I646" s="1647"/>
      <c r="J646" s="2187"/>
      <c r="K646" s="1647"/>
      <c r="L646" s="1647"/>
      <c r="M646" s="2174"/>
      <c r="N646" s="836"/>
      <c r="O646" s="836"/>
      <c r="P646" s="2174"/>
      <c r="Q646" s="836"/>
      <c r="R646" s="309"/>
      <c r="S646" s="309"/>
      <c r="T646" s="309"/>
      <c r="U646" s="309"/>
      <c r="V646" s="311"/>
      <c r="W646" s="311"/>
      <c r="X646" s="311"/>
      <c r="Y646" s="311"/>
      <c r="Z646" s="311"/>
      <c r="AA646" s="311"/>
      <c r="AB646" s="311"/>
      <c r="AC646" s="311"/>
      <c r="AD646" s="311"/>
      <c r="AE646" s="311"/>
      <c r="AF646" s="311"/>
      <c r="AG646" s="311"/>
      <c r="AH646" s="311"/>
      <c r="AI646" s="311"/>
      <c r="AJ646" s="311"/>
      <c r="AK646" s="311"/>
      <c r="AL646" s="311"/>
      <c r="AM646" s="311"/>
    </row>
    <row r="647" spans="1:39" ht="15.75" customHeight="1">
      <c r="A647" s="382"/>
      <c r="B647" s="311"/>
      <c r="C647" s="1647"/>
      <c r="D647" s="2173"/>
      <c r="E647" s="1586"/>
      <c r="F647" s="1954"/>
      <c r="G647" s="1846"/>
      <c r="H647" s="1586"/>
      <c r="I647" s="1647"/>
      <c r="J647" s="2187"/>
      <c r="K647" s="1647"/>
      <c r="L647" s="1647"/>
      <c r="M647" s="2174"/>
      <c r="N647" s="836"/>
      <c r="O647" s="836"/>
      <c r="P647" s="2174"/>
      <c r="Q647" s="836"/>
      <c r="R647" s="309"/>
      <c r="S647" s="309"/>
      <c r="T647" s="309"/>
      <c r="U647" s="309"/>
      <c r="V647" s="311"/>
      <c r="W647" s="311"/>
      <c r="X647" s="311"/>
      <c r="Y647" s="311"/>
      <c r="Z647" s="311"/>
      <c r="AA647" s="311"/>
      <c r="AB647" s="311"/>
      <c r="AC647" s="311"/>
      <c r="AD647" s="311"/>
      <c r="AE647" s="311"/>
      <c r="AF647" s="311"/>
      <c r="AG647" s="311"/>
      <c r="AH647" s="311"/>
      <c r="AI647" s="311"/>
      <c r="AJ647" s="311"/>
      <c r="AK647" s="311"/>
      <c r="AL647" s="311"/>
      <c r="AM647" s="311"/>
    </row>
    <row r="648" spans="1:39" ht="15.75" customHeight="1">
      <c r="A648" s="382"/>
      <c r="B648" s="311"/>
      <c r="C648" s="1647"/>
      <c r="D648" s="2173"/>
      <c r="E648" s="1586"/>
      <c r="F648" s="1954"/>
      <c r="G648" s="1846"/>
      <c r="H648" s="1586"/>
      <c r="I648" s="1647"/>
      <c r="J648" s="2187"/>
      <c r="K648" s="1647"/>
      <c r="L648" s="1647"/>
      <c r="M648" s="2174"/>
      <c r="N648" s="836"/>
      <c r="O648" s="836"/>
      <c r="P648" s="2174"/>
      <c r="Q648" s="836"/>
      <c r="R648" s="309"/>
      <c r="S648" s="309"/>
      <c r="T648" s="309"/>
      <c r="U648" s="309"/>
      <c r="V648" s="311"/>
      <c r="W648" s="311"/>
      <c r="X648" s="311"/>
      <c r="Y648" s="311"/>
      <c r="Z648" s="311"/>
      <c r="AA648" s="311"/>
      <c r="AB648" s="311"/>
      <c r="AC648" s="311"/>
      <c r="AD648" s="311"/>
      <c r="AE648" s="311"/>
      <c r="AF648" s="311"/>
      <c r="AG648" s="311"/>
      <c r="AH648" s="311"/>
      <c r="AI648" s="311"/>
      <c r="AJ648" s="311"/>
      <c r="AK648" s="311"/>
      <c r="AL648" s="311"/>
      <c r="AM648" s="311"/>
    </row>
    <row r="649" spans="1:39" ht="15.75" customHeight="1">
      <c r="A649" s="382"/>
      <c r="B649" s="311"/>
      <c r="C649" s="1647"/>
      <c r="D649" s="2173"/>
      <c r="E649" s="1586"/>
      <c r="F649" s="1954"/>
      <c r="G649" s="1846"/>
      <c r="H649" s="1586"/>
      <c r="I649" s="1647"/>
      <c r="J649" s="2187"/>
      <c r="K649" s="1647"/>
      <c r="L649" s="1647"/>
      <c r="M649" s="2174"/>
      <c r="N649" s="836"/>
      <c r="O649" s="836"/>
      <c r="P649" s="2174"/>
      <c r="Q649" s="836"/>
      <c r="R649" s="309"/>
      <c r="S649" s="309"/>
      <c r="T649" s="309"/>
      <c r="U649" s="309"/>
      <c r="V649" s="311"/>
      <c r="W649" s="311"/>
      <c r="X649" s="311"/>
      <c r="Y649" s="311"/>
      <c r="Z649" s="311"/>
      <c r="AA649" s="311"/>
      <c r="AB649" s="311"/>
      <c r="AC649" s="311"/>
      <c r="AD649" s="311"/>
      <c r="AE649" s="311"/>
      <c r="AF649" s="311"/>
      <c r="AG649" s="311"/>
      <c r="AH649" s="311"/>
      <c r="AI649" s="311"/>
      <c r="AJ649" s="311"/>
      <c r="AK649" s="311"/>
      <c r="AL649" s="311"/>
      <c r="AM649" s="311"/>
    </row>
    <row r="650" spans="1:39" ht="15.75" customHeight="1">
      <c r="A650" s="382"/>
      <c r="B650" s="311"/>
      <c r="C650" s="1647"/>
      <c r="D650" s="2173"/>
      <c r="E650" s="1586"/>
      <c r="F650" s="1954"/>
      <c r="G650" s="1846"/>
      <c r="H650" s="1586"/>
      <c r="I650" s="1647"/>
      <c r="J650" s="2187"/>
      <c r="K650" s="1647"/>
      <c r="L650" s="1647"/>
      <c r="M650" s="2174"/>
      <c r="N650" s="836"/>
      <c r="O650" s="836"/>
      <c r="P650" s="2174"/>
      <c r="Q650" s="836"/>
      <c r="R650" s="309"/>
      <c r="S650" s="309"/>
      <c r="T650" s="309"/>
      <c r="U650" s="309"/>
      <c r="V650" s="311"/>
      <c r="W650" s="311"/>
      <c r="X650" s="311"/>
      <c r="Y650" s="311"/>
      <c r="Z650" s="311"/>
      <c r="AA650" s="311"/>
      <c r="AB650" s="311"/>
      <c r="AC650" s="311"/>
      <c r="AD650" s="311"/>
      <c r="AE650" s="311"/>
      <c r="AF650" s="311"/>
      <c r="AG650" s="311"/>
      <c r="AH650" s="311"/>
      <c r="AI650" s="311"/>
      <c r="AJ650" s="311"/>
      <c r="AK650" s="311"/>
      <c r="AL650" s="311"/>
      <c r="AM650" s="311"/>
    </row>
    <row r="651" spans="1:39" ht="15.75" customHeight="1">
      <c r="A651" s="382"/>
      <c r="B651" s="311"/>
      <c r="C651" s="1647"/>
      <c r="D651" s="2173"/>
      <c r="E651" s="1586"/>
      <c r="F651" s="1954"/>
      <c r="G651" s="1846"/>
      <c r="H651" s="1586"/>
      <c r="I651" s="1647"/>
      <c r="J651" s="2187"/>
      <c r="K651" s="1647"/>
      <c r="L651" s="1647"/>
      <c r="M651" s="2174"/>
      <c r="N651" s="836"/>
      <c r="O651" s="836"/>
      <c r="P651" s="2174"/>
      <c r="Q651" s="836"/>
      <c r="R651" s="309"/>
      <c r="S651" s="309"/>
      <c r="T651" s="309"/>
      <c r="U651" s="309"/>
      <c r="V651" s="311"/>
      <c r="W651" s="311"/>
      <c r="X651" s="311"/>
      <c r="Y651" s="311"/>
      <c r="Z651" s="311"/>
      <c r="AA651" s="311"/>
      <c r="AB651" s="311"/>
      <c r="AC651" s="311"/>
      <c r="AD651" s="311"/>
      <c r="AE651" s="311"/>
      <c r="AF651" s="311"/>
      <c r="AG651" s="311"/>
      <c r="AH651" s="311"/>
      <c r="AI651" s="311"/>
      <c r="AJ651" s="311"/>
      <c r="AK651" s="311"/>
      <c r="AL651" s="311"/>
      <c r="AM651" s="311"/>
    </row>
    <row r="652" spans="1:39" ht="15.75" customHeight="1">
      <c r="A652" s="382"/>
      <c r="B652" s="311"/>
      <c r="C652" s="1647"/>
      <c r="D652" s="2173"/>
      <c r="E652" s="1586"/>
      <c r="F652" s="1954"/>
      <c r="G652" s="1846"/>
      <c r="H652" s="1586"/>
      <c r="I652" s="1647"/>
      <c r="J652" s="2187"/>
      <c r="K652" s="1647"/>
      <c r="L652" s="1647"/>
      <c r="M652" s="2174"/>
      <c r="N652" s="836"/>
      <c r="O652" s="836"/>
      <c r="P652" s="2174"/>
      <c r="Q652" s="836"/>
      <c r="R652" s="309"/>
      <c r="S652" s="309"/>
      <c r="T652" s="309"/>
      <c r="U652" s="309"/>
      <c r="V652" s="311"/>
      <c r="W652" s="311"/>
      <c r="X652" s="311"/>
      <c r="Y652" s="311"/>
      <c r="Z652" s="311"/>
      <c r="AA652" s="311"/>
      <c r="AB652" s="311"/>
      <c r="AC652" s="311"/>
      <c r="AD652" s="311"/>
      <c r="AE652" s="311"/>
      <c r="AF652" s="311"/>
      <c r="AG652" s="311"/>
      <c r="AH652" s="311"/>
      <c r="AI652" s="311"/>
      <c r="AJ652" s="311"/>
      <c r="AK652" s="311"/>
      <c r="AL652" s="311"/>
      <c r="AM652" s="311"/>
    </row>
    <row r="653" spans="1:39" ht="15.75" customHeight="1">
      <c r="A653" s="382"/>
      <c r="B653" s="311"/>
      <c r="C653" s="1647"/>
      <c r="D653" s="2173"/>
      <c r="E653" s="1586"/>
      <c r="F653" s="1954"/>
      <c r="G653" s="1846"/>
      <c r="H653" s="1586"/>
      <c r="I653" s="1647"/>
      <c r="J653" s="2187"/>
      <c r="K653" s="1647"/>
      <c r="L653" s="1647"/>
      <c r="M653" s="2174"/>
      <c r="N653" s="836"/>
      <c r="O653" s="836"/>
      <c r="P653" s="2174"/>
      <c r="Q653" s="836"/>
      <c r="R653" s="309"/>
      <c r="S653" s="309"/>
      <c r="T653" s="309"/>
      <c r="U653" s="309"/>
      <c r="V653" s="311"/>
      <c r="W653" s="311"/>
      <c r="X653" s="311"/>
      <c r="Y653" s="311"/>
      <c r="Z653" s="311"/>
      <c r="AA653" s="311"/>
      <c r="AB653" s="311"/>
      <c r="AC653" s="311"/>
      <c r="AD653" s="311"/>
      <c r="AE653" s="311"/>
      <c r="AF653" s="311"/>
      <c r="AG653" s="311"/>
      <c r="AH653" s="311"/>
      <c r="AI653" s="311"/>
      <c r="AJ653" s="311"/>
      <c r="AK653" s="311"/>
      <c r="AL653" s="311"/>
      <c r="AM653" s="311"/>
    </row>
    <row r="654" spans="1:39" ht="15.75" customHeight="1">
      <c r="A654" s="382"/>
      <c r="B654" s="311"/>
      <c r="C654" s="1647"/>
      <c r="D654" s="2173"/>
      <c r="E654" s="1586"/>
      <c r="F654" s="1954"/>
      <c r="G654" s="1846"/>
      <c r="H654" s="1586"/>
      <c r="I654" s="1647"/>
      <c r="J654" s="2187"/>
      <c r="K654" s="1647"/>
      <c r="L654" s="1647"/>
      <c r="M654" s="2174"/>
      <c r="N654" s="836"/>
      <c r="O654" s="836"/>
      <c r="P654" s="2174"/>
      <c r="Q654" s="836"/>
      <c r="R654" s="309"/>
      <c r="S654" s="309"/>
      <c r="T654" s="309"/>
      <c r="U654" s="309"/>
      <c r="V654" s="311"/>
      <c r="W654" s="311"/>
      <c r="X654" s="311"/>
      <c r="Y654" s="311"/>
      <c r="Z654" s="311"/>
      <c r="AA654" s="311"/>
      <c r="AB654" s="311"/>
      <c r="AC654" s="311"/>
      <c r="AD654" s="311"/>
      <c r="AE654" s="311"/>
      <c r="AF654" s="311"/>
      <c r="AG654" s="311"/>
      <c r="AH654" s="311"/>
      <c r="AI654" s="311"/>
      <c r="AJ654" s="311"/>
      <c r="AK654" s="311"/>
      <c r="AL654" s="311"/>
      <c r="AM654" s="311"/>
    </row>
    <row r="655" spans="1:39" ht="15.75" customHeight="1">
      <c r="A655" s="382"/>
      <c r="B655" s="311"/>
      <c r="C655" s="1647"/>
      <c r="D655" s="2173"/>
      <c r="E655" s="1586"/>
      <c r="F655" s="1954"/>
      <c r="G655" s="1846"/>
      <c r="H655" s="1586"/>
      <c r="I655" s="1647"/>
      <c r="J655" s="2187"/>
      <c r="K655" s="1647"/>
      <c r="L655" s="1647"/>
      <c r="M655" s="2174"/>
      <c r="N655" s="836"/>
      <c r="O655" s="836"/>
      <c r="P655" s="2174"/>
      <c r="Q655" s="836"/>
      <c r="R655" s="309"/>
      <c r="S655" s="309"/>
      <c r="T655" s="309"/>
      <c r="U655" s="309"/>
      <c r="V655" s="311"/>
      <c r="W655" s="311"/>
      <c r="X655" s="311"/>
      <c r="Y655" s="311"/>
      <c r="Z655" s="311"/>
      <c r="AA655" s="311"/>
      <c r="AB655" s="311"/>
      <c r="AC655" s="311"/>
      <c r="AD655" s="311"/>
      <c r="AE655" s="311"/>
      <c r="AF655" s="311"/>
      <c r="AG655" s="311"/>
      <c r="AH655" s="311"/>
      <c r="AI655" s="311"/>
      <c r="AJ655" s="311"/>
      <c r="AK655" s="311"/>
      <c r="AL655" s="311"/>
      <c r="AM655" s="311"/>
    </row>
    <row r="656" spans="1:39" ht="15.75" customHeight="1">
      <c r="A656" s="382"/>
      <c r="B656" s="311"/>
      <c r="C656" s="1647"/>
      <c r="D656" s="2173"/>
      <c r="E656" s="1586"/>
      <c r="F656" s="1954"/>
      <c r="G656" s="1846"/>
      <c r="H656" s="1586"/>
      <c r="I656" s="1647"/>
      <c r="J656" s="2187"/>
      <c r="K656" s="1647"/>
      <c r="L656" s="1647"/>
      <c r="M656" s="2174"/>
      <c r="N656" s="836"/>
      <c r="O656" s="836"/>
      <c r="P656" s="2174"/>
      <c r="Q656" s="836"/>
      <c r="R656" s="309"/>
      <c r="S656" s="309"/>
      <c r="T656" s="309"/>
      <c r="U656" s="309"/>
      <c r="V656" s="311"/>
      <c r="W656" s="311"/>
      <c r="X656" s="311"/>
      <c r="Y656" s="311"/>
      <c r="Z656" s="311"/>
      <c r="AA656" s="311"/>
      <c r="AB656" s="311"/>
      <c r="AC656" s="311"/>
      <c r="AD656" s="311"/>
      <c r="AE656" s="311"/>
      <c r="AF656" s="311"/>
      <c r="AG656" s="311"/>
      <c r="AH656" s="311"/>
      <c r="AI656" s="311"/>
      <c r="AJ656" s="311"/>
      <c r="AK656" s="311"/>
      <c r="AL656" s="311"/>
      <c r="AM656" s="311"/>
    </row>
    <row r="657" spans="1:39" ht="15.75" customHeight="1">
      <c r="A657" s="382"/>
      <c r="B657" s="311"/>
      <c r="C657" s="1647"/>
      <c r="D657" s="2173"/>
      <c r="E657" s="1586"/>
      <c r="F657" s="1954"/>
      <c r="G657" s="1846"/>
      <c r="H657" s="1586"/>
      <c r="I657" s="1647"/>
      <c r="J657" s="2187"/>
      <c r="K657" s="1647"/>
      <c r="L657" s="1647"/>
      <c r="M657" s="2174"/>
      <c r="N657" s="836"/>
      <c r="O657" s="836"/>
      <c r="P657" s="2174"/>
      <c r="Q657" s="836"/>
      <c r="R657" s="309"/>
      <c r="S657" s="309"/>
      <c r="T657" s="309"/>
      <c r="U657" s="309"/>
      <c r="V657" s="311"/>
      <c r="W657" s="311"/>
      <c r="X657" s="311"/>
      <c r="Y657" s="311"/>
      <c r="Z657" s="311"/>
      <c r="AA657" s="311"/>
      <c r="AB657" s="311"/>
      <c r="AC657" s="311"/>
      <c r="AD657" s="311"/>
      <c r="AE657" s="311"/>
      <c r="AF657" s="311"/>
      <c r="AG657" s="311"/>
      <c r="AH657" s="311"/>
      <c r="AI657" s="311"/>
      <c r="AJ657" s="311"/>
      <c r="AK657" s="311"/>
      <c r="AL657" s="311"/>
      <c r="AM657" s="311"/>
    </row>
    <row r="658" spans="1:39" ht="15.75" customHeight="1">
      <c r="A658" s="382"/>
      <c r="B658" s="311"/>
      <c r="C658" s="1647"/>
      <c r="D658" s="2173"/>
      <c r="E658" s="1586"/>
      <c r="F658" s="1954"/>
      <c r="G658" s="1846"/>
      <c r="H658" s="1586"/>
      <c r="I658" s="1647"/>
      <c r="J658" s="2187"/>
      <c r="K658" s="1647"/>
      <c r="L658" s="1647"/>
      <c r="M658" s="2174"/>
      <c r="N658" s="836"/>
      <c r="O658" s="836"/>
      <c r="P658" s="2174"/>
      <c r="Q658" s="836"/>
      <c r="R658" s="309"/>
      <c r="S658" s="309"/>
      <c r="T658" s="309"/>
      <c r="U658" s="309"/>
      <c r="V658" s="311"/>
      <c r="W658" s="311"/>
      <c r="X658" s="311"/>
      <c r="Y658" s="311"/>
      <c r="Z658" s="311"/>
      <c r="AA658" s="311"/>
      <c r="AB658" s="311"/>
      <c r="AC658" s="311"/>
      <c r="AD658" s="311"/>
      <c r="AE658" s="311"/>
      <c r="AF658" s="311"/>
      <c r="AG658" s="311"/>
      <c r="AH658" s="311"/>
      <c r="AI658" s="311"/>
      <c r="AJ658" s="311"/>
      <c r="AK658" s="311"/>
      <c r="AL658" s="311"/>
      <c r="AM658" s="311"/>
    </row>
    <row r="659" spans="1:39" ht="15.75" customHeight="1">
      <c r="A659" s="382"/>
      <c r="B659" s="311"/>
      <c r="C659" s="1647"/>
      <c r="D659" s="2173"/>
      <c r="E659" s="1586"/>
      <c r="F659" s="1954"/>
      <c r="G659" s="1846"/>
      <c r="H659" s="1586"/>
      <c r="I659" s="1647"/>
      <c r="J659" s="2187"/>
      <c r="K659" s="1647"/>
      <c r="L659" s="1647"/>
      <c r="M659" s="2174"/>
      <c r="N659" s="836"/>
      <c r="O659" s="836"/>
      <c r="P659" s="2174"/>
      <c r="Q659" s="836"/>
      <c r="R659" s="309"/>
      <c r="S659" s="309"/>
      <c r="T659" s="309"/>
      <c r="U659" s="309"/>
      <c r="V659" s="311"/>
      <c r="W659" s="311"/>
      <c r="X659" s="311"/>
      <c r="Y659" s="311"/>
      <c r="Z659" s="311"/>
      <c r="AA659" s="311"/>
      <c r="AB659" s="311"/>
      <c r="AC659" s="311"/>
      <c r="AD659" s="311"/>
      <c r="AE659" s="311"/>
      <c r="AF659" s="311"/>
      <c r="AG659" s="311"/>
      <c r="AH659" s="311"/>
      <c r="AI659" s="311"/>
      <c r="AJ659" s="311"/>
      <c r="AK659" s="311"/>
      <c r="AL659" s="311"/>
      <c r="AM659" s="311"/>
    </row>
    <row r="660" spans="1:39" ht="15.75" customHeight="1">
      <c r="A660" s="382"/>
      <c r="B660" s="311"/>
      <c r="C660" s="1647"/>
      <c r="D660" s="2173"/>
      <c r="E660" s="1586"/>
      <c r="F660" s="1954"/>
      <c r="G660" s="1846"/>
      <c r="H660" s="1586"/>
      <c r="I660" s="1647"/>
      <c r="J660" s="2187"/>
      <c r="K660" s="1647"/>
      <c r="L660" s="1647"/>
      <c r="M660" s="2174"/>
      <c r="N660" s="836"/>
      <c r="O660" s="836"/>
      <c r="P660" s="2174"/>
      <c r="Q660" s="836"/>
      <c r="R660" s="309"/>
      <c r="S660" s="309"/>
      <c r="T660" s="309"/>
      <c r="U660" s="309"/>
      <c r="V660" s="311"/>
      <c r="W660" s="311"/>
      <c r="X660" s="311"/>
      <c r="Y660" s="311"/>
      <c r="Z660" s="311"/>
      <c r="AA660" s="311"/>
      <c r="AB660" s="311"/>
      <c r="AC660" s="311"/>
      <c r="AD660" s="311"/>
      <c r="AE660" s="311"/>
      <c r="AF660" s="311"/>
      <c r="AG660" s="311"/>
      <c r="AH660" s="311"/>
      <c r="AI660" s="311"/>
      <c r="AJ660" s="311"/>
      <c r="AK660" s="311"/>
      <c r="AL660" s="311"/>
      <c r="AM660" s="311"/>
    </row>
    <row r="661" spans="1:39" ht="15.75" customHeight="1">
      <c r="A661" s="382"/>
      <c r="B661" s="311"/>
      <c r="C661" s="1647"/>
      <c r="D661" s="2173"/>
      <c r="E661" s="1586"/>
      <c r="F661" s="1954"/>
      <c r="G661" s="1846"/>
      <c r="H661" s="1586"/>
      <c r="I661" s="1647"/>
      <c r="J661" s="2187"/>
      <c r="K661" s="1647"/>
      <c r="L661" s="1647"/>
      <c r="M661" s="2174"/>
      <c r="N661" s="836"/>
      <c r="O661" s="836"/>
      <c r="P661" s="2174"/>
      <c r="Q661" s="836"/>
      <c r="R661" s="309"/>
      <c r="S661" s="309"/>
      <c r="T661" s="309"/>
      <c r="U661" s="309"/>
      <c r="V661" s="311"/>
      <c r="W661" s="311"/>
      <c r="X661" s="311"/>
      <c r="Y661" s="311"/>
      <c r="Z661" s="311"/>
      <c r="AA661" s="311"/>
      <c r="AB661" s="311"/>
      <c r="AC661" s="311"/>
      <c r="AD661" s="311"/>
      <c r="AE661" s="311"/>
      <c r="AF661" s="311"/>
      <c r="AG661" s="311"/>
      <c r="AH661" s="311"/>
      <c r="AI661" s="311"/>
      <c r="AJ661" s="311"/>
      <c r="AK661" s="311"/>
      <c r="AL661" s="311"/>
      <c r="AM661" s="311"/>
    </row>
    <row r="662" spans="1:39" ht="15.75" customHeight="1">
      <c r="A662" s="382"/>
      <c r="B662" s="311"/>
      <c r="C662" s="1647"/>
      <c r="D662" s="2173"/>
      <c r="E662" s="1586"/>
      <c r="F662" s="1954"/>
      <c r="G662" s="1846"/>
      <c r="H662" s="1586"/>
      <c r="I662" s="1647"/>
      <c r="J662" s="2187"/>
      <c r="K662" s="1647"/>
      <c r="L662" s="1647"/>
      <c r="M662" s="2174"/>
      <c r="N662" s="836"/>
      <c r="O662" s="836"/>
      <c r="P662" s="2174"/>
      <c r="Q662" s="836"/>
      <c r="R662" s="309"/>
      <c r="S662" s="309"/>
      <c r="T662" s="309"/>
      <c r="U662" s="309"/>
      <c r="V662" s="311"/>
      <c r="W662" s="311"/>
      <c r="X662" s="311"/>
      <c r="Y662" s="311"/>
      <c r="Z662" s="311"/>
      <c r="AA662" s="311"/>
      <c r="AB662" s="311"/>
      <c r="AC662" s="311"/>
      <c r="AD662" s="311"/>
      <c r="AE662" s="311"/>
      <c r="AF662" s="311"/>
      <c r="AG662" s="311"/>
      <c r="AH662" s="311"/>
      <c r="AI662" s="311"/>
      <c r="AJ662" s="311"/>
      <c r="AK662" s="311"/>
      <c r="AL662" s="311"/>
      <c r="AM662" s="311"/>
    </row>
    <row r="663" spans="1:39" ht="15.75" customHeight="1">
      <c r="A663" s="382"/>
      <c r="B663" s="311"/>
      <c r="C663" s="1647"/>
      <c r="D663" s="2173"/>
      <c r="E663" s="1586"/>
      <c r="F663" s="1954"/>
      <c r="G663" s="1846"/>
      <c r="H663" s="1586"/>
      <c r="I663" s="1647"/>
      <c r="J663" s="2187"/>
      <c r="K663" s="1647"/>
      <c r="L663" s="1647"/>
      <c r="M663" s="2174"/>
      <c r="N663" s="836"/>
      <c r="O663" s="836"/>
      <c r="P663" s="2174"/>
      <c r="Q663" s="836"/>
      <c r="R663" s="309"/>
      <c r="S663" s="309"/>
      <c r="T663" s="309"/>
      <c r="U663" s="309"/>
      <c r="V663" s="311"/>
      <c r="W663" s="311"/>
      <c r="X663" s="311"/>
      <c r="Y663" s="311"/>
      <c r="Z663" s="311"/>
      <c r="AA663" s="311"/>
      <c r="AB663" s="311"/>
      <c r="AC663" s="311"/>
      <c r="AD663" s="311"/>
      <c r="AE663" s="311"/>
      <c r="AF663" s="311"/>
      <c r="AG663" s="311"/>
      <c r="AH663" s="311"/>
      <c r="AI663" s="311"/>
      <c r="AJ663" s="311"/>
      <c r="AK663" s="311"/>
      <c r="AL663" s="311"/>
      <c r="AM663" s="311"/>
    </row>
    <row r="664" spans="1:39" ht="15.75" customHeight="1">
      <c r="A664" s="382"/>
      <c r="B664" s="311"/>
      <c r="C664" s="1647"/>
      <c r="D664" s="2173"/>
      <c r="E664" s="1586"/>
      <c r="F664" s="1954"/>
      <c r="G664" s="1846"/>
      <c r="H664" s="1586"/>
      <c r="I664" s="1647"/>
      <c r="J664" s="2187"/>
      <c r="K664" s="1647"/>
      <c r="L664" s="1647"/>
      <c r="M664" s="2174"/>
      <c r="N664" s="836"/>
      <c r="O664" s="836"/>
      <c r="P664" s="2174"/>
      <c r="Q664" s="836"/>
      <c r="R664" s="309"/>
      <c r="S664" s="309"/>
      <c r="T664" s="309"/>
      <c r="U664" s="309"/>
      <c r="V664" s="311"/>
      <c r="W664" s="311"/>
      <c r="X664" s="311"/>
      <c r="Y664" s="311"/>
      <c r="Z664" s="311"/>
      <c r="AA664" s="311"/>
      <c r="AB664" s="311"/>
      <c r="AC664" s="311"/>
      <c r="AD664" s="311"/>
      <c r="AE664" s="311"/>
      <c r="AF664" s="311"/>
      <c r="AG664" s="311"/>
      <c r="AH664" s="311"/>
      <c r="AI664" s="311"/>
      <c r="AJ664" s="311"/>
      <c r="AK664" s="311"/>
      <c r="AL664" s="311"/>
      <c r="AM664" s="311"/>
    </row>
    <row r="665" spans="1:39" ht="15.75" customHeight="1">
      <c r="A665" s="382"/>
      <c r="B665" s="311"/>
      <c r="C665" s="1647"/>
      <c r="D665" s="2173"/>
      <c r="E665" s="1586"/>
      <c r="F665" s="1954"/>
      <c r="G665" s="1846"/>
      <c r="H665" s="1586"/>
      <c r="I665" s="1647"/>
      <c r="J665" s="2187"/>
      <c r="K665" s="1647"/>
      <c r="L665" s="1647"/>
      <c r="M665" s="2174"/>
      <c r="N665" s="836"/>
      <c r="O665" s="836"/>
      <c r="P665" s="2174"/>
      <c r="Q665" s="836"/>
      <c r="R665" s="309"/>
      <c r="S665" s="309"/>
      <c r="T665" s="309"/>
      <c r="U665" s="309"/>
      <c r="V665" s="311"/>
      <c r="W665" s="311"/>
      <c r="X665" s="311"/>
      <c r="Y665" s="311"/>
      <c r="Z665" s="311"/>
      <c r="AA665" s="311"/>
      <c r="AB665" s="311"/>
      <c r="AC665" s="311"/>
      <c r="AD665" s="311"/>
      <c r="AE665" s="311"/>
      <c r="AF665" s="311"/>
      <c r="AG665" s="311"/>
      <c r="AH665" s="311"/>
      <c r="AI665" s="311"/>
      <c r="AJ665" s="311"/>
      <c r="AK665" s="311"/>
      <c r="AL665" s="311"/>
      <c r="AM665" s="311"/>
    </row>
    <row r="666" spans="1:39" ht="15.75" customHeight="1">
      <c r="A666" s="382"/>
      <c r="B666" s="311"/>
      <c r="C666" s="1647"/>
      <c r="D666" s="2173"/>
      <c r="E666" s="1586"/>
      <c r="F666" s="1954"/>
      <c r="G666" s="1846"/>
      <c r="H666" s="1586"/>
      <c r="I666" s="1647"/>
      <c r="J666" s="2187"/>
      <c r="K666" s="1647"/>
      <c r="L666" s="1647"/>
      <c r="M666" s="2174"/>
      <c r="N666" s="836"/>
      <c r="O666" s="836"/>
      <c r="P666" s="2174"/>
      <c r="Q666" s="836"/>
      <c r="R666" s="309"/>
      <c r="S666" s="309"/>
      <c r="T666" s="309"/>
      <c r="U666" s="309"/>
      <c r="V666" s="311"/>
      <c r="W666" s="311"/>
      <c r="X666" s="311"/>
      <c r="Y666" s="311"/>
      <c r="Z666" s="311"/>
      <c r="AA666" s="311"/>
      <c r="AB666" s="311"/>
      <c r="AC666" s="311"/>
      <c r="AD666" s="311"/>
      <c r="AE666" s="311"/>
      <c r="AF666" s="311"/>
      <c r="AG666" s="311"/>
      <c r="AH666" s="311"/>
      <c r="AI666" s="311"/>
      <c r="AJ666" s="311"/>
      <c r="AK666" s="311"/>
      <c r="AL666" s="311"/>
      <c r="AM666" s="311"/>
    </row>
    <row r="667" spans="1:39" ht="15.75" customHeight="1">
      <c r="A667" s="382"/>
      <c r="B667" s="311"/>
      <c r="C667" s="1647"/>
      <c r="D667" s="2173"/>
      <c r="E667" s="1586"/>
      <c r="F667" s="1954"/>
      <c r="G667" s="1846"/>
      <c r="H667" s="1586"/>
      <c r="I667" s="1647"/>
      <c r="J667" s="2187"/>
      <c r="K667" s="1647"/>
      <c r="L667" s="1647"/>
      <c r="M667" s="2174"/>
      <c r="N667" s="836"/>
      <c r="O667" s="836"/>
      <c r="P667" s="2174"/>
      <c r="Q667" s="836"/>
      <c r="R667" s="309"/>
      <c r="S667" s="309"/>
      <c r="T667" s="309"/>
      <c r="U667" s="309"/>
      <c r="V667" s="311"/>
      <c r="W667" s="311"/>
      <c r="X667" s="311"/>
      <c r="Y667" s="311"/>
      <c r="Z667" s="311"/>
      <c r="AA667" s="311"/>
      <c r="AB667" s="311"/>
      <c r="AC667" s="311"/>
      <c r="AD667" s="311"/>
      <c r="AE667" s="311"/>
      <c r="AF667" s="311"/>
      <c r="AG667" s="311"/>
      <c r="AH667" s="311"/>
      <c r="AI667" s="311"/>
      <c r="AJ667" s="311"/>
      <c r="AK667" s="311"/>
      <c r="AL667" s="311"/>
      <c r="AM667" s="311"/>
    </row>
    <row r="668" spans="1:39" ht="15.75" customHeight="1">
      <c r="A668" s="382"/>
      <c r="B668" s="311"/>
      <c r="C668" s="1647"/>
      <c r="D668" s="2173"/>
      <c r="E668" s="1586"/>
      <c r="F668" s="1954"/>
      <c r="G668" s="1846"/>
      <c r="H668" s="1586"/>
      <c r="I668" s="1647"/>
      <c r="J668" s="2187"/>
      <c r="K668" s="1647"/>
      <c r="L668" s="1647"/>
      <c r="M668" s="2174"/>
      <c r="N668" s="836"/>
      <c r="O668" s="836"/>
      <c r="P668" s="2174"/>
      <c r="Q668" s="836"/>
      <c r="R668" s="309"/>
      <c r="S668" s="309"/>
      <c r="T668" s="309"/>
      <c r="U668" s="309"/>
      <c r="V668" s="311"/>
      <c r="W668" s="311"/>
      <c r="X668" s="311"/>
      <c r="Y668" s="311"/>
      <c r="Z668" s="311"/>
      <c r="AA668" s="311"/>
      <c r="AB668" s="311"/>
      <c r="AC668" s="311"/>
      <c r="AD668" s="311"/>
      <c r="AE668" s="311"/>
      <c r="AF668" s="311"/>
      <c r="AG668" s="311"/>
      <c r="AH668" s="311"/>
      <c r="AI668" s="311"/>
      <c r="AJ668" s="311"/>
      <c r="AK668" s="311"/>
      <c r="AL668" s="311"/>
      <c r="AM668" s="311"/>
    </row>
    <row r="669" spans="1:39" ht="15.75" customHeight="1">
      <c r="A669" s="382"/>
      <c r="B669" s="311"/>
      <c r="C669" s="1647"/>
      <c r="D669" s="2173"/>
      <c r="E669" s="1586"/>
      <c r="F669" s="1954"/>
      <c r="G669" s="1846"/>
      <c r="H669" s="1586"/>
      <c r="I669" s="1647"/>
      <c r="J669" s="2187"/>
      <c r="K669" s="1647"/>
      <c r="L669" s="1647"/>
      <c r="M669" s="2174"/>
      <c r="N669" s="836"/>
      <c r="O669" s="836"/>
      <c r="P669" s="2174"/>
      <c r="Q669" s="836"/>
      <c r="R669" s="309"/>
      <c r="S669" s="309"/>
      <c r="T669" s="309"/>
      <c r="U669" s="309"/>
      <c r="V669" s="311"/>
      <c r="W669" s="311"/>
      <c r="X669" s="311"/>
      <c r="Y669" s="311"/>
      <c r="Z669" s="311"/>
      <c r="AA669" s="311"/>
      <c r="AB669" s="311"/>
      <c r="AC669" s="311"/>
      <c r="AD669" s="311"/>
      <c r="AE669" s="311"/>
      <c r="AF669" s="311"/>
      <c r="AG669" s="311"/>
      <c r="AH669" s="311"/>
      <c r="AI669" s="311"/>
      <c r="AJ669" s="311"/>
      <c r="AK669" s="311"/>
      <c r="AL669" s="311"/>
      <c r="AM669" s="311"/>
    </row>
    <row r="670" spans="1:39" ht="15.75" customHeight="1">
      <c r="A670" s="382"/>
      <c r="B670" s="311"/>
      <c r="C670" s="1647"/>
      <c r="D670" s="2173"/>
      <c r="E670" s="1586"/>
      <c r="F670" s="1954"/>
      <c r="G670" s="1846"/>
      <c r="H670" s="1586"/>
      <c r="I670" s="1647"/>
      <c r="J670" s="2187"/>
      <c r="K670" s="1647"/>
      <c r="L670" s="1647"/>
      <c r="M670" s="2174"/>
      <c r="N670" s="836"/>
      <c r="O670" s="836"/>
      <c r="P670" s="2174"/>
      <c r="Q670" s="836"/>
      <c r="R670" s="309"/>
      <c r="S670" s="309"/>
      <c r="T670" s="309"/>
      <c r="U670" s="309"/>
      <c r="V670" s="311"/>
      <c r="W670" s="311"/>
      <c r="X670" s="311"/>
      <c r="Y670" s="311"/>
      <c r="Z670" s="311"/>
      <c r="AA670" s="311"/>
      <c r="AB670" s="311"/>
      <c r="AC670" s="311"/>
      <c r="AD670" s="311"/>
      <c r="AE670" s="311"/>
      <c r="AF670" s="311"/>
      <c r="AG670" s="311"/>
      <c r="AH670" s="311"/>
      <c r="AI670" s="311"/>
      <c r="AJ670" s="311"/>
      <c r="AK670" s="311"/>
      <c r="AL670" s="311"/>
      <c r="AM670" s="311"/>
    </row>
    <row r="671" spans="1:39" ht="15.75" customHeight="1">
      <c r="A671" s="382"/>
      <c r="B671" s="311"/>
      <c r="C671" s="1647"/>
      <c r="D671" s="2173"/>
      <c r="E671" s="1586"/>
      <c r="F671" s="1954"/>
      <c r="G671" s="1846"/>
      <c r="H671" s="1586"/>
      <c r="I671" s="1647"/>
      <c r="J671" s="2187"/>
      <c r="K671" s="1647"/>
      <c r="L671" s="1647"/>
      <c r="M671" s="2174"/>
      <c r="N671" s="836"/>
      <c r="O671" s="836"/>
      <c r="P671" s="2174"/>
      <c r="Q671" s="836"/>
      <c r="R671" s="309"/>
      <c r="S671" s="309"/>
      <c r="T671" s="309"/>
      <c r="U671" s="309"/>
      <c r="V671" s="311"/>
      <c r="W671" s="311"/>
      <c r="X671" s="311"/>
      <c r="Y671" s="311"/>
      <c r="Z671" s="311"/>
      <c r="AA671" s="311"/>
      <c r="AB671" s="311"/>
      <c r="AC671" s="311"/>
      <c r="AD671" s="311"/>
      <c r="AE671" s="311"/>
      <c r="AF671" s="311"/>
      <c r="AG671" s="311"/>
      <c r="AH671" s="311"/>
      <c r="AI671" s="311"/>
      <c r="AJ671" s="311"/>
      <c r="AK671" s="311"/>
      <c r="AL671" s="311"/>
      <c r="AM671" s="311"/>
    </row>
    <row r="672" spans="1:39" ht="15.75" customHeight="1">
      <c r="A672" s="382"/>
      <c r="B672" s="311"/>
      <c r="C672" s="1647"/>
      <c r="D672" s="2173"/>
      <c r="E672" s="1586"/>
      <c r="F672" s="1954"/>
      <c r="G672" s="1846"/>
      <c r="H672" s="1586"/>
      <c r="I672" s="1647"/>
      <c r="J672" s="2187"/>
      <c r="K672" s="1647"/>
      <c r="L672" s="1647"/>
      <c r="M672" s="2174"/>
      <c r="N672" s="836"/>
      <c r="O672" s="836"/>
      <c r="P672" s="2174"/>
      <c r="Q672" s="836"/>
      <c r="R672" s="309"/>
      <c r="S672" s="309"/>
      <c r="T672" s="309"/>
      <c r="U672" s="309"/>
      <c r="V672" s="311"/>
      <c r="W672" s="311"/>
      <c r="X672" s="311"/>
      <c r="Y672" s="311"/>
      <c r="Z672" s="311"/>
      <c r="AA672" s="311"/>
      <c r="AB672" s="311"/>
      <c r="AC672" s="311"/>
      <c r="AD672" s="311"/>
      <c r="AE672" s="311"/>
      <c r="AF672" s="311"/>
      <c r="AG672" s="311"/>
      <c r="AH672" s="311"/>
      <c r="AI672" s="311"/>
      <c r="AJ672" s="311"/>
      <c r="AK672" s="311"/>
      <c r="AL672" s="311"/>
      <c r="AM672" s="311"/>
    </row>
    <row r="673" spans="1:39" ht="15.75" customHeight="1">
      <c r="A673" s="382"/>
      <c r="B673" s="311"/>
      <c r="C673" s="1647"/>
      <c r="D673" s="2173"/>
      <c r="E673" s="1586"/>
      <c r="F673" s="1954"/>
      <c r="G673" s="1846"/>
      <c r="H673" s="1586"/>
      <c r="I673" s="1647"/>
      <c r="J673" s="2187"/>
      <c r="K673" s="1647"/>
      <c r="L673" s="1647"/>
      <c r="M673" s="2174"/>
      <c r="N673" s="836"/>
      <c r="O673" s="836"/>
      <c r="P673" s="2174"/>
      <c r="Q673" s="836"/>
      <c r="R673" s="309"/>
      <c r="S673" s="309"/>
      <c r="T673" s="309"/>
      <c r="U673" s="309"/>
      <c r="V673" s="311"/>
      <c r="W673" s="311"/>
      <c r="X673" s="311"/>
      <c r="Y673" s="311"/>
      <c r="Z673" s="311"/>
      <c r="AA673" s="311"/>
      <c r="AB673" s="311"/>
      <c r="AC673" s="311"/>
      <c r="AD673" s="311"/>
      <c r="AE673" s="311"/>
      <c r="AF673" s="311"/>
      <c r="AG673" s="311"/>
      <c r="AH673" s="311"/>
      <c r="AI673" s="311"/>
      <c r="AJ673" s="311"/>
      <c r="AK673" s="311"/>
      <c r="AL673" s="311"/>
      <c r="AM673" s="311"/>
    </row>
    <row r="674" spans="1:39" ht="15.75" customHeight="1">
      <c r="A674" s="382"/>
      <c r="B674" s="311"/>
      <c r="C674" s="1647"/>
      <c r="D674" s="2173"/>
      <c r="E674" s="1586"/>
      <c r="F674" s="1954"/>
      <c r="G674" s="1846"/>
      <c r="H674" s="1586"/>
      <c r="I674" s="1647"/>
      <c r="J674" s="2187"/>
      <c r="K674" s="1647"/>
      <c r="L674" s="1647"/>
      <c r="M674" s="2174"/>
      <c r="N674" s="836"/>
      <c r="O674" s="836"/>
      <c r="P674" s="2174"/>
      <c r="Q674" s="836"/>
      <c r="R674" s="309"/>
      <c r="S674" s="309"/>
      <c r="T674" s="309"/>
      <c r="U674" s="309"/>
      <c r="V674" s="311"/>
      <c r="W674" s="311"/>
      <c r="X674" s="311"/>
      <c r="Y674" s="311"/>
      <c r="Z674" s="311"/>
      <c r="AA674" s="311"/>
      <c r="AB674" s="311"/>
      <c r="AC674" s="311"/>
      <c r="AD674" s="311"/>
      <c r="AE674" s="311"/>
      <c r="AF674" s="311"/>
      <c r="AG674" s="311"/>
      <c r="AH674" s="311"/>
      <c r="AI674" s="311"/>
      <c r="AJ674" s="311"/>
      <c r="AK674" s="311"/>
      <c r="AL674" s="311"/>
      <c r="AM674" s="311"/>
    </row>
    <row r="675" spans="1:39" ht="15.75" customHeight="1">
      <c r="A675" s="382"/>
      <c r="B675" s="311"/>
      <c r="C675" s="1647"/>
      <c r="D675" s="2173"/>
      <c r="E675" s="1586"/>
      <c r="F675" s="1954"/>
      <c r="G675" s="1846"/>
      <c r="H675" s="1586"/>
      <c r="I675" s="1647"/>
      <c r="J675" s="2187"/>
      <c r="K675" s="1647"/>
      <c r="L675" s="1647"/>
      <c r="M675" s="2174"/>
      <c r="N675" s="836"/>
      <c r="O675" s="836"/>
      <c r="P675" s="2174"/>
      <c r="Q675" s="836"/>
      <c r="R675" s="309"/>
      <c r="S675" s="309"/>
      <c r="T675" s="309"/>
      <c r="U675" s="309"/>
      <c r="V675" s="311"/>
      <c r="W675" s="311"/>
      <c r="X675" s="311"/>
      <c r="Y675" s="311"/>
      <c r="Z675" s="311"/>
      <c r="AA675" s="311"/>
      <c r="AB675" s="311"/>
      <c r="AC675" s="311"/>
      <c r="AD675" s="311"/>
      <c r="AE675" s="311"/>
      <c r="AF675" s="311"/>
      <c r="AG675" s="311"/>
      <c r="AH675" s="311"/>
      <c r="AI675" s="311"/>
      <c r="AJ675" s="311"/>
      <c r="AK675" s="311"/>
      <c r="AL675" s="311"/>
      <c r="AM675" s="311"/>
    </row>
    <row r="676" spans="1:39" ht="15.75" customHeight="1">
      <c r="A676" s="382"/>
      <c r="B676" s="311"/>
      <c r="C676" s="1647"/>
      <c r="D676" s="2173"/>
      <c r="E676" s="1586"/>
      <c r="F676" s="1954"/>
      <c r="G676" s="1846"/>
      <c r="H676" s="1586"/>
      <c r="I676" s="1647"/>
      <c r="J676" s="2187"/>
      <c r="K676" s="1647"/>
      <c r="L676" s="1647"/>
      <c r="M676" s="2174"/>
      <c r="N676" s="836"/>
      <c r="O676" s="836"/>
      <c r="P676" s="2174"/>
      <c r="Q676" s="836"/>
      <c r="R676" s="309"/>
      <c r="S676" s="309"/>
      <c r="T676" s="309"/>
      <c r="U676" s="309"/>
      <c r="V676" s="311"/>
      <c r="W676" s="311"/>
      <c r="X676" s="311"/>
      <c r="Y676" s="311"/>
      <c r="Z676" s="311"/>
      <c r="AA676" s="311"/>
      <c r="AB676" s="311"/>
      <c r="AC676" s="311"/>
      <c r="AD676" s="311"/>
      <c r="AE676" s="311"/>
      <c r="AF676" s="311"/>
      <c r="AG676" s="311"/>
      <c r="AH676" s="311"/>
      <c r="AI676" s="311"/>
      <c r="AJ676" s="311"/>
      <c r="AK676" s="311"/>
      <c r="AL676" s="311"/>
      <c r="AM676" s="311"/>
    </row>
    <row r="677" spans="1:39" ht="15.75" customHeight="1">
      <c r="A677" s="382"/>
      <c r="B677" s="311"/>
      <c r="C677" s="1647"/>
      <c r="D677" s="2173"/>
      <c r="E677" s="1586"/>
      <c r="F677" s="1954"/>
      <c r="G677" s="1846"/>
      <c r="H677" s="1586"/>
      <c r="I677" s="1647"/>
      <c r="J677" s="2187"/>
      <c r="K677" s="1647"/>
      <c r="L677" s="1647"/>
      <c r="M677" s="2174"/>
      <c r="N677" s="836"/>
      <c r="O677" s="836"/>
      <c r="P677" s="2174"/>
      <c r="Q677" s="836"/>
      <c r="R677" s="309"/>
      <c r="S677" s="309"/>
      <c r="T677" s="309"/>
      <c r="U677" s="309"/>
      <c r="V677" s="311"/>
      <c r="W677" s="311"/>
      <c r="X677" s="311"/>
      <c r="Y677" s="311"/>
      <c r="Z677" s="311"/>
      <c r="AA677" s="311"/>
      <c r="AB677" s="311"/>
      <c r="AC677" s="311"/>
      <c r="AD677" s="311"/>
      <c r="AE677" s="311"/>
      <c r="AF677" s="311"/>
      <c r="AG677" s="311"/>
      <c r="AH677" s="311"/>
      <c r="AI677" s="311"/>
      <c r="AJ677" s="311"/>
      <c r="AK677" s="311"/>
      <c r="AL677" s="311"/>
      <c r="AM677" s="311"/>
    </row>
    <row r="678" spans="1:39" ht="15.75" customHeight="1">
      <c r="A678" s="382"/>
      <c r="B678" s="311"/>
      <c r="C678" s="1647"/>
      <c r="D678" s="2173"/>
      <c r="E678" s="1586"/>
      <c r="F678" s="1954"/>
      <c r="G678" s="1846"/>
      <c r="H678" s="1586"/>
      <c r="I678" s="1647"/>
      <c r="J678" s="2187"/>
      <c r="K678" s="1647"/>
      <c r="L678" s="1647"/>
      <c r="M678" s="2174"/>
      <c r="N678" s="836"/>
      <c r="O678" s="836"/>
      <c r="P678" s="2174"/>
      <c r="Q678" s="836"/>
      <c r="R678" s="309"/>
      <c r="S678" s="309"/>
      <c r="T678" s="309"/>
      <c r="U678" s="309"/>
      <c r="V678" s="311"/>
      <c r="W678" s="311"/>
      <c r="X678" s="311"/>
      <c r="Y678" s="311"/>
      <c r="Z678" s="311"/>
      <c r="AA678" s="311"/>
      <c r="AB678" s="311"/>
      <c r="AC678" s="311"/>
      <c r="AD678" s="311"/>
      <c r="AE678" s="311"/>
      <c r="AF678" s="311"/>
      <c r="AG678" s="311"/>
      <c r="AH678" s="311"/>
      <c r="AI678" s="311"/>
      <c r="AJ678" s="311"/>
      <c r="AK678" s="311"/>
      <c r="AL678" s="311"/>
      <c r="AM678" s="311"/>
    </row>
    <row r="679" spans="1:39" ht="15.75" customHeight="1">
      <c r="A679" s="382"/>
      <c r="B679" s="311"/>
      <c r="C679" s="1647"/>
      <c r="D679" s="2173"/>
      <c r="E679" s="1586"/>
      <c r="F679" s="1954"/>
      <c r="G679" s="1846"/>
      <c r="H679" s="1586"/>
      <c r="I679" s="1647"/>
      <c r="J679" s="2187"/>
      <c r="K679" s="1647"/>
      <c r="L679" s="1647"/>
      <c r="M679" s="2174"/>
      <c r="N679" s="836"/>
      <c r="O679" s="836"/>
      <c r="P679" s="2174"/>
      <c r="Q679" s="836"/>
      <c r="R679" s="309"/>
      <c r="S679" s="309"/>
      <c r="T679" s="309"/>
      <c r="U679" s="309"/>
      <c r="V679" s="311"/>
      <c r="W679" s="311"/>
      <c r="X679" s="311"/>
      <c r="Y679" s="311"/>
      <c r="Z679" s="311"/>
      <c r="AA679" s="311"/>
      <c r="AB679" s="311"/>
      <c r="AC679" s="311"/>
      <c r="AD679" s="311"/>
      <c r="AE679" s="311"/>
      <c r="AF679" s="311"/>
      <c r="AG679" s="311"/>
      <c r="AH679" s="311"/>
      <c r="AI679" s="311"/>
      <c r="AJ679" s="311"/>
      <c r="AK679" s="311"/>
      <c r="AL679" s="311"/>
      <c r="AM679" s="311"/>
    </row>
    <row r="680" spans="1:39" ht="15.75" customHeight="1">
      <c r="A680" s="382"/>
      <c r="B680" s="311"/>
      <c r="C680" s="1647"/>
      <c r="D680" s="2173"/>
      <c r="E680" s="1586"/>
      <c r="F680" s="1954"/>
      <c r="G680" s="1846"/>
      <c r="H680" s="1586"/>
      <c r="I680" s="1647"/>
      <c r="J680" s="2187"/>
      <c r="K680" s="1647"/>
      <c r="L680" s="1647"/>
      <c r="M680" s="2174"/>
      <c r="N680" s="836"/>
      <c r="O680" s="836"/>
      <c r="P680" s="2174"/>
      <c r="Q680" s="836"/>
      <c r="R680" s="309"/>
      <c r="S680" s="309"/>
      <c r="T680" s="309"/>
      <c r="U680" s="309"/>
      <c r="V680" s="311"/>
      <c r="W680" s="311"/>
      <c r="X680" s="311"/>
      <c r="Y680" s="311"/>
      <c r="Z680" s="311"/>
      <c r="AA680" s="311"/>
      <c r="AB680" s="311"/>
      <c r="AC680" s="311"/>
      <c r="AD680" s="311"/>
      <c r="AE680" s="311"/>
      <c r="AF680" s="311"/>
      <c r="AG680" s="311"/>
      <c r="AH680" s="311"/>
      <c r="AI680" s="311"/>
      <c r="AJ680" s="311"/>
      <c r="AK680" s="311"/>
      <c r="AL680" s="311"/>
      <c r="AM680" s="311"/>
    </row>
    <row r="681" spans="1:39" ht="15.75" customHeight="1">
      <c r="A681" s="382"/>
      <c r="B681" s="311"/>
      <c r="C681" s="1647"/>
      <c r="D681" s="2173"/>
      <c r="E681" s="1586"/>
      <c r="F681" s="1954"/>
      <c r="G681" s="1846"/>
      <c r="H681" s="1586"/>
      <c r="I681" s="1647"/>
      <c r="J681" s="2187"/>
      <c r="K681" s="1647"/>
      <c r="L681" s="1647"/>
      <c r="M681" s="2174"/>
      <c r="N681" s="836"/>
      <c r="O681" s="836"/>
      <c r="P681" s="2174"/>
      <c r="Q681" s="836"/>
      <c r="R681" s="309"/>
      <c r="S681" s="309"/>
      <c r="T681" s="309"/>
      <c r="U681" s="309"/>
      <c r="V681" s="311"/>
      <c r="W681" s="311"/>
      <c r="X681" s="311"/>
      <c r="Y681" s="311"/>
      <c r="Z681" s="311"/>
      <c r="AA681" s="311"/>
      <c r="AB681" s="311"/>
      <c r="AC681" s="311"/>
      <c r="AD681" s="311"/>
      <c r="AE681" s="311"/>
      <c r="AF681" s="311"/>
      <c r="AG681" s="311"/>
      <c r="AH681" s="311"/>
      <c r="AI681" s="311"/>
      <c r="AJ681" s="311"/>
      <c r="AK681" s="311"/>
      <c r="AL681" s="311"/>
      <c r="AM681" s="311"/>
    </row>
    <row r="682" spans="1:39" ht="15.75" customHeight="1">
      <c r="A682" s="382"/>
      <c r="B682" s="311"/>
      <c r="C682" s="1647"/>
      <c r="D682" s="2173"/>
      <c r="E682" s="1586"/>
      <c r="F682" s="1954"/>
      <c r="G682" s="1846"/>
      <c r="H682" s="1586"/>
      <c r="I682" s="1647"/>
      <c r="J682" s="2187"/>
      <c r="K682" s="1647"/>
      <c r="L682" s="1647"/>
      <c r="M682" s="2174"/>
      <c r="N682" s="836"/>
      <c r="O682" s="836"/>
      <c r="P682" s="2174"/>
      <c r="Q682" s="836"/>
      <c r="R682" s="309"/>
      <c r="S682" s="309"/>
      <c r="T682" s="309"/>
      <c r="U682" s="309"/>
      <c r="V682" s="311"/>
      <c r="W682" s="311"/>
      <c r="X682" s="311"/>
      <c r="Y682" s="311"/>
      <c r="Z682" s="311"/>
      <c r="AA682" s="311"/>
      <c r="AB682" s="311"/>
      <c r="AC682" s="311"/>
      <c r="AD682" s="311"/>
      <c r="AE682" s="311"/>
      <c r="AF682" s="311"/>
      <c r="AG682" s="311"/>
      <c r="AH682" s="311"/>
      <c r="AI682" s="311"/>
      <c r="AJ682" s="311"/>
      <c r="AK682" s="311"/>
      <c r="AL682" s="311"/>
      <c r="AM682" s="311"/>
    </row>
    <row r="683" spans="1:39" ht="15.75" customHeight="1">
      <c r="A683" s="382"/>
      <c r="B683" s="311"/>
      <c r="C683" s="1647"/>
      <c r="D683" s="2173"/>
      <c r="E683" s="1586"/>
      <c r="F683" s="1954"/>
      <c r="G683" s="1846"/>
      <c r="H683" s="1586"/>
      <c r="I683" s="1647"/>
      <c r="J683" s="2187"/>
      <c r="K683" s="1647"/>
      <c r="L683" s="1647"/>
      <c r="M683" s="2174"/>
      <c r="N683" s="836"/>
      <c r="O683" s="836"/>
      <c r="P683" s="2174"/>
      <c r="Q683" s="836"/>
      <c r="R683" s="309"/>
      <c r="S683" s="309"/>
      <c r="T683" s="309"/>
      <c r="U683" s="309"/>
      <c r="V683" s="311"/>
      <c r="W683" s="311"/>
      <c r="X683" s="311"/>
      <c r="Y683" s="311"/>
      <c r="Z683" s="311"/>
      <c r="AA683" s="311"/>
      <c r="AB683" s="311"/>
      <c r="AC683" s="311"/>
      <c r="AD683" s="311"/>
      <c r="AE683" s="311"/>
      <c r="AF683" s="311"/>
      <c r="AG683" s="311"/>
      <c r="AH683" s="311"/>
      <c r="AI683" s="311"/>
      <c r="AJ683" s="311"/>
      <c r="AK683" s="311"/>
      <c r="AL683" s="311"/>
      <c r="AM683" s="311"/>
    </row>
    <row r="684" spans="1:39" ht="15.75" customHeight="1">
      <c r="A684" s="382"/>
      <c r="B684" s="311"/>
      <c r="C684" s="1647"/>
      <c r="D684" s="2173"/>
      <c r="E684" s="1586"/>
      <c r="F684" s="1954"/>
      <c r="G684" s="1846"/>
      <c r="H684" s="1586"/>
      <c r="I684" s="1647"/>
      <c r="J684" s="2187"/>
      <c r="K684" s="1647"/>
      <c r="L684" s="1647"/>
      <c r="M684" s="2174"/>
      <c r="N684" s="836"/>
      <c r="O684" s="836"/>
      <c r="P684" s="2174"/>
      <c r="Q684" s="836"/>
      <c r="R684" s="309"/>
      <c r="S684" s="309"/>
      <c r="T684" s="309"/>
      <c r="U684" s="309"/>
      <c r="V684" s="311"/>
      <c r="W684" s="311"/>
      <c r="X684" s="311"/>
      <c r="Y684" s="311"/>
      <c r="Z684" s="311"/>
      <c r="AA684" s="311"/>
      <c r="AB684" s="311"/>
      <c r="AC684" s="311"/>
      <c r="AD684" s="311"/>
      <c r="AE684" s="311"/>
      <c r="AF684" s="311"/>
      <c r="AG684" s="311"/>
      <c r="AH684" s="311"/>
      <c r="AI684" s="311"/>
      <c r="AJ684" s="311"/>
      <c r="AK684" s="311"/>
      <c r="AL684" s="311"/>
      <c r="AM684" s="311"/>
    </row>
    <row r="685" spans="1:39" ht="15.75" customHeight="1">
      <c r="A685" s="382"/>
      <c r="B685" s="311"/>
      <c r="C685" s="1647"/>
      <c r="D685" s="2173"/>
      <c r="E685" s="1586"/>
      <c r="F685" s="1954"/>
      <c r="G685" s="1846"/>
      <c r="H685" s="1586"/>
      <c r="I685" s="1647"/>
      <c r="J685" s="2187"/>
      <c r="K685" s="1647"/>
      <c r="L685" s="1647"/>
      <c r="M685" s="2174"/>
      <c r="N685" s="836"/>
      <c r="O685" s="836"/>
      <c r="P685" s="2174"/>
      <c r="Q685" s="836"/>
      <c r="R685" s="309"/>
      <c r="S685" s="309"/>
      <c r="T685" s="309"/>
      <c r="U685" s="309"/>
      <c r="V685" s="311"/>
      <c r="W685" s="311"/>
      <c r="X685" s="311"/>
      <c r="Y685" s="311"/>
      <c r="Z685" s="311"/>
      <c r="AA685" s="311"/>
      <c r="AB685" s="311"/>
      <c r="AC685" s="311"/>
      <c r="AD685" s="311"/>
      <c r="AE685" s="311"/>
      <c r="AF685" s="311"/>
      <c r="AG685" s="311"/>
      <c r="AH685" s="311"/>
      <c r="AI685" s="311"/>
      <c r="AJ685" s="311"/>
      <c r="AK685" s="311"/>
      <c r="AL685" s="311"/>
      <c r="AM685" s="311"/>
    </row>
    <row r="686" spans="1:39" ht="15.75" customHeight="1">
      <c r="A686" s="382"/>
      <c r="B686" s="311"/>
      <c r="C686" s="1647"/>
      <c r="D686" s="2173"/>
      <c r="E686" s="1586"/>
      <c r="F686" s="1954"/>
      <c r="G686" s="1846"/>
      <c r="H686" s="1586"/>
      <c r="I686" s="1647"/>
      <c r="J686" s="2187"/>
      <c r="K686" s="1647"/>
      <c r="L686" s="1647"/>
      <c r="M686" s="2174"/>
      <c r="N686" s="836"/>
      <c r="O686" s="836"/>
      <c r="P686" s="2174"/>
      <c r="Q686" s="836"/>
      <c r="R686" s="309"/>
      <c r="S686" s="309"/>
      <c r="T686" s="309"/>
      <c r="U686" s="309"/>
      <c r="V686" s="311"/>
      <c r="W686" s="311"/>
      <c r="X686" s="311"/>
      <c r="Y686" s="311"/>
      <c r="Z686" s="311"/>
      <c r="AA686" s="311"/>
      <c r="AB686" s="311"/>
      <c r="AC686" s="311"/>
      <c r="AD686" s="311"/>
      <c r="AE686" s="311"/>
      <c r="AF686" s="311"/>
      <c r="AG686" s="311"/>
      <c r="AH686" s="311"/>
      <c r="AI686" s="311"/>
      <c r="AJ686" s="311"/>
      <c r="AK686" s="311"/>
      <c r="AL686" s="311"/>
      <c r="AM686" s="311"/>
    </row>
    <row r="687" spans="1:39" ht="15.75" customHeight="1">
      <c r="A687" s="382"/>
      <c r="B687" s="311"/>
      <c r="C687" s="1647"/>
      <c r="D687" s="2173"/>
      <c r="E687" s="1586"/>
      <c r="F687" s="1954"/>
      <c r="G687" s="1846"/>
      <c r="H687" s="1586"/>
      <c r="I687" s="1647"/>
      <c r="J687" s="2187"/>
      <c r="K687" s="1647"/>
      <c r="L687" s="1647"/>
      <c r="M687" s="2174"/>
      <c r="N687" s="836"/>
      <c r="O687" s="836"/>
      <c r="P687" s="2174"/>
      <c r="Q687" s="836"/>
      <c r="R687" s="309"/>
      <c r="S687" s="309"/>
      <c r="T687" s="309"/>
      <c r="U687" s="309"/>
      <c r="V687" s="311"/>
      <c r="W687" s="311"/>
      <c r="X687" s="311"/>
      <c r="Y687" s="311"/>
      <c r="Z687" s="311"/>
      <c r="AA687" s="311"/>
      <c r="AB687" s="311"/>
      <c r="AC687" s="311"/>
      <c r="AD687" s="311"/>
      <c r="AE687" s="311"/>
      <c r="AF687" s="311"/>
      <c r="AG687" s="311"/>
      <c r="AH687" s="311"/>
      <c r="AI687" s="311"/>
      <c r="AJ687" s="311"/>
      <c r="AK687" s="311"/>
      <c r="AL687" s="311"/>
      <c r="AM687" s="311"/>
    </row>
    <row r="688" spans="1:39" ht="15.75" customHeight="1">
      <c r="A688" s="382"/>
      <c r="B688" s="311"/>
      <c r="C688" s="1647"/>
      <c r="D688" s="2173"/>
      <c r="E688" s="1586"/>
      <c r="F688" s="1954"/>
      <c r="G688" s="1846"/>
      <c r="H688" s="1586"/>
      <c r="I688" s="1647"/>
      <c r="J688" s="2187"/>
      <c r="K688" s="1647"/>
      <c r="L688" s="1647"/>
      <c r="M688" s="2174"/>
      <c r="N688" s="836"/>
      <c r="O688" s="836"/>
      <c r="P688" s="2174"/>
      <c r="Q688" s="836"/>
      <c r="R688" s="309"/>
      <c r="S688" s="309"/>
      <c r="T688" s="309"/>
      <c r="U688" s="309"/>
      <c r="V688" s="311"/>
      <c r="W688" s="311"/>
      <c r="X688" s="311"/>
      <c r="Y688" s="311"/>
      <c r="Z688" s="311"/>
      <c r="AA688" s="311"/>
      <c r="AB688" s="311"/>
      <c r="AC688" s="311"/>
      <c r="AD688" s="311"/>
      <c r="AE688" s="311"/>
      <c r="AF688" s="311"/>
      <c r="AG688" s="311"/>
      <c r="AH688" s="311"/>
      <c r="AI688" s="311"/>
      <c r="AJ688" s="311"/>
      <c r="AK688" s="311"/>
      <c r="AL688" s="311"/>
      <c r="AM688" s="311"/>
    </row>
    <row r="689" spans="1:39" ht="15.75" customHeight="1">
      <c r="A689" s="382"/>
      <c r="B689" s="311"/>
      <c r="C689" s="1647"/>
      <c r="D689" s="2173"/>
      <c r="E689" s="1586"/>
      <c r="F689" s="1954"/>
      <c r="G689" s="1846"/>
      <c r="H689" s="1586"/>
      <c r="I689" s="1647"/>
      <c r="J689" s="2187"/>
      <c r="K689" s="1647"/>
      <c r="L689" s="1647"/>
      <c r="M689" s="2174"/>
      <c r="N689" s="836"/>
      <c r="O689" s="836"/>
      <c r="P689" s="2174"/>
      <c r="Q689" s="836"/>
      <c r="R689" s="309"/>
      <c r="S689" s="309"/>
      <c r="T689" s="309"/>
      <c r="U689" s="309"/>
      <c r="V689" s="311"/>
      <c r="W689" s="311"/>
      <c r="X689" s="311"/>
      <c r="Y689" s="311"/>
      <c r="Z689" s="311"/>
      <c r="AA689" s="311"/>
      <c r="AB689" s="311"/>
      <c r="AC689" s="311"/>
      <c r="AD689" s="311"/>
      <c r="AE689" s="311"/>
      <c r="AF689" s="311"/>
      <c r="AG689" s="311"/>
      <c r="AH689" s="311"/>
      <c r="AI689" s="311"/>
      <c r="AJ689" s="311"/>
      <c r="AK689" s="311"/>
      <c r="AL689" s="311"/>
      <c r="AM689" s="311"/>
    </row>
    <row r="690" spans="1:39" ht="15.75" customHeight="1">
      <c r="A690" s="382"/>
      <c r="B690" s="311"/>
      <c r="C690" s="1647"/>
      <c r="D690" s="2173"/>
      <c r="E690" s="1586"/>
      <c r="F690" s="1954"/>
      <c r="G690" s="1846"/>
      <c r="H690" s="1586"/>
      <c r="I690" s="1647"/>
      <c r="J690" s="2187"/>
      <c r="K690" s="1647"/>
      <c r="L690" s="1647"/>
      <c r="M690" s="2174"/>
      <c r="N690" s="836"/>
      <c r="O690" s="836"/>
      <c r="P690" s="2174"/>
      <c r="Q690" s="836"/>
      <c r="R690" s="309"/>
      <c r="S690" s="309"/>
      <c r="T690" s="309"/>
      <c r="U690" s="309"/>
      <c r="V690" s="311"/>
      <c r="W690" s="311"/>
      <c r="X690" s="311"/>
      <c r="Y690" s="311"/>
      <c r="Z690" s="311"/>
      <c r="AA690" s="311"/>
      <c r="AB690" s="311"/>
      <c r="AC690" s="311"/>
      <c r="AD690" s="311"/>
      <c r="AE690" s="311"/>
      <c r="AF690" s="311"/>
      <c r="AG690" s="311"/>
      <c r="AH690" s="311"/>
      <c r="AI690" s="311"/>
      <c r="AJ690" s="311"/>
      <c r="AK690" s="311"/>
      <c r="AL690" s="311"/>
      <c r="AM690" s="311"/>
    </row>
    <row r="691" spans="1:39" ht="15.75" customHeight="1">
      <c r="A691" s="382"/>
      <c r="B691" s="311"/>
      <c r="C691" s="1647"/>
      <c r="D691" s="2173"/>
      <c r="E691" s="1586"/>
      <c r="F691" s="1954"/>
      <c r="G691" s="1846"/>
      <c r="H691" s="1586"/>
      <c r="I691" s="1647"/>
      <c r="J691" s="2187"/>
      <c r="K691" s="1647"/>
      <c r="L691" s="1647"/>
      <c r="M691" s="2174"/>
      <c r="N691" s="836"/>
      <c r="O691" s="836"/>
      <c r="P691" s="2174"/>
      <c r="Q691" s="836"/>
      <c r="R691" s="309"/>
      <c r="S691" s="309"/>
      <c r="T691" s="309"/>
      <c r="U691" s="309"/>
      <c r="V691" s="311"/>
      <c r="W691" s="311"/>
      <c r="X691" s="311"/>
      <c r="Y691" s="311"/>
      <c r="Z691" s="311"/>
      <c r="AA691" s="311"/>
      <c r="AB691" s="311"/>
      <c r="AC691" s="311"/>
      <c r="AD691" s="311"/>
      <c r="AE691" s="311"/>
      <c r="AF691" s="311"/>
      <c r="AG691" s="311"/>
      <c r="AH691" s="311"/>
      <c r="AI691" s="311"/>
      <c r="AJ691" s="311"/>
      <c r="AK691" s="311"/>
      <c r="AL691" s="311"/>
      <c r="AM691" s="311"/>
    </row>
    <row r="692" spans="1:39" ht="15.75" customHeight="1">
      <c r="A692" s="382"/>
      <c r="B692" s="311"/>
      <c r="C692" s="1647"/>
      <c r="D692" s="2173"/>
      <c r="E692" s="1586"/>
      <c r="F692" s="1954"/>
      <c r="G692" s="1846"/>
      <c r="H692" s="1586"/>
      <c r="I692" s="1647"/>
      <c r="J692" s="2187"/>
      <c r="K692" s="1647"/>
      <c r="L692" s="1647"/>
      <c r="M692" s="2174"/>
      <c r="N692" s="836"/>
      <c r="O692" s="836"/>
      <c r="P692" s="2174"/>
      <c r="Q692" s="836"/>
      <c r="R692" s="309"/>
      <c r="S692" s="309"/>
      <c r="T692" s="309"/>
      <c r="U692" s="309"/>
      <c r="V692" s="311"/>
      <c r="W692" s="311"/>
      <c r="X692" s="311"/>
      <c r="Y692" s="311"/>
      <c r="Z692" s="311"/>
      <c r="AA692" s="311"/>
      <c r="AB692" s="311"/>
      <c r="AC692" s="311"/>
      <c r="AD692" s="311"/>
      <c r="AE692" s="311"/>
      <c r="AF692" s="311"/>
      <c r="AG692" s="311"/>
      <c r="AH692" s="311"/>
      <c r="AI692" s="311"/>
      <c r="AJ692" s="311"/>
      <c r="AK692" s="311"/>
      <c r="AL692" s="311"/>
      <c r="AM692" s="311"/>
    </row>
    <row r="693" spans="1:39" ht="15.75" customHeight="1">
      <c r="A693" s="382"/>
      <c r="B693" s="311"/>
      <c r="C693" s="1647"/>
      <c r="D693" s="2173"/>
      <c r="E693" s="1586"/>
      <c r="F693" s="1954"/>
      <c r="G693" s="1846"/>
      <c r="H693" s="1586"/>
      <c r="I693" s="1647"/>
      <c r="J693" s="2187"/>
      <c r="K693" s="1647"/>
      <c r="L693" s="1647"/>
      <c r="M693" s="2174"/>
      <c r="N693" s="836"/>
      <c r="O693" s="836"/>
      <c r="P693" s="2174"/>
      <c r="Q693" s="836"/>
      <c r="R693" s="309"/>
      <c r="S693" s="309"/>
      <c r="T693" s="309"/>
      <c r="U693" s="309"/>
      <c r="V693" s="311"/>
      <c r="W693" s="311"/>
      <c r="X693" s="311"/>
      <c r="Y693" s="311"/>
      <c r="Z693" s="311"/>
      <c r="AA693" s="311"/>
      <c r="AB693" s="311"/>
      <c r="AC693" s="311"/>
      <c r="AD693" s="311"/>
      <c r="AE693" s="311"/>
      <c r="AF693" s="311"/>
      <c r="AG693" s="311"/>
      <c r="AH693" s="311"/>
      <c r="AI693" s="311"/>
      <c r="AJ693" s="311"/>
      <c r="AK693" s="311"/>
      <c r="AL693" s="311"/>
      <c r="AM693" s="311"/>
    </row>
    <row r="694" spans="1:39" ht="15.75" customHeight="1">
      <c r="A694" s="382"/>
      <c r="B694" s="311"/>
      <c r="C694" s="1647"/>
      <c r="D694" s="2173"/>
      <c r="E694" s="1586"/>
      <c r="F694" s="1954"/>
      <c r="G694" s="1846"/>
      <c r="H694" s="1586"/>
      <c r="I694" s="1647"/>
      <c r="J694" s="2187"/>
      <c r="K694" s="1647"/>
      <c r="L694" s="1647"/>
      <c r="M694" s="2174"/>
      <c r="N694" s="836"/>
      <c r="O694" s="836"/>
      <c r="P694" s="2174"/>
      <c r="Q694" s="836"/>
      <c r="R694" s="309"/>
      <c r="S694" s="309"/>
      <c r="T694" s="309"/>
      <c r="U694" s="309"/>
      <c r="V694" s="311"/>
      <c r="W694" s="311"/>
      <c r="X694" s="311"/>
      <c r="Y694" s="311"/>
      <c r="Z694" s="311"/>
      <c r="AA694" s="311"/>
      <c r="AB694" s="311"/>
      <c r="AC694" s="311"/>
      <c r="AD694" s="311"/>
      <c r="AE694" s="311"/>
      <c r="AF694" s="311"/>
      <c r="AG694" s="311"/>
      <c r="AH694" s="311"/>
      <c r="AI694" s="311"/>
      <c r="AJ694" s="311"/>
      <c r="AK694" s="311"/>
      <c r="AL694" s="311"/>
      <c r="AM694" s="311"/>
    </row>
    <row r="695" spans="1:39" ht="15.75" customHeight="1">
      <c r="A695" s="382"/>
      <c r="B695" s="311"/>
      <c r="C695" s="1647"/>
      <c r="D695" s="2173"/>
      <c r="E695" s="1586"/>
      <c r="F695" s="1954"/>
      <c r="G695" s="1846"/>
      <c r="H695" s="1586"/>
      <c r="I695" s="1647"/>
      <c r="J695" s="2187"/>
      <c r="K695" s="1647"/>
      <c r="L695" s="1647"/>
      <c r="M695" s="2174"/>
      <c r="N695" s="836"/>
      <c r="O695" s="836"/>
      <c r="P695" s="2174"/>
      <c r="Q695" s="836"/>
      <c r="R695" s="309"/>
      <c r="S695" s="309"/>
      <c r="T695" s="309"/>
      <c r="U695" s="309"/>
      <c r="V695" s="311"/>
      <c r="W695" s="311"/>
      <c r="X695" s="311"/>
      <c r="Y695" s="311"/>
      <c r="Z695" s="311"/>
      <c r="AA695" s="311"/>
      <c r="AB695" s="311"/>
      <c r="AC695" s="311"/>
      <c r="AD695" s="311"/>
      <c r="AE695" s="311"/>
      <c r="AF695" s="311"/>
      <c r="AG695" s="311"/>
      <c r="AH695" s="311"/>
      <c r="AI695" s="311"/>
      <c r="AJ695" s="311"/>
      <c r="AK695" s="311"/>
      <c r="AL695" s="311"/>
      <c r="AM695" s="311"/>
    </row>
    <row r="696" spans="1:39" ht="15.75" customHeight="1">
      <c r="A696" s="382"/>
      <c r="B696" s="311"/>
      <c r="C696" s="1647"/>
      <c r="D696" s="2173"/>
      <c r="E696" s="1586"/>
      <c r="F696" s="1954"/>
      <c r="G696" s="1846"/>
      <c r="H696" s="1586"/>
      <c r="I696" s="1647"/>
      <c r="J696" s="2187"/>
      <c r="K696" s="1647"/>
      <c r="L696" s="1647"/>
      <c r="M696" s="2174"/>
      <c r="N696" s="836"/>
      <c r="O696" s="836"/>
      <c r="P696" s="2174"/>
      <c r="Q696" s="836"/>
      <c r="R696" s="309"/>
      <c r="S696" s="309"/>
      <c r="T696" s="309"/>
      <c r="U696" s="309"/>
      <c r="V696" s="311"/>
      <c r="W696" s="311"/>
      <c r="X696" s="311"/>
      <c r="Y696" s="311"/>
      <c r="Z696" s="311"/>
      <c r="AA696" s="311"/>
      <c r="AB696" s="311"/>
      <c r="AC696" s="311"/>
      <c r="AD696" s="311"/>
      <c r="AE696" s="311"/>
      <c r="AF696" s="311"/>
      <c r="AG696" s="311"/>
      <c r="AH696" s="311"/>
      <c r="AI696" s="311"/>
      <c r="AJ696" s="311"/>
      <c r="AK696" s="311"/>
      <c r="AL696" s="311"/>
      <c r="AM696" s="311"/>
    </row>
    <row r="697" spans="1:39" ht="15.75" customHeight="1">
      <c r="A697" s="382"/>
      <c r="B697" s="311"/>
      <c r="C697" s="1647"/>
      <c r="D697" s="2173"/>
      <c r="E697" s="1586"/>
      <c r="F697" s="1954"/>
      <c r="G697" s="1846"/>
      <c r="H697" s="1586"/>
      <c r="I697" s="1647"/>
      <c r="J697" s="2187"/>
      <c r="K697" s="1647"/>
      <c r="L697" s="1647"/>
      <c r="M697" s="2174"/>
      <c r="N697" s="836"/>
      <c r="O697" s="836"/>
      <c r="P697" s="2174"/>
      <c r="Q697" s="836"/>
      <c r="R697" s="309"/>
      <c r="S697" s="309"/>
      <c r="T697" s="309"/>
      <c r="U697" s="309"/>
      <c r="V697" s="311"/>
      <c r="W697" s="311"/>
      <c r="X697" s="311"/>
      <c r="Y697" s="311"/>
      <c r="Z697" s="311"/>
      <c r="AA697" s="311"/>
      <c r="AB697" s="311"/>
      <c r="AC697" s="311"/>
      <c r="AD697" s="311"/>
      <c r="AE697" s="311"/>
      <c r="AF697" s="311"/>
      <c r="AG697" s="311"/>
      <c r="AH697" s="311"/>
      <c r="AI697" s="311"/>
      <c r="AJ697" s="311"/>
      <c r="AK697" s="311"/>
      <c r="AL697" s="311"/>
      <c r="AM697" s="311"/>
    </row>
    <row r="698" spans="1:39" ht="15.75" customHeight="1">
      <c r="A698" s="382"/>
      <c r="B698" s="311"/>
      <c r="C698" s="1647"/>
      <c r="D698" s="2173"/>
      <c r="E698" s="1586"/>
      <c r="F698" s="1954"/>
      <c r="G698" s="1846"/>
      <c r="H698" s="1586"/>
      <c r="I698" s="1647"/>
      <c r="J698" s="2187"/>
      <c r="K698" s="1647"/>
      <c r="L698" s="1647"/>
      <c r="M698" s="2174"/>
      <c r="N698" s="836"/>
      <c r="O698" s="836"/>
      <c r="P698" s="2174"/>
      <c r="Q698" s="836"/>
      <c r="R698" s="309"/>
      <c r="S698" s="309"/>
      <c r="T698" s="309"/>
      <c r="U698" s="309"/>
      <c r="V698" s="311"/>
      <c r="W698" s="311"/>
      <c r="X698" s="311"/>
      <c r="Y698" s="311"/>
      <c r="Z698" s="311"/>
      <c r="AA698" s="311"/>
      <c r="AB698" s="311"/>
      <c r="AC698" s="311"/>
      <c r="AD698" s="311"/>
      <c r="AE698" s="311"/>
      <c r="AF698" s="311"/>
      <c r="AG698" s="311"/>
      <c r="AH698" s="311"/>
      <c r="AI698" s="311"/>
      <c r="AJ698" s="311"/>
      <c r="AK698" s="311"/>
      <c r="AL698" s="311"/>
      <c r="AM698" s="311"/>
    </row>
    <row r="699" spans="1:39" ht="15.75" customHeight="1">
      <c r="A699" s="382"/>
      <c r="B699" s="311"/>
      <c r="C699" s="1647"/>
      <c r="D699" s="2173"/>
      <c r="E699" s="1586"/>
      <c r="F699" s="1954"/>
      <c r="G699" s="1846"/>
      <c r="H699" s="1586"/>
      <c r="I699" s="1647"/>
      <c r="J699" s="2187"/>
      <c r="K699" s="1647"/>
      <c r="L699" s="1647"/>
      <c r="M699" s="2174"/>
      <c r="N699" s="836"/>
      <c r="O699" s="836"/>
      <c r="P699" s="2174"/>
      <c r="Q699" s="836"/>
      <c r="R699" s="309"/>
      <c r="S699" s="309"/>
      <c r="T699" s="309"/>
      <c r="U699" s="309"/>
      <c r="V699" s="311"/>
      <c r="W699" s="311"/>
      <c r="X699" s="311"/>
      <c r="Y699" s="311"/>
      <c r="Z699" s="311"/>
      <c r="AA699" s="311"/>
      <c r="AB699" s="311"/>
      <c r="AC699" s="311"/>
      <c r="AD699" s="311"/>
      <c r="AE699" s="311"/>
      <c r="AF699" s="311"/>
      <c r="AG699" s="311"/>
      <c r="AH699" s="311"/>
      <c r="AI699" s="311"/>
      <c r="AJ699" s="311"/>
      <c r="AK699" s="311"/>
      <c r="AL699" s="311"/>
      <c r="AM699" s="311"/>
    </row>
    <row r="700" spans="1:39" ht="15.75" customHeight="1">
      <c r="A700" s="382"/>
      <c r="B700" s="311"/>
      <c r="C700" s="1647"/>
      <c r="D700" s="2173"/>
      <c r="E700" s="1586"/>
      <c r="F700" s="1954"/>
      <c r="G700" s="1846"/>
      <c r="H700" s="1586"/>
      <c r="I700" s="1647"/>
      <c r="J700" s="2187"/>
      <c r="K700" s="1647"/>
      <c r="L700" s="1647"/>
      <c r="M700" s="2174"/>
      <c r="N700" s="836"/>
      <c r="O700" s="836"/>
      <c r="P700" s="2174"/>
      <c r="Q700" s="836"/>
      <c r="R700" s="309"/>
      <c r="S700" s="309"/>
      <c r="T700" s="309"/>
      <c r="U700" s="309"/>
      <c r="V700" s="311"/>
      <c r="W700" s="311"/>
      <c r="X700" s="311"/>
      <c r="Y700" s="311"/>
      <c r="Z700" s="311"/>
      <c r="AA700" s="311"/>
      <c r="AB700" s="311"/>
      <c r="AC700" s="311"/>
      <c r="AD700" s="311"/>
      <c r="AE700" s="311"/>
      <c r="AF700" s="311"/>
      <c r="AG700" s="311"/>
      <c r="AH700" s="311"/>
      <c r="AI700" s="311"/>
      <c r="AJ700" s="311"/>
      <c r="AK700" s="311"/>
      <c r="AL700" s="311"/>
      <c r="AM700" s="311"/>
    </row>
    <row r="701" spans="1:39" ht="15.75" customHeight="1">
      <c r="A701" s="382"/>
      <c r="B701" s="311"/>
      <c r="C701" s="1647"/>
      <c r="D701" s="2173"/>
      <c r="E701" s="1586"/>
      <c r="F701" s="1954"/>
      <c r="G701" s="1846"/>
      <c r="H701" s="1586"/>
      <c r="I701" s="1647"/>
      <c r="J701" s="2187"/>
      <c r="K701" s="1647"/>
      <c r="L701" s="1647"/>
      <c r="M701" s="2174"/>
      <c r="N701" s="836"/>
      <c r="O701" s="836"/>
      <c r="P701" s="2174"/>
      <c r="Q701" s="836"/>
      <c r="R701" s="309"/>
      <c r="S701" s="309"/>
      <c r="T701" s="309"/>
      <c r="U701" s="309"/>
      <c r="V701" s="311"/>
      <c r="W701" s="311"/>
      <c r="X701" s="311"/>
      <c r="Y701" s="311"/>
      <c r="Z701" s="311"/>
      <c r="AA701" s="311"/>
      <c r="AB701" s="311"/>
      <c r="AC701" s="311"/>
      <c r="AD701" s="311"/>
      <c r="AE701" s="311"/>
      <c r="AF701" s="311"/>
      <c r="AG701" s="311"/>
      <c r="AH701" s="311"/>
      <c r="AI701" s="311"/>
      <c r="AJ701" s="311"/>
      <c r="AK701" s="311"/>
      <c r="AL701" s="311"/>
      <c r="AM701" s="311"/>
    </row>
    <row r="702" spans="1:39" ht="15.75" customHeight="1">
      <c r="A702" s="382"/>
      <c r="B702" s="311"/>
      <c r="C702" s="1647"/>
      <c r="D702" s="2173"/>
      <c r="E702" s="1586"/>
      <c r="F702" s="1954"/>
      <c r="G702" s="1846"/>
      <c r="H702" s="1586"/>
      <c r="I702" s="1647"/>
      <c r="J702" s="2187"/>
      <c r="K702" s="1647"/>
      <c r="L702" s="1647"/>
      <c r="M702" s="2174"/>
      <c r="N702" s="836"/>
      <c r="O702" s="836"/>
      <c r="P702" s="2174"/>
      <c r="Q702" s="836"/>
      <c r="R702" s="309"/>
      <c r="S702" s="309"/>
      <c r="T702" s="309"/>
      <c r="U702" s="309"/>
      <c r="V702" s="311"/>
      <c r="W702" s="311"/>
      <c r="X702" s="311"/>
      <c r="Y702" s="311"/>
      <c r="Z702" s="311"/>
      <c r="AA702" s="311"/>
      <c r="AB702" s="311"/>
      <c r="AC702" s="311"/>
      <c r="AD702" s="311"/>
      <c r="AE702" s="311"/>
      <c r="AF702" s="311"/>
      <c r="AG702" s="311"/>
      <c r="AH702" s="311"/>
      <c r="AI702" s="311"/>
      <c r="AJ702" s="311"/>
      <c r="AK702" s="311"/>
      <c r="AL702" s="311"/>
      <c r="AM702" s="311"/>
    </row>
    <row r="703" spans="1:39" ht="15.75" customHeight="1">
      <c r="A703" s="382"/>
      <c r="B703" s="311"/>
      <c r="C703" s="1647"/>
      <c r="D703" s="2173"/>
      <c r="E703" s="1586"/>
      <c r="F703" s="1954"/>
      <c r="G703" s="1846"/>
      <c r="H703" s="1586"/>
      <c r="I703" s="1647"/>
      <c r="J703" s="2187"/>
      <c r="K703" s="1647"/>
      <c r="L703" s="1647"/>
      <c r="M703" s="2174"/>
      <c r="N703" s="836"/>
      <c r="O703" s="836"/>
      <c r="P703" s="2174"/>
      <c r="Q703" s="836"/>
      <c r="R703" s="309"/>
      <c r="S703" s="309"/>
      <c r="T703" s="309"/>
      <c r="U703" s="309"/>
      <c r="V703" s="311"/>
      <c r="W703" s="311"/>
      <c r="X703" s="311"/>
      <c r="Y703" s="311"/>
      <c r="Z703" s="311"/>
      <c r="AA703" s="311"/>
      <c r="AB703" s="311"/>
      <c r="AC703" s="311"/>
      <c r="AD703" s="311"/>
      <c r="AE703" s="311"/>
      <c r="AF703" s="311"/>
      <c r="AG703" s="311"/>
      <c r="AH703" s="311"/>
      <c r="AI703" s="311"/>
      <c r="AJ703" s="311"/>
      <c r="AK703" s="311"/>
      <c r="AL703" s="311"/>
      <c r="AM703" s="311"/>
    </row>
    <row r="704" spans="1:39" ht="15.75" customHeight="1">
      <c r="A704" s="382"/>
      <c r="B704" s="311"/>
      <c r="C704" s="1647"/>
      <c r="D704" s="2173"/>
      <c r="E704" s="1586"/>
      <c r="F704" s="1954"/>
      <c r="G704" s="1846"/>
      <c r="H704" s="1586"/>
      <c r="I704" s="1647"/>
      <c r="J704" s="2187"/>
      <c r="K704" s="1647"/>
      <c r="L704" s="1647"/>
      <c r="M704" s="2174"/>
      <c r="N704" s="836"/>
      <c r="O704" s="836"/>
      <c r="P704" s="2174"/>
      <c r="Q704" s="836"/>
      <c r="R704" s="309"/>
      <c r="S704" s="309"/>
      <c r="T704" s="309"/>
      <c r="U704" s="309"/>
      <c r="V704" s="311"/>
      <c r="W704" s="311"/>
      <c r="X704" s="311"/>
      <c r="Y704" s="311"/>
      <c r="Z704" s="311"/>
      <c r="AA704" s="311"/>
      <c r="AB704" s="311"/>
      <c r="AC704" s="311"/>
      <c r="AD704" s="311"/>
      <c r="AE704" s="311"/>
      <c r="AF704" s="311"/>
      <c r="AG704" s="311"/>
      <c r="AH704" s="311"/>
      <c r="AI704" s="311"/>
      <c r="AJ704" s="311"/>
      <c r="AK704" s="311"/>
      <c r="AL704" s="311"/>
      <c r="AM704" s="311"/>
    </row>
    <row r="705" spans="1:39" ht="15.75" customHeight="1">
      <c r="A705" s="382"/>
      <c r="B705" s="311"/>
      <c r="C705" s="1647"/>
      <c r="D705" s="2173"/>
      <c r="E705" s="1586"/>
      <c r="F705" s="1954"/>
      <c r="G705" s="1846"/>
      <c r="H705" s="1586"/>
      <c r="I705" s="1647"/>
      <c r="J705" s="2187"/>
      <c r="K705" s="1647"/>
      <c r="L705" s="1647"/>
      <c r="M705" s="2174"/>
      <c r="N705" s="836"/>
      <c r="O705" s="836"/>
      <c r="P705" s="2174"/>
      <c r="Q705" s="836"/>
      <c r="R705" s="309"/>
      <c r="S705" s="309"/>
      <c r="T705" s="309"/>
      <c r="U705" s="309"/>
      <c r="V705" s="311"/>
      <c r="W705" s="311"/>
      <c r="X705" s="311"/>
      <c r="Y705" s="311"/>
      <c r="Z705" s="311"/>
      <c r="AA705" s="311"/>
      <c r="AB705" s="311"/>
      <c r="AC705" s="311"/>
      <c r="AD705" s="311"/>
      <c r="AE705" s="311"/>
      <c r="AF705" s="311"/>
      <c r="AG705" s="311"/>
      <c r="AH705" s="311"/>
      <c r="AI705" s="311"/>
      <c r="AJ705" s="311"/>
      <c r="AK705" s="311"/>
      <c r="AL705" s="311"/>
      <c r="AM705" s="311"/>
    </row>
    <row r="706" spans="1:39" ht="15.75" customHeight="1">
      <c r="A706" s="382"/>
      <c r="B706" s="311"/>
      <c r="C706" s="1647"/>
      <c r="D706" s="2173"/>
      <c r="E706" s="1586"/>
      <c r="F706" s="1954"/>
      <c r="G706" s="1846"/>
      <c r="H706" s="1586"/>
      <c r="I706" s="1647"/>
      <c r="J706" s="2187"/>
      <c r="K706" s="1647"/>
      <c r="L706" s="1647"/>
      <c r="M706" s="2174"/>
      <c r="N706" s="836"/>
      <c r="O706" s="836"/>
      <c r="P706" s="2174"/>
      <c r="Q706" s="836"/>
      <c r="R706" s="309"/>
      <c r="S706" s="309"/>
      <c r="T706" s="309"/>
      <c r="U706" s="309"/>
      <c r="V706" s="311"/>
      <c r="W706" s="311"/>
      <c r="X706" s="311"/>
      <c r="Y706" s="311"/>
      <c r="Z706" s="311"/>
      <c r="AA706" s="311"/>
      <c r="AB706" s="311"/>
      <c r="AC706" s="311"/>
      <c r="AD706" s="311"/>
      <c r="AE706" s="311"/>
      <c r="AF706" s="311"/>
      <c r="AG706" s="311"/>
      <c r="AH706" s="311"/>
      <c r="AI706" s="311"/>
      <c r="AJ706" s="311"/>
      <c r="AK706" s="311"/>
      <c r="AL706" s="311"/>
      <c r="AM706" s="311"/>
    </row>
    <row r="707" spans="1:39" ht="15.75" customHeight="1">
      <c r="A707" s="382"/>
      <c r="B707" s="311"/>
      <c r="C707" s="1647"/>
      <c r="D707" s="2173"/>
      <c r="E707" s="1586"/>
      <c r="F707" s="1954"/>
      <c r="G707" s="1846"/>
      <c r="H707" s="1586"/>
      <c r="I707" s="1647"/>
      <c r="J707" s="2187"/>
      <c r="K707" s="1647"/>
      <c r="L707" s="1647"/>
      <c r="M707" s="2174"/>
      <c r="N707" s="836"/>
      <c r="O707" s="836"/>
      <c r="P707" s="2174"/>
      <c r="Q707" s="836"/>
      <c r="R707" s="309"/>
      <c r="S707" s="309"/>
      <c r="T707" s="309"/>
      <c r="U707" s="309"/>
      <c r="V707" s="311"/>
      <c r="W707" s="311"/>
      <c r="X707" s="311"/>
      <c r="Y707" s="311"/>
      <c r="Z707" s="311"/>
      <c r="AA707" s="311"/>
      <c r="AB707" s="311"/>
      <c r="AC707" s="311"/>
      <c r="AD707" s="311"/>
      <c r="AE707" s="311"/>
      <c r="AF707" s="311"/>
      <c r="AG707" s="311"/>
      <c r="AH707" s="311"/>
      <c r="AI707" s="311"/>
      <c r="AJ707" s="311"/>
      <c r="AK707" s="311"/>
      <c r="AL707" s="311"/>
      <c r="AM707" s="311"/>
    </row>
    <row r="708" spans="1:39" ht="15.75" customHeight="1">
      <c r="A708" s="382"/>
      <c r="B708" s="311"/>
      <c r="C708" s="1647"/>
      <c r="D708" s="2173"/>
      <c r="E708" s="1586"/>
      <c r="F708" s="1954"/>
      <c r="G708" s="1846"/>
      <c r="H708" s="1586"/>
      <c r="I708" s="1647"/>
      <c r="J708" s="2187"/>
      <c r="K708" s="1647"/>
      <c r="L708" s="1647"/>
      <c r="M708" s="2174"/>
      <c r="N708" s="836"/>
      <c r="O708" s="836"/>
      <c r="P708" s="2174"/>
      <c r="Q708" s="836"/>
      <c r="R708" s="309"/>
      <c r="S708" s="309"/>
      <c r="T708" s="309"/>
      <c r="U708" s="309"/>
      <c r="V708" s="311"/>
      <c r="W708" s="311"/>
      <c r="X708" s="311"/>
      <c r="Y708" s="311"/>
      <c r="Z708" s="311"/>
      <c r="AA708" s="311"/>
      <c r="AB708" s="311"/>
      <c r="AC708" s="311"/>
      <c r="AD708" s="311"/>
      <c r="AE708" s="311"/>
      <c r="AF708" s="311"/>
      <c r="AG708" s="311"/>
      <c r="AH708" s="311"/>
      <c r="AI708" s="311"/>
      <c r="AJ708" s="311"/>
      <c r="AK708" s="311"/>
      <c r="AL708" s="311"/>
      <c r="AM708" s="311"/>
    </row>
    <row r="709" spans="1:39" ht="15.75" customHeight="1">
      <c r="A709" s="382"/>
      <c r="B709" s="311"/>
      <c r="C709" s="1647"/>
      <c r="D709" s="2173"/>
      <c r="E709" s="1586"/>
      <c r="F709" s="1954"/>
      <c r="G709" s="1846"/>
      <c r="H709" s="1586"/>
      <c r="I709" s="1647"/>
      <c r="J709" s="2187"/>
      <c r="K709" s="1647"/>
      <c r="L709" s="1647"/>
      <c r="M709" s="2174"/>
      <c r="N709" s="836"/>
      <c r="O709" s="836"/>
      <c r="P709" s="2174"/>
      <c r="Q709" s="836"/>
      <c r="R709" s="309"/>
      <c r="S709" s="309"/>
      <c r="T709" s="309"/>
      <c r="U709" s="309"/>
      <c r="V709" s="311"/>
      <c r="W709" s="311"/>
      <c r="X709" s="311"/>
      <c r="Y709" s="311"/>
      <c r="Z709" s="311"/>
      <c r="AA709" s="311"/>
      <c r="AB709" s="311"/>
      <c r="AC709" s="311"/>
      <c r="AD709" s="311"/>
      <c r="AE709" s="311"/>
      <c r="AF709" s="311"/>
      <c r="AG709" s="311"/>
      <c r="AH709" s="311"/>
      <c r="AI709" s="311"/>
      <c r="AJ709" s="311"/>
      <c r="AK709" s="311"/>
      <c r="AL709" s="311"/>
      <c r="AM709" s="311"/>
    </row>
    <row r="710" spans="1:39" ht="15.75" customHeight="1">
      <c r="A710" s="382"/>
      <c r="B710" s="311"/>
      <c r="C710" s="1647"/>
      <c r="D710" s="2173"/>
      <c r="E710" s="1586"/>
      <c r="F710" s="1954"/>
      <c r="G710" s="1846"/>
      <c r="H710" s="1586"/>
      <c r="I710" s="1647"/>
      <c r="J710" s="2187"/>
      <c r="K710" s="1647"/>
      <c r="L710" s="1647"/>
      <c r="M710" s="2174"/>
      <c r="N710" s="836"/>
      <c r="O710" s="836"/>
      <c r="P710" s="2174"/>
      <c r="Q710" s="836"/>
      <c r="R710" s="309"/>
      <c r="S710" s="309"/>
      <c r="T710" s="309"/>
      <c r="U710" s="309"/>
      <c r="V710" s="311"/>
      <c r="W710" s="311"/>
      <c r="X710" s="311"/>
      <c r="Y710" s="311"/>
      <c r="Z710" s="311"/>
      <c r="AA710" s="311"/>
      <c r="AB710" s="311"/>
      <c r="AC710" s="311"/>
      <c r="AD710" s="311"/>
      <c r="AE710" s="311"/>
      <c r="AF710" s="311"/>
      <c r="AG710" s="311"/>
      <c r="AH710" s="311"/>
      <c r="AI710" s="311"/>
      <c r="AJ710" s="311"/>
      <c r="AK710" s="311"/>
      <c r="AL710" s="311"/>
      <c r="AM710" s="311"/>
    </row>
    <row r="711" spans="1:39" ht="15.75" customHeight="1">
      <c r="A711" s="382"/>
      <c r="B711" s="311"/>
      <c r="C711" s="1647"/>
      <c r="D711" s="2173"/>
      <c r="E711" s="1586"/>
      <c r="F711" s="1954"/>
      <c r="G711" s="1846"/>
      <c r="H711" s="1586"/>
      <c r="I711" s="1647"/>
      <c r="J711" s="2187"/>
      <c r="K711" s="1647"/>
      <c r="L711" s="1647"/>
      <c r="M711" s="2174"/>
      <c r="N711" s="836"/>
      <c r="O711" s="836"/>
      <c r="P711" s="2174"/>
      <c r="Q711" s="836"/>
      <c r="R711" s="309"/>
      <c r="S711" s="309"/>
      <c r="T711" s="309"/>
      <c r="U711" s="309"/>
      <c r="V711" s="311"/>
      <c r="W711" s="311"/>
      <c r="X711" s="311"/>
      <c r="Y711" s="311"/>
      <c r="Z711" s="311"/>
      <c r="AA711" s="311"/>
      <c r="AB711" s="311"/>
      <c r="AC711" s="311"/>
      <c r="AD711" s="311"/>
      <c r="AE711" s="311"/>
      <c r="AF711" s="311"/>
      <c r="AG711" s="311"/>
      <c r="AH711" s="311"/>
      <c r="AI711" s="311"/>
      <c r="AJ711" s="311"/>
      <c r="AK711" s="311"/>
      <c r="AL711" s="311"/>
      <c r="AM711" s="311"/>
    </row>
    <row r="712" spans="1:39" ht="15.75" customHeight="1">
      <c r="A712" s="382"/>
      <c r="B712" s="311"/>
      <c r="C712" s="1647"/>
      <c r="D712" s="2173"/>
      <c r="E712" s="1586"/>
      <c r="F712" s="1954"/>
      <c r="G712" s="1846"/>
      <c r="H712" s="1586"/>
      <c r="I712" s="1647"/>
      <c r="J712" s="2187"/>
      <c r="K712" s="1647"/>
      <c r="L712" s="1647"/>
      <c r="M712" s="2174"/>
      <c r="N712" s="836"/>
      <c r="O712" s="836"/>
      <c r="P712" s="2174"/>
      <c r="Q712" s="836"/>
      <c r="R712" s="309"/>
      <c r="S712" s="309"/>
      <c r="T712" s="309"/>
      <c r="U712" s="309"/>
      <c r="V712" s="311"/>
      <c r="W712" s="311"/>
      <c r="X712" s="311"/>
      <c r="Y712" s="311"/>
      <c r="Z712" s="311"/>
      <c r="AA712" s="311"/>
      <c r="AB712" s="311"/>
      <c r="AC712" s="311"/>
      <c r="AD712" s="311"/>
      <c r="AE712" s="311"/>
      <c r="AF712" s="311"/>
      <c r="AG712" s="311"/>
      <c r="AH712" s="311"/>
      <c r="AI712" s="311"/>
      <c r="AJ712" s="311"/>
      <c r="AK712" s="311"/>
      <c r="AL712" s="311"/>
      <c r="AM712" s="311"/>
    </row>
    <row r="713" spans="1:39" ht="15.75" customHeight="1">
      <c r="A713" s="382"/>
      <c r="B713" s="311"/>
      <c r="C713" s="1647"/>
      <c r="D713" s="2173"/>
      <c r="E713" s="1586"/>
      <c r="F713" s="1954"/>
      <c r="G713" s="1846"/>
      <c r="H713" s="1586"/>
      <c r="I713" s="1647"/>
      <c r="J713" s="2187"/>
      <c r="K713" s="1647"/>
      <c r="L713" s="1647"/>
      <c r="M713" s="2174"/>
      <c r="N713" s="836"/>
      <c r="O713" s="836"/>
      <c r="P713" s="2174"/>
      <c r="Q713" s="836"/>
      <c r="R713" s="309"/>
      <c r="S713" s="309"/>
      <c r="T713" s="309"/>
      <c r="U713" s="309"/>
      <c r="V713" s="311"/>
      <c r="W713" s="311"/>
      <c r="X713" s="311"/>
      <c r="Y713" s="311"/>
      <c r="Z713" s="311"/>
      <c r="AA713" s="311"/>
      <c r="AB713" s="311"/>
      <c r="AC713" s="311"/>
      <c r="AD713" s="311"/>
      <c r="AE713" s="311"/>
      <c r="AF713" s="311"/>
      <c r="AG713" s="311"/>
      <c r="AH713" s="311"/>
      <c r="AI713" s="311"/>
      <c r="AJ713" s="311"/>
      <c r="AK713" s="311"/>
      <c r="AL713" s="311"/>
      <c r="AM713" s="311"/>
    </row>
    <row r="714" spans="1:39" ht="15.75" customHeight="1">
      <c r="A714" s="382"/>
      <c r="B714" s="311"/>
      <c r="C714" s="1647"/>
      <c r="D714" s="2173"/>
      <c r="E714" s="1586"/>
      <c r="F714" s="1954"/>
      <c r="G714" s="1846"/>
      <c r="H714" s="1586"/>
      <c r="I714" s="1647"/>
      <c r="J714" s="2187"/>
      <c r="K714" s="1647"/>
      <c r="L714" s="1647"/>
      <c r="M714" s="2174"/>
      <c r="N714" s="836"/>
      <c r="O714" s="836"/>
      <c r="P714" s="2174"/>
      <c r="Q714" s="836"/>
      <c r="R714" s="309"/>
      <c r="S714" s="309"/>
      <c r="T714" s="309"/>
      <c r="U714" s="309"/>
      <c r="V714" s="311"/>
      <c r="W714" s="311"/>
      <c r="X714" s="311"/>
      <c r="Y714" s="311"/>
      <c r="Z714" s="311"/>
      <c r="AA714" s="311"/>
      <c r="AB714" s="311"/>
      <c r="AC714" s="311"/>
      <c r="AD714" s="311"/>
      <c r="AE714" s="311"/>
      <c r="AF714" s="311"/>
      <c r="AG714" s="311"/>
      <c r="AH714" s="311"/>
      <c r="AI714" s="311"/>
      <c r="AJ714" s="311"/>
      <c r="AK714" s="311"/>
      <c r="AL714" s="311"/>
      <c r="AM714" s="311"/>
    </row>
    <row r="715" spans="1:39" ht="15.75" customHeight="1">
      <c r="A715" s="382"/>
      <c r="B715" s="311"/>
      <c r="C715" s="1647"/>
      <c r="D715" s="2173"/>
      <c r="E715" s="1586"/>
      <c r="F715" s="1954"/>
      <c r="G715" s="1846"/>
      <c r="H715" s="1586"/>
      <c r="I715" s="1647"/>
      <c r="J715" s="2187"/>
      <c r="K715" s="1647"/>
      <c r="L715" s="1647"/>
      <c r="M715" s="2174"/>
      <c r="N715" s="836"/>
      <c r="O715" s="836"/>
      <c r="P715" s="2174"/>
      <c r="Q715" s="836"/>
      <c r="R715" s="309"/>
      <c r="S715" s="309"/>
      <c r="T715" s="309"/>
      <c r="U715" s="309"/>
      <c r="V715" s="311"/>
      <c r="W715" s="311"/>
      <c r="X715" s="311"/>
      <c r="Y715" s="311"/>
      <c r="Z715" s="311"/>
      <c r="AA715" s="311"/>
      <c r="AB715" s="311"/>
      <c r="AC715" s="311"/>
      <c r="AD715" s="311"/>
      <c r="AE715" s="311"/>
      <c r="AF715" s="311"/>
      <c r="AG715" s="311"/>
      <c r="AH715" s="311"/>
      <c r="AI715" s="311"/>
      <c r="AJ715" s="311"/>
      <c r="AK715" s="311"/>
      <c r="AL715" s="311"/>
      <c r="AM715" s="311"/>
    </row>
    <row r="716" spans="1:39" ht="15.75" customHeight="1">
      <c r="A716" s="382"/>
      <c r="B716" s="311"/>
      <c r="C716" s="1647"/>
      <c r="D716" s="2173"/>
      <c r="E716" s="1586"/>
      <c r="F716" s="1954"/>
      <c r="G716" s="1846"/>
      <c r="H716" s="1586"/>
      <c r="I716" s="1647"/>
      <c r="J716" s="2187"/>
      <c r="K716" s="1647"/>
      <c r="L716" s="1647"/>
      <c r="M716" s="2174"/>
      <c r="N716" s="836"/>
      <c r="O716" s="836"/>
      <c r="P716" s="2174"/>
      <c r="Q716" s="836"/>
      <c r="R716" s="309"/>
      <c r="S716" s="309"/>
      <c r="T716" s="309"/>
      <c r="U716" s="309"/>
      <c r="V716" s="311"/>
      <c r="W716" s="311"/>
      <c r="X716" s="311"/>
      <c r="Y716" s="311"/>
      <c r="Z716" s="311"/>
      <c r="AA716" s="311"/>
      <c r="AB716" s="311"/>
      <c r="AC716" s="311"/>
      <c r="AD716" s="311"/>
      <c r="AE716" s="311"/>
      <c r="AF716" s="311"/>
      <c r="AG716" s="311"/>
      <c r="AH716" s="311"/>
      <c r="AI716" s="311"/>
      <c r="AJ716" s="311"/>
      <c r="AK716" s="311"/>
      <c r="AL716" s="311"/>
      <c r="AM716" s="311"/>
    </row>
    <row r="717" spans="1:39" ht="15.75" customHeight="1">
      <c r="A717" s="382"/>
      <c r="B717" s="311"/>
      <c r="C717" s="1647"/>
      <c r="D717" s="2173"/>
      <c r="E717" s="1586"/>
      <c r="F717" s="1954"/>
      <c r="G717" s="1846"/>
      <c r="H717" s="1586"/>
      <c r="I717" s="1647"/>
      <c r="J717" s="2187"/>
      <c r="K717" s="1647"/>
      <c r="L717" s="1647"/>
      <c r="M717" s="2174"/>
      <c r="N717" s="836"/>
      <c r="O717" s="836"/>
      <c r="P717" s="2174"/>
      <c r="Q717" s="836"/>
      <c r="R717" s="309"/>
      <c r="S717" s="309"/>
      <c r="T717" s="309"/>
      <c r="U717" s="309"/>
      <c r="V717" s="311"/>
      <c r="W717" s="311"/>
      <c r="X717" s="311"/>
      <c r="Y717" s="311"/>
      <c r="Z717" s="311"/>
      <c r="AA717" s="311"/>
      <c r="AB717" s="311"/>
      <c r="AC717" s="311"/>
      <c r="AD717" s="311"/>
      <c r="AE717" s="311"/>
      <c r="AF717" s="311"/>
      <c r="AG717" s="311"/>
      <c r="AH717" s="311"/>
      <c r="AI717" s="311"/>
      <c r="AJ717" s="311"/>
      <c r="AK717" s="311"/>
      <c r="AL717" s="311"/>
      <c r="AM717" s="311"/>
    </row>
    <row r="718" spans="1:39" ht="15.75" customHeight="1">
      <c r="A718" s="382"/>
      <c r="B718" s="311"/>
      <c r="C718" s="1647"/>
      <c r="D718" s="2173"/>
      <c r="E718" s="1586"/>
      <c r="F718" s="1954"/>
      <c r="G718" s="1846"/>
      <c r="H718" s="1586"/>
      <c r="I718" s="1647"/>
      <c r="J718" s="2187"/>
      <c r="K718" s="1647"/>
      <c r="L718" s="1647"/>
      <c r="M718" s="2174"/>
      <c r="N718" s="836"/>
      <c r="O718" s="836"/>
      <c r="P718" s="2174"/>
      <c r="Q718" s="836"/>
      <c r="R718" s="309"/>
      <c r="S718" s="309"/>
      <c r="T718" s="309"/>
      <c r="U718" s="309"/>
      <c r="V718" s="311"/>
      <c r="W718" s="311"/>
      <c r="X718" s="311"/>
      <c r="Y718" s="311"/>
      <c r="Z718" s="311"/>
      <c r="AA718" s="311"/>
      <c r="AB718" s="311"/>
      <c r="AC718" s="311"/>
      <c r="AD718" s="311"/>
      <c r="AE718" s="311"/>
      <c r="AF718" s="311"/>
      <c r="AG718" s="311"/>
      <c r="AH718" s="311"/>
      <c r="AI718" s="311"/>
      <c r="AJ718" s="311"/>
      <c r="AK718" s="311"/>
      <c r="AL718" s="311"/>
      <c r="AM718" s="311"/>
    </row>
    <row r="719" spans="1:39" ht="15.75" customHeight="1">
      <c r="A719" s="382"/>
      <c r="B719" s="311"/>
      <c r="C719" s="1647"/>
      <c r="D719" s="2173"/>
      <c r="E719" s="1586"/>
      <c r="F719" s="1954"/>
      <c r="G719" s="1846"/>
      <c r="H719" s="1586"/>
      <c r="I719" s="1647"/>
      <c r="J719" s="2187"/>
      <c r="K719" s="1647"/>
      <c r="L719" s="1647"/>
      <c r="M719" s="2174"/>
      <c r="N719" s="836"/>
      <c r="O719" s="836"/>
      <c r="P719" s="2174"/>
      <c r="Q719" s="836"/>
      <c r="R719" s="309"/>
      <c r="S719" s="309"/>
      <c r="T719" s="309"/>
      <c r="U719" s="309"/>
      <c r="V719" s="311"/>
      <c r="W719" s="311"/>
      <c r="X719" s="311"/>
      <c r="Y719" s="311"/>
      <c r="Z719" s="311"/>
      <c r="AA719" s="311"/>
      <c r="AB719" s="311"/>
      <c r="AC719" s="311"/>
      <c r="AD719" s="311"/>
      <c r="AE719" s="311"/>
      <c r="AF719" s="311"/>
      <c r="AG719" s="311"/>
      <c r="AH719" s="311"/>
      <c r="AI719" s="311"/>
      <c r="AJ719" s="311"/>
      <c r="AK719" s="311"/>
      <c r="AL719" s="311"/>
      <c r="AM719" s="311"/>
    </row>
    <row r="720" spans="1:39" ht="15.75" customHeight="1">
      <c r="A720" s="382"/>
      <c r="B720" s="311"/>
      <c r="C720" s="1647"/>
      <c r="D720" s="2173"/>
      <c r="E720" s="1586"/>
      <c r="F720" s="1954"/>
      <c r="G720" s="1846"/>
      <c r="H720" s="1586"/>
      <c r="I720" s="1647"/>
      <c r="J720" s="2187"/>
      <c r="K720" s="1647"/>
      <c r="L720" s="1647"/>
      <c r="M720" s="2174"/>
      <c r="N720" s="836"/>
      <c r="O720" s="836"/>
      <c r="P720" s="2174"/>
      <c r="Q720" s="836"/>
      <c r="R720" s="309"/>
      <c r="S720" s="309"/>
      <c r="T720" s="309"/>
      <c r="U720" s="309"/>
      <c r="V720" s="311"/>
      <c r="W720" s="311"/>
      <c r="X720" s="311"/>
      <c r="Y720" s="311"/>
      <c r="Z720" s="311"/>
      <c r="AA720" s="311"/>
      <c r="AB720" s="311"/>
      <c r="AC720" s="311"/>
      <c r="AD720" s="311"/>
      <c r="AE720" s="311"/>
      <c r="AF720" s="311"/>
      <c r="AG720" s="311"/>
      <c r="AH720" s="311"/>
      <c r="AI720" s="311"/>
      <c r="AJ720" s="311"/>
      <c r="AK720" s="311"/>
      <c r="AL720" s="311"/>
      <c r="AM720" s="311"/>
    </row>
    <row r="721" spans="1:39" ht="15.75" customHeight="1">
      <c r="A721" s="382"/>
      <c r="B721" s="311"/>
      <c r="C721" s="1647"/>
      <c r="D721" s="2173"/>
      <c r="E721" s="1586"/>
      <c r="F721" s="1954"/>
      <c r="G721" s="1846"/>
      <c r="H721" s="1586"/>
      <c r="I721" s="1647"/>
      <c r="J721" s="2187"/>
      <c r="K721" s="1647"/>
      <c r="L721" s="1647"/>
      <c r="M721" s="2174"/>
      <c r="N721" s="836"/>
      <c r="O721" s="836"/>
      <c r="P721" s="2174"/>
      <c r="Q721" s="836"/>
      <c r="R721" s="309"/>
      <c r="S721" s="309"/>
      <c r="T721" s="309"/>
      <c r="U721" s="309"/>
      <c r="V721" s="311"/>
      <c r="W721" s="311"/>
      <c r="X721" s="311"/>
      <c r="Y721" s="311"/>
      <c r="Z721" s="311"/>
      <c r="AA721" s="311"/>
      <c r="AB721" s="311"/>
      <c r="AC721" s="311"/>
      <c r="AD721" s="311"/>
      <c r="AE721" s="311"/>
      <c r="AF721" s="311"/>
      <c r="AG721" s="311"/>
      <c r="AH721" s="311"/>
      <c r="AI721" s="311"/>
      <c r="AJ721" s="311"/>
      <c r="AK721" s="311"/>
      <c r="AL721" s="311"/>
      <c r="AM721" s="311"/>
    </row>
    <row r="722" spans="1:39" ht="15.75" customHeight="1">
      <c r="A722" s="382"/>
      <c r="B722" s="311"/>
      <c r="C722" s="1647"/>
      <c r="D722" s="2173"/>
      <c r="E722" s="1586"/>
      <c r="F722" s="1954"/>
      <c r="G722" s="1846"/>
      <c r="H722" s="1586"/>
      <c r="I722" s="1647"/>
      <c r="J722" s="2187"/>
      <c r="K722" s="1647"/>
      <c r="L722" s="1647"/>
      <c r="M722" s="2174"/>
      <c r="N722" s="836"/>
      <c r="O722" s="836"/>
      <c r="P722" s="2174"/>
      <c r="Q722" s="836"/>
      <c r="R722" s="309"/>
      <c r="S722" s="309"/>
      <c r="T722" s="309"/>
      <c r="U722" s="309"/>
      <c r="V722" s="311"/>
      <c r="W722" s="311"/>
      <c r="X722" s="311"/>
      <c r="Y722" s="311"/>
      <c r="Z722" s="311"/>
      <c r="AA722" s="311"/>
      <c r="AB722" s="311"/>
      <c r="AC722" s="311"/>
      <c r="AD722" s="311"/>
      <c r="AE722" s="311"/>
      <c r="AF722" s="311"/>
      <c r="AG722" s="311"/>
      <c r="AH722" s="311"/>
      <c r="AI722" s="311"/>
      <c r="AJ722" s="311"/>
      <c r="AK722" s="311"/>
      <c r="AL722" s="311"/>
      <c r="AM722" s="311"/>
    </row>
    <row r="723" spans="1:39" ht="15.75" customHeight="1">
      <c r="A723" s="382"/>
      <c r="B723" s="311"/>
      <c r="C723" s="1647"/>
      <c r="D723" s="2173"/>
      <c r="E723" s="1586"/>
      <c r="F723" s="1954"/>
      <c r="G723" s="1846"/>
      <c r="H723" s="1586"/>
      <c r="I723" s="1647"/>
      <c r="J723" s="2187"/>
      <c r="K723" s="1647"/>
      <c r="L723" s="1647"/>
      <c r="M723" s="2174"/>
      <c r="N723" s="836"/>
      <c r="O723" s="836"/>
      <c r="P723" s="2174"/>
      <c r="Q723" s="836"/>
      <c r="R723" s="309"/>
      <c r="S723" s="309"/>
      <c r="T723" s="309"/>
      <c r="U723" s="309"/>
      <c r="V723" s="311"/>
      <c r="W723" s="311"/>
      <c r="X723" s="311"/>
      <c r="Y723" s="311"/>
      <c r="Z723" s="311"/>
      <c r="AA723" s="311"/>
      <c r="AB723" s="311"/>
      <c r="AC723" s="311"/>
      <c r="AD723" s="311"/>
      <c r="AE723" s="311"/>
      <c r="AF723" s="311"/>
      <c r="AG723" s="311"/>
      <c r="AH723" s="311"/>
      <c r="AI723" s="311"/>
      <c r="AJ723" s="311"/>
      <c r="AK723" s="311"/>
      <c r="AL723" s="311"/>
      <c r="AM723" s="311"/>
    </row>
    <row r="724" spans="1:39" ht="15.75" customHeight="1">
      <c r="A724" s="382"/>
      <c r="B724" s="311"/>
      <c r="C724" s="1647"/>
      <c r="D724" s="2173"/>
      <c r="E724" s="1586"/>
      <c r="F724" s="1954"/>
      <c r="G724" s="1846"/>
      <c r="H724" s="1586"/>
      <c r="I724" s="1647"/>
      <c r="J724" s="2187"/>
      <c r="K724" s="1647"/>
      <c r="L724" s="1647"/>
      <c r="M724" s="2174"/>
      <c r="N724" s="836"/>
      <c r="O724" s="836"/>
      <c r="P724" s="2174"/>
      <c r="Q724" s="836"/>
      <c r="R724" s="309"/>
      <c r="S724" s="309"/>
      <c r="T724" s="309"/>
      <c r="U724" s="309"/>
      <c r="V724" s="311"/>
      <c r="W724" s="311"/>
      <c r="X724" s="311"/>
      <c r="Y724" s="311"/>
      <c r="Z724" s="311"/>
      <c r="AA724" s="311"/>
      <c r="AB724" s="311"/>
      <c r="AC724" s="311"/>
      <c r="AD724" s="311"/>
      <c r="AE724" s="311"/>
      <c r="AF724" s="311"/>
      <c r="AG724" s="311"/>
      <c r="AH724" s="311"/>
      <c r="AI724" s="311"/>
      <c r="AJ724" s="311"/>
      <c r="AK724" s="311"/>
      <c r="AL724" s="311"/>
      <c r="AM724" s="311"/>
    </row>
    <row r="725" spans="1:39" ht="15.75" customHeight="1">
      <c r="A725" s="382"/>
      <c r="B725" s="311"/>
      <c r="C725" s="1647"/>
      <c r="D725" s="2173"/>
      <c r="E725" s="1586"/>
      <c r="F725" s="1954"/>
      <c r="G725" s="1846"/>
      <c r="H725" s="1586"/>
      <c r="I725" s="1647"/>
      <c r="J725" s="2187"/>
      <c r="K725" s="1647"/>
      <c r="L725" s="1647"/>
      <c r="M725" s="2174"/>
      <c r="N725" s="836"/>
      <c r="O725" s="836"/>
      <c r="P725" s="2174"/>
      <c r="Q725" s="836"/>
      <c r="R725" s="309"/>
      <c r="S725" s="309"/>
      <c r="T725" s="309"/>
      <c r="U725" s="309"/>
      <c r="V725" s="311"/>
      <c r="W725" s="311"/>
      <c r="X725" s="311"/>
      <c r="Y725" s="311"/>
      <c r="Z725" s="311"/>
      <c r="AA725" s="311"/>
      <c r="AB725" s="311"/>
      <c r="AC725" s="311"/>
      <c r="AD725" s="311"/>
      <c r="AE725" s="311"/>
      <c r="AF725" s="311"/>
      <c r="AG725" s="311"/>
      <c r="AH725" s="311"/>
      <c r="AI725" s="311"/>
      <c r="AJ725" s="311"/>
      <c r="AK725" s="311"/>
      <c r="AL725" s="311"/>
      <c r="AM725" s="311"/>
    </row>
    <row r="726" spans="1:39" ht="15.75" customHeight="1">
      <c r="A726" s="382"/>
      <c r="B726" s="311"/>
      <c r="C726" s="1647"/>
      <c r="D726" s="2173"/>
      <c r="E726" s="1586"/>
      <c r="F726" s="1954"/>
      <c r="G726" s="1846"/>
      <c r="H726" s="1586"/>
      <c r="I726" s="1647"/>
      <c r="J726" s="2187"/>
      <c r="K726" s="1647"/>
      <c r="L726" s="1647"/>
      <c r="M726" s="2174"/>
      <c r="N726" s="836"/>
      <c r="O726" s="836"/>
      <c r="P726" s="2174"/>
      <c r="Q726" s="836"/>
      <c r="R726" s="309"/>
      <c r="S726" s="309"/>
      <c r="T726" s="309"/>
      <c r="U726" s="309"/>
      <c r="V726" s="311"/>
      <c r="W726" s="311"/>
      <c r="X726" s="311"/>
      <c r="Y726" s="311"/>
      <c r="Z726" s="311"/>
      <c r="AA726" s="311"/>
      <c r="AB726" s="311"/>
      <c r="AC726" s="311"/>
      <c r="AD726" s="311"/>
      <c r="AE726" s="311"/>
      <c r="AF726" s="311"/>
      <c r="AG726" s="311"/>
      <c r="AH726" s="311"/>
      <c r="AI726" s="311"/>
      <c r="AJ726" s="311"/>
      <c r="AK726" s="311"/>
      <c r="AL726" s="311"/>
      <c r="AM726" s="311"/>
    </row>
    <row r="727" spans="1:39" ht="15.75" customHeight="1">
      <c r="A727" s="382"/>
      <c r="B727" s="311"/>
      <c r="C727" s="1647"/>
      <c r="D727" s="2173"/>
      <c r="E727" s="1586"/>
      <c r="F727" s="1954"/>
      <c r="G727" s="1846"/>
      <c r="H727" s="1586"/>
      <c r="I727" s="1647"/>
      <c r="J727" s="2187"/>
      <c r="K727" s="1647"/>
      <c r="L727" s="1647"/>
      <c r="M727" s="2174"/>
      <c r="N727" s="836"/>
      <c r="O727" s="836"/>
      <c r="P727" s="2174"/>
      <c r="Q727" s="836"/>
      <c r="R727" s="309"/>
      <c r="S727" s="309"/>
      <c r="T727" s="309"/>
      <c r="U727" s="309"/>
      <c r="V727" s="311"/>
      <c r="W727" s="311"/>
      <c r="X727" s="311"/>
      <c r="Y727" s="311"/>
      <c r="Z727" s="311"/>
      <c r="AA727" s="311"/>
      <c r="AB727" s="311"/>
      <c r="AC727" s="311"/>
      <c r="AD727" s="311"/>
      <c r="AE727" s="311"/>
      <c r="AF727" s="311"/>
      <c r="AG727" s="311"/>
      <c r="AH727" s="311"/>
      <c r="AI727" s="311"/>
      <c r="AJ727" s="311"/>
      <c r="AK727" s="311"/>
      <c r="AL727" s="311"/>
      <c r="AM727" s="311"/>
    </row>
    <row r="728" spans="1:39" ht="15.75" customHeight="1">
      <c r="A728" s="382"/>
      <c r="B728" s="311"/>
      <c r="C728" s="1647"/>
      <c r="D728" s="2173"/>
      <c r="E728" s="1586"/>
      <c r="F728" s="1954"/>
      <c r="G728" s="1846"/>
      <c r="H728" s="1586"/>
      <c r="I728" s="1647"/>
      <c r="J728" s="2187"/>
      <c r="K728" s="1647"/>
      <c r="L728" s="1647"/>
      <c r="M728" s="2174"/>
      <c r="N728" s="836"/>
      <c r="O728" s="836"/>
      <c r="P728" s="2174"/>
      <c r="Q728" s="836"/>
      <c r="R728" s="309"/>
      <c r="S728" s="309"/>
      <c r="T728" s="309"/>
      <c r="U728" s="309"/>
      <c r="V728" s="311"/>
      <c r="W728" s="311"/>
      <c r="X728" s="311"/>
      <c r="Y728" s="311"/>
      <c r="Z728" s="311"/>
      <c r="AA728" s="311"/>
      <c r="AB728" s="311"/>
      <c r="AC728" s="311"/>
      <c r="AD728" s="311"/>
      <c r="AE728" s="311"/>
      <c r="AF728" s="311"/>
      <c r="AG728" s="311"/>
      <c r="AH728" s="311"/>
      <c r="AI728" s="311"/>
      <c r="AJ728" s="311"/>
      <c r="AK728" s="311"/>
      <c r="AL728" s="311"/>
      <c r="AM728" s="311"/>
    </row>
    <row r="729" spans="1:39" ht="15.75" customHeight="1">
      <c r="A729" s="382"/>
      <c r="B729" s="311"/>
      <c r="C729" s="1647"/>
      <c r="D729" s="2173"/>
      <c r="E729" s="1586"/>
      <c r="F729" s="1954"/>
      <c r="G729" s="1846"/>
      <c r="H729" s="1586"/>
      <c r="I729" s="1647"/>
      <c r="J729" s="2187"/>
      <c r="K729" s="1647"/>
      <c r="L729" s="1647"/>
      <c r="M729" s="2174"/>
      <c r="N729" s="836"/>
      <c r="O729" s="836"/>
      <c r="P729" s="2174"/>
      <c r="Q729" s="836"/>
      <c r="R729" s="309"/>
      <c r="S729" s="309"/>
      <c r="T729" s="309"/>
      <c r="U729" s="309"/>
      <c r="V729" s="311"/>
      <c r="W729" s="311"/>
      <c r="X729" s="311"/>
      <c r="Y729" s="311"/>
      <c r="Z729" s="311"/>
      <c r="AA729" s="311"/>
      <c r="AB729" s="311"/>
      <c r="AC729" s="311"/>
      <c r="AD729" s="311"/>
      <c r="AE729" s="311"/>
      <c r="AF729" s="311"/>
      <c r="AG729" s="311"/>
      <c r="AH729" s="311"/>
      <c r="AI729" s="311"/>
      <c r="AJ729" s="311"/>
      <c r="AK729" s="311"/>
      <c r="AL729" s="311"/>
      <c r="AM729" s="311"/>
    </row>
    <row r="730" spans="1:39" ht="15.75" customHeight="1">
      <c r="A730" s="382"/>
      <c r="B730" s="311"/>
      <c r="C730" s="1647"/>
      <c r="D730" s="2173"/>
      <c r="E730" s="1586"/>
      <c r="F730" s="1954"/>
      <c r="G730" s="1846"/>
      <c r="H730" s="1586"/>
      <c r="I730" s="1647"/>
      <c r="J730" s="2187"/>
      <c r="K730" s="1647"/>
      <c r="L730" s="1647"/>
      <c r="M730" s="2174"/>
      <c r="N730" s="836"/>
      <c r="O730" s="836"/>
      <c r="P730" s="2174"/>
      <c r="Q730" s="836"/>
      <c r="R730" s="309"/>
      <c r="S730" s="309"/>
      <c r="T730" s="309"/>
      <c r="U730" s="309"/>
      <c r="V730" s="311"/>
      <c r="W730" s="311"/>
      <c r="X730" s="311"/>
      <c r="Y730" s="311"/>
      <c r="Z730" s="311"/>
      <c r="AA730" s="311"/>
      <c r="AB730" s="311"/>
      <c r="AC730" s="311"/>
      <c r="AD730" s="311"/>
      <c r="AE730" s="311"/>
      <c r="AF730" s="311"/>
      <c r="AG730" s="311"/>
      <c r="AH730" s="311"/>
      <c r="AI730" s="311"/>
      <c r="AJ730" s="311"/>
      <c r="AK730" s="311"/>
      <c r="AL730" s="311"/>
      <c r="AM730" s="311"/>
    </row>
    <row r="731" spans="1:39" ht="15.75" customHeight="1">
      <c r="A731" s="382"/>
      <c r="B731" s="311"/>
      <c r="C731" s="1647"/>
      <c r="D731" s="2173"/>
      <c r="E731" s="1586"/>
      <c r="F731" s="1954"/>
      <c r="G731" s="1846"/>
      <c r="H731" s="1586"/>
      <c r="I731" s="1647"/>
      <c r="J731" s="2187"/>
      <c r="K731" s="1647"/>
      <c r="L731" s="1647"/>
      <c r="M731" s="2174"/>
      <c r="N731" s="836"/>
      <c r="O731" s="836"/>
      <c r="P731" s="2174"/>
      <c r="Q731" s="836"/>
      <c r="R731" s="309"/>
      <c r="S731" s="309"/>
      <c r="T731" s="309"/>
      <c r="U731" s="309"/>
      <c r="V731" s="311"/>
      <c r="W731" s="311"/>
      <c r="X731" s="311"/>
      <c r="Y731" s="311"/>
      <c r="Z731" s="311"/>
      <c r="AA731" s="311"/>
      <c r="AB731" s="311"/>
      <c r="AC731" s="311"/>
      <c r="AD731" s="311"/>
      <c r="AE731" s="311"/>
      <c r="AF731" s="311"/>
      <c r="AG731" s="311"/>
      <c r="AH731" s="311"/>
      <c r="AI731" s="311"/>
      <c r="AJ731" s="311"/>
      <c r="AK731" s="311"/>
      <c r="AL731" s="311"/>
      <c r="AM731" s="311"/>
    </row>
    <row r="732" spans="1:39" ht="15.75" customHeight="1">
      <c r="A732" s="382"/>
      <c r="B732" s="311"/>
      <c r="C732" s="1647"/>
      <c r="D732" s="2173"/>
      <c r="E732" s="1586"/>
      <c r="F732" s="1954"/>
      <c r="G732" s="1846"/>
      <c r="H732" s="1586"/>
      <c r="I732" s="1647"/>
      <c r="J732" s="2187"/>
      <c r="K732" s="1647"/>
      <c r="L732" s="1647"/>
      <c r="M732" s="2174"/>
      <c r="N732" s="836"/>
      <c r="O732" s="836"/>
      <c r="P732" s="2174"/>
      <c r="Q732" s="836"/>
      <c r="R732" s="309"/>
      <c r="S732" s="309"/>
      <c r="T732" s="309"/>
      <c r="U732" s="309"/>
      <c r="V732" s="311"/>
      <c r="W732" s="311"/>
      <c r="X732" s="311"/>
      <c r="Y732" s="311"/>
      <c r="Z732" s="311"/>
      <c r="AA732" s="311"/>
      <c r="AB732" s="311"/>
      <c r="AC732" s="311"/>
      <c r="AD732" s="311"/>
      <c r="AE732" s="311"/>
      <c r="AF732" s="311"/>
      <c r="AG732" s="311"/>
      <c r="AH732" s="311"/>
      <c r="AI732" s="311"/>
      <c r="AJ732" s="311"/>
      <c r="AK732" s="311"/>
      <c r="AL732" s="311"/>
      <c r="AM732" s="311"/>
    </row>
    <row r="733" spans="1:39" ht="15.75" customHeight="1">
      <c r="A733" s="382"/>
      <c r="B733" s="311"/>
      <c r="C733" s="1647"/>
      <c r="D733" s="2173"/>
      <c r="E733" s="1586"/>
      <c r="F733" s="1954"/>
      <c r="G733" s="1846"/>
      <c r="H733" s="1586"/>
      <c r="I733" s="1647"/>
      <c r="J733" s="2187"/>
      <c r="K733" s="1647"/>
      <c r="L733" s="1647"/>
      <c r="M733" s="2174"/>
      <c r="N733" s="836"/>
      <c r="O733" s="836"/>
      <c r="P733" s="2174"/>
      <c r="Q733" s="836"/>
      <c r="R733" s="309"/>
      <c r="S733" s="309"/>
      <c r="T733" s="309"/>
      <c r="U733" s="309"/>
      <c r="V733" s="311"/>
      <c r="W733" s="311"/>
      <c r="X733" s="311"/>
      <c r="Y733" s="311"/>
      <c r="Z733" s="311"/>
      <c r="AA733" s="311"/>
      <c r="AB733" s="311"/>
      <c r="AC733" s="311"/>
      <c r="AD733" s="311"/>
      <c r="AE733" s="311"/>
      <c r="AF733" s="311"/>
      <c r="AG733" s="311"/>
      <c r="AH733" s="311"/>
      <c r="AI733" s="311"/>
      <c r="AJ733" s="311"/>
      <c r="AK733" s="311"/>
      <c r="AL733" s="311"/>
      <c r="AM733" s="311"/>
    </row>
    <row r="734" spans="1:39" ht="15.75" customHeight="1">
      <c r="A734" s="382"/>
      <c r="B734" s="311"/>
      <c r="C734" s="1647"/>
      <c r="D734" s="2173"/>
      <c r="E734" s="1586"/>
      <c r="F734" s="1954"/>
      <c r="G734" s="1846"/>
      <c r="H734" s="1586"/>
      <c r="I734" s="1647"/>
      <c r="J734" s="2187"/>
      <c r="K734" s="1647"/>
      <c r="L734" s="1647"/>
      <c r="M734" s="2174"/>
      <c r="N734" s="836"/>
      <c r="O734" s="836"/>
      <c r="P734" s="2174"/>
      <c r="Q734" s="836"/>
      <c r="R734" s="309"/>
      <c r="S734" s="309"/>
      <c r="T734" s="309"/>
      <c r="U734" s="309"/>
      <c r="V734" s="311"/>
      <c r="W734" s="311"/>
      <c r="X734" s="311"/>
      <c r="Y734" s="311"/>
      <c r="Z734" s="311"/>
      <c r="AA734" s="311"/>
      <c r="AB734" s="311"/>
      <c r="AC734" s="311"/>
      <c r="AD734" s="311"/>
      <c r="AE734" s="311"/>
      <c r="AF734" s="311"/>
      <c r="AG734" s="311"/>
      <c r="AH734" s="311"/>
      <c r="AI734" s="311"/>
      <c r="AJ734" s="311"/>
      <c r="AK734" s="311"/>
      <c r="AL734" s="311"/>
      <c r="AM734" s="311"/>
    </row>
    <row r="735" spans="1:39" ht="15.75" customHeight="1">
      <c r="A735" s="382"/>
      <c r="B735" s="311"/>
      <c r="C735" s="1647"/>
      <c r="D735" s="2173"/>
      <c r="E735" s="1586"/>
      <c r="F735" s="1954"/>
      <c r="G735" s="1846"/>
      <c r="H735" s="1586"/>
      <c r="I735" s="1647"/>
      <c r="J735" s="2187"/>
      <c r="K735" s="1647"/>
      <c r="L735" s="1647"/>
      <c r="M735" s="2174"/>
      <c r="N735" s="836"/>
      <c r="O735" s="836"/>
      <c r="P735" s="2174"/>
      <c r="Q735" s="836"/>
      <c r="R735" s="309"/>
      <c r="S735" s="309"/>
      <c r="T735" s="309"/>
      <c r="U735" s="309"/>
      <c r="V735" s="311"/>
      <c r="W735" s="311"/>
      <c r="X735" s="311"/>
      <c r="Y735" s="311"/>
      <c r="Z735" s="311"/>
      <c r="AA735" s="311"/>
      <c r="AB735" s="311"/>
      <c r="AC735" s="311"/>
      <c r="AD735" s="311"/>
      <c r="AE735" s="311"/>
      <c r="AF735" s="311"/>
      <c r="AG735" s="311"/>
      <c r="AH735" s="311"/>
      <c r="AI735" s="311"/>
      <c r="AJ735" s="311"/>
      <c r="AK735" s="311"/>
      <c r="AL735" s="311"/>
      <c r="AM735" s="311"/>
    </row>
    <row r="736" spans="1:39" ht="15.75" customHeight="1">
      <c r="A736" s="382"/>
      <c r="B736" s="311"/>
      <c r="C736" s="1647"/>
      <c r="D736" s="2173"/>
      <c r="E736" s="1586"/>
      <c r="F736" s="1954"/>
      <c r="G736" s="1846"/>
      <c r="H736" s="1586"/>
      <c r="I736" s="1647"/>
      <c r="J736" s="2187"/>
      <c r="K736" s="1647"/>
      <c r="L736" s="1647"/>
      <c r="M736" s="2174"/>
      <c r="N736" s="836"/>
      <c r="O736" s="836"/>
      <c r="P736" s="2174"/>
      <c r="Q736" s="836"/>
      <c r="R736" s="309"/>
      <c r="S736" s="309"/>
      <c r="T736" s="309"/>
      <c r="U736" s="309"/>
      <c r="V736" s="311"/>
      <c r="W736" s="311"/>
      <c r="X736" s="311"/>
      <c r="Y736" s="311"/>
      <c r="Z736" s="311"/>
      <c r="AA736" s="311"/>
      <c r="AB736" s="311"/>
      <c r="AC736" s="311"/>
      <c r="AD736" s="311"/>
      <c r="AE736" s="311"/>
      <c r="AF736" s="311"/>
      <c r="AG736" s="311"/>
      <c r="AH736" s="311"/>
      <c r="AI736" s="311"/>
      <c r="AJ736" s="311"/>
      <c r="AK736" s="311"/>
      <c r="AL736" s="311"/>
      <c r="AM736" s="311"/>
    </row>
    <row r="737" spans="1:39" ht="15.75" customHeight="1">
      <c r="A737" s="382"/>
      <c r="B737" s="311"/>
      <c r="C737" s="1647"/>
      <c r="D737" s="2173"/>
      <c r="E737" s="1586"/>
      <c r="F737" s="1954"/>
      <c r="G737" s="1846"/>
      <c r="H737" s="1586"/>
      <c r="I737" s="1647"/>
      <c r="J737" s="2187"/>
      <c r="K737" s="1647"/>
      <c r="L737" s="1647"/>
      <c r="M737" s="2174"/>
      <c r="N737" s="836"/>
      <c r="O737" s="836"/>
      <c r="P737" s="2174"/>
      <c r="Q737" s="836"/>
      <c r="R737" s="309"/>
      <c r="S737" s="309"/>
      <c r="T737" s="309"/>
      <c r="U737" s="309"/>
      <c r="V737" s="311"/>
      <c r="W737" s="311"/>
      <c r="X737" s="311"/>
      <c r="Y737" s="311"/>
      <c r="Z737" s="311"/>
      <c r="AA737" s="311"/>
      <c r="AB737" s="311"/>
      <c r="AC737" s="311"/>
      <c r="AD737" s="311"/>
      <c r="AE737" s="311"/>
      <c r="AF737" s="311"/>
      <c r="AG737" s="311"/>
      <c r="AH737" s="311"/>
      <c r="AI737" s="311"/>
      <c r="AJ737" s="311"/>
      <c r="AK737" s="311"/>
      <c r="AL737" s="311"/>
      <c r="AM737" s="311"/>
    </row>
    <row r="738" spans="1:39" ht="15.75" customHeight="1">
      <c r="A738" s="382"/>
      <c r="B738" s="311"/>
      <c r="C738" s="1647"/>
      <c r="D738" s="2173"/>
      <c r="E738" s="1586"/>
      <c r="F738" s="1954"/>
      <c r="G738" s="1846"/>
      <c r="H738" s="1586"/>
      <c r="I738" s="1647"/>
      <c r="J738" s="2187"/>
      <c r="K738" s="1647"/>
      <c r="L738" s="1647"/>
      <c r="M738" s="2174"/>
      <c r="N738" s="836"/>
      <c r="O738" s="836"/>
      <c r="P738" s="2174"/>
      <c r="Q738" s="836"/>
      <c r="R738" s="309"/>
      <c r="S738" s="309"/>
      <c r="T738" s="309"/>
      <c r="U738" s="309"/>
      <c r="V738" s="311"/>
      <c r="W738" s="311"/>
      <c r="X738" s="311"/>
      <c r="Y738" s="311"/>
      <c r="Z738" s="311"/>
      <c r="AA738" s="311"/>
      <c r="AB738" s="311"/>
      <c r="AC738" s="311"/>
      <c r="AD738" s="311"/>
      <c r="AE738" s="311"/>
      <c r="AF738" s="311"/>
      <c r="AG738" s="311"/>
      <c r="AH738" s="311"/>
      <c r="AI738" s="311"/>
      <c r="AJ738" s="311"/>
      <c r="AK738" s="311"/>
      <c r="AL738" s="311"/>
      <c r="AM738" s="311"/>
    </row>
    <row r="739" spans="1:39" ht="15.75" customHeight="1">
      <c r="A739" s="382"/>
      <c r="B739" s="311"/>
      <c r="C739" s="1647"/>
      <c r="D739" s="2173"/>
      <c r="E739" s="1586"/>
      <c r="F739" s="1954"/>
      <c r="G739" s="1846"/>
      <c r="H739" s="1586"/>
      <c r="I739" s="1647"/>
      <c r="J739" s="2187"/>
      <c r="K739" s="1647"/>
      <c r="L739" s="1647"/>
      <c r="M739" s="2174"/>
      <c r="N739" s="836"/>
      <c r="O739" s="836"/>
      <c r="P739" s="2174"/>
      <c r="Q739" s="836"/>
      <c r="R739" s="309"/>
      <c r="S739" s="309"/>
      <c r="T739" s="309"/>
      <c r="U739" s="309"/>
      <c r="V739" s="311"/>
      <c r="W739" s="311"/>
      <c r="X739" s="311"/>
      <c r="Y739" s="311"/>
      <c r="Z739" s="311"/>
      <c r="AA739" s="311"/>
      <c r="AB739" s="311"/>
      <c r="AC739" s="311"/>
      <c r="AD739" s="311"/>
      <c r="AE739" s="311"/>
      <c r="AF739" s="311"/>
      <c r="AG739" s="311"/>
      <c r="AH739" s="311"/>
      <c r="AI739" s="311"/>
      <c r="AJ739" s="311"/>
      <c r="AK739" s="311"/>
      <c r="AL739" s="311"/>
      <c r="AM739" s="311"/>
    </row>
    <row r="740" spans="1:39" ht="15.75" customHeight="1">
      <c r="A740" s="382"/>
      <c r="B740" s="311"/>
      <c r="C740" s="1647"/>
      <c r="D740" s="2173"/>
      <c r="E740" s="1586"/>
      <c r="F740" s="1954"/>
      <c r="G740" s="1846"/>
      <c r="H740" s="1586"/>
      <c r="I740" s="1647"/>
      <c r="J740" s="2187"/>
      <c r="K740" s="1647"/>
      <c r="L740" s="1647"/>
      <c r="M740" s="2174"/>
      <c r="N740" s="836"/>
      <c r="O740" s="836"/>
      <c r="P740" s="2174"/>
      <c r="Q740" s="836"/>
      <c r="R740" s="309"/>
      <c r="S740" s="309"/>
      <c r="T740" s="309"/>
      <c r="U740" s="309"/>
      <c r="V740" s="311"/>
      <c r="W740" s="311"/>
      <c r="X740" s="311"/>
      <c r="Y740" s="311"/>
      <c r="Z740" s="311"/>
      <c r="AA740" s="311"/>
      <c r="AB740" s="311"/>
      <c r="AC740" s="311"/>
      <c r="AD740" s="311"/>
      <c r="AE740" s="311"/>
      <c r="AF740" s="311"/>
      <c r="AG740" s="311"/>
      <c r="AH740" s="311"/>
      <c r="AI740" s="311"/>
      <c r="AJ740" s="311"/>
      <c r="AK740" s="311"/>
      <c r="AL740" s="311"/>
      <c r="AM740" s="311"/>
    </row>
    <row r="741" spans="1:39" ht="15.75" customHeight="1">
      <c r="A741" s="382"/>
      <c r="B741" s="311"/>
      <c r="C741" s="1647"/>
      <c r="D741" s="2173"/>
      <c r="E741" s="1586"/>
      <c r="F741" s="1954"/>
      <c r="G741" s="1846"/>
      <c r="H741" s="1586"/>
      <c r="I741" s="1647"/>
      <c r="J741" s="2187"/>
      <c r="K741" s="1647"/>
      <c r="L741" s="1647"/>
      <c r="M741" s="2174"/>
      <c r="N741" s="836"/>
      <c r="O741" s="836"/>
      <c r="P741" s="2174"/>
      <c r="Q741" s="836"/>
      <c r="R741" s="309"/>
      <c r="S741" s="309"/>
      <c r="T741" s="309"/>
      <c r="U741" s="309"/>
      <c r="V741" s="311"/>
      <c r="W741" s="311"/>
      <c r="X741" s="311"/>
      <c r="Y741" s="311"/>
      <c r="Z741" s="311"/>
      <c r="AA741" s="311"/>
      <c r="AB741" s="311"/>
      <c r="AC741" s="311"/>
      <c r="AD741" s="311"/>
      <c r="AE741" s="311"/>
      <c r="AF741" s="311"/>
      <c r="AG741" s="311"/>
      <c r="AH741" s="311"/>
      <c r="AI741" s="311"/>
      <c r="AJ741" s="311"/>
      <c r="AK741" s="311"/>
      <c r="AL741" s="311"/>
      <c r="AM741" s="311"/>
    </row>
    <row r="742" spans="1:39" ht="15.75" customHeight="1">
      <c r="A742" s="382"/>
      <c r="B742" s="311"/>
      <c r="C742" s="1647"/>
      <c r="D742" s="2173"/>
      <c r="E742" s="1586"/>
      <c r="F742" s="1954"/>
      <c r="G742" s="1846"/>
      <c r="H742" s="1586"/>
      <c r="I742" s="1647"/>
      <c r="J742" s="2187"/>
      <c r="K742" s="1647"/>
      <c r="L742" s="1647"/>
      <c r="M742" s="2174"/>
      <c r="N742" s="836"/>
      <c r="O742" s="836"/>
      <c r="P742" s="2174"/>
      <c r="Q742" s="836"/>
      <c r="R742" s="309"/>
      <c r="S742" s="309"/>
      <c r="T742" s="309"/>
      <c r="U742" s="309"/>
      <c r="V742" s="311"/>
      <c r="W742" s="311"/>
      <c r="X742" s="311"/>
      <c r="Y742" s="311"/>
      <c r="Z742" s="311"/>
      <c r="AA742" s="311"/>
      <c r="AB742" s="311"/>
      <c r="AC742" s="311"/>
      <c r="AD742" s="311"/>
      <c r="AE742" s="311"/>
      <c r="AF742" s="311"/>
      <c r="AG742" s="311"/>
      <c r="AH742" s="311"/>
      <c r="AI742" s="311"/>
      <c r="AJ742" s="311"/>
      <c r="AK742" s="311"/>
      <c r="AL742" s="311"/>
      <c r="AM742" s="311"/>
    </row>
    <row r="743" spans="1:39" ht="15.75" customHeight="1">
      <c r="A743" s="382"/>
      <c r="B743" s="311"/>
      <c r="C743" s="1647"/>
      <c r="D743" s="2173"/>
      <c r="E743" s="1586"/>
      <c r="F743" s="1954"/>
      <c r="G743" s="1846"/>
      <c r="H743" s="1586"/>
      <c r="I743" s="1647"/>
      <c r="J743" s="2187"/>
      <c r="K743" s="1647"/>
      <c r="L743" s="1647"/>
      <c r="M743" s="2174"/>
      <c r="N743" s="836"/>
      <c r="O743" s="836"/>
      <c r="P743" s="2174"/>
      <c r="Q743" s="836"/>
      <c r="R743" s="309"/>
      <c r="S743" s="309"/>
      <c r="T743" s="309"/>
      <c r="U743" s="309"/>
      <c r="V743" s="311"/>
      <c r="W743" s="311"/>
      <c r="X743" s="311"/>
      <c r="Y743" s="311"/>
      <c r="Z743" s="311"/>
      <c r="AA743" s="311"/>
      <c r="AB743" s="311"/>
      <c r="AC743" s="311"/>
      <c r="AD743" s="311"/>
      <c r="AE743" s="311"/>
      <c r="AF743" s="311"/>
      <c r="AG743" s="311"/>
      <c r="AH743" s="311"/>
      <c r="AI743" s="311"/>
      <c r="AJ743" s="311"/>
      <c r="AK743" s="311"/>
      <c r="AL743" s="311"/>
      <c r="AM743" s="311"/>
    </row>
    <row r="744" spans="1:39" ht="15.75" customHeight="1">
      <c r="A744" s="382"/>
      <c r="B744" s="311"/>
      <c r="C744" s="1647"/>
      <c r="D744" s="2173"/>
      <c r="E744" s="1586"/>
      <c r="F744" s="1954"/>
      <c r="G744" s="1846"/>
      <c r="H744" s="1586"/>
      <c r="I744" s="1647"/>
      <c r="J744" s="2187"/>
      <c r="K744" s="1647"/>
      <c r="L744" s="1647"/>
      <c r="M744" s="2174"/>
      <c r="N744" s="836"/>
      <c r="O744" s="836"/>
      <c r="P744" s="2174"/>
      <c r="Q744" s="836"/>
      <c r="R744" s="309"/>
      <c r="S744" s="309"/>
      <c r="T744" s="309"/>
      <c r="U744" s="309"/>
      <c r="V744" s="311"/>
      <c r="W744" s="311"/>
      <c r="X744" s="311"/>
      <c r="Y744" s="311"/>
      <c r="Z744" s="311"/>
      <c r="AA744" s="311"/>
      <c r="AB744" s="311"/>
      <c r="AC744" s="311"/>
      <c r="AD744" s="311"/>
      <c r="AE744" s="311"/>
      <c r="AF744" s="311"/>
      <c r="AG744" s="311"/>
      <c r="AH744" s="311"/>
      <c r="AI744" s="311"/>
      <c r="AJ744" s="311"/>
      <c r="AK744" s="311"/>
      <c r="AL744" s="311"/>
      <c r="AM744" s="311"/>
    </row>
    <row r="745" spans="1:39" ht="15.75" customHeight="1">
      <c r="A745" s="382"/>
      <c r="B745" s="311"/>
      <c r="C745" s="1647"/>
      <c r="D745" s="2173"/>
      <c r="E745" s="1586"/>
      <c r="F745" s="1954"/>
      <c r="G745" s="1846"/>
      <c r="H745" s="1586"/>
      <c r="I745" s="1647"/>
      <c r="J745" s="2187"/>
      <c r="K745" s="1647"/>
      <c r="L745" s="1647"/>
      <c r="M745" s="2174"/>
      <c r="N745" s="836"/>
      <c r="O745" s="836"/>
      <c r="P745" s="2174"/>
      <c r="Q745" s="836"/>
      <c r="R745" s="309"/>
      <c r="S745" s="309"/>
      <c r="T745" s="309"/>
      <c r="U745" s="309"/>
      <c r="V745" s="311"/>
      <c r="W745" s="311"/>
      <c r="X745" s="311"/>
      <c r="Y745" s="311"/>
      <c r="Z745" s="311"/>
      <c r="AA745" s="311"/>
      <c r="AB745" s="311"/>
      <c r="AC745" s="311"/>
      <c r="AD745" s="311"/>
      <c r="AE745" s="311"/>
      <c r="AF745" s="311"/>
      <c r="AG745" s="311"/>
      <c r="AH745" s="311"/>
      <c r="AI745" s="311"/>
      <c r="AJ745" s="311"/>
      <c r="AK745" s="311"/>
      <c r="AL745" s="311"/>
      <c r="AM745" s="311"/>
    </row>
    <row r="746" spans="1:39" ht="15.75" customHeight="1">
      <c r="A746" s="382"/>
      <c r="B746" s="311"/>
      <c r="C746" s="1647"/>
      <c r="D746" s="2173"/>
      <c r="E746" s="1586"/>
      <c r="F746" s="1954"/>
      <c r="G746" s="1846"/>
      <c r="H746" s="1586"/>
      <c r="I746" s="1647"/>
      <c r="J746" s="2187"/>
      <c r="K746" s="1647"/>
      <c r="L746" s="1647"/>
      <c r="M746" s="2174"/>
      <c r="N746" s="836"/>
      <c r="O746" s="836"/>
      <c r="P746" s="2174"/>
      <c r="Q746" s="836"/>
      <c r="R746" s="309"/>
      <c r="S746" s="309"/>
      <c r="T746" s="309"/>
      <c r="U746" s="309"/>
      <c r="V746" s="311"/>
      <c r="W746" s="311"/>
      <c r="X746" s="311"/>
      <c r="Y746" s="311"/>
      <c r="Z746" s="311"/>
      <c r="AA746" s="311"/>
      <c r="AB746" s="311"/>
      <c r="AC746" s="311"/>
      <c r="AD746" s="311"/>
      <c r="AE746" s="311"/>
      <c r="AF746" s="311"/>
      <c r="AG746" s="311"/>
      <c r="AH746" s="311"/>
      <c r="AI746" s="311"/>
      <c r="AJ746" s="311"/>
      <c r="AK746" s="311"/>
      <c r="AL746" s="311"/>
      <c r="AM746" s="311"/>
    </row>
    <row r="747" spans="1:39" ht="15.75" customHeight="1">
      <c r="A747" s="382"/>
      <c r="B747" s="311"/>
      <c r="C747" s="1647"/>
      <c r="D747" s="2173"/>
      <c r="E747" s="1586"/>
      <c r="F747" s="1954"/>
      <c r="G747" s="1846"/>
      <c r="H747" s="1586"/>
      <c r="I747" s="1647"/>
      <c r="J747" s="2187"/>
      <c r="K747" s="1647"/>
      <c r="L747" s="1647"/>
      <c r="M747" s="2174"/>
      <c r="N747" s="836"/>
      <c r="O747" s="836"/>
      <c r="P747" s="2174"/>
      <c r="Q747" s="836"/>
      <c r="R747" s="309"/>
      <c r="S747" s="309"/>
      <c r="T747" s="309"/>
      <c r="U747" s="309"/>
      <c r="V747" s="311"/>
      <c r="W747" s="311"/>
      <c r="X747" s="311"/>
      <c r="Y747" s="311"/>
      <c r="Z747" s="311"/>
      <c r="AA747" s="311"/>
      <c r="AB747" s="311"/>
      <c r="AC747" s="311"/>
      <c r="AD747" s="311"/>
      <c r="AE747" s="311"/>
      <c r="AF747" s="311"/>
      <c r="AG747" s="311"/>
      <c r="AH747" s="311"/>
      <c r="AI747" s="311"/>
      <c r="AJ747" s="311"/>
      <c r="AK747" s="311"/>
      <c r="AL747" s="311"/>
      <c r="AM747" s="311"/>
    </row>
    <row r="748" spans="1:39" ht="15.75" customHeight="1">
      <c r="A748" s="382"/>
      <c r="B748" s="311"/>
      <c r="C748" s="1647"/>
      <c r="D748" s="2173"/>
      <c r="E748" s="1586"/>
      <c r="F748" s="1954"/>
      <c r="G748" s="1846"/>
      <c r="H748" s="1586"/>
      <c r="I748" s="1647"/>
      <c r="J748" s="2187"/>
      <c r="K748" s="1647"/>
      <c r="L748" s="1647"/>
      <c r="M748" s="2174"/>
      <c r="N748" s="836"/>
      <c r="O748" s="836"/>
      <c r="P748" s="2174"/>
      <c r="Q748" s="836"/>
      <c r="R748" s="309"/>
      <c r="S748" s="309"/>
      <c r="T748" s="309"/>
      <c r="U748" s="309"/>
      <c r="V748" s="311"/>
      <c r="W748" s="311"/>
      <c r="X748" s="311"/>
      <c r="Y748" s="311"/>
      <c r="Z748" s="311"/>
      <c r="AA748" s="311"/>
      <c r="AB748" s="311"/>
      <c r="AC748" s="311"/>
      <c r="AD748" s="311"/>
      <c r="AE748" s="311"/>
      <c r="AF748" s="311"/>
      <c r="AG748" s="311"/>
      <c r="AH748" s="311"/>
      <c r="AI748" s="311"/>
      <c r="AJ748" s="311"/>
      <c r="AK748" s="311"/>
      <c r="AL748" s="311"/>
      <c r="AM748" s="311"/>
    </row>
    <row r="749" spans="1:39" ht="15.75" customHeight="1">
      <c r="A749" s="382"/>
      <c r="B749" s="311"/>
      <c r="C749" s="1647"/>
      <c r="D749" s="2173"/>
      <c r="E749" s="1586"/>
      <c r="F749" s="1954"/>
      <c r="G749" s="1846"/>
      <c r="H749" s="1586"/>
      <c r="I749" s="1647"/>
      <c r="J749" s="2187"/>
      <c r="K749" s="1647"/>
      <c r="L749" s="1647"/>
      <c r="M749" s="2174"/>
      <c r="N749" s="836"/>
      <c r="O749" s="836"/>
      <c r="P749" s="2174"/>
      <c r="Q749" s="836"/>
      <c r="R749" s="309"/>
      <c r="S749" s="309"/>
      <c r="T749" s="309"/>
      <c r="U749" s="309"/>
      <c r="V749" s="311"/>
      <c r="W749" s="311"/>
      <c r="X749" s="311"/>
      <c r="Y749" s="311"/>
      <c r="Z749" s="311"/>
      <c r="AA749" s="311"/>
      <c r="AB749" s="311"/>
      <c r="AC749" s="311"/>
      <c r="AD749" s="311"/>
      <c r="AE749" s="311"/>
      <c r="AF749" s="311"/>
      <c r="AG749" s="311"/>
      <c r="AH749" s="311"/>
      <c r="AI749" s="311"/>
      <c r="AJ749" s="311"/>
      <c r="AK749" s="311"/>
      <c r="AL749" s="311"/>
      <c r="AM749" s="311"/>
    </row>
    <row r="750" spans="1:39" ht="15.75" customHeight="1">
      <c r="A750" s="382"/>
      <c r="B750" s="311"/>
      <c r="C750" s="1647"/>
      <c r="D750" s="2173"/>
      <c r="E750" s="1586"/>
      <c r="F750" s="1954"/>
      <c r="G750" s="1846"/>
      <c r="H750" s="1586"/>
      <c r="I750" s="1647"/>
      <c r="J750" s="2187"/>
      <c r="K750" s="1647"/>
      <c r="L750" s="1647"/>
      <c r="M750" s="2174"/>
      <c r="N750" s="836"/>
      <c r="O750" s="836"/>
      <c r="P750" s="2174"/>
      <c r="Q750" s="836"/>
      <c r="R750" s="309"/>
      <c r="S750" s="309"/>
      <c r="T750" s="309"/>
      <c r="U750" s="309"/>
      <c r="V750" s="311"/>
      <c r="W750" s="311"/>
      <c r="X750" s="311"/>
      <c r="Y750" s="311"/>
      <c r="Z750" s="311"/>
      <c r="AA750" s="311"/>
      <c r="AB750" s="311"/>
      <c r="AC750" s="311"/>
      <c r="AD750" s="311"/>
      <c r="AE750" s="311"/>
      <c r="AF750" s="311"/>
      <c r="AG750" s="311"/>
      <c r="AH750" s="311"/>
      <c r="AI750" s="311"/>
      <c r="AJ750" s="311"/>
      <c r="AK750" s="311"/>
      <c r="AL750" s="311"/>
      <c r="AM750" s="311"/>
    </row>
    <row r="751" spans="1:39" ht="15.75" customHeight="1">
      <c r="A751" s="382"/>
      <c r="B751" s="311"/>
      <c r="C751" s="1647"/>
      <c r="D751" s="2173"/>
      <c r="E751" s="1586"/>
      <c r="F751" s="1954"/>
      <c r="G751" s="1846"/>
      <c r="H751" s="1586"/>
      <c r="I751" s="1647"/>
      <c r="J751" s="2187"/>
      <c r="K751" s="1647"/>
      <c r="L751" s="1647"/>
      <c r="M751" s="2174"/>
      <c r="N751" s="836"/>
      <c r="O751" s="836"/>
      <c r="P751" s="2174"/>
      <c r="Q751" s="836"/>
      <c r="R751" s="309"/>
      <c r="S751" s="309"/>
      <c r="T751" s="309"/>
      <c r="U751" s="309"/>
      <c r="V751" s="311"/>
      <c r="W751" s="311"/>
      <c r="X751" s="311"/>
      <c r="Y751" s="311"/>
      <c r="Z751" s="311"/>
      <c r="AA751" s="311"/>
      <c r="AB751" s="311"/>
      <c r="AC751" s="311"/>
      <c r="AD751" s="311"/>
      <c r="AE751" s="311"/>
      <c r="AF751" s="311"/>
      <c r="AG751" s="311"/>
      <c r="AH751" s="311"/>
      <c r="AI751" s="311"/>
      <c r="AJ751" s="311"/>
      <c r="AK751" s="311"/>
      <c r="AL751" s="311"/>
      <c r="AM751" s="311"/>
    </row>
    <row r="752" spans="1:39" ht="15.75" customHeight="1">
      <c r="A752" s="382"/>
      <c r="B752" s="311"/>
      <c r="C752" s="1647"/>
      <c r="D752" s="2173"/>
      <c r="E752" s="1586"/>
      <c r="F752" s="1954"/>
      <c r="G752" s="1846"/>
      <c r="H752" s="1586"/>
      <c r="I752" s="1647"/>
      <c r="J752" s="2187"/>
      <c r="K752" s="1647"/>
      <c r="L752" s="1647"/>
      <c r="M752" s="2174"/>
      <c r="N752" s="836"/>
      <c r="O752" s="836"/>
      <c r="P752" s="2174"/>
      <c r="Q752" s="836"/>
      <c r="R752" s="309"/>
      <c r="S752" s="309"/>
      <c r="T752" s="309"/>
      <c r="U752" s="309"/>
      <c r="V752" s="311"/>
      <c r="W752" s="311"/>
      <c r="X752" s="311"/>
      <c r="Y752" s="311"/>
      <c r="Z752" s="311"/>
      <c r="AA752" s="311"/>
      <c r="AB752" s="311"/>
      <c r="AC752" s="311"/>
      <c r="AD752" s="311"/>
      <c r="AE752" s="311"/>
      <c r="AF752" s="311"/>
      <c r="AG752" s="311"/>
      <c r="AH752" s="311"/>
      <c r="AI752" s="311"/>
      <c r="AJ752" s="311"/>
      <c r="AK752" s="311"/>
      <c r="AL752" s="311"/>
      <c r="AM752" s="311"/>
    </row>
    <row r="753" spans="1:39" ht="15.75" customHeight="1">
      <c r="A753" s="382"/>
      <c r="B753" s="311"/>
      <c r="C753" s="1647"/>
      <c r="D753" s="2173"/>
      <c r="E753" s="1586"/>
      <c r="F753" s="1954"/>
      <c r="G753" s="1846"/>
      <c r="H753" s="1586"/>
      <c r="I753" s="1647"/>
      <c r="J753" s="2187"/>
      <c r="K753" s="1647"/>
      <c r="L753" s="1647"/>
      <c r="M753" s="2174"/>
      <c r="N753" s="836"/>
      <c r="O753" s="836"/>
      <c r="P753" s="2174"/>
      <c r="Q753" s="836"/>
      <c r="R753" s="309"/>
      <c r="S753" s="309"/>
      <c r="T753" s="309"/>
      <c r="U753" s="309"/>
      <c r="V753" s="311"/>
      <c r="W753" s="311"/>
      <c r="X753" s="311"/>
      <c r="Y753" s="311"/>
      <c r="Z753" s="311"/>
      <c r="AA753" s="311"/>
      <c r="AB753" s="311"/>
      <c r="AC753" s="311"/>
      <c r="AD753" s="311"/>
      <c r="AE753" s="311"/>
      <c r="AF753" s="311"/>
      <c r="AG753" s="311"/>
      <c r="AH753" s="311"/>
      <c r="AI753" s="311"/>
      <c r="AJ753" s="311"/>
      <c r="AK753" s="311"/>
      <c r="AL753" s="311"/>
      <c r="AM753" s="311"/>
    </row>
    <row r="754" spans="1:39" ht="15.75" customHeight="1">
      <c r="A754" s="382"/>
      <c r="B754" s="311"/>
      <c r="C754" s="1647"/>
      <c r="D754" s="2173"/>
      <c r="E754" s="1586"/>
      <c r="F754" s="1954"/>
      <c r="G754" s="1846"/>
      <c r="H754" s="1586"/>
      <c r="I754" s="1647"/>
      <c r="J754" s="2187"/>
      <c r="K754" s="1647"/>
      <c r="L754" s="1647"/>
      <c r="M754" s="2174"/>
      <c r="N754" s="836"/>
      <c r="O754" s="836"/>
      <c r="P754" s="2174"/>
      <c r="Q754" s="836"/>
      <c r="R754" s="309"/>
      <c r="S754" s="309"/>
      <c r="T754" s="309"/>
      <c r="U754" s="309"/>
      <c r="V754" s="311"/>
      <c r="W754" s="311"/>
      <c r="X754" s="311"/>
      <c r="Y754" s="311"/>
      <c r="Z754" s="311"/>
      <c r="AA754" s="311"/>
      <c r="AB754" s="311"/>
      <c r="AC754" s="311"/>
      <c r="AD754" s="311"/>
      <c r="AE754" s="311"/>
      <c r="AF754" s="311"/>
      <c r="AG754" s="311"/>
      <c r="AH754" s="311"/>
      <c r="AI754" s="311"/>
      <c r="AJ754" s="311"/>
      <c r="AK754" s="311"/>
      <c r="AL754" s="311"/>
      <c r="AM754" s="311"/>
    </row>
    <row r="755" spans="1:39" ht="15.75" customHeight="1">
      <c r="A755" s="382"/>
      <c r="B755" s="311"/>
      <c r="C755" s="1647"/>
      <c r="D755" s="2173"/>
      <c r="E755" s="1586"/>
      <c r="F755" s="1954"/>
      <c r="G755" s="1846"/>
      <c r="H755" s="1586"/>
      <c r="I755" s="1647"/>
      <c r="J755" s="2187"/>
      <c r="K755" s="1647"/>
      <c r="L755" s="1647"/>
      <c r="M755" s="2174"/>
      <c r="N755" s="836"/>
      <c r="O755" s="836"/>
      <c r="P755" s="2174"/>
      <c r="Q755" s="836"/>
      <c r="R755" s="309"/>
      <c r="S755" s="309"/>
      <c r="T755" s="309"/>
      <c r="U755" s="309"/>
      <c r="V755" s="311"/>
      <c r="W755" s="311"/>
      <c r="X755" s="311"/>
      <c r="Y755" s="311"/>
      <c r="Z755" s="311"/>
      <c r="AA755" s="311"/>
      <c r="AB755" s="311"/>
      <c r="AC755" s="311"/>
      <c r="AD755" s="311"/>
      <c r="AE755" s="311"/>
      <c r="AF755" s="311"/>
      <c r="AG755" s="311"/>
      <c r="AH755" s="311"/>
      <c r="AI755" s="311"/>
      <c r="AJ755" s="311"/>
      <c r="AK755" s="311"/>
      <c r="AL755" s="311"/>
      <c r="AM755" s="311"/>
    </row>
    <row r="756" spans="1:39" ht="15.75" customHeight="1">
      <c r="A756" s="382"/>
      <c r="B756" s="311"/>
      <c r="C756" s="1647"/>
      <c r="D756" s="2173"/>
      <c r="E756" s="1586"/>
      <c r="F756" s="1954"/>
      <c r="G756" s="1846"/>
      <c r="H756" s="1586"/>
      <c r="I756" s="1647"/>
      <c r="J756" s="2187"/>
      <c r="K756" s="1647"/>
      <c r="L756" s="1647"/>
      <c r="M756" s="2174"/>
      <c r="N756" s="836"/>
      <c r="O756" s="836"/>
      <c r="P756" s="2174"/>
      <c r="Q756" s="836"/>
      <c r="R756" s="309"/>
      <c r="S756" s="309"/>
      <c r="T756" s="309"/>
      <c r="U756" s="309"/>
      <c r="V756" s="311"/>
      <c r="W756" s="311"/>
      <c r="X756" s="311"/>
      <c r="Y756" s="311"/>
      <c r="Z756" s="311"/>
      <c r="AA756" s="311"/>
      <c r="AB756" s="311"/>
      <c r="AC756" s="311"/>
      <c r="AD756" s="311"/>
      <c r="AE756" s="311"/>
      <c r="AF756" s="311"/>
      <c r="AG756" s="311"/>
      <c r="AH756" s="311"/>
      <c r="AI756" s="311"/>
      <c r="AJ756" s="311"/>
      <c r="AK756" s="311"/>
      <c r="AL756" s="311"/>
      <c r="AM756" s="311"/>
    </row>
    <row r="757" spans="1:39" ht="15.75" customHeight="1">
      <c r="A757" s="382"/>
      <c r="B757" s="311"/>
      <c r="C757" s="1647"/>
      <c r="D757" s="2173"/>
      <c r="E757" s="1586"/>
      <c r="F757" s="1954"/>
      <c r="G757" s="1846"/>
      <c r="H757" s="1586"/>
      <c r="I757" s="1647"/>
      <c r="J757" s="2187"/>
      <c r="K757" s="1647"/>
      <c r="L757" s="1647"/>
      <c r="M757" s="2174"/>
      <c r="N757" s="836"/>
      <c r="O757" s="836"/>
      <c r="P757" s="2174"/>
      <c r="Q757" s="836"/>
      <c r="R757" s="309"/>
      <c r="S757" s="309"/>
      <c r="T757" s="309"/>
      <c r="U757" s="309"/>
      <c r="V757" s="311"/>
      <c r="W757" s="311"/>
      <c r="X757" s="311"/>
      <c r="Y757" s="311"/>
      <c r="Z757" s="311"/>
      <c r="AA757" s="311"/>
      <c r="AB757" s="311"/>
      <c r="AC757" s="311"/>
      <c r="AD757" s="311"/>
      <c r="AE757" s="311"/>
      <c r="AF757" s="311"/>
      <c r="AG757" s="311"/>
      <c r="AH757" s="311"/>
      <c r="AI757" s="311"/>
      <c r="AJ757" s="311"/>
      <c r="AK757" s="311"/>
      <c r="AL757" s="311"/>
      <c r="AM757" s="311"/>
    </row>
    <row r="758" spans="1:39" ht="15.75" customHeight="1">
      <c r="A758" s="382"/>
      <c r="B758" s="311"/>
      <c r="C758" s="1647"/>
      <c r="D758" s="2173"/>
      <c r="E758" s="1586"/>
      <c r="F758" s="1954"/>
      <c r="G758" s="1846"/>
      <c r="H758" s="1586"/>
      <c r="I758" s="1647"/>
      <c r="J758" s="2187"/>
      <c r="K758" s="1647"/>
      <c r="L758" s="1647"/>
      <c r="M758" s="2174"/>
      <c r="N758" s="836"/>
      <c r="O758" s="836"/>
      <c r="P758" s="2174"/>
      <c r="Q758" s="836"/>
      <c r="R758" s="309"/>
      <c r="S758" s="309"/>
      <c r="T758" s="309"/>
      <c r="U758" s="309"/>
      <c r="V758" s="311"/>
      <c r="W758" s="311"/>
      <c r="X758" s="311"/>
      <c r="Y758" s="311"/>
      <c r="Z758" s="311"/>
      <c r="AA758" s="311"/>
      <c r="AB758" s="311"/>
      <c r="AC758" s="311"/>
      <c r="AD758" s="311"/>
      <c r="AE758" s="311"/>
      <c r="AF758" s="311"/>
      <c r="AG758" s="311"/>
      <c r="AH758" s="311"/>
      <c r="AI758" s="311"/>
      <c r="AJ758" s="311"/>
      <c r="AK758" s="311"/>
      <c r="AL758" s="311"/>
      <c r="AM758" s="311"/>
    </row>
    <row r="759" spans="1:39" ht="15.75" customHeight="1">
      <c r="A759" s="382"/>
      <c r="B759" s="311"/>
      <c r="C759" s="1647"/>
      <c r="D759" s="2173"/>
      <c r="E759" s="1586"/>
      <c r="F759" s="1954"/>
      <c r="G759" s="1846"/>
      <c r="H759" s="1586"/>
      <c r="I759" s="1647"/>
      <c r="J759" s="2187"/>
      <c r="K759" s="1647"/>
      <c r="L759" s="1647"/>
      <c r="M759" s="2174"/>
      <c r="N759" s="836"/>
      <c r="O759" s="836"/>
      <c r="P759" s="2174"/>
      <c r="Q759" s="836"/>
      <c r="R759" s="309"/>
      <c r="S759" s="309"/>
      <c r="T759" s="309"/>
      <c r="U759" s="309"/>
      <c r="V759" s="311"/>
      <c r="W759" s="311"/>
      <c r="X759" s="311"/>
      <c r="Y759" s="311"/>
      <c r="Z759" s="311"/>
      <c r="AA759" s="311"/>
      <c r="AB759" s="311"/>
      <c r="AC759" s="311"/>
      <c r="AD759" s="311"/>
      <c r="AE759" s="311"/>
      <c r="AF759" s="311"/>
      <c r="AG759" s="311"/>
      <c r="AH759" s="311"/>
      <c r="AI759" s="311"/>
      <c r="AJ759" s="311"/>
      <c r="AK759" s="311"/>
      <c r="AL759" s="311"/>
      <c r="AM759" s="311"/>
    </row>
    <row r="760" spans="1:39" ht="15.75" customHeight="1">
      <c r="A760" s="382"/>
      <c r="B760" s="311"/>
      <c r="C760" s="1647"/>
      <c r="D760" s="2173"/>
      <c r="E760" s="1586"/>
      <c r="F760" s="1954"/>
      <c r="G760" s="1846"/>
      <c r="H760" s="1586"/>
      <c r="I760" s="1647"/>
      <c r="J760" s="2187"/>
      <c r="K760" s="1647"/>
      <c r="L760" s="1647"/>
      <c r="M760" s="2174"/>
      <c r="N760" s="836"/>
      <c r="O760" s="836"/>
      <c r="P760" s="2174"/>
      <c r="Q760" s="836"/>
      <c r="R760" s="309"/>
      <c r="S760" s="309"/>
      <c r="T760" s="309"/>
      <c r="U760" s="309"/>
      <c r="V760" s="311"/>
      <c r="W760" s="311"/>
      <c r="X760" s="311"/>
      <c r="Y760" s="311"/>
      <c r="Z760" s="311"/>
      <c r="AA760" s="311"/>
      <c r="AB760" s="311"/>
      <c r="AC760" s="311"/>
      <c r="AD760" s="311"/>
      <c r="AE760" s="311"/>
      <c r="AF760" s="311"/>
      <c r="AG760" s="311"/>
      <c r="AH760" s="311"/>
      <c r="AI760" s="311"/>
      <c r="AJ760" s="311"/>
      <c r="AK760" s="311"/>
      <c r="AL760" s="311"/>
      <c r="AM760" s="311"/>
    </row>
    <row r="761" spans="1:39" ht="15.75" customHeight="1">
      <c r="A761" s="382"/>
      <c r="B761" s="311"/>
      <c r="C761" s="1647"/>
      <c r="D761" s="2173"/>
      <c r="E761" s="1586"/>
      <c r="F761" s="1954"/>
      <c r="G761" s="1846"/>
      <c r="H761" s="1586"/>
      <c r="I761" s="1647"/>
      <c r="J761" s="2187"/>
      <c r="K761" s="1647"/>
      <c r="L761" s="1647"/>
      <c r="M761" s="2174"/>
      <c r="N761" s="836"/>
      <c r="O761" s="836"/>
      <c r="P761" s="2174"/>
      <c r="Q761" s="836"/>
      <c r="R761" s="309"/>
      <c r="S761" s="309"/>
      <c r="T761" s="309"/>
      <c r="U761" s="309"/>
      <c r="V761" s="311"/>
      <c r="W761" s="311"/>
      <c r="X761" s="311"/>
      <c r="Y761" s="311"/>
      <c r="Z761" s="311"/>
      <c r="AA761" s="311"/>
      <c r="AB761" s="311"/>
      <c r="AC761" s="311"/>
      <c r="AD761" s="311"/>
      <c r="AE761" s="311"/>
      <c r="AF761" s="311"/>
      <c r="AG761" s="311"/>
      <c r="AH761" s="311"/>
      <c r="AI761" s="311"/>
      <c r="AJ761" s="311"/>
      <c r="AK761" s="311"/>
      <c r="AL761" s="311"/>
      <c r="AM761" s="311"/>
    </row>
    <row r="762" spans="1:39" ht="15.75" customHeight="1">
      <c r="A762" s="382"/>
      <c r="B762" s="311"/>
      <c r="C762" s="1647"/>
      <c r="D762" s="2173"/>
      <c r="E762" s="1586"/>
      <c r="F762" s="1954"/>
      <c r="G762" s="1846"/>
      <c r="H762" s="1586"/>
      <c r="I762" s="1647"/>
      <c r="J762" s="2187"/>
      <c r="K762" s="1647"/>
      <c r="L762" s="1647"/>
      <c r="M762" s="2174"/>
      <c r="N762" s="836"/>
      <c r="O762" s="836"/>
      <c r="P762" s="2174"/>
      <c r="Q762" s="836"/>
      <c r="R762" s="309"/>
      <c r="S762" s="309"/>
      <c r="T762" s="309"/>
      <c r="U762" s="309"/>
      <c r="V762" s="311"/>
      <c r="W762" s="311"/>
      <c r="X762" s="311"/>
      <c r="Y762" s="311"/>
      <c r="Z762" s="311"/>
      <c r="AA762" s="311"/>
      <c r="AB762" s="311"/>
      <c r="AC762" s="311"/>
      <c r="AD762" s="311"/>
      <c r="AE762" s="311"/>
      <c r="AF762" s="311"/>
      <c r="AG762" s="311"/>
      <c r="AH762" s="311"/>
      <c r="AI762" s="311"/>
      <c r="AJ762" s="311"/>
      <c r="AK762" s="311"/>
      <c r="AL762" s="311"/>
      <c r="AM762" s="311"/>
    </row>
    <row r="763" spans="1:39" ht="15.75" customHeight="1">
      <c r="A763" s="382"/>
      <c r="B763" s="311"/>
      <c r="C763" s="1647"/>
      <c r="D763" s="2173"/>
      <c r="E763" s="1586"/>
      <c r="F763" s="1954"/>
      <c r="G763" s="1846"/>
      <c r="H763" s="1586"/>
      <c r="I763" s="1647"/>
      <c r="J763" s="2187"/>
      <c r="K763" s="1647"/>
      <c r="L763" s="1647"/>
      <c r="M763" s="2174"/>
      <c r="N763" s="836"/>
      <c r="O763" s="836"/>
      <c r="P763" s="2174"/>
      <c r="Q763" s="836"/>
      <c r="R763" s="309"/>
      <c r="S763" s="309"/>
      <c r="T763" s="309"/>
      <c r="U763" s="309"/>
      <c r="V763" s="311"/>
      <c r="W763" s="311"/>
      <c r="X763" s="311"/>
      <c r="Y763" s="311"/>
      <c r="Z763" s="311"/>
      <c r="AA763" s="311"/>
      <c r="AB763" s="311"/>
      <c r="AC763" s="311"/>
      <c r="AD763" s="311"/>
      <c r="AE763" s="311"/>
      <c r="AF763" s="311"/>
      <c r="AG763" s="311"/>
      <c r="AH763" s="311"/>
      <c r="AI763" s="311"/>
      <c r="AJ763" s="311"/>
      <c r="AK763" s="311"/>
      <c r="AL763" s="311"/>
      <c r="AM763" s="311"/>
    </row>
    <row r="764" spans="1:39" ht="15.75" customHeight="1">
      <c r="A764" s="382"/>
      <c r="B764" s="311"/>
      <c r="C764" s="1647"/>
      <c r="D764" s="2173"/>
      <c r="E764" s="1586"/>
      <c r="F764" s="1954"/>
      <c r="G764" s="1846"/>
      <c r="H764" s="1586"/>
      <c r="I764" s="1647"/>
      <c r="J764" s="2187"/>
      <c r="K764" s="1647"/>
      <c r="L764" s="1647"/>
      <c r="M764" s="2174"/>
      <c r="N764" s="836"/>
      <c r="O764" s="836"/>
      <c r="P764" s="2174"/>
      <c r="Q764" s="836"/>
      <c r="R764" s="309"/>
      <c r="S764" s="309"/>
      <c r="T764" s="309"/>
      <c r="U764" s="309"/>
      <c r="V764" s="311"/>
      <c r="W764" s="311"/>
      <c r="X764" s="311"/>
      <c r="Y764" s="311"/>
      <c r="Z764" s="311"/>
      <c r="AA764" s="311"/>
      <c r="AB764" s="311"/>
      <c r="AC764" s="311"/>
      <c r="AD764" s="311"/>
      <c r="AE764" s="311"/>
      <c r="AF764" s="311"/>
      <c r="AG764" s="311"/>
      <c r="AH764" s="311"/>
      <c r="AI764" s="311"/>
      <c r="AJ764" s="311"/>
      <c r="AK764" s="311"/>
      <c r="AL764" s="311"/>
      <c r="AM764" s="311"/>
    </row>
    <row r="765" spans="1:39" ht="15.75" customHeight="1">
      <c r="A765" s="382"/>
      <c r="B765" s="311"/>
      <c r="C765" s="1647"/>
      <c r="D765" s="2173"/>
      <c r="E765" s="1586"/>
      <c r="F765" s="1954"/>
      <c r="G765" s="1846"/>
      <c r="H765" s="1586"/>
      <c r="I765" s="1647"/>
      <c r="J765" s="2187"/>
      <c r="K765" s="1647"/>
      <c r="L765" s="1647"/>
      <c r="M765" s="2174"/>
      <c r="N765" s="836"/>
      <c r="O765" s="836"/>
      <c r="P765" s="2174"/>
      <c r="Q765" s="836"/>
      <c r="R765" s="309"/>
      <c r="S765" s="309"/>
      <c r="T765" s="309"/>
      <c r="U765" s="309"/>
      <c r="V765" s="311"/>
      <c r="W765" s="311"/>
      <c r="X765" s="311"/>
      <c r="Y765" s="311"/>
      <c r="Z765" s="311"/>
      <c r="AA765" s="311"/>
      <c r="AB765" s="311"/>
      <c r="AC765" s="311"/>
      <c r="AD765" s="311"/>
      <c r="AE765" s="311"/>
      <c r="AF765" s="311"/>
      <c r="AG765" s="311"/>
      <c r="AH765" s="311"/>
      <c r="AI765" s="311"/>
      <c r="AJ765" s="311"/>
      <c r="AK765" s="311"/>
      <c r="AL765" s="311"/>
      <c r="AM765" s="311"/>
    </row>
    <row r="766" spans="1:39" ht="15.75" customHeight="1">
      <c r="A766" s="382"/>
      <c r="B766" s="311"/>
      <c r="C766" s="1647"/>
      <c r="D766" s="2173"/>
      <c r="E766" s="1586"/>
      <c r="F766" s="1954"/>
      <c r="G766" s="1846"/>
      <c r="H766" s="1586"/>
      <c r="I766" s="1647"/>
      <c r="J766" s="2187"/>
      <c r="K766" s="1647"/>
      <c r="L766" s="1647"/>
      <c r="M766" s="2174"/>
      <c r="N766" s="836"/>
      <c r="O766" s="836"/>
      <c r="P766" s="2174"/>
      <c r="Q766" s="836"/>
      <c r="R766" s="309"/>
      <c r="S766" s="309"/>
      <c r="T766" s="309"/>
      <c r="U766" s="309"/>
      <c r="V766" s="311"/>
      <c r="W766" s="311"/>
      <c r="X766" s="311"/>
      <c r="Y766" s="311"/>
      <c r="Z766" s="311"/>
      <c r="AA766" s="311"/>
      <c r="AB766" s="311"/>
      <c r="AC766" s="311"/>
      <c r="AD766" s="311"/>
      <c r="AE766" s="311"/>
      <c r="AF766" s="311"/>
      <c r="AG766" s="311"/>
      <c r="AH766" s="311"/>
      <c r="AI766" s="311"/>
      <c r="AJ766" s="311"/>
      <c r="AK766" s="311"/>
      <c r="AL766" s="311"/>
      <c r="AM766" s="311"/>
    </row>
    <row r="767" spans="1:39" ht="15.75" customHeight="1">
      <c r="A767" s="382"/>
      <c r="B767" s="311"/>
      <c r="C767" s="1647"/>
      <c r="D767" s="2173"/>
      <c r="E767" s="1586"/>
      <c r="F767" s="1954"/>
      <c r="G767" s="1846"/>
      <c r="H767" s="1586"/>
      <c r="I767" s="1647"/>
      <c r="J767" s="2187"/>
      <c r="K767" s="1647"/>
      <c r="L767" s="1647"/>
      <c r="M767" s="2174"/>
      <c r="N767" s="836"/>
      <c r="O767" s="836"/>
      <c r="P767" s="2174"/>
      <c r="Q767" s="836"/>
      <c r="R767" s="309"/>
      <c r="S767" s="309"/>
      <c r="T767" s="309"/>
      <c r="U767" s="309"/>
      <c r="V767" s="311"/>
      <c r="W767" s="311"/>
      <c r="X767" s="311"/>
      <c r="Y767" s="311"/>
      <c r="Z767" s="311"/>
      <c r="AA767" s="311"/>
      <c r="AB767" s="311"/>
      <c r="AC767" s="311"/>
      <c r="AD767" s="311"/>
      <c r="AE767" s="311"/>
      <c r="AF767" s="311"/>
      <c r="AG767" s="311"/>
      <c r="AH767" s="311"/>
      <c r="AI767" s="311"/>
      <c r="AJ767" s="311"/>
      <c r="AK767" s="311"/>
      <c r="AL767" s="311"/>
      <c r="AM767" s="311"/>
    </row>
    <row r="768" spans="1:39" ht="15.75" customHeight="1">
      <c r="A768" s="382"/>
      <c r="B768" s="311"/>
      <c r="C768" s="1647"/>
      <c r="D768" s="2173"/>
      <c r="E768" s="1586"/>
      <c r="F768" s="1954"/>
      <c r="G768" s="1846"/>
      <c r="H768" s="1586"/>
      <c r="I768" s="1647"/>
      <c r="J768" s="2187"/>
      <c r="K768" s="1647"/>
      <c r="L768" s="1647"/>
      <c r="M768" s="2174"/>
      <c r="N768" s="836"/>
      <c r="O768" s="836"/>
      <c r="P768" s="2174"/>
      <c r="Q768" s="836"/>
      <c r="R768" s="309"/>
      <c r="S768" s="309"/>
      <c r="T768" s="309"/>
      <c r="U768" s="309"/>
      <c r="V768" s="311"/>
      <c r="W768" s="311"/>
      <c r="X768" s="311"/>
      <c r="Y768" s="311"/>
      <c r="Z768" s="311"/>
      <c r="AA768" s="311"/>
      <c r="AB768" s="311"/>
      <c r="AC768" s="311"/>
      <c r="AD768" s="311"/>
      <c r="AE768" s="311"/>
      <c r="AF768" s="311"/>
      <c r="AG768" s="311"/>
      <c r="AH768" s="311"/>
      <c r="AI768" s="311"/>
      <c r="AJ768" s="311"/>
      <c r="AK768" s="311"/>
      <c r="AL768" s="311"/>
      <c r="AM768" s="311"/>
    </row>
    <row r="769" spans="1:39" ht="15.75" customHeight="1">
      <c r="A769" s="382"/>
      <c r="B769" s="311"/>
      <c r="C769" s="1647"/>
      <c r="D769" s="2173"/>
      <c r="E769" s="1586"/>
      <c r="F769" s="1954"/>
      <c r="G769" s="1846"/>
      <c r="H769" s="1586"/>
      <c r="I769" s="1647"/>
      <c r="J769" s="2187"/>
      <c r="K769" s="1647"/>
      <c r="L769" s="1647"/>
      <c r="M769" s="2174"/>
      <c r="N769" s="836"/>
      <c r="O769" s="836"/>
      <c r="P769" s="2174"/>
      <c r="Q769" s="836"/>
      <c r="R769" s="309"/>
      <c r="S769" s="309"/>
      <c r="T769" s="309"/>
      <c r="U769" s="309"/>
      <c r="V769" s="311"/>
      <c r="W769" s="311"/>
      <c r="X769" s="311"/>
      <c r="Y769" s="311"/>
      <c r="Z769" s="311"/>
      <c r="AA769" s="311"/>
      <c r="AB769" s="311"/>
      <c r="AC769" s="311"/>
      <c r="AD769" s="311"/>
      <c r="AE769" s="311"/>
      <c r="AF769" s="311"/>
      <c r="AG769" s="311"/>
      <c r="AH769" s="311"/>
      <c r="AI769" s="311"/>
      <c r="AJ769" s="311"/>
      <c r="AK769" s="311"/>
      <c r="AL769" s="311"/>
      <c r="AM769" s="311"/>
    </row>
    <row r="770" spans="1:39" ht="15.75" customHeight="1">
      <c r="A770" s="382"/>
      <c r="B770" s="311"/>
      <c r="C770" s="1647"/>
      <c r="D770" s="2173"/>
      <c r="E770" s="1586"/>
      <c r="F770" s="1954"/>
      <c r="G770" s="1846"/>
      <c r="H770" s="1586"/>
      <c r="I770" s="1647"/>
      <c r="J770" s="2187"/>
      <c r="K770" s="1647"/>
      <c r="L770" s="1647"/>
      <c r="M770" s="2174"/>
      <c r="N770" s="836"/>
      <c r="O770" s="836"/>
      <c r="P770" s="2174"/>
      <c r="Q770" s="836"/>
      <c r="R770" s="309"/>
      <c r="S770" s="309"/>
      <c r="T770" s="309"/>
      <c r="U770" s="309"/>
      <c r="V770" s="311"/>
      <c r="W770" s="311"/>
      <c r="X770" s="311"/>
      <c r="Y770" s="311"/>
      <c r="Z770" s="311"/>
      <c r="AA770" s="311"/>
      <c r="AB770" s="311"/>
      <c r="AC770" s="311"/>
      <c r="AD770" s="311"/>
      <c r="AE770" s="311"/>
      <c r="AF770" s="311"/>
      <c r="AG770" s="311"/>
      <c r="AH770" s="311"/>
      <c r="AI770" s="311"/>
      <c r="AJ770" s="311"/>
      <c r="AK770" s="311"/>
      <c r="AL770" s="311"/>
      <c r="AM770" s="311"/>
    </row>
    <row r="771" spans="1:39" ht="15.75" customHeight="1">
      <c r="A771" s="382"/>
      <c r="B771" s="311"/>
      <c r="C771" s="1647"/>
      <c r="D771" s="2173"/>
      <c r="E771" s="1586"/>
      <c r="F771" s="1954"/>
      <c r="G771" s="1846"/>
      <c r="H771" s="1586"/>
      <c r="I771" s="1647"/>
      <c r="J771" s="2187"/>
      <c r="K771" s="1647"/>
      <c r="L771" s="1647"/>
      <c r="M771" s="2174"/>
      <c r="N771" s="836"/>
      <c r="O771" s="836"/>
      <c r="P771" s="2174"/>
      <c r="Q771" s="836"/>
      <c r="R771" s="309"/>
      <c r="S771" s="309"/>
      <c r="T771" s="309"/>
      <c r="U771" s="309"/>
      <c r="V771" s="311"/>
      <c r="W771" s="311"/>
      <c r="X771" s="311"/>
      <c r="Y771" s="311"/>
      <c r="Z771" s="311"/>
      <c r="AA771" s="311"/>
      <c r="AB771" s="311"/>
      <c r="AC771" s="311"/>
      <c r="AD771" s="311"/>
      <c r="AE771" s="311"/>
      <c r="AF771" s="311"/>
      <c r="AG771" s="311"/>
      <c r="AH771" s="311"/>
      <c r="AI771" s="311"/>
      <c r="AJ771" s="311"/>
      <c r="AK771" s="311"/>
      <c r="AL771" s="311"/>
      <c r="AM771" s="311"/>
    </row>
    <row r="772" spans="1:39" ht="15.75" customHeight="1">
      <c r="A772" s="382"/>
      <c r="B772" s="311"/>
      <c r="C772" s="1647"/>
      <c r="D772" s="2173"/>
      <c r="E772" s="1586"/>
      <c r="F772" s="1954"/>
      <c r="G772" s="1846"/>
      <c r="H772" s="1586"/>
      <c r="I772" s="1647"/>
      <c r="J772" s="2187"/>
      <c r="K772" s="1647"/>
      <c r="L772" s="1647"/>
      <c r="M772" s="2174"/>
      <c r="N772" s="836"/>
      <c r="O772" s="836"/>
      <c r="P772" s="2174"/>
      <c r="Q772" s="836"/>
      <c r="R772" s="309"/>
      <c r="S772" s="309"/>
      <c r="T772" s="309"/>
      <c r="U772" s="309"/>
      <c r="V772" s="311"/>
      <c r="W772" s="311"/>
      <c r="X772" s="311"/>
      <c r="Y772" s="311"/>
      <c r="Z772" s="311"/>
      <c r="AA772" s="311"/>
      <c r="AB772" s="311"/>
      <c r="AC772" s="311"/>
      <c r="AD772" s="311"/>
      <c r="AE772" s="311"/>
      <c r="AF772" s="311"/>
      <c r="AG772" s="311"/>
      <c r="AH772" s="311"/>
      <c r="AI772" s="311"/>
      <c r="AJ772" s="311"/>
      <c r="AK772" s="311"/>
      <c r="AL772" s="311"/>
      <c r="AM772" s="311"/>
    </row>
    <row r="773" spans="1:39" ht="15.75" customHeight="1">
      <c r="A773" s="382"/>
      <c r="B773" s="311"/>
      <c r="C773" s="1647"/>
      <c r="D773" s="2173"/>
      <c r="E773" s="1586"/>
      <c r="F773" s="1954"/>
      <c r="G773" s="1846"/>
      <c r="H773" s="1586"/>
      <c r="I773" s="1647"/>
      <c r="J773" s="2187"/>
      <c r="K773" s="1647"/>
      <c r="L773" s="1647"/>
      <c r="M773" s="2174"/>
      <c r="N773" s="836"/>
      <c r="O773" s="836"/>
      <c r="P773" s="2174"/>
      <c r="Q773" s="836"/>
      <c r="R773" s="309"/>
      <c r="S773" s="309"/>
      <c r="T773" s="309"/>
      <c r="U773" s="309"/>
      <c r="V773" s="311"/>
      <c r="W773" s="311"/>
      <c r="X773" s="311"/>
      <c r="Y773" s="311"/>
      <c r="Z773" s="311"/>
      <c r="AA773" s="311"/>
      <c r="AB773" s="311"/>
      <c r="AC773" s="311"/>
      <c r="AD773" s="311"/>
      <c r="AE773" s="311"/>
      <c r="AF773" s="311"/>
      <c r="AG773" s="311"/>
      <c r="AH773" s="311"/>
      <c r="AI773" s="311"/>
      <c r="AJ773" s="311"/>
      <c r="AK773" s="311"/>
      <c r="AL773" s="311"/>
      <c r="AM773" s="311"/>
    </row>
    <row r="774" spans="1:39" ht="15.75" customHeight="1">
      <c r="A774" s="382"/>
      <c r="B774" s="311"/>
      <c r="C774" s="1647"/>
      <c r="D774" s="2173"/>
      <c r="E774" s="1586"/>
      <c r="F774" s="1954"/>
      <c r="G774" s="1846"/>
      <c r="H774" s="1586"/>
      <c r="I774" s="1647"/>
      <c r="J774" s="2187"/>
      <c r="K774" s="1647"/>
      <c r="L774" s="1647"/>
      <c r="M774" s="2174"/>
      <c r="N774" s="836"/>
      <c r="O774" s="836"/>
      <c r="P774" s="2174"/>
      <c r="Q774" s="836"/>
      <c r="R774" s="309"/>
      <c r="S774" s="309"/>
      <c r="T774" s="309"/>
      <c r="U774" s="309"/>
      <c r="V774" s="311"/>
      <c r="W774" s="311"/>
      <c r="X774" s="311"/>
      <c r="Y774" s="311"/>
      <c r="Z774" s="311"/>
      <c r="AA774" s="311"/>
      <c r="AB774" s="311"/>
      <c r="AC774" s="311"/>
      <c r="AD774" s="311"/>
      <c r="AE774" s="311"/>
      <c r="AF774" s="311"/>
      <c r="AG774" s="311"/>
      <c r="AH774" s="311"/>
      <c r="AI774" s="311"/>
      <c r="AJ774" s="311"/>
      <c r="AK774" s="311"/>
      <c r="AL774" s="311"/>
      <c r="AM774" s="311"/>
    </row>
    <row r="775" spans="1:39" ht="15.75" customHeight="1">
      <c r="A775" s="382"/>
      <c r="B775" s="311"/>
      <c r="C775" s="1647"/>
      <c r="D775" s="2173"/>
      <c r="E775" s="1586"/>
      <c r="F775" s="1954"/>
      <c r="G775" s="1846"/>
      <c r="H775" s="1586"/>
      <c r="I775" s="1647"/>
      <c r="J775" s="2187"/>
      <c r="K775" s="1647"/>
      <c r="L775" s="1647"/>
      <c r="M775" s="2174"/>
      <c r="N775" s="836"/>
      <c r="O775" s="836"/>
      <c r="P775" s="2174"/>
      <c r="Q775" s="836"/>
      <c r="R775" s="309"/>
      <c r="S775" s="309"/>
      <c r="T775" s="309"/>
      <c r="U775" s="309"/>
      <c r="V775" s="311"/>
      <c r="W775" s="311"/>
      <c r="X775" s="311"/>
      <c r="Y775" s="311"/>
      <c r="Z775" s="311"/>
      <c r="AA775" s="311"/>
      <c r="AB775" s="311"/>
      <c r="AC775" s="311"/>
      <c r="AD775" s="311"/>
      <c r="AE775" s="311"/>
      <c r="AF775" s="311"/>
      <c r="AG775" s="311"/>
      <c r="AH775" s="311"/>
      <c r="AI775" s="311"/>
      <c r="AJ775" s="311"/>
      <c r="AK775" s="311"/>
      <c r="AL775" s="311"/>
      <c r="AM775" s="311"/>
    </row>
    <row r="776" spans="1:39" ht="15.75" customHeight="1">
      <c r="A776" s="382"/>
      <c r="B776" s="311"/>
      <c r="C776" s="1647"/>
      <c r="D776" s="2173"/>
      <c r="E776" s="1586"/>
      <c r="F776" s="1954"/>
      <c r="G776" s="1846"/>
      <c r="H776" s="1586"/>
      <c r="I776" s="1647"/>
      <c r="J776" s="2187"/>
      <c r="K776" s="1647"/>
      <c r="L776" s="1647"/>
      <c r="M776" s="2174"/>
      <c r="N776" s="836"/>
      <c r="O776" s="836"/>
      <c r="P776" s="2174"/>
      <c r="Q776" s="836"/>
      <c r="R776" s="309"/>
      <c r="S776" s="309"/>
      <c r="T776" s="309"/>
      <c r="U776" s="309"/>
      <c r="V776" s="311"/>
      <c r="W776" s="311"/>
      <c r="X776" s="311"/>
      <c r="Y776" s="311"/>
      <c r="Z776" s="311"/>
      <c r="AA776" s="311"/>
      <c r="AB776" s="311"/>
      <c r="AC776" s="311"/>
      <c r="AD776" s="311"/>
      <c r="AE776" s="311"/>
      <c r="AF776" s="311"/>
      <c r="AG776" s="311"/>
      <c r="AH776" s="311"/>
      <c r="AI776" s="311"/>
      <c r="AJ776" s="311"/>
      <c r="AK776" s="311"/>
      <c r="AL776" s="311"/>
      <c r="AM776" s="311"/>
    </row>
    <row r="777" spans="1:39" ht="15.75" customHeight="1">
      <c r="A777" s="382"/>
      <c r="B777" s="311"/>
      <c r="C777" s="1647"/>
      <c r="D777" s="2173"/>
      <c r="E777" s="1586"/>
      <c r="F777" s="1954"/>
      <c r="G777" s="1846"/>
      <c r="H777" s="1586"/>
      <c r="I777" s="1647"/>
      <c r="J777" s="2187"/>
      <c r="K777" s="1647"/>
      <c r="L777" s="1647"/>
      <c r="M777" s="2174"/>
      <c r="N777" s="836"/>
      <c r="O777" s="836"/>
      <c r="P777" s="2174"/>
      <c r="Q777" s="836"/>
      <c r="R777" s="309"/>
      <c r="S777" s="309"/>
      <c r="T777" s="309"/>
      <c r="U777" s="309"/>
      <c r="V777" s="311"/>
      <c r="W777" s="311"/>
      <c r="X777" s="311"/>
      <c r="Y777" s="311"/>
      <c r="Z777" s="311"/>
      <c r="AA777" s="311"/>
      <c r="AB777" s="311"/>
      <c r="AC777" s="311"/>
      <c r="AD777" s="311"/>
      <c r="AE777" s="311"/>
      <c r="AF777" s="311"/>
      <c r="AG777" s="311"/>
      <c r="AH777" s="311"/>
      <c r="AI777" s="311"/>
      <c r="AJ777" s="311"/>
      <c r="AK777" s="311"/>
      <c r="AL777" s="311"/>
      <c r="AM777" s="311"/>
    </row>
    <row r="778" spans="1:39" ht="15.75" customHeight="1">
      <c r="A778" s="382"/>
      <c r="B778" s="311"/>
      <c r="C778" s="1647"/>
      <c r="D778" s="2173"/>
      <c r="E778" s="1586"/>
      <c r="F778" s="1954"/>
      <c r="G778" s="1846"/>
      <c r="H778" s="1586"/>
      <c r="I778" s="1647"/>
      <c r="J778" s="2187"/>
      <c r="K778" s="1647"/>
      <c r="L778" s="1647"/>
      <c r="M778" s="2174"/>
      <c r="N778" s="836"/>
      <c r="O778" s="836"/>
      <c r="P778" s="2174"/>
      <c r="Q778" s="836"/>
      <c r="R778" s="309"/>
      <c r="S778" s="309"/>
      <c r="T778" s="309"/>
      <c r="U778" s="309"/>
      <c r="V778" s="311"/>
      <c r="W778" s="311"/>
      <c r="X778" s="311"/>
      <c r="Y778" s="311"/>
      <c r="Z778" s="311"/>
      <c r="AA778" s="311"/>
      <c r="AB778" s="311"/>
      <c r="AC778" s="311"/>
      <c r="AD778" s="311"/>
      <c r="AE778" s="311"/>
      <c r="AF778" s="311"/>
      <c r="AG778" s="311"/>
      <c r="AH778" s="311"/>
      <c r="AI778" s="311"/>
      <c r="AJ778" s="311"/>
      <c r="AK778" s="311"/>
      <c r="AL778" s="311"/>
      <c r="AM778" s="311"/>
    </row>
    <row r="779" spans="1:39" ht="15.75" customHeight="1">
      <c r="A779" s="382"/>
      <c r="B779" s="311"/>
      <c r="C779" s="1647"/>
      <c r="D779" s="2173"/>
      <c r="E779" s="1586"/>
      <c r="F779" s="1954"/>
      <c r="G779" s="1846"/>
      <c r="H779" s="1586"/>
      <c r="I779" s="1647"/>
      <c r="J779" s="2187"/>
      <c r="K779" s="1647"/>
      <c r="L779" s="1647"/>
      <c r="M779" s="2174"/>
      <c r="N779" s="836"/>
      <c r="O779" s="836"/>
      <c r="P779" s="2174"/>
      <c r="Q779" s="836"/>
      <c r="R779" s="309"/>
      <c r="S779" s="309"/>
      <c r="T779" s="309"/>
      <c r="U779" s="309"/>
      <c r="V779" s="311"/>
      <c r="W779" s="311"/>
      <c r="X779" s="311"/>
      <c r="Y779" s="311"/>
      <c r="Z779" s="311"/>
      <c r="AA779" s="311"/>
      <c r="AB779" s="311"/>
      <c r="AC779" s="311"/>
      <c r="AD779" s="311"/>
      <c r="AE779" s="311"/>
      <c r="AF779" s="311"/>
      <c r="AG779" s="311"/>
      <c r="AH779" s="311"/>
      <c r="AI779" s="311"/>
      <c r="AJ779" s="311"/>
      <c r="AK779" s="311"/>
      <c r="AL779" s="311"/>
      <c r="AM779" s="311"/>
    </row>
    <row r="780" spans="1:39" ht="15.75" customHeight="1">
      <c r="A780" s="382"/>
      <c r="B780" s="311"/>
      <c r="C780" s="1647"/>
      <c r="D780" s="2173"/>
      <c r="E780" s="1586"/>
      <c r="F780" s="1954"/>
      <c r="G780" s="1846"/>
      <c r="H780" s="1586"/>
      <c r="I780" s="1647"/>
      <c r="J780" s="2187"/>
      <c r="K780" s="1647"/>
      <c r="L780" s="1647"/>
      <c r="M780" s="2174"/>
      <c r="N780" s="836"/>
      <c r="O780" s="836"/>
      <c r="P780" s="2174"/>
      <c r="Q780" s="836"/>
      <c r="R780" s="309"/>
      <c r="S780" s="309"/>
      <c r="T780" s="309"/>
      <c r="U780" s="309"/>
      <c r="V780" s="311"/>
      <c r="W780" s="311"/>
      <c r="X780" s="311"/>
      <c r="Y780" s="311"/>
      <c r="Z780" s="311"/>
      <c r="AA780" s="311"/>
      <c r="AB780" s="311"/>
      <c r="AC780" s="311"/>
      <c r="AD780" s="311"/>
      <c r="AE780" s="311"/>
      <c r="AF780" s="311"/>
      <c r="AG780" s="311"/>
      <c r="AH780" s="311"/>
      <c r="AI780" s="311"/>
      <c r="AJ780" s="311"/>
      <c r="AK780" s="311"/>
      <c r="AL780" s="311"/>
      <c r="AM780" s="311"/>
    </row>
    <row r="781" spans="1:39" ht="15.75" customHeight="1">
      <c r="A781" s="382"/>
      <c r="B781" s="311"/>
      <c r="C781" s="1647"/>
      <c r="D781" s="2173"/>
      <c r="E781" s="1586"/>
      <c r="F781" s="1954"/>
      <c r="G781" s="1846"/>
      <c r="H781" s="1586"/>
      <c r="I781" s="1647"/>
      <c r="J781" s="2187"/>
      <c r="K781" s="1647"/>
      <c r="L781" s="1647"/>
      <c r="M781" s="2174"/>
      <c r="N781" s="836"/>
      <c r="O781" s="836"/>
      <c r="P781" s="2174"/>
      <c r="Q781" s="836"/>
      <c r="R781" s="309"/>
      <c r="S781" s="309"/>
      <c r="T781" s="309"/>
      <c r="U781" s="309"/>
      <c r="V781" s="311"/>
      <c r="W781" s="311"/>
      <c r="X781" s="311"/>
      <c r="Y781" s="311"/>
      <c r="Z781" s="311"/>
      <c r="AA781" s="311"/>
      <c r="AB781" s="311"/>
      <c r="AC781" s="311"/>
      <c r="AD781" s="311"/>
      <c r="AE781" s="311"/>
      <c r="AF781" s="311"/>
      <c r="AG781" s="311"/>
      <c r="AH781" s="311"/>
      <c r="AI781" s="311"/>
      <c r="AJ781" s="311"/>
      <c r="AK781" s="311"/>
      <c r="AL781" s="311"/>
      <c r="AM781" s="311"/>
    </row>
    <row r="782" spans="1:39" ht="15.75" customHeight="1">
      <c r="A782" s="382"/>
      <c r="B782" s="311"/>
      <c r="C782" s="1647"/>
      <c r="D782" s="2173"/>
      <c r="E782" s="1586"/>
      <c r="F782" s="1954"/>
      <c r="G782" s="1846"/>
      <c r="H782" s="1586"/>
      <c r="I782" s="1647"/>
      <c r="J782" s="2187"/>
      <c r="K782" s="1647"/>
      <c r="L782" s="1647"/>
      <c r="M782" s="2174"/>
      <c r="N782" s="836"/>
      <c r="O782" s="836"/>
      <c r="P782" s="2174"/>
      <c r="Q782" s="836"/>
      <c r="R782" s="309"/>
      <c r="S782" s="309"/>
      <c r="T782" s="309"/>
      <c r="U782" s="309"/>
      <c r="V782" s="311"/>
      <c r="W782" s="311"/>
      <c r="X782" s="311"/>
      <c r="Y782" s="311"/>
      <c r="Z782" s="311"/>
      <c r="AA782" s="311"/>
      <c r="AB782" s="311"/>
      <c r="AC782" s="311"/>
      <c r="AD782" s="311"/>
      <c r="AE782" s="311"/>
      <c r="AF782" s="311"/>
      <c r="AG782" s="311"/>
      <c r="AH782" s="311"/>
      <c r="AI782" s="311"/>
      <c r="AJ782" s="311"/>
      <c r="AK782" s="311"/>
      <c r="AL782" s="311"/>
      <c r="AM782" s="311"/>
    </row>
    <row r="783" spans="1:39" ht="15.75" customHeight="1">
      <c r="A783" s="382"/>
      <c r="B783" s="311"/>
      <c r="C783" s="1647"/>
      <c r="D783" s="2173"/>
      <c r="E783" s="1586"/>
      <c r="F783" s="1954"/>
      <c r="G783" s="1846"/>
      <c r="H783" s="1586"/>
      <c r="I783" s="1647"/>
      <c r="J783" s="2187"/>
      <c r="K783" s="1647"/>
      <c r="L783" s="1647"/>
      <c r="M783" s="2174"/>
      <c r="N783" s="836"/>
      <c r="O783" s="836"/>
      <c r="P783" s="2174"/>
      <c r="Q783" s="836"/>
      <c r="R783" s="309"/>
      <c r="S783" s="309"/>
      <c r="T783" s="309"/>
      <c r="U783" s="309"/>
      <c r="V783" s="311"/>
      <c r="W783" s="311"/>
      <c r="X783" s="311"/>
      <c r="Y783" s="311"/>
      <c r="Z783" s="311"/>
      <c r="AA783" s="311"/>
      <c r="AB783" s="311"/>
      <c r="AC783" s="311"/>
      <c r="AD783" s="311"/>
      <c r="AE783" s="311"/>
      <c r="AF783" s="311"/>
      <c r="AG783" s="311"/>
      <c r="AH783" s="311"/>
      <c r="AI783" s="311"/>
      <c r="AJ783" s="311"/>
      <c r="AK783" s="311"/>
      <c r="AL783" s="311"/>
      <c r="AM783" s="311"/>
    </row>
    <row r="784" spans="1:39" ht="15.75" customHeight="1">
      <c r="A784" s="382"/>
      <c r="B784" s="311"/>
      <c r="C784" s="1647"/>
      <c r="D784" s="2173"/>
      <c r="E784" s="1586"/>
      <c r="F784" s="1954"/>
      <c r="G784" s="1846"/>
      <c r="H784" s="1586"/>
      <c r="I784" s="1647"/>
      <c r="J784" s="2187"/>
      <c r="K784" s="1647"/>
      <c r="L784" s="1647"/>
      <c r="M784" s="2174"/>
      <c r="N784" s="836"/>
      <c r="O784" s="836"/>
      <c r="P784" s="2174"/>
      <c r="Q784" s="836"/>
      <c r="R784" s="309"/>
      <c r="S784" s="309"/>
      <c r="T784" s="309"/>
      <c r="U784" s="309"/>
      <c r="V784" s="311"/>
      <c r="W784" s="311"/>
      <c r="X784" s="311"/>
      <c r="Y784" s="311"/>
      <c r="Z784" s="311"/>
      <c r="AA784" s="311"/>
      <c r="AB784" s="311"/>
      <c r="AC784" s="311"/>
      <c r="AD784" s="311"/>
      <c r="AE784" s="311"/>
      <c r="AF784" s="311"/>
      <c r="AG784" s="311"/>
      <c r="AH784" s="311"/>
      <c r="AI784" s="311"/>
      <c r="AJ784" s="311"/>
      <c r="AK784" s="311"/>
      <c r="AL784" s="311"/>
      <c r="AM784" s="311"/>
    </row>
    <row r="785" spans="1:39" ht="15.75" customHeight="1">
      <c r="A785" s="382"/>
      <c r="B785" s="311"/>
      <c r="C785" s="1647"/>
      <c r="D785" s="2173"/>
      <c r="E785" s="1586"/>
      <c r="F785" s="1954"/>
      <c r="G785" s="1846"/>
      <c r="H785" s="1586"/>
      <c r="I785" s="1647"/>
      <c r="J785" s="2187"/>
      <c r="K785" s="1647"/>
      <c r="L785" s="1647"/>
      <c r="M785" s="2174"/>
      <c r="N785" s="836"/>
      <c r="O785" s="836"/>
      <c r="P785" s="2174"/>
      <c r="Q785" s="836"/>
      <c r="R785" s="309"/>
      <c r="S785" s="309"/>
      <c r="T785" s="309"/>
      <c r="U785" s="309"/>
      <c r="V785" s="311"/>
      <c r="W785" s="311"/>
      <c r="X785" s="311"/>
      <c r="Y785" s="311"/>
      <c r="Z785" s="311"/>
      <c r="AA785" s="311"/>
      <c r="AB785" s="311"/>
      <c r="AC785" s="311"/>
      <c r="AD785" s="311"/>
      <c r="AE785" s="311"/>
      <c r="AF785" s="311"/>
      <c r="AG785" s="311"/>
      <c r="AH785" s="311"/>
      <c r="AI785" s="311"/>
      <c r="AJ785" s="311"/>
      <c r="AK785" s="311"/>
      <c r="AL785" s="311"/>
      <c r="AM785" s="311"/>
    </row>
    <row r="786" spans="1:39" ht="15.75" customHeight="1">
      <c r="A786" s="382"/>
      <c r="B786" s="311"/>
      <c r="C786" s="1647"/>
      <c r="D786" s="2173"/>
      <c r="E786" s="1586"/>
      <c r="F786" s="1954"/>
      <c r="G786" s="1846"/>
      <c r="H786" s="1586"/>
      <c r="I786" s="1647"/>
      <c r="J786" s="2187"/>
      <c r="K786" s="1647"/>
      <c r="L786" s="1647"/>
      <c r="M786" s="2174"/>
      <c r="N786" s="836"/>
      <c r="O786" s="836"/>
      <c r="P786" s="2174"/>
      <c r="Q786" s="836"/>
      <c r="R786" s="309"/>
      <c r="S786" s="309"/>
      <c r="T786" s="309"/>
      <c r="U786" s="309"/>
      <c r="V786" s="311"/>
      <c r="W786" s="311"/>
      <c r="X786" s="311"/>
      <c r="Y786" s="311"/>
      <c r="Z786" s="311"/>
      <c r="AA786" s="311"/>
      <c r="AB786" s="311"/>
      <c r="AC786" s="311"/>
      <c r="AD786" s="311"/>
      <c r="AE786" s="311"/>
      <c r="AF786" s="311"/>
      <c r="AG786" s="311"/>
      <c r="AH786" s="311"/>
      <c r="AI786" s="311"/>
      <c r="AJ786" s="311"/>
      <c r="AK786" s="311"/>
      <c r="AL786" s="311"/>
      <c r="AM786" s="311"/>
    </row>
    <row r="787" spans="1:39" ht="15.75" customHeight="1">
      <c r="A787" s="382"/>
      <c r="B787" s="311"/>
      <c r="C787" s="1647"/>
      <c r="D787" s="2173"/>
      <c r="E787" s="1586"/>
      <c r="F787" s="1954"/>
      <c r="G787" s="1846"/>
      <c r="H787" s="1586"/>
      <c r="I787" s="1647"/>
      <c r="J787" s="2187"/>
      <c r="K787" s="1647"/>
      <c r="L787" s="1647"/>
      <c r="M787" s="2174"/>
      <c r="N787" s="836"/>
      <c r="O787" s="836"/>
      <c r="P787" s="2174"/>
      <c r="Q787" s="836"/>
      <c r="R787" s="309"/>
      <c r="S787" s="309"/>
      <c r="T787" s="309"/>
      <c r="U787" s="309"/>
      <c r="V787" s="311"/>
      <c r="W787" s="311"/>
      <c r="X787" s="311"/>
      <c r="Y787" s="311"/>
      <c r="Z787" s="311"/>
      <c r="AA787" s="311"/>
      <c r="AB787" s="311"/>
      <c r="AC787" s="311"/>
      <c r="AD787" s="311"/>
      <c r="AE787" s="311"/>
      <c r="AF787" s="311"/>
      <c r="AG787" s="311"/>
      <c r="AH787" s="311"/>
      <c r="AI787" s="311"/>
      <c r="AJ787" s="311"/>
      <c r="AK787" s="311"/>
      <c r="AL787" s="311"/>
      <c r="AM787" s="311"/>
    </row>
    <row r="788" spans="1:39" ht="15.75" customHeight="1">
      <c r="A788" s="382"/>
      <c r="B788" s="311"/>
      <c r="C788" s="1647"/>
      <c r="D788" s="2173"/>
      <c r="E788" s="1586"/>
      <c r="F788" s="1954"/>
      <c r="G788" s="1846"/>
      <c r="H788" s="1586"/>
      <c r="I788" s="1647"/>
      <c r="J788" s="2187"/>
      <c r="K788" s="1647"/>
      <c r="L788" s="1647"/>
      <c r="M788" s="2174"/>
      <c r="N788" s="836"/>
      <c r="O788" s="836"/>
      <c r="P788" s="2174"/>
      <c r="Q788" s="836"/>
      <c r="R788" s="309"/>
      <c r="S788" s="309"/>
      <c r="T788" s="309"/>
      <c r="U788" s="309"/>
      <c r="V788" s="311"/>
      <c r="W788" s="311"/>
      <c r="X788" s="311"/>
      <c r="Y788" s="311"/>
      <c r="Z788" s="311"/>
      <c r="AA788" s="311"/>
      <c r="AB788" s="311"/>
      <c r="AC788" s="311"/>
      <c r="AD788" s="311"/>
      <c r="AE788" s="311"/>
      <c r="AF788" s="311"/>
      <c r="AG788" s="311"/>
      <c r="AH788" s="311"/>
      <c r="AI788" s="311"/>
      <c r="AJ788" s="311"/>
      <c r="AK788" s="311"/>
      <c r="AL788" s="311"/>
      <c r="AM788" s="311"/>
    </row>
    <row r="789" spans="1:39" ht="15.75" customHeight="1">
      <c r="A789" s="382"/>
      <c r="B789" s="311"/>
      <c r="C789" s="1647"/>
      <c r="D789" s="2173"/>
      <c r="E789" s="1586"/>
      <c r="F789" s="1954"/>
      <c r="G789" s="1846"/>
      <c r="H789" s="1586"/>
      <c r="I789" s="1647"/>
      <c r="J789" s="2187"/>
      <c r="K789" s="1647"/>
      <c r="L789" s="1647"/>
      <c r="M789" s="2174"/>
      <c r="N789" s="836"/>
      <c r="O789" s="836"/>
      <c r="P789" s="2174"/>
      <c r="Q789" s="836"/>
      <c r="R789" s="309"/>
      <c r="S789" s="309"/>
      <c r="T789" s="309"/>
      <c r="U789" s="309"/>
      <c r="V789" s="311"/>
      <c r="W789" s="311"/>
      <c r="X789" s="311"/>
      <c r="Y789" s="311"/>
      <c r="Z789" s="311"/>
      <c r="AA789" s="311"/>
      <c r="AB789" s="311"/>
      <c r="AC789" s="311"/>
      <c r="AD789" s="311"/>
      <c r="AE789" s="311"/>
      <c r="AF789" s="311"/>
      <c r="AG789" s="311"/>
      <c r="AH789" s="311"/>
      <c r="AI789" s="311"/>
      <c r="AJ789" s="311"/>
      <c r="AK789" s="311"/>
      <c r="AL789" s="311"/>
      <c r="AM789" s="311"/>
    </row>
    <row r="790" spans="1:39" ht="15.75" customHeight="1">
      <c r="A790" s="382"/>
      <c r="B790" s="311"/>
      <c r="C790" s="1647"/>
      <c r="D790" s="2173"/>
      <c r="E790" s="1586"/>
      <c r="F790" s="1954"/>
      <c r="G790" s="1846"/>
      <c r="H790" s="1586"/>
      <c r="I790" s="1647"/>
      <c r="J790" s="2187"/>
      <c r="K790" s="1647"/>
      <c r="L790" s="1647"/>
      <c r="M790" s="2174"/>
      <c r="N790" s="836"/>
      <c r="O790" s="836"/>
      <c r="P790" s="2174"/>
      <c r="Q790" s="836"/>
      <c r="R790" s="309"/>
      <c r="S790" s="309"/>
      <c r="T790" s="309"/>
      <c r="U790" s="309"/>
      <c r="V790" s="311"/>
      <c r="W790" s="311"/>
      <c r="X790" s="311"/>
      <c r="Y790" s="311"/>
      <c r="Z790" s="311"/>
      <c r="AA790" s="311"/>
      <c r="AB790" s="311"/>
      <c r="AC790" s="311"/>
      <c r="AD790" s="311"/>
      <c r="AE790" s="311"/>
      <c r="AF790" s="311"/>
      <c r="AG790" s="311"/>
      <c r="AH790" s="311"/>
      <c r="AI790" s="311"/>
      <c r="AJ790" s="311"/>
      <c r="AK790" s="311"/>
      <c r="AL790" s="311"/>
      <c r="AM790" s="311"/>
    </row>
    <row r="791" spans="1:39" ht="15.75" customHeight="1">
      <c r="A791" s="382"/>
      <c r="B791" s="311"/>
      <c r="C791" s="1647"/>
      <c r="D791" s="2173"/>
      <c r="E791" s="1586"/>
      <c r="F791" s="1954"/>
      <c r="G791" s="1846"/>
      <c r="H791" s="1586"/>
      <c r="I791" s="1647"/>
      <c r="J791" s="2187"/>
      <c r="K791" s="1647"/>
      <c r="L791" s="1647"/>
      <c r="M791" s="2174"/>
      <c r="N791" s="836"/>
      <c r="O791" s="836"/>
      <c r="P791" s="2174"/>
      <c r="Q791" s="836"/>
      <c r="R791" s="309"/>
      <c r="S791" s="309"/>
      <c r="T791" s="309"/>
      <c r="U791" s="309"/>
      <c r="V791" s="311"/>
      <c r="W791" s="311"/>
      <c r="X791" s="311"/>
      <c r="Y791" s="311"/>
      <c r="Z791" s="311"/>
      <c r="AA791" s="311"/>
      <c r="AB791" s="311"/>
      <c r="AC791" s="311"/>
      <c r="AD791" s="311"/>
      <c r="AE791" s="311"/>
      <c r="AF791" s="311"/>
      <c r="AG791" s="311"/>
      <c r="AH791" s="311"/>
      <c r="AI791" s="311"/>
      <c r="AJ791" s="311"/>
      <c r="AK791" s="311"/>
      <c r="AL791" s="311"/>
      <c r="AM791" s="311"/>
    </row>
    <row r="792" spans="1:39" ht="15.75" customHeight="1">
      <c r="A792" s="382"/>
      <c r="B792" s="311"/>
      <c r="C792" s="1647"/>
      <c r="D792" s="2173"/>
      <c r="E792" s="1586"/>
      <c r="F792" s="1954"/>
      <c r="G792" s="1846"/>
      <c r="H792" s="1586"/>
      <c r="I792" s="1647"/>
      <c r="J792" s="2187"/>
      <c r="K792" s="1647"/>
      <c r="L792" s="1647"/>
      <c r="M792" s="2174"/>
      <c r="N792" s="836"/>
      <c r="O792" s="836"/>
      <c r="P792" s="2174"/>
      <c r="Q792" s="836"/>
      <c r="R792" s="309"/>
      <c r="S792" s="309"/>
      <c r="T792" s="309"/>
      <c r="U792" s="309"/>
      <c r="V792" s="311"/>
      <c r="W792" s="311"/>
      <c r="X792" s="311"/>
      <c r="Y792" s="311"/>
      <c r="Z792" s="311"/>
      <c r="AA792" s="311"/>
      <c r="AB792" s="311"/>
      <c r="AC792" s="311"/>
      <c r="AD792" s="311"/>
      <c r="AE792" s="311"/>
      <c r="AF792" s="311"/>
      <c r="AG792" s="311"/>
      <c r="AH792" s="311"/>
      <c r="AI792" s="311"/>
      <c r="AJ792" s="311"/>
      <c r="AK792" s="311"/>
      <c r="AL792" s="311"/>
      <c r="AM792" s="311"/>
    </row>
    <row r="793" spans="1:39" ht="15.75" customHeight="1">
      <c r="A793" s="382"/>
      <c r="B793" s="311"/>
      <c r="C793" s="1647"/>
      <c r="D793" s="2173"/>
      <c r="E793" s="1586"/>
      <c r="F793" s="1954"/>
      <c r="G793" s="1846"/>
      <c r="H793" s="1586"/>
      <c r="I793" s="1647"/>
      <c r="J793" s="2187"/>
      <c r="K793" s="1647"/>
      <c r="L793" s="1647"/>
      <c r="M793" s="2174"/>
      <c r="N793" s="836"/>
      <c r="O793" s="836"/>
      <c r="P793" s="2174"/>
      <c r="Q793" s="836"/>
      <c r="R793" s="309"/>
      <c r="S793" s="309"/>
      <c r="T793" s="309"/>
      <c r="U793" s="309"/>
      <c r="V793" s="311"/>
      <c r="W793" s="311"/>
      <c r="X793" s="311"/>
      <c r="Y793" s="311"/>
      <c r="Z793" s="311"/>
      <c r="AA793" s="311"/>
      <c r="AB793" s="311"/>
      <c r="AC793" s="311"/>
      <c r="AD793" s="311"/>
      <c r="AE793" s="311"/>
      <c r="AF793" s="311"/>
      <c r="AG793" s="311"/>
      <c r="AH793" s="311"/>
      <c r="AI793" s="311"/>
      <c r="AJ793" s="311"/>
      <c r="AK793" s="311"/>
      <c r="AL793" s="311"/>
      <c r="AM793" s="311"/>
    </row>
    <row r="794" spans="1:39" ht="15.75" customHeight="1">
      <c r="A794" s="382"/>
      <c r="B794" s="311"/>
      <c r="C794" s="1647"/>
      <c r="D794" s="2173"/>
      <c r="E794" s="1586"/>
      <c r="F794" s="1954"/>
      <c r="G794" s="1846"/>
      <c r="H794" s="1586"/>
      <c r="I794" s="1647"/>
      <c r="J794" s="2187"/>
      <c r="K794" s="1647"/>
      <c r="L794" s="1647"/>
      <c r="M794" s="2174"/>
      <c r="N794" s="836"/>
      <c r="O794" s="836"/>
      <c r="P794" s="2174"/>
      <c r="Q794" s="836"/>
      <c r="R794" s="309"/>
      <c r="S794" s="309"/>
      <c r="T794" s="309"/>
      <c r="U794" s="309"/>
      <c r="V794" s="311"/>
      <c r="W794" s="311"/>
      <c r="X794" s="311"/>
      <c r="Y794" s="311"/>
      <c r="Z794" s="311"/>
      <c r="AA794" s="311"/>
      <c r="AB794" s="311"/>
      <c r="AC794" s="311"/>
      <c r="AD794" s="311"/>
      <c r="AE794" s="311"/>
      <c r="AF794" s="311"/>
      <c r="AG794" s="311"/>
      <c r="AH794" s="311"/>
      <c r="AI794" s="311"/>
      <c r="AJ794" s="311"/>
      <c r="AK794" s="311"/>
      <c r="AL794" s="311"/>
      <c r="AM794" s="311"/>
    </row>
    <row r="795" spans="1:39" ht="15.75" customHeight="1">
      <c r="A795" s="382"/>
      <c r="B795" s="311"/>
      <c r="C795" s="1647"/>
      <c r="D795" s="2173"/>
      <c r="E795" s="1586"/>
      <c r="F795" s="1954"/>
      <c r="G795" s="1846"/>
      <c r="H795" s="1586"/>
      <c r="I795" s="1647"/>
      <c r="J795" s="2187"/>
      <c r="K795" s="1647"/>
      <c r="L795" s="1647"/>
      <c r="M795" s="2174"/>
      <c r="N795" s="836"/>
      <c r="O795" s="836"/>
      <c r="P795" s="2174"/>
      <c r="Q795" s="836"/>
      <c r="R795" s="309"/>
      <c r="S795" s="309"/>
      <c r="T795" s="309"/>
      <c r="U795" s="309"/>
      <c r="V795" s="311"/>
      <c r="W795" s="311"/>
      <c r="X795" s="311"/>
      <c r="Y795" s="311"/>
      <c r="Z795" s="311"/>
      <c r="AA795" s="311"/>
      <c r="AB795" s="311"/>
      <c r="AC795" s="311"/>
      <c r="AD795" s="311"/>
      <c r="AE795" s="311"/>
      <c r="AF795" s="311"/>
      <c r="AG795" s="311"/>
      <c r="AH795" s="311"/>
      <c r="AI795" s="311"/>
      <c r="AJ795" s="311"/>
      <c r="AK795" s="311"/>
      <c r="AL795" s="311"/>
      <c r="AM795" s="311"/>
    </row>
    <row r="796" spans="1:39" ht="15.75" customHeight="1">
      <c r="A796" s="382"/>
      <c r="B796" s="311"/>
      <c r="C796" s="1647"/>
      <c r="D796" s="2173"/>
      <c r="E796" s="1586"/>
      <c r="F796" s="1954"/>
      <c r="G796" s="1846"/>
      <c r="H796" s="1586"/>
      <c r="I796" s="1647"/>
      <c r="J796" s="2187"/>
      <c r="K796" s="1647"/>
      <c r="L796" s="1647"/>
      <c r="M796" s="2174"/>
      <c r="N796" s="836"/>
      <c r="O796" s="836"/>
      <c r="P796" s="2174"/>
      <c r="Q796" s="836"/>
      <c r="R796" s="309"/>
      <c r="S796" s="309"/>
      <c r="T796" s="309"/>
      <c r="U796" s="309"/>
      <c r="V796" s="311"/>
      <c r="W796" s="311"/>
      <c r="X796" s="311"/>
      <c r="Y796" s="311"/>
      <c r="Z796" s="311"/>
      <c r="AA796" s="311"/>
      <c r="AB796" s="311"/>
      <c r="AC796" s="311"/>
      <c r="AD796" s="311"/>
      <c r="AE796" s="311"/>
      <c r="AF796" s="311"/>
      <c r="AG796" s="311"/>
      <c r="AH796" s="311"/>
      <c r="AI796" s="311"/>
      <c r="AJ796" s="311"/>
      <c r="AK796" s="311"/>
      <c r="AL796" s="311"/>
      <c r="AM796" s="311"/>
    </row>
    <row r="797" spans="1:39" ht="15.75" customHeight="1">
      <c r="A797" s="382"/>
      <c r="B797" s="311"/>
      <c r="C797" s="1647"/>
      <c r="D797" s="2173"/>
      <c r="E797" s="1586"/>
      <c r="F797" s="1954"/>
      <c r="G797" s="1846"/>
      <c r="H797" s="1586"/>
      <c r="I797" s="1647"/>
      <c r="J797" s="2187"/>
      <c r="K797" s="1647"/>
      <c r="L797" s="1647"/>
      <c r="M797" s="2174"/>
      <c r="N797" s="836"/>
      <c r="O797" s="836"/>
      <c r="P797" s="2174"/>
      <c r="Q797" s="836"/>
      <c r="R797" s="309"/>
      <c r="S797" s="309"/>
      <c r="T797" s="309"/>
      <c r="U797" s="309"/>
      <c r="V797" s="311"/>
      <c r="W797" s="311"/>
      <c r="X797" s="311"/>
      <c r="Y797" s="311"/>
      <c r="Z797" s="311"/>
      <c r="AA797" s="311"/>
      <c r="AB797" s="311"/>
      <c r="AC797" s="311"/>
      <c r="AD797" s="311"/>
      <c r="AE797" s="311"/>
      <c r="AF797" s="311"/>
      <c r="AG797" s="311"/>
      <c r="AH797" s="311"/>
      <c r="AI797" s="311"/>
      <c r="AJ797" s="311"/>
      <c r="AK797" s="311"/>
      <c r="AL797" s="311"/>
      <c r="AM797" s="311"/>
    </row>
    <row r="798" spans="1:39" ht="15.75" customHeight="1">
      <c r="A798" s="382"/>
      <c r="B798" s="311"/>
      <c r="C798" s="1647"/>
      <c r="D798" s="2173"/>
      <c r="E798" s="1586"/>
      <c r="F798" s="1954"/>
      <c r="G798" s="1846"/>
      <c r="H798" s="1586"/>
      <c r="I798" s="1647"/>
      <c r="J798" s="2187"/>
      <c r="K798" s="1647"/>
      <c r="L798" s="1647"/>
      <c r="M798" s="2174"/>
      <c r="N798" s="836"/>
      <c r="O798" s="836"/>
      <c r="P798" s="2174"/>
      <c r="Q798" s="836"/>
      <c r="R798" s="309"/>
      <c r="S798" s="309"/>
      <c r="T798" s="309"/>
      <c r="U798" s="309"/>
      <c r="V798" s="311"/>
      <c r="W798" s="311"/>
      <c r="X798" s="311"/>
      <c r="Y798" s="311"/>
      <c r="Z798" s="311"/>
      <c r="AA798" s="311"/>
      <c r="AB798" s="311"/>
      <c r="AC798" s="311"/>
      <c r="AD798" s="311"/>
      <c r="AE798" s="311"/>
      <c r="AF798" s="311"/>
      <c r="AG798" s="311"/>
      <c r="AH798" s="311"/>
      <c r="AI798" s="311"/>
      <c r="AJ798" s="311"/>
      <c r="AK798" s="311"/>
      <c r="AL798" s="311"/>
      <c r="AM798" s="311"/>
    </row>
    <row r="799" spans="1:39" ht="15.75" customHeight="1">
      <c r="A799" s="382"/>
      <c r="B799" s="311"/>
      <c r="C799" s="1647"/>
      <c r="D799" s="2173"/>
      <c r="E799" s="1586"/>
      <c r="F799" s="1954"/>
      <c r="G799" s="1846"/>
      <c r="H799" s="1586"/>
      <c r="I799" s="1647"/>
      <c r="J799" s="2187"/>
      <c r="K799" s="1647"/>
      <c r="L799" s="1647"/>
      <c r="M799" s="2174"/>
      <c r="N799" s="836"/>
      <c r="O799" s="836"/>
      <c r="P799" s="2174"/>
      <c r="Q799" s="836"/>
      <c r="R799" s="309"/>
      <c r="S799" s="309"/>
      <c r="T799" s="309"/>
      <c r="U799" s="309"/>
      <c r="V799" s="311"/>
      <c r="W799" s="311"/>
      <c r="X799" s="311"/>
      <c r="Y799" s="311"/>
      <c r="Z799" s="311"/>
      <c r="AA799" s="311"/>
      <c r="AB799" s="311"/>
      <c r="AC799" s="311"/>
      <c r="AD799" s="311"/>
      <c r="AE799" s="311"/>
      <c r="AF799" s="311"/>
      <c r="AG799" s="311"/>
      <c r="AH799" s="311"/>
      <c r="AI799" s="311"/>
      <c r="AJ799" s="311"/>
      <c r="AK799" s="311"/>
      <c r="AL799" s="311"/>
      <c r="AM799" s="311"/>
    </row>
    <row r="800" spans="1:39" ht="15.75" customHeight="1">
      <c r="A800" s="382"/>
      <c r="B800" s="311"/>
      <c r="C800" s="1647"/>
      <c r="D800" s="2173"/>
      <c r="E800" s="1586"/>
      <c r="F800" s="1954"/>
      <c r="G800" s="1846"/>
      <c r="H800" s="1586"/>
      <c r="I800" s="1647"/>
      <c r="J800" s="2187"/>
      <c r="K800" s="1647"/>
      <c r="L800" s="1647"/>
      <c r="M800" s="2174"/>
      <c r="N800" s="836"/>
      <c r="O800" s="836"/>
      <c r="P800" s="2174"/>
      <c r="Q800" s="836"/>
      <c r="R800" s="309"/>
      <c r="S800" s="309"/>
      <c r="T800" s="309"/>
      <c r="U800" s="309"/>
      <c r="V800" s="311"/>
      <c r="W800" s="311"/>
      <c r="X800" s="311"/>
      <c r="Y800" s="311"/>
      <c r="Z800" s="311"/>
      <c r="AA800" s="311"/>
      <c r="AB800" s="311"/>
      <c r="AC800" s="311"/>
      <c r="AD800" s="311"/>
      <c r="AE800" s="311"/>
      <c r="AF800" s="311"/>
      <c r="AG800" s="311"/>
      <c r="AH800" s="311"/>
      <c r="AI800" s="311"/>
      <c r="AJ800" s="311"/>
      <c r="AK800" s="311"/>
      <c r="AL800" s="311"/>
      <c r="AM800" s="311"/>
    </row>
    <row r="801" spans="1:39" ht="15.75" customHeight="1">
      <c r="A801" s="382"/>
      <c r="B801" s="311"/>
      <c r="C801" s="1647"/>
      <c r="D801" s="2173"/>
      <c r="E801" s="1586"/>
      <c r="F801" s="1954"/>
      <c r="G801" s="1846"/>
      <c r="H801" s="1586"/>
      <c r="I801" s="1647"/>
      <c r="J801" s="2187"/>
      <c r="K801" s="1647"/>
      <c r="L801" s="1647"/>
      <c r="M801" s="2174"/>
      <c r="N801" s="836"/>
      <c r="O801" s="836"/>
      <c r="P801" s="2174"/>
      <c r="Q801" s="836"/>
      <c r="R801" s="309"/>
      <c r="S801" s="309"/>
      <c r="T801" s="309"/>
      <c r="U801" s="309"/>
      <c r="V801" s="311"/>
      <c r="W801" s="311"/>
      <c r="X801" s="311"/>
      <c r="Y801" s="311"/>
      <c r="Z801" s="311"/>
      <c r="AA801" s="311"/>
      <c r="AB801" s="311"/>
      <c r="AC801" s="311"/>
      <c r="AD801" s="311"/>
      <c r="AE801" s="311"/>
      <c r="AF801" s="311"/>
      <c r="AG801" s="311"/>
      <c r="AH801" s="311"/>
      <c r="AI801" s="311"/>
      <c r="AJ801" s="311"/>
      <c r="AK801" s="311"/>
      <c r="AL801" s="311"/>
      <c r="AM801" s="311"/>
    </row>
    <row r="802" spans="1:39" ht="15.75" customHeight="1">
      <c r="A802" s="382"/>
      <c r="B802" s="311"/>
      <c r="C802" s="1647"/>
      <c r="D802" s="2173"/>
      <c r="E802" s="1586"/>
      <c r="F802" s="1954"/>
      <c r="G802" s="1846"/>
      <c r="H802" s="1586"/>
      <c r="I802" s="1647"/>
      <c r="J802" s="2187"/>
      <c r="K802" s="1647"/>
      <c r="L802" s="1647"/>
      <c r="M802" s="2174"/>
      <c r="N802" s="836"/>
      <c r="O802" s="836"/>
      <c r="P802" s="2174"/>
      <c r="Q802" s="836"/>
      <c r="R802" s="309"/>
      <c r="S802" s="309"/>
      <c r="T802" s="309"/>
      <c r="U802" s="309"/>
      <c r="V802" s="311"/>
      <c r="W802" s="311"/>
      <c r="X802" s="311"/>
      <c r="Y802" s="311"/>
      <c r="Z802" s="311"/>
      <c r="AA802" s="311"/>
      <c r="AB802" s="311"/>
      <c r="AC802" s="311"/>
      <c r="AD802" s="311"/>
      <c r="AE802" s="311"/>
      <c r="AF802" s="311"/>
      <c r="AG802" s="311"/>
      <c r="AH802" s="311"/>
      <c r="AI802" s="311"/>
      <c r="AJ802" s="311"/>
      <c r="AK802" s="311"/>
      <c r="AL802" s="311"/>
      <c r="AM802" s="311"/>
    </row>
    <row r="803" spans="1:39" ht="15.75" customHeight="1">
      <c r="A803" s="382"/>
      <c r="B803" s="311"/>
      <c r="C803" s="1647"/>
      <c r="D803" s="2173"/>
      <c r="E803" s="1586"/>
      <c r="F803" s="1954"/>
      <c r="G803" s="1846"/>
      <c r="H803" s="1586"/>
      <c r="I803" s="1647"/>
      <c r="J803" s="2187"/>
      <c r="K803" s="1647"/>
      <c r="L803" s="1647"/>
      <c r="M803" s="2174"/>
      <c r="N803" s="836"/>
      <c r="O803" s="836"/>
      <c r="P803" s="2174"/>
      <c r="Q803" s="836"/>
      <c r="R803" s="309"/>
      <c r="S803" s="309"/>
      <c r="T803" s="309"/>
      <c r="U803" s="309"/>
      <c r="V803" s="311"/>
      <c r="W803" s="311"/>
      <c r="X803" s="311"/>
      <c r="Y803" s="311"/>
      <c r="Z803" s="311"/>
      <c r="AA803" s="311"/>
      <c r="AB803" s="311"/>
      <c r="AC803" s="311"/>
      <c r="AD803" s="311"/>
      <c r="AE803" s="311"/>
      <c r="AF803" s="311"/>
      <c r="AG803" s="311"/>
      <c r="AH803" s="311"/>
      <c r="AI803" s="311"/>
      <c r="AJ803" s="311"/>
      <c r="AK803" s="311"/>
      <c r="AL803" s="311"/>
      <c r="AM803" s="311"/>
    </row>
    <row r="804" spans="1:39" ht="15.75" customHeight="1">
      <c r="A804" s="382"/>
      <c r="B804" s="311"/>
      <c r="C804" s="1647"/>
      <c r="D804" s="2173"/>
      <c r="E804" s="1586"/>
      <c r="F804" s="1954"/>
      <c r="G804" s="1846"/>
      <c r="H804" s="1586"/>
      <c r="I804" s="1647"/>
      <c r="J804" s="2187"/>
      <c r="K804" s="1647"/>
      <c r="L804" s="1647"/>
      <c r="M804" s="2174"/>
      <c r="N804" s="836"/>
      <c r="O804" s="836"/>
      <c r="P804" s="2174"/>
      <c r="Q804" s="836"/>
      <c r="R804" s="309"/>
      <c r="S804" s="309"/>
      <c r="T804" s="309"/>
      <c r="U804" s="309"/>
      <c r="V804" s="311"/>
      <c r="W804" s="311"/>
      <c r="X804" s="311"/>
      <c r="Y804" s="311"/>
      <c r="Z804" s="311"/>
      <c r="AA804" s="311"/>
      <c r="AB804" s="311"/>
      <c r="AC804" s="311"/>
      <c r="AD804" s="311"/>
      <c r="AE804" s="311"/>
      <c r="AF804" s="311"/>
      <c r="AG804" s="311"/>
      <c r="AH804" s="311"/>
      <c r="AI804" s="311"/>
      <c r="AJ804" s="311"/>
      <c r="AK804" s="311"/>
      <c r="AL804" s="311"/>
      <c r="AM804" s="311"/>
    </row>
    <row r="805" spans="1:39" ht="15.75" customHeight="1">
      <c r="A805" s="382"/>
      <c r="B805" s="311"/>
      <c r="C805" s="1647"/>
      <c r="D805" s="2173"/>
      <c r="E805" s="1586"/>
      <c r="F805" s="1954"/>
      <c r="G805" s="1846"/>
      <c r="H805" s="1586"/>
      <c r="I805" s="1647"/>
      <c r="J805" s="2187"/>
      <c r="K805" s="1647"/>
      <c r="L805" s="1647"/>
      <c r="M805" s="2174"/>
      <c r="N805" s="836"/>
      <c r="O805" s="836"/>
      <c r="P805" s="2174"/>
      <c r="Q805" s="836"/>
      <c r="R805" s="309"/>
      <c r="S805" s="309"/>
      <c r="T805" s="309"/>
      <c r="U805" s="309"/>
      <c r="V805" s="311"/>
      <c r="W805" s="311"/>
      <c r="X805" s="311"/>
      <c r="Y805" s="311"/>
      <c r="Z805" s="311"/>
      <c r="AA805" s="311"/>
      <c r="AB805" s="311"/>
      <c r="AC805" s="311"/>
      <c r="AD805" s="311"/>
      <c r="AE805" s="311"/>
      <c r="AF805" s="311"/>
      <c r="AG805" s="311"/>
      <c r="AH805" s="311"/>
      <c r="AI805" s="311"/>
      <c r="AJ805" s="311"/>
      <c r="AK805" s="311"/>
      <c r="AL805" s="311"/>
      <c r="AM805" s="311"/>
    </row>
    <row r="806" spans="1:39" ht="15.75" customHeight="1">
      <c r="A806" s="382"/>
      <c r="B806" s="311"/>
      <c r="C806" s="1647"/>
      <c r="D806" s="2173"/>
      <c r="E806" s="1586"/>
      <c r="F806" s="1954"/>
      <c r="G806" s="1846"/>
      <c r="H806" s="1586"/>
      <c r="I806" s="1647"/>
      <c r="J806" s="2187"/>
      <c r="K806" s="1647"/>
      <c r="L806" s="1647"/>
      <c r="M806" s="2174"/>
      <c r="N806" s="836"/>
      <c r="O806" s="836"/>
      <c r="P806" s="2174"/>
      <c r="Q806" s="836"/>
      <c r="R806" s="309"/>
      <c r="S806" s="309"/>
      <c r="T806" s="309"/>
      <c r="U806" s="309"/>
      <c r="V806" s="311"/>
      <c r="W806" s="311"/>
      <c r="X806" s="311"/>
      <c r="Y806" s="311"/>
      <c r="Z806" s="311"/>
      <c r="AA806" s="311"/>
      <c r="AB806" s="311"/>
      <c r="AC806" s="311"/>
      <c r="AD806" s="311"/>
      <c r="AE806" s="311"/>
      <c r="AF806" s="311"/>
      <c r="AG806" s="311"/>
      <c r="AH806" s="311"/>
      <c r="AI806" s="311"/>
      <c r="AJ806" s="311"/>
      <c r="AK806" s="311"/>
      <c r="AL806" s="311"/>
      <c r="AM806" s="311"/>
    </row>
    <row r="807" spans="1:39" ht="15.75" customHeight="1">
      <c r="A807" s="382"/>
      <c r="B807" s="311"/>
      <c r="C807" s="1647"/>
      <c r="D807" s="2173"/>
      <c r="E807" s="1586"/>
      <c r="F807" s="1954"/>
      <c r="G807" s="1846"/>
      <c r="H807" s="1586"/>
      <c r="I807" s="1647"/>
      <c r="J807" s="2187"/>
      <c r="K807" s="1647"/>
      <c r="L807" s="1647"/>
      <c r="M807" s="2174"/>
      <c r="N807" s="836"/>
      <c r="O807" s="836"/>
      <c r="P807" s="2174"/>
      <c r="Q807" s="836"/>
      <c r="R807" s="309"/>
      <c r="S807" s="309"/>
      <c r="T807" s="309"/>
      <c r="U807" s="309"/>
      <c r="V807" s="311"/>
      <c r="W807" s="311"/>
      <c r="X807" s="311"/>
      <c r="Y807" s="311"/>
      <c r="Z807" s="311"/>
      <c r="AA807" s="311"/>
      <c r="AB807" s="311"/>
      <c r="AC807" s="311"/>
      <c r="AD807" s="311"/>
      <c r="AE807" s="311"/>
      <c r="AF807" s="311"/>
      <c r="AG807" s="311"/>
      <c r="AH807" s="311"/>
      <c r="AI807" s="311"/>
      <c r="AJ807" s="311"/>
      <c r="AK807" s="311"/>
      <c r="AL807" s="311"/>
      <c r="AM807" s="311"/>
    </row>
    <row r="808" spans="1:39" ht="15.75" customHeight="1">
      <c r="A808" s="382"/>
      <c r="B808" s="311"/>
      <c r="C808" s="1647"/>
      <c r="D808" s="2173"/>
      <c r="E808" s="1586"/>
      <c r="F808" s="1954"/>
      <c r="G808" s="1846"/>
      <c r="H808" s="1586"/>
      <c r="I808" s="1647"/>
      <c r="J808" s="2187"/>
      <c r="K808" s="1647"/>
      <c r="L808" s="1647"/>
      <c r="M808" s="2174"/>
      <c r="N808" s="836"/>
      <c r="O808" s="836"/>
      <c r="P808" s="2174"/>
      <c r="Q808" s="836"/>
      <c r="R808" s="309"/>
      <c r="S808" s="309"/>
      <c r="T808" s="309"/>
      <c r="U808" s="309"/>
      <c r="V808" s="311"/>
      <c r="W808" s="311"/>
      <c r="X808" s="311"/>
      <c r="Y808" s="311"/>
      <c r="Z808" s="311"/>
      <c r="AA808" s="311"/>
      <c r="AB808" s="311"/>
      <c r="AC808" s="311"/>
      <c r="AD808" s="311"/>
      <c r="AE808" s="311"/>
      <c r="AF808" s="311"/>
      <c r="AG808" s="311"/>
      <c r="AH808" s="311"/>
      <c r="AI808" s="311"/>
      <c r="AJ808" s="311"/>
      <c r="AK808" s="311"/>
      <c r="AL808" s="311"/>
      <c r="AM808" s="311"/>
    </row>
    <row r="809" spans="1:39" ht="15.75" customHeight="1">
      <c r="A809" s="382"/>
      <c r="B809" s="311"/>
      <c r="C809" s="1647"/>
      <c r="D809" s="2173"/>
      <c r="E809" s="1586"/>
      <c r="F809" s="1954"/>
      <c r="G809" s="1846"/>
      <c r="H809" s="1586"/>
      <c r="I809" s="1647"/>
      <c r="J809" s="2187"/>
      <c r="K809" s="1647"/>
      <c r="L809" s="1647"/>
      <c r="M809" s="2174"/>
      <c r="N809" s="836"/>
      <c r="O809" s="836"/>
      <c r="P809" s="2174"/>
      <c r="Q809" s="836"/>
      <c r="R809" s="309"/>
      <c r="S809" s="309"/>
      <c r="T809" s="309"/>
      <c r="U809" s="309"/>
      <c r="V809" s="311"/>
      <c r="W809" s="311"/>
      <c r="X809" s="311"/>
      <c r="Y809" s="311"/>
      <c r="Z809" s="311"/>
      <c r="AA809" s="311"/>
      <c r="AB809" s="311"/>
      <c r="AC809" s="311"/>
      <c r="AD809" s="311"/>
      <c r="AE809" s="311"/>
      <c r="AF809" s="311"/>
      <c r="AG809" s="311"/>
      <c r="AH809" s="311"/>
      <c r="AI809" s="311"/>
      <c r="AJ809" s="311"/>
      <c r="AK809" s="311"/>
      <c r="AL809" s="311"/>
      <c r="AM809" s="311"/>
    </row>
    <row r="810" spans="1:39" ht="15.75" customHeight="1">
      <c r="A810" s="382"/>
      <c r="B810" s="311"/>
      <c r="C810" s="1647"/>
      <c r="D810" s="2173"/>
      <c r="E810" s="1586"/>
      <c r="F810" s="1954"/>
      <c r="G810" s="1846"/>
      <c r="H810" s="1586"/>
      <c r="I810" s="1647"/>
      <c r="J810" s="2187"/>
      <c r="K810" s="1647"/>
      <c r="L810" s="1647"/>
      <c r="M810" s="2174"/>
      <c r="N810" s="836"/>
      <c r="O810" s="836"/>
      <c r="P810" s="2174"/>
      <c r="Q810" s="836"/>
      <c r="R810" s="309"/>
      <c r="S810" s="309"/>
      <c r="T810" s="309"/>
      <c r="U810" s="309"/>
      <c r="V810" s="311"/>
      <c r="W810" s="311"/>
      <c r="X810" s="311"/>
      <c r="Y810" s="311"/>
      <c r="Z810" s="311"/>
      <c r="AA810" s="311"/>
      <c r="AB810" s="311"/>
      <c r="AC810" s="311"/>
      <c r="AD810" s="311"/>
      <c r="AE810" s="311"/>
      <c r="AF810" s="311"/>
      <c r="AG810" s="311"/>
      <c r="AH810" s="311"/>
      <c r="AI810" s="311"/>
      <c r="AJ810" s="311"/>
      <c r="AK810" s="311"/>
      <c r="AL810" s="311"/>
      <c r="AM810" s="311"/>
    </row>
    <row r="811" spans="1:39" ht="15.75" customHeight="1">
      <c r="A811" s="382"/>
      <c r="B811" s="311"/>
      <c r="C811" s="1647"/>
      <c r="D811" s="2173"/>
      <c r="E811" s="1586"/>
      <c r="F811" s="1954"/>
      <c r="G811" s="1846"/>
      <c r="H811" s="1586"/>
      <c r="I811" s="1647"/>
      <c r="J811" s="2187"/>
      <c r="K811" s="1647"/>
      <c r="L811" s="1647"/>
      <c r="M811" s="2174"/>
      <c r="N811" s="836"/>
      <c r="O811" s="836"/>
      <c r="P811" s="2174"/>
      <c r="Q811" s="836"/>
      <c r="R811" s="309"/>
      <c r="S811" s="309"/>
      <c r="T811" s="309"/>
      <c r="U811" s="309"/>
      <c r="V811" s="311"/>
      <c r="W811" s="311"/>
      <c r="X811" s="311"/>
      <c r="Y811" s="311"/>
      <c r="Z811" s="311"/>
      <c r="AA811" s="311"/>
      <c r="AB811" s="311"/>
      <c r="AC811" s="311"/>
      <c r="AD811" s="311"/>
      <c r="AE811" s="311"/>
      <c r="AF811" s="311"/>
      <c r="AG811" s="311"/>
      <c r="AH811" s="311"/>
      <c r="AI811" s="311"/>
      <c r="AJ811" s="311"/>
      <c r="AK811" s="311"/>
      <c r="AL811" s="311"/>
      <c r="AM811" s="311"/>
    </row>
    <row r="812" spans="1:39" ht="15.75" customHeight="1">
      <c r="A812" s="382"/>
      <c r="B812" s="311"/>
      <c r="C812" s="1647"/>
      <c r="D812" s="2173"/>
      <c r="E812" s="1586"/>
      <c r="F812" s="1954"/>
      <c r="G812" s="1846"/>
      <c r="H812" s="1586"/>
      <c r="I812" s="1647"/>
      <c r="J812" s="2187"/>
      <c r="K812" s="1647"/>
      <c r="L812" s="1647"/>
      <c r="M812" s="2174"/>
      <c r="N812" s="836"/>
      <c r="O812" s="836"/>
      <c r="P812" s="2174"/>
      <c r="Q812" s="836"/>
      <c r="R812" s="309"/>
      <c r="S812" s="309"/>
      <c r="T812" s="309"/>
      <c r="U812" s="309"/>
      <c r="V812" s="311"/>
      <c r="W812" s="311"/>
      <c r="X812" s="311"/>
      <c r="Y812" s="311"/>
      <c r="Z812" s="311"/>
      <c r="AA812" s="311"/>
      <c r="AB812" s="311"/>
      <c r="AC812" s="311"/>
      <c r="AD812" s="311"/>
      <c r="AE812" s="311"/>
      <c r="AF812" s="311"/>
      <c r="AG812" s="311"/>
      <c r="AH812" s="311"/>
      <c r="AI812" s="311"/>
      <c r="AJ812" s="311"/>
      <c r="AK812" s="311"/>
      <c r="AL812" s="311"/>
      <c r="AM812" s="311"/>
    </row>
    <row r="813" spans="1:39" ht="15.75" customHeight="1">
      <c r="A813" s="382"/>
      <c r="B813" s="311"/>
      <c r="C813" s="1647"/>
      <c r="D813" s="2173"/>
      <c r="E813" s="1586"/>
      <c r="F813" s="1954"/>
      <c r="G813" s="1846"/>
      <c r="H813" s="1586"/>
      <c r="I813" s="1647"/>
      <c r="J813" s="2187"/>
      <c r="K813" s="1647"/>
      <c r="L813" s="1647"/>
      <c r="M813" s="2174"/>
      <c r="N813" s="836"/>
      <c r="O813" s="836"/>
      <c r="P813" s="2174"/>
      <c r="Q813" s="836"/>
      <c r="R813" s="309"/>
      <c r="S813" s="309"/>
      <c r="T813" s="309"/>
      <c r="U813" s="309"/>
      <c r="V813" s="311"/>
      <c r="W813" s="311"/>
      <c r="X813" s="311"/>
      <c r="Y813" s="311"/>
      <c r="Z813" s="311"/>
      <c r="AA813" s="311"/>
      <c r="AB813" s="311"/>
      <c r="AC813" s="311"/>
      <c r="AD813" s="311"/>
      <c r="AE813" s="311"/>
      <c r="AF813" s="311"/>
      <c r="AG813" s="311"/>
      <c r="AH813" s="311"/>
      <c r="AI813" s="311"/>
      <c r="AJ813" s="311"/>
      <c r="AK813" s="311"/>
      <c r="AL813" s="311"/>
      <c r="AM813" s="311"/>
    </row>
    <row r="814" spans="1:39" ht="15.75" customHeight="1">
      <c r="A814" s="382"/>
      <c r="B814" s="311"/>
      <c r="C814" s="1647"/>
      <c r="D814" s="2173"/>
      <c r="E814" s="1586"/>
      <c r="F814" s="1954"/>
      <c r="G814" s="1846"/>
      <c r="H814" s="1586"/>
      <c r="I814" s="1647"/>
      <c r="J814" s="2187"/>
      <c r="K814" s="1647"/>
      <c r="L814" s="1647"/>
      <c r="M814" s="2174"/>
      <c r="N814" s="836"/>
      <c r="O814" s="836"/>
      <c r="P814" s="2174"/>
      <c r="Q814" s="836"/>
      <c r="R814" s="309"/>
      <c r="S814" s="309"/>
      <c r="T814" s="309"/>
      <c r="U814" s="309"/>
      <c r="V814" s="311"/>
      <c r="W814" s="311"/>
      <c r="X814" s="311"/>
      <c r="Y814" s="311"/>
      <c r="Z814" s="311"/>
      <c r="AA814" s="311"/>
      <c r="AB814" s="311"/>
      <c r="AC814" s="311"/>
      <c r="AD814" s="311"/>
      <c r="AE814" s="311"/>
      <c r="AF814" s="311"/>
      <c r="AG814" s="311"/>
      <c r="AH814" s="311"/>
      <c r="AI814" s="311"/>
      <c r="AJ814" s="311"/>
      <c r="AK814" s="311"/>
      <c r="AL814" s="311"/>
      <c r="AM814" s="311"/>
    </row>
    <row r="815" spans="1:39" ht="15.75" customHeight="1">
      <c r="A815" s="382"/>
      <c r="B815" s="311"/>
      <c r="C815" s="1647"/>
      <c r="D815" s="2173"/>
      <c r="E815" s="1586"/>
      <c r="F815" s="1954"/>
      <c r="G815" s="1846"/>
      <c r="H815" s="1586"/>
      <c r="I815" s="1647"/>
      <c r="J815" s="2187"/>
      <c r="K815" s="1647"/>
      <c r="L815" s="1647"/>
      <c r="M815" s="2174"/>
      <c r="N815" s="836"/>
      <c r="O815" s="836"/>
      <c r="P815" s="2174"/>
      <c r="Q815" s="836"/>
      <c r="R815" s="309"/>
      <c r="S815" s="309"/>
      <c r="T815" s="309"/>
      <c r="U815" s="309"/>
      <c r="V815" s="311"/>
      <c r="W815" s="311"/>
      <c r="X815" s="311"/>
      <c r="Y815" s="311"/>
      <c r="Z815" s="311"/>
      <c r="AA815" s="311"/>
      <c r="AB815" s="311"/>
      <c r="AC815" s="311"/>
      <c r="AD815" s="311"/>
      <c r="AE815" s="311"/>
      <c r="AF815" s="311"/>
      <c r="AG815" s="311"/>
      <c r="AH815" s="311"/>
      <c r="AI815" s="311"/>
      <c r="AJ815" s="311"/>
      <c r="AK815" s="311"/>
      <c r="AL815" s="311"/>
      <c r="AM815" s="311"/>
    </row>
    <row r="816" spans="1:39" ht="15.75" customHeight="1">
      <c r="A816" s="382"/>
      <c r="B816" s="311"/>
      <c r="C816" s="1647"/>
      <c r="D816" s="2173"/>
      <c r="E816" s="1586"/>
      <c r="F816" s="1954"/>
      <c r="G816" s="1846"/>
      <c r="H816" s="1586"/>
      <c r="I816" s="1647"/>
      <c r="J816" s="2187"/>
      <c r="K816" s="1647"/>
      <c r="L816" s="1647"/>
      <c r="M816" s="2174"/>
      <c r="N816" s="836"/>
      <c r="O816" s="836"/>
      <c r="P816" s="2174"/>
      <c r="Q816" s="836"/>
      <c r="R816" s="309"/>
      <c r="S816" s="309"/>
      <c r="T816" s="309"/>
      <c r="U816" s="309"/>
      <c r="V816" s="311"/>
      <c r="W816" s="311"/>
      <c r="X816" s="311"/>
      <c r="Y816" s="311"/>
      <c r="Z816" s="311"/>
      <c r="AA816" s="311"/>
      <c r="AB816" s="311"/>
      <c r="AC816" s="311"/>
      <c r="AD816" s="311"/>
      <c r="AE816" s="311"/>
      <c r="AF816" s="311"/>
      <c r="AG816" s="311"/>
      <c r="AH816" s="311"/>
      <c r="AI816" s="311"/>
      <c r="AJ816" s="311"/>
      <c r="AK816" s="311"/>
      <c r="AL816" s="311"/>
      <c r="AM816" s="311"/>
    </row>
    <row r="817" spans="1:39" ht="15.75" customHeight="1">
      <c r="A817" s="382"/>
      <c r="B817" s="311"/>
      <c r="C817" s="1647"/>
      <c r="D817" s="2173"/>
      <c r="E817" s="1586"/>
      <c r="F817" s="1954"/>
      <c r="G817" s="1846"/>
      <c r="H817" s="1586"/>
      <c r="I817" s="1647"/>
      <c r="J817" s="2187"/>
      <c r="K817" s="1647"/>
      <c r="L817" s="1647"/>
      <c r="M817" s="2174"/>
      <c r="N817" s="836"/>
      <c r="O817" s="836"/>
      <c r="P817" s="2174"/>
      <c r="Q817" s="836"/>
      <c r="R817" s="309"/>
      <c r="S817" s="309"/>
      <c r="T817" s="309"/>
      <c r="U817" s="309"/>
      <c r="V817" s="311"/>
      <c r="W817" s="311"/>
      <c r="X817" s="311"/>
      <c r="Y817" s="311"/>
      <c r="Z817" s="311"/>
      <c r="AA817" s="311"/>
      <c r="AB817" s="311"/>
      <c r="AC817" s="311"/>
      <c r="AD817" s="311"/>
      <c r="AE817" s="311"/>
      <c r="AF817" s="311"/>
      <c r="AG817" s="311"/>
      <c r="AH817" s="311"/>
      <c r="AI817" s="311"/>
      <c r="AJ817" s="311"/>
      <c r="AK817" s="311"/>
      <c r="AL817" s="311"/>
      <c r="AM817" s="311"/>
    </row>
    <row r="818" spans="1:39" ht="15.75" customHeight="1">
      <c r="A818" s="382"/>
      <c r="B818" s="311"/>
      <c r="C818" s="1647"/>
      <c r="D818" s="2173"/>
      <c r="E818" s="1586"/>
      <c r="F818" s="1954"/>
      <c r="G818" s="1846"/>
      <c r="H818" s="1586"/>
      <c r="I818" s="1647"/>
      <c r="J818" s="2187"/>
      <c r="K818" s="1647"/>
      <c r="L818" s="1647"/>
      <c r="M818" s="2174"/>
      <c r="N818" s="836"/>
      <c r="O818" s="836"/>
      <c r="P818" s="2174"/>
      <c r="Q818" s="836"/>
      <c r="R818" s="309"/>
      <c r="S818" s="309"/>
      <c r="T818" s="309"/>
      <c r="U818" s="309"/>
      <c r="V818" s="311"/>
      <c r="W818" s="311"/>
      <c r="X818" s="311"/>
      <c r="Y818" s="311"/>
      <c r="Z818" s="311"/>
      <c r="AA818" s="311"/>
      <c r="AB818" s="311"/>
      <c r="AC818" s="311"/>
      <c r="AD818" s="311"/>
      <c r="AE818" s="311"/>
      <c r="AF818" s="311"/>
      <c r="AG818" s="311"/>
      <c r="AH818" s="311"/>
      <c r="AI818" s="311"/>
      <c r="AJ818" s="311"/>
      <c r="AK818" s="311"/>
      <c r="AL818" s="311"/>
      <c r="AM818" s="311"/>
    </row>
    <row r="819" spans="1:39" ht="15.75" customHeight="1">
      <c r="A819" s="382"/>
      <c r="B819" s="311"/>
      <c r="C819" s="1647"/>
      <c r="D819" s="2173"/>
      <c r="E819" s="1586"/>
      <c r="F819" s="1954"/>
      <c r="G819" s="1846"/>
      <c r="H819" s="1586"/>
      <c r="I819" s="1647"/>
      <c r="J819" s="2187"/>
      <c r="K819" s="1647"/>
      <c r="L819" s="1647"/>
      <c r="M819" s="2174"/>
      <c r="N819" s="836"/>
      <c r="O819" s="836"/>
      <c r="P819" s="2174"/>
      <c r="Q819" s="836"/>
      <c r="R819" s="309"/>
      <c r="S819" s="309"/>
      <c r="T819" s="309"/>
      <c r="U819" s="309"/>
      <c r="V819" s="311"/>
      <c r="W819" s="311"/>
      <c r="X819" s="311"/>
      <c r="Y819" s="311"/>
      <c r="Z819" s="311"/>
      <c r="AA819" s="311"/>
      <c r="AB819" s="311"/>
      <c r="AC819" s="311"/>
      <c r="AD819" s="311"/>
      <c r="AE819" s="311"/>
      <c r="AF819" s="311"/>
      <c r="AG819" s="311"/>
      <c r="AH819" s="311"/>
      <c r="AI819" s="311"/>
      <c r="AJ819" s="311"/>
      <c r="AK819" s="311"/>
      <c r="AL819" s="311"/>
      <c r="AM819" s="311"/>
    </row>
    <row r="820" spans="1:39" ht="15.75" customHeight="1">
      <c r="A820" s="382"/>
      <c r="B820" s="311"/>
      <c r="C820" s="1647"/>
      <c r="D820" s="2173"/>
      <c r="E820" s="1586"/>
      <c r="F820" s="1954"/>
      <c r="G820" s="1846"/>
      <c r="H820" s="1586"/>
      <c r="I820" s="1647"/>
      <c r="J820" s="2187"/>
      <c r="K820" s="1647"/>
      <c r="L820" s="1647"/>
      <c r="M820" s="2174"/>
      <c r="N820" s="836"/>
      <c r="O820" s="836"/>
      <c r="P820" s="2174"/>
      <c r="Q820" s="836"/>
      <c r="R820" s="309"/>
      <c r="S820" s="309"/>
      <c r="T820" s="309"/>
      <c r="U820" s="309"/>
      <c r="V820" s="311"/>
      <c r="W820" s="311"/>
      <c r="X820" s="311"/>
      <c r="Y820" s="311"/>
      <c r="Z820" s="311"/>
      <c r="AA820" s="311"/>
      <c r="AB820" s="311"/>
      <c r="AC820" s="311"/>
      <c r="AD820" s="311"/>
      <c r="AE820" s="311"/>
      <c r="AF820" s="311"/>
      <c r="AG820" s="311"/>
      <c r="AH820" s="311"/>
      <c r="AI820" s="311"/>
      <c r="AJ820" s="311"/>
      <c r="AK820" s="311"/>
      <c r="AL820" s="311"/>
      <c r="AM820" s="311"/>
    </row>
    <row r="821" spans="1:39" ht="15.75" customHeight="1">
      <c r="A821" s="382"/>
      <c r="B821" s="311"/>
      <c r="C821" s="1647"/>
      <c r="D821" s="2173"/>
      <c r="E821" s="1586"/>
      <c r="F821" s="1954"/>
      <c r="G821" s="1846"/>
      <c r="H821" s="1586"/>
      <c r="I821" s="1647"/>
      <c r="J821" s="2187"/>
      <c r="K821" s="1647"/>
      <c r="L821" s="1647"/>
      <c r="M821" s="2174"/>
      <c r="N821" s="836"/>
      <c r="O821" s="836"/>
      <c r="P821" s="2174"/>
      <c r="Q821" s="836"/>
      <c r="R821" s="309"/>
      <c r="S821" s="309"/>
      <c r="T821" s="309"/>
      <c r="U821" s="309"/>
      <c r="V821" s="311"/>
      <c r="W821" s="311"/>
      <c r="X821" s="311"/>
      <c r="Y821" s="311"/>
      <c r="Z821" s="311"/>
      <c r="AA821" s="311"/>
      <c r="AB821" s="311"/>
      <c r="AC821" s="311"/>
      <c r="AD821" s="311"/>
      <c r="AE821" s="311"/>
      <c r="AF821" s="311"/>
      <c r="AG821" s="311"/>
      <c r="AH821" s="311"/>
      <c r="AI821" s="311"/>
      <c r="AJ821" s="311"/>
      <c r="AK821" s="311"/>
      <c r="AL821" s="311"/>
      <c r="AM821" s="311"/>
    </row>
    <row r="822" spans="1:39" ht="15.75" customHeight="1">
      <c r="A822" s="382"/>
      <c r="B822" s="311"/>
      <c r="C822" s="1647"/>
      <c r="D822" s="2173"/>
      <c r="E822" s="1586"/>
      <c r="F822" s="1954"/>
      <c r="G822" s="1846"/>
      <c r="H822" s="1586"/>
      <c r="I822" s="1647"/>
      <c r="J822" s="2187"/>
      <c r="K822" s="1647"/>
      <c r="L822" s="1647"/>
      <c r="M822" s="2174"/>
      <c r="N822" s="836"/>
      <c r="O822" s="836"/>
      <c r="P822" s="2174"/>
      <c r="Q822" s="836"/>
      <c r="R822" s="309"/>
      <c r="S822" s="309"/>
      <c r="T822" s="309"/>
      <c r="U822" s="309"/>
      <c r="V822" s="311"/>
      <c r="W822" s="311"/>
      <c r="X822" s="311"/>
      <c r="Y822" s="311"/>
      <c r="Z822" s="311"/>
      <c r="AA822" s="311"/>
      <c r="AB822" s="311"/>
      <c r="AC822" s="311"/>
      <c r="AD822" s="311"/>
      <c r="AE822" s="311"/>
      <c r="AF822" s="311"/>
      <c r="AG822" s="311"/>
      <c r="AH822" s="311"/>
      <c r="AI822" s="311"/>
      <c r="AJ822" s="311"/>
      <c r="AK822" s="311"/>
      <c r="AL822" s="311"/>
      <c r="AM822" s="311"/>
    </row>
    <row r="823" spans="1:39" ht="15.75" customHeight="1">
      <c r="A823" s="382"/>
      <c r="B823" s="311"/>
      <c r="C823" s="1647"/>
      <c r="D823" s="2173"/>
      <c r="E823" s="1586"/>
      <c r="F823" s="1954"/>
      <c r="G823" s="1846"/>
      <c r="H823" s="1586"/>
      <c r="I823" s="1647"/>
      <c r="J823" s="2187"/>
      <c r="K823" s="1647"/>
      <c r="L823" s="1647"/>
      <c r="M823" s="2174"/>
      <c r="N823" s="836"/>
      <c r="O823" s="836"/>
      <c r="P823" s="2174"/>
      <c r="Q823" s="836"/>
      <c r="R823" s="309"/>
      <c r="S823" s="309"/>
      <c r="T823" s="309"/>
      <c r="U823" s="309"/>
      <c r="V823" s="311"/>
      <c r="W823" s="311"/>
      <c r="X823" s="311"/>
      <c r="Y823" s="311"/>
      <c r="Z823" s="311"/>
      <c r="AA823" s="311"/>
      <c r="AB823" s="311"/>
      <c r="AC823" s="311"/>
      <c r="AD823" s="311"/>
      <c r="AE823" s="311"/>
      <c r="AF823" s="311"/>
      <c r="AG823" s="311"/>
      <c r="AH823" s="311"/>
      <c r="AI823" s="311"/>
      <c r="AJ823" s="311"/>
      <c r="AK823" s="311"/>
      <c r="AL823" s="311"/>
      <c r="AM823" s="311"/>
    </row>
    <row r="824" spans="1:39" ht="15.75" customHeight="1">
      <c r="A824" s="382"/>
      <c r="B824" s="311"/>
      <c r="C824" s="1647"/>
      <c r="D824" s="2173"/>
      <c r="E824" s="1586"/>
      <c r="F824" s="1954"/>
      <c r="G824" s="1846"/>
      <c r="H824" s="1586"/>
      <c r="I824" s="1647"/>
      <c r="J824" s="2187"/>
      <c r="K824" s="1647"/>
      <c r="L824" s="1647"/>
      <c r="M824" s="2174"/>
      <c r="N824" s="836"/>
      <c r="O824" s="836"/>
      <c r="P824" s="2174"/>
      <c r="Q824" s="836"/>
      <c r="R824" s="309"/>
      <c r="S824" s="309"/>
      <c r="T824" s="309"/>
      <c r="U824" s="309"/>
      <c r="V824" s="311"/>
      <c r="W824" s="311"/>
      <c r="X824" s="311"/>
      <c r="Y824" s="311"/>
      <c r="Z824" s="311"/>
      <c r="AA824" s="311"/>
      <c r="AB824" s="311"/>
      <c r="AC824" s="311"/>
      <c r="AD824" s="311"/>
      <c r="AE824" s="311"/>
      <c r="AF824" s="311"/>
      <c r="AG824" s="311"/>
      <c r="AH824" s="311"/>
      <c r="AI824" s="311"/>
      <c r="AJ824" s="311"/>
      <c r="AK824" s="311"/>
      <c r="AL824" s="311"/>
      <c r="AM824" s="311"/>
    </row>
    <row r="825" spans="1:39" ht="15.75" customHeight="1">
      <c r="A825" s="382"/>
      <c r="B825" s="311"/>
      <c r="C825" s="1647"/>
      <c r="D825" s="2173"/>
      <c r="E825" s="1586"/>
      <c r="F825" s="1954"/>
      <c r="G825" s="1846"/>
      <c r="H825" s="1586"/>
      <c r="I825" s="1647"/>
      <c r="J825" s="2187"/>
      <c r="K825" s="1647"/>
      <c r="L825" s="1647"/>
      <c r="M825" s="2174"/>
      <c r="N825" s="836"/>
      <c r="O825" s="836"/>
      <c r="P825" s="2174"/>
      <c r="Q825" s="836"/>
      <c r="R825" s="309"/>
      <c r="S825" s="309"/>
      <c r="T825" s="309"/>
      <c r="U825" s="309"/>
      <c r="V825" s="311"/>
      <c r="W825" s="311"/>
      <c r="X825" s="311"/>
      <c r="Y825" s="311"/>
      <c r="Z825" s="311"/>
      <c r="AA825" s="311"/>
      <c r="AB825" s="311"/>
      <c r="AC825" s="311"/>
      <c r="AD825" s="311"/>
      <c r="AE825" s="311"/>
      <c r="AF825" s="311"/>
      <c r="AG825" s="311"/>
      <c r="AH825" s="311"/>
      <c r="AI825" s="311"/>
      <c r="AJ825" s="311"/>
      <c r="AK825" s="311"/>
      <c r="AL825" s="311"/>
      <c r="AM825" s="311"/>
    </row>
    <row r="826" spans="1:39" ht="15.75" customHeight="1">
      <c r="A826" s="382"/>
      <c r="B826" s="311"/>
      <c r="C826" s="1647"/>
      <c r="D826" s="2173"/>
      <c r="E826" s="1586"/>
      <c r="F826" s="1954"/>
      <c r="G826" s="1846"/>
      <c r="H826" s="1586"/>
      <c r="I826" s="1647"/>
      <c r="J826" s="2187"/>
      <c r="K826" s="1647"/>
      <c r="L826" s="1647"/>
      <c r="M826" s="2174"/>
      <c r="N826" s="836"/>
      <c r="O826" s="836"/>
      <c r="P826" s="2174"/>
      <c r="Q826" s="836"/>
      <c r="R826" s="309"/>
      <c r="S826" s="309"/>
      <c r="T826" s="309"/>
      <c r="U826" s="309"/>
      <c r="V826" s="311"/>
      <c r="W826" s="311"/>
      <c r="X826" s="311"/>
      <c r="Y826" s="311"/>
      <c r="Z826" s="311"/>
      <c r="AA826" s="311"/>
      <c r="AB826" s="311"/>
      <c r="AC826" s="311"/>
      <c r="AD826" s="311"/>
      <c r="AE826" s="311"/>
      <c r="AF826" s="311"/>
      <c r="AG826" s="311"/>
      <c r="AH826" s="311"/>
      <c r="AI826" s="311"/>
      <c r="AJ826" s="311"/>
      <c r="AK826" s="311"/>
      <c r="AL826" s="311"/>
      <c r="AM826" s="311"/>
    </row>
    <row r="827" spans="1:39" ht="15.75" customHeight="1">
      <c r="A827" s="382"/>
      <c r="B827" s="311"/>
      <c r="C827" s="1647"/>
      <c r="D827" s="2173"/>
      <c r="E827" s="1586"/>
      <c r="F827" s="1954"/>
      <c r="G827" s="1846"/>
      <c r="H827" s="1586"/>
      <c r="I827" s="1647"/>
      <c r="J827" s="2187"/>
      <c r="K827" s="1647"/>
      <c r="L827" s="1647"/>
      <c r="M827" s="2174"/>
      <c r="N827" s="836"/>
      <c r="O827" s="836"/>
      <c r="P827" s="2174"/>
      <c r="Q827" s="836"/>
      <c r="R827" s="309"/>
      <c r="S827" s="309"/>
      <c r="T827" s="309"/>
      <c r="U827" s="309"/>
      <c r="V827" s="311"/>
      <c r="W827" s="311"/>
      <c r="X827" s="311"/>
      <c r="Y827" s="311"/>
      <c r="Z827" s="311"/>
      <c r="AA827" s="311"/>
      <c r="AB827" s="311"/>
      <c r="AC827" s="311"/>
      <c r="AD827" s="311"/>
      <c r="AE827" s="311"/>
      <c r="AF827" s="311"/>
      <c r="AG827" s="311"/>
      <c r="AH827" s="311"/>
      <c r="AI827" s="311"/>
      <c r="AJ827" s="311"/>
      <c r="AK827" s="311"/>
      <c r="AL827" s="311"/>
      <c r="AM827" s="311"/>
    </row>
    <row r="828" spans="1:39" ht="15.75" customHeight="1">
      <c r="A828" s="382"/>
      <c r="B828" s="311"/>
      <c r="C828" s="1647"/>
      <c r="D828" s="2173"/>
      <c r="E828" s="1586"/>
      <c r="F828" s="1954"/>
      <c r="G828" s="1846"/>
      <c r="H828" s="1586"/>
      <c r="I828" s="1647"/>
      <c r="J828" s="2187"/>
      <c r="K828" s="1647"/>
      <c r="L828" s="1647"/>
      <c r="M828" s="2174"/>
      <c r="N828" s="836"/>
      <c r="O828" s="836"/>
      <c r="P828" s="2174"/>
      <c r="Q828" s="836"/>
      <c r="R828" s="309"/>
      <c r="S828" s="309"/>
      <c r="T828" s="309"/>
      <c r="U828" s="309"/>
      <c r="V828" s="311"/>
      <c r="W828" s="311"/>
      <c r="X828" s="311"/>
      <c r="Y828" s="311"/>
      <c r="Z828" s="311"/>
      <c r="AA828" s="311"/>
      <c r="AB828" s="311"/>
      <c r="AC828" s="311"/>
      <c r="AD828" s="311"/>
      <c r="AE828" s="311"/>
      <c r="AF828" s="311"/>
      <c r="AG828" s="311"/>
      <c r="AH828" s="311"/>
      <c r="AI828" s="311"/>
      <c r="AJ828" s="311"/>
      <c r="AK828" s="311"/>
      <c r="AL828" s="311"/>
      <c r="AM828" s="311"/>
    </row>
    <row r="829" spans="1:39" ht="15.75" customHeight="1">
      <c r="A829" s="382"/>
      <c r="B829" s="311"/>
      <c r="C829" s="1647"/>
      <c r="D829" s="2173"/>
      <c r="E829" s="1586"/>
      <c r="F829" s="1954"/>
      <c r="G829" s="1846"/>
      <c r="H829" s="1586"/>
      <c r="I829" s="1647"/>
      <c r="J829" s="2187"/>
      <c r="K829" s="1647"/>
      <c r="L829" s="1647"/>
      <c r="M829" s="2174"/>
      <c r="N829" s="836"/>
      <c r="O829" s="836"/>
      <c r="P829" s="2174"/>
      <c r="Q829" s="836"/>
      <c r="R829" s="309"/>
      <c r="S829" s="309"/>
      <c r="T829" s="309"/>
      <c r="U829" s="309"/>
      <c r="V829" s="311"/>
      <c r="W829" s="311"/>
      <c r="X829" s="311"/>
      <c r="Y829" s="311"/>
      <c r="Z829" s="311"/>
      <c r="AA829" s="311"/>
      <c r="AB829" s="311"/>
      <c r="AC829" s="311"/>
      <c r="AD829" s="311"/>
      <c r="AE829" s="311"/>
      <c r="AF829" s="311"/>
      <c r="AG829" s="311"/>
      <c r="AH829" s="311"/>
      <c r="AI829" s="311"/>
      <c r="AJ829" s="311"/>
      <c r="AK829" s="311"/>
      <c r="AL829" s="311"/>
      <c r="AM829" s="311"/>
    </row>
    <row r="830" spans="1:39" ht="15.75" customHeight="1">
      <c r="A830" s="382"/>
      <c r="B830" s="311"/>
      <c r="C830" s="1647"/>
      <c r="D830" s="2173"/>
      <c r="E830" s="1586"/>
      <c r="F830" s="1954"/>
      <c r="G830" s="1846"/>
      <c r="H830" s="1586"/>
      <c r="I830" s="1647"/>
      <c r="J830" s="2187"/>
      <c r="K830" s="1647"/>
      <c r="L830" s="1647"/>
      <c r="M830" s="2174"/>
      <c r="N830" s="836"/>
      <c r="O830" s="836"/>
      <c r="P830" s="2174"/>
      <c r="Q830" s="836"/>
      <c r="R830" s="309"/>
      <c r="S830" s="309"/>
      <c r="T830" s="309"/>
      <c r="U830" s="309"/>
      <c r="V830" s="311"/>
      <c r="W830" s="311"/>
      <c r="X830" s="311"/>
      <c r="Y830" s="311"/>
      <c r="Z830" s="311"/>
      <c r="AA830" s="311"/>
      <c r="AB830" s="311"/>
      <c r="AC830" s="311"/>
      <c r="AD830" s="311"/>
      <c r="AE830" s="311"/>
      <c r="AF830" s="311"/>
      <c r="AG830" s="311"/>
      <c r="AH830" s="311"/>
      <c r="AI830" s="311"/>
      <c r="AJ830" s="311"/>
      <c r="AK830" s="311"/>
      <c r="AL830" s="311"/>
      <c r="AM830" s="311"/>
    </row>
    <row r="831" spans="1:39" ht="15.75" customHeight="1">
      <c r="A831" s="382"/>
      <c r="B831" s="311"/>
      <c r="C831" s="1647"/>
      <c r="D831" s="2173"/>
      <c r="E831" s="1586"/>
      <c r="F831" s="1954"/>
      <c r="G831" s="1846"/>
      <c r="H831" s="1586"/>
      <c r="I831" s="1647"/>
      <c r="J831" s="2187"/>
      <c r="K831" s="1647"/>
      <c r="L831" s="1647"/>
      <c r="M831" s="2174"/>
      <c r="N831" s="836"/>
      <c r="O831" s="836"/>
      <c r="P831" s="2174"/>
      <c r="Q831" s="836"/>
      <c r="R831" s="309"/>
      <c r="S831" s="309"/>
      <c r="T831" s="309"/>
      <c r="U831" s="309"/>
      <c r="V831" s="311"/>
      <c r="W831" s="311"/>
      <c r="X831" s="311"/>
      <c r="Y831" s="311"/>
      <c r="Z831" s="311"/>
      <c r="AA831" s="311"/>
      <c r="AB831" s="311"/>
      <c r="AC831" s="311"/>
      <c r="AD831" s="311"/>
      <c r="AE831" s="311"/>
      <c r="AF831" s="311"/>
      <c r="AG831" s="311"/>
      <c r="AH831" s="311"/>
      <c r="AI831" s="311"/>
      <c r="AJ831" s="311"/>
      <c r="AK831" s="311"/>
      <c r="AL831" s="311"/>
      <c r="AM831" s="311"/>
    </row>
    <row r="832" spans="1:39" ht="15.75" customHeight="1">
      <c r="A832" s="382"/>
      <c r="B832" s="311"/>
      <c r="C832" s="1647"/>
      <c r="D832" s="2173"/>
      <c r="E832" s="1586"/>
      <c r="F832" s="1954"/>
      <c r="G832" s="1846"/>
      <c r="H832" s="1586"/>
      <c r="I832" s="1647"/>
      <c r="J832" s="2187"/>
      <c r="K832" s="1647"/>
      <c r="L832" s="1647"/>
      <c r="M832" s="2174"/>
      <c r="N832" s="836"/>
      <c r="O832" s="836"/>
      <c r="P832" s="2174"/>
      <c r="Q832" s="836"/>
      <c r="R832" s="309"/>
      <c r="S832" s="309"/>
      <c r="T832" s="309"/>
      <c r="U832" s="309"/>
      <c r="V832" s="311"/>
      <c r="W832" s="311"/>
      <c r="X832" s="311"/>
      <c r="Y832" s="311"/>
      <c r="Z832" s="311"/>
      <c r="AA832" s="311"/>
      <c r="AB832" s="311"/>
      <c r="AC832" s="311"/>
      <c r="AD832" s="311"/>
      <c r="AE832" s="311"/>
      <c r="AF832" s="311"/>
      <c r="AG832" s="311"/>
      <c r="AH832" s="311"/>
      <c r="AI832" s="311"/>
      <c r="AJ832" s="311"/>
      <c r="AK832" s="311"/>
      <c r="AL832" s="311"/>
      <c r="AM832" s="311"/>
    </row>
    <row r="833" spans="1:39" ht="15.75" customHeight="1">
      <c r="A833" s="382"/>
      <c r="B833" s="311"/>
      <c r="C833" s="1647"/>
      <c r="D833" s="2173"/>
      <c r="E833" s="1586"/>
      <c r="F833" s="1954"/>
      <c r="G833" s="1846"/>
      <c r="H833" s="1586"/>
      <c r="I833" s="1647"/>
      <c r="J833" s="2187"/>
      <c r="K833" s="1647"/>
      <c r="L833" s="1647"/>
      <c r="M833" s="2174"/>
      <c r="N833" s="836"/>
      <c r="O833" s="836"/>
      <c r="P833" s="2174"/>
      <c r="Q833" s="836"/>
      <c r="R833" s="309"/>
      <c r="S833" s="309"/>
      <c r="T833" s="309"/>
      <c r="U833" s="309"/>
      <c r="V833" s="311"/>
      <c r="W833" s="311"/>
      <c r="X833" s="311"/>
      <c r="Y833" s="311"/>
      <c r="Z833" s="311"/>
      <c r="AA833" s="311"/>
      <c r="AB833" s="311"/>
      <c r="AC833" s="311"/>
      <c r="AD833" s="311"/>
      <c r="AE833" s="311"/>
      <c r="AF833" s="311"/>
      <c r="AG833" s="311"/>
      <c r="AH833" s="311"/>
      <c r="AI833" s="311"/>
      <c r="AJ833" s="311"/>
      <c r="AK833" s="311"/>
      <c r="AL833" s="311"/>
      <c r="AM833" s="311"/>
    </row>
    <row r="834" spans="1:39" ht="15.75" customHeight="1">
      <c r="A834" s="382"/>
      <c r="B834" s="311"/>
      <c r="C834" s="1647"/>
      <c r="D834" s="2173"/>
      <c r="E834" s="1586"/>
      <c r="F834" s="1954"/>
      <c r="G834" s="1846"/>
      <c r="H834" s="1586"/>
      <c r="I834" s="1647"/>
      <c r="J834" s="2187"/>
      <c r="K834" s="1647"/>
      <c r="L834" s="1647"/>
      <c r="M834" s="2174"/>
      <c r="N834" s="836"/>
      <c r="O834" s="836"/>
      <c r="P834" s="2174"/>
      <c r="Q834" s="836"/>
      <c r="R834" s="309"/>
      <c r="S834" s="309"/>
      <c r="T834" s="309"/>
      <c r="U834" s="309"/>
      <c r="V834" s="311"/>
      <c r="W834" s="311"/>
      <c r="X834" s="311"/>
      <c r="Y834" s="311"/>
      <c r="Z834" s="311"/>
      <c r="AA834" s="311"/>
      <c r="AB834" s="311"/>
      <c r="AC834" s="311"/>
      <c r="AD834" s="311"/>
      <c r="AE834" s="311"/>
      <c r="AF834" s="311"/>
      <c r="AG834" s="311"/>
      <c r="AH834" s="311"/>
      <c r="AI834" s="311"/>
      <c r="AJ834" s="311"/>
      <c r="AK834" s="311"/>
      <c r="AL834" s="311"/>
      <c r="AM834" s="311"/>
    </row>
    <row r="835" spans="1:39" ht="15.75" customHeight="1">
      <c r="A835" s="382"/>
      <c r="B835" s="311"/>
      <c r="C835" s="1647"/>
      <c r="D835" s="2173"/>
      <c r="E835" s="1586"/>
      <c r="F835" s="1954"/>
      <c r="G835" s="1846"/>
      <c r="H835" s="1586"/>
      <c r="I835" s="1647"/>
      <c r="J835" s="2187"/>
      <c r="K835" s="1647"/>
      <c r="L835" s="1647"/>
      <c r="M835" s="2174"/>
      <c r="N835" s="836"/>
      <c r="O835" s="836"/>
      <c r="P835" s="2174"/>
      <c r="Q835" s="836"/>
      <c r="R835" s="309"/>
      <c r="S835" s="309"/>
      <c r="T835" s="309"/>
      <c r="U835" s="309"/>
      <c r="V835" s="311"/>
      <c r="W835" s="311"/>
      <c r="X835" s="311"/>
      <c r="Y835" s="311"/>
      <c r="Z835" s="311"/>
      <c r="AA835" s="311"/>
      <c r="AB835" s="311"/>
      <c r="AC835" s="311"/>
      <c r="AD835" s="311"/>
      <c r="AE835" s="311"/>
      <c r="AF835" s="311"/>
      <c r="AG835" s="311"/>
      <c r="AH835" s="311"/>
      <c r="AI835" s="311"/>
      <c r="AJ835" s="311"/>
      <c r="AK835" s="311"/>
      <c r="AL835" s="311"/>
      <c r="AM835" s="311"/>
    </row>
    <row r="836" spans="1:39" ht="15.75" customHeight="1">
      <c r="A836" s="382"/>
      <c r="B836" s="311"/>
      <c r="C836" s="1647"/>
      <c r="D836" s="2173"/>
      <c r="E836" s="1586"/>
      <c r="F836" s="1954"/>
      <c r="G836" s="1846"/>
      <c r="H836" s="1586"/>
      <c r="I836" s="1647"/>
      <c r="J836" s="2187"/>
      <c r="K836" s="1647"/>
      <c r="L836" s="1647"/>
      <c r="M836" s="2174"/>
      <c r="N836" s="836"/>
      <c r="O836" s="836"/>
      <c r="P836" s="2174"/>
      <c r="Q836" s="836"/>
      <c r="R836" s="309"/>
      <c r="S836" s="309"/>
      <c r="T836" s="309"/>
      <c r="U836" s="309"/>
      <c r="V836" s="311"/>
      <c r="W836" s="311"/>
      <c r="X836" s="311"/>
      <c r="Y836" s="311"/>
      <c r="Z836" s="311"/>
      <c r="AA836" s="311"/>
      <c r="AB836" s="311"/>
      <c r="AC836" s="311"/>
      <c r="AD836" s="311"/>
      <c r="AE836" s="311"/>
      <c r="AF836" s="311"/>
      <c r="AG836" s="311"/>
      <c r="AH836" s="311"/>
      <c r="AI836" s="311"/>
      <c r="AJ836" s="311"/>
      <c r="AK836" s="311"/>
      <c r="AL836" s="311"/>
      <c r="AM836" s="311"/>
    </row>
    <row r="837" spans="1:39" ht="15.75" customHeight="1">
      <c r="A837" s="382"/>
      <c r="B837" s="311"/>
      <c r="C837" s="1647"/>
      <c r="D837" s="2173"/>
      <c r="E837" s="1586"/>
      <c r="F837" s="1954"/>
      <c r="G837" s="1846"/>
      <c r="H837" s="1586"/>
      <c r="I837" s="1647"/>
      <c r="J837" s="2187"/>
      <c r="K837" s="1647"/>
      <c r="L837" s="1647"/>
      <c r="M837" s="2174"/>
      <c r="N837" s="836"/>
      <c r="O837" s="836"/>
      <c r="P837" s="2174"/>
      <c r="Q837" s="836"/>
      <c r="R837" s="309"/>
      <c r="S837" s="309"/>
      <c r="T837" s="309"/>
      <c r="U837" s="309"/>
      <c r="V837" s="311"/>
      <c r="W837" s="311"/>
      <c r="X837" s="311"/>
      <c r="Y837" s="311"/>
      <c r="Z837" s="311"/>
      <c r="AA837" s="311"/>
      <c r="AB837" s="311"/>
      <c r="AC837" s="311"/>
      <c r="AD837" s="311"/>
      <c r="AE837" s="311"/>
      <c r="AF837" s="311"/>
      <c r="AG837" s="311"/>
      <c r="AH837" s="311"/>
      <c r="AI837" s="311"/>
      <c r="AJ837" s="311"/>
      <c r="AK837" s="311"/>
      <c r="AL837" s="311"/>
      <c r="AM837" s="311"/>
    </row>
    <row r="838" spans="1:39" ht="15.75" customHeight="1">
      <c r="A838" s="382"/>
      <c r="B838" s="311"/>
      <c r="C838" s="1647"/>
      <c r="D838" s="2173"/>
      <c r="E838" s="1586"/>
      <c r="F838" s="1954"/>
      <c r="G838" s="1846"/>
      <c r="H838" s="1586"/>
      <c r="I838" s="1647"/>
      <c r="J838" s="2187"/>
      <c r="K838" s="1647"/>
      <c r="L838" s="1647"/>
      <c r="M838" s="2174"/>
      <c r="N838" s="836"/>
      <c r="O838" s="836"/>
      <c r="P838" s="2174"/>
      <c r="Q838" s="836"/>
      <c r="R838" s="309"/>
      <c r="S838" s="309"/>
      <c r="T838" s="309"/>
      <c r="U838" s="309"/>
      <c r="V838" s="311"/>
      <c r="W838" s="311"/>
      <c r="X838" s="311"/>
      <c r="Y838" s="311"/>
      <c r="Z838" s="311"/>
      <c r="AA838" s="311"/>
      <c r="AB838" s="311"/>
      <c r="AC838" s="311"/>
      <c r="AD838" s="311"/>
      <c r="AE838" s="311"/>
      <c r="AF838" s="311"/>
      <c r="AG838" s="311"/>
      <c r="AH838" s="311"/>
      <c r="AI838" s="311"/>
      <c r="AJ838" s="311"/>
      <c r="AK838" s="311"/>
      <c r="AL838" s="311"/>
      <c r="AM838" s="311"/>
    </row>
    <row r="839" spans="1:39" ht="15.75" customHeight="1">
      <c r="A839" s="382"/>
      <c r="B839" s="311"/>
      <c r="C839" s="1647"/>
      <c r="D839" s="2173"/>
      <c r="E839" s="1586"/>
      <c r="F839" s="1954"/>
      <c r="G839" s="1846"/>
      <c r="H839" s="1586"/>
      <c r="I839" s="1647"/>
      <c r="J839" s="2187"/>
      <c r="K839" s="1647"/>
      <c r="L839" s="1647"/>
      <c r="M839" s="2174"/>
      <c r="N839" s="836"/>
      <c r="O839" s="836"/>
      <c r="P839" s="2174"/>
      <c r="Q839" s="836"/>
      <c r="R839" s="309"/>
      <c r="S839" s="309"/>
      <c r="T839" s="309"/>
      <c r="U839" s="309"/>
      <c r="V839" s="311"/>
      <c r="W839" s="311"/>
      <c r="X839" s="311"/>
      <c r="Y839" s="311"/>
      <c r="Z839" s="311"/>
      <c r="AA839" s="311"/>
      <c r="AB839" s="311"/>
      <c r="AC839" s="311"/>
      <c r="AD839" s="311"/>
      <c r="AE839" s="311"/>
      <c r="AF839" s="311"/>
      <c r="AG839" s="311"/>
      <c r="AH839" s="311"/>
      <c r="AI839" s="311"/>
      <c r="AJ839" s="311"/>
      <c r="AK839" s="311"/>
      <c r="AL839" s="311"/>
      <c r="AM839" s="311"/>
    </row>
    <row r="840" spans="1:39" ht="15.75" customHeight="1">
      <c r="A840" s="382"/>
      <c r="B840" s="311"/>
      <c r="C840" s="1647"/>
      <c r="D840" s="2173"/>
      <c r="E840" s="1586"/>
      <c r="F840" s="1954"/>
      <c r="G840" s="1846"/>
      <c r="H840" s="1586"/>
      <c r="I840" s="1647"/>
      <c r="J840" s="2187"/>
      <c r="K840" s="1647"/>
      <c r="L840" s="1647"/>
      <c r="M840" s="2174"/>
      <c r="N840" s="836"/>
      <c r="O840" s="836"/>
      <c r="P840" s="2174"/>
      <c r="Q840" s="836"/>
      <c r="R840" s="309"/>
      <c r="S840" s="309"/>
      <c r="T840" s="309"/>
      <c r="U840" s="309"/>
      <c r="V840" s="311"/>
      <c r="W840" s="311"/>
      <c r="X840" s="311"/>
      <c r="Y840" s="311"/>
      <c r="Z840" s="311"/>
      <c r="AA840" s="311"/>
      <c r="AB840" s="311"/>
      <c r="AC840" s="311"/>
      <c r="AD840" s="311"/>
      <c r="AE840" s="311"/>
      <c r="AF840" s="311"/>
      <c r="AG840" s="311"/>
      <c r="AH840" s="311"/>
      <c r="AI840" s="311"/>
      <c r="AJ840" s="311"/>
      <c r="AK840" s="311"/>
      <c r="AL840" s="311"/>
      <c r="AM840" s="311"/>
    </row>
    <row r="841" spans="1:39" ht="15.75" customHeight="1">
      <c r="A841" s="382"/>
      <c r="B841" s="311"/>
      <c r="C841" s="1647"/>
      <c r="D841" s="2173"/>
      <c r="E841" s="1586"/>
      <c r="F841" s="1954"/>
      <c r="G841" s="1846"/>
      <c r="H841" s="1586"/>
      <c r="I841" s="1647"/>
      <c r="J841" s="2187"/>
      <c r="K841" s="1647"/>
      <c r="L841" s="1647"/>
      <c r="M841" s="2174"/>
      <c r="N841" s="836"/>
      <c r="O841" s="836"/>
      <c r="P841" s="2174"/>
      <c r="Q841" s="836"/>
      <c r="R841" s="309"/>
      <c r="S841" s="309"/>
      <c r="T841" s="309"/>
      <c r="U841" s="309"/>
      <c r="V841" s="311"/>
      <c r="W841" s="311"/>
      <c r="X841" s="311"/>
      <c r="Y841" s="311"/>
      <c r="Z841" s="311"/>
      <c r="AA841" s="311"/>
      <c r="AB841" s="311"/>
      <c r="AC841" s="311"/>
      <c r="AD841" s="311"/>
      <c r="AE841" s="311"/>
      <c r="AF841" s="311"/>
      <c r="AG841" s="311"/>
      <c r="AH841" s="311"/>
      <c r="AI841" s="311"/>
      <c r="AJ841" s="311"/>
      <c r="AK841" s="311"/>
      <c r="AL841" s="311"/>
      <c r="AM841" s="311"/>
    </row>
    <row r="842" spans="1:39" ht="15.75" customHeight="1">
      <c r="A842" s="382"/>
      <c r="B842" s="311"/>
      <c r="C842" s="1647"/>
      <c r="D842" s="2173"/>
      <c r="E842" s="1586"/>
      <c r="F842" s="1954"/>
      <c r="G842" s="1846"/>
      <c r="H842" s="1586"/>
      <c r="I842" s="1647"/>
      <c r="J842" s="2187"/>
      <c r="K842" s="1647"/>
      <c r="L842" s="1647"/>
      <c r="M842" s="2174"/>
      <c r="N842" s="836"/>
      <c r="O842" s="836"/>
      <c r="P842" s="2174"/>
      <c r="Q842" s="836"/>
      <c r="R842" s="309"/>
      <c r="S842" s="309"/>
      <c r="T842" s="309"/>
      <c r="U842" s="309"/>
      <c r="V842" s="311"/>
      <c r="W842" s="311"/>
      <c r="X842" s="311"/>
      <c r="Y842" s="311"/>
      <c r="Z842" s="311"/>
      <c r="AA842" s="311"/>
      <c r="AB842" s="311"/>
      <c r="AC842" s="311"/>
      <c r="AD842" s="311"/>
      <c r="AE842" s="311"/>
      <c r="AF842" s="311"/>
      <c r="AG842" s="311"/>
      <c r="AH842" s="311"/>
      <c r="AI842" s="311"/>
      <c r="AJ842" s="311"/>
      <c r="AK842" s="311"/>
      <c r="AL842" s="311"/>
      <c r="AM842" s="311"/>
    </row>
    <row r="843" spans="1:39" ht="15.75" customHeight="1">
      <c r="A843" s="382"/>
      <c r="B843" s="311"/>
      <c r="C843" s="1647"/>
      <c r="D843" s="2173"/>
      <c r="E843" s="1586"/>
      <c r="F843" s="1954"/>
      <c r="G843" s="1846"/>
      <c r="H843" s="1586"/>
      <c r="I843" s="1647"/>
      <c r="J843" s="2187"/>
      <c r="K843" s="1647"/>
      <c r="L843" s="1647"/>
      <c r="M843" s="2174"/>
      <c r="N843" s="836"/>
      <c r="O843" s="836"/>
      <c r="P843" s="2174"/>
      <c r="Q843" s="836"/>
      <c r="R843" s="309"/>
      <c r="S843" s="309"/>
      <c r="T843" s="309"/>
      <c r="U843" s="309"/>
      <c r="V843" s="311"/>
      <c r="W843" s="311"/>
      <c r="X843" s="311"/>
      <c r="Y843" s="311"/>
      <c r="Z843" s="311"/>
      <c r="AA843" s="311"/>
      <c r="AB843" s="311"/>
      <c r="AC843" s="311"/>
      <c r="AD843" s="311"/>
      <c r="AE843" s="311"/>
      <c r="AF843" s="311"/>
      <c r="AG843" s="311"/>
      <c r="AH843" s="311"/>
      <c r="AI843" s="311"/>
      <c r="AJ843" s="311"/>
      <c r="AK843" s="311"/>
      <c r="AL843" s="311"/>
      <c r="AM843" s="311"/>
    </row>
    <row r="844" spans="1:39" ht="15.75" customHeight="1">
      <c r="A844" s="382"/>
      <c r="B844" s="311"/>
      <c r="C844" s="1647"/>
      <c r="D844" s="2173"/>
      <c r="E844" s="1586"/>
      <c r="F844" s="1954"/>
      <c r="G844" s="1846"/>
      <c r="H844" s="1586"/>
      <c r="I844" s="1647"/>
      <c r="J844" s="2187"/>
      <c r="K844" s="1647"/>
      <c r="L844" s="1647"/>
      <c r="M844" s="2174"/>
      <c r="N844" s="836"/>
      <c r="O844" s="836"/>
      <c r="P844" s="2174"/>
      <c r="Q844" s="836"/>
      <c r="R844" s="309"/>
      <c r="S844" s="309"/>
      <c r="T844" s="309"/>
      <c r="U844" s="309"/>
      <c r="V844" s="311"/>
      <c r="W844" s="311"/>
      <c r="X844" s="311"/>
      <c r="Y844" s="311"/>
      <c r="Z844" s="311"/>
      <c r="AA844" s="311"/>
      <c r="AB844" s="311"/>
      <c r="AC844" s="311"/>
      <c r="AD844" s="311"/>
      <c r="AE844" s="311"/>
      <c r="AF844" s="311"/>
      <c r="AG844" s="311"/>
      <c r="AH844" s="311"/>
      <c r="AI844" s="311"/>
      <c r="AJ844" s="311"/>
      <c r="AK844" s="311"/>
      <c r="AL844" s="311"/>
      <c r="AM844" s="311"/>
    </row>
    <row r="845" spans="1:39" ht="15.75" customHeight="1">
      <c r="A845" s="382"/>
      <c r="B845" s="311"/>
      <c r="C845" s="1647"/>
      <c r="D845" s="2173"/>
      <c r="E845" s="1586"/>
      <c r="F845" s="1954"/>
      <c r="G845" s="1846"/>
      <c r="H845" s="1586"/>
      <c r="I845" s="1647"/>
      <c r="J845" s="2187"/>
      <c r="K845" s="1647"/>
      <c r="L845" s="1647"/>
      <c r="M845" s="2174"/>
      <c r="N845" s="836"/>
      <c r="O845" s="836"/>
      <c r="P845" s="2174"/>
      <c r="Q845" s="836"/>
      <c r="R845" s="309"/>
      <c r="S845" s="309"/>
      <c r="T845" s="309"/>
      <c r="U845" s="309"/>
      <c r="V845" s="311"/>
      <c r="W845" s="311"/>
      <c r="X845" s="311"/>
      <c r="Y845" s="311"/>
      <c r="Z845" s="311"/>
      <c r="AA845" s="311"/>
      <c r="AB845" s="311"/>
      <c r="AC845" s="311"/>
      <c r="AD845" s="311"/>
      <c r="AE845" s="311"/>
      <c r="AF845" s="311"/>
      <c r="AG845" s="311"/>
      <c r="AH845" s="311"/>
      <c r="AI845" s="311"/>
      <c r="AJ845" s="311"/>
      <c r="AK845" s="311"/>
      <c r="AL845" s="311"/>
      <c r="AM845" s="311"/>
    </row>
    <row r="846" spans="1:39" ht="15.75" customHeight="1">
      <c r="A846" s="382"/>
      <c r="B846" s="311"/>
      <c r="C846" s="1647"/>
      <c r="D846" s="2173"/>
      <c r="E846" s="1586"/>
      <c r="F846" s="1954"/>
      <c r="G846" s="1846"/>
      <c r="H846" s="1586"/>
      <c r="I846" s="1647"/>
      <c r="J846" s="2187"/>
      <c r="K846" s="1647"/>
      <c r="L846" s="1647"/>
      <c r="M846" s="2174"/>
      <c r="N846" s="836"/>
      <c r="O846" s="836"/>
      <c r="P846" s="2174"/>
      <c r="Q846" s="836"/>
      <c r="R846" s="309"/>
      <c r="S846" s="309"/>
      <c r="T846" s="309"/>
      <c r="U846" s="309"/>
      <c r="V846" s="311"/>
      <c r="W846" s="311"/>
      <c r="X846" s="311"/>
      <c r="Y846" s="311"/>
      <c r="Z846" s="311"/>
      <c r="AA846" s="311"/>
      <c r="AB846" s="311"/>
      <c r="AC846" s="311"/>
      <c r="AD846" s="311"/>
      <c r="AE846" s="311"/>
      <c r="AF846" s="311"/>
      <c r="AG846" s="311"/>
      <c r="AH846" s="311"/>
      <c r="AI846" s="311"/>
      <c r="AJ846" s="311"/>
      <c r="AK846" s="311"/>
      <c r="AL846" s="311"/>
      <c r="AM846" s="311"/>
    </row>
    <row r="847" spans="1:39" ht="15.75" customHeight="1">
      <c r="A847" s="382"/>
      <c r="B847" s="311"/>
      <c r="C847" s="1647"/>
      <c r="D847" s="2173"/>
      <c r="E847" s="1586"/>
      <c r="F847" s="1954"/>
      <c r="G847" s="1846"/>
      <c r="H847" s="1586"/>
      <c r="I847" s="1647"/>
      <c r="J847" s="2187"/>
      <c r="K847" s="1647"/>
      <c r="L847" s="1647"/>
      <c r="M847" s="2174"/>
      <c r="N847" s="836"/>
      <c r="O847" s="836"/>
      <c r="P847" s="2174"/>
      <c r="Q847" s="836"/>
      <c r="R847" s="309"/>
      <c r="S847" s="309"/>
      <c r="T847" s="309"/>
      <c r="U847" s="309"/>
      <c r="V847" s="311"/>
      <c r="W847" s="311"/>
      <c r="X847" s="311"/>
      <c r="Y847" s="311"/>
      <c r="Z847" s="311"/>
      <c r="AA847" s="311"/>
      <c r="AB847" s="311"/>
      <c r="AC847" s="311"/>
      <c r="AD847" s="311"/>
      <c r="AE847" s="311"/>
      <c r="AF847" s="311"/>
      <c r="AG847" s="311"/>
      <c r="AH847" s="311"/>
      <c r="AI847" s="311"/>
      <c r="AJ847" s="311"/>
      <c r="AK847" s="311"/>
      <c r="AL847" s="311"/>
      <c r="AM847" s="311"/>
    </row>
    <row r="848" spans="1:39" ht="15.75" customHeight="1">
      <c r="A848" s="382"/>
      <c r="B848" s="311"/>
      <c r="C848" s="1647"/>
      <c r="D848" s="2173"/>
      <c r="E848" s="1586"/>
      <c r="F848" s="1954"/>
      <c r="G848" s="1846"/>
      <c r="H848" s="1586"/>
      <c r="I848" s="1647"/>
      <c r="J848" s="2187"/>
      <c r="K848" s="1647"/>
      <c r="L848" s="1647"/>
      <c r="M848" s="2174"/>
      <c r="N848" s="836"/>
      <c r="O848" s="836"/>
      <c r="P848" s="2174"/>
      <c r="Q848" s="836"/>
      <c r="R848" s="309"/>
      <c r="S848" s="309"/>
      <c r="T848" s="309"/>
      <c r="U848" s="309"/>
      <c r="V848" s="311"/>
      <c r="W848" s="311"/>
      <c r="X848" s="311"/>
      <c r="Y848" s="311"/>
      <c r="Z848" s="311"/>
      <c r="AA848" s="311"/>
      <c r="AB848" s="311"/>
      <c r="AC848" s="311"/>
      <c r="AD848" s="311"/>
      <c r="AE848" s="311"/>
      <c r="AF848" s="311"/>
      <c r="AG848" s="311"/>
      <c r="AH848" s="311"/>
      <c r="AI848" s="311"/>
      <c r="AJ848" s="311"/>
      <c r="AK848" s="311"/>
      <c r="AL848" s="311"/>
      <c r="AM848" s="311"/>
    </row>
    <row r="849" spans="1:39" ht="15.75" customHeight="1">
      <c r="A849" s="382"/>
      <c r="B849" s="311"/>
      <c r="C849" s="1647"/>
      <c r="D849" s="2173"/>
      <c r="E849" s="1586"/>
      <c r="F849" s="1954"/>
      <c r="G849" s="1846"/>
      <c r="H849" s="1586"/>
      <c r="I849" s="1647"/>
      <c r="J849" s="2187"/>
      <c r="K849" s="1647"/>
      <c r="L849" s="1647"/>
      <c r="M849" s="2174"/>
      <c r="N849" s="836"/>
      <c r="O849" s="836"/>
      <c r="P849" s="2174"/>
      <c r="Q849" s="836"/>
      <c r="R849" s="309"/>
      <c r="S849" s="309"/>
      <c r="T849" s="309"/>
      <c r="U849" s="309"/>
      <c r="V849" s="311"/>
      <c r="W849" s="311"/>
      <c r="X849" s="311"/>
      <c r="Y849" s="311"/>
      <c r="Z849" s="311"/>
      <c r="AA849" s="311"/>
      <c r="AB849" s="311"/>
      <c r="AC849" s="311"/>
      <c r="AD849" s="311"/>
      <c r="AE849" s="311"/>
      <c r="AF849" s="311"/>
      <c r="AG849" s="311"/>
      <c r="AH849" s="311"/>
      <c r="AI849" s="311"/>
      <c r="AJ849" s="311"/>
      <c r="AK849" s="311"/>
      <c r="AL849" s="311"/>
      <c r="AM849" s="311"/>
    </row>
    <row r="850" spans="1:39" ht="15.75" customHeight="1">
      <c r="A850" s="382"/>
      <c r="B850" s="311"/>
      <c r="C850" s="1647"/>
      <c r="D850" s="2173"/>
      <c r="E850" s="1586"/>
      <c r="F850" s="1954"/>
      <c r="G850" s="1846"/>
      <c r="H850" s="1586"/>
      <c r="I850" s="1647"/>
      <c r="J850" s="2187"/>
      <c r="K850" s="1647"/>
      <c r="L850" s="1647"/>
      <c r="M850" s="2174"/>
      <c r="N850" s="836"/>
      <c r="O850" s="836"/>
      <c r="P850" s="2174"/>
      <c r="Q850" s="836"/>
      <c r="R850" s="309"/>
      <c r="S850" s="309"/>
      <c r="T850" s="309"/>
      <c r="U850" s="309"/>
      <c r="V850" s="311"/>
      <c r="W850" s="311"/>
      <c r="X850" s="311"/>
      <c r="Y850" s="311"/>
      <c r="Z850" s="311"/>
      <c r="AA850" s="311"/>
      <c r="AB850" s="311"/>
      <c r="AC850" s="311"/>
      <c r="AD850" s="311"/>
      <c r="AE850" s="311"/>
      <c r="AF850" s="311"/>
      <c r="AG850" s="311"/>
      <c r="AH850" s="311"/>
      <c r="AI850" s="311"/>
      <c r="AJ850" s="311"/>
      <c r="AK850" s="311"/>
      <c r="AL850" s="311"/>
      <c r="AM850" s="311"/>
    </row>
    <row r="851" spans="1:39" ht="15.75" customHeight="1">
      <c r="A851" s="382"/>
      <c r="B851" s="311"/>
      <c r="C851" s="1647"/>
      <c r="D851" s="2173"/>
      <c r="E851" s="1586"/>
      <c r="F851" s="1954"/>
      <c r="G851" s="1846"/>
      <c r="H851" s="1586"/>
      <c r="I851" s="1647"/>
      <c r="J851" s="2187"/>
      <c r="K851" s="1647"/>
      <c r="L851" s="1647"/>
      <c r="M851" s="2174"/>
      <c r="N851" s="836"/>
      <c r="O851" s="836"/>
      <c r="P851" s="2174"/>
      <c r="Q851" s="836"/>
      <c r="R851" s="309"/>
      <c r="S851" s="309"/>
      <c r="T851" s="309"/>
      <c r="U851" s="309"/>
      <c r="V851" s="311"/>
      <c r="W851" s="311"/>
      <c r="X851" s="311"/>
      <c r="Y851" s="311"/>
      <c r="Z851" s="311"/>
      <c r="AA851" s="311"/>
      <c r="AB851" s="311"/>
      <c r="AC851" s="311"/>
      <c r="AD851" s="311"/>
      <c r="AE851" s="311"/>
      <c r="AF851" s="311"/>
      <c r="AG851" s="311"/>
      <c r="AH851" s="311"/>
      <c r="AI851" s="311"/>
      <c r="AJ851" s="311"/>
      <c r="AK851" s="311"/>
      <c r="AL851" s="311"/>
      <c r="AM851" s="311"/>
    </row>
    <row r="852" spans="1:39" ht="15.75" customHeight="1">
      <c r="A852" s="382"/>
      <c r="B852" s="311"/>
      <c r="C852" s="1647"/>
      <c r="D852" s="2173"/>
      <c r="E852" s="1586"/>
      <c r="F852" s="1954"/>
      <c r="G852" s="1846"/>
      <c r="H852" s="1586"/>
      <c r="I852" s="1647"/>
      <c r="J852" s="2187"/>
      <c r="K852" s="1647"/>
      <c r="L852" s="1647"/>
      <c r="M852" s="2174"/>
      <c r="N852" s="836"/>
      <c r="O852" s="836"/>
      <c r="P852" s="2174"/>
      <c r="Q852" s="836"/>
      <c r="R852" s="309"/>
      <c r="S852" s="309"/>
      <c r="T852" s="309"/>
      <c r="U852" s="309"/>
      <c r="V852" s="311"/>
      <c r="W852" s="311"/>
      <c r="X852" s="311"/>
      <c r="Y852" s="311"/>
      <c r="Z852" s="311"/>
      <c r="AA852" s="311"/>
      <c r="AB852" s="311"/>
      <c r="AC852" s="311"/>
      <c r="AD852" s="311"/>
      <c r="AE852" s="311"/>
      <c r="AF852" s="311"/>
      <c r="AG852" s="311"/>
      <c r="AH852" s="311"/>
      <c r="AI852" s="311"/>
      <c r="AJ852" s="311"/>
      <c r="AK852" s="311"/>
      <c r="AL852" s="311"/>
      <c r="AM852" s="311"/>
    </row>
    <row r="853" spans="1:39" ht="15.75" customHeight="1">
      <c r="A853" s="382"/>
      <c r="B853" s="311"/>
      <c r="C853" s="1647"/>
      <c r="D853" s="2173"/>
      <c r="E853" s="1586"/>
      <c r="F853" s="1954"/>
      <c r="G853" s="1846"/>
      <c r="H853" s="1586"/>
      <c r="I853" s="1647"/>
      <c r="J853" s="2187"/>
      <c r="K853" s="1647"/>
      <c r="L853" s="1647"/>
      <c r="M853" s="2174"/>
      <c r="N853" s="836"/>
      <c r="O853" s="836"/>
      <c r="P853" s="2174"/>
      <c r="Q853" s="836"/>
      <c r="R853" s="309"/>
      <c r="S853" s="309"/>
      <c r="T853" s="309"/>
      <c r="U853" s="309"/>
      <c r="V853" s="311"/>
      <c r="W853" s="311"/>
      <c r="X853" s="311"/>
      <c r="Y853" s="311"/>
      <c r="Z853" s="311"/>
      <c r="AA853" s="311"/>
      <c r="AB853" s="311"/>
      <c r="AC853" s="311"/>
      <c r="AD853" s="311"/>
      <c r="AE853" s="311"/>
      <c r="AF853" s="311"/>
      <c r="AG853" s="311"/>
      <c r="AH853" s="311"/>
      <c r="AI853" s="311"/>
      <c r="AJ853" s="311"/>
      <c r="AK853" s="311"/>
      <c r="AL853" s="311"/>
      <c r="AM853" s="311"/>
    </row>
    <row r="854" spans="1:39" ht="15.75" customHeight="1">
      <c r="A854" s="382"/>
      <c r="B854" s="311"/>
      <c r="C854" s="1647"/>
      <c r="D854" s="2173"/>
      <c r="E854" s="1586"/>
      <c r="F854" s="1954"/>
      <c r="G854" s="1846"/>
      <c r="H854" s="1586"/>
      <c r="I854" s="1647"/>
      <c r="J854" s="2187"/>
      <c r="K854" s="1647"/>
      <c r="L854" s="1647"/>
      <c r="M854" s="2174"/>
      <c r="N854" s="836"/>
      <c r="O854" s="836"/>
      <c r="P854" s="2174"/>
      <c r="Q854" s="836"/>
      <c r="R854" s="309"/>
      <c r="S854" s="309"/>
      <c r="T854" s="309"/>
      <c r="U854" s="309"/>
      <c r="V854" s="311"/>
      <c r="W854" s="311"/>
      <c r="X854" s="311"/>
      <c r="Y854" s="311"/>
      <c r="Z854" s="311"/>
      <c r="AA854" s="311"/>
      <c r="AB854" s="311"/>
      <c r="AC854" s="311"/>
      <c r="AD854" s="311"/>
      <c r="AE854" s="311"/>
      <c r="AF854" s="311"/>
      <c r="AG854" s="311"/>
      <c r="AH854" s="311"/>
      <c r="AI854" s="311"/>
      <c r="AJ854" s="311"/>
      <c r="AK854" s="311"/>
      <c r="AL854" s="311"/>
      <c r="AM854" s="311"/>
    </row>
    <row r="855" spans="1:39" ht="15.75" customHeight="1">
      <c r="A855" s="382"/>
      <c r="B855" s="311"/>
      <c r="C855" s="1647"/>
      <c r="D855" s="2173"/>
      <c r="E855" s="1586"/>
      <c r="F855" s="1954"/>
      <c r="G855" s="1846"/>
      <c r="H855" s="1586"/>
      <c r="I855" s="1647"/>
      <c r="J855" s="2187"/>
      <c r="K855" s="1647"/>
      <c r="L855" s="1647"/>
      <c r="M855" s="2174"/>
      <c r="N855" s="836"/>
      <c r="O855" s="836"/>
      <c r="P855" s="2174"/>
      <c r="Q855" s="836"/>
      <c r="R855" s="309"/>
      <c r="S855" s="309"/>
      <c r="T855" s="309"/>
      <c r="U855" s="309"/>
      <c r="V855" s="311"/>
      <c r="W855" s="311"/>
      <c r="X855" s="311"/>
      <c r="Y855" s="311"/>
      <c r="Z855" s="311"/>
      <c r="AA855" s="311"/>
      <c r="AB855" s="311"/>
      <c r="AC855" s="311"/>
      <c r="AD855" s="311"/>
      <c r="AE855" s="311"/>
      <c r="AF855" s="311"/>
      <c r="AG855" s="311"/>
      <c r="AH855" s="311"/>
      <c r="AI855" s="311"/>
      <c r="AJ855" s="311"/>
      <c r="AK855" s="311"/>
      <c r="AL855" s="311"/>
      <c r="AM855" s="311"/>
    </row>
    <row r="856" spans="1:39" ht="15.75" customHeight="1">
      <c r="A856" s="382"/>
      <c r="B856" s="311"/>
      <c r="C856" s="1647"/>
      <c r="D856" s="2173"/>
      <c r="E856" s="1586"/>
      <c r="F856" s="1954"/>
      <c r="G856" s="1846"/>
      <c r="H856" s="1586"/>
      <c r="I856" s="1647"/>
      <c r="J856" s="2187"/>
      <c r="K856" s="1647"/>
      <c r="L856" s="1647"/>
      <c r="M856" s="2174"/>
      <c r="N856" s="836"/>
      <c r="O856" s="836"/>
      <c r="P856" s="2174"/>
      <c r="Q856" s="836"/>
      <c r="R856" s="309"/>
      <c r="S856" s="309"/>
      <c r="T856" s="309"/>
      <c r="U856" s="309"/>
      <c r="V856" s="311"/>
      <c r="W856" s="311"/>
      <c r="X856" s="311"/>
      <c r="Y856" s="311"/>
      <c r="Z856" s="311"/>
      <c r="AA856" s="311"/>
      <c r="AB856" s="311"/>
      <c r="AC856" s="311"/>
      <c r="AD856" s="311"/>
      <c r="AE856" s="311"/>
      <c r="AF856" s="311"/>
      <c r="AG856" s="311"/>
      <c r="AH856" s="311"/>
      <c r="AI856" s="311"/>
      <c r="AJ856" s="311"/>
      <c r="AK856" s="311"/>
      <c r="AL856" s="311"/>
      <c r="AM856" s="311"/>
    </row>
    <row r="857" spans="1:39" ht="15.75" customHeight="1">
      <c r="A857" s="382"/>
      <c r="B857" s="311"/>
      <c r="C857" s="1647"/>
      <c r="D857" s="2173"/>
      <c r="E857" s="1586"/>
      <c r="F857" s="1954"/>
      <c r="G857" s="1846"/>
      <c r="H857" s="1586"/>
      <c r="I857" s="1647"/>
      <c r="J857" s="2187"/>
      <c r="K857" s="1647"/>
      <c r="L857" s="1647"/>
      <c r="M857" s="2174"/>
      <c r="N857" s="836"/>
      <c r="O857" s="836"/>
      <c r="P857" s="2174"/>
      <c r="Q857" s="836"/>
      <c r="R857" s="309"/>
      <c r="S857" s="309"/>
      <c r="T857" s="309"/>
      <c r="U857" s="309"/>
      <c r="V857" s="311"/>
      <c r="W857" s="311"/>
      <c r="X857" s="311"/>
      <c r="Y857" s="311"/>
      <c r="Z857" s="311"/>
      <c r="AA857" s="311"/>
      <c r="AB857" s="311"/>
      <c r="AC857" s="311"/>
      <c r="AD857" s="311"/>
      <c r="AE857" s="311"/>
      <c r="AF857" s="311"/>
      <c r="AG857" s="311"/>
      <c r="AH857" s="311"/>
      <c r="AI857" s="311"/>
      <c r="AJ857" s="311"/>
      <c r="AK857" s="311"/>
      <c r="AL857" s="311"/>
      <c r="AM857" s="311"/>
    </row>
    <row r="858" spans="1:39" ht="15.75" customHeight="1">
      <c r="A858" s="382"/>
      <c r="B858" s="311"/>
      <c r="C858" s="1647"/>
      <c r="D858" s="2173"/>
      <c r="E858" s="1586"/>
      <c r="F858" s="1954"/>
      <c r="G858" s="1846"/>
      <c r="H858" s="1586"/>
      <c r="I858" s="1647"/>
      <c r="J858" s="2187"/>
      <c r="K858" s="1647"/>
      <c r="L858" s="1647"/>
      <c r="M858" s="2174"/>
      <c r="N858" s="836"/>
      <c r="O858" s="836"/>
      <c r="P858" s="2174"/>
      <c r="Q858" s="836"/>
      <c r="R858" s="309"/>
      <c r="S858" s="309"/>
      <c r="T858" s="309"/>
      <c r="U858" s="309"/>
      <c r="V858" s="311"/>
      <c r="W858" s="311"/>
      <c r="X858" s="311"/>
      <c r="Y858" s="311"/>
      <c r="Z858" s="311"/>
      <c r="AA858" s="311"/>
      <c r="AB858" s="311"/>
      <c r="AC858" s="311"/>
      <c r="AD858" s="311"/>
      <c r="AE858" s="311"/>
      <c r="AF858" s="311"/>
      <c r="AG858" s="311"/>
      <c r="AH858" s="311"/>
      <c r="AI858" s="311"/>
      <c r="AJ858" s="311"/>
      <c r="AK858" s="311"/>
      <c r="AL858" s="311"/>
      <c r="AM858" s="311"/>
    </row>
    <row r="859" spans="1:39" ht="15.75" customHeight="1">
      <c r="A859" s="382"/>
      <c r="B859" s="311"/>
      <c r="C859" s="1647"/>
      <c r="D859" s="2173"/>
      <c r="E859" s="1586"/>
      <c r="F859" s="1954"/>
      <c r="G859" s="1846"/>
      <c r="H859" s="1586"/>
      <c r="I859" s="1647"/>
      <c r="J859" s="2187"/>
      <c r="K859" s="1647"/>
      <c r="L859" s="1647"/>
      <c r="M859" s="2174"/>
      <c r="N859" s="836"/>
      <c r="O859" s="836"/>
      <c r="P859" s="2174"/>
      <c r="Q859" s="836"/>
      <c r="R859" s="309"/>
      <c r="S859" s="309"/>
      <c r="T859" s="309"/>
      <c r="U859" s="309"/>
      <c r="V859" s="311"/>
      <c r="W859" s="311"/>
      <c r="X859" s="311"/>
      <c r="Y859" s="311"/>
      <c r="Z859" s="311"/>
      <c r="AA859" s="311"/>
      <c r="AB859" s="311"/>
      <c r="AC859" s="311"/>
      <c r="AD859" s="311"/>
      <c r="AE859" s="311"/>
      <c r="AF859" s="311"/>
      <c r="AG859" s="311"/>
      <c r="AH859" s="311"/>
      <c r="AI859" s="311"/>
      <c r="AJ859" s="311"/>
      <c r="AK859" s="311"/>
      <c r="AL859" s="311"/>
      <c r="AM859" s="311"/>
    </row>
    <row r="860" spans="1:39" ht="15.75" customHeight="1">
      <c r="A860" s="382"/>
      <c r="B860" s="311"/>
      <c r="C860" s="1647"/>
      <c r="D860" s="2173"/>
      <c r="E860" s="1586"/>
      <c r="F860" s="1954"/>
      <c r="G860" s="1846"/>
      <c r="H860" s="1586"/>
      <c r="I860" s="1647"/>
      <c r="J860" s="2187"/>
      <c r="K860" s="1647"/>
      <c r="L860" s="1647"/>
      <c r="M860" s="2174"/>
      <c r="N860" s="836"/>
      <c r="O860" s="836"/>
      <c r="P860" s="2174"/>
      <c r="Q860" s="836"/>
      <c r="R860" s="309"/>
      <c r="S860" s="309"/>
      <c r="T860" s="309"/>
      <c r="U860" s="309"/>
      <c r="V860" s="311"/>
      <c r="W860" s="311"/>
      <c r="X860" s="311"/>
      <c r="Y860" s="311"/>
      <c r="Z860" s="311"/>
      <c r="AA860" s="311"/>
      <c r="AB860" s="311"/>
      <c r="AC860" s="311"/>
      <c r="AD860" s="311"/>
      <c r="AE860" s="311"/>
      <c r="AF860" s="311"/>
      <c r="AG860" s="311"/>
      <c r="AH860" s="311"/>
      <c r="AI860" s="311"/>
      <c r="AJ860" s="311"/>
      <c r="AK860" s="311"/>
      <c r="AL860" s="311"/>
      <c r="AM860" s="311"/>
    </row>
    <row r="861" spans="1:39" ht="15.75" customHeight="1">
      <c r="A861" s="382"/>
      <c r="B861" s="311"/>
      <c r="C861" s="1647"/>
      <c r="D861" s="2173"/>
      <c r="E861" s="1586"/>
      <c r="F861" s="1954"/>
      <c r="G861" s="1846"/>
      <c r="H861" s="1586"/>
      <c r="I861" s="1647"/>
      <c r="J861" s="2187"/>
      <c r="K861" s="1647"/>
      <c r="L861" s="1647"/>
      <c r="M861" s="2174"/>
      <c r="N861" s="836"/>
      <c r="O861" s="836"/>
      <c r="P861" s="2174"/>
      <c r="Q861" s="836"/>
      <c r="R861" s="309"/>
      <c r="S861" s="309"/>
      <c r="T861" s="309"/>
      <c r="U861" s="309"/>
      <c r="V861" s="311"/>
      <c r="W861" s="311"/>
      <c r="X861" s="311"/>
      <c r="Y861" s="311"/>
      <c r="Z861" s="311"/>
      <c r="AA861" s="311"/>
      <c r="AB861" s="311"/>
      <c r="AC861" s="311"/>
      <c r="AD861" s="311"/>
      <c r="AE861" s="311"/>
      <c r="AF861" s="311"/>
      <c r="AG861" s="311"/>
      <c r="AH861" s="311"/>
      <c r="AI861" s="311"/>
      <c r="AJ861" s="311"/>
      <c r="AK861" s="311"/>
      <c r="AL861" s="311"/>
      <c r="AM861" s="311"/>
    </row>
    <row r="862" spans="1:39" ht="15.75" customHeight="1">
      <c r="A862" s="382"/>
      <c r="B862" s="311"/>
      <c r="C862" s="1647"/>
      <c r="D862" s="2173"/>
      <c r="E862" s="1586"/>
      <c r="F862" s="1954"/>
      <c r="G862" s="1846"/>
      <c r="H862" s="1586"/>
      <c r="I862" s="1647"/>
      <c r="J862" s="2187"/>
      <c r="K862" s="1647"/>
      <c r="L862" s="1647"/>
      <c r="M862" s="2174"/>
      <c r="N862" s="836"/>
      <c r="O862" s="836"/>
      <c r="P862" s="2174"/>
      <c r="Q862" s="836"/>
      <c r="R862" s="309"/>
      <c r="S862" s="309"/>
      <c r="T862" s="309"/>
      <c r="U862" s="309"/>
      <c r="V862" s="311"/>
      <c r="W862" s="311"/>
      <c r="X862" s="311"/>
      <c r="Y862" s="311"/>
      <c r="Z862" s="311"/>
      <c r="AA862" s="311"/>
      <c r="AB862" s="311"/>
      <c r="AC862" s="311"/>
      <c r="AD862" s="311"/>
      <c r="AE862" s="311"/>
      <c r="AF862" s="311"/>
      <c r="AG862" s="311"/>
      <c r="AH862" s="311"/>
      <c r="AI862" s="311"/>
      <c r="AJ862" s="311"/>
      <c r="AK862" s="311"/>
      <c r="AL862" s="311"/>
      <c r="AM862" s="311"/>
    </row>
    <row r="863" spans="1:39" ht="15.75" customHeight="1">
      <c r="A863" s="382"/>
      <c r="B863" s="311"/>
      <c r="C863" s="1647"/>
      <c r="D863" s="2173"/>
      <c r="E863" s="1586"/>
      <c r="F863" s="1954"/>
      <c r="G863" s="1846"/>
      <c r="H863" s="1586"/>
      <c r="I863" s="1647"/>
      <c r="J863" s="2187"/>
      <c r="K863" s="1647"/>
      <c r="L863" s="1647"/>
      <c r="M863" s="2174"/>
      <c r="N863" s="836"/>
      <c r="O863" s="836"/>
      <c r="P863" s="2174"/>
      <c r="Q863" s="836"/>
      <c r="R863" s="309"/>
      <c r="S863" s="309"/>
      <c r="T863" s="309"/>
      <c r="U863" s="309"/>
      <c r="V863" s="311"/>
      <c r="W863" s="311"/>
      <c r="X863" s="311"/>
      <c r="Y863" s="311"/>
      <c r="Z863" s="311"/>
      <c r="AA863" s="311"/>
      <c r="AB863" s="311"/>
      <c r="AC863" s="311"/>
      <c r="AD863" s="311"/>
      <c r="AE863" s="311"/>
      <c r="AF863" s="311"/>
      <c r="AG863" s="311"/>
      <c r="AH863" s="311"/>
      <c r="AI863" s="311"/>
      <c r="AJ863" s="311"/>
      <c r="AK863" s="311"/>
      <c r="AL863" s="311"/>
      <c r="AM863" s="311"/>
    </row>
    <row r="864" spans="1:39" ht="15.75" customHeight="1">
      <c r="A864" s="382"/>
      <c r="B864" s="311"/>
      <c r="C864" s="1647"/>
      <c r="D864" s="2173"/>
      <c r="E864" s="1586"/>
      <c r="F864" s="1954"/>
      <c r="G864" s="1846"/>
      <c r="H864" s="1586"/>
      <c r="I864" s="1647"/>
      <c r="J864" s="2187"/>
      <c r="K864" s="1647"/>
      <c r="L864" s="1647"/>
      <c r="M864" s="2174"/>
      <c r="N864" s="836"/>
      <c r="O864" s="836"/>
      <c r="P864" s="2174"/>
      <c r="Q864" s="836"/>
      <c r="R864" s="309"/>
      <c r="S864" s="309"/>
      <c r="T864" s="309"/>
      <c r="U864" s="309"/>
      <c r="V864" s="311"/>
      <c r="W864" s="311"/>
      <c r="X864" s="311"/>
      <c r="Y864" s="311"/>
      <c r="Z864" s="311"/>
      <c r="AA864" s="311"/>
      <c r="AB864" s="311"/>
      <c r="AC864" s="311"/>
      <c r="AD864" s="311"/>
      <c r="AE864" s="311"/>
      <c r="AF864" s="311"/>
      <c r="AG864" s="311"/>
      <c r="AH864" s="311"/>
      <c r="AI864" s="311"/>
      <c r="AJ864" s="311"/>
      <c r="AK864" s="311"/>
      <c r="AL864" s="311"/>
      <c r="AM864" s="311"/>
    </row>
    <row r="865" spans="1:39" ht="15.75" customHeight="1">
      <c r="A865" s="382"/>
      <c r="B865" s="311"/>
      <c r="C865" s="1647"/>
      <c r="D865" s="2173"/>
      <c r="E865" s="1586"/>
      <c r="F865" s="1954"/>
      <c r="G865" s="1846"/>
      <c r="H865" s="1586"/>
      <c r="I865" s="1647"/>
      <c r="J865" s="2187"/>
      <c r="K865" s="1647"/>
      <c r="L865" s="1647"/>
      <c r="M865" s="2174"/>
      <c r="N865" s="836"/>
      <c r="O865" s="836"/>
      <c r="P865" s="2174"/>
      <c r="Q865" s="836"/>
      <c r="R865" s="309"/>
      <c r="S865" s="309"/>
      <c r="T865" s="309"/>
      <c r="U865" s="309"/>
      <c r="V865" s="311"/>
      <c r="W865" s="311"/>
      <c r="X865" s="311"/>
      <c r="Y865" s="311"/>
      <c r="Z865" s="311"/>
      <c r="AA865" s="311"/>
      <c r="AB865" s="311"/>
      <c r="AC865" s="311"/>
      <c r="AD865" s="311"/>
      <c r="AE865" s="311"/>
      <c r="AF865" s="311"/>
      <c r="AG865" s="311"/>
      <c r="AH865" s="311"/>
      <c r="AI865" s="311"/>
      <c r="AJ865" s="311"/>
      <c r="AK865" s="311"/>
      <c r="AL865" s="311"/>
      <c r="AM865" s="311"/>
    </row>
    <row r="866" spans="1:39" ht="15.75" customHeight="1">
      <c r="A866" s="382"/>
      <c r="B866" s="311"/>
      <c r="C866" s="1647"/>
      <c r="D866" s="2173"/>
      <c r="E866" s="1586"/>
      <c r="F866" s="1954"/>
      <c r="G866" s="1846"/>
      <c r="H866" s="1586"/>
      <c r="I866" s="1647"/>
      <c r="J866" s="2187"/>
      <c r="K866" s="1647"/>
      <c r="L866" s="1647"/>
      <c r="M866" s="2174"/>
      <c r="N866" s="836"/>
      <c r="O866" s="836"/>
      <c r="P866" s="2174"/>
      <c r="Q866" s="836"/>
      <c r="R866" s="309"/>
      <c r="S866" s="309"/>
      <c r="T866" s="309"/>
      <c r="U866" s="309"/>
      <c r="V866" s="311"/>
      <c r="W866" s="311"/>
      <c r="X866" s="311"/>
      <c r="Y866" s="311"/>
      <c r="Z866" s="311"/>
      <c r="AA866" s="311"/>
      <c r="AB866" s="311"/>
      <c r="AC866" s="311"/>
      <c r="AD866" s="311"/>
      <c r="AE866" s="311"/>
      <c r="AF866" s="311"/>
      <c r="AG866" s="311"/>
      <c r="AH866" s="311"/>
      <c r="AI866" s="311"/>
      <c r="AJ866" s="311"/>
      <c r="AK866" s="311"/>
      <c r="AL866" s="311"/>
      <c r="AM866" s="311"/>
    </row>
    <row r="867" spans="1:39" ht="15.75" customHeight="1">
      <c r="A867" s="382"/>
      <c r="B867" s="311"/>
      <c r="C867" s="1647"/>
      <c r="D867" s="2173"/>
      <c r="E867" s="1586"/>
      <c r="F867" s="1954"/>
      <c r="G867" s="1846"/>
      <c r="H867" s="1586"/>
      <c r="I867" s="1647"/>
      <c r="J867" s="2187"/>
      <c r="K867" s="1647"/>
      <c r="L867" s="1647"/>
      <c r="M867" s="2174"/>
      <c r="N867" s="836"/>
      <c r="O867" s="836"/>
      <c r="P867" s="2174"/>
      <c r="Q867" s="836"/>
      <c r="R867" s="309"/>
      <c r="S867" s="309"/>
      <c r="T867" s="309"/>
      <c r="U867" s="309"/>
      <c r="V867" s="311"/>
      <c r="W867" s="311"/>
      <c r="X867" s="311"/>
      <c r="Y867" s="311"/>
      <c r="Z867" s="311"/>
      <c r="AA867" s="311"/>
      <c r="AB867" s="311"/>
      <c r="AC867" s="311"/>
      <c r="AD867" s="311"/>
      <c r="AE867" s="311"/>
      <c r="AF867" s="311"/>
      <c r="AG867" s="311"/>
      <c r="AH867" s="311"/>
      <c r="AI867" s="311"/>
      <c r="AJ867" s="311"/>
      <c r="AK867" s="311"/>
      <c r="AL867" s="311"/>
      <c r="AM867" s="311"/>
    </row>
    <row r="868" spans="1:39" ht="15.75" customHeight="1">
      <c r="A868" s="382"/>
      <c r="B868" s="311"/>
      <c r="C868" s="1647"/>
      <c r="D868" s="2173"/>
      <c r="E868" s="1586"/>
      <c r="F868" s="1954"/>
      <c r="G868" s="1846"/>
      <c r="H868" s="1586"/>
      <c r="I868" s="1647"/>
      <c r="J868" s="2187"/>
      <c r="K868" s="1647"/>
      <c r="L868" s="1647"/>
      <c r="M868" s="2174"/>
      <c r="N868" s="836"/>
      <c r="O868" s="836"/>
      <c r="P868" s="2174"/>
      <c r="Q868" s="836"/>
      <c r="R868" s="309"/>
      <c r="S868" s="309"/>
      <c r="T868" s="309"/>
      <c r="U868" s="309"/>
      <c r="V868" s="311"/>
      <c r="W868" s="311"/>
      <c r="X868" s="311"/>
      <c r="Y868" s="311"/>
      <c r="Z868" s="311"/>
      <c r="AA868" s="311"/>
      <c r="AB868" s="311"/>
      <c r="AC868" s="311"/>
      <c r="AD868" s="311"/>
      <c r="AE868" s="311"/>
      <c r="AF868" s="311"/>
      <c r="AG868" s="311"/>
      <c r="AH868" s="311"/>
      <c r="AI868" s="311"/>
      <c r="AJ868" s="311"/>
      <c r="AK868" s="311"/>
      <c r="AL868" s="311"/>
      <c r="AM868" s="311"/>
    </row>
    <row r="869" spans="1:39" ht="15.75" customHeight="1">
      <c r="A869" s="382"/>
      <c r="B869" s="311"/>
      <c r="C869" s="1647"/>
      <c r="D869" s="2173"/>
      <c r="E869" s="1586"/>
      <c r="F869" s="1954"/>
      <c r="G869" s="1846"/>
      <c r="H869" s="1586"/>
      <c r="I869" s="1647"/>
      <c r="J869" s="2187"/>
      <c r="K869" s="1647"/>
      <c r="L869" s="1647"/>
      <c r="M869" s="2174"/>
      <c r="N869" s="836"/>
      <c r="O869" s="836"/>
      <c r="P869" s="2174"/>
      <c r="Q869" s="836"/>
      <c r="R869" s="309"/>
      <c r="S869" s="309"/>
      <c r="T869" s="309"/>
      <c r="U869" s="309"/>
      <c r="V869" s="311"/>
      <c r="W869" s="311"/>
      <c r="X869" s="311"/>
      <c r="Y869" s="311"/>
      <c r="Z869" s="311"/>
      <c r="AA869" s="311"/>
      <c r="AB869" s="311"/>
      <c r="AC869" s="311"/>
      <c r="AD869" s="311"/>
      <c r="AE869" s="311"/>
      <c r="AF869" s="311"/>
      <c r="AG869" s="311"/>
      <c r="AH869" s="311"/>
      <c r="AI869" s="311"/>
      <c r="AJ869" s="311"/>
      <c r="AK869" s="311"/>
      <c r="AL869" s="311"/>
      <c r="AM869" s="311"/>
    </row>
    <row r="870" spans="1:39" ht="15.75" customHeight="1">
      <c r="A870" s="382"/>
      <c r="B870" s="311"/>
      <c r="C870" s="1647"/>
      <c r="D870" s="2173"/>
      <c r="E870" s="1586"/>
      <c r="F870" s="1954"/>
      <c r="G870" s="1846"/>
      <c r="H870" s="1586"/>
      <c r="I870" s="1647"/>
      <c r="J870" s="2187"/>
      <c r="K870" s="1647"/>
      <c r="L870" s="1647"/>
      <c r="M870" s="2174"/>
      <c r="N870" s="836"/>
      <c r="O870" s="836"/>
      <c r="P870" s="2174"/>
      <c r="Q870" s="836"/>
      <c r="R870" s="309"/>
      <c r="S870" s="309"/>
      <c r="T870" s="309"/>
      <c r="U870" s="309"/>
      <c r="V870" s="311"/>
      <c r="W870" s="311"/>
      <c r="X870" s="311"/>
      <c r="Y870" s="311"/>
      <c r="Z870" s="311"/>
      <c r="AA870" s="311"/>
      <c r="AB870" s="311"/>
      <c r="AC870" s="311"/>
      <c r="AD870" s="311"/>
      <c r="AE870" s="311"/>
      <c r="AF870" s="311"/>
      <c r="AG870" s="311"/>
      <c r="AH870" s="311"/>
      <c r="AI870" s="311"/>
      <c r="AJ870" s="311"/>
      <c r="AK870" s="311"/>
      <c r="AL870" s="311"/>
      <c r="AM870" s="311"/>
    </row>
    <row r="871" spans="1:39" ht="15.75" customHeight="1">
      <c r="A871" s="382"/>
      <c r="B871" s="311"/>
      <c r="C871" s="1647"/>
      <c r="D871" s="2173"/>
      <c r="E871" s="1586"/>
      <c r="F871" s="1954"/>
      <c r="G871" s="1846"/>
      <c r="H871" s="1586"/>
      <c r="I871" s="1647"/>
      <c r="J871" s="2187"/>
      <c r="K871" s="1647"/>
      <c r="L871" s="1647"/>
      <c r="M871" s="2174"/>
      <c r="N871" s="836"/>
      <c r="O871" s="836"/>
      <c r="P871" s="2174"/>
      <c r="Q871" s="836"/>
      <c r="R871" s="309"/>
      <c r="S871" s="309"/>
      <c r="T871" s="309"/>
      <c r="U871" s="309"/>
      <c r="V871" s="311"/>
      <c r="W871" s="311"/>
      <c r="X871" s="311"/>
      <c r="Y871" s="311"/>
      <c r="Z871" s="311"/>
      <c r="AA871" s="311"/>
      <c r="AB871" s="311"/>
      <c r="AC871" s="311"/>
      <c r="AD871" s="311"/>
      <c r="AE871" s="311"/>
      <c r="AF871" s="311"/>
      <c r="AG871" s="311"/>
      <c r="AH871" s="311"/>
      <c r="AI871" s="311"/>
      <c r="AJ871" s="311"/>
      <c r="AK871" s="311"/>
      <c r="AL871" s="311"/>
      <c r="AM871" s="311"/>
    </row>
    <row r="872" spans="1:39" ht="15.75" customHeight="1">
      <c r="A872" s="382"/>
      <c r="B872" s="311"/>
      <c r="C872" s="1647"/>
      <c r="D872" s="2173"/>
      <c r="E872" s="1586"/>
      <c r="F872" s="1954"/>
      <c r="G872" s="1846"/>
      <c r="H872" s="1586"/>
      <c r="I872" s="1647"/>
      <c r="J872" s="2187"/>
      <c r="K872" s="1647"/>
      <c r="L872" s="1647"/>
      <c r="M872" s="2174"/>
      <c r="N872" s="836"/>
      <c r="O872" s="836"/>
      <c r="P872" s="2174"/>
      <c r="Q872" s="836"/>
      <c r="R872" s="309"/>
      <c r="S872" s="309"/>
      <c r="T872" s="309"/>
      <c r="U872" s="309"/>
      <c r="V872" s="311"/>
      <c r="W872" s="311"/>
      <c r="X872" s="311"/>
      <c r="Y872" s="311"/>
      <c r="Z872" s="311"/>
      <c r="AA872" s="311"/>
      <c r="AB872" s="311"/>
      <c r="AC872" s="311"/>
      <c r="AD872" s="311"/>
      <c r="AE872" s="311"/>
      <c r="AF872" s="311"/>
      <c r="AG872" s="311"/>
      <c r="AH872" s="311"/>
      <c r="AI872" s="311"/>
      <c r="AJ872" s="311"/>
      <c r="AK872" s="311"/>
      <c r="AL872" s="311"/>
      <c r="AM872" s="311"/>
    </row>
    <row r="873" spans="1:39" ht="15.75" customHeight="1">
      <c r="A873" s="382"/>
      <c r="B873" s="311"/>
      <c r="C873" s="1647"/>
      <c r="D873" s="2173"/>
      <c r="E873" s="1586"/>
      <c r="F873" s="1954"/>
      <c r="G873" s="1846"/>
      <c r="H873" s="1586"/>
      <c r="I873" s="1647"/>
      <c r="J873" s="2187"/>
      <c r="K873" s="1647"/>
      <c r="L873" s="1647"/>
      <c r="M873" s="2174"/>
      <c r="N873" s="836"/>
      <c r="O873" s="836"/>
      <c r="P873" s="2174"/>
      <c r="Q873" s="836"/>
      <c r="R873" s="309"/>
      <c r="S873" s="309"/>
      <c r="T873" s="309"/>
      <c r="U873" s="309"/>
      <c r="V873" s="311"/>
      <c r="W873" s="311"/>
      <c r="X873" s="311"/>
      <c r="Y873" s="311"/>
      <c r="Z873" s="311"/>
      <c r="AA873" s="311"/>
      <c r="AB873" s="311"/>
      <c r="AC873" s="311"/>
      <c r="AD873" s="311"/>
      <c r="AE873" s="311"/>
      <c r="AF873" s="311"/>
      <c r="AG873" s="311"/>
      <c r="AH873" s="311"/>
      <c r="AI873" s="311"/>
      <c r="AJ873" s="311"/>
      <c r="AK873" s="311"/>
      <c r="AL873" s="311"/>
      <c r="AM873" s="311"/>
    </row>
    <row r="874" spans="1:39" ht="15.75" customHeight="1">
      <c r="A874" s="382"/>
      <c r="B874" s="311"/>
      <c r="C874" s="1647"/>
      <c r="D874" s="2173"/>
      <c r="E874" s="1586"/>
      <c r="F874" s="1954"/>
      <c r="G874" s="1846"/>
      <c r="H874" s="1586"/>
      <c r="I874" s="1647"/>
      <c r="J874" s="2187"/>
      <c r="K874" s="1647"/>
      <c r="L874" s="1647"/>
      <c r="M874" s="2174"/>
      <c r="N874" s="836"/>
      <c r="O874" s="836"/>
      <c r="P874" s="2174"/>
      <c r="Q874" s="836"/>
      <c r="R874" s="309"/>
      <c r="S874" s="309"/>
      <c r="T874" s="309"/>
      <c r="U874" s="309"/>
      <c r="V874" s="311"/>
      <c r="W874" s="311"/>
      <c r="X874" s="311"/>
      <c r="Y874" s="311"/>
      <c r="Z874" s="311"/>
      <c r="AA874" s="311"/>
      <c r="AB874" s="311"/>
      <c r="AC874" s="311"/>
      <c r="AD874" s="311"/>
      <c r="AE874" s="311"/>
      <c r="AF874" s="311"/>
      <c r="AG874" s="311"/>
      <c r="AH874" s="311"/>
      <c r="AI874" s="311"/>
      <c r="AJ874" s="311"/>
      <c r="AK874" s="311"/>
      <c r="AL874" s="311"/>
      <c r="AM874" s="311"/>
    </row>
    <row r="875" spans="1:39" ht="15.75" customHeight="1">
      <c r="A875" s="382"/>
      <c r="B875" s="311"/>
      <c r="C875" s="1647"/>
      <c r="D875" s="2173"/>
      <c r="E875" s="1586"/>
      <c r="F875" s="1954"/>
      <c r="G875" s="1846"/>
      <c r="H875" s="1586"/>
      <c r="I875" s="1647"/>
      <c r="J875" s="2187"/>
      <c r="K875" s="1647"/>
      <c r="L875" s="1647"/>
      <c r="M875" s="2174"/>
      <c r="N875" s="836"/>
      <c r="O875" s="836"/>
      <c r="P875" s="2174"/>
      <c r="Q875" s="836"/>
      <c r="R875" s="309"/>
      <c r="S875" s="309"/>
      <c r="T875" s="309"/>
      <c r="U875" s="309"/>
      <c r="V875" s="311"/>
      <c r="W875" s="311"/>
      <c r="X875" s="311"/>
      <c r="Y875" s="311"/>
      <c r="Z875" s="311"/>
      <c r="AA875" s="311"/>
      <c r="AB875" s="311"/>
      <c r="AC875" s="311"/>
      <c r="AD875" s="311"/>
      <c r="AE875" s="311"/>
      <c r="AF875" s="311"/>
      <c r="AG875" s="311"/>
      <c r="AH875" s="311"/>
      <c r="AI875" s="311"/>
      <c r="AJ875" s="311"/>
      <c r="AK875" s="311"/>
      <c r="AL875" s="311"/>
      <c r="AM875" s="311"/>
    </row>
    <row r="876" spans="1:39" ht="15.75" customHeight="1">
      <c r="A876" s="382"/>
      <c r="B876" s="311"/>
      <c r="C876" s="1647"/>
      <c r="D876" s="2173"/>
      <c r="E876" s="1586"/>
      <c r="F876" s="1954"/>
      <c r="G876" s="1846"/>
      <c r="H876" s="1586"/>
      <c r="I876" s="1647"/>
      <c r="J876" s="2187"/>
      <c r="K876" s="1647"/>
      <c r="L876" s="1647"/>
      <c r="M876" s="2174"/>
      <c r="N876" s="836"/>
      <c r="O876" s="836"/>
      <c r="P876" s="2174"/>
      <c r="Q876" s="836"/>
      <c r="R876" s="309"/>
      <c r="S876" s="309"/>
      <c r="T876" s="309"/>
      <c r="U876" s="309"/>
      <c r="V876" s="311"/>
      <c r="W876" s="311"/>
      <c r="X876" s="311"/>
      <c r="Y876" s="311"/>
      <c r="Z876" s="311"/>
      <c r="AA876" s="311"/>
      <c r="AB876" s="311"/>
      <c r="AC876" s="311"/>
      <c r="AD876" s="311"/>
      <c r="AE876" s="311"/>
      <c r="AF876" s="311"/>
      <c r="AG876" s="311"/>
      <c r="AH876" s="311"/>
      <c r="AI876" s="311"/>
      <c r="AJ876" s="311"/>
      <c r="AK876" s="311"/>
      <c r="AL876" s="311"/>
      <c r="AM876" s="311"/>
    </row>
    <row r="877" spans="1:39" ht="15.75" customHeight="1">
      <c r="A877" s="382"/>
      <c r="B877" s="311"/>
      <c r="C877" s="1647"/>
      <c r="D877" s="2173"/>
      <c r="E877" s="1586"/>
      <c r="F877" s="1954"/>
      <c r="G877" s="1846"/>
      <c r="H877" s="1586"/>
      <c r="I877" s="1647"/>
      <c r="J877" s="2187"/>
      <c r="K877" s="1647"/>
      <c r="L877" s="1647"/>
      <c r="M877" s="2174"/>
      <c r="N877" s="836"/>
      <c r="O877" s="836"/>
      <c r="P877" s="2174"/>
      <c r="Q877" s="836"/>
      <c r="R877" s="309"/>
      <c r="S877" s="309"/>
      <c r="T877" s="309"/>
      <c r="U877" s="309"/>
      <c r="V877" s="311"/>
      <c r="W877" s="311"/>
      <c r="X877" s="311"/>
      <c r="Y877" s="311"/>
      <c r="Z877" s="311"/>
      <c r="AA877" s="311"/>
      <c r="AB877" s="311"/>
      <c r="AC877" s="311"/>
      <c r="AD877" s="311"/>
      <c r="AE877" s="311"/>
      <c r="AF877" s="311"/>
      <c r="AG877" s="311"/>
      <c r="AH877" s="311"/>
      <c r="AI877" s="311"/>
      <c r="AJ877" s="311"/>
      <c r="AK877" s="311"/>
      <c r="AL877" s="311"/>
      <c r="AM877" s="311"/>
    </row>
    <row r="878" spans="1:39" ht="15.75" customHeight="1">
      <c r="A878" s="382"/>
      <c r="B878" s="311"/>
      <c r="C878" s="1647"/>
      <c r="D878" s="2173"/>
      <c r="E878" s="1586"/>
      <c r="F878" s="1954"/>
      <c r="G878" s="1846"/>
      <c r="H878" s="1586"/>
      <c r="I878" s="1647"/>
      <c r="J878" s="2187"/>
      <c r="K878" s="1647"/>
      <c r="L878" s="1647"/>
      <c r="M878" s="2174"/>
      <c r="N878" s="836"/>
      <c r="O878" s="836"/>
      <c r="P878" s="2174"/>
      <c r="Q878" s="836"/>
      <c r="R878" s="309"/>
      <c r="S878" s="309"/>
      <c r="T878" s="309"/>
      <c r="U878" s="309"/>
      <c r="V878" s="311"/>
      <c r="W878" s="311"/>
      <c r="X878" s="311"/>
      <c r="Y878" s="311"/>
      <c r="Z878" s="311"/>
      <c r="AA878" s="311"/>
      <c r="AB878" s="311"/>
      <c r="AC878" s="311"/>
      <c r="AD878" s="311"/>
      <c r="AE878" s="311"/>
      <c r="AF878" s="311"/>
      <c r="AG878" s="311"/>
      <c r="AH878" s="311"/>
      <c r="AI878" s="311"/>
      <c r="AJ878" s="311"/>
      <c r="AK878" s="311"/>
      <c r="AL878" s="311"/>
      <c r="AM878" s="311"/>
    </row>
    <row r="879" spans="1:39" ht="15.75" customHeight="1">
      <c r="A879" s="382"/>
      <c r="B879" s="311"/>
      <c r="C879" s="1647"/>
      <c r="D879" s="2173"/>
      <c r="E879" s="1586"/>
      <c r="F879" s="1954"/>
      <c r="G879" s="1846"/>
      <c r="H879" s="1586"/>
      <c r="I879" s="1647"/>
      <c r="J879" s="2187"/>
      <c r="K879" s="1647"/>
      <c r="L879" s="1647"/>
      <c r="M879" s="2174"/>
      <c r="N879" s="836"/>
      <c r="O879" s="836"/>
      <c r="P879" s="2174"/>
      <c r="Q879" s="836"/>
      <c r="R879" s="309"/>
      <c r="S879" s="309"/>
      <c r="T879" s="309"/>
      <c r="U879" s="309"/>
      <c r="V879" s="311"/>
      <c r="W879" s="311"/>
      <c r="X879" s="311"/>
      <c r="Y879" s="311"/>
      <c r="Z879" s="311"/>
      <c r="AA879" s="311"/>
      <c r="AB879" s="311"/>
      <c r="AC879" s="311"/>
      <c r="AD879" s="311"/>
      <c r="AE879" s="311"/>
      <c r="AF879" s="311"/>
      <c r="AG879" s="311"/>
      <c r="AH879" s="311"/>
      <c r="AI879" s="311"/>
      <c r="AJ879" s="311"/>
      <c r="AK879" s="311"/>
      <c r="AL879" s="311"/>
      <c r="AM879" s="311"/>
    </row>
    <row r="880" spans="1:39" ht="15.75" customHeight="1">
      <c r="A880" s="382"/>
      <c r="B880" s="311"/>
      <c r="C880" s="1647"/>
      <c r="D880" s="2173"/>
      <c r="E880" s="1586"/>
      <c r="F880" s="1954"/>
      <c r="G880" s="1846"/>
      <c r="H880" s="1586"/>
      <c r="I880" s="1647"/>
      <c r="J880" s="2187"/>
      <c r="K880" s="1647"/>
      <c r="L880" s="1647"/>
      <c r="M880" s="2174"/>
      <c r="N880" s="836"/>
      <c r="O880" s="836"/>
      <c r="P880" s="2174"/>
      <c r="Q880" s="836"/>
      <c r="R880" s="309"/>
      <c r="S880" s="309"/>
      <c r="T880" s="309"/>
      <c r="U880" s="309"/>
      <c r="V880" s="311"/>
      <c r="W880" s="311"/>
      <c r="X880" s="311"/>
      <c r="Y880" s="311"/>
      <c r="Z880" s="311"/>
      <c r="AA880" s="311"/>
      <c r="AB880" s="311"/>
      <c r="AC880" s="311"/>
      <c r="AD880" s="311"/>
      <c r="AE880" s="311"/>
      <c r="AF880" s="311"/>
      <c r="AG880" s="311"/>
      <c r="AH880" s="311"/>
      <c r="AI880" s="311"/>
      <c r="AJ880" s="311"/>
      <c r="AK880" s="311"/>
      <c r="AL880" s="311"/>
      <c r="AM880" s="311"/>
    </row>
    <row r="881" spans="1:39" ht="15.75" customHeight="1">
      <c r="A881" s="382"/>
      <c r="B881" s="311"/>
      <c r="C881" s="1647"/>
      <c r="D881" s="2173"/>
      <c r="E881" s="1586"/>
      <c r="F881" s="1954"/>
      <c r="G881" s="1846"/>
      <c r="H881" s="1586"/>
      <c r="I881" s="1647"/>
      <c r="J881" s="2187"/>
      <c r="K881" s="1647"/>
      <c r="L881" s="1647"/>
      <c r="M881" s="2174"/>
      <c r="N881" s="836"/>
      <c r="O881" s="836"/>
      <c r="P881" s="2174"/>
      <c r="Q881" s="836"/>
      <c r="R881" s="309"/>
      <c r="S881" s="309"/>
      <c r="T881" s="309"/>
      <c r="U881" s="309"/>
      <c r="V881" s="311"/>
      <c r="W881" s="311"/>
      <c r="X881" s="311"/>
      <c r="Y881" s="311"/>
      <c r="Z881" s="311"/>
      <c r="AA881" s="311"/>
      <c r="AB881" s="311"/>
      <c r="AC881" s="311"/>
      <c r="AD881" s="311"/>
      <c r="AE881" s="311"/>
      <c r="AF881" s="311"/>
      <c r="AG881" s="311"/>
      <c r="AH881" s="311"/>
      <c r="AI881" s="311"/>
      <c r="AJ881" s="311"/>
      <c r="AK881" s="311"/>
      <c r="AL881" s="311"/>
      <c r="AM881" s="311"/>
    </row>
    <row r="882" spans="1:39" ht="15.75" customHeight="1">
      <c r="A882" s="382"/>
      <c r="B882" s="311"/>
      <c r="C882" s="1647"/>
      <c r="D882" s="2173"/>
      <c r="E882" s="1586"/>
      <c r="F882" s="1954"/>
      <c r="G882" s="1846"/>
      <c r="H882" s="1586"/>
      <c r="I882" s="1647"/>
      <c r="J882" s="2187"/>
      <c r="K882" s="1647"/>
      <c r="L882" s="1647"/>
      <c r="M882" s="2174"/>
      <c r="N882" s="836"/>
      <c r="O882" s="836"/>
      <c r="P882" s="2174"/>
      <c r="Q882" s="836"/>
      <c r="R882" s="309"/>
      <c r="S882" s="309"/>
      <c r="T882" s="309"/>
      <c r="U882" s="309"/>
      <c r="V882" s="311"/>
      <c r="W882" s="311"/>
      <c r="X882" s="311"/>
      <c r="Y882" s="311"/>
      <c r="Z882" s="311"/>
      <c r="AA882" s="311"/>
      <c r="AB882" s="311"/>
      <c r="AC882" s="311"/>
      <c r="AD882" s="311"/>
      <c r="AE882" s="311"/>
      <c r="AF882" s="311"/>
      <c r="AG882" s="311"/>
      <c r="AH882" s="311"/>
      <c r="AI882" s="311"/>
      <c r="AJ882" s="311"/>
      <c r="AK882" s="311"/>
      <c r="AL882" s="311"/>
      <c r="AM882" s="311"/>
    </row>
    <row r="883" spans="1:39" ht="15.75" customHeight="1">
      <c r="A883" s="382"/>
      <c r="B883" s="311"/>
      <c r="C883" s="1647"/>
      <c r="D883" s="2173"/>
      <c r="E883" s="1586"/>
      <c r="F883" s="1954"/>
      <c r="G883" s="1846"/>
      <c r="H883" s="1586"/>
      <c r="I883" s="1647"/>
      <c r="J883" s="2187"/>
      <c r="K883" s="1647"/>
      <c r="L883" s="1647"/>
      <c r="M883" s="2174"/>
      <c r="N883" s="836"/>
      <c r="O883" s="836"/>
      <c r="P883" s="2174"/>
      <c r="Q883" s="836"/>
      <c r="R883" s="309"/>
      <c r="S883" s="309"/>
      <c r="T883" s="309"/>
      <c r="U883" s="309"/>
      <c r="V883" s="311"/>
      <c r="W883" s="311"/>
      <c r="X883" s="311"/>
      <c r="Y883" s="311"/>
      <c r="Z883" s="311"/>
      <c r="AA883" s="311"/>
      <c r="AB883" s="311"/>
      <c r="AC883" s="311"/>
      <c r="AD883" s="311"/>
      <c r="AE883" s="311"/>
      <c r="AF883" s="311"/>
      <c r="AG883" s="311"/>
      <c r="AH883" s="311"/>
      <c r="AI883" s="311"/>
      <c r="AJ883" s="311"/>
      <c r="AK883" s="311"/>
      <c r="AL883" s="311"/>
      <c r="AM883" s="311"/>
    </row>
    <row r="884" spans="1:39" ht="15.75" customHeight="1">
      <c r="A884" s="382"/>
      <c r="B884" s="311"/>
      <c r="C884" s="1647"/>
      <c r="D884" s="2173"/>
      <c r="E884" s="1586"/>
      <c r="F884" s="1954"/>
      <c r="G884" s="1846"/>
      <c r="H884" s="1586"/>
      <c r="I884" s="1647"/>
      <c r="J884" s="2187"/>
      <c r="K884" s="1647"/>
      <c r="L884" s="1647"/>
      <c r="M884" s="2174"/>
      <c r="N884" s="836"/>
      <c r="O884" s="836"/>
      <c r="P884" s="2174"/>
      <c r="Q884" s="836"/>
      <c r="R884" s="309"/>
      <c r="S884" s="309"/>
      <c r="T884" s="309"/>
      <c r="U884" s="309"/>
      <c r="V884" s="311"/>
      <c r="W884" s="311"/>
      <c r="X884" s="311"/>
      <c r="Y884" s="311"/>
      <c r="Z884" s="311"/>
      <c r="AA884" s="311"/>
      <c r="AB884" s="311"/>
      <c r="AC884" s="311"/>
      <c r="AD884" s="311"/>
      <c r="AE884" s="311"/>
      <c r="AF884" s="311"/>
      <c r="AG884" s="311"/>
      <c r="AH884" s="311"/>
      <c r="AI884" s="311"/>
      <c r="AJ884" s="311"/>
      <c r="AK884" s="311"/>
      <c r="AL884" s="311"/>
      <c r="AM884" s="311"/>
    </row>
    <row r="885" spans="1:39" ht="15.75" customHeight="1">
      <c r="A885" s="382"/>
      <c r="B885" s="311"/>
      <c r="C885" s="1647"/>
      <c r="D885" s="2173"/>
      <c r="E885" s="1586"/>
      <c r="F885" s="1954"/>
      <c r="G885" s="1846"/>
      <c r="H885" s="1586"/>
      <c r="I885" s="1647"/>
      <c r="J885" s="2187"/>
      <c r="K885" s="1647"/>
      <c r="L885" s="1647"/>
      <c r="M885" s="2174"/>
      <c r="N885" s="836"/>
      <c r="O885" s="836"/>
      <c r="P885" s="2174"/>
      <c r="Q885" s="836"/>
      <c r="R885" s="309"/>
      <c r="S885" s="309"/>
      <c r="T885" s="309"/>
      <c r="U885" s="309"/>
      <c r="V885" s="311"/>
      <c r="W885" s="311"/>
      <c r="X885" s="311"/>
      <c r="Y885" s="311"/>
      <c r="Z885" s="311"/>
      <c r="AA885" s="311"/>
      <c r="AB885" s="311"/>
      <c r="AC885" s="311"/>
      <c r="AD885" s="311"/>
      <c r="AE885" s="311"/>
      <c r="AF885" s="311"/>
      <c r="AG885" s="311"/>
      <c r="AH885" s="311"/>
      <c r="AI885" s="311"/>
      <c r="AJ885" s="311"/>
      <c r="AK885" s="311"/>
      <c r="AL885" s="311"/>
      <c r="AM885" s="311"/>
    </row>
    <row r="886" spans="1:39" ht="15.75" customHeight="1">
      <c r="A886" s="382"/>
      <c r="B886" s="311"/>
      <c r="C886" s="1647"/>
      <c r="D886" s="2173"/>
      <c r="E886" s="1586"/>
      <c r="F886" s="1954"/>
      <c r="G886" s="1846"/>
      <c r="H886" s="1586"/>
      <c r="I886" s="1647"/>
      <c r="J886" s="2187"/>
      <c r="K886" s="1647"/>
      <c r="L886" s="1647"/>
      <c r="M886" s="2174"/>
      <c r="N886" s="836"/>
      <c r="O886" s="836"/>
      <c r="P886" s="2174"/>
      <c r="Q886" s="836"/>
      <c r="R886" s="309"/>
      <c r="S886" s="309"/>
      <c r="T886" s="309"/>
      <c r="U886" s="309"/>
      <c r="V886" s="311"/>
      <c r="W886" s="311"/>
      <c r="X886" s="311"/>
      <c r="Y886" s="311"/>
      <c r="Z886" s="311"/>
      <c r="AA886" s="311"/>
      <c r="AB886" s="311"/>
      <c r="AC886" s="311"/>
      <c r="AD886" s="311"/>
      <c r="AE886" s="311"/>
      <c r="AF886" s="311"/>
      <c r="AG886" s="311"/>
      <c r="AH886" s="311"/>
      <c r="AI886" s="311"/>
      <c r="AJ886" s="311"/>
      <c r="AK886" s="311"/>
      <c r="AL886" s="311"/>
      <c r="AM886" s="311"/>
    </row>
    <row r="887" spans="1:39" ht="15.75" customHeight="1">
      <c r="A887" s="382"/>
      <c r="B887" s="311"/>
      <c r="C887" s="1647"/>
      <c r="D887" s="2173"/>
      <c r="E887" s="1586"/>
      <c r="F887" s="1954"/>
      <c r="G887" s="1846"/>
      <c r="H887" s="1586"/>
      <c r="I887" s="1647"/>
      <c r="J887" s="2187"/>
      <c r="K887" s="1647"/>
      <c r="L887" s="1647"/>
      <c r="M887" s="2174"/>
      <c r="N887" s="836"/>
      <c r="O887" s="836"/>
      <c r="P887" s="2174"/>
      <c r="Q887" s="836"/>
      <c r="R887" s="309"/>
      <c r="S887" s="309"/>
      <c r="T887" s="309"/>
      <c r="U887" s="309"/>
      <c r="V887" s="311"/>
      <c r="W887" s="311"/>
      <c r="X887" s="311"/>
      <c r="Y887" s="311"/>
      <c r="Z887" s="311"/>
      <c r="AA887" s="311"/>
      <c r="AB887" s="311"/>
      <c r="AC887" s="311"/>
      <c r="AD887" s="311"/>
      <c r="AE887" s="311"/>
      <c r="AF887" s="311"/>
      <c r="AG887" s="311"/>
      <c r="AH887" s="311"/>
      <c r="AI887" s="311"/>
      <c r="AJ887" s="311"/>
      <c r="AK887" s="311"/>
      <c r="AL887" s="311"/>
      <c r="AM887" s="311"/>
    </row>
    <row r="888" spans="1:39" ht="15.75" customHeight="1">
      <c r="A888" s="382"/>
      <c r="B888" s="311"/>
      <c r="C888" s="1647"/>
      <c r="D888" s="2173"/>
      <c r="E888" s="1586"/>
      <c r="F888" s="1954"/>
      <c r="G888" s="1846"/>
      <c r="H888" s="1586"/>
      <c r="I888" s="1647"/>
      <c r="J888" s="2187"/>
      <c r="K888" s="1647"/>
      <c r="L888" s="1647"/>
      <c r="M888" s="2174"/>
      <c r="N888" s="836"/>
      <c r="O888" s="836"/>
      <c r="P888" s="2174"/>
      <c r="Q888" s="836"/>
      <c r="R888" s="309"/>
      <c r="S888" s="309"/>
      <c r="T888" s="309"/>
      <c r="U888" s="309"/>
      <c r="V888" s="311"/>
      <c r="W888" s="311"/>
      <c r="X888" s="311"/>
      <c r="Y888" s="311"/>
      <c r="Z888" s="311"/>
      <c r="AA888" s="311"/>
      <c r="AB888" s="311"/>
      <c r="AC888" s="311"/>
      <c r="AD888" s="311"/>
      <c r="AE888" s="311"/>
      <c r="AF888" s="311"/>
      <c r="AG888" s="311"/>
      <c r="AH888" s="311"/>
      <c r="AI888" s="311"/>
      <c r="AJ888" s="311"/>
      <c r="AK888" s="311"/>
      <c r="AL888" s="311"/>
      <c r="AM888" s="311"/>
    </row>
    <row r="889" spans="1:39" ht="15.75" customHeight="1">
      <c r="A889" s="382"/>
      <c r="B889" s="311"/>
      <c r="C889" s="1647"/>
      <c r="D889" s="2173"/>
      <c r="E889" s="1586"/>
      <c r="F889" s="1954"/>
      <c r="G889" s="1846"/>
      <c r="H889" s="1586"/>
      <c r="I889" s="1647"/>
      <c r="J889" s="2187"/>
      <c r="K889" s="1647"/>
      <c r="L889" s="1647"/>
      <c r="M889" s="2174"/>
      <c r="N889" s="836"/>
      <c r="O889" s="836"/>
      <c r="P889" s="2174"/>
      <c r="Q889" s="836"/>
      <c r="R889" s="309"/>
      <c r="S889" s="309"/>
      <c r="T889" s="309"/>
      <c r="U889" s="309"/>
      <c r="V889" s="311"/>
      <c r="W889" s="311"/>
      <c r="X889" s="311"/>
      <c r="Y889" s="311"/>
      <c r="Z889" s="311"/>
      <c r="AA889" s="311"/>
      <c r="AB889" s="311"/>
      <c r="AC889" s="311"/>
      <c r="AD889" s="311"/>
      <c r="AE889" s="311"/>
      <c r="AF889" s="311"/>
      <c r="AG889" s="311"/>
      <c r="AH889" s="311"/>
      <c r="AI889" s="311"/>
      <c r="AJ889" s="311"/>
      <c r="AK889" s="311"/>
      <c r="AL889" s="311"/>
      <c r="AM889" s="311"/>
    </row>
    <row r="890" spans="1:39" ht="15.75" customHeight="1">
      <c r="A890" s="382"/>
      <c r="B890" s="311"/>
      <c r="C890" s="1647"/>
      <c r="D890" s="2173"/>
      <c r="E890" s="1586"/>
      <c r="F890" s="1954"/>
      <c r="G890" s="1846"/>
      <c r="H890" s="1586"/>
      <c r="I890" s="1647"/>
      <c r="J890" s="2187"/>
      <c r="K890" s="1647"/>
      <c r="L890" s="1647"/>
      <c r="M890" s="2174"/>
      <c r="N890" s="836"/>
      <c r="O890" s="836"/>
      <c r="P890" s="2174"/>
      <c r="Q890" s="836"/>
      <c r="R890" s="309"/>
      <c r="S890" s="309"/>
      <c r="T890" s="309"/>
      <c r="U890" s="309"/>
      <c r="V890" s="311"/>
      <c r="W890" s="311"/>
      <c r="X890" s="311"/>
      <c r="Y890" s="311"/>
      <c r="Z890" s="311"/>
      <c r="AA890" s="311"/>
      <c r="AB890" s="311"/>
      <c r="AC890" s="311"/>
      <c r="AD890" s="311"/>
      <c r="AE890" s="311"/>
      <c r="AF890" s="311"/>
      <c r="AG890" s="311"/>
      <c r="AH890" s="311"/>
      <c r="AI890" s="311"/>
      <c r="AJ890" s="311"/>
      <c r="AK890" s="311"/>
      <c r="AL890" s="311"/>
      <c r="AM890" s="311"/>
    </row>
    <row r="891" spans="1:39" ht="15.75" customHeight="1">
      <c r="A891" s="382"/>
      <c r="B891" s="311"/>
      <c r="C891" s="1647"/>
      <c r="D891" s="2173"/>
      <c r="E891" s="1586"/>
      <c r="F891" s="1954"/>
      <c r="G891" s="1846"/>
      <c r="H891" s="1586"/>
      <c r="I891" s="1647"/>
      <c r="J891" s="2187"/>
      <c r="K891" s="1647"/>
      <c r="L891" s="1647"/>
      <c r="M891" s="2174"/>
      <c r="N891" s="836"/>
      <c r="O891" s="836"/>
      <c r="P891" s="2174"/>
      <c r="Q891" s="836"/>
      <c r="R891" s="309"/>
      <c r="S891" s="309"/>
      <c r="T891" s="309"/>
      <c r="U891" s="309"/>
      <c r="V891" s="311"/>
      <c r="W891" s="311"/>
      <c r="X891" s="311"/>
      <c r="Y891" s="311"/>
      <c r="Z891" s="311"/>
      <c r="AA891" s="311"/>
      <c r="AB891" s="311"/>
      <c r="AC891" s="311"/>
      <c r="AD891" s="311"/>
      <c r="AE891" s="311"/>
      <c r="AF891" s="311"/>
      <c r="AG891" s="311"/>
      <c r="AH891" s="311"/>
      <c r="AI891" s="311"/>
      <c r="AJ891" s="311"/>
      <c r="AK891" s="311"/>
      <c r="AL891" s="311"/>
      <c r="AM891" s="311"/>
    </row>
    <row r="892" spans="1:39" ht="15.75" customHeight="1">
      <c r="A892" s="382"/>
      <c r="B892" s="311"/>
      <c r="C892" s="1647"/>
      <c r="D892" s="2173"/>
      <c r="E892" s="1586"/>
      <c r="F892" s="1954"/>
      <c r="G892" s="1846"/>
      <c r="H892" s="1586"/>
      <c r="I892" s="1647"/>
      <c r="J892" s="2187"/>
      <c r="K892" s="1647"/>
      <c r="L892" s="1647"/>
      <c r="M892" s="2174"/>
      <c r="N892" s="836"/>
      <c r="O892" s="836"/>
      <c r="P892" s="2174"/>
      <c r="Q892" s="836"/>
      <c r="R892" s="309"/>
      <c r="S892" s="309"/>
      <c r="T892" s="309"/>
      <c r="U892" s="309"/>
      <c r="V892" s="311"/>
      <c r="W892" s="311"/>
      <c r="X892" s="311"/>
      <c r="Y892" s="311"/>
      <c r="Z892" s="311"/>
      <c r="AA892" s="311"/>
      <c r="AB892" s="311"/>
      <c r="AC892" s="311"/>
      <c r="AD892" s="311"/>
      <c r="AE892" s="311"/>
      <c r="AF892" s="311"/>
      <c r="AG892" s="311"/>
      <c r="AH892" s="311"/>
      <c r="AI892" s="311"/>
      <c r="AJ892" s="311"/>
      <c r="AK892" s="311"/>
      <c r="AL892" s="311"/>
      <c r="AM892" s="311"/>
    </row>
    <row r="893" spans="1:39" ht="15.75" customHeight="1">
      <c r="A893" s="382"/>
      <c r="B893" s="311"/>
      <c r="C893" s="1647"/>
      <c r="D893" s="2173"/>
      <c r="E893" s="1586"/>
      <c r="F893" s="1954"/>
      <c r="G893" s="1846"/>
      <c r="H893" s="1586"/>
      <c r="I893" s="1647"/>
      <c r="J893" s="2187"/>
      <c r="K893" s="1647"/>
      <c r="L893" s="1647"/>
      <c r="M893" s="2174"/>
      <c r="N893" s="836"/>
      <c r="O893" s="836"/>
      <c r="P893" s="2174"/>
      <c r="Q893" s="836"/>
      <c r="R893" s="309"/>
      <c r="S893" s="309"/>
      <c r="T893" s="309"/>
      <c r="U893" s="309"/>
      <c r="V893" s="311"/>
      <c r="W893" s="311"/>
      <c r="X893" s="311"/>
      <c r="Y893" s="311"/>
      <c r="Z893" s="311"/>
      <c r="AA893" s="311"/>
      <c r="AB893" s="311"/>
      <c r="AC893" s="311"/>
      <c r="AD893" s="311"/>
      <c r="AE893" s="311"/>
      <c r="AF893" s="311"/>
      <c r="AG893" s="311"/>
      <c r="AH893" s="311"/>
      <c r="AI893" s="311"/>
      <c r="AJ893" s="311"/>
      <c r="AK893" s="311"/>
      <c r="AL893" s="311"/>
      <c r="AM893" s="311"/>
    </row>
    <row r="894" spans="1:39" ht="15.75" customHeight="1">
      <c r="A894" s="382"/>
      <c r="B894" s="311"/>
      <c r="C894" s="1647"/>
      <c r="D894" s="2173"/>
      <c r="E894" s="1586"/>
      <c r="F894" s="1954"/>
      <c r="G894" s="1846"/>
      <c r="H894" s="1586"/>
      <c r="I894" s="1647"/>
      <c r="J894" s="2187"/>
      <c r="K894" s="1647"/>
      <c r="L894" s="1647"/>
      <c r="M894" s="2174"/>
      <c r="N894" s="836"/>
      <c r="O894" s="836"/>
      <c r="P894" s="2174"/>
      <c r="Q894" s="836"/>
      <c r="R894" s="309"/>
      <c r="S894" s="309"/>
      <c r="T894" s="309"/>
      <c r="U894" s="309"/>
      <c r="V894" s="311"/>
      <c r="W894" s="311"/>
      <c r="X894" s="311"/>
      <c r="Y894" s="311"/>
      <c r="Z894" s="311"/>
      <c r="AA894" s="311"/>
      <c r="AB894" s="311"/>
      <c r="AC894" s="311"/>
      <c r="AD894" s="311"/>
      <c r="AE894" s="311"/>
      <c r="AF894" s="311"/>
      <c r="AG894" s="311"/>
      <c r="AH894" s="311"/>
      <c r="AI894" s="311"/>
      <c r="AJ894" s="311"/>
      <c r="AK894" s="311"/>
      <c r="AL894" s="311"/>
      <c r="AM894" s="311"/>
    </row>
    <row r="895" spans="1:39" ht="15.75" customHeight="1">
      <c r="A895" s="382"/>
      <c r="B895" s="311"/>
      <c r="C895" s="1647"/>
      <c r="D895" s="2173"/>
      <c r="E895" s="1586"/>
      <c r="F895" s="1954"/>
      <c r="G895" s="1846"/>
      <c r="H895" s="1586"/>
      <c r="I895" s="1647"/>
      <c r="J895" s="2187"/>
      <c r="K895" s="1647"/>
      <c r="L895" s="1647"/>
      <c r="M895" s="2174"/>
      <c r="N895" s="836"/>
      <c r="O895" s="836"/>
      <c r="P895" s="2174"/>
      <c r="Q895" s="836"/>
      <c r="R895" s="309"/>
      <c r="S895" s="309"/>
      <c r="T895" s="309"/>
      <c r="U895" s="309"/>
      <c r="V895" s="311"/>
      <c r="W895" s="311"/>
      <c r="X895" s="311"/>
      <c r="Y895" s="311"/>
      <c r="Z895" s="311"/>
      <c r="AA895" s="311"/>
      <c r="AB895" s="311"/>
      <c r="AC895" s="311"/>
      <c r="AD895" s="311"/>
      <c r="AE895" s="311"/>
      <c r="AF895" s="311"/>
      <c r="AG895" s="311"/>
      <c r="AH895" s="311"/>
      <c r="AI895" s="311"/>
      <c r="AJ895" s="311"/>
      <c r="AK895" s="311"/>
      <c r="AL895" s="311"/>
      <c r="AM895" s="311"/>
    </row>
    <row r="896" spans="1:39" ht="15.75" customHeight="1">
      <c r="A896" s="382"/>
      <c r="B896" s="311"/>
      <c r="C896" s="1647"/>
      <c r="D896" s="2173"/>
      <c r="E896" s="1586"/>
      <c r="F896" s="1954"/>
      <c r="G896" s="1846"/>
      <c r="H896" s="1586"/>
      <c r="I896" s="1647"/>
      <c r="J896" s="2187"/>
      <c r="K896" s="1647"/>
      <c r="L896" s="1647"/>
      <c r="M896" s="2174"/>
      <c r="N896" s="836"/>
      <c r="O896" s="836"/>
      <c r="P896" s="2174"/>
      <c r="Q896" s="836"/>
      <c r="R896" s="309"/>
      <c r="S896" s="309"/>
      <c r="T896" s="309"/>
      <c r="U896" s="309"/>
      <c r="V896" s="311"/>
      <c r="W896" s="311"/>
      <c r="X896" s="311"/>
      <c r="Y896" s="311"/>
      <c r="Z896" s="311"/>
      <c r="AA896" s="311"/>
      <c r="AB896" s="311"/>
      <c r="AC896" s="311"/>
      <c r="AD896" s="311"/>
      <c r="AE896" s="311"/>
      <c r="AF896" s="311"/>
      <c r="AG896" s="311"/>
      <c r="AH896" s="311"/>
      <c r="AI896" s="311"/>
      <c r="AJ896" s="311"/>
      <c r="AK896" s="311"/>
      <c r="AL896" s="311"/>
      <c r="AM896" s="311"/>
    </row>
    <row r="897" spans="1:39" ht="15.75" customHeight="1">
      <c r="A897" s="382"/>
      <c r="B897" s="311"/>
      <c r="C897" s="1647"/>
      <c r="D897" s="2173"/>
      <c r="E897" s="1586"/>
      <c r="F897" s="1954"/>
      <c r="G897" s="1846"/>
      <c r="H897" s="1586"/>
      <c r="I897" s="1647"/>
      <c r="J897" s="2187"/>
      <c r="K897" s="1647"/>
      <c r="L897" s="1647"/>
      <c r="M897" s="2174"/>
      <c r="N897" s="836"/>
      <c r="O897" s="836"/>
      <c r="P897" s="2174"/>
      <c r="Q897" s="836"/>
      <c r="R897" s="309"/>
      <c r="S897" s="309"/>
      <c r="T897" s="309"/>
      <c r="U897" s="309"/>
      <c r="V897" s="311"/>
      <c r="W897" s="311"/>
      <c r="X897" s="311"/>
      <c r="Y897" s="311"/>
      <c r="Z897" s="311"/>
      <c r="AA897" s="311"/>
      <c r="AB897" s="311"/>
      <c r="AC897" s="311"/>
      <c r="AD897" s="311"/>
      <c r="AE897" s="311"/>
      <c r="AF897" s="311"/>
      <c r="AG897" s="311"/>
      <c r="AH897" s="311"/>
      <c r="AI897" s="311"/>
      <c r="AJ897" s="311"/>
      <c r="AK897" s="311"/>
      <c r="AL897" s="311"/>
      <c r="AM897" s="311"/>
    </row>
    <row r="898" spans="1:39" ht="15.75" customHeight="1">
      <c r="A898" s="382"/>
      <c r="B898" s="311"/>
      <c r="C898" s="1647"/>
      <c r="D898" s="2173"/>
      <c r="E898" s="1586"/>
      <c r="F898" s="1954"/>
      <c r="G898" s="1846"/>
      <c r="H898" s="1586"/>
      <c r="I898" s="1647"/>
      <c r="J898" s="2187"/>
      <c r="K898" s="1647"/>
      <c r="L898" s="1647"/>
      <c r="M898" s="2174"/>
      <c r="N898" s="836"/>
      <c r="O898" s="836"/>
      <c r="P898" s="2174"/>
      <c r="Q898" s="836"/>
      <c r="R898" s="309"/>
      <c r="S898" s="309"/>
      <c r="T898" s="309"/>
      <c r="U898" s="309"/>
      <c r="V898" s="311"/>
      <c r="W898" s="311"/>
      <c r="X898" s="311"/>
      <c r="Y898" s="311"/>
      <c r="Z898" s="311"/>
      <c r="AA898" s="311"/>
      <c r="AB898" s="311"/>
      <c r="AC898" s="311"/>
      <c r="AD898" s="311"/>
      <c r="AE898" s="311"/>
      <c r="AF898" s="311"/>
      <c r="AG898" s="311"/>
      <c r="AH898" s="311"/>
      <c r="AI898" s="311"/>
      <c r="AJ898" s="311"/>
      <c r="AK898" s="311"/>
      <c r="AL898" s="311"/>
      <c r="AM898" s="311"/>
    </row>
    <row r="899" spans="1:39" ht="15.75" customHeight="1">
      <c r="A899" s="382"/>
      <c r="B899" s="311"/>
      <c r="C899" s="1647"/>
      <c r="D899" s="2173"/>
      <c r="E899" s="1586"/>
      <c r="F899" s="1954"/>
      <c r="G899" s="1846"/>
      <c r="H899" s="1586"/>
      <c r="I899" s="1647"/>
      <c r="J899" s="2187"/>
      <c r="K899" s="1647"/>
      <c r="L899" s="1647"/>
      <c r="M899" s="2174"/>
      <c r="N899" s="836"/>
      <c r="O899" s="836"/>
      <c r="P899" s="2174"/>
      <c r="Q899" s="836"/>
      <c r="R899" s="309"/>
      <c r="S899" s="309"/>
      <c r="T899" s="309"/>
      <c r="U899" s="309"/>
      <c r="V899" s="311"/>
      <c r="W899" s="311"/>
      <c r="X899" s="311"/>
      <c r="Y899" s="311"/>
      <c r="Z899" s="311"/>
      <c r="AA899" s="311"/>
      <c r="AB899" s="311"/>
      <c r="AC899" s="311"/>
      <c r="AD899" s="311"/>
      <c r="AE899" s="311"/>
      <c r="AF899" s="311"/>
      <c r="AG899" s="311"/>
      <c r="AH899" s="311"/>
      <c r="AI899" s="311"/>
      <c r="AJ899" s="311"/>
      <c r="AK899" s="311"/>
      <c r="AL899" s="311"/>
      <c r="AM899" s="311"/>
    </row>
    <row r="900" spans="1:39" ht="15.75" customHeight="1">
      <c r="A900" s="382"/>
      <c r="B900" s="311"/>
      <c r="C900" s="1647"/>
      <c r="D900" s="2173"/>
      <c r="E900" s="1586"/>
      <c r="F900" s="1954"/>
      <c r="G900" s="1846"/>
      <c r="H900" s="1586"/>
      <c r="I900" s="1647"/>
      <c r="J900" s="2187"/>
      <c r="K900" s="1647"/>
      <c r="L900" s="1647"/>
      <c r="M900" s="2174"/>
      <c r="N900" s="836"/>
      <c r="O900" s="836"/>
      <c r="P900" s="2174"/>
      <c r="Q900" s="836"/>
      <c r="R900" s="309"/>
      <c r="S900" s="309"/>
      <c r="T900" s="309"/>
      <c r="U900" s="309"/>
      <c r="V900" s="311"/>
      <c r="W900" s="311"/>
      <c r="X900" s="311"/>
      <c r="Y900" s="311"/>
      <c r="Z900" s="311"/>
      <c r="AA900" s="311"/>
      <c r="AB900" s="311"/>
      <c r="AC900" s="311"/>
      <c r="AD900" s="311"/>
      <c r="AE900" s="311"/>
      <c r="AF900" s="311"/>
      <c r="AG900" s="311"/>
      <c r="AH900" s="311"/>
      <c r="AI900" s="311"/>
      <c r="AJ900" s="311"/>
      <c r="AK900" s="311"/>
      <c r="AL900" s="311"/>
      <c r="AM900" s="311"/>
    </row>
    <row r="901" spans="1:39" ht="15.75" customHeight="1">
      <c r="A901" s="382"/>
      <c r="B901" s="311"/>
      <c r="C901" s="1647"/>
      <c r="D901" s="2173"/>
      <c r="E901" s="1586"/>
      <c r="F901" s="1954"/>
      <c r="G901" s="1846"/>
      <c r="H901" s="1586"/>
      <c r="I901" s="1647"/>
      <c r="J901" s="2187"/>
      <c r="K901" s="1647"/>
      <c r="L901" s="1647"/>
      <c r="M901" s="2174"/>
      <c r="N901" s="836"/>
      <c r="O901" s="836"/>
      <c r="P901" s="2174"/>
      <c r="Q901" s="836"/>
      <c r="R901" s="309"/>
      <c r="S901" s="309"/>
      <c r="T901" s="309"/>
      <c r="U901" s="309"/>
      <c r="V901" s="311"/>
      <c r="W901" s="311"/>
      <c r="X901" s="311"/>
      <c r="Y901" s="311"/>
      <c r="Z901" s="311"/>
      <c r="AA901" s="311"/>
      <c r="AB901" s="311"/>
      <c r="AC901" s="311"/>
      <c r="AD901" s="311"/>
      <c r="AE901" s="311"/>
      <c r="AF901" s="311"/>
      <c r="AG901" s="311"/>
      <c r="AH901" s="311"/>
      <c r="AI901" s="311"/>
      <c r="AJ901" s="311"/>
      <c r="AK901" s="311"/>
      <c r="AL901" s="311"/>
      <c r="AM901" s="311"/>
    </row>
    <row r="902" spans="1:39" ht="15.75" customHeight="1">
      <c r="A902" s="382"/>
      <c r="B902" s="311"/>
      <c r="C902" s="1647"/>
      <c r="D902" s="2173"/>
      <c r="E902" s="1586"/>
      <c r="F902" s="1954"/>
      <c r="G902" s="1846"/>
      <c r="H902" s="1586"/>
      <c r="I902" s="1647"/>
      <c r="J902" s="2187"/>
      <c r="K902" s="1647"/>
      <c r="L902" s="1647"/>
      <c r="M902" s="2174"/>
      <c r="N902" s="836"/>
      <c r="O902" s="836"/>
      <c r="P902" s="2174"/>
      <c r="Q902" s="836"/>
      <c r="R902" s="309"/>
      <c r="S902" s="309"/>
      <c r="T902" s="309"/>
      <c r="U902" s="309"/>
      <c r="V902" s="311"/>
      <c r="W902" s="311"/>
      <c r="X902" s="311"/>
      <c r="Y902" s="311"/>
      <c r="Z902" s="311"/>
      <c r="AA902" s="311"/>
      <c r="AB902" s="311"/>
      <c r="AC902" s="311"/>
      <c r="AD902" s="311"/>
      <c r="AE902" s="311"/>
      <c r="AF902" s="311"/>
      <c r="AG902" s="311"/>
      <c r="AH902" s="311"/>
      <c r="AI902" s="311"/>
      <c r="AJ902" s="311"/>
      <c r="AK902" s="311"/>
      <c r="AL902" s="311"/>
      <c r="AM902" s="311"/>
    </row>
    <row r="903" spans="1:39" ht="15.75" customHeight="1">
      <c r="A903" s="382"/>
      <c r="B903" s="311"/>
      <c r="C903" s="1647"/>
      <c r="D903" s="2173"/>
      <c r="E903" s="1586"/>
      <c r="F903" s="1954"/>
      <c r="G903" s="1846"/>
      <c r="H903" s="1586"/>
      <c r="I903" s="1647"/>
      <c r="J903" s="2187"/>
      <c r="K903" s="1647"/>
      <c r="L903" s="1647"/>
      <c r="M903" s="2174"/>
      <c r="N903" s="836"/>
      <c r="O903" s="836"/>
      <c r="P903" s="2174"/>
      <c r="Q903" s="836"/>
      <c r="R903" s="309"/>
      <c r="S903" s="309"/>
      <c r="T903" s="309"/>
      <c r="U903" s="309"/>
      <c r="V903" s="311"/>
      <c r="W903" s="311"/>
      <c r="X903" s="311"/>
      <c r="Y903" s="311"/>
      <c r="Z903" s="311"/>
      <c r="AA903" s="311"/>
      <c r="AB903" s="311"/>
      <c r="AC903" s="311"/>
      <c r="AD903" s="311"/>
      <c r="AE903" s="311"/>
      <c r="AF903" s="311"/>
      <c r="AG903" s="311"/>
      <c r="AH903" s="311"/>
      <c r="AI903" s="311"/>
      <c r="AJ903" s="311"/>
      <c r="AK903" s="311"/>
      <c r="AL903" s="311"/>
      <c r="AM903" s="311"/>
    </row>
    <row r="904" spans="1:39" ht="15.75" customHeight="1">
      <c r="A904" s="382"/>
      <c r="B904" s="311"/>
      <c r="C904" s="1647"/>
      <c r="D904" s="2173"/>
      <c r="E904" s="1586"/>
      <c r="F904" s="1954"/>
      <c r="G904" s="1846"/>
      <c r="H904" s="1586"/>
      <c r="I904" s="1647"/>
      <c r="J904" s="2187"/>
      <c r="K904" s="1647"/>
      <c r="L904" s="1647"/>
      <c r="M904" s="2174"/>
      <c r="N904" s="836"/>
      <c r="O904" s="836"/>
      <c r="P904" s="2174"/>
      <c r="Q904" s="836"/>
      <c r="R904" s="309"/>
      <c r="S904" s="309"/>
      <c r="T904" s="309"/>
      <c r="U904" s="309"/>
      <c r="V904" s="311"/>
      <c r="W904" s="311"/>
      <c r="X904" s="311"/>
      <c r="Y904" s="311"/>
      <c r="Z904" s="311"/>
      <c r="AA904" s="311"/>
      <c r="AB904" s="311"/>
      <c r="AC904" s="311"/>
      <c r="AD904" s="311"/>
      <c r="AE904" s="311"/>
      <c r="AF904" s="311"/>
      <c r="AG904" s="311"/>
      <c r="AH904" s="311"/>
      <c r="AI904" s="311"/>
      <c r="AJ904" s="311"/>
      <c r="AK904" s="311"/>
      <c r="AL904" s="311"/>
      <c r="AM904" s="311"/>
    </row>
    <row r="905" spans="1:39" ht="15.75" customHeight="1">
      <c r="A905" s="382"/>
      <c r="B905" s="311"/>
      <c r="C905" s="1647"/>
      <c r="D905" s="2173"/>
      <c r="E905" s="1586"/>
      <c r="F905" s="1954"/>
      <c r="G905" s="1846"/>
      <c r="H905" s="1586"/>
      <c r="I905" s="1647"/>
      <c r="J905" s="2187"/>
      <c r="K905" s="1647"/>
      <c r="L905" s="1647"/>
      <c r="M905" s="2174"/>
      <c r="N905" s="836"/>
      <c r="O905" s="836"/>
      <c r="P905" s="2174"/>
      <c r="Q905" s="836"/>
      <c r="R905" s="309"/>
      <c r="S905" s="309"/>
      <c r="T905" s="309"/>
      <c r="U905" s="309"/>
      <c r="V905" s="311"/>
      <c r="W905" s="311"/>
      <c r="X905" s="311"/>
      <c r="Y905" s="311"/>
      <c r="Z905" s="311"/>
      <c r="AA905" s="311"/>
      <c r="AB905" s="311"/>
      <c r="AC905" s="311"/>
      <c r="AD905" s="311"/>
      <c r="AE905" s="311"/>
      <c r="AF905" s="311"/>
      <c r="AG905" s="311"/>
      <c r="AH905" s="311"/>
      <c r="AI905" s="311"/>
      <c r="AJ905" s="311"/>
      <c r="AK905" s="311"/>
      <c r="AL905" s="311"/>
      <c r="AM905" s="311"/>
    </row>
    <row r="906" spans="1:39" ht="15.75" customHeight="1">
      <c r="A906" s="382"/>
      <c r="B906" s="311"/>
      <c r="C906" s="1647"/>
      <c r="D906" s="2173"/>
      <c r="E906" s="1586"/>
      <c r="F906" s="1954"/>
      <c r="G906" s="1846"/>
      <c r="H906" s="1586"/>
      <c r="I906" s="1647"/>
      <c r="J906" s="2187"/>
      <c r="K906" s="1647"/>
      <c r="L906" s="1647"/>
      <c r="M906" s="2174"/>
      <c r="N906" s="836"/>
      <c r="O906" s="836"/>
      <c r="P906" s="2174"/>
      <c r="Q906" s="836"/>
      <c r="R906" s="309"/>
      <c r="S906" s="309"/>
      <c r="T906" s="309"/>
      <c r="U906" s="309"/>
      <c r="V906" s="311"/>
      <c r="W906" s="311"/>
      <c r="X906" s="311"/>
      <c r="Y906" s="311"/>
      <c r="Z906" s="311"/>
      <c r="AA906" s="311"/>
      <c r="AB906" s="311"/>
      <c r="AC906" s="311"/>
      <c r="AD906" s="311"/>
      <c r="AE906" s="311"/>
      <c r="AF906" s="311"/>
      <c r="AG906" s="311"/>
      <c r="AH906" s="311"/>
      <c r="AI906" s="311"/>
      <c r="AJ906" s="311"/>
      <c r="AK906" s="311"/>
      <c r="AL906" s="311"/>
      <c r="AM906" s="311"/>
    </row>
    <row r="907" spans="1:39" ht="15.75" customHeight="1">
      <c r="A907" s="382"/>
      <c r="B907" s="311"/>
      <c r="C907" s="1647"/>
      <c r="D907" s="2173"/>
      <c r="E907" s="1586"/>
      <c r="F907" s="1954"/>
      <c r="G907" s="1846"/>
      <c r="H907" s="1586"/>
      <c r="I907" s="1647"/>
      <c r="J907" s="2187"/>
      <c r="K907" s="1647"/>
      <c r="L907" s="1647"/>
      <c r="M907" s="2174"/>
      <c r="N907" s="836"/>
      <c r="O907" s="836"/>
      <c r="P907" s="2174"/>
      <c r="Q907" s="836"/>
      <c r="R907" s="309"/>
      <c r="S907" s="309"/>
      <c r="T907" s="309"/>
      <c r="U907" s="309"/>
      <c r="V907" s="311"/>
      <c r="W907" s="311"/>
      <c r="X907" s="311"/>
      <c r="Y907" s="311"/>
      <c r="Z907" s="311"/>
      <c r="AA907" s="311"/>
      <c r="AB907" s="311"/>
      <c r="AC907" s="311"/>
      <c r="AD907" s="311"/>
      <c r="AE907" s="311"/>
      <c r="AF907" s="311"/>
      <c r="AG907" s="311"/>
      <c r="AH907" s="311"/>
      <c r="AI907" s="311"/>
      <c r="AJ907" s="311"/>
      <c r="AK907" s="311"/>
      <c r="AL907" s="311"/>
      <c r="AM907" s="311"/>
    </row>
    <row r="908" spans="1:39" ht="15.75" customHeight="1">
      <c r="A908" s="382"/>
      <c r="B908" s="311"/>
      <c r="C908" s="1647"/>
      <c r="D908" s="2173"/>
      <c r="E908" s="1586"/>
      <c r="F908" s="1954"/>
      <c r="G908" s="1846"/>
      <c r="H908" s="1586"/>
      <c r="I908" s="1647"/>
      <c r="J908" s="2187"/>
      <c r="K908" s="1647"/>
      <c r="L908" s="1647"/>
      <c r="M908" s="2174"/>
      <c r="N908" s="836"/>
      <c r="O908" s="836"/>
      <c r="P908" s="2174"/>
      <c r="Q908" s="836"/>
      <c r="R908" s="309"/>
      <c r="S908" s="309"/>
      <c r="T908" s="309"/>
      <c r="U908" s="309"/>
      <c r="V908" s="311"/>
      <c r="W908" s="311"/>
      <c r="X908" s="311"/>
      <c r="Y908" s="311"/>
      <c r="Z908" s="311"/>
      <c r="AA908" s="311"/>
      <c r="AB908" s="311"/>
      <c r="AC908" s="311"/>
      <c r="AD908" s="311"/>
      <c r="AE908" s="311"/>
      <c r="AF908" s="311"/>
      <c r="AG908" s="311"/>
      <c r="AH908" s="311"/>
      <c r="AI908" s="311"/>
      <c r="AJ908" s="311"/>
      <c r="AK908" s="311"/>
      <c r="AL908" s="311"/>
      <c r="AM908" s="311"/>
    </row>
    <row r="909" spans="1:39" ht="15.75" customHeight="1">
      <c r="A909" s="382"/>
      <c r="B909" s="311"/>
      <c r="C909" s="1647"/>
      <c r="D909" s="2173"/>
      <c r="E909" s="1586"/>
      <c r="F909" s="1954"/>
      <c r="G909" s="1846"/>
      <c r="H909" s="1586"/>
      <c r="I909" s="1647"/>
      <c r="J909" s="2187"/>
      <c r="K909" s="1647"/>
      <c r="L909" s="1647"/>
      <c r="M909" s="2174"/>
      <c r="N909" s="836"/>
      <c r="O909" s="836"/>
      <c r="P909" s="2174"/>
      <c r="Q909" s="836"/>
      <c r="R909" s="309"/>
      <c r="S909" s="309"/>
      <c r="T909" s="309"/>
      <c r="U909" s="309"/>
      <c r="V909" s="311"/>
      <c r="W909" s="311"/>
      <c r="X909" s="311"/>
      <c r="Y909" s="311"/>
      <c r="Z909" s="311"/>
      <c r="AA909" s="311"/>
      <c r="AB909" s="311"/>
      <c r="AC909" s="311"/>
      <c r="AD909" s="311"/>
      <c r="AE909" s="311"/>
      <c r="AF909" s="311"/>
      <c r="AG909" s="311"/>
      <c r="AH909" s="311"/>
      <c r="AI909" s="311"/>
      <c r="AJ909" s="311"/>
      <c r="AK909" s="311"/>
      <c r="AL909" s="311"/>
      <c r="AM909" s="311"/>
    </row>
    <row r="910" spans="1:39" ht="15.75" customHeight="1">
      <c r="A910" s="382"/>
      <c r="B910" s="311"/>
      <c r="C910" s="1647"/>
      <c r="D910" s="2173"/>
      <c r="E910" s="1586"/>
      <c r="F910" s="1954"/>
      <c r="G910" s="1846"/>
      <c r="H910" s="1586"/>
      <c r="I910" s="1647"/>
      <c r="J910" s="2187"/>
      <c r="K910" s="1647"/>
      <c r="L910" s="1647"/>
      <c r="M910" s="2174"/>
      <c r="N910" s="836"/>
      <c r="O910" s="836"/>
      <c r="P910" s="2174"/>
      <c r="Q910" s="836"/>
      <c r="R910" s="309"/>
      <c r="S910" s="309"/>
      <c r="T910" s="309"/>
      <c r="U910" s="309"/>
      <c r="V910" s="311"/>
      <c r="W910" s="311"/>
      <c r="X910" s="311"/>
      <c r="Y910" s="311"/>
      <c r="Z910" s="311"/>
      <c r="AA910" s="311"/>
      <c r="AB910" s="311"/>
      <c r="AC910" s="311"/>
      <c r="AD910" s="311"/>
      <c r="AE910" s="311"/>
      <c r="AF910" s="311"/>
      <c r="AG910" s="311"/>
      <c r="AH910" s="311"/>
      <c r="AI910" s="311"/>
      <c r="AJ910" s="311"/>
      <c r="AK910" s="311"/>
      <c r="AL910" s="311"/>
      <c r="AM910" s="311"/>
    </row>
    <row r="911" spans="1:39" ht="15.75" customHeight="1">
      <c r="A911" s="382"/>
      <c r="B911" s="311"/>
      <c r="C911" s="1647"/>
      <c r="D911" s="2173"/>
      <c r="E911" s="1586"/>
      <c r="F911" s="1954"/>
      <c r="G911" s="1846"/>
      <c r="H911" s="1586"/>
      <c r="I911" s="1647"/>
      <c r="J911" s="2187"/>
      <c r="K911" s="1647"/>
      <c r="L911" s="1647"/>
      <c r="M911" s="2174"/>
      <c r="N911" s="836"/>
      <c r="O911" s="836"/>
      <c r="P911" s="2174"/>
      <c r="Q911" s="836"/>
      <c r="R911" s="309"/>
      <c r="S911" s="309"/>
      <c r="T911" s="309"/>
      <c r="U911" s="309"/>
      <c r="V911" s="311"/>
      <c r="W911" s="311"/>
      <c r="X911" s="311"/>
      <c r="Y911" s="311"/>
      <c r="Z911" s="311"/>
      <c r="AA911" s="311"/>
      <c r="AB911" s="311"/>
      <c r="AC911" s="311"/>
      <c r="AD911" s="311"/>
      <c r="AE911" s="311"/>
      <c r="AF911" s="311"/>
      <c r="AG911" s="311"/>
      <c r="AH911" s="311"/>
      <c r="AI911" s="311"/>
      <c r="AJ911" s="311"/>
      <c r="AK911" s="311"/>
      <c r="AL911" s="311"/>
      <c r="AM911" s="311"/>
    </row>
    <row r="912" spans="1:39" ht="15.75" customHeight="1">
      <c r="A912" s="382"/>
      <c r="B912" s="311"/>
      <c r="C912" s="1647"/>
      <c r="D912" s="2173"/>
      <c r="E912" s="1586"/>
      <c r="F912" s="1954"/>
      <c r="G912" s="1846"/>
      <c r="H912" s="1586"/>
      <c r="I912" s="1647"/>
      <c r="J912" s="2187"/>
      <c r="K912" s="1647"/>
      <c r="L912" s="1647"/>
      <c r="M912" s="2174"/>
      <c r="N912" s="836"/>
      <c r="O912" s="836"/>
      <c r="P912" s="2174"/>
      <c r="Q912" s="836"/>
      <c r="R912" s="309"/>
      <c r="S912" s="309"/>
      <c r="T912" s="309"/>
      <c r="U912" s="309"/>
      <c r="V912" s="311"/>
      <c r="W912" s="311"/>
      <c r="X912" s="311"/>
      <c r="Y912" s="311"/>
      <c r="Z912" s="311"/>
      <c r="AA912" s="311"/>
      <c r="AB912" s="311"/>
      <c r="AC912" s="311"/>
      <c r="AD912" s="311"/>
      <c r="AE912" s="311"/>
      <c r="AF912" s="311"/>
      <c r="AG912" s="311"/>
      <c r="AH912" s="311"/>
      <c r="AI912" s="311"/>
      <c r="AJ912" s="311"/>
      <c r="AK912" s="311"/>
      <c r="AL912" s="311"/>
      <c r="AM912" s="311"/>
    </row>
    <row r="913" spans="1:39" ht="15.75" customHeight="1">
      <c r="A913" s="382"/>
      <c r="B913" s="311"/>
      <c r="C913" s="1647"/>
      <c r="D913" s="2173"/>
      <c r="E913" s="1586"/>
      <c r="F913" s="1954"/>
      <c r="G913" s="1846"/>
      <c r="H913" s="1586"/>
      <c r="I913" s="1647"/>
      <c r="J913" s="2187"/>
      <c r="K913" s="1647"/>
      <c r="L913" s="1647"/>
      <c r="M913" s="2174"/>
      <c r="N913" s="836"/>
      <c r="O913" s="836"/>
      <c r="P913" s="2174"/>
      <c r="Q913" s="836"/>
      <c r="R913" s="309"/>
      <c r="S913" s="309"/>
      <c r="T913" s="309"/>
      <c r="U913" s="309"/>
      <c r="V913" s="311"/>
      <c r="W913" s="311"/>
      <c r="X913" s="311"/>
      <c r="Y913" s="311"/>
      <c r="Z913" s="311"/>
      <c r="AA913" s="311"/>
      <c r="AB913" s="311"/>
      <c r="AC913" s="311"/>
      <c r="AD913" s="311"/>
      <c r="AE913" s="311"/>
      <c r="AF913" s="311"/>
      <c r="AG913" s="311"/>
      <c r="AH913" s="311"/>
      <c r="AI913" s="311"/>
      <c r="AJ913" s="311"/>
      <c r="AK913" s="311"/>
      <c r="AL913" s="311"/>
      <c r="AM913" s="311"/>
    </row>
    <row r="914" spans="1:39" ht="15.75" customHeight="1">
      <c r="A914" s="382"/>
      <c r="B914" s="311"/>
      <c r="C914" s="1647"/>
      <c r="D914" s="2173"/>
      <c r="E914" s="1586"/>
      <c r="F914" s="1954"/>
      <c r="G914" s="1846"/>
      <c r="H914" s="1586"/>
      <c r="I914" s="1647"/>
      <c r="J914" s="2187"/>
      <c r="K914" s="1647"/>
      <c r="L914" s="1647"/>
      <c r="M914" s="2174"/>
      <c r="N914" s="836"/>
      <c r="O914" s="836"/>
      <c r="P914" s="2174"/>
      <c r="Q914" s="836"/>
      <c r="R914" s="309"/>
      <c r="S914" s="309"/>
      <c r="T914" s="309"/>
      <c r="U914" s="309"/>
      <c r="V914" s="311"/>
      <c r="W914" s="311"/>
      <c r="X914" s="311"/>
      <c r="Y914" s="311"/>
      <c r="Z914" s="311"/>
      <c r="AA914" s="311"/>
      <c r="AB914" s="311"/>
      <c r="AC914" s="311"/>
      <c r="AD914" s="311"/>
      <c r="AE914" s="311"/>
      <c r="AF914" s="311"/>
      <c r="AG914" s="311"/>
      <c r="AH914" s="311"/>
      <c r="AI914" s="311"/>
      <c r="AJ914" s="311"/>
      <c r="AK914" s="311"/>
      <c r="AL914" s="311"/>
      <c r="AM914" s="311"/>
    </row>
    <row r="915" spans="1:39" ht="15.75" customHeight="1">
      <c r="A915" s="382"/>
      <c r="B915" s="311"/>
      <c r="C915" s="1647"/>
      <c r="D915" s="2173"/>
      <c r="E915" s="1586"/>
      <c r="F915" s="1954"/>
      <c r="G915" s="1846"/>
      <c r="H915" s="1586"/>
      <c r="I915" s="1647"/>
      <c r="J915" s="2187"/>
      <c r="K915" s="1647"/>
      <c r="L915" s="1647"/>
      <c r="M915" s="2174"/>
      <c r="N915" s="836"/>
      <c r="O915" s="836"/>
      <c r="P915" s="2174"/>
      <c r="Q915" s="836"/>
      <c r="R915" s="309"/>
      <c r="S915" s="309"/>
      <c r="T915" s="309"/>
      <c r="U915" s="309"/>
      <c r="V915" s="311"/>
      <c r="W915" s="311"/>
      <c r="X915" s="311"/>
      <c r="Y915" s="311"/>
      <c r="Z915" s="311"/>
      <c r="AA915" s="311"/>
      <c r="AB915" s="311"/>
      <c r="AC915" s="311"/>
      <c r="AD915" s="311"/>
      <c r="AE915" s="311"/>
      <c r="AF915" s="311"/>
      <c r="AG915" s="311"/>
      <c r="AH915" s="311"/>
      <c r="AI915" s="311"/>
      <c r="AJ915" s="311"/>
      <c r="AK915" s="311"/>
      <c r="AL915" s="311"/>
      <c r="AM915" s="311"/>
    </row>
    <row r="916" spans="1:39" ht="15.75" customHeight="1">
      <c r="A916" s="382"/>
      <c r="B916" s="311"/>
      <c r="C916" s="1647"/>
      <c r="D916" s="2173"/>
      <c r="E916" s="1586"/>
      <c r="F916" s="1954"/>
      <c r="G916" s="1846"/>
      <c r="H916" s="1586"/>
      <c r="I916" s="1647"/>
      <c r="J916" s="2187"/>
      <c r="K916" s="1647"/>
      <c r="L916" s="1647"/>
      <c r="M916" s="2174"/>
      <c r="N916" s="836"/>
      <c r="O916" s="836"/>
      <c r="P916" s="2174"/>
      <c r="Q916" s="836"/>
      <c r="R916" s="309"/>
      <c r="S916" s="309"/>
      <c r="T916" s="309"/>
      <c r="U916" s="309"/>
      <c r="V916" s="311"/>
      <c r="W916" s="311"/>
      <c r="X916" s="311"/>
      <c r="Y916" s="311"/>
      <c r="Z916" s="311"/>
      <c r="AA916" s="311"/>
      <c r="AB916" s="311"/>
      <c r="AC916" s="311"/>
      <c r="AD916" s="311"/>
      <c r="AE916" s="311"/>
      <c r="AF916" s="311"/>
      <c r="AG916" s="311"/>
      <c r="AH916" s="311"/>
      <c r="AI916" s="311"/>
      <c r="AJ916" s="311"/>
      <c r="AK916" s="311"/>
      <c r="AL916" s="311"/>
      <c r="AM916" s="311"/>
    </row>
    <row r="917" spans="1:39" ht="15.75" customHeight="1">
      <c r="A917" s="382"/>
      <c r="B917" s="311"/>
      <c r="C917" s="1647"/>
      <c r="D917" s="2173"/>
      <c r="E917" s="1586"/>
      <c r="F917" s="1954"/>
      <c r="G917" s="1846"/>
      <c r="H917" s="1586"/>
      <c r="I917" s="1647"/>
      <c r="J917" s="2187"/>
      <c r="K917" s="1647"/>
      <c r="L917" s="1647"/>
      <c r="M917" s="2174"/>
      <c r="N917" s="836"/>
      <c r="O917" s="836"/>
      <c r="P917" s="2174"/>
      <c r="Q917" s="836"/>
      <c r="R917" s="309"/>
      <c r="S917" s="309"/>
      <c r="T917" s="309"/>
      <c r="U917" s="309"/>
      <c r="V917" s="311"/>
      <c r="W917" s="311"/>
      <c r="X917" s="311"/>
      <c r="Y917" s="311"/>
      <c r="Z917" s="311"/>
      <c r="AA917" s="311"/>
      <c r="AB917" s="311"/>
      <c r="AC917" s="311"/>
      <c r="AD917" s="311"/>
      <c r="AE917" s="311"/>
      <c r="AF917" s="311"/>
      <c r="AG917" s="311"/>
      <c r="AH917" s="311"/>
      <c r="AI917" s="311"/>
      <c r="AJ917" s="311"/>
      <c r="AK917" s="311"/>
      <c r="AL917" s="311"/>
      <c r="AM917" s="311"/>
    </row>
    <row r="918" spans="1:39" ht="15.75" customHeight="1">
      <c r="A918" s="382"/>
      <c r="B918" s="311"/>
      <c r="C918" s="1647"/>
      <c r="D918" s="2173"/>
      <c r="E918" s="1586"/>
      <c r="F918" s="1954"/>
      <c r="G918" s="1846"/>
      <c r="H918" s="1586"/>
      <c r="I918" s="1647"/>
      <c r="J918" s="2187"/>
      <c r="K918" s="1647"/>
      <c r="L918" s="1647"/>
      <c r="M918" s="2174"/>
      <c r="N918" s="836"/>
      <c r="O918" s="836"/>
      <c r="P918" s="2174"/>
      <c r="Q918" s="836"/>
      <c r="R918" s="309"/>
      <c r="S918" s="309"/>
      <c r="T918" s="309"/>
      <c r="U918" s="309"/>
      <c r="V918" s="311"/>
      <c r="W918" s="311"/>
      <c r="X918" s="311"/>
      <c r="Y918" s="311"/>
      <c r="Z918" s="311"/>
      <c r="AA918" s="311"/>
      <c r="AB918" s="311"/>
      <c r="AC918" s="311"/>
      <c r="AD918" s="311"/>
      <c r="AE918" s="311"/>
      <c r="AF918" s="311"/>
      <c r="AG918" s="311"/>
      <c r="AH918" s="311"/>
      <c r="AI918" s="311"/>
      <c r="AJ918" s="311"/>
      <c r="AK918" s="311"/>
      <c r="AL918" s="311"/>
      <c r="AM918" s="311"/>
    </row>
    <row r="919" spans="1:39" ht="15.75" customHeight="1">
      <c r="A919" s="382"/>
      <c r="B919" s="311"/>
      <c r="C919" s="1647"/>
      <c r="D919" s="2173"/>
      <c r="E919" s="1586"/>
      <c r="F919" s="1954"/>
      <c r="G919" s="1846"/>
      <c r="H919" s="1586"/>
      <c r="I919" s="1647"/>
      <c r="J919" s="2187"/>
      <c r="K919" s="1647"/>
      <c r="L919" s="1647"/>
      <c r="M919" s="2174"/>
      <c r="N919" s="836"/>
      <c r="O919" s="836"/>
      <c r="P919" s="2174"/>
      <c r="Q919" s="836"/>
      <c r="R919" s="309"/>
      <c r="S919" s="309"/>
      <c r="T919" s="309"/>
      <c r="U919" s="309"/>
      <c r="V919" s="311"/>
      <c r="W919" s="311"/>
      <c r="X919" s="311"/>
      <c r="Y919" s="311"/>
      <c r="Z919" s="311"/>
      <c r="AA919" s="311"/>
      <c r="AB919" s="311"/>
      <c r="AC919" s="311"/>
      <c r="AD919" s="311"/>
      <c r="AE919" s="311"/>
      <c r="AF919" s="311"/>
      <c r="AG919" s="311"/>
      <c r="AH919" s="311"/>
      <c r="AI919" s="311"/>
      <c r="AJ919" s="311"/>
      <c r="AK919" s="311"/>
      <c r="AL919" s="311"/>
      <c r="AM919" s="311"/>
    </row>
    <row r="920" spans="1:39" ht="15.75" customHeight="1">
      <c r="A920" s="382"/>
      <c r="B920" s="311"/>
      <c r="C920" s="1647"/>
      <c r="D920" s="2173"/>
      <c r="E920" s="1586"/>
      <c r="F920" s="1954"/>
      <c r="G920" s="1846"/>
      <c r="H920" s="1586"/>
      <c r="I920" s="1647"/>
      <c r="J920" s="2187"/>
      <c r="K920" s="1647"/>
      <c r="L920" s="1647"/>
      <c r="M920" s="2174"/>
      <c r="N920" s="836"/>
      <c r="O920" s="836"/>
      <c r="P920" s="2174"/>
      <c r="Q920" s="836"/>
      <c r="R920" s="309"/>
      <c r="S920" s="309"/>
      <c r="T920" s="309"/>
      <c r="U920" s="309"/>
      <c r="V920" s="311"/>
      <c r="W920" s="311"/>
      <c r="X920" s="311"/>
      <c r="Y920" s="311"/>
      <c r="Z920" s="311"/>
      <c r="AA920" s="311"/>
      <c r="AB920" s="311"/>
      <c r="AC920" s="311"/>
      <c r="AD920" s="311"/>
      <c r="AE920" s="311"/>
      <c r="AF920" s="311"/>
      <c r="AG920" s="311"/>
      <c r="AH920" s="311"/>
      <c r="AI920" s="311"/>
      <c r="AJ920" s="311"/>
      <c r="AK920" s="311"/>
      <c r="AL920" s="311"/>
      <c r="AM920" s="311"/>
    </row>
    <row r="921" spans="1:39" ht="15.75" customHeight="1">
      <c r="A921" s="382"/>
      <c r="B921" s="311"/>
      <c r="C921" s="1647"/>
      <c r="D921" s="2173"/>
      <c r="E921" s="1586"/>
      <c r="F921" s="1954"/>
      <c r="G921" s="1846"/>
      <c r="H921" s="1586"/>
      <c r="I921" s="1647"/>
      <c r="J921" s="2187"/>
      <c r="K921" s="1647"/>
      <c r="L921" s="1647"/>
      <c r="M921" s="2174"/>
      <c r="N921" s="836"/>
      <c r="O921" s="836"/>
      <c r="P921" s="2174"/>
      <c r="Q921" s="836"/>
      <c r="R921" s="309"/>
      <c r="S921" s="309"/>
      <c r="T921" s="309"/>
      <c r="U921" s="309"/>
      <c r="V921" s="311"/>
      <c r="W921" s="311"/>
      <c r="X921" s="311"/>
      <c r="Y921" s="311"/>
      <c r="Z921" s="311"/>
      <c r="AA921" s="311"/>
      <c r="AB921" s="311"/>
      <c r="AC921" s="311"/>
      <c r="AD921" s="311"/>
      <c r="AE921" s="311"/>
      <c r="AF921" s="311"/>
      <c r="AG921" s="311"/>
      <c r="AH921" s="311"/>
      <c r="AI921" s="311"/>
      <c r="AJ921" s="311"/>
      <c r="AK921" s="311"/>
      <c r="AL921" s="311"/>
      <c r="AM921" s="311"/>
    </row>
    <row r="922" spans="1:39" ht="15.75" customHeight="1">
      <c r="A922" s="382"/>
      <c r="B922" s="311"/>
      <c r="C922" s="1647"/>
      <c r="D922" s="2173"/>
      <c r="E922" s="1586"/>
      <c r="F922" s="1954"/>
      <c r="G922" s="1846"/>
      <c r="H922" s="1586"/>
      <c r="I922" s="1647"/>
      <c r="J922" s="2187"/>
      <c r="K922" s="1647"/>
      <c r="L922" s="1647"/>
      <c r="M922" s="2174"/>
      <c r="N922" s="836"/>
      <c r="O922" s="836"/>
      <c r="P922" s="2174"/>
      <c r="Q922" s="836"/>
      <c r="R922" s="309"/>
      <c r="S922" s="309"/>
      <c r="T922" s="309"/>
      <c r="U922" s="309"/>
      <c r="V922" s="311"/>
      <c r="W922" s="311"/>
      <c r="X922" s="311"/>
      <c r="Y922" s="311"/>
      <c r="Z922" s="311"/>
      <c r="AA922" s="311"/>
      <c r="AB922" s="311"/>
      <c r="AC922" s="311"/>
      <c r="AD922" s="311"/>
      <c r="AE922" s="311"/>
      <c r="AF922" s="311"/>
      <c r="AG922" s="311"/>
      <c r="AH922" s="311"/>
      <c r="AI922" s="311"/>
      <c r="AJ922" s="311"/>
      <c r="AK922" s="311"/>
      <c r="AL922" s="311"/>
      <c r="AM922" s="311"/>
    </row>
    <row r="923" spans="1:39" ht="15.75" customHeight="1">
      <c r="A923" s="382"/>
      <c r="B923" s="311"/>
      <c r="C923" s="1647"/>
      <c r="D923" s="2173"/>
      <c r="E923" s="1586"/>
      <c r="F923" s="1954"/>
      <c r="G923" s="1846"/>
      <c r="H923" s="1586"/>
      <c r="I923" s="1647"/>
      <c r="J923" s="2187"/>
      <c r="K923" s="1647"/>
      <c r="L923" s="1647"/>
      <c r="M923" s="2174"/>
      <c r="N923" s="836"/>
      <c r="O923" s="836"/>
      <c r="P923" s="2174"/>
      <c r="Q923" s="836"/>
      <c r="R923" s="309"/>
      <c r="S923" s="309"/>
      <c r="T923" s="309"/>
      <c r="U923" s="309"/>
      <c r="V923" s="311"/>
      <c r="W923" s="311"/>
      <c r="X923" s="311"/>
      <c r="Y923" s="311"/>
      <c r="Z923" s="311"/>
      <c r="AA923" s="311"/>
      <c r="AB923" s="311"/>
      <c r="AC923" s="311"/>
      <c r="AD923" s="311"/>
      <c r="AE923" s="311"/>
      <c r="AF923" s="311"/>
      <c r="AG923" s="311"/>
      <c r="AH923" s="311"/>
      <c r="AI923" s="311"/>
      <c r="AJ923" s="311"/>
      <c r="AK923" s="311"/>
      <c r="AL923" s="311"/>
      <c r="AM923" s="311"/>
    </row>
    <row r="924" spans="1:39" ht="15.75" customHeight="1">
      <c r="A924" s="382"/>
      <c r="B924" s="311"/>
      <c r="C924" s="1647"/>
      <c r="D924" s="2173"/>
      <c r="E924" s="1586"/>
      <c r="F924" s="1954"/>
      <c r="G924" s="1846"/>
      <c r="H924" s="1586"/>
      <c r="I924" s="1647"/>
      <c r="J924" s="2187"/>
      <c r="K924" s="1647"/>
      <c r="L924" s="1647"/>
      <c r="M924" s="2174"/>
      <c r="N924" s="836"/>
      <c r="O924" s="836"/>
      <c r="P924" s="2174"/>
      <c r="Q924" s="836"/>
      <c r="R924" s="309"/>
      <c r="S924" s="309"/>
      <c r="T924" s="309"/>
      <c r="U924" s="309"/>
      <c r="V924" s="311"/>
      <c r="W924" s="311"/>
      <c r="X924" s="311"/>
      <c r="Y924" s="311"/>
      <c r="Z924" s="311"/>
      <c r="AA924" s="311"/>
      <c r="AB924" s="311"/>
      <c r="AC924" s="311"/>
      <c r="AD924" s="311"/>
      <c r="AE924" s="311"/>
      <c r="AF924" s="311"/>
      <c r="AG924" s="311"/>
      <c r="AH924" s="311"/>
      <c r="AI924" s="311"/>
      <c r="AJ924" s="311"/>
      <c r="AK924" s="311"/>
      <c r="AL924" s="311"/>
      <c r="AM924" s="311"/>
    </row>
    <row r="925" spans="1:39" ht="15.75" customHeight="1">
      <c r="A925" s="382"/>
      <c r="B925" s="311"/>
      <c r="C925" s="1647"/>
      <c r="D925" s="2173"/>
      <c r="E925" s="1586"/>
      <c r="F925" s="1954"/>
      <c r="G925" s="1846"/>
      <c r="H925" s="1586"/>
      <c r="I925" s="1647"/>
      <c r="J925" s="2187"/>
      <c r="K925" s="1647"/>
      <c r="L925" s="1647"/>
      <c r="M925" s="2174"/>
      <c r="N925" s="836"/>
      <c r="O925" s="836"/>
      <c r="P925" s="2174"/>
      <c r="Q925" s="836"/>
      <c r="R925" s="309"/>
      <c r="S925" s="309"/>
      <c r="T925" s="309"/>
      <c r="U925" s="309"/>
      <c r="V925" s="311"/>
      <c r="W925" s="311"/>
      <c r="X925" s="311"/>
      <c r="Y925" s="311"/>
      <c r="Z925" s="311"/>
      <c r="AA925" s="311"/>
      <c r="AB925" s="311"/>
      <c r="AC925" s="311"/>
      <c r="AD925" s="311"/>
      <c r="AE925" s="311"/>
      <c r="AF925" s="311"/>
      <c r="AG925" s="311"/>
      <c r="AH925" s="311"/>
      <c r="AI925" s="311"/>
      <c r="AJ925" s="311"/>
      <c r="AK925" s="311"/>
      <c r="AL925" s="311"/>
      <c r="AM925" s="311"/>
    </row>
    <row r="926" spans="1:39" ht="15.75" customHeight="1">
      <c r="A926" s="382"/>
      <c r="B926" s="311"/>
      <c r="C926" s="1647"/>
      <c r="D926" s="2173"/>
      <c r="E926" s="1586"/>
      <c r="F926" s="1954"/>
      <c r="G926" s="1846"/>
      <c r="H926" s="1586"/>
      <c r="I926" s="1647"/>
      <c r="J926" s="2187"/>
      <c r="K926" s="1647"/>
      <c r="L926" s="1647"/>
      <c r="M926" s="2174"/>
      <c r="N926" s="836"/>
      <c r="O926" s="836"/>
      <c r="P926" s="2174"/>
      <c r="Q926" s="836"/>
      <c r="R926" s="309"/>
      <c r="S926" s="309"/>
      <c r="T926" s="309"/>
      <c r="U926" s="309"/>
      <c r="V926" s="311"/>
      <c r="W926" s="311"/>
      <c r="X926" s="311"/>
      <c r="Y926" s="311"/>
      <c r="Z926" s="311"/>
      <c r="AA926" s="311"/>
      <c r="AB926" s="311"/>
      <c r="AC926" s="311"/>
      <c r="AD926" s="311"/>
      <c r="AE926" s="311"/>
      <c r="AF926" s="311"/>
      <c r="AG926" s="311"/>
      <c r="AH926" s="311"/>
      <c r="AI926" s="311"/>
      <c r="AJ926" s="311"/>
      <c r="AK926" s="311"/>
      <c r="AL926" s="311"/>
      <c r="AM926" s="311"/>
    </row>
    <row r="927" spans="1:39" ht="15.75" customHeight="1">
      <c r="A927" s="382"/>
      <c r="B927" s="311"/>
      <c r="C927" s="1647"/>
      <c r="D927" s="2173"/>
      <c r="E927" s="1586"/>
      <c r="F927" s="1954"/>
      <c r="G927" s="1846"/>
      <c r="H927" s="1586"/>
      <c r="I927" s="1647"/>
      <c r="J927" s="2187"/>
      <c r="K927" s="1647"/>
      <c r="L927" s="1647"/>
      <c r="M927" s="2174"/>
      <c r="N927" s="836"/>
      <c r="O927" s="836"/>
      <c r="P927" s="2174"/>
      <c r="Q927" s="836"/>
      <c r="R927" s="309"/>
      <c r="S927" s="309"/>
      <c r="T927" s="309"/>
      <c r="U927" s="309"/>
      <c r="V927" s="311"/>
      <c r="W927" s="311"/>
      <c r="X927" s="311"/>
      <c r="Y927" s="311"/>
      <c r="Z927" s="311"/>
      <c r="AA927" s="311"/>
      <c r="AB927" s="311"/>
      <c r="AC927" s="311"/>
      <c r="AD927" s="311"/>
      <c r="AE927" s="311"/>
      <c r="AF927" s="311"/>
      <c r="AG927" s="311"/>
      <c r="AH927" s="311"/>
      <c r="AI927" s="311"/>
      <c r="AJ927" s="311"/>
      <c r="AK927" s="311"/>
      <c r="AL927" s="311"/>
      <c r="AM927" s="311"/>
    </row>
    <row r="928" spans="1:39" ht="15.75" customHeight="1">
      <c r="A928" s="382"/>
      <c r="B928" s="311"/>
      <c r="C928" s="1647"/>
      <c r="D928" s="2173"/>
      <c r="E928" s="1586"/>
      <c r="F928" s="1954"/>
      <c r="G928" s="1846"/>
      <c r="H928" s="1586"/>
      <c r="I928" s="1647"/>
      <c r="J928" s="2187"/>
      <c r="K928" s="1647"/>
      <c r="L928" s="1647"/>
      <c r="M928" s="2174"/>
      <c r="N928" s="836"/>
      <c r="O928" s="836"/>
      <c r="P928" s="2174"/>
      <c r="Q928" s="836"/>
      <c r="R928" s="309"/>
      <c r="S928" s="309"/>
      <c r="T928" s="309"/>
      <c r="U928" s="309"/>
      <c r="V928" s="311"/>
      <c r="W928" s="311"/>
      <c r="X928" s="311"/>
      <c r="Y928" s="311"/>
      <c r="Z928" s="311"/>
      <c r="AA928" s="311"/>
      <c r="AB928" s="311"/>
      <c r="AC928" s="311"/>
      <c r="AD928" s="311"/>
      <c r="AE928" s="311"/>
      <c r="AF928" s="311"/>
      <c r="AG928" s="311"/>
      <c r="AH928" s="311"/>
      <c r="AI928" s="311"/>
      <c r="AJ928" s="311"/>
      <c r="AK928" s="311"/>
      <c r="AL928" s="311"/>
      <c r="AM928" s="311"/>
    </row>
    <row r="929" spans="1:39" ht="15.75" customHeight="1">
      <c r="A929" s="382"/>
      <c r="B929" s="311"/>
      <c r="C929" s="1647"/>
      <c r="D929" s="2173"/>
      <c r="E929" s="1586"/>
      <c r="F929" s="1954"/>
      <c r="G929" s="1846"/>
      <c r="H929" s="1586"/>
      <c r="I929" s="1647"/>
      <c r="J929" s="2187"/>
      <c r="K929" s="1647"/>
      <c r="L929" s="1647"/>
      <c r="M929" s="2174"/>
      <c r="N929" s="836"/>
      <c r="O929" s="836"/>
      <c r="P929" s="2174"/>
      <c r="Q929" s="836"/>
      <c r="R929" s="309"/>
      <c r="S929" s="309"/>
      <c r="T929" s="309"/>
      <c r="U929" s="309"/>
      <c r="V929" s="311"/>
      <c r="W929" s="311"/>
      <c r="X929" s="311"/>
      <c r="Y929" s="311"/>
      <c r="Z929" s="311"/>
      <c r="AA929" s="311"/>
      <c r="AB929" s="311"/>
      <c r="AC929" s="311"/>
      <c r="AD929" s="311"/>
      <c r="AE929" s="311"/>
      <c r="AF929" s="311"/>
      <c r="AG929" s="311"/>
      <c r="AH929" s="311"/>
      <c r="AI929" s="311"/>
      <c r="AJ929" s="311"/>
      <c r="AK929" s="311"/>
      <c r="AL929" s="311"/>
      <c r="AM929" s="311"/>
    </row>
    <row r="930" spans="1:39" ht="15.75" customHeight="1">
      <c r="A930" s="382"/>
      <c r="B930" s="311"/>
      <c r="C930" s="1647"/>
      <c r="D930" s="2173"/>
      <c r="E930" s="1586"/>
      <c r="F930" s="1954"/>
      <c r="G930" s="1846"/>
      <c r="H930" s="1586"/>
      <c r="I930" s="1647"/>
      <c r="J930" s="2187"/>
      <c r="K930" s="1647"/>
      <c r="L930" s="1647"/>
      <c r="M930" s="2174"/>
      <c r="N930" s="836"/>
      <c r="O930" s="836"/>
      <c r="P930" s="2174"/>
      <c r="Q930" s="836"/>
      <c r="R930" s="309"/>
      <c r="S930" s="309"/>
      <c r="T930" s="309"/>
      <c r="U930" s="309"/>
      <c r="V930" s="311"/>
      <c r="W930" s="311"/>
      <c r="X930" s="311"/>
      <c r="Y930" s="311"/>
      <c r="Z930" s="311"/>
      <c r="AA930" s="311"/>
      <c r="AB930" s="311"/>
      <c r="AC930" s="311"/>
      <c r="AD930" s="311"/>
      <c r="AE930" s="311"/>
      <c r="AF930" s="311"/>
      <c r="AG930" s="311"/>
      <c r="AH930" s="311"/>
      <c r="AI930" s="311"/>
      <c r="AJ930" s="311"/>
      <c r="AK930" s="311"/>
      <c r="AL930" s="311"/>
      <c r="AM930" s="311"/>
    </row>
    <row r="931" spans="1:39" ht="15.75" customHeight="1">
      <c r="A931" s="382"/>
      <c r="B931" s="311"/>
      <c r="C931" s="1647"/>
      <c r="D931" s="2173"/>
      <c r="E931" s="1586"/>
      <c r="F931" s="1954"/>
      <c r="G931" s="1846"/>
      <c r="H931" s="1586"/>
      <c r="I931" s="1647"/>
      <c r="J931" s="2187"/>
      <c r="K931" s="1647"/>
      <c r="L931" s="1647"/>
      <c r="M931" s="2174"/>
      <c r="N931" s="836"/>
      <c r="O931" s="836"/>
      <c r="P931" s="2174"/>
      <c r="Q931" s="836"/>
      <c r="R931" s="309"/>
      <c r="S931" s="309"/>
      <c r="T931" s="309"/>
      <c r="U931" s="309"/>
      <c r="V931" s="311"/>
      <c r="W931" s="311"/>
      <c r="X931" s="311"/>
      <c r="Y931" s="311"/>
      <c r="Z931" s="311"/>
      <c r="AA931" s="311"/>
      <c r="AB931" s="311"/>
      <c r="AC931" s="311"/>
      <c r="AD931" s="311"/>
      <c r="AE931" s="311"/>
      <c r="AF931" s="311"/>
      <c r="AG931" s="311"/>
      <c r="AH931" s="311"/>
      <c r="AI931" s="311"/>
      <c r="AJ931" s="311"/>
      <c r="AK931" s="311"/>
      <c r="AL931" s="311"/>
      <c r="AM931" s="311"/>
    </row>
    <row r="932" spans="1:39" ht="15.75" customHeight="1">
      <c r="A932" s="382"/>
      <c r="B932" s="311"/>
      <c r="C932" s="1647"/>
      <c r="D932" s="2173"/>
      <c r="E932" s="1586"/>
      <c r="F932" s="1954"/>
      <c r="G932" s="1846"/>
      <c r="H932" s="1586"/>
      <c r="I932" s="1647"/>
      <c r="J932" s="2187"/>
      <c r="K932" s="1647"/>
      <c r="L932" s="1647"/>
      <c r="M932" s="2174"/>
      <c r="N932" s="836"/>
      <c r="O932" s="836"/>
      <c r="P932" s="2174"/>
      <c r="Q932" s="836"/>
      <c r="R932" s="309"/>
      <c r="S932" s="309"/>
      <c r="T932" s="309"/>
      <c r="U932" s="309"/>
      <c r="V932" s="311"/>
      <c r="W932" s="311"/>
      <c r="X932" s="311"/>
      <c r="Y932" s="311"/>
      <c r="Z932" s="311"/>
      <c r="AA932" s="311"/>
      <c r="AB932" s="311"/>
      <c r="AC932" s="311"/>
      <c r="AD932" s="311"/>
      <c r="AE932" s="311"/>
      <c r="AF932" s="311"/>
      <c r="AG932" s="311"/>
      <c r="AH932" s="311"/>
      <c r="AI932" s="311"/>
      <c r="AJ932" s="311"/>
      <c r="AK932" s="311"/>
      <c r="AL932" s="311"/>
      <c r="AM932" s="311"/>
    </row>
    <row r="933" spans="1:39" ht="15.75" customHeight="1">
      <c r="A933" s="382"/>
      <c r="B933" s="311"/>
      <c r="C933" s="1647"/>
      <c r="D933" s="2173"/>
      <c r="E933" s="1586"/>
      <c r="F933" s="1954"/>
      <c r="G933" s="1846"/>
      <c r="H933" s="1586"/>
      <c r="I933" s="1647"/>
      <c r="J933" s="2187"/>
      <c r="K933" s="1647"/>
      <c r="L933" s="1647"/>
      <c r="M933" s="2174"/>
      <c r="N933" s="836"/>
      <c r="O933" s="836"/>
      <c r="P933" s="2174"/>
      <c r="Q933" s="836"/>
      <c r="R933" s="309"/>
      <c r="S933" s="309"/>
      <c r="T933" s="309"/>
      <c r="U933" s="309"/>
      <c r="V933" s="311"/>
      <c r="W933" s="311"/>
      <c r="X933" s="311"/>
      <c r="Y933" s="311"/>
      <c r="Z933" s="311"/>
      <c r="AA933" s="311"/>
      <c r="AB933" s="311"/>
      <c r="AC933" s="311"/>
      <c r="AD933" s="311"/>
      <c r="AE933" s="311"/>
      <c r="AF933" s="311"/>
      <c r="AG933" s="311"/>
      <c r="AH933" s="311"/>
      <c r="AI933" s="311"/>
      <c r="AJ933" s="311"/>
      <c r="AK933" s="311"/>
      <c r="AL933" s="311"/>
      <c r="AM933" s="311"/>
    </row>
    <row r="934" spans="1:39" ht="15.75" customHeight="1">
      <c r="A934" s="382"/>
      <c r="B934" s="311"/>
      <c r="C934" s="1647"/>
      <c r="D934" s="2175"/>
      <c r="E934" s="1647"/>
      <c r="F934" s="1954"/>
      <c r="G934" s="2187"/>
      <c r="H934" s="1647"/>
      <c r="I934" s="1647"/>
      <c r="J934" s="2187"/>
      <c r="K934" s="1647"/>
      <c r="L934" s="1647"/>
      <c r="M934" s="2174"/>
      <c r="N934" s="836"/>
      <c r="O934" s="836"/>
      <c r="P934" s="2174"/>
      <c r="Q934" s="836"/>
      <c r="R934" s="309"/>
      <c r="S934" s="309"/>
      <c r="T934" s="309"/>
      <c r="U934" s="309"/>
      <c r="V934" s="311"/>
      <c r="W934" s="311"/>
      <c r="X934" s="311"/>
      <c r="Y934" s="311"/>
      <c r="Z934" s="311"/>
      <c r="AA934" s="311"/>
      <c r="AB934" s="311"/>
      <c r="AC934" s="311"/>
      <c r="AD934" s="311"/>
      <c r="AE934" s="311"/>
      <c r="AF934" s="311"/>
      <c r="AG934" s="311"/>
      <c r="AH934" s="311"/>
      <c r="AI934" s="311"/>
      <c r="AJ934" s="311"/>
      <c r="AK934" s="311"/>
      <c r="AL934" s="311"/>
      <c r="AM934" s="311"/>
    </row>
    <row r="935" spans="1:39" ht="15.75" customHeight="1">
      <c r="A935" s="382"/>
      <c r="B935" s="311"/>
      <c r="C935" s="1647"/>
      <c r="D935" s="2175"/>
      <c r="E935" s="1647"/>
      <c r="F935" s="1954"/>
      <c r="G935" s="2187"/>
      <c r="H935" s="1647"/>
      <c r="I935" s="1647"/>
      <c r="J935" s="2187"/>
      <c r="K935" s="1647"/>
      <c r="L935" s="1647"/>
      <c r="M935" s="2174"/>
      <c r="N935" s="836"/>
      <c r="O935" s="836"/>
      <c r="P935" s="2174"/>
      <c r="Q935" s="836"/>
      <c r="R935" s="309"/>
      <c r="S935" s="309"/>
      <c r="T935" s="309"/>
      <c r="U935" s="309"/>
      <c r="V935" s="311"/>
      <c r="W935" s="311"/>
      <c r="X935" s="311"/>
      <c r="Y935" s="311"/>
      <c r="Z935" s="311"/>
      <c r="AA935" s="311"/>
      <c r="AB935" s="311"/>
      <c r="AC935" s="311"/>
      <c r="AD935" s="311"/>
      <c r="AE935" s="311"/>
      <c r="AF935" s="311"/>
      <c r="AG935" s="311"/>
      <c r="AH935" s="311"/>
      <c r="AI935" s="311"/>
      <c r="AJ935" s="311"/>
      <c r="AK935" s="311"/>
      <c r="AL935" s="311"/>
      <c r="AM935" s="311"/>
    </row>
    <row r="936" spans="1:39" ht="15.75" customHeight="1">
      <c r="A936" s="382"/>
      <c r="B936" s="311"/>
      <c r="C936" s="1647"/>
      <c r="D936" s="2175"/>
      <c r="E936" s="1647"/>
      <c r="F936" s="1954"/>
      <c r="G936" s="2187"/>
      <c r="H936" s="1647"/>
      <c r="I936" s="1647"/>
      <c r="J936" s="2187"/>
      <c r="K936" s="1647"/>
      <c r="L936" s="1647"/>
      <c r="M936" s="2174"/>
      <c r="N936" s="836"/>
      <c r="O936" s="836"/>
      <c r="P936" s="2174"/>
      <c r="Q936" s="836"/>
      <c r="R936" s="309"/>
      <c r="S936" s="309"/>
      <c r="T936" s="309"/>
      <c r="U936" s="309"/>
      <c r="V936" s="311"/>
      <c r="W936" s="311"/>
      <c r="X936" s="311"/>
      <c r="Y936" s="311"/>
      <c r="Z936" s="311"/>
      <c r="AA936" s="311"/>
      <c r="AB936" s="311"/>
      <c r="AC936" s="311"/>
      <c r="AD936" s="311"/>
      <c r="AE936" s="311"/>
      <c r="AF936" s="311"/>
      <c r="AG936" s="311"/>
      <c r="AH936" s="311"/>
      <c r="AI936" s="311"/>
      <c r="AJ936" s="311"/>
      <c r="AK936" s="311"/>
      <c r="AL936" s="311"/>
      <c r="AM936" s="311"/>
    </row>
    <row r="937" spans="1:39" ht="15.75" customHeight="1">
      <c r="A937" s="382"/>
      <c r="B937" s="311"/>
      <c r="C937" s="1647"/>
      <c r="D937" s="2175"/>
      <c r="E937" s="1647"/>
      <c r="F937" s="1954"/>
      <c r="G937" s="2187"/>
      <c r="H937" s="1647"/>
      <c r="I937" s="1647"/>
      <c r="J937" s="2187"/>
      <c r="K937" s="1647"/>
      <c r="L937" s="1647"/>
      <c r="M937" s="2174"/>
      <c r="N937" s="836"/>
      <c r="O937" s="836"/>
      <c r="P937" s="2174"/>
      <c r="Q937" s="836"/>
      <c r="R937" s="309"/>
      <c r="S937" s="309"/>
      <c r="T937" s="309"/>
      <c r="U937" s="309"/>
      <c r="V937" s="311"/>
      <c r="W937" s="311"/>
      <c r="X937" s="311"/>
      <c r="Y937" s="311"/>
      <c r="Z937" s="311"/>
      <c r="AA937" s="311"/>
      <c r="AB937" s="311"/>
      <c r="AC937" s="311"/>
      <c r="AD937" s="311"/>
      <c r="AE937" s="311"/>
      <c r="AF937" s="311"/>
      <c r="AG937" s="311"/>
      <c r="AH937" s="311"/>
      <c r="AI937" s="311"/>
      <c r="AJ937" s="311"/>
      <c r="AK937" s="311"/>
      <c r="AL937" s="311"/>
      <c r="AM937" s="311"/>
    </row>
    <row r="938" spans="1:39" ht="15.75" customHeight="1">
      <c r="A938" s="382"/>
      <c r="B938" s="311"/>
      <c r="C938" s="1647"/>
      <c r="D938" s="2175"/>
      <c r="E938" s="1647"/>
      <c r="F938" s="1954"/>
      <c r="G938" s="2187"/>
      <c r="H938" s="1647"/>
      <c r="I938" s="1647"/>
      <c r="J938" s="2187"/>
      <c r="K938" s="1647"/>
      <c r="L938" s="1647"/>
      <c r="M938" s="2174"/>
      <c r="N938" s="836"/>
      <c r="O938" s="836"/>
      <c r="P938" s="2174"/>
      <c r="Q938" s="836"/>
      <c r="R938" s="309"/>
      <c r="S938" s="309"/>
      <c r="T938" s="309"/>
      <c r="U938" s="309"/>
      <c r="V938" s="311"/>
      <c r="W938" s="311"/>
      <c r="X938" s="311"/>
      <c r="Y938" s="311"/>
      <c r="Z938" s="311"/>
      <c r="AA938" s="311"/>
      <c r="AB938" s="311"/>
      <c r="AC938" s="311"/>
      <c r="AD938" s="311"/>
      <c r="AE938" s="311"/>
      <c r="AF938" s="311"/>
      <c r="AG938" s="311"/>
      <c r="AH938" s="311"/>
      <c r="AI938" s="311"/>
      <c r="AJ938" s="311"/>
      <c r="AK938" s="311"/>
      <c r="AL938" s="311"/>
      <c r="AM938" s="311"/>
    </row>
    <row r="939" spans="1:39" ht="15.75" customHeight="1">
      <c r="A939" s="382"/>
      <c r="B939" s="311"/>
      <c r="C939" s="1647"/>
      <c r="D939" s="2175"/>
      <c r="E939" s="1647"/>
      <c r="F939" s="1954"/>
      <c r="G939" s="2187"/>
      <c r="H939" s="1647"/>
      <c r="I939" s="1647"/>
      <c r="J939" s="2187"/>
      <c r="K939" s="1647"/>
      <c r="L939" s="1647"/>
      <c r="M939" s="2174"/>
      <c r="N939" s="836"/>
      <c r="O939" s="836"/>
      <c r="P939" s="2174"/>
      <c r="Q939" s="836"/>
      <c r="R939" s="309"/>
      <c r="S939" s="309"/>
      <c r="T939" s="309"/>
      <c r="U939" s="309"/>
      <c r="V939" s="311"/>
      <c r="W939" s="311"/>
      <c r="X939" s="311"/>
      <c r="Y939" s="311"/>
      <c r="Z939" s="311"/>
      <c r="AA939" s="311"/>
      <c r="AB939" s="311"/>
      <c r="AC939" s="311"/>
      <c r="AD939" s="311"/>
      <c r="AE939" s="311"/>
      <c r="AF939" s="311"/>
      <c r="AG939" s="311"/>
      <c r="AH939" s="311"/>
      <c r="AI939" s="311"/>
      <c r="AJ939" s="311"/>
      <c r="AK939" s="311"/>
      <c r="AL939" s="311"/>
      <c r="AM939" s="311"/>
    </row>
    <row r="940" spans="1:39" ht="15.75" customHeight="1">
      <c r="A940" s="382"/>
      <c r="B940" s="311"/>
      <c r="C940" s="1647"/>
      <c r="D940" s="2175"/>
      <c r="E940" s="1647"/>
      <c r="F940" s="1954"/>
      <c r="G940" s="2187"/>
      <c r="H940" s="1647"/>
      <c r="I940" s="1647"/>
      <c r="J940" s="2187"/>
      <c r="K940" s="1647"/>
      <c r="L940" s="1647"/>
      <c r="M940" s="2174"/>
      <c r="N940" s="836"/>
      <c r="O940" s="836"/>
      <c r="P940" s="2174"/>
      <c r="Q940" s="836"/>
      <c r="R940" s="309"/>
      <c r="S940" s="309"/>
      <c r="T940" s="309"/>
      <c r="U940" s="309"/>
      <c r="V940" s="311"/>
      <c r="W940" s="311"/>
      <c r="X940" s="311"/>
      <c r="Y940" s="311"/>
      <c r="Z940" s="311"/>
      <c r="AA940" s="311"/>
      <c r="AB940" s="311"/>
      <c r="AC940" s="311"/>
      <c r="AD940" s="311"/>
      <c r="AE940" s="311"/>
      <c r="AF940" s="311"/>
      <c r="AG940" s="311"/>
      <c r="AH940" s="311"/>
      <c r="AI940" s="311"/>
      <c r="AJ940" s="311"/>
      <c r="AK940" s="311"/>
      <c r="AL940" s="311"/>
      <c r="AM940" s="311"/>
    </row>
    <row r="941" spans="1:39" ht="15.75" customHeight="1">
      <c r="A941" s="382"/>
      <c r="B941" s="311"/>
      <c r="C941" s="1647"/>
      <c r="D941" s="2175"/>
      <c r="E941" s="1647"/>
      <c r="F941" s="1954"/>
      <c r="G941" s="2187"/>
      <c r="H941" s="1647"/>
      <c r="I941" s="1647"/>
      <c r="J941" s="2187"/>
      <c r="K941" s="1647"/>
      <c r="L941" s="1647"/>
      <c r="M941" s="2174"/>
      <c r="N941" s="836"/>
      <c r="O941" s="836"/>
      <c r="P941" s="2174"/>
      <c r="Q941" s="836"/>
      <c r="R941" s="309"/>
      <c r="S941" s="309"/>
      <c r="T941" s="309"/>
      <c r="U941" s="309"/>
      <c r="V941" s="311"/>
      <c r="W941" s="311"/>
      <c r="X941" s="311"/>
      <c r="Y941" s="311"/>
      <c r="Z941" s="311"/>
      <c r="AA941" s="311"/>
      <c r="AB941" s="311"/>
      <c r="AC941" s="311"/>
      <c r="AD941" s="311"/>
      <c r="AE941" s="311"/>
      <c r="AF941" s="311"/>
      <c r="AG941" s="311"/>
      <c r="AH941" s="311"/>
      <c r="AI941" s="311"/>
      <c r="AJ941" s="311"/>
      <c r="AK941" s="311"/>
      <c r="AL941" s="311"/>
      <c r="AM941" s="311"/>
    </row>
    <row r="942" spans="1:39" ht="15.75" customHeight="1">
      <c r="A942" s="382"/>
      <c r="B942" s="311"/>
      <c r="C942" s="1647"/>
      <c r="D942" s="2175"/>
      <c r="E942" s="1647"/>
      <c r="F942" s="1954"/>
      <c r="G942" s="2187"/>
      <c r="H942" s="1647"/>
      <c r="I942" s="1647"/>
      <c r="J942" s="2187"/>
      <c r="K942" s="1647"/>
      <c r="L942" s="1647"/>
      <c r="M942" s="2174"/>
      <c r="N942" s="836"/>
      <c r="O942" s="836"/>
      <c r="P942" s="2174"/>
      <c r="Q942" s="836"/>
      <c r="R942" s="309"/>
      <c r="S942" s="309"/>
      <c r="T942" s="309"/>
      <c r="U942" s="309"/>
      <c r="V942" s="311"/>
      <c r="W942" s="311"/>
      <c r="X942" s="311"/>
      <c r="Y942" s="311"/>
      <c r="Z942" s="311"/>
      <c r="AA942" s="311"/>
      <c r="AB942" s="311"/>
      <c r="AC942" s="311"/>
      <c r="AD942" s="311"/>
      <c r="AE942" s="311"/>
      <c r="AF942" s="311"/>
      <c r="AG942" s="311"/>
      <c r="AH942" s="311"/>
      <c r="AI942" s="311"/>
      <c r="AJ942" s="311"/>
      <c r="AK942" s="311"/>
      <c r="AL942" s="311"/>
      <c r="AM942" s="311"/>
    </row>
    <row r="943" spans="1:39" ht="15.75" customHeight="1">
      <c r="A943" s="382"/>
      <c r="B943" s="311"/>
      <c r="C943" s="1647"/>
      <c r="D943" s="2175"/>
      <c r="E943" s="1647"/>
      <c r="F943" s="1954"/>
      <c r="G943" s="2187"/>
      <c r="H943" s="1647"/>
      <c r="I943" s="1647"/>
      <c r="J943" s="2187"/>
      <c r="K943" s="1647"/>
      <c r="L943" s="1647"/>
      <c r="M943" s="2174"/>
      <c r="N943" s="836"/>
      <c r="O943" s="836"/>
      <c r="P943" s="2174"/>
      <c r="Q943" s="836"/>
      <c r="R943" s="309"/>
      <c r="S943" s="309"/>
      <c r="T943" s="309"/>
      <c r="U943" s="309"/>
      <c r="V943" s="311"/>
      <c r="W943" s="311"/>
      <c r="X943" s="311"/>
      <c r="Y943" s="311"/>
      <c r="Z943" s="311"/>
      <c r="AA943" s="311"/>
      <c r="AB943" s="311"/>
      <c r="AC943" s="311"/>
      <c r="AD943" s="311"/>
      <c r="AE943" s="311"/>
      <c r="AF943" s="311"/>
      <c r="AG943" s="311"/>
      <c r="AH943" s="311"/>
      <c r="AI943" s="311"/>
      <c r="AJ943" s="311"/>
      <c r="AK943" s="311"/>
      <c r="AL943" s="311"/>
      <c r="AM943" s="311"/>
    </row>
    <row r="944" spans="1:39" ht="15.75" customHeight="1">
      <c r="A944" s="382"/>
      <c r="B944" s="311"/>
      <c r="C944" s="1647"/>
      <c r="D944" s="2175"/>
      <c r="E944" s="1647"/>
      <c r="F944" s="1954"/>
      <c r="G944" s="2187"/>
      <c r="H944" s="1647"/>
      <c r="I944" s="1647"/>
      <c r="J944" s="2187"/>
      <c r="K944" s="1647"/>
      <c r="L944" s="1647"/>
      <c r="M944" s="2174"/>
      <c r="N944" s="836"/>
      <c r="O944" s="836"/>
      <c r="P944" s="2174"/>
      <c r="Q944" s="836"/>
      <c r="R944" s="309"/>
      <c r="S944" s="309"/>
      <c r="T944" s="309"/>
      <c r="U944" s="309"/>
      <c r="V944" s="311"/>
      <c r="W944" s="311"/>
      <c r="X944" s="311"/>
      <c r="Y944" s="311"/>
      <c r="Z944" s="311"/>
      <c r="AA944" s="311"/>
      <c r="AB944" s="311"/>
      <c r="AC944" s="311"/>
      <c r="AD944" s="311"/>
      <c r="AE944" s="311"/>
      <c r="AF944" s="311"/>
      <c r="AG944" s="311"/>
      <c r="AH944" s="311"/>
      <c r="AI944" s="311"/>
      <c r="AJ944" s="311"/>
      <c r="AK944" s="311"/>
      <c r="AL944" s="311"/>
      <c r="AM944" s="311"/>
    </row>
    <row r="945" spans="1:39" ht="15.75" customHeight="1">
      <c r="A945" s="382"/>
      <c r="B945" s="311"/>
      <c r="C945" s="1647"/>
      <c r="D945" s="2175"/>
      <c r="E945" s="1647"/>
      <c r="F945" s="1954"/>
      <c r="G945" s="2187"/>
      <c r="H945" s="1647"/>
      <c r="I945" s="1647"/>
      <c r="J945" s="2187"/>
      <c r="K945" s="1647"/>
      <c r="L945" s="1647"/>
      <c r="M945" s="2174"/>
      <c r="N945" s="836"/>
      <c r="O945" s="836"/>
      <c r="P945" s="2174"/>
      <c r="Q945" s="836"/>
      <c r="R945" s="309"/>
      <c r="S945" s="309"/>
      <c r="T945" s="309"/>
      <c r="U945" s="309"/>
      <c r="V945" s="311"/>
      <c r="W945" s="311"/>
      <c r="X945" s="311"/>
      <c r="Y945" s="311"/>
      <c r="Z945" s="311"/>
      <c r="AA945" s="311"/>
      <c r="AB945" s="311"/>
      <c r="AC945" s="311"/>
      <c r="AD945" s="311"/>
      <c r="AE945" s="311"/>
      <c r="AF945" s="311"/>
      <c r="AG945" s="311"/>
      <c r="AH945" s="311"/>
      <c r="AI945" s="311"/>
      <c r="AJ945" s="311"/>
      <c r="AK945" s="311"/>
      <c r="AL945" s="311"/>
      <c r="AM945" s="311"/>
    </row>
    <row r="946" spans="1:39" ht="15.75" customHeight="1">
      <c r="A946" s="382"/>
      <c r="B946" s="311"/>
      <c r="C946" s="1647"/>
      <c r="D946" s="2175"/>
      <c r="E946" s="1647"/>
      <c r="F946" s="1954"/>
      <c r="G946" s="2187"/>
      <c r="H946" s="1647"/>
      <c r="I946" s="1647"/>
      <c r="J946" s="2187"/>
      <c r="K946" s="1647"/>
      <c r="L946" s="1647"/>
      <c r="M946" s="2174"/>
      <c r="N946" s="836"/>
      <c r="O946" s="836"/>
      <c r="P946" s="2174"/>
      <c r="Q946" s="836"/>
      <c r="R946" s="309"/>
      <c r="S946" s="309"/>
      <c r="T946" s="309"/>
      <c r="U946" s="309"/>
      <c r="V946" s="311"/>
      <c r="W946" s="311"/>
      <c r="X946" s="311"/>
      <c r="Y946" s="311"/>
      <c r="Z946" s="311"/>
      <c r="AA946" s="311"/>
      <c r="AB946" s="311"/>
      <c r="AC946" s="311"/>
      <c r="AD946" s="311"/>
      <c r="AE946" s="311"/>
      <c r="AF946" s="311"/>
      <c r="AG946" s="311"/>
      <c r="AH946" s="311"/>
      <c r="AI946" s="311"/>
      <c r="AJ946" s="311"/>
      <c r="AK946" s="311"/>
      <c r="AL946" s="311"/>
      <c r="AM946" s="311"/>
    </row>
    <row r="947" spans="1:39" ht="15.75" customHeight="1">
      <c r="A947" s="382"/>
      <c r="B947" s="311"/>
      <c r="C947" s="1647"/>
      <c r="D947" s="2175"/>
      <c r="E947" s="1647"/>
      <c r="F947" s="1954"/>
      <c r="G947" s="2187"/>
      <c r="H947" s="1647"/>
      <c r="I947" s="1647"/>
      <c r="J947" s="2187"/>
      <c r="K947" s="1647"/>
      <c r="L947" s="1647"/>
      <c r="M947" s="2174"/>
      <c r="N947" s="836"/>
      <c r="O947" s="836"/>
      <c r="P947" s="2174"/>
      <c r="Q947" s="836"/>
      <c r="R947" s="309"/>
      <c r="S947" s="309"/>
      <c r="T947" s="309"/>
      <c r="U947" s="309"/>
      <c r="V947" s="311"/>
      <c r="W947" s="311"/>
      <c r="X947" s="311"/>
      <c r="Y947" s="311"/>
      <c r="Z947" s="311"/>
      <c r="AA947" s="311"/>
      <c r="AB947" s="311"/>
      <c r="AC947" s="311"/>
      <c r="AD947" s="311"/>
      <c r="AE947" s="311"/>
      <c r="AF947" s="311"/>
      <c r="AG947" s="311"/>
      <c r="AH947" s="311"/>
      <c r="AI947" s="311"/>
      <c r="AJ947" s="311"/>
      <c r="AK947" s="311"/>
      <c r="AL947" s="311"/>
      <c r="AM947" s="311"/>
    </row>
    <row r="948" spans="1:39" ht="15.75" customHeight="1">
      <c r="A948" s="382"/>
      <c r="B948" s="311"/>
      <c r="C948" s="1647"/>
      <c r="D948" s="2175"/>
      <c r="E948" s="1647"/>
      <c r="F948" s="1954"/>
      <c r="G948" s="2187"/>
      <c r="H948" s="1647"/>
      <c r="I948" s="1647"/>
      <c r="J948" s="2187"/>
      <c r="K948" s="1647"/>
      <c r="L948" s="1647"/>
      <c r="M948" s="2174"/>
      <c r="N948" s="836"/>
      <c r="O948" s="836"/>
      <c r="P948" s="2174"/>
      <c r="Q948" s="836"/>
      <c r="R948" s="309"/>
      <c r="S948" s="309"/>
      <c r="T948" s="309"/>
      <c r="U948" s="309"/>
      <c r="V948" s="311"/>
      <c r="W948" s="311"/>
      <c r="X948" s="311"/>
      <c r="Y948" s="311"/>
      <c r="Z948" s="311"/>
      <c r="AA948" s="311"/>
      <c r="AB948" s="311"/>
      <c r="AC948" s="311"/>
      <c r="AD948" s="311"/>
      <c r="AE948" s="311"/>
      <c r="AF948" s="311"/>
      <c r="AG948" s="311"/>
      <c r="AH948" s="311"/>
      <c r="AI948" s="311"/>
      <c r="AJ948" s="311"/>
      <c r="AK948" s="311"/>
      <c r="AL948" s="311"/>
      <c r="AM948" s="311"/>
    </row>
    <row r="949" spans="1:39" ht="15.75" customHeight="1">
      <c r="A949" s="382"/>
      <c r="B949" s="311"/>
      <c r="C949" s="1647"/>
      <c r="D949" s="2175"/>
      <c r="E949" s="1647"/>
      <c r="F949" s="1954"/>
      <c r="G949" s="2187"/>
      <c r="H949" s="1647"/>
      <c r="I949" s="1647"/>
      <c r="J949" s="2187"/>
      <c r="K949" s="1647"/>
      <c r="L949" s="1647"/>
      <c r="M949" s="2174"/>
      <c r="N949" s="836"/>
      <c r="O949" s="836"/>
      <c r="P949" s="2174"/>
      <c r="Q949" s="836"/>
      <c r="R949" s="309"/>
      <c r="S949" s="309"/>
      <c r="T949" s="309"/>
      <c r="U949" s="309"/>
      <c r="V949" s="311"/>
      <c r="W949" s="311"/>
      <c r="X949" s="311"/>
      <c r="Y949" s="311"/>
      <c r="Z949" s="311"/>
      <c r="AA949" s="311"/>
      <c r="AB949" s="311"/>
      <c r="AC949" s="311"/>
      <c r="AD949" s="311"/>
      <c r="AE949" s="311"/>
      <c r="AF949" s="311"/>
      <c r="AG949" s="311"/>
      <c r="AH949" s="311"/>
      <c r="AI949" s="311"/>
      <c r="AJ949" s="311"/>
      <c r="AK949" s="311"/>
      <c r="AL949" s="311"/>
      <c r="AM949" s="311"/>
    </row>
    <row r="950" spans="1:39" ht="15.75" customHeight="1">
      <c r="A950" s="382"/>
      <c r="B950" s="311"/>
      <c r="C950" s="1647"/>
      <c r="D950" s="2175"/>
      <c r="E950" s="1647"/>
      <c r="F950" s="1954"/>
      <c r="G950" s="2187"/>
      <c r="H950" s="1647"/>
      <c r="I950" s="1647"/>
      <c r="J950" s="2187"/>
      <c r="K950" s="1647"/>
      <c r="L950" s="1647"/>
      <c r="M950" s="2174"/>
      <c r="N950" s="836"/>
      <c r="O950" s="836"/>
      <c r="P950" s="2174"/>
      <c r="Q950" s="836"/>
      <c r="R950" s="309"/>
      <c r="S950" s="309"/>
      <c r="T950" s="309"/>
      <c r="U950" s="309"/>
      <c r="V950" s="311"/>
      <c r="W950" s="311"/>
      <c r="X950" s="311"/>
      <c r="Y950" s="311"/>
      <c r="Z950" s="311"/>
      <c r="AA950" s="311"/>
      <c r="AB950" s="311"/>
      <c r="AC950" s="311"/>
      <c r="AD950" s="311"/>
      <c r="AE950" s="311"/>
      <c r="AF950" s="311"/>
      <c r="AG950" s="311"/>
      <c r="AH950" s="311"/>
      <c r="AI950" s="311"/>
      <c r="AJ950" s="311"/>
      <c r="AK950" s="311"/>
      <c r="AL950" s="311"/>
      <c r="AM950" s="311"/>
    </row>
    <row r="951" spans="1:39" ht="15.75" customHeight="1">
      <c r="A951" s="382"/>
      <c r="B951" s="311"/>
      <c r="C951" s="1647"/>
      <c r="D951" s="2175"/>
      <c r="E951" s="1647"/>
      <c r="F951" s="1954"/>
      <c r="G951" s="2187"/>
      <c r="H951" s="1647"/>
      <c r="I951" s="1647"/>
      <c r="J951" s="2187"/>
      <c r="K951" s="1647"/>
      <c r="L951" s="1647"/>
      <c r="M951" s="2174"/>
      <c r="N951" s="836"/>
      <c r="O951" s="836"/>
      <c r="P951" s="2174"/>
      <c r="Q951" s="836"/>
      <c r="R951" s="309"/>
      <c r="S951" s="309"/>
      <c r="T951" s="309"/>
      <c r="U951" s="309"/>
      <c r="V951" s="311"/>
      <c r="W951" s="311"/>
      <c r="X951" s="311"/>
      <c r="Y951" s="311"/>
      <c r="Z951" s="311"/>
      <c r="AA951" s="311"/>
      <c r="AB951" s="311"/>
      <c r="AC951" s="311"/>
      <c r="AD951" s="311"/>
      <c r="AE951" s="311"/>
      <c r="AF951" s="311"/>
      <c r="AG951" s="311"/>
      <c r="AH951" s="311"/>
      <c r="AI951" s="311"/>
      <c r="AJ951" s="311"/>
      <c r="AK951" s="311"/>
      <c r="AL951" s="311"/>
      <c r="AM951" s="311"/>
    </row>
    <row r="952" spans="1:39" ht="15.75" customHeight="1">
      <c r="A952" s="382"/>
      <c r="B952" s="311"/>
      <c r="C952" s="1647"/>
      <c r="D952" s="2175"/>
      <c r="E952" s="1647"/>
      <c r="F952" s="1954"/>
      <c r="G952" s="2187"/>
      <c r="H952" s="1647"/>
      <c r="I952" s="1647"/>
      <c r="J952" s="2187"/>
      <c r="K952" s="1647"/>
      <c r="L952" s="1647"/>
      <c r="M952" s="2174"/>
      <c r="N952" s="836"/>
      <c r="O952" s="836"/>
      <c r="P952" s="2174"/>
      <c r="Q952" s="836"/>
      <c r="R952" s="309"/>
      <c r="S952" s="309"/>
      <c r="T952" s="309"/>
      <c r="U952" s="309"/>
      <c r="V952" s="311"/>
      <c r="W952" s="311"/>
      <c r="X952" s="311"/>
      <c r="Y952" s="311"/>
      <c r="Z952" s="311"/>
      <c r="AA952" s="311"/>
      <c r="AB952" s="311"/>
      <c r="AC952" s="311"/>
      <c r="AD952" s="311"/>
      <c r="AE952" s="311"/>
      <c r="AF952" s="311"/>
      <c r="AG952" s="311"/>
      <c r="AH952" s="311"/>
      <c r="AI952" s="311"/>
      <c r="AJ952" s="311"/>
      <c r="AK952" s="311"/>
      <c r="AL952" s="311"/>
      <c r="AM952" s="311"/>
    </row>
    <row r="953" spans="1:39" ht="15.75" customHeight="1">
      <c r="A953" s="382"/>
      <c r="B953" s="311"/>
      <c r="C953" s="1647"/>
      <c r="D953" s="2175"/>
      <c r="E953" s="1647"/>
      <c r="F953" s="1954"/>
      <c r="G953" s="2187"/>
      <c r="H953" s="1647"/>
      <c r="I953" s="1647"/>
      <c r="J953" s="2187"/>
      <c r="K953" s="1647"/>
      <c r="L953" s="1647"/>
      <c r="M953" s="2174"/>
      <c r="N953" s="836"/>
      <c r="O953" s="836"/>
      <c r="P953" s="2174"/>
      <c r="Q953" s="836"/>
      <c r="R953" s="309"/>
      <c r="S953" s="309"/>
      <c r="T953" s="309"/>
      <c r="U953" s="309"/>
      <c r="V953" s="311"/>
      <c r="W953" s="311"/>
      <c r="X953" s="311"/>
      <c r="Y953" s="311"/>
      <c r="Z953" s="311"/>
      <c r="AA953" s="311"/>
      <c r="AB953" s="311"/>
      <c r="AC953" s="311"/>
      <c r="AD953" s="311"/>
      <c r="AE953" s="311"/>
      <c r="AF953" s="311"/>
      <c r="AG953" s="311"/>
      <c r="AH953" s="311"/>
      <c r="AI953" s="311"/>
      <c r="AJ953" s="311"/>
      <c r="AK953" s="311"/>
      <c r="AL953" s="311"/>
      <c r="AM953" s="311"/>
    </row>
    <row r="954" spans="1:39" ht="15.75" customHeight="1">
      <c r="A954" s="382"/>
      <c r="B954" s="311"/>
      <c r="C954" s="1647"/>
      <c r="D954" s="2175"/>
      <c r="E954" s="1647"/>
      <c r="F954" s="1954"/>
      <c r="G954" s="2187"/>
      <c r="H954" s="1647"/>
      <c r="I954" s="1647"/>
      <c r="J954" s="2187"/>
      <c r="K954" s="1647"/>
      <c r="L954" s="1647"/>
      <c r="M954" s="2174"/>
      <c r="N954" s="836"/>
      <c r="O954" s="836"/>
      <c r="P954" s="2174"/>
      <c r="Q954" s="836"/>
      <c r="R954" s="309"/>
      <c r="S954" s="309"/>
      <c r="T954" s="309"/>
      <c r="U954" s="309"/>
      <c r="V954" s="311"/>
      <c r="W954" s="311"/>
      <c r="X954" s="311"/>
      <c r="Y954" s="311"/>
      <c r="Z954" s="311"/>
      <c r="AA954" s="311"/>
      <c r="AB954" s="311"/>
      <c r="AC954" s="311"/>
      <c r="AD954" s="311"/>
      <c r="AE954" s="311"/>
      <c r="AF954" s="311"/>
      <c r="AG954" s="311"/>
      <c r="AH954" s="311"/>
      <c r="AI954" s="311"/>
      <c r="AJ954" s="311"/>
      <c r="AK954" s="311"/>
      <c r="AL954" s="311"/>
      <c r="AM954" s="311"/>
    </row>
    <row r="955" spans="1:39" ht="15.75" customHeight="1">
      <c r="A955" s="382"/>
      <c r="B955" s="311"/>
      <c r="C955" s="1647"/>
      <c r="D955" s="2175"/>
      <c r="E955" s="1647"/>
      <c r="F955" s="1954"/>
      <c r="G955" s="2187"/>
      <c r="H955" s="1647"/>
      <c r="I955" s="1647"/>
      <c r="J955" s="2187"/>
      <c r="K955" s="1647"/>
      <c r="L955" s="1647"/>
      <c r="M955" s="2174"/>
      <c r="N955" s="836"/>
      <c r="O955" s="836"/>
      <c r="P955" s="2174"/>
      <c r="Q955" s="836"/>
      <c r="R955" s="309"/>
      <c r="S955" s="309"/>
      <c r="T955" s="309"/>
      <c r="U955" s="309"/>
      <c r="V955" s="311"/>
      <c r="W955" s="311"/>
      <c r="X955" s="311"/>
      <c r="Y955" s="311"/>
      <c r="Z955" s="311"/>
      <c r="AA955" s="311"/>
      <c r="AB955" s="311"/>
      <c r="AC955" s="311"/>
      <c r="AD955" s="311"/>
      <c r="AE955" s="311"/>
      <c r="AF955" s="311"/>
      <c r="AG955" s="311"/>
      <c r="AH955" s="311"/>
      <c r="AI955" s="311"/>
      <c r="AJ955" s="311"/>
      <c r="AK955" s="311"/>
      <c r="AL955" s="311"/>
      <c r="AM955" s="311"/>
    </row>
    <row r="956" spans="1:39" ht="15.75" customHeight="1">
      <c r="A956" s="382"/>
      <c r="B956" s="311"/>
      <c r="C956" s="1647"/>
      <c r="D956" s="2175"/>
      <c r="E956" s="1647"/>
      <c r="F956" s="1954"/>
      <c r="G956" s="2187"/>
      <c r="H956" s="1647"/>
      <c r="I956" s="1647"/>
      <c r="J956" s="2187"/>
      <c r="K956" s="1647"/>
      <c r="L956" s="1647"/>
      <c r="M956" s="2174"/>
      <c r="N956" s="836"/>
      <c r="O956" s="836"/>
      <c r="P956" s="2174"/>
      <c r="Q956" s="836"/>
      <c r="R956" s="309"/>
      <c r="S956" s="309"/>
      <c r="T956" s="309"/>
      <c r="U956" s="309"/>
      <c r="V956" s="311"/>
      <c r="W956" s="311"/>
      <c r="X956" s="311"/>
      <c r="Y956" s="311"/>
      <c r="Z956" s="311"/>
      <c r="AA956" s="311"/>
      <c r="AB956" s="311"/>
      <c r="AC956" s="311"/>
      <c r="AD956" s="311"/>
      <c r="AE956" s="311"/>
      <c r="AF956" s="311"/>
      <c r="AG956" s="311"/>
      <c r="AH956" s="311"/>
      <c r="AI956" s="311"/>
      <c r="AJ956" s="311"/>
      <c r="AK956" s="311"/>
      <c r="AL956" s="311"/>
      <c r="AM956" s="311"/>
    </row>
    <row r="957" spans="1:39" ht="15.75" customHeight="1">
      <c r="A957" s="382"/>
      <c r="B957" s="311"/>
      <c r="C957" s="1647"/>
      <c r="D957" s="2175"/>
      <c r="E957" s="1647"/>
      <c r="F957" s="1954"/>
      <c r="G957" s="2187"/>
      <c r="H957" s="1647"/>
      <c r="I957" s="1647"/>
      <c r="J957" s="2187"/>
      <c r="K957" s="1647"/>
      <c r="L957" s="1647"/>
      <c r="M957" s="2174"/>
      <c r="N957" s="836"/>
      <c r="O957" s="836"/>
      <c r="P957" s="2174"/>
      <c r="Q957" s="836"/>
      <c r="R957" s="309"/>
      <c r="S957" s="309"/>
      <c r="T957" s="309"/>
      <c r="U957" s="309"/>
      <c r="V957" s="311"/>
      <c r="W957" s="311"/>
      <c r="X957" s="311"/>
      <c r="Y957" s="311"/>
      <c r="Z957" s="311"/>
      <c r="AA957" s="311"/>
      <c r="AB957" s="311"/>
      <c r="AC957" s="311"/>
      <c r="AD957" s="311"/>
      <c r="AE957" s="311"/>
      <c r="AF957" s="311"/>
      <c r="AG957" s="311"/>
      <c r="AH957" s="311"/>
      <c r="AI957" s="311"/>
      <c r="AJ957" s="311"/>
      <c r="AK957" s="311"/>
      <c r="AL957" s="311"/>
      <c r="AM957" s="311"/>
    </row>
    <row r="958" spans="1:39" ht="15.75" customHeight="1">
      <c r="A958" s="382"/>
      <c r="B958" s="311"/>
      <c r="C958" s="1647"/>
      <c r="D958" s="2175"/>
      <c r="E958" s="1647"/>
      <c r="F958" s="1954"/>
      <c r="G958" s="2187"/>
      <c r="H958" s="1647"/>
      <c r="I958" s="1647"/>
      <c r="J958" s="2187"/>
      <c r="K958" s="1647"/>
      <c r="L958" s="1647"/>
      <c r="M958" s="2174"/>
      <c r="N958" s="836"/>
      <c r="O958" s="836"/>
      <c r="P958" s="2174"/>
      <c r="Q958" s="836"/>
      <c r="R958" s="309"/>
      <c r="S958" s="309"/>
      <c r="T958" s="309"/>
      <c r="U958" s="309"/>
      <c r="V958" s="311"/>
      <c r="W958" s="311"/>
      <c r="X958" s="311"/>
      <c r="Y958" s="311"/>
      <c r="Z958" s="311"/>
      <c r="AA958" s="311"/>
      <c r="AB958" s="311"/>
      <c r="AC958" s="311"/>
      <c r="AD958" s="311"/>
      <c r="AE958" s="311"/>
      <c r="AF958" s="311"/>
      <c r="AG958" s="311"/>
      <c r="AH958" s="311"/>
      <c r="AI958" s="311"/>
      <c r="AJ958" s="311"/>
      <c r="AK958" s="311"/>
      <c r="AL958" s="311"/>
      <c r="AM958" s="311"/>
    </row>
    <row r="959" spans="1:39" ht="15.75" customHeight="1">
      <c r="A959" s="382"/>
      <c r="B959" s="311"/>
      <c r="C959" s="1647"/>
      <c r="D959" s="2175"/>
      <c r="E959" s="1647"/>
      <c r="F959" s="1954"/>
      <c r="G959" s="2187"/>
      <c r="H959" s="1647"/>
      <c r="I959" s="1647"/>
      <c r="J959" s="2187"/>
      <c r="K959" s="1647"/>
      <c r="L959" s="1647"/>
      <c r="M959" s="2174"/>
      <c r="N959" s="836"/>
      <c r="O959" s="836"/>
      <c r="P959" s="2174"/>
      <c r="Q959" s="836"/>
      <c r="R959" s="309"/>
      <c r="S959" s="309"/>
      <c r="T959" s="309"/>
      <c r="U959" s="309"/>
      <c r="V959" s="311"/>
      <c r="W959" s="311"/>
      <c r="X959" s="311"/>
      <c r="Y959" s="311"/>
      <c r="Z959" s="311"/>
      <c r="AA959" s="311"/>
      <c r="AB959" s="311"/>
      <c r="AC959" s="311"/>
      <c r="AD959" s="311"/>
      <c r="AE959" s="311"/>
      <c r="AF959" s="311"/>
      <c r="AG959" s="311"/>
      <c r="AH959" s="311"/>
      <c r="AI959" s="311"/>
      <c r="AJ959" s="311"/>
      <c r="AK959" s="311"/>
      <c r="AL959" s="311"/>
      <c r="AM959" s="311"/>
    </row>
    <row r="960" spans="1:39" ht="15.75" customHeight="1">
      <c r="A960" s="382"/>
      <c r="B960" s="311"/>
      <c r="C960" s="1647"/>
      <c r="D960" s="2175"/>
      <c r="E960" s="1647"/>
      <c r="F960" s="1954"/>
      <c r="G960" s="2187"/>
      <c r="H960" s="1647"/>
      <c r="I960" s="1647"/>
      <c r="J960" s="2187"/>
      <c r="K960" s="1647"/>
      <c r="L960" s="1647"/>
      <c r="M960" s="2174"/>
      <c r="N960" s="836"/>
      <c r="O960" s="836"/>
      <c r="P960" s="2174"/>
      <c r="Q960" s="836"/>
      <c r="R960" s="309"/>
      <c r="S960" s="309"/>
      <c r="T960" s="309"/>
      <c r="U960" s="309"/>
      <c r="V960" s="311"/>
      <c r="W960" s="311"/>
      <c r="X960" s="311"/>
      <c r="Y960" s="311"/>
      <c r="Z960" s="311"/>
      <c r="AA960" s="311"/>
      <c r="AB960" s="311"/>
      <c r="AC960" s="311"/>
      <c r="AD960" s="311"/>
      <c r="AE960" s="311"/>
      <c r="AF960" s="311"/>
      <c r="AG960" s="311"/>
      <c r="AH960" s="311"/>
      <c r="AI960" s="311"/>
      <c r="AJ960" s="311"/>
      <c r="AK960" s="311"/>
      <c r="AL960" s="311"/>
      <c r="AM960" s="311"/>
    </row>
    <row r="961" spans="1:39" ht="15.75" customHeight="1">
      <c r="A961" s="382"/>
      <c r="B961" s="311"/>
      <c r="C961" s="1647"/>
      <c r="D961" s="2175"/>
      <c r="E961" s="1647"/>
      <c r="F961" s="1954"/>
      <c r="G961" s="2187"/>
      <c r="H961" s="1647"/>
      <c r="I961" s="1647"/>
      <c r="J961" s="2187"/>
      <c r="K961" s="1647"/>
      <c r="L961" s="1647"/>
      <c r="M961" s="2174"/>
      <c r="N961" s="836"/>
      <c r="O961" s="836"/>
      <c r="P961" s="2174"/>
      <c r="Q961" s="836"/>
      <c r="R961" s="309"/>
      <c r="S961" s="309"/>
      <c r="T961" s="309"/>
      <c r="U961" s="309"/>
      <c r="V961" s="311"/>
      <c r="W961" s="311"/>
      <c r="X961" s="311"/>
      <c r="Y961" s="311"/>
      <c r="Z961" s="311"/>
      <c r="AA961" s="311"/>
      <c r="AB961" s="311"/>
      <c r="AC961" s="311"/>
      <c r="AD961" s="311"/>
      <c r="AE961" s="311"/>
      <c r="AF961" s="311"/>
      <c r="AG961" s="311"/>
      <c r="AH961" s="311"/>
      <c r="AI961" s="311"/>
      <c r="AJ961" s="311"/>
      <c r="AK961" s="311"/>
      <c r="AL961" s="311"/>
      <c r="AM961" s="311"/>
    </row>
    <row r="962" spans="1:39" ht="15.75" customHeight="1">
      <c r="A962" s="382"/>
      <c r="B962" s="311"/>
      <c r="C962" s="1647"/>
      <c r="D962" s="2175"/>
      <c r="E962" s="1647"/>
      <c r="F962" s="1954"/>
      <c r="G962" s="2187"/>
      <c r="H962" s="1647"/>
      <c r="I962" s="1647"/>
      <c r="J962" s="2187"/>
      <c r="K962" s="1647"/>
      <c r="L962" s="1647"/>
      <c r="M962" s="2174"/>
      <c r="N962" s="836"/>
      <c r="O962" s="836"/>
      <c r="P962" s="2174"/>
      <c r="Q962" s="836"/>
      <c r="R962" s="309"/>
      <c r="S962" s="309"/>
      <c r="T962" s="309"/>
      <c r="U962" s="309"/>
      <c r="V962" s="311"/>
      <c r="W962" s="311"/>
      <c r="X962" s="311"/>
      <c r="Y962" s="311"/>
      <c r="Z962" s="311"/>
      <c r="AA962" s="311"/>
      <c r="AB962" s="311"/>
      <c r="AC962" s="311"/>
      <c r="AD962" s="311"/>
      <c r="AE962" s="311"/>
      <c r="AF962" s="311"/>
      <c r="AG962" s="311"/>
      <c r="AH962" s="311"/>
      <c r="AI962" s="311"/>
      <c r="AJ962" s="311"/>
      <c r="AK962" s="311"/>
      <c r="AL962" s="311"/>
      <c r="AM962" s="311"/>
    </row>
    <row r="963" spans="1:39" ht="15.75" customHeight="1">
      <c r="A963" s="382"/>
      <c r="B963" s="311"/>
      <c r="C963" s="1647"/>
      <c r="D963" s="2175"/>
      <c r="E963" s="1647"/>
      <c r="F963" s="1954"/>
      <c r="G963" s="2187"/>
      <c r="H963" s="1647"/>
      <c r="I963" s="1647"/>
      <c r="J963" s="2187"/>
      <c r="K963" s="1647"/>
      <c r="L963" s="1647"/>
      <c r="M963" s="2174"/>
      <c r="N963" s="836"/>
      <c r="O963" s="836"/>
      <c r="P963" s="2174"/>
      <c r="Q963" s="836"/>
      <c r="R963" s="309"/>
      <c r="S963" s="309"/>
      <c r="T963" s="309"/>
      <c r="U963" s="309"/>
      <c r="V963" s="311"/>
      <c r="W963" s="311"/>
      <c r="X963" s="311"/>
      <c r="Y963" s="311"/>
      <c r="Z963" s="311"/>
      <c r="AA963" s="311"/>
      <c r="AB963" s="311"/>
      <c r="AC963" s="311"/>
      <c r="AD963" s="311"/>
      <c r="AE963" s="311"/>
      <c r="AF963" s="311"/>
      <c r="AG963" s="311"/>
      <c r="AH963" s="311"/>
      <c r="AI963" s="311"/>
      <c r="AJ963" s="311"/>
      <c r="AK963" s="311"/>
      <c r="AL963" s="311"/>
      <c r="AM963" s="311"/>
    </row>
    <row r="964" spans="1:39" ht="15.75" customHeight="1">
      <c r="A964" s="382"/>
      <c r="B964" s="311"/>
      <c r="C964" s="1647"/>
      <c r="D964" s="2175"/>
      <c r="E964" s="1647"/>
      <c r="F964" s="1954"/>
      <c r="G964" s="2187"/>
      <c r="H964" s="1647"/>
      <c r="I964" s="1647"/>
      <c r="J964" s="2187"/>
      <c r="K964" s="1647"/>
      <c r="L964" s="1647"/>
      <c r="M964" s="2174"/>
      <c r="N964" s="836"/>
      <c r="O964" s="836"/>
      <c r="P964" s="2174"/>
      <c r="Q964" s="836"/>
      <c r="R964" s="309"/>
      <c r="S964" s="309"/>
      <c r="T964" s="309"/>
      <c r="U964" s="309"/>
      <c r="V964" s="311"/>
      <c r="W964" s="311"/>
      <c r="X964" s="311"/>
      <c r="Y964" s="311"/>
      <c r="Z964" s="311"/>
      <c r="AA964" s="311"/>
      <c r="AB964" s="311"/>
      <c r="AC964" s="311"/>
      <c r="AD964" s="311"/>
      <c r="AE964" s="311"/>
      <c r="AF964" s="311"/>
      <c r="AG964" s="311"/>
      <c r="AH964" s="311"/>
      <c r="AI964" s="311"/>
      <c r="AJ964" s="311"/>
      <c r="AK964" s="311"/>
      <c r="AL964" s="311"/>
      <c r="AM964" s="311"/>
    </row>
    <row r="965" spans="1:39" ht="15.75" customHeight="1">
      <c r="A965" s="382"/>
      <c r="B965" s="311"/>
      <c r="C965" s="1647"/>
      <c r="D965" s="2175"/>
      <c r="E965" s="1647"/>
      <c r="F965" s="1954"/>
      <c r="G965" s="2187"/>
      <c r="H965" s="1647"/>
      <c r="I965" s="1647"/>
      <c r="J965" s="2187"/>
      <c r="K965" s="1647"/>
      <c r="L965" s="1647"/>
      <c r="M965" s="2174"/>
      <c r="N965" s="836"/>
      <c r="O965" s="836"/>
      <c r="P965" s="2174"/>
      <c r="Q965" s="836"/>
      <c r="R965" s="309"/>
      <c r="S965" s="309"/>
      <c r="T965" s="309"/>
      <c r="U965" s="309"/>
      <c r="V965" s="311"/>
      <c r="W965" s="311"/>
      <c r="X965" s="311"/>
      <c r="Y965" s="311"/>
      <c r="Z965" s="311"/>
      <c r="AA965" s="311"/>
      <c r="AB965" s="311"/>
      <c r="AC965" s="311"/>
      <c r="AD965" s="311"/>
      <c r="AE965" s="311"/>
      <c r="AF965" s="311"/>
      <c r="AG965" s="311"/>
      <c r="AH965" s="311"/>
      <c r="AI965" s="311"/>
      <c r="AJ965" s="311"/>
      <c r="AK965" s="311"/>
      <c r="AL965" s="311"/>
      <c r="AM965" s="311"/>
    </row>
    <row r="966" spans="1:39" ht="15.75" customHeight="1">
      <c r="A966" s="382"/>
      <c r="B966" s="311"/>
      <c r="C966" s="1647"/>
      <c r="D966" s="2175"/>
      <c r="E966" s="1647"/>
      <c r="F966" s="1954"/>
      <c r="G966" s="2187"/>
      <c r="H966" s="1647"/>
      <c r="I966" s="1647"/>
      <c r="J966" s="2187"/>
      <c r="K966" s="1647"/>
      <c r="L966" s="1647"/>
      <c r="M966" s="2174"/>
      <c r="N966" s="836"/>
      <c r="O966" s="836"/>
      <c r="P966" s="2174"/>
      <c r="Q966" s="836"/>
      <c r="R966" s="309"/>
      <c r="S966" s="309"/>
      <c r="T966" s="309"/>
      <c r="U966" s="309"/>
      <c r="V966" s="311"/>
      <c r="W966" s="311"/>
      <c r="X966" s="311"/>
      <c r="Y966" s="311"/>
      <c r="Z966" s="311"/>
      <c r="AA966" s="311"/>
      <c r="AB966" s="311"/>
      <c r="AC966" s="311"/>
      <c r="AD966" s="311"/>
      <c r="AE966" s="311"/>
      <c r="AF966" s="311"/>
      <c r="AG966" s="311"/>
      <c r="AH966" s="311"/>
      <c r="AI966" s="311"/>
      <c r="AJ966" s="311"/>
      <c r="AK966" s="311"/>
      <c r="AL966" s="311"/>
      <c r="AM966" s="311"/>
    </row>
    <row r="967" spans="1:39" ht="15.75" customHeight="1">
      <c r="A967" s="382"/>
      <c r="B967" s="311"/>
      <c r="C967" s="1647"/>
      <c r="D967" s="2175"/>
      <c r="E967" s="1647"/>
      <c r="F967" s="1954"/>
      <c r="G967" s="2187"/>
      <c r="H967" s="1647"/>
      <c r="I967" s="1647"/>
      <c r="J967" s="2187"/>
      <c r="K967" s="1647"/>
      <c r="L967" s="1647"/>
      <c r="M967" s="2174"/>
      <c r="N967" s="836"/>
      <c r="O967" s="836"/>
      <c r="P967" s="2174"/>
      <c r="Q967" s="836"/>
      <c r="R967" s="309"/>
      <c r="S967" s="309"/>
      <c r="T967" s="309"/>
      <c r="U967" s="309"/>
      <c r="V967" s="311"/>
      <c r="W967" s="311"/>
      <c r="X967" s="311"/>
      <c r="Y967" s="311"/>
      <c r="Z967" s="311"/>
      <c r="AA967" s="311"/>
      <c r="AB967" s="311"/>
      <c r="AC967" s="311"/>
      <c r="AD967" s="311"/>
      <c r="AE967" s="311"/>
      <c r="AF967" s="311"/>
      <c r="AG967" s="311"/>
      <c r="AH967" s="311"/>
      <c r="AI967" s="311"/>
      <c r="AJ967" s="311"/>
      <c r="AK967" s="311"/>
      <c r="AL967" s="311"/>
      <c r="AM967" s="311"/>
    </row>
    <row r="968" spans="1:39" ht="15.75" customHeight="1">
      <c r="A968" s="382"/>
      <c r="B968" s="311"/>
      <c r="C968" s="1647"/>
      <c r="D968" s="2175"/>
      <c r="E968" s="1647"/>
      <c r="F968" s="1954"/>
      <c r="G968" s="2187"/>
      <c r="H968" s="1647"/>
      <c r="I968" s="1647"/>
      <c r="J968" s="2187"/>
      <c r="K968" s="1647"/>
      <c r="L968" s="1647"/>
      <c r="M968" s="2174"/>
      <c r="N968" s="836"/>
      <c r="O968" s="836"/>
      <c r="P968" s="2174"/>
      <c r="Q968" s="836"/>
      <c r="R968" s="309"/>
      <c r="S968" s="309"/>
      <c r="T968" s="309"/>
      <c r="U968" s="309"/>
      <c r="V968" s="311"/>
      <c r="W968" s="311"/>
      <c r="X968" s="311"/>
      <c r="Y968" s="311"/>
      <c r="Z968" s="311"/>
      <c r="AA968" s="311"/>
      <c r="AB968" s="311"/>
      <c r="AC968" s="311"/>
      <c r="AD968" s="311"/>
      <c r="AE968" s="311"/>
      <c r="AF968" s="311"/>
      <c r="AG968" s="311"/>
      <c r="AH968" s="311"/>
      <c r="AI968" s="311"/>
      <c r="AJ968" s="311"/>
      <c r="AK968" s="311"/>
      <c r="AL968" s="311"/>
      <c r="AM968" s="311"/>
    </row>
    <row r="969" spans="1:39" ht="15.75" customHeight="1">
      <c r="A969" s="382"/>
      <c r="B969" s="311"/>
      <c r="C969" s="1647"/>
      <c r="D969" s="2175"/>
      <c r="E969" s="1647"/>
      <c r="F969" s="1954"/>
      <c r="G969" s="2187"/>
      <c r="H969" s="1647"/>
      <c r="I969" s="1647"/>
      <c r="J969" s="2187"/>
      <c r="K969" s="1647"/>
      <c r="L969" s="1647"/>
      <c r="M969" s="2174"/>
      <c r="N969" s="836"/>
      <c r="O969" s="836"/>
      <c r="P969" s="2174"/>
      <c r="Q969" s="836"/>
      <c r="R969" s="309"/>
      <c r="S969" s="309"/>
      <c r="T969" s="309"/>
      <c r="U969" s="309"/>
      <c r="V969" s="311"/>
      <c r="W969" s="311"/>
      <c r="X969" s="311"/>
      <c r="Y969" s="311"/>
      <c r="Z969" s="311"/>
      <c r="AA969" s="311"/>
      <c r="AB969" s="311"/>
      <c r="AC969" s="311"/>
      <c r="AD969" s="311"/>
      <c r="AE969" s="311"/>
      <c r="AF969" s="311"/>
      <c r="AG969" s="311"/>
      <c r="AH969" s="311"/>
      <c r="AI969" s="311"/>
      <c r="AJ969" s="311"/>
      <c r="AK969" s="311"/>
      <c r="AL969" s="311"/>
      <c r="AM969" s="311"/>
    </row>
    <row r="970" spans="1:39" ht="15.75" customHeight="1">
      <c r="A970" s="382"/>
      <c r="B970" s="311"/>
      <c r="C970" s="1647"/>
      <c r="D970" s="2175"/>
      <c r="E970" s="1647"/>
      <c r="F970" s="1954"/>
      <c r="G970" s="2187"/>
      <c r="H970" s="1647"/>
      <c r="I970" s="1647"/>
      <c r="J970" s="2187"/>
      <c r="K970" s="1647"/>
      <c r="L970" s="1647"/>
      <c r="M970" s="2174"/>
      <c r="N970" s="836"/>
      <c r="O970" s="836"/>
      <c r="P970" s="2174"/>
      <c r="Q970" s="836"/>
      <c r="R970" s="309"/>
      <c r="S970" s="309"/>
      <c r="T970" s="309"/>
      <c r="U970" s="309"/>
      <c r="V970" s="311"/>
      <c r="W970" s="311"/>
      <c r="X970" s="311"/>
      <c r="Y970" s="311"/>
      <c r="Z970" s="311"/>
      <c r="AA970" s="311"/>
      <c r="AB970" s="311"/>
      <c r="AC970" s="311"/>
      <c r="AD970" s="311"/>
      <c r="AE970" s="311"/>
      <c r="AF970" s="311"/>
      <c r="AG970" s="311"/>
      <c r="AH970" s="311"/>
      <c r="AI970" s="311"/>
      <c r="AJ970" s="311"/>
      <c r="AK970" s="311"/>
      <c r="AL970" s="311"/>
      <c r="AM970" s="311"/>
    </row>
    <row r="971" spans="1:39" ht="15.75" customHeight="1">
      <c r="A971" s="382"/>
      <c r="B971" s="311"/>
      <c r="C971" s="1647"/>
      <c r="D971" s="2175"/>
      <c r="E971" s="1647"/>
      <c r="F971" s="1954"/>
      <c r="G971" s="2187"/>
      <c r="H971" s="1647"/>
      <c r="I971" s="1647"/>
      <c r="J971" s="2187"/>
      <c r="K971" s="1647"/>
      <c r="L971" s="1647"/>
      <c r="M971" s="2174"/>
      <c r="N971" s="836"/>
      <c r="O971" s="836"/>
      <c r="P971" s="2174"/>
      <c r="Q971" s="836"/>
      <c r="R971" s="309"/>
      <c r="S971" s="309"/>
      <c r="T971" s="309"/>
      <c r="U971" s="309"/>
      <c r="V971" s="311"/>
      <c r="W971" s="311"/>
      <c r="X971" s="311"/>
      <c r="Y971" s="311"/>
      <c r="Z971" s="311"/>
      <c r="AA971" s="311"/>
      <c r="AB971" s="311"/>
      <c r="AC971" s="311"/>
      <c r="AD971" s="311"/>
      <c r="AE971" s="311"/>
      <c r="AF971" s="311"/>
      <c r="AG971" s="311"/>
      <c r="AH971" s="311"/>
      <c r="AI971" s="311"/>
      <c r="AJ971" s="311"/>
      <c r="AK971" s="311"/>
      <c r="AL971" s="311"/>
      <c r="AM971" s="311"/>
    </row>
    <row r="972" spans="1:39" ht="15.75" customHeight="1">
      <c r="A972" s="382"/>
      <c r="B972" s="311"/>
      <c r="C972" s="1647"/>
      <c r="D972" s="2175"/>
      <c r="E972" s="1647"/>
      <c r="F972" s="1954"/>
      <c r="G972" s="2187"/>
      <c r="H972" s="1647"/>
      <c r="I972" s="1647"/>
      <c r="J972" s="2187"/>
      <c r="K972" s="1647"/>
      <c r="L972" s="1647"/>
      <c r="M972" s="2174"/>
      <c r="N972" s="836"/>
      <c r="O972" s="836"/>
      <c r="P972" s="2174"/>
      <c r="Q972" s="836"/>
      <c r="R972" s="309"/>
      <c r="S972" s="309"/>
      <c r="T972" s="309"/>
      <c r="U972" s="309"/>
      <c r="V972" s="311"/>
      <c r="W972" s="311"/>
      <c r="X972" s="311"/>
      <c r="Y972" s="311"/>
      <c r="Z972" s="311"/>
      <c r="AA972" s="311"/>
      <c r="AB972" s="311"/>
      <c r="AC972" s="311"/>
      <c r="AD972" s="311"/>
      <c r="AE972" s="311"/>
      <c r="AF972" s="311"/>
      <c r="AG972" s="311"/>
      <c r="AH972" s="311"/>
      <c r="AI972" s="311"/>
      <c r="AJ972" s="311"/>
      <c r="AK972" s="311"/>
      <c r="AL972" s="311"/>
      <c r="AM972" s="311"/>
    </row>
    <row r="973" spans="1:39" ht="15.75" customHeight="1">
      <c r="A973" s="382"/>
      <c r="B973" s="311"/>
      <c r="C973" s="1647"/>
      <c r="D973" s="2175"/>
      <c r="E973" s="1647"/>
      <c r="F973" s="1954"/>
      <c r="G973" s="2187"/>
      <c r="H973" s="1647"/>
      <c r="I973" s="1647"/>
      <c r="J973" s="2187"/>
      <c r="K973" s="1647"/>
      <c r="L973" s="1647"/>
      <c r="M973" s="2174"/>
      <c r="N973" s="836"/>
      <c r="O973" s="836"/>
      <c r="P973" s="2174"/>
      <c r="Q973" s="836"/>
      <c r="R973" s="309"/>
      <c r="S973" s="309"/>
      <c r="T973" s="309"/>
      <c r="U973" s="309"/>
      <c r="V973" s="311"/>
      <c r="W973" s="311"/>
      <c r="X973" s="311"/>
      <c r="Y973" s="311"/>
      <c r="Z973" s="311"/>
      <c r="AA973" s="311"/>
      <c r="AB973" s="311"/>
      <c r="AC973" s="311"/>
      <c r="AD973" s="311"/>
      <c r="AE973" s="311"/>
      <c r="AF973" s="311"/>
      <c r="AG973" s="311"/>
      <c r="AH973" s="311"/>
      <c r="AI973" s="311"/>
      <c r="AJ973" s="311"/>
      <c r="AK973" s="311"/>
      <c r="AL973" s="311"/>
      <c r="AM973" s="311"/>
    </row>
  </sheetData>
  <customSheetViews>
    <customSheetView guid="{FBC3CD13-E3C0-4C21-A8EF-FC22F8388BF0}" filter="1" showAutoFilter="1">
      <pageMargins left="0.7" right="0.7" top="0.75" bottom="0.75" header="0.3" footer="0.3"/>
      <autoFilter ref="A1:U53"/>
    </customSheetView>
    <customSheetView guid="{33EFB045-6F18-44EF-AF30-A70FBA4175CB}" filter="1" showAutoFilter="1">
      <pageMargins left="0.7" right="0.7" top="0.75" bottom="0.75" header="0.3" footer="0.3"/>
      <autoFilter ref="A1:U53"/>
    </customSheetView>
    <customSheetView guid="{E35DC7DC-3457-48C8-A5BC-48210E8789BE}" filter="1" showAutoFilter="1">
      <pageMargins left="0.7" right="0.7" top="0.75" bottom="0.75" header="0.3" footer="0.3"/>
      <autoFilter ref="A1:U53"/>
    </customSheetView>
  </customSheetViews>
  <conditionalFormatting sqref="F51">
    <cfRule type="containsText" dxfId="125" priority="1" operator="containsText" text="F">
      <formula>NOT(ISERROR(SEARCH(("F"),(F51))))</formula>
    </cfRule>
  </conditionalFormatting>
  <conditionalFormatting sqref="P51">
    <cfRule type="expression" dxfId="124" priority="2">
      <formula>AND(ISNUMBER(P51),TRUNC(P51)&lt;TODAY())</formula>
    </cfRule>
  </conditionalFormatting>
  <conditionalFormatting sqref="O51">
    <cfRule type="expression" dxfId="123" priority="3">
      <formula>AND(ISNUMBER(O51),TRUNC(O51)&lt;TODAY())</formula>
    </cfRule>
  </conditionalFormatting>
  <conditionalFormatting sqref="V51">
    <cfRule type="notContainsBlanks" dxfId="122" priority="4">
      <formula>LEN(TRIM(V51))&gt;0</formula>
    </cfRule>
  </conditionalFormatting>
  <conditionalFormatting sqref="F50">
    <cfRule type="containsText" dxfId="121" priority="5" operator="containsText" text="F">
      <formula>NOT(ISERROR(SEARCH(("F"),(F50))))</formula>
    </cfRule>
  </conditionalFormatting>
  <conditionalFormatting sqref="O50">
    <cfRule type="expression" dxfId="120" priority="6">
      <formula>AND(ISNUMBER(O50),TRUNC(O50)&lt;TODAY())</formula>
    </cfRule>
  </conditionalFormatting>
  <conditionalFormatting sqref="Q50">
    <cfRule type="expression" dxfId="119" priority="7">
      <formula>AND(ISNUMBER(Q50),TRUNC(Q50)&lt;TODAY())</formula>
    </cfRule>
  </conditionalFormatting>
  <conditionalFormatting sqref="P50">
    <cfRule type="expression" dxfId="118" priority="8">
      <formula>AND(ISNUMBER(P50),TRUNC(P50)&lt;TODAY())</formula>
    </cfRule>
  </conditionalFormatting>
  <conditionalFormatting sqref="F49">
    <cfRule type="containsText" dxfId="117" priority="9" operator="containsText" text="F">
      <formula>NOT(ISERROR(SEARCH(("F"),(F49))))</formula>
    </cfRule>
  </conditionalFormatting>
  <conditionalFormatting sqref="O49:Q49">
    <cfRule type="expression" dxfId="116" priority="10">
      <formula>AND(ISNUMBER(O49),TRUNC(O49)&lt;TODAY())</formula>
    </cfRule>
  </conditionalFormatting>
  <conditionalFormatting sqref="F68">
    <cfRule type="containsText" dxfId="115" priority="11" operator="containsText" text="F">
      <formula>NOT(ISERROR(SEARCH(("F"),(F68))))</formula>
    </cfRule>
  </conditionalFormatting>
  <conditionalFormatting sqref="O68">
    <cfRule type="expression" dxfId="114" priority="12">
      <formula>AND(ISNUMBER(O68),TRUNC(O68)&lt;TODAY())</formula>
    </cfRule>
  </conditionalFormatting>
  <conditionalFormatting sqref="Q68">
    <cfRule type="expression" dxfId="113" priority="13">
      <formula>AND(ISNUMBER(Q68),TRUNC(Q68)&lt;TODAY())</formula>
    </cfRule>
  </conditionalFormatting>
  <conditionalFormatting sqref="P68">
    <cfRule type="expression" dxfId="112" priority="14">
      <formula>AND(ISNUMBER(P68),TRUNC(P68)&lt;TODAY())</formula>
    </cfRule>
  </conditionalFormatting>
  <conditionalFormatting sqref="O67:Q67">
    <cfRule type="expression" dxfId="111" priority="15">
      <formula>AND(ISNUMBER(O67),TRUNC(O67)&lt;TODAY())</formula>
    </cfRule>
  </conditionalFormatting>
  <conditionalFormatting sqref="F67">
    <cfRule type="containsText" dxfId="110" priority="16" operator="containsText" text="F">
      <formula>NOT(ISERROR(SEARCH(("F"),(F67))))</formula>
    </cfRule>
  </conditionalFormatting>
  <conditionalFormatting sqref="O66:Q66">
    <cfRule type="expression" dxfId="109" priority="17">
      <formula>AND(ISNUMBER(O66),TRUNC(O66)&lt;TODAY())</formula>
    </cfRule>
  </conditionalFormatting>
  <conditionalFormatting sqref="F66">
    <cfRule type="containsText" dxfId="108" priority="18" operator="containsText" text="F">
      <formula>NOT(ISERROR(SEARCH(("F"),(F66))))</formula>
    </cfRule>
  </conditionalFormatting>
  <conditionalFormatting sqref="O48:Q48">
    <cfRule type="expression" dxfId="107" priority="19">
      <formula>AND(ISNUMBER(O48),TRUNC(O48)&lt;TODAY())</formula>
    </cfRule>
  </conditionalFormatting>
  <conditionalFormatting sqref="F48">
    <cfRule type="containsText" dxfId="106" priority="20" operator="containsText" text="F">
      <formula>NOT(ISERROR(SEARCH(("F"),(F48))))</formula>
    </cfRule>
  </conditionalFormatting>
  <conditionalFormatting sqref="F47">
    <cfRule type="containsText" dxfId="105" priority="21" operator="containsText" text="F">
      <formula>NOT(ISERROR(SEARCH(("F"),(F47))))</formula>
    </cfRule>
  </conditionalFormatting>
  <conditionalFormatting sqref="O47:Q47">
    <cfRule type="expression" dxfId="104" priority="22">
      <formula>AND(ISNUMBER(O47),TRUNC(O47)&lt;TODAY())</formula>
    </cfRule>
  </conditionalFormatting>
  <conditionalFormatting sqref="P65">
    <cfRule type="expression" dxfId="103" priority="23">
      <formula>AND(ISNUMBER(P65),TRUNC(P65)&lt;TODAY())</formula>
    </cfRule>
  </conditionalFormatting>
  <conditionalFormatting sqref="P65">
    <cfRule type="expression" dxfId="102" priority="24">
      <formula>AND(ISNUMBER(P65),TRUNC(P65)&lt;TODAY())</formula>
    </cfRule>
  </conditionalFormatting>
  <conditionalFormatting sqref="F65">
    <cfRule type="containsText" dxfId="101" priority="25" operator="containsText" text="F">
      <formula>NOT(ISERROR(SEARCH(("F"),(F65))))</formula>
    </cfRule>
  </conditionalFormatting>
  <conditionalFormatting sqref="O65">
    <cfRule type="expression" dxfId="100" priority="26">
      <formula>AND(ISNUMBER(O65),TRUNC(O65)&lt;TODAY())</formula>
    </cfRule>
  </conditionalFormatting>
  <conditionalFormatting sqref="Q65">
    <cfRule type="expression" dxfId="99" priority="27">
      <formula>AND(ISNUMBER(Q65),TRUNC(Q65)&lt;TODAY())</formula>
    </cfRule>
  </conditionalFormatting>
  <conditionalFormatting sqref="F64">
    <cfRule type="containsText" dxfId="98" priority="28" operator="containsText" text="F">
      <formula>NOT(ISERROR(SEARCH(("F"),(F64))))</formula>
    </cfRule>
  </conditionalFormatting>
  <conditionalFormatting sqref="O64:Q64">
    <cfRule type="expression" dxfId="97" priority="29">
      <formula>AND(ISNUMBER(O64),TRUNC(O64)&lt;TODAY())</formula>
    </cfRule>
  </conditionalFormatting>
  <conditionalFormatting sqref="F63">
    <cfRule type="containsText" dxfId="96" priority="30" operator="containsText" text="F">
      <formula>NOT(ISERROR(SEARCH(("F"),(F63))))</formula>
    </cfRule>
  </conditionalFormatting>
  <conditionalFormatting sqref="P63">
    <cfRule type="expression" dxfId="95" priority="31">
      <formula>AND(ISNUMBER(P63),TRUNC(P63)&lt;TODAY())</formula>
    </cfRule>
  </conditionalFormatting>
  <conditionalFormatting sqref="O63">
    <cfRule type="expression" dxfId="94" priority="32">
      <formula>AND(ISNUMBER(O63),TRUNC(O63)&lt;TODAY())</formula>
    </cfRule>
  </conditionalFormatting>
  <conditionalFormatting sqref="Q63">
    <cfRule type="expression" dxfId="93" priority="33">
      <formula>AND(ISNUMBER(Q63),TRUNC(Q63)&lt;TODAY())</formula>
    </cfRule>
  </conditionalFormatting>
  <conditionalFormatting sqref="Q62">
    <cfRule type="expression" dxfId="92" priority="34">
      <formula>AND(ISNUMBER(Q62),TRUNC(Q62)&lt;TODAY())</formula>
    </cfRule>
  </conditionalFormatting>
  <conditionalFormatting sqref="P62">
    <cfRule type="expression" dxfId="91" priority="35">
      <formula>AND(ISNUMBER(P62),TRUNC(P62)&lt;TODAY())</formula>
    </cfRule>
  </conditionalFormatting>
  <conditionalFormatting sqref="F62">
    <cfRule type="containsText" dxfId="90" priority="36" operator="containsText" text="F">
      <formula>NOT(ISERROR(SEARCH(("F"),(F62))))</formula>
    </cfRule>
  </conditionalFormatting>
  <conditionalFormatting sqref="O62">
    <cfRule type="expression" dxfId="89" priority="37">
      <formula>AND(ISNUMBER(O62),TRUNC(O62)&lt;TODAY())</formula>
    </cfRule>
  </conditionalFormatting>
  <conditionalFormatting sqref="Q46">
    <cfRule type="expression" dxfId="88" priority="38">
      <formula>AND(ISNUMBER(Q46),TRUNC(Q46)&lt;TODAY())</formula>
    </cfRule>
  </conditionalFormatting>
  <conditionalFormatting sqref="F46">
    <cfRule type="containsText" dxfId="87" priority="39" operator="containsText" text="F">
      <formula>NOT(ISERROR(SEARCH(("F"),(F46))))</formula>
    </cfRule>
  </conditionalFormatting>
  <conditionalFormatting sqref="P46:Q46">
    <cfRule type="expression" dxfId="86" priority="40">
      <formula>AND(ISNUMBER(P46),TRUNC(P46)&lt;TODAY())</formula>
    </cfRule>
  </conditionalFormatting>
  <conditionalFormatting sqref="O46">
    <cfRule type="expression" dxfId="85" priority="41">
      <formula>AND(ISNUMBER(O46),TRUNC(O46)&lt;TODAY())</formula>
    </cfRule>
  </conditionalFormatting>
  <conditionalFormatting sqref="P46">
    <cfRule type="expression" dxfId="84" priority="42">
      <formula>AND(ISNUMBER(P46),TRUNC(P46)&lt;TODAY())</formula>
    </cfRule>
  </conditionalFormatting>
  <conditionalFormatting sqref="V46">
    <cfRule type="notContainsBlanks" dxfId="83" priority="43">
      <formula>LEN(TRIM(V46))&gt;0</formula>
    </cfRule>
  </conditionalFormatting>
  <conditionalFormatting sqref="P61:Q61">
    <cfRule type="expression" dxfId="82" priority="44">
      <formula>AND(ISNUMBER(P61),TRUNC(P61)&lt;TODAY())</formula>
    </cfRule>
  </conditionalFormatting>
  <conditionalFormatting sqref="O61">
    <cfRule type="expression" dxfId="81" priority="45">
      <formula>AND(ISNUMBER(O61),TRUNC(O61)&lt;TODAY())</formula>
    </cfRule>
  </conditionalFormatting>
  <conditionalFormatting sqref="P61">
    <cfRule type="expression" dxfId="80" priority="46">
      <formula>AND(ISNUMBER(P61),TRUNC(P61)&lt;TODAY())</formula>
    </cfRule>
  </conditionalFormatting>
  <conditionalFormatting sqref="Q61">
    <cfRule type="expression" dxfId="79" priority="47">
      <formula>AND(ISNUMBER(Q61),TRUNC(Q61)&lt;TODAY())</formula>
    </cfRule>
  </conditionalFormatting>
  <conditionalFormatting sqref="F61">
    <cfRule type="containsText" dxfId="78" priority="48" operator="containsText" text="F">
      <formula>NOT(ISERROR(SEARCH(("F"),(F61))))</formula>
    </cfRule>
  </conditionalFormatting>
  <conditionalFormatting sqref="F45">
    <cfRule type="containsText" dxfId="77" priority="49" operator="containsText" text="F">
      <formula>NOT(ISERROR(SEARCH(("F"),(F45))))</formula>
    </cfRule>
  </conditionalFormatting>
  <conditionalFormatting sqref="O45:Q45">
    <cfRule type="expression" dxfId="76" priority="50">
      <formula>AND(ISNUMBER(O45),TRUNC(O45)&lt;TODAY())</formula>
    </cfRule>
  </conditionalFormatting>
  <conditionalFormatting sqref="F60">
    <cfRule type="containsText" dxfId="75" priority="51" operator="containsText" text="F">
      <formula>NOT(ISERROR(SEARCH(("F"),(F60))))</formula>
    </cfRule>
  </conditionalFormatting>
  <conditionalFormatting sqref="O60:Q60">
    <cfRule type="expression" dxfId="74" priority="52">
      <formula>AND(ISNUMBER(O60),TRUNC(O60)&lt;TODAY())</formula>
    </cfRule>
  </conditionalFormatting>
  <conditionalFormatting sqref="P44">
    <cfRule type="expression" dxfId="73" priority="53">
      <formula>AND(ISNUMBER(P44),TRUNC(P44)&lt;TODAY())</formula>
    </cfRule>
  </conditionalFormatting>
  <conditionalFormatting sqref="O44:Q44">
    <cfRule type="expression" dxfId="72" priority="54">
      <formula>AND(ISNUMBER(O44),TRUNC(O44)&lt;TODAY())</formula>
    </cfRule>
  </conditionalFormatting>
  <conditionalFormatting sqref="F44">
    <cfRule type="containsText" dxfId="71" priority="55" operator="containsText" text="F">
      <formula>NOT(ISERROR(SEARCH(("F"),(F44))))</formula>
    </cfRule>
  </conditionalFormatting>
  <conditionalFormatting sqref="F43">
    <cfRule type="containsText" dxfId="70" priority="56" operator="containsText" text="F">
      <formula>NOT(ISERROR(SEARCH(("F"),(F43))))</formula>
    </cfRule>
  </conditionalFormatting>
  <conditionalFormatting sqref="O43:Q43">
    <cfRule type="expression" dxfId="69" priority="57">
      <formula>AND(ISNUMBER(O43),TRUNC(O43)&lt;TODAY())</formula>
    </cfRule>
  </conditionalFormatting>
  <conditionalFormatting sqref="O59:Q59">
    <cfRule type="expression" dxfId="68" priority="58">
      <formula>AND(ISNUMBER(O59),TRUNC(O59)&lt;TODAY())</formula>
    </cfRule>
  </conditionalFormatting>
  <conditionalFormatting sqref="F59">
    <cfRule type="containsText" dxfId="67" priority="59" operator="containsText" text="F">
      <formula>NOT(ISERROR(SEARCH(("F"),(F59))))</formula>
    </cfRule>
  </conditionalFormatting>
  <conditionalFormatting sqref="P42">
    <cfRule type="expression" dxfId="66" priority="60">
      <formula>AND(ISNUMBER(P42),TRUNC(P42)&lt;TODAY())</formula>
    </cfRule>
  </conditionalFormatting>
  <conditionalFormatting sqref="Q42">
    <cfRule type="expression" dxfId="65" priority="61">
      <formula>AND(ISNUMBER(Q42),TRUNC(Q42)&lt;TODAY())</formula>
    </cfRule>
  </conditionalFormatting>
  <conditionalFormatting sqref="O42">
    <cfRule type="expression" dxfId="64" priority="62">
      <formula>AND(ISNUMBER(O42),TRUNC(O42)&lt;TODAY())</formula>
    </cfRule>
  </conditionalFormatting>
  <conditionalFormatting sqref="F42">
    <cfRule type="containsText" dxfId="63" priority="63" operator="containsText" text="F">
      <formula>NOT(ISERROR(SEARCH(("F"),(F42))))</formula>
    </cfRule>
  </conditionalFormatting>
  <conditionalFormatting sqref="F41">
    <cfRule type="containsText" dxfId="62" priority="64" operator="containsText" text="F">
      <formula>NOT(ISERROR(SEARCH(("F"),(F41))))</formula>
    </cfRule>
  </conditionalFormatting>
  <conditionalFormatting sqref="O41:Q41">
    <cfRule type="expression" dxfId="61" priority="65">
      <formula>AND(ISNUMBER(O41),TRUNC(O41)&lt;TODAY())</formula>
    </cfRule>
  </conditionalFormatting>
  <conditionalFormatting sqref="P40">
    <cfRule type="expression" dxfId="60" priority="66">
      <formula>AND(ISNUMBER(P40),TRUNC(P40)&lt;TODAY())</formula>
    </cfRule>
  </conditionalFormatting>
  <conditionalFormatting sqref="O40">
    <cfRule type="expression" dxfId="59" priority="67">
      <formula>AND(ISNUMBER(O40),TRUNC(O40)&lt;TODAY())</formula>
    </cfRule>
  </conditionalFormatting>
  <conditionalFormatting sqref="Q40">
    <cfRule type="expression" dxfId="58" priority="68">
      <formula>AND(ISNUMBER(Q40),TRUNC(Q40)&lt;TODAY())</formula>
    </cfRule>
  </conditionalFormatting>
  <conditionalFormatting sqref="F40">
    <cfRule type="containsText" dxfId="57" priority="69" operator="containsText" text="F">
      <formula>NOT(ISERROR(SEARCH(("F"),(F40))))</formula>
    </cfRule>
  </conditionalFormatting>
  <conditionalFormatting sqref="O39">
    <cfRule type="expression" dxfId="56" priority="70">
      <formula>AND(ISNUMBER(O39),TRUNC(O39)&lt;TODAY())</formula>
    </cfRule>
  </conditionalFormatting>
  <conditionalFormatting sqref="P39">
    <cfRule type="expression" dxfId="55" priority="71">
      <formula>AND(ISNUMBER(P39),TRUNC(P39)&lt;TODAY())</formula>
    </cfRule>
  </conditionalFormatting>
  <conditionalFormatting sqref="F39">
    <cfRule type="containsText" dxfId="54" priority="72" operator="containsText" text="F">
      <formula>NOT(ISERROR(SEARCH(("F"),(F39))))</formula>
    </cfRule>
  </conditionalFormatting>
  <conditionalFormatting sqref="Q39">
    <cfRule type="expression" dxfId="53" priority="73">
      <formula>AND(ISNUMBER(Q39),TRUNC(Q39)&lt;TODAY())</formula>
    </cfRule>
  </conditionalFormatting>
  <conditionalFormatting sqref="Q39">
    <cfRule type="expression" dxfId="52" priority="74">
      <formula>AND(ISNUMBER(Q39),TRUNC(Q39)&lt;TODAY())</formula>
    </cfRule>
  </conditionalFormatting>
  <conditionalFormatting sqref="O38:Q38">
    <cfRule type="expression" dxfId="51" priority="75">
      <formula>AND(ISNUMBER(O38),TRUNC(O38)&lt;TODAY())</formula>
    </cfRule>
  </conditionalFormatting>
  <conditionalFormatting sqref="F38">
    <cfRule type="containsText" dxfId="50" priority="76" operator="containsText" text="F">
      <formula>NOT(ISERROR(SEARCH(("F"),(F38))))</formula>
    </cfRule>
  </conditionalFormatting>
  <conditionalFormatting sqref="O37:Q37">
    <cfRule type="expression" dxfId="49" priority="77">
      <formula>AND(ISNUMBER(O37),TRUNC(O37)&lt;TODAY())</formula>
    </cfRule>
  </conditionalFormatting>
  <conditionalFormatting sqref="O58">
    <cfRule type="expression" dxfId="48" priority="78">
      <formula>AND(ISNUMBER(O58),TRUNC(O58)&lt;TODAY())</formula>
    </cfRule>
  </conditionalFormatting>
  <conditionalFormatting sqref="Q58">
    <cfRule type="expression" dxfId="47" priority="79">
      <formula>AND(ISNUMBER(Q58),TRUNC(Q58)&lt;TODAY())</formula>
    </cfRule>
  </conditionalFormatting>
  <conditionalFormatting sqref="P58">
    <cfRule type="expression" dxfId="46" priority="80">
      <formula>AND(ISNUMBER(P58),TRUNC(P58)&lt;TODAY())</formula>
    </cfRule>
  </conditionalFormatting>
  <conditionalFormatting sqref="F58">
    <cfRule type="containsText" dxfId="45" priority="81" operator="containsText" text="F">
      <formula>NOT(ISERROR(SEARCH(("F"),(F58))))</formula>
    </cfRule>
  </conditionalFormatting>
  <conditionalFormatting sqref="O9:Q9">
    <cfRule type="expression" dxfId="44" priority="82">
      <formula>AND(ISNUMBER(O9),TRUNC(O9)&lt;TODAY())</formula>
    </cfRule>
  </conditionalFormatting>
  <conditionalFormatting sqref="F9">
    <cfRule type="containsText" dxfId="43" priority="83" operator="containsText" text="F">
      <formula>NOT(ISERROR(SEARCH(("F"),(F9))))</formula>
    </cfRule>
  </conditionalFormatting>
  <conditionalFormatting sqref="O4:Q4">
    <cfRule type="expression" dxfId="42" priority="84">
      <formula>AND(ISNUMBER(O4),TRUNC(O4)&lt;TODAY())</formula>
    </cfRule>
  </conditionalFormatting>
  <conditionalFormatting sqref="F4">
    <cfRule type="containsText" dxfId="41" priority="85" operator="containsText" text="F">
      <formula>NOT(ISERROR(SEARCH(("F"),(F4))))</formula>
    </cfRule>
  </conditionalFormatting>
  <conditionalFormatting sqref="Q27 Q57">
    <cfRule type="expression" dxfId="40" priority="86">
      <formula>AND(ISNUMBER(Q27),TRUNC(Q27)&lt;TODAY())</formula>
    </cfRule>
  </conditionalFormatting>
  <conditionalFormatting sqref="F57">
    <cfRule type="containsText" dxfId="39" priority="87" operator="containsText" text="F">
      <formula>NOT(ISERROR(SEARCH(("F"),(F57))))</formula>
    </cfRule>
  </conditionalFormatting>
  <conditionalFormatting sqref="P57">
    <cfRule type="expression" dxfId="38" priority="88">
      <formula>AND(ISNUMBER(P57),TRUNC(P57)&lt;TODAY())</formula>
    </cfRule>
  </conditionalFormatting>
  <conditionalFormatting sqref="O57">
    <cfRule type="expression" dxfId="37" priority="89">
      <formula>AND(ISNUMBER(O57),TRUNC(O57)&lt;TODAY())</formula>
    </cfRule>
  </conditionalFormatting>
  <conditionalFormatting sqref="Q57">
    <cfRule type="expression" dxfId="36" priority="90">
      <formula>AND(ISNUMBER(Q57),TRUNC(Q57)&lt;TODAY())</formula>
    </cfRule>
  </conditionalFormatting>
  <conditionalFormatting sqref="P30:P31">
    <cfRule type="expression" dxfId="35" priority="91">
      <formula>AND(ISNUMBER(P30),TRUNC(P30)&lt;TODAY())</formula>
    </cfRule>
  </conditionalFormatting>
  <conditionalFormatting sqref="P56:Q56">
    <cfRule type="expression" dxfId="34" priority="92">
      <formula>AND(ISNUMBER(P56),TRUNC(P56)&lt;TODAY())</formula>
    </cfRule>
  </conditionalFormatting>
  <conditionalFormatting sqref="P56">
    <cfRule type="expression" dxfId="33" priority="93">
      <formula>AND(ISNUMBER(P56),TRUNC(P56)&lt;TODAY())</formula>
    </cfRule>
  </conditionalFormatting>
  <conditionalFormatting sqref="O56">
    <cfRule type="expression" dxfId="32" priority="94">
      <formula>AND(ISNUMBER(O56),TRUNC(O56)&lt;TODAY())</formula>
    </cfRule>
  </conditionalFormatting>
  <conditionalFormatting sqref="F56">
    <cfRule type="containsText" dxfId="31" priority="95" operator="containsText" text="F">
      <formula>NOT(ISERROR(SEARCH(("F"),(F56))))</formula>
    </cfRule>
  </conditionalFormatting>
  <conditionalFormatting sqref="P34">
    <cfRule type="expression" dxfId="30" priority="96">
      <formula>AND(ISNUMBER(P34),TRUNC(P34)&lt;TODAY())</formula>
    </cfRule>
  </conditionalFormatting>
  <conditionalFormatting sqref="O11">
    <cfRule type="expression" dxfId="29" priority="97">
      <formula>AND(ISNUMBER(O11),TRUNC(O11)&lt;TODAY())</formula>
    </cfRule>
  </conditionalFormatting>
  <conditionalFormatting sqref="P11">
    <cfRule type="expression" dxfId="28" priority="98">
      <formula>AND(ISNUMBER(P11),TRUNC(P11)&lt;TODAY())</formula>
    </cfRule>
  </conditionalFormatting>
  <conditionalFormatting sqref="Q11">
    <cfRule type="expression" dxfId="27" priority="99">
      <formula>AND(ISNUMBER(Q11),TRUNC(Q11)&lt;TODAY())</formula>
    </cfRule>
  </conditionalFormatting>
  <conditionalFormatting sqref="F11">
    <cfRule type="containsText" dxfId="26" priority="100" operator="containsText" text="F">
      <formula>NOT(ISERROR(SEARCH(("F"),(F11))))</formula>
    </cfRule>
  </conditionalFormatting>
  <conditionalFormatting sqref="Q32 O55">
    <cfRule type="expression" dxfId="25" priority="101">
      <formula>AND(ISNUMBER(Q32),TRUNC(Q32)&lt;TODAY())</formula>
    </cfRule>
  </conditionalFormatting>
  <conditionalFormatting sqref="P55">
    <cfRule type="expression" dxfId="24" priority="102">
      <formula>AND(ISNUMBER(P55),TRUNC(P55)&lt;TODAY())</formula>
    </cfRule>
  </conditionalFormatting>
  <conditionalFormatting sqref="Q55">
    <cfRule type="expression" dxfId="23" priority="103">
      <formula>AND(ISNUMBER(Q55),TRUNC(Q55)&lt;TODAY())</formula>
    </cfRule>
  </conditionalFormatting>
  <conditionalFormatting sqref="O54">
    <cfRule type="expression" dxfId="22" priority="104">
      <formula>AND(ISNUMBER(O54),TRUNC(O54)&lt;TODAY())</formula>
    </cfRule>
  </conditionalFormatting>
  <conditionalFormatting sqref="Q54">
    <cfRule type="expression" dxfId="21" priority="105">
      <formula>AND(ISNUMBER(Q54),TRUNC(Q54)&lt;TODAY())</formula>
    </cfRule>
  </conditionalFormatting>
  <conditionalFormatting sqref="P54">
    <cfRule type="expression" dxfId="20" priority="106">
      <formula>AND(ISNUMBER(P54),TRUNC(P54)&lt;TODAY())</formula>
    </cfRule>
  </conditionalFormatting>
  <conditionalFormatting sqref="O53">
    <cfRule type="expression" dxfId="19" priority="107">
      <formula>AND(ISNUMBER(O53),TRUNC(O53)&lt;TODAY())</formula>
    </cfRule>
  </conditionalFormatting>
  <conditionalFormatting sqref="Q53">
    <cfRule type="expression" dxfId="18" priority="108">
      <formula>AND(ISNUMBER(Q53),TRUNC(Q53)&lt;TODAY())</formula>
    </cfRule>
  </conditionalFormatting>
  <conditionalFormatting sqref="P53">
    <cfRule type="expression" dxfId="17" priority="109">
      <formula>AND(ISNUMBER(P53),TRUNC(P53)&lt;TODAY())</formula>
    </cfRule>
  </conditionalFormatting>
  <conditionalFormatting sqref="P1">
    <cfRule type="expression" dxfId="16" priority="110">
      <formula>P1&lt;44165</formula>
    </cfRule>
  </conditionalFormatting>
  <conditionalFormatting sqref="Q30">
    <cfRule type="expression" dxfId="15" priority="111">
      <formula>AND(ISNUMBER(Q30),TRUNC(Q30)&lt;TODAY())</formula>
    </cfRule>
  </conditionalFormatting>
  <conditionalFormatting sqref="P27 P35">
    <cfRule type="expression" dxfId="14" priority="112">
      <formula>AND(ISNUMBER(P27),TRUNC(P27)&lt;TODAY())</formula>
    </cfRule>
  </conditionalFormatting>
  <conditionalFormatting sqref="Q25">
    <cfRule type="expression" dxfId="13" priority="113">
      <formula>AND(ISNUMBER(Q25),TRUNC(Q25)&lt;TODAY())</formula>
    </cfRule>
  </conditionalFormatting>
  <conditionalFormatting sqref="O25">
    <cfRule type="expression" dxfId="12" priority="114">
      <formula>AND(ISNUMBER(O25),TRUNC(O25)&lt;TODAY())</formula>
    </cfRule>
  </conditionalFormatting>
  <conditionalFormatting sqref="P25">
    <cfRule type="expression" dxfId="11" priority="115">
      <formula>AND(ISNUMBER(P25),TRUNC(P25)&lt;TODAY())</formula>
    </cfRule>
  </conditionalFormatting>
  <conditionalFormatting sqref="P24">
    <cfRule type="expression" dxfId="10" priority="116">
      <formula>AND(ISNUMBER(P24),TRUNC(P24)&lt;TODAY())</formula>
    </cfRule>
  </conditionalFormatting>
  <conditionalFormatting sqref="O24">
    <cfRule type="expression" dxfId="9" priority="117">
      <formula>AND(ISNUMBER(O24),TRUNC(O24)&lt;TODAY())</formula>
    </cfRule>
  </conditionalFormatting>
  <conditionalFormatting sqref="Q24">
    <cfRule type="expression" dxfId="8" priority="118">
      <formula>AND(ISNUMBER(Q24),TRUNC(Q24)&lt;TODAY())</formula>
    </cfRule>
  </conditionalFormatting>
  <conditionalFormatting sqref="P32">
    <cfRule type="expression" dxfId="7" priority="119">
      <formula>AND(ISNUMBER(P32),TRUNC(P32)&lt;TODAY())</formula>
    </cfRule>
  </conditionalFormatting>
  <conditionalFormatting sqref="P1:P2 P5:P8 P10 P12:P21 P23 P26:P36 P52 P71:P973">
    <cfRule type="expression" dxfId="6" priority="120">
      <formula>AND(ISNUMBER(P1),TRUNC(P1)&lt;TODAY())</formula>
    </cfRule>
  </conditionalFormatting>
  <conditionalFormatting sqref="O1:O3 P1 O5:O8 O10 O12:O23 O26:O36 O52 O71:O973">
    <cfRule type="expression" dxfId="5" priority="121">
      <formula>AND(ISNUMBER(O1),TRUNC(O1)&lt;TODAY())</formula>
    </cfRule>
  </conditionalFormatting>
  <conditionalFormatting sqref="Q1:Q3 Q5:Q8 Q10 Q12:Q23 Q28:Q29 Q31 Q52 Q71:Q973">
    <cfRule type="expression" dxfId="4" priority="122">
      <formula>AND(ISNUMBER(Q1),TRUNC(Q1)&lt;TODAY())</formula>
    </cfRule>
  </conditionalFormatting>
  <conditionalFormatting sqref="F1:F3 F5:F8 F10 F12:F36 F52:F55 F71:F973">
    <cfRule type="containsText" dxfId="3" priority="123" operator="containsText" text="F">
      <formula>NOT(ISERROR(SEARCH(("F"),(F1))))</formula>
    </cfRule>
  </conditionalFormatting>
  <conditionalFormatting sqref="P27 P32">
    <cfRule type="expression" dxfId="2" priority="124">
      <formula>AND(ISNUMBER(P27),TRUNC(P27)&lt;TODAY())</formula>
    </cfRule>
  </conditionalFormatting>
  <dataValidations count="7">
    <dataValidation type="list" allowBlank="1" sqref="H2:H50 H52:H68">
      <formula1>"A,B,C"</formula1>
    </dataValidation>
    <dataValidation type="list" allowBlank="1" showInputMessage="1" showErrorMessage="1" prompt="Either M or F" sqref="F1:F50 F52:F68 F71:F973">
      <formula1>"M,F"</formula1>
    </dataValidation>
    <dataValidation type="custom" allowBlank="1" showDropDown="1" showInputMessage="1" showErrorMessage="1" prompt="Enter a valid date" sqref="M1:Q2 M3:O4 Q3:Q4 M5:Q7 M8:O8 Q8 M9:Q10 M11 M12:O12 Q11:Q12 M13 P13:Q13 M14:Q15 M16:O16 Q16 M17 P17:Q17 M18:O19 Q18:Q19 M20:Q29 M30 P30 M31:Q31 P32 M32:M36 P33:Q36 M37:Q37 M38 M39:O41 Q38:Q41 M42:Q45 M46:O47 Q46:Q47 M48:Q48 M49 M50:O50 Q49:Q50 M51:Q65 M66 P66:Q66 M67:Q68 M71:Q973">
      <formula1>OR(NOT(ISERROR(DATEVALUE(M1))), AND(ISNUMBER(M1), LEFT(CELL("format", M1))="D"))</formula1>
    </dataValidation>
    <dataValidation type="list" allowBlank="1" sqref="V32">
      <formula1>"YES,NO,DW"</formula1>
    </dataValidation>
    <dataValidation type="list" allowBlank="1" sqref="G39:G42 G44:G45 G47 G51 G59:G65 G67:G68">
      <formula1>"UR,SC,ST"</formula1>
    </dataValidation>
    <dataValidation type="list" allowBlank="1" showErrorMessage="1" sqref="G1:G38 G43 G46 G48:G50 G52:G58 G66 G71:G973">
      <formula1>"UR,SC,ST"</formula1>
    </dataValidation>
    <dataValidation type="custom" allowBlank="1" showDropDown="1" showErrorMessage="1" sqref="P3:P4 P8 N11:P11 P12 N13:O13 P16 N17:O17 P18:P19 N30:O30 N32:O36 N38:P38 P39:P41 P46:P47 N49:P49 P50 N66:O66">
      <formula1>OR(NOT(ISERROR(DATEVALUE(N3))), AND(ISNUMBER(N3), LEFT(CELL("format", N3))="D"))</formula1>
    </dataValidation>
  </dataValidations>
  <hyperlinks>
    <hyperlink ref="T2" r:id="rId1"/>
    <hyperlink ref="U2" r:id="rId2"/>
    <hyperlink ref="T3" r:id="rId3"/>
    <hyperlink ref="U3" r:id="rId4"/>
    <hyperlink ref="T4" r:id="rId5"/>
    <hyperlink ref="U4" r:id="rId6"/>
    <hyperlink ref="T5" r:id="rId7"/>
    <hyperlink ref="U5" r:id="rId8"/>
    <hyperlink ref="T6" r:id="rId9"/>
    <hyperlink ref="U6" r:id="rId10"/>
    <hyperlink ref="T7" r:id="rId11"/>
    <hyperlink ref="U7" r:id="rId12"/>
    <hyperlink ref="T8" r:id="rId13"/>
    <hyperlink ref="U8" r:id="rId14"/>
    <hyperlink ref="T9" r:id="rId15"/>
    <hyperlink ref="U9" r:id="rId16"/>
    <hyperlink ref="U10" r:id="rId17"/>
    <hyperlink ref="U11" r:id="rId18"/>
    <hyperlink ref="T12" r:id="rId19"/>
    <hyperlink ref="U12" r:id="rId20"/>
    <hyperlink ref="T13" r:id="rId21"/>
    <hyperlink ref="U13" r:id="rId22"/>
    <hyperlink ref="T14" r:id="rId23"/>
    <hyperlink ref="U14" r:id="rId24"/>
    <hyperlink ref="T15" r:id="rId25"/>
    <hyperlink ref="U15" r:id="rId26"/>
    <hyperlink ref="T16" r:id="rId27"/>
    <hyperlink ref="U16" r:id="rId28"/>
    <hyperlink ref="U17" r:id="rId29"/>
    <hyperlink ref="T18" r:id="rId30"/>
    <hyperlink ref="U18" r:id="rId31"/>
    <hyperlink ref="T19" r:id="rId32"/>
    <hyperlink ref="U19" r:id="rId33"/>
    <hyperlink ref="T20" r:id="rId34"/>
    <hyperlink ref="U20" r:id="rId35"/>
    <hyperlink ref="T21" r:id="rId36"/>
    <hyperlink ref="U21" r:id="rId37"/>
    <hyperlink ref="T22" r:id="rId38"/>
    <hyperlink ref="U22" r:id="rId39"/>
    <hyperlink ref="U23" r:id="rId40"/>
    <hyperlink ref="T24" r:id="rId41"/>
    <hyperlink ref="U24" r:id="rId42"/>
    <hyperlink ref="T25" r:id="rId43"/>
    <hyperlink ref="U25" r:id="rId44"/>
    <hyperlink ref="T26" r:id="rId45"/>
    <hyperlink ref="U26" r:id="rId46"/>
    <hyperlink ref="T27" r:id="rId47"/>
    <hyperlink ref="U27" r:id="rId48"/>
    <hyperlink ref="T28" r:id="rId49"/>
    <hyperlink ref="U28" r:id="rId50"/>
    <hyperlink ref="T29" r:id="rId51"/>
    <hyperlink ref="U29" r:id="rId52"/>
    <hyperlink ref="T30" r:id="rId53"/>
    <hyperlink ref="U30" r:id="rId54"/>
    <hyperlink ref="T31" r:id="rId55"/>
    <hyperlink ref="U31" r:id="rId56"/>
    <hyperlink ref="T32" r:id="rId57"/>
    <hyperlink ref="U32" r:id="rId58"/>
    <hyperlink ref="T33" r:id="rId59"/>
    <hyperlink ref="U33" r:id="rId60"/>
    <hyperlink ref="T34" r:id="rId61"/>
    <hyperlink ref="U34" r:id="rId62"/>
    <hyperlink ref="T35" r:id="rId63"/>
    <hyperlink ref="U35" r:id="rId64"/>
    <hyperlink ref="T36" r:id="rId65"/>
    <hyperlink ref="U36" r:id="rId66"/>
    <hyperlink ref="R37" r:id="rId67"/>
    <hyperlink ref="T37" r:id="rId68"/>
    <hyperlink ref="U37" r:id="rId69"/>
    <hyperlink ref="T38" r:id="rId70"/>
    <hyperlink ref="U38" r:id="rId71"/>
    <hyperlink ref="T39" r:id="rId72"/>
    <hyperlink ref="U39" r:id="rId73"/>
    <hyperlink ref="T40" r:id="rId74"/>
    <hyperlink ref="U40" r:id="rId75"/>
    <hyperlink ref="T41" r:id="rId76"/>
    <hyperlink ref="U41" r:id="rId77"/>
    <hyperlink ref="T42" r:id="rId78"/>
    <hyperlink ref="U42" r:id="rId79"/>
    <hyperlink ref="T43" r:id="rId80"/>
    <hyperlink ref="U43" r:id="rId81"/>
    <hyperlink ref="R44" r:id="rId82"/>
    <hyperlink ref="T44" r:id="rId83"/>
    <hyperlink ref="U44" r:id="rId84"/>
    <hyperlink ref="T45" r:id="rId85"/>
    <hyperlink ref="U45" r:id="rId86"/>
    <hyperlink ref="S46" r:id="rId87"/>
    <hyperlink ref="T46" r:id="rId88"/>
    <hyperlink ref="T47" r:id="rId89"/>
    <hyperlink ref="U47" r:id="rId90"/>
    <hyperlink ref="R48" r:id="rId91"/>
    <hyperlink ref="T48" r:id="rId92"/>
    <hyperlink ref="U48" r:id="rId93"/>
    <hyperlink ref="S49" r:id="rId94"/>
    <hyperlink ref="T49" r:id="rId95"/>
    <hyperlink ref="U49" r:id="rId96"/>
    <hyperlink ref="S50" r:id="rId97"/>
    <hyperlink ref="T50" r:id="rId98"/>
    <hyperlink ref="R51" r:id="rId99"/>
    <hyperlink ref="R52" r:id="rId100"/>
    <hyperlink ref="S52" r:id="rId101"/>
    <hyperlink ref="R53" r:id="rId102"/>
    <hyperlink ref="S53" r:id="rId103"/>
    <hyperlink ref="S54" r:id="rId104"/>
    <hyperlink ref="S55" r:id="rId105"/>
    <hyperlink ref="S56" r:id="rId106"/>
    <hyperlink ref="S57" r:id="rId107"/>
    <hyperlink ref="R58" r:id="rId108"/>
    <hyperlink ref="S58" r:id="rId109"/>
    <hyperlink ref="R59" r:id="rId110"/>
    <hyperlink ref="R60" r:id="rId111"/>
    <hyperlink ref="S60" r:id="rId112"/>
    <hyperlink ref="R61" r:id="rId113"/>
    <hyperlink ref="S61" r:id="rId114"/>
    <hyperlink ref="R62" r:id="rId115"/>
    <hyperlink ref="R63" r:id="rId116"/>
    <hyperlink ref="S63" r:id="rId117"/>
    <hyperlink ref="R64" r:id="rId118"/>
    <hyperlink ref="S64" r:id="rId119"/>
    <hyperlink ref="R65" r:id="rId120"/>
    <hyperlink ref="S65" r:id="rId121"/>
    <hyperlink ref="S66" r:id="rId122"/>
    <hyperlink ref="R67" r:id="rId123"/>
    <hyperlink ref="S67" r:id="rId124"/>
    <hyperlink ref="R68" r:id="rId125"/>
    <hyperlink ref="S68" r:id="rId126"/>
  </hyperlinks>
  <pageMargins left="0.25" right="0.25" top="0.75" bottom="0.75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M3"/>
  <sheetViews>
    <sheetView workbookViewId="0"/>
  </sheetViews>
  <sheetFormatPr defaultColWidth="14.42578125" defaultRowHeight="15" customHeight="1"/>
  <cols>
    <col min="1" max="1" width="6.28515625" customWidth="1"/>
    <col min="2" max="2" width="26" customWidth="1"/>
    <col min="12" max="12" width="16.7109375" customWidth="1"/>
    <col min="13" max="13" width="27.140625" customWidth="1"/>
    <col min="18" max="18" width="17.140625" customWidth="1"/>
  </cols>
  <sheetData>
    <row r="1" spans="1:39" ht="15.75">
      <c r="A1" s="1905" t="s">
        <v>8470</v>
      </c>
      <c r="B1" s="2188" t="s">
        <v>430</v>
      </c>
      <c r="C1" s="1754" t="s">
        <v>675</v>
      </c>
      <c r="D1" s="2143" t="s">
        <v>432</v>
      </c>
      <c r="E1" s="1754" t="s">
        <v>433</v>
      </c>
      <c r="F1" s="467" t="s">
        <v>8471</v>
      </c>
      <c r="G1" s="1754" t="s">
        <v>15</v>
      </c>
      <c r="H1" s="1754" t="s">
        <v>2760</v>
      </c>
      <c r="I1" s="1902" t="s">
        <v>1005</v>
      </c>
      <c r="J1" s="1905" t="s">
        <v>1006</v>
      </c>
      <c r="K1" s="1905" t="s">
        <v>29</v>
      </c>
      <c r="L1" s="1905" t="s">
        <v>8472</v>
      </c>
      <c r="M1" s="1902" t="s">
        <v>23</v>
      </c>
      <c r="N1" s="1906" t="s">
        <v>435</v>
      </c>
      <c r="O1" s="1906" t="s">
        <v>130</v>
      </c>
      <c r="P1" s="1906" t="s">
        <v>1007</v>
      </c>
      <c r="Q1" s="1906" t="s">
        <v>1008</v>
      </c>
      <c r="R1" s="1906" t="s">
        <v>1009</v>
      </c>
      <c r="S1" s="2144" t="s">
        <v>7345</v>
      </c>
      <c r="T1" s="2144" t="s">
        <v>7346</v>
      </c>
      <c r="U1" s="2144" t="s">
        <v>7347</v>
      </c>
      <c r="V1" s="2144" t="s">
        <v>7348</v>
      </c>
      <c r="W1" s="1754" t="s">
        <v>5629</v>
      </c>
      <c r="X1" s="1520"/>
      <c r="Y1" s="1520"/>
      <c r="Z1" s="1520"/>
      <c r="AA1" s="1520"/>
      <c r="AB1" s="1520"/>
      <c r="AC1" s="1520"/>
      <c r="AD1" s="1520"/>
      <c r="AE1" s="1520"/>
      <c r="AF1" s="1520"/>
      <c r="AG1" s="1520"/>
      <c r="AH1" s="1520"/>
      <c r="AI1" s="1520"/>
      <c r="AJ1" s="1520"/>
      <c r="AK1" s="1520"/>
      <c r="AL1" s="1520"/>
      <c r="AM1" s="2189"/>
    </row>
    <row r="2" spans="1:39" ht="12.75" customHeight="1">
      <c r="A2" s="2190"/>
      <c r="B2" s="2191"/>
      <c r="C2" s="2192"/>
      <c r="D2" s="2193"/>
      <c r="E2" s="2194"/>
      <c r="F2" s="2195"/>
      <c r="G2" s="2194"/>
      <c r="H2" s="2194"/>
      <c r="I2" s="2192"/>
      <c r="J2" s="2192"/>
      <c r="K2" s="2192"/>
      <c r="M2" s="2195"/>
      <c r="N2" s="2196"/>
      <c r="O2" s="2196"/>
      <c r="P2" s="2196"/>
      <c r="Q2" s="2197"/>
      <c r="R2" s="2196"/>
      <c r="S2" s="2198"/>
      <c r="T2" s="2199"/>
      <c r="U2" s="2199"/>
      <c r="V2" s="2200"/>
      <c r="W2" s="2201"/>
      <c r="X2" s="2202"/>
      <c r="Y2" s="2203"/>
      <c r="Z2" s="2198"/>
      <c r="AA2" s="2198"/>
      <c r="AB2" s="2198"/>
      <c r="AC2" s="2198"/>
      <c r="AD2" s="2198"/>
      <c r="AE2" s="2198"/>
      <c r="AF2" s="2198"/>
      <c r="AG2" s="2198"/>
      <c r="AH2" s="2198"/>
      <c r="AI2" s="2204"/>
      <c r="AJ2" s="2204"/>
      <c r="AK2" s="2204"/>
      <c r="AL2" s="2204"/>
      <c r="AM2" s="2204"/>
    </row>
    <row r="3" spans="1:39" ht="12.75" customHeight="1">
      <c r="C3" s="275"/>
    </row>
  </sheetData>
  <conditionalFormatting sqref="F1:F2">
    <cfRule type="containsText" dxfId="1" priority="1" operator="containsText" text="F">
      <formula>NOT(ISERROR(SEARCH(("F"),(F1))))</formula>
    </cfRule>
  </conditionalFormatting>
  <conditionalFormatting sqref="P1:R2 O2">
    <cfRule type="expression" dxfId="0" priority="2">
      <formula>AND(ISNUMBER(P1),TRUNC(P1)&lt;TODAY())</formula>
    </cfRule>
  </conditionalFormatting>
  <dataValidations count="4">
    <dataValidation type="list" allowBlank="1" sqref="H2">
      <formula1>"A,B,C"</formula1>
    </dataValidation>
    <dataValidation type="custom" allowBlank="1" showDropDown="1" showInputMessage="1" showErrorMessage="1" prompt="Enter a valid date" sqref="N1:R2">
      <formula1>OR(NOT(ISERROR(DATEVALUE(N1))), AND(ISNUMBER(N1), LEFT(CELL("format", N1))="D"))</formula1>
    </dataValidation>
    <dataValidation type="list" allowBlank="1" showInputMessage="1" showErrorMessage="1" prompt="Either M or F" sqref="F2">
      <formula1>"M,F"</formula1>
    </dataValidation>
    <dataValidation type="list" allowBlank="1" sqref="G1:G2">
      <formula1>"UR,SC,ST"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METRO </vt:lpstr>
      <vt:lpstr>SUPV</vt:lpstr>
      <vt:lpstr>Ministerial</vt:lpstr>
      <vt:lpstr>Casualty</vt:lpstr>
      <vt:lpstr>Trip Shed</vt:lpstr>
      <vt:lpstr>Changement</vt:lpstr>
      <vt:lpstr>CONV</vt:lpstr>
      <vt:lpstr>North</vt:lpstr>
      <vt:lpstr>South</vt:lpstr>
      <vt:lpstr>KOAA</vt:lpstr>
      <vt:lpstr>DDJ</vt:lpstr>
      <vt:lpstr>RHA</vt:lpstr>
      <vt:lpstr>NH</vt:lpstr>
      <vt:lpstr>BT</vt:lpstr>
      <vt:lpstr>De-cat Staff(screening pending)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2026-03-18T07:18:53Z</dcterms:modified>
</cp:coreProperties>
</file>